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ilina\Desktop\новый кпк\"/>
    </mc:Choice>
  </mc:AlternateContent>
  <xr:revisionPtr revIDLastSave="0" documentId="13_ncr:1_{8CFCBCCA-AE47-40CE-B61A-05781EB80E32}" xr6:coauthVersionLast="47" xr6:coauthVersionMax="47" xr10:uidLastSave="{00000000-0000-0000-0000-000000000000}"/>
  <bookViews>
    <workbookView xWindow="-120" yWindow="-120" windowWidth="29040" windowHeight="15840" tabRatio="688" firstSheet="8" activeTab="14" xr2:uid="{00000000-000D-0000-FFFF-FFFF00000000}"/>
  </bookViews>
  <sheets>
    <sheet name="1" sheetId="72" r:id="rId1"/>
    <sheet name="Титул" sheetId="1" r:id="rId2"/>
    <sheet name="Описание" sheetId="2" r:id="rId3"/>
    <sheet name="Контр_панель" sheetId="15" r:id="rId4"/>
    <sheet name="Анализ рынка" sheetId="68" r:id="rId5"/>
    <sheet name="Конкурентный анализ 5" sheetId="70" r:id="rId6"/>
    <sheet name="Загрузка" sheetId="73" r:id="rId7"/>
    <sheet name="Штатное расписание" sheetId="71" r:id="rId8"/>
    <sheet name="Предпосылки" sheetId="3" r:id="rId9"/>
    <sheet name="Расчеты" sheetId="4" r:id="rId10"/>
    <sheet name="Отчетность" sheetId="11" r:id="rId11"/>
    <sheet name="Отчетность годовая" sheetId="67" r:id="rId12"/>
    <sheet name="Проверки" sheetId="9" r:id="rId13"/>
    <sheet name="Свод" sheetId="13" r:id="rId14"/>
    <sheet name="Чувствительность" sheetId="63" r:id="rId15"/>
    <sheet name="Бюдж эффективность" sheetId="64" r:id="rId16"/>
    <sheet name="Финансирование" sheetId="66" r:id="rId17"/>
    <sheet name="Инвестор" sheetId="62" r:id="rId18"/>
  </sheets>
  <functionGroups builtInGroupCount="19"/>
  <externalReferences>
    <externalReference r:id="rId19"/>
  </externalReferences>
  <definedNames>
    <definedName name="Accounts_Payable_EoP" localSheetId="6">[1]Расчеты!$L$1012:$CO$1012</definedName>
    <definedName name="Accounts_Payable_EoP">Расчеты!$L$1023:$CO$1023</definedName>
    <definedName name="Accounts_Receivable_EoP" localSheetId="6">[1]Расчеты!$L$996:$CO$996</definedName>
    <definedName name="Accounts_Receivable_EoP">Расчеты!$L$1007:$CO$1007</definedName>
    <definedName name="Accuracy" localSheetId="6">[1]Предпосылки!$E$31</definedName>
    <definedName name="Accuracy">Предпосылки!$E$31</definedName>
    <definedName name="All_Outputs1">Чувствительность!$D$15:$J$21</definedName>
    <definedName name="All_Outputs2">Чувствительность!$D$25:$J$31</definedName>
    <definedName name="All_Outputs3">Чувствительность!$D$35:$J$41</definedName>
    <definedName name="All_Outputs4">Чувствительность!$D$45:$J$51</definedName>
    <definedName name="Bank_Fees" localSheetId="6">[1]Расчеты!$L$1215:$CO$1215</definedName>
    <definedName name="Bank_Fees">Расчеты!$L$1226:$CO$1226</definedName>
    <definedName name="Beginning_of_period" localSheetId="6">[1]Предпосылки!$L$7:$CO$7</definedName>
    <definedName name="Beginning_of_period">Предпосылки!$L$7:$CO$7</definedName>
    <definedName name="CAPEX" localSheetId="6">[1]Расчеты!$L$260:$CO$260</definedName>
    <definedName name="CAPEX">Расчеты!$L$260:$CO$260</definedName>
    <definedName name="CAPEX_Accumulated_Forecast">Расчеты!$L$84:$CO$84</definedName>
    <definedName name="CAPEX_Accumulated_From_Date" localSheetId="6">[1]Расчеты!$L$85:$CO$85</definedName>
    <definedName name="CAPEX_Accumulated_From_Date">Расчеты!$L$85:$CO$85</definedName>
    <definedName name="CAPEX_E_For_VAT" localSheetId="6">[1]Расчеты!$L$335:$CO$335</definedName>
    <definedName name="CAPEX_E_For_VAT">Расчеты!$L$335:$CO$335</definedName>
    <definedName name="CAPEX_For_VAT" localSheetId="6">[1]Расчеты!$L$334:$CO$334</definedName>
    <definedName name="CAPEX_For_VAT">Расчеты!$L$334:$CO$334</definedName>
    <definedName name="Capex_sens" localSheetId="6">[1]Чувствительность!$F$7</definedName>
    <definedName name="Capex_sens">Чувствительность!$F$7</definedName>
    <definedName name="Cash_BoP" localSheetId="6">[1]Отчетность!$L$95:$CO$95</definedName>
    <definedName name="Cash_BoP">Отчетность!$L$95:$CO$95</definedName>
    <definedName name="Cash_EoP" localSheetId="6">[1]Отчетность!$L$97:$CO$97</definedName>
    <definedName name="Cash_EoP">Отчетность!$L$97:$CO$97</definedName>
    <definedName name="CBR_Rate_Forecast" localSheetId="6">[1]Расчеты!$L$88:$CO$88</definedName>
    <definedName name="CBR_Rate_Forecast">Расчеты!$L$88:$CO$88</definedName>
    <definedName name="CFADS" localSheetId="6">[1]Расчеты!$L$1302:$CO$1302</definedName>
    <definedName name="CFADS">Расчеты!$L$1313:$CO$1313</definedName>
    <definedName name="Check_Balance_1" localSheetId="6">[1]Отчетность!$I$39</definedName>
    <definedName name="Check_Balance_1">Отчетность!$I$39</definedName>
    <definedName name="Check_Balance_2" localSheetId="6">[1]Отчетность!$I$40</definedName>
    <definedName name="Check_Balance_2">Отчетность!$I$40</definedName>
    <definedName name="CIP_EoP" localSheetId="6">[1]Расчеты!$L$332:$CO$332</definedName>
    <definedName name="CIP_EoP">Расчеты!$L$332:$CO$332</definedName>
    <definedName name="COGS" localSheetId="6">[1]Расчеты!$L$959:$CO$959</definedName>
    <definedName name="COGS">Расчеты!$L$970:$CO$970</definedName>
    <definedName name="COGS_Capitalised" localSheetId="6">[1]Расчеты!$L$962:$CO$962</definedName>
    <definedName name="COGS_Capitalised">Расчеты!$L$973:$CO$973</definedName>
    <definedName name="COGS_for_VAT" localSheetId="6">[1]Расчеты!$L$961:$CO$961</definedName>
    <definedName name="COGS_for_VAT">Расчеты!$L$972:$CO$972</definedName>
    <definedName name="COGS_PL" localSheetId="6">[1]Расчеты!$L$963:$CO$963</definedName>
    <definedName name="COGS_PL">Расчеты!$L$974:$CO$974</definedName>
    <definedName name="Count_Operations_Periods" localSheetId="6">[1]Расчеты!$L$67:$CO$67</definedName>
    <definedName name="Count_Operations_Periods">Расчеты!$L$67:$CO$67</definedName>
    <definedName name="CPI_Accumulated_Forecast">Расчеты!$L$77:$CO$77</definedName>
    <definedName name="CPI_Accumulated_From_Date" localSheetId="6">[1]Расчеты!$L$79:$CO$79</definedName>
    <definedName name="CPI_Accumulated_From_Date">Расчеты!$L$79:$CO$79</definedName>
    <definedName name="Date_Construction_End" localSheetId="6">[1]Предпосылки!$E$23</definedName>
    <definedName name="Date_Construction_End">Предпосылки!$E$23</definedName>
    <definedName name="Date_Construction_Start" localSheetId="6">[1]Предпосылки!$E$22</definedName>
    <definedName name="Date_Construction_Start">Предпосылки!$E$22</definedName>
    <definedName name="Date_Forecast_Start" localSheetId="6">[1]Предпосылки!$E$19</definedName>
    <definedName name="Date_Forecast_Start">Предпосылки!$E$19</definedName>
    <definedName name="Date_Model_Start" localSheetId="6">[1]Предпосылки!$E$18</definedName>
    <definedName name="Date_Model_Start">Предпосылки!$E$18</definedName>
    <definedName name="Date_Operations_End" localSheetId="6">[1]Предпосылки!$E$25</definedName>
    <definedName name="Date_Operations_End">Предпосылки!$E$25</definedName>
    <definedName name="Date_Operations_Start" localSheetId="6">[1]Предпосылки!$E$24</definedName>
    <definedName name="Date_Operations_Start">Предпосылки!$E$24</definedName>
    <definedName name="Days_In_Period" localSheetId="6">[1]Расчеты!$L$17:$CO$17</definedName>
    <definedName name="Days_In_Period">Расчеты!$L$17:$CO$17</definedName>
    <definedName name="Days_in_year" localSheetId="6">[1]Расчеты!$L$18:$CO$18</definedName>
    <definedName name="Days_in_year">Расчеты!$L$18:$CO$18</definedName>
    <definedName name="Debt_BoP" localSheetId="6">[1]Расчеты!$L$1201:$CO$1201</definedName>
    <definedName name="Debt_BoP">Расчеты!$L$1212:$CO$1212</definedName>
    <definedName name="Debt_Drawdown" localSheetId="6">[1]Расчеты!$L$1202:$CO$1202</definedName>
    <definedName name="Debt_Drawdown">Расчеты!$L$1213:$CO$1213</definedName>
    <definedName name="Debt_EoP" localSheetId="6">[1]Расчеты!$L$1204:$CO$1204</definedName>
    <definedName name="Debt_EoP">Расчеты!$L$1215:$CO$1215</definedName>
    <definedName name="Debt_Interest_Accrued" localSheetId="6">[1]Расчеты!$L$1207:$CO$1207</definedName>
    <definedName name="Debt_Interest_Accrued">Расчеты!$L$1218:$CO$1218</definedName>
    <definedName name="Debt_Interest_Capitalised" localSheetId="6">[1]Расчеты!$L$1208:$CO$1208</definedName>
    <definedName name="Debt_Interest_Capitalised">Расчеты!$L$1219:$CO$1219</definedName>
    <definedName name="Debt_Interest_Paid" localSheetId="6">[1]Расчеты!$L$1210:$CO$1210</definedName>
    <definedName name="Debt_Interest_Paid">Расчеты!$L$1221:$CO$1221</definedName>
    <definedName name="Debt_Interest_PL" localSheetId="6">[1]Расчеты!$L$1209:$CO$1209</definedName>
    <definedName name="Debt_Interest_PL">Расчеты!$L$1220:$CO$1220</definedName>
    <definedName name="Debt_rate_sens" localSheetId="6">[1]Чувствительность!$F$9</definedName>
    <definedName name="Debt_rate_sens">Чувствительность!$F$9</definedName>
    <definedName name="Debt_Repaiment" localSheetId="6">[1]Расчеты!$L$1203:$CO$1203</definedName>
    <definedName name="Debt_Repaiment">Расчеты!$L$1214:$CO$1214</definedName>
    <definedName name="Deferred_Income_Expense">Расчеты!$L$1069:$CO$1069</definedName>
    <definedName name="Depreciation_PL" localSheetId="6">[1]Расчеты!$L$490:$CO$490</definedName>
    <definedName name="Depreciation_PL">Расчеты!$L$490:$CO$490</definedName>
    <definedName name="Depreciation_Premium_Tax" localSheetId="6">[1]Расчеты!$L$495:$CO$495</definedName>
    <definedName name="Depreciation_Premium_Tax">Расчеты!$L$495:$CO$495</definedName>
    <definedName name="Depreciation_Tax" localSheetId="6">[1]Расчеты!$L$494:$CO$494</definedName>
    <definedName name="Depreciation_Tax">Расчеты!$L$494:$CO$494</definedName>
    <definedName name="Divid_Tax_Rate" localSheetId="6">[1]Предпосылки!$E$632</definedName>
    <definedName name="Divid_Tax_Rate">Предпосылки!$E$632</definedName>
    <definedName name="Dividends" localSheetId="6">[1]Расчеты!$L$1275:$CO$1275</definedName>
    <definedName name="Dividends">Расчеты!$L$1286:$CO$1286</definedName>
    <definedName name="EBIT" localSheetId="6">[1]Отчетность!$L$62:$CO$62</definedName>
    <definedName name="EBIT">Отчетность!$L$62:$CO$62</definedName>
    <definedName name="EBITDA" localSheetId="6">[1]Отчетность!$L$61:$CO$61</definedName>
    <definedName name="EBITDA">Отчетность!$L$61:$CO$61</definedName>
    <definedName name="End_of_period" localSheetId="6">[1]Предпосылки!$L$8:$CO$8</definedName>
    <definedName name="End_of_period">Предпосылки!$L$8:$CO$8</definedName>
    <definedName name="Equity_Drawdown" localSheetId="6">[1]Расчеты!$L$1230:$CO$1230</definedName>
    <definedName name="Equity_Drawdown">Расчеты!$L$1241:$CO$1241</definedName>
    <definedName name="Equity_EoP" localSheetId="6">[1]Расчеты!$L$1234:$CO$1234</definedName>
    <definedName name="Equity_EoP">Расчеты!$L$1245:$CO$1245</definedName>
    <definedName name="Equity_S_Drawdown_1" localSheetId="6">[1]Расчеты!$L$1231:$CO$1231</definedName>
    <definedName name="Equity_S_Drawdown_1">Расчеты!$L$1242:$CO$1242</definedName>
    <definedName name="Equity_S_Drawdown_2" localSheetId="6">[1]Расчеты!$L$1232:$CO$1232</definedName>
    <definedName name="Equity_S_Drawdown_2">Расчеты!$L$1243:$CO$1243</definedName>
    <definedName name="FA_BoP">Расчеты!$L$488:$CO$488</definedName>
    <definedName name="FA_EoP" localSheetId="6">[1]Расчеты!$L$491:$CO$491</definedName>
    <definedName name="FA_EoP">Расчеты!$L$491:$CO$491</definedName>
    <definedName name="FCF" localSheetId="6">[1]Отчетность!$L$91:$CO$91</definedName>
    <definedName name="FCF">Отчетность!$L$91:$CO$91</definedName>
    <definedName name="FCFE" localSheetId="6">[1]Расчеты!$L$1292:$CO$1292</definedName>
    <definedName name="FCFE">Расчеты!$L$1303:$CO$1303</definedName>
    <definedName name="Flag_Construction" localSheetId="6">[1]Расчеты!$L$29:$CO$29</definedName>
    <definedName name="Flag_Construction">Расчеты!$L$29:$CO$29</definedName>
    <definedName name="Flag_Financial_Model" localSheetId="6">[1]Расчеты!$L$57:$CO$57</definedName>
    <definedName name="Flag_Financial_Model">Расчеты!$L$57:$CO$57</definedName>
    <definedName name="Flag_First_Construction">Расчеты!$L$60:$CO$60</definedName>
    <definedName name="Flag_First_Operations" localSheetId="6">[1]Расчеты!$L$62:$CO$62</definedName>
    <definedName name="Flag_First_Operations">Расчеты!$L$62:$CO$62</definedName>
    <definedName name="Flag_Forecast" localSheetId="6">[1]Расчеты!$L$54:$CO$54</definedName>
    <definedName name="Flag_Forecast">Расчеты!$L$54:$CO$54</definedName>
    <definedName name="Flag_Historical" localSheetId="6">[1]Расчеты!$L$28:$CO$28</definedName>
    <definedName name="Flag_Historical">Расчеты!$L$28:$CO$28</definedName>
    <definedName name="Flag_Invest" localSheetId="6">[1]Расчеты!$L$58:$CO$58</definedName>
    <definedName name="Flag_Invest">Расчеты!$L$58:$CO$58</definedName>
    <definedName name="Flag_Last_Construction" localSheetId="6">[1]Расчеты!$L$61:$CO$61</definedName>
    <definedName name="Flag_Last_Construction">Расчеты!$L$61:$CO$61</definedName>
    <definedName name="Flag_Last_Operations" localSheetId="6">[1]Расчеты!$L$63:$CO$63</definedName>
    <definedName name="Flag_Last_Operations">Расчеты!$L$63:$CO$63</definedName>
    <definedName name="Flag_Operations" localSheetId="6">[1]Расчеты!$L$30:$CO$30</definedName>
    <definedName name="Flag_Operations">Расчеты!$L$30:$CO$30</definedName>
    <definedName name="Funding_Requirement_Check" localSheetId="6">[1]Расчеты!$E$1124</definedName>
    <definedName name="Funding_Requirement_Check">Расчеты!$E$1135</definedName>
    <definedName name="Funding_Requirement_Check_Arr" localSheetId="6">[1]Расчеты!$L$1124:$CO$1124</definedName>
    <definedName name="Funding_Requirement_Check_Arr">Расчеты!$L$1135:$CO$1135</definedName>
    <definedName name="Funding_Requirement_Copy">Расчеты!$L$1132:$CO$1132</definedName>
    <definedName name="Funding_Requirement_Paste">Расчеты!$L$1133:$CO$1133</definedName>
    <definedName name="Hundreed">Предпосылки!$E$35</definedName>
    <definedName name="ICF" localSheetId="6">[1]Отчетность!$L$82:$CO$82</definedName>
    <definedName name="ICF">Отчетность!$L$82:$CO$82</definedName>
    <definedName name="Inventories_EoP" localSheetId="6">[1]Расчеты!$L$1004:$CO$1004</definedName>
    <definedName name="Inventories_EoP">Расчеты!$L$1015:$CO$1015</definedName>
    <definedName name="Investor_TRRF" localSheetId="6">[1]Инвестор!$L$23:$CO$23</definedName>
    <definedName name="Investor_TRRF">Инвестор!$L$23:$CO$23</definedName>
    <definedName name="IRR" localSheetId="6">[1]Расчеты!$E$1388</definedName>
    <definedName name="IRR">Расчеты!$E$1399</definedName>
    <definedName name="IRR_Equity" localSheetId="6">[1]Расчеты!$E$1426</definedName>
    <definedName name="IRR_Equity">Расчеты!$E$1437</definedName>
    <definedName name="Key_rate" localSheetId="6">[1]Расчеты!$L$88:$CO$88</definedName>
    <definedName name="Key_rate">Расчеты!$L$88:$CO$88</definedName>
    <definedName name="Land_Tax" localSheetId="6">[1]Расчеты!$L$1100:$CO$1100</definedName>
    <definedName name="Land_Tax">Расчеты!$L$1111:$CO$1111</definedName>
    <definedName name="Land_Tax_Rate" localSheetId="6">[1]Предпосылки!$E$657</definedName>
    <definedName name="Land_Tax_Rate">Предпосылки!$E$657</definedName>
    <definedName name="Million">Предпосылки!$E$33</definedName>
    <definedName name="Monetary_Unit" localSheetId="6">[1]Предпосылки!$E$16</definedName>
    <definedName name="Monetary_Unit">Предпосылки!$E$16</definedName>
    <definedName name="Months_in_Period" localSheetId="6">[1]Предпосылки!$E$30</definedName>
    <definedName name="Months_in_Period">Предпосылки!$E$30</definedName>
    <definedName name="Months_in_Year" localSheetId="6">[1]Предпосылки!$E$28</definedName>
    <definedName name="Months_in_Year">Предпосылки!$E$28</definedName>
    <definedName name="MonthsCumulated" localSheetId="6">[1]Расчеты!$L$20:$CO$20</definedName>
    <definedName name="MonthsCumulated">Расчеты!$L$20:$CO$20</definedName>
    <definedName name="Name_Model" localSheetId="6">[1]Предпосылки!$E$13</definedName>
    <definedName name="Name_Model">Предпосылки!$E$13</definedName>
    <definedName name="Net_Profit" localSheetId="6">[1]Отчетность!$L$57:$CO$57</definedName>
    <definedName name="Net_Profit">Отчетность!$L$57:$CO$57</definedName>
    <definedName name="NPV" localSheetId="6">[1]Расчеты!$E$1387</definedName>
    <definedName name="NPV">Расчеты!$E$1398</definedName>
    <definedName name="NPV_Equity" localSheetId="6">[1]Расчеты!$E$1425</definedName>
    <definedName name="NPV_Equity">Расчеты!$E$1436</definedName>
    <definedName name="OCF" localSheetId="6">[1]Отчетность!$L$78:$CO$78</definedName>
    <definedName name="OCF">Отчетность!$L$78:$CO$78</definedName>
    <definedName name="Opex_sens" localSheetId="6">[1]Чувствительность!$F$8</definedName>
    <definedName name="Opex_sens">Чувствительность!$F$8</definedName>
    <definedName name="Overall_Check" localSheetId="6">[1]Проверки!$C$19</definedName>
    <definedName name="Overall_Check">Проверки!$C$19</definedName>
    <definedName name="PBP" localSheetId="6">[1]Расчеты!$E$1395</definedName>
    <definedName name="PBP">Расчеты!$E$1406</definedName>
    <definedName name="PBP_Equity" localSheetId="6">[1]Расчеты!$E$1433</definedName>
    <definedName name="PBP_Equity">Расчеты!$E$1444</definedName>
    <definedName name="PBT" localSheetId="6">[1]Отчетность!$L$55:$CO$55</definedName>
    <definedName name="PBT">Отчетность!$L$55:$CO$55</definedName>
    <definedName name="Period_length" localSheetId="6">[1]Расчеты!$L$24:$CO$24</definedName>
    <definedName name="Period_length">Расчеты!$L$24:$CO$24</definedName>
    <definedName name="Periods_in_Year" localSheetId="6">[1]Предпосылки!$E$29</definedName>
    <definedName name="Periods_in_Year">Предпосылки!$E$29</definedName>
    <definedName name="Profits_Tax" localSheetId="6">[1]Расчеты!$L$1073:$CO$1073</definedName>
    <definedName name="Profits_Tax">Расчеты!$L$1084:$CO$1084</definedName>
    <definedName name="Profits_Tax_Rate" localSheetId="6">[1]Предпосылки!$E$631</definedName>
    <definedName name="Profits_Tax_Rate">Предпосылки!$E$631</definedName>
    <definedName name="Property_Tax" localSheetId="6">[1]Расчеты!$L$1094:$CO$1094</definedName>
    <definedName name="Property_Tax">Расчеты!$L$1105:$CO$1105</definedName>
    <definedName name="Property_Tax_Rate" localSheetId="6">[1]Предпосылки!$E$652</definedName>
    <definedName name="Property_Tax_Rate">Предпосылки!$E$652</definedName>
    <definedName name="Quarter">Расчеты!$L$16:$CO$16</definedName>
    <definedName name="Required_Rate_of_Return" localSheetId="6">[1]Расчеты!$E$1361</definedName>
    <definedName name="Required_Rate_of_Return">Расчеты!$E$1372</definedName>
    <definedName name="Revenue" localSheetId="6">[1]Расчеты!$L$748:$CO$748</definedName>
    <definedName name="Revenue">Расчеты!$L$759:$CO$759</definedName>
    <definedName name="Revenue_for_VAT" localSheetId="6">[1]Расчеты!$L$750:$CO$750</definedName>
    <definedName name="Revenue_for_VAT">Расчеты!$L$761:$CO$761</definedName>
    <definedName name="Revenue_for_VAT_Zero" localSheetId="6">[1]Расчеты!$L$751:$CO$751</definedName>
    <definedName name="Revenue_for_VAT_Zero">Расчеты!$L$762:$CO$762</definedName>
    <definedName name="Revenue_sens" localSheetId="6">[1]Чувствительность!$F$6</definedName>
    <definedName name="Revenue_sens">Чувствительность!$F$6</definedName>
    <definedName name="SC_Analysis_Current_Outputs">Контр_панель!$G$65:$G$107</definedName>
    <definedName name="SC_Analysis_Output_Table">Контр_панель!$I$65:$M$107</definedName>
    <definedName name="SC_Analysis_Output_Table2">Контр_панель!$D$115:$J$120</definedName>
    <definedName name="SC_Analysis_Scenarios_Quantity" localSheetId="6">MAX([1]Контр_панель!$I$26:$M$26)</definedName>
    <definedName name="SC_Analysis_Scenarios_Quantity">MAX(Контр_панель!$I$26:$M$26)</definedName>
    <definedName name="SC_Global" localSheetId="6">[1]Контр_панель!$G$26</definedName>
    <definedName name="SC_Global">Контр_панель!$G$26</definedName>
    <definedName name="Scenario_Macro_CAPEX">Предпосылки!$E$59</definedName>
    <definedName name="Scenario_Macro_CPI">Предпосылки!$E$58</definedName>
    <definedName name="SGA" localSheetId="6">[1]Расчеты!$L$977:$CO$977</definedName>
    <definedName name="SGA">Расчеты!$L$988:$CO$988</definedName>
    <definedName name="SGA_Capitalised" localSheetId="6">[1]Расчеты!$L$980:$CO$980</definedName>
    <definedName name="SGA_Capitalised">Расчеты!$L$991:$CO$991</definedName>
    <definedName name="SGA_for_VAT" localSheetId="6">[1]Расчеты!$L$983:$CO$983</definedName>
    <definedName name="SGA_for_VAT">Расчеты!$L$994:$CO$994</definedName>
    <definedName name="SGA_PL" localSheetId="6">[1]Расчеты!$L$981:$CO$981</definedName>
    <definedName name="SGA_PL">Расчеты!$L$992:$CO$992</definedName>
    <definedName name="Subord_Drawdown" localSheetId="6">[1]Расчеты!$L$1246:$CO$1246</definedName>
    <definedName name="Subord_Drawdown">Расчеты!$L$1257:$CO$1257</definedName>
    <definedName name="Subord_EoP" localSheetId="6">[1]Расчеты!$L$1244:$CO$1244</definedName>
    <definedName name="Subord_EoP">Расчеты!$L$1255:$CO$1255</definedName>
    <definedName name="Subord_Interest_Accrued" localSheetId="6">[1]Расчеты!$L$1251:$CO$1251</definedName>
    <definedName name="Subord_Interest_Accrued">Расчеты!$L$1262:$CO$1262</definedName>
    <definedName name="Subord_Interest_Accrued_Operations">Расчеты!$L$1264:$CO$1264</definedName>
    <definedName name="Subord_Interest_Calc">Расчеты!$L$1261:$CO$1261</definedName>
    <definedName name="Subord_Interest_Check" localSheetId="6">[1]Расчеты!$E$1257</definedName>
    <definedName name="Subord_Interest_Check">Расчеты!$E$1268</definedName>
    <definedName name="Subord_Interest_Check_Arr" localSheetId="6">[1]Расчеты!$L$1257:$CO$1257</definedName>
    <definedName name="Subord_Interest_Check_Arr">Расчеты!$L$1268:$CO$1268</definedName>
    <definedName name="Subord_Interest_Paid" localSheetId="6">[1]Расчеты!$L$1255:$CO$1255</definedName>
    <definedName name="Subord_Interest_Paid">Расчеты!$L$1266:$CO$1266</definedName>
    <definedName name="Subord_Repayment" localSheetId="6">[1]Расчеты!$L$1243:$CO$1243</definedName>
    <definedName name="Subord_Repayment">Расчеты!$L$1254:$CO$1254</definedName>
    <definedName name="Thousand" localSheetId="6">[1]Предпосылки!$E$34</definedName>
    <definedName name="Thousand">Предпосылки!$E$34</definedName>
    <definedName name="VAT_Cash_Flow" localSheetId="6">[1]Расчеты!$L$1053:$CO$1053</definedName>
    <definedName name="VAT_Cash_Flow">Расчеты!$L$1064:$CO$1064</definedName>
    <definedName name="VAT_EoP" localSheetId="6">[1]Расчеты!$L$1051:$CO$1051</definedName>
    <definedName name="VAT_EoP">Расчеты!$L$1062:$CO$1062</definedName>
    <definedName name="VAT_from_Investor" localSheetId="6">[1]Расчеты!$L$1052:$CO$1052</definedName>
    <definedName name="VAT_from_Investor">Расчеты!$L$1063:$CO$1063</definedName>
    <definedName name="VAT_Paid" localSheetId="6">[1]Расчеты!$L$1036:$CO$1036</definedName>
    <definedName name="VAT_Paid">Расчеты!$L$1047:$CO$1047</definedName>
    <definedName name="VAT_Paid_e" localSheetId="6">[1]Расчеты!$L$1037:$CO$1037</definedName>
    <definedName name="VAT_Paid_e">Расчеты!$L$1048:$CO$1048</definedName>
    <definedName name="VAT_Payable" localSheetId="6">[1]Расчеты!$L$1038:$CO$1038</definedName>
    <definedName name="VAT_Payable">Расчеты!$L$1049:$CO$1049</definedName>
    <definedName name="VAT_Periods_Payable" localSheetId="6">[1]Предпосылки!$E$639</definedName>
    <definedName name="VAT_Periods_Payable">Предпосылки!$E$639</definedName>
    <definedName name="VAT_Periods_Receivable" localSheetId="6">[1]Предпосылки!$E$638</definedName>
    <definedName name="VAT_Periods_Receivable">Предпосылки!$E$638</definedName>
    <definedName name="VAT_Rate" localSheetId="6">[1]Предпосылки!$E$641</definedName>
    <definedName name="VAT_Rate">Предпосылки!$E$641</definedName>
    <definedName name="VAT_Rate_Periods" localSheetId="6">[1]Предпосылки!$L$641:$CO$641</definedName>
    <definedName name="VAT_Rate_Periods">Предпосылки!$L$641:$CO$641</definedName>
    <definedName name="VAT_Rate_Zero" localSheetId="6">[1]Предпосылки!$E$642</definedName>
    <definedName name="VAT_Rate_Zero">Предпосылки!$E$642</definedName>
    <definedName name="VAT_Rate_Zero_Periods" localSheetId="6">[1]Предпосылки!$L$642:$CO$642</definedName>
    <definedName name="VAT_Rate_Zero_Periods">Предпосылки!$L$642:$CO$642</definedName>
    <definedName name="VAT_Receivable" localSheetId="6">[1]Расчеты!#REF!</definedName>
    <definedName name="VAT_Receivable">Расчеты!#REF!</definedName>
    <definedName name="VAT_refund" localSheetId="6">[1]Расчеты!#REF!</definedName>
    <definedName name="VAT_refund">Расчеты!#REF!</definedName>
    <definedName name="VAT_refund_e" localSheetId="6">[1]Расчеты!#REF!</definedName>
    <definedName name="VAT_refund_e">Расчеты!#REF!</definedName>
    <definedName name="Version_Model" localSheetId="6">[1]Предпосылки!$E$14</definedName>
    <definedName name="Version_Model">Предпосылки!$E$14</definedName>
    <definedName name="Very_Small_Number" localSheetId="6">[1]Предпосылки!$E$36</definedName>
    <definedName name="Very_Small_Number">Предпосылки!$E$36</definedName>
    <definedName name="WACC" localSheetId="6">[1]Расчеты!$E$1367</definedName>
    <definedName name="WACC">Расчеты!$E$1378</definedName>
    <definedName name="WC_Cash_Flow" localSheetId="6">[1]Расчеты!$L$1017:$CO$1017</definedName>
    <definedName name="WC_Cash_Flow">Расчеты!$L$1028:$CO$1028</definedName>
    <definedName name="xFactorValue1">Чувствительность!$D$14:$J$14</definedName>
    <definedName name="xFactorValue2">Чувствительность!$D$24:$J$24</definedName>
    <definedName name="xFactorValue3">Чувствительность!$D$34:$J$34</definedName>
    <definedName name="xFactorValue4">Чувствительность!$D$44:$J$44</definedName>
    <definedName name="Year" localSheetId="6">[1]Расчеты!$L$15:$CO$15</definedName>
    <definedName name="Year">Расчеты!$L$15:$CO$15</definedName>
    <definedName name="Year_Unic" localSheetId="0">'1'!$L$6:$CO$6</definedName>
    <definedName name="Year_Unic" localSheetId="6">'[1]Отчетность годовая'!$L$6:$CO$6</definedName>
    <definedName name="Year_Unic">'Отчетность годовая'!$L$6:$CO$6</definedName>
    <definedName name="Years_Cumulated_Beginning">Расчеты!$L$21:$CO$21</definedName>
    <definedName name="yFactorValue1">Чувствительность!$C$15:$C$21</definedName>
    <definedName name="yFactorValue2">Чувствительность!$C$25:$C$31</definedName>
    <definedName name="yFactorValue3">Чувствительность!$C$35:$C$41</definedName>
    <definedName name="yFactorValue4">Чувствительность!$C$45:$C$51</definedName>
    <definedName name="_xlnm.Print_Titles" localSheetId="10">Отчетность!$A:$J,Отчетность!$1:$9</definedName>
    <definedName name="_xlnm.Print_Area" localSheetId="0">'1'!$A$1:$CO$21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9" i="72" l="1"/>
  <c r="AJ19" i="72"/>
  <c r="AI19" i="72"/>
  <c r="AH19" i="72"/>
  <c r="AG19" i="72"/>
  <c r="AK18" i="72"/>
  <c r="AJ18" i="72"/>
  <c r="AI18" i="72"/>
  <c r="AH18" i="72"/>
  <c r="AG18" i="72"/>
  <c r="AK16" i="72"/>
  <c r="AJ16" i="72"/>
  <c r="AI16" i="72"/>
  <c r="AH16" i="72"/>
  <c r="AG16" i="72"/>
  <c r="AK15" i="72"/>
  <c r="AJ15" i="72"/>
  <c r="AI15" i="72"/>
  <c r="AH15" i="72"/>
  <c r="AG15" i="72"/>
  <c r="C129" i="71"/>
  <c r="C128" i="71"/>
  <c r="E121" i="71"/>
  <c r="D121" i="71"/>
  <c r="E385" i="3"/>
  <c r="O389" i="3"/>
  <c r="N389" i="3"/>
  <c r="M389" i="3"/>
  <c r="L389" i="3"/>
  <c r="E391" i="3"/>
  <c r="H24" i="73"/>
  <c r="J23" i="73"/>
  <c r="J22" i="73"/>
  <c r="J21" i="73"/>
  <c r="J20" i="73"/>
  <c r="J24" i="73" s="1"/>
  <c r="J25" i="73" s="1"/>
  <c r="H15" i="73"/>
  <c r="D15" i="73"/>
  <c r="C15" i="73"/>
  <c r="B15" i="73"/>
  <c r="K14" i="73"/>
  <c r="J14" i="73"/>
  <c r="I14" i="73"/>
  <c r="K13" i="73"/>
  <c r="K12" i="73"/>
  <c r="K11" i="73"/>
  <c r="J11" i="73"/>
  <c r="I11" i="73"/>
  <c r="K10" i="73"/>
  <c r="K9" i="73"/>
  <c r="K8" i="73"/>
  <c r="J8" i="73"/>
  <c r="I8" i="73"/>
  <c r="K7" i="73"/>
  <c r="K6" i="73"/>
  <c r="K5" i="73"/>
  <c r="J5" i="73"/>
  <c r="I5" i="73"/>
  <c r="K4" i="73"/>
  <c r="K3" i="73"/>
  <c r="K15" i="73" s="1"/>
  <c r="L11" i="73" l="1"/>
  <c r="L8" i="73"/>
  <c r="L14" i="73"/>
  <c r="L5" i="73"/>
  <c r="E812" i="4" l="1"/>
  <c r="E808" i="4"/>
  <c r="F1139" i="4"/>
  <c r="E571" i="4"/>
  <c r="E653" i="4"/>
  <c r="E652" i="4"/>
  <c r="E651" i="4"/>
  <c r="E643" i="4"/>
  <c r="E642" i="4"/>
  <c r="E641" i="4"/>
  <c r="E881" i="4"/>
  <c r="E880" i="4"/>
  <c r="E100" i="3"/>
  <c r="E106" i="3" s="1"/>
  <c r="G18" i="72" l="1"/>
  <c r="G16" i="72"/>
  <c r="G15" i="72"/>
  <c r="G14" i="72"/>
  <c r="G20" i="72"/>
  <c r="G19" i="72"/>
  <c r="G13" i="72"/>
  <c r="L7" i="72"/>
  <c r="B2" i="72"/>
  <c r="L6" i="72" l="1"/>
  <c r="AQ50" i="3" l="1"/>
  <c r="AR50" i="3" s="1"/>
  <c r="AP50" i="3"/>
  <c r="AQ49" i="3"/>
  <c r="AR49" i="3" s="1"/>
  <c r="AP49" i="3"/>
  <c r="AQ48" i="3"/>
  <c r="AR48" i="3" s="1"/>
  <c r="AP48" i="3"/>
  <c r="AQ45" i="3"/>
  <c r="AR45" i="3" s="1"/>
  <c r="AP45" i="3"/>
  <c r="J120" i="15"/>
  <c r="E419" i="3"/>
  <c r="E418" i="3"/>
  <c r="E417" i="3"/>
  <c r="E609" i="3" l="1"/>
  <c r="E408" i="3"/>
  <c r="H215" i="71"/>
  <c r="B120" i="71"/>
  <c r="B116" i="71"/>
  <c r="B113" i="71"/>
  <c r="B107" i="71"/>
  <c r="B91" i="71"/>
  <c r="B61" i="71"/>
  <c r="B54" i="71"/>
  <c r="B43" i="71"/>
  <c r="A18" i="71"/>
  <c r="A19" i="71" s="1"/>
  <c r="A20" i="71" s="1"/>
  <c r="A21" i="71" s="1"/>
  <c r="A22" i="71" s="1"/>
  <c r="A8" i="71"/>
  <c r="A5" i="71"/>
  <c r="C122" i="71" l="1"/>
  <c r="C123" i="71" s="1"/>
  <c r="D123" i="71"/>
  <c r="C124" i="71" l="1"/>
  <c r="C125" i="71" s="1"/>
  <c r="D128" i="71" l="1"/>
  <c r="D129" i="71"/>
  <c r="D127" i="71"/>
  <c r="G1064" i="4"/>
  <c r="EA1063" i="4"/>
  <c r="DZ1063" i="4"/>
  <c r="DY1063" i="4"/>
  <c r="DX1063" i="4"/>
  <c r="DW1063" i="4"/>
  <c r="DV1063" i="4"/>
  <c r="DU1063" i="4"/>
  <c r="DT1063" i="4"/>
  <c r="DS1063" i="4"/>
  <c r="DR1063" i="4"/>
  <c r="DQ1063" i="4"/>
  <c r="DP1063" i="4"/>
  <c r="DO1063" i="4"/>
  <c r="DN1063" i="4"/>
  <c r="DM1063" i="4"/>
  <c r="DL1063" i="4"/>
  <c r="DK1063" i="4"/>
  <c r="DJ1063" i="4"/>
  <c r="DI1063" i="4"/>
  <c r="DH1063" i="4"/>
  <c r="DG1063" i="4"/>
  <c r="DF1063" i="4"/>
  <c r="DE1063" i="4"/>
  <c r="DD1063" i="4"/>
  <c r="DC1063" i="4"/>
  <c r="DB1063" i="4"/>
  <c r="DA1063" i="4"/>
  <c r="CZ1063" i="4"/>
  <c r="CY1063" i="4"/>
  <c r="CX1063" i="4"/>
  <c r="CW1063" i="4"/>
  <c r="CV1063" i="4"/>
  <c r="CU1063" i="4"/>
  <c r="CT1063" i="4"/>
  <c r="CS1063" i="4"/>
  <c r="CR1063" i="4"/>
  <c r="CQ1063" i="4"/>
  <c r="G1063" i="4"/>
  <c r="EA1062" i="4"/>
  <c r="DZ1062" i="4"/>
  <c r="DY1062" i="4"/>
  <c r="DX1062" i="4"/>
  <c r="DW1062" i="4"/>
  <c r="DV1062" i="4"/>
  <c r="DW1064" i="4" s="1"/>
  <c r="DU1062" i="4"/>
  <c r="DT1062" i="4"/>
  <c r="DS1062" i="4"/>
  <c r="DT1064" i="4" s="1"/>
  <c r="DR1062" i="4"/>
  <c r="DQ1062" i="4"/>
  <c r="DP1062" i="4"/>
  <c r="DO1062" i="4"/>
  <c r="DN1062" i="4"/>
  <c r="DO1064" i="4" s="1"/>
  <c r="DM1062" i="4"/>
  <c r="DL1062" i="4"/>
  <c r="DK1062" i="4"/>
  <c r="DL1064" i="4" s="1"/>
  <c r="DJ1062" i="4"/>
  <c r="DI1062" i="4"/>
  <c r="DH1062" i="4"/>
  <c r="DG1062" i="4"/>
  <c r="DF1062" i="4"/>
  <c r="DG1064" i="4" s="1"/>
  <c r="DE1062" i="4"/>
  <c r="DD1062" i="4"/>
  <c r="DC1062" i="4"/>
  <c r="DD1064" i="4" s="1"/>
  <c r="DB1062" i="4"/>
  <c r="DA1062" i="4"/>
  <c r="CZ1062" i="4"/>
  <c r="CY1062" i="4"/>
  <c r="CX1062" i="4"/>
  <c r="CY1064" i="4" s="1"/>
  <c r="CW1062" i="4"/>
  <c r="CV1062" i="4"/>
  <c r="CU1062" i="4"/>
  <c r="CV1064" i="4" s="1"/>
  <c r="CT1062" i="4"/>
  <c r="CS1062" i="4"/>
  <c r="CR1062" i="4"/>
  <c r="CQ1062" i="4"/>
  <c r="CP1062" i="4"/>
  <c r="CQ1064" i="4" s="1"/>
  <c r="G1062" i="4"/>
  <c r="E649" i="3"/>
  <c r="E1053" i="4" s="1"/>
  <c r="E648" i="3"/>
  <c r="E1052" i="4" s="1"/>
  <c r="G1060" i="4"/>
  <c r="G1059" i="4"/>
  <c r="G1058" i="4"/>
  <c r="EA1057" i="4"/>
  <c r="DZ1057" i="4"/>
  <c r="DY1057" i="4"/>
  <c r="DX1057" i="4"/>
  <c r="DW1057" i="4"/>
  <c r="DV1057" i="4"/>
  <c r="DU1057" i="4"/>
  <c r="DT1057" i="4"/>
  <c r="DS1057" i="4"/>
  <c r="DR1057" i="4"/>
  <c r="DQ1057" i="4"/>
  <c r="DP1057" i="4"/>
  <c r="DO1057" i="4"/>
  <c r="DN1057" i="4"/>
  <c r="DM1057" i="4"/>
  <c r="DL1057" i="4"/>
  <c r="DK1057" i="4"/>
  <c r="DJ1057" i="4"/>
  <c r="DI1057" i="4"/>
  <c r="DH1057" i="4"/>
  <c r="DG1057" i="4"/>
  <c r="DF1057" i="4"/>
  <c r="DE1057" i="4"/>
  <c r="DD1057" i="4"/>
  <c r="DC1057" i="4"/>
  <c r="DB1057" i="4"/>
  <c r="DA1057" i="4"/>
  <c r="CZ1057" i="4"/>
  <c r="CY1057" i="4"/>
  <c r="CX1057" i="4"/>
  <c r="CW1057" i="4"/>
  <c r="CV1057" i="4"/>
  <c r="CU1057" i="4"/>
  <c r="CT1057" i="4"/>
  <c r="CS1057" i="4"/>
  <c r="CR1057" i="4"/>
  <c r="CQ1057" i="4"/>
  <c r="CP1057" i="4"/>
  <c r="G1057" i="4"/>
  <c r="L1056" i="4"/>
  <c r="G1056" i="4"/>
  <c r="E539" i="4"/>
  <c r="E538" i="4"/>
  <c r="E537" i="4"/>
  <c r="E536" i="4"/>
  <c r="CU1064" i="4" l="1"/>
  <c r="DC1064" i="4"/>
  <c r="DK1064" i="4"/>
  <c r="DS1064" i="4"/>
  <c r="EA1064" i="4"/>
  <c r="CZ1064" i="4"/>
  <c r="DH1064" i="4"/>
  <c r="DP1064" i="4"/>
  <c r="DX1064" i="4"/>
  <c r="CR1064" i="4"/>
  <c r="CT1064" i="4"/>
  <c r="DB1064" i="4"/>
  <c r="DJ1064" i="4"/>
  <c r="DR1064" i="4"/>
  <c r="DZ1064" i="4"/>
  <c r="DV1064" i="4"/>
  <c r="CX1064" i="4"/>
  <c r="DE1064" i="4"/>
  <c r="DM1064" i="4"/>
  <c r="CS1064" i="4"/>
  <c r="DA1064" i="4"/>
  <c r="DI1064" i="4"/>
  <c r="DQ1064" i="4"/>
  <c r="DY1064" i="4"/>
  <c r="CW1064" i="4"/>
  <c r="DU1064" i="4"/>
  <c r="DF1064" i="4"/>
  <c r="DN1064" i="4"/>
  <c r="G47" i="70" l="1"/>
  <c r="E111" i="3"/>
  <c r="E18" i="70"/>
  <c r="E17" i="70"/>
  <c r="E16" i="70"/>
  <c r="E15" i="70"/>
  <c r="E14" i="70"/>
  <c r="E13" i="70"/>
  <c r="E12" i="70"/>
  <c r="E11" i="70"/>
  <c r="E10" i="70"/>
  <c r="E9" i="70"/>
  <c r="E8" i="70"/>
  <c r="F7" i="70"/>
  <c r="D37" i="70" s="1"/>
  <c r="E7" i="70"/>
  <c r="F6" i="70"/>
  <c r="E6" i="70"/>
  <c r="F5" i="70"/>
  <c r="E5" i="70"/>
  <c r="F4" i="70"/>
  <c r="E4" i="70"/>
  <c r="F3" i="70"/>
  <c r="E3" i="70"/>
  <c r="C34" i="70" s="1"/>
  <c r="C38" i="70" l="1"/>
  <c r="C37" i="70"/>
  <c r="E37" i="70" s="1"/>
  <c r="H25" i="70" l="1"/>
  <c r="G25" i="70"/>
  <c r="G24" i="70"/>
  <c r="E22" i="70"/>
  <c r="E21" i="70"/>
  <c r="C36" i="70" s="1"/>
  <c r="E20" i="70"/>
  <c r="C35" i="70" s="1"/>
  <c r="H22" i="70"/>
  <c r="F22" i="70" s="1"/>
  <c r="H21" i="70"/>
  <c r="F21" i="70" s="1"/>
  <c r="H20" i="70"/>
  <c r="F20" i="70" s="1"/>
  <c r="F23" i="70"/>
  <c r="E23" i="70"/>
  <c r="H19" i="70"/>
  <c r="F19" i="70"/>
  <c r="H18" i="70"/>
  <c r="F18" i="70" s="1"/>
  <c r="H17" i="70"/>
  <c r="F17" i="70" s="1"/>
  <c r="H15" i="70"/>
  <c r="F15" i="70" s="1"/>
  <c r="H16" i="70"/>
  <c r="F16" i="70" s="1"/>
  <c r="H14" i="70"/>
  <c r="F14" i="70" s="1"/>
  <c r="H13" i="70"/>
  <c r="F13" i="70" s="1"/>
  <c r="H12" i="70"/>
  <c r="F12" i="70" s="1"/>
  <c r="H11" i="70"/>
  <c r="F11" i="70" s="1"/>
  <c r="H10" i="70"/>
  <c r="F10" i="70" s="1"/>
  <c r="D36" i="70" s="1"/>
  <c r="H9" i="70"/>
  <c r="F9" i="70" s="1"/>
  <c r="H8" i="70"/>
  <c r="E43" i="68"/>
  <c r="D43" i="68"/>
  <c r="E406" i="3" s="1"/>
  <c r="C43" i="68"/>
  <c r="B43" i="68"/>
  <c r="B25" i="68"/>
  <c r="E535" i="4"/>
  <c r="E534" i="4"/>
  <c r="D38" i="70" l="1"/>
  <c r="E38" i="70" s="1"/>
  <c r="E36" i="70"/>
  <c r="D34" i="70"/>
  <c r="E41" i="70" s="1"/>
  <c r="D35" i="70"/>
  <c r="E35" i="70" s="1"/>
  <c r="X50" i="3"/>
  <c r="Y50" i="3" s="1"/>
  <c r="Z50" i="3" s="1"/>
  <c r="AA50" i="3" s="1"/>
  <c r="AB50" i="3" s="1"/>
  <c r="AC50" i="3" s="1"/>
  <c r="AD50" i="3" s="1"/>
  <c r="AE50" i="3" s="1"/>
  <c r="AF50" i="3" s="1"/>
  <c r="AG50" i="3" s="1"/>
  <c r="AH50" i="3" s="1"/>
  <c r="AI50" i="3" s="1"/>
  <c r="AJ50" i="3" s="1"/>
  <c r="AK50" i="3" s="1"/>
  <c r="AL50" i="3" s="1"/>
  <c r="AM50" i="3" s="1"/>
  <c r="AN50" i="3" s="1"/>
  <c r="AO50" i="3" s="1"/>
  <c r="AC49" i="3"/>
  <c r="AD49" i="3" s="1"/>
  <c r="AE49" i="3" s="1"/>
  <c r="AF49" i="3" s="1"/>
  <c r="AG49" i="3" s="1"/>
  <c r="AH49" i="3" s="1"/>
  <c r="AI49" i="3" s="1"/>
  <c r="AJ49" i="3" s="1"/>
  <c r="AK49" i="3" s="1"/>
  <c r="AL49" i="3" s="1"/>
  <c r="AM49" i="3" s="1"/>
  <c r="AN49" i="3" s="1"/>
  <c r="AO49" i="3" s="1"/>
  <c r="AC48" i="3"/>
  <c r="AD48" i="3" s="1"/>
  <c r="AE48" i="3" s="1"/>
  <c r="AF48" i="3" s="1"/>
  <c r="AG48" i="3" s="1"/>
  <c r="AH48" i="3" s="1"/>
  <c r="AI48" i="3" s="1"/>
  <c r="AJ48" i="3" s="1"/>
  <c r="AK48" i="3" s="1"/>
  <c r="AL48" i="3" s="1"/>
  <c r="AM48" i="3" s="1"/>
  <c r="AN48" i="3" s="1"/>
  <c r="AO48" i="3" s="1"/>
  <c r="AA45" i="3"/>
  <c r="AB45" i="3" s="1"/>
  <c r="AC45" i="3" s="1"/>
  <c r="AD45" i="3" s="1"/>
  <c r="AE45" i="3" s="1"/>
  <c r="AF45" i="3" s="1"/>
  <c r="AG45" i="3" s="1"/>
  <c r="AH45" i="3" s="1"/>
  <c r="AI45" i="3" s="1"/>
  <c r="AJ45" i="3" s="1"/>
  <c r="AK45" i="3" s="1"/>
  <c r="AL45" i="3" s="1"/>
  <c r="AM45" i="3" s="1"/>
  <c r="AN45" i="3" s="1"/>
  <c r="AO45" i="3" s="1"/>
  <c r="E34" i="70" l="1"/>
  <c r="F37" i="70" s="1"/>
  <c r="E399" i="3" s="1"/>
  <c r="C30" i="70"/>
  <c r="E592" i="3"/>
  <c r="E1174" i="4" s="1"/>
  <c r="F36" i="70" l="1"/>
  <c r="E398" i="3" s="1"/>
  <c r="F38" i="70"/>
  <c r="F35" i="70"/>
  <c r="E397" i="3" s="1"/>
  <c r="E556" i="4"/>
  <c r="E30" i="70"/>
  <c r="E1109" i="4"/>
  <c r="E400" i="3" l="1"/>
  <c r="E559" i="4" s="1"/>
  <c r="C633" i="3"/>
  <c r="G1036" i="4" l="1"/>
  <c r="G335" i="4"/>
  <c r="E424" i="4" l="1"/>
  <c r="E446" i="4"/>
  <c r="L446" i="4" s="1"/>
  <c r="E22" i="3"/>
  <c r="G973" i="4"/>
  <c r="G188" i="4"/>
  <c r="H301" i="3"/>
  <c r="L424" i="4" l="1"/>
  <c r="G360" i="3"/>
  <c r="G563" i="3"/>
  <c r="G1129" i="4"/>
  <c r="CP994" i="4" l="1"/>
  <c r="CO994" i="4"/>
  <c r="CN994" i="4"/>
  <c r="CM994" i="4"/>
  <c r="CL994" i="4"/>
  <c r="CK994" i="4"/>
  <c r="CJ994" i="4"/>
  <c r="CI994" i="4"/>
  <c r="CH994" i="4"/>
  <c r="CG994" i="4"/>
  <c r="CF994" i="4"/>
  <c r="CE994" i="4"/>
  <c r="CD994" i="4"/>
  <c r="CC994" i="4"/>
  <c r="CB994" i="4"/>
  <c r="CA994" i="4"/>
  <c r="BZ994" i="4"/>
  <c r="BY994" i="4"/>
  <c r="BX994" i="4"/>
  <c r="BW994" i="4"/>
  <c r="BV994" i="4"/>
  <c r="BU994" i="4"/>
  <c r="BT994" i="4"/>
  <c r="BS994" i="4"/>
  <c r="BR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AN994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O994" i="4"/>
  <c r="N994" i="4"/>
  <c r="M994" i="4"/>
  <c r="L994" i="4"/>
  <c r="G986" i="4"/>
  <c r="E755" i="4"/>
  <c r="L7" i="67"/>
  <c r="L6" i="67" s="1"/>
  <c r="L60" i="3" s="1"/>
  <c r="G101" i="67"/>
  <c r="G100" i="67"/>
  <c r="G99" i="67"/>
  <c r="G97" i="67"/>
  <c r="G96" i="67"/>
  <c r="G95" i="67"/>
  <c r="G93" i="67"/>
  <c r="G91" i="67"/>
  <c r="G90" i="67"/>
  <c r="G89" i="67"/>
  <c r="G88" i="67"/>
  <c r="G87" i="67"/>
  <c r="G86" i="67"/>
  <c r="G85" i="67"/>
  <c r="G82" i="67"/>
  <c r="G81" i="67"/>
  <c r="G78" i="67"/>
  <c r="G77" i="67"/>
  <c r="G76" i="67"/>
  <c r="G75" i="67"/>
  <c r="G74" i="67"/>
  <c r="G73" i="67"/>
  <c r="G72" i="67"/>
  <c r="G71" i="67"/>
  <c r="G70" i="67"/>
  <c r="G69" i="67"/>
  <c r="G62" i="67"/>
  <c r="G61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0" i="67"/>
  <c r="G39" i="67"/>
  <c r="G35" i="67"/>
  <c r="G34" i="67"/>
  <c r="G33" i="67"/>
  <c r="G31" i="67"/>
  <c r="G30" i="67"/>
  <c r="G28" i="67"/>
  <c r="G27" i="67"/>
  <c r="G26" i="67"/>
  <c r="G25" i="67"/>
  <c r="G21" i="67"/>
  <c r="G20" i="67"/>
  <c r="G19" i="67"/>
  <c r="G18" i="67"/>
  <c r="G17" i="67"/>
  <c r="G15" i="67"/>
  <c r="G14" i="67"/>
  <c r="G13" i="67"/>
  <c r="B2" i="67"/>
  <c r="G762" i="4"/>
  <c r="E1142" i="4"/>
  <c r="L95" i="67" l="1"/>
  <c r="L56" i="3"/>
  <c r="E85" i="4"/>
  <c r="E79" i="4"/>
  <c r="E176" i="3" l="1"/>
  <c r="E359" i="3"/>
  <c r="E347" i="3"/>
  <c r="E321" i="3"/>
  <c r="E284" i="3"/>
  <c r="E232" i="3"/>
  <c r="E208" i="3"/>
  <c r="C85" i="4"/>
  <c r="E657" i="4"/>
  <c r="E87" i="64" l="1"/>
  <c r="G1432" i="4" l="1"/>
  <c r="E271" i="3" l="1"/>
  <c r="E1110" i="4" l="1"/>
  <c r="G895" i="4"/>
  <c r="E882" i="4"/>
  <c r="E895" i="4" s="1"/>
  <c r="G868" i="4"/>
  <c r="G869" i="4"/>
  <c r="G870" i="4"/>
  <c r="G871" i="4"/>
  <c r="G872" i="4"/>
  <c r="E807" i="4" l="1"/>
  <c r="I13" i="62" l="1"/>
  <c r="E604" i="3"/>
  <c r="E605" i="3" s="1"/>
  <c r="E1232" i="4" s="1"/>
  <c r="E1231" i="4" s="1"/>
  <c r="H389" i="3" l="1"/>
  <c r="M388" i="3"/>
  <c r="N388" i="3" s="1"/>
  <c r="O388" i="3" s="1"/>
  <c r="E1259" i="4" l="1"/>
  <c r="C44" i="15" l="1"/>
  <c r="C43" i="15"/>
  <c r="C42" i="15"/>
  <c r="C32" i="15"/>
  <c r="C31" i="15"/>
  <c r="C30" i="15"/>
  <c r="C333" i="3"/>
  <c r="C468" i="3" s="1"/>
  <c r="C303" i="3"/>
  <c r="C447" i="3" s="1"/>
  <c r="C244" i="3"/>
  <c r="C485" i="3" s="1"/>
  <c r="C519" i="3" l="1"/>
  <c r="C541" i="3"/>
  <c r="C381" i="3"/>
  <c r="G48" i="66"/>
  <c r="C171" i="15" l="1"/>
  <c r="C170" i="15"/>
  <c r="C169" i="15"/>
  <c r="C168" i="15"/>
  <c r="C167" i="15"/>
  <c r="C165" i="15"/>
  <c r="C164" i="15"/>
  <c r="C163" i="15"/>
  <c r="C162" i="15"/>
  <c r="C161" i="15"/>
  <c r="C159" i="15"/>
  <c r="C158" i="15"/>
  <c r="C157" i="15"/>
  <c r="H156" i="15"/>
  <c r="I156" i="15" s="1"/>
  <c r="J156" i="15" s="1"/>
  <c r="K156" i="15" s="1"/>
  <c r="L156" i="15" s="1"/>
  <c r="M156" i="15" s="1"/>
  <c r="C150" i="15"/>
  <c r="C149" i="15"/>
  <c r="C148" i="15"/>
  <c r="C147" i="15"/>
  <c r="C146" i="15"/>
  <c r="C144" i="15"/>
  <c r="C143" i="15"/>
  <c r="C142" i="15"/>
  <c r="C140" i="15"/>
  <c r="C139" i="15"/>
  <c r="C138" i="15"/>
  <c r="C137" i="15"/>
  <c r="H136" i="15"/>
  <c r="G34" i="66"/>
  <c r="G33" i="66"/>
  <c r="CO47" i="64"/>
  <c r="CN47" i="64"/>
  <c r="G44" i="66"/>
  <c r="G42" i="66"/>
  <c r="G22" i="66"/>
  <c r="G43" i="66"/>
  <c r="G41" i="66"/>
  <c r="G40" i="66"/>
  <c r="G39" i="66"/>
  <c r="G38" i="66"/>
  <c r="G37" i="66"/>
  <c r="G36" i="66"/>
  <c r="G35" i="66"/>
  <c r="G32" i="66"/>
  <c r="G18" i="66"/>
  <c r="G17" i="66"/>
  <c r="G16" i="66"/>
  <c r="G15" i="66"/>
  <c r="G14" i="66"/>
  <c r="G13" i="66"/>
  <c r="G24" i="66"/>
  <c r="G23" i="66"/>
  <c r="G21" i="66"/>
  <c r="G20" i="66"/>
  <c r="G19" i="66"/>
  <c r="B2" i="66"/>
  <c r="E26" i="62"/>
  <c r="E27" i="62"/>
  <c r="I136" i="15" l="1"/>
  <c r="E1194" i="4"/>
  <c r="E1420" i="4"/>
  <c r="C1424" i="4" l="1"/>
  <c r="C15" i="13" s="1"/>
  <c r="C1423" i="4"/>
  <c r="C14" i="13" s="1"/>
  <c r="C1422" i="4"/>
  <c r="C12" i="13" s="1"/>
  <c r="C1421" i="4"/>
  <c r="C13" i="13" s="1"/>
  <c r="J136" i="15"/>
  <c r="E1096" i="4"/>
  <c r="K136" i="15" l="1"/>
  <c r="E1141" i="4"/>
  <c r="L136" i="15" l="1"/>
  <c r="C796" i="4"/>
  <c r="C158" i="3"/>
  <c r="C116" i="4" s="1"/>
  <c r="C779" i="4" s="1"/>
  <c r="C774" i="4"/>
  <c r="C37" i="4"/>
  <c r="C968" i="4" s="1"/>
  <c r="C35" i="4"/>
  <c r="C95" i="4" s="1"/>
  <c r="C36" i="4"/>
  <c r="C34" i="4"/>
  <c r="C109" i="4" s="1"/>
  <c r="C32" i="4"/>
  <c r="C789" i="4" s="1"/>
  <c r="C33" i="4"/>
  <c r="C790" i="4" s="1"/>
  <c r="C483" i="3"/>
  <c r="C785" i="4" s="1"/>
  <c r="C795" i="4" s="1"/>
  <c r="C482" i="3"/>
  <c r="C784" i="4" s="1"/>
  <c r="C794" i="4" s="1"/>
  <c r="C481" i="3"/>
  <c r="C783" i="4" s="1"/>
  <c r="C793" i="4" s="1"/>
  <c r="C335" i="3"/>
  <c r="C305" i="3"/>
  <c r="C246" i="3"/>
  <c r="C220" i="3"/>
  <c r="C188" i="3"/>
  <c r="C160" i="3"/>
  <c r="C91" i="15"/>
  <c r="C90" i="15"/>
  <c r="C89" i="15"/>
  <c r="E36" i="3"/>
  <c r="C67" i="15"/>
  <c r="C79" i="15" s="1"/>
  <c r="C87" i="15" s="1"/>
  <c r="C66" i="15"/>
  <c r="C78" i="15" s="1"/>
  <c r="C86" i="15" s="1"/>
  <c r="C65" i="15"/>
  <c r="C77" i="15" s="1"/>
  <c r="C85" i="15" s="1"/>
  <c r="C56" i="15"/>
  <c r="C55" i="15"/>
  <c r="C54" i="15"/>
  <c r="C50" i="15"/>
  <c r="C49" i="15"/>
  <c r="C48" i="15"/>
  <c r="C40" i="15"/>
  <c r="C39" i="15"/>
  <c r="C38" i="15"/>
  <c r="C477" i="3" l="1"/>
  <c r="M136" i="15"/>
  <c r="C100" i="4"/>
  <c r="C179" i="4"/>
  <c r="C509" i="4"/>
  <c r="C313" i="4"/>
  <c r="C44" i="4"/>
  <c r="C114" i="4"/>
  <c r="C271" i="4"/>
  <c r="C310" i="4"/>
  <c r="C514" i="4"/>
  <c r="C775" i="4"/>
  <c r="C791" i="4"/>
  <c r="C46" i="4"/>
  <c r="C96" i="4"/>
  <c r="C120" i="4"/>
  <c r="C158" i="4" s="1"/>
  <c r="C311" i="4"/>
  <c r="C515" i="4"/>
  <c r="C757" i="4"/>
  <c r="C776" i="4"/>
  <c r="C47" i="4"/>
  <c r="C97" i="4"/>
  <c r="C132" i="4"/>
  <c r="C165" i="4" s="1"/>
  <c r="C265" i="4"/>
  <c r="C312" i="4"/>
  <c r="C516" i="4"/>
  <c r="C777" i="4"/>
  <c r="C39" i="4"/>
  <c r="C48" i="4"/>
  <c r="C107" i="4"/>
  <c r="C144" i="4"/>
  <c r="C172" i="4" s="1"/>
  <c r="C266" i="4"/>
  <c r="C903" i="4"/>
  <c r="C40" i="4"/>
  <c r="C49" i="4"/>
  <c r="C108" i="4"/>
  <c r="C267" i="4"/>
  <c r="C707" i="4"/>
  <c r="C41" i="4"/>
  <c r="C50" i="4"/>
  <c r="C268" i="4"/>
  <c r="C956" i="4"/>
  <c r="C42" i="4"/>
  <c r="C51" i="4"/>
  <c r="C112" i="4"/>
  <c r="C269" i="4"/>
  <c r="C713" i="4"/>
  <c r="C43" i="4"/>
  <c r="C113" i="4"/>
  <c r="C270" i="4"/>
  <c r="C285" i="4" l="1"/>
  <c r="C327" i="4"/>
  <c r="C510" i="4"/>
  <c r="C315" i="4"/>
  <c r="C214" i="4"/>
  <c r="C101" i="4"/>
  <c r="C282" i="4"/>
  <c r="C323" i="4"/>
  <c r="C320" i="4"/>
  <c r="C279" i="4"/>
  <c r="C283" i="4"/>
  <c r="C325" i="4"/>
  <c r="C102" i="4"/>
  <c r="C511" i="4"/>
  <c r="C316" i="4"/>
  <c r="C237" i="4"/>
  <c r="C518" i="4"/>
  <c r="C769" i="4"/>
  <c r="C798" i="4" s="1"/>
  <c r="C281" i="4"/>
  <c r="C322" i="4"/>
  <c r="C284" i="4"/>
  <c r="C326" i="4"/>
  <c r="C321" i="4"/>
  <c r="C280" i="4"/>
  <c r="CO641" i="3"/>
  <c r="CN641" i="3"/>
  <c r="CM641" i="3"/>
  <c r="CL641" i="3"/>
  <c r="CK641" i="3"/>
  <c r="CJ641" i="3"/>
  <c r="CI641" i="3"/>
  <c r="CH641" i="3"/>
  <c r="CG641" i="3"/>
  <c r="CF641" i="3"/>
  <c r="CE641" i="3"/>
  <c r="CD641" i="3"/>
  <c r="CC641" i="3"/>
  <c r="CB641" i="3"/>
  <c r="CA641" i="3"/>
  <c r="BZ641" i="3"/>
  <c r="BY641" i="3"/>
  <c r="BX641" i="3"/>
  <c r="BW641" i="3"/>
  <c r="BV641" i="3"/>
  <c r="BU641" i="3"/>
  <c r="BT641" i="3"/>
  <c r="BS641" i="3"/>
  <c r="BR641" i="3"/>
  <c r="BQ641" i="3"/>
  <c r="BP641" i="3"/>
  <c r="BO641" i="3"/>
  <c r="BN641" i="3"/>
  <c r="BM641" i="3"/>
  <c r="BL641" i="3"/>
  <c r="BK641" i="3"/>
  <c r="BJ641" i="3"/>
  <c r="BI641" i="3"/>
  <c r="BH641" i="3"/>
  <c r="BG641" i="3"/>
  <c r="BF641" i="3"/>
  <c r="BE641" i="3"/>
  <c r="BD641" i="3"/>
  <c r="BC641" i="3"/>
  <c r="BB641" i="3"/>
  <c r="BA641" i="3"/>
  <c r="AZ641" i="3"/>
  <c r="AY641" i="3"/>
  <c r="AX641" i="3"/>
  <c r="AW641" i="3"/>
  <c r="AV641" i="3"/>
  <c r="AU641" i="3"/>
  <c r="AT641" i="3"/>
  <c r="AS641" i="3"/>
  <c r="AR641" i="3"/>
  <c r="AQ641" i="3"/>
  <c r="AP641" i="3"/>
  <c r="AO641" i="3"/>
  <c r="AN641" i="3"/>
  <c r="AM641" i="3"/>
  <c r="AL641" i="3"/>
  <c r="AK641" i="3"/>
  <c r="AJ641" i="3"/>
  <c r="AI641" i="3"/>
  <c r="AH641" i="3"/>
  <c r="AG641" i="3"/>
  <c r="AF641" i="3"/>
  <c r="AE641" i="3"/>
  <c r="AD641" i="3"/>
  <c r="AC641" i="3"/>
  <c r="AB641" i="3"/>
  <c r="AA641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L641" i="3"/>
  <c r="C709" i="4" l="1"/>
  <c r="C770" i="4"/>
  <c r="C905" i="4" s="1"/>
  <c r="C771" i="4"/>
  <c r="C958" i="4" s="1"/>
  <c r="C748" i="4"/>
  <c r="L404" i="4" l="1"/>
  <c r="L394" i="4"/>
  <c r="L384" i="4"/>
  <c r="L374" i="4"/>
  <c r="L364" i="4"/>
  <c r="L354" i="4"/>
  <c r="L433" i="4"/>
  <c r="L422" i="4"/>
  <c r="L413" i="4"/>
  <c r="G329" i="4"/>
  <c r="G328" i="4"/>
  <c r="G327" i="4"/>
  <c r="G326" i="4"/>
  <c r="G325" i="4"/>
  <c r="G324" i="4"/>
  <c r="G323" i="4"/>
  <c r="E1242" i="4" l="1"/>
  <c r="G274" i="4"/>
  <c r="E274" i="4"/>
  <c r="G153" i="3"/>
  <c r="CO1075" i="4" l="1"/>
  <c r="CN1075" i="4"/>
  <c r="CM1075" i="4"/>
  <c r="CL1075" i="4"/>
  <c r="CK1075" i="4"/>
  <c r="CJ1075" i="4"/>
  <c r="CI1075" i="4"/>
  <c r="CH1075" i="4"/>
  <c r="CG1075" i="4"/>
  <c r="CF1075" i="4"/>
  <c r="CE1075" i="4"/>
  <c r="CD1075" i="4"/>
  <c r="CC1075" i="4"/>
  <c r="CB1075" i="4"/>
  <c r="CA1075" i="4"/>
  <c r="BZ1075" i="4"/>
  <c r="BY1075" i="4"/>
  <c r="BX1075" i="4"/>
  <c r="BW1075" i="4"/>
  <c r="BV1075" i="4"/>
  <c r="BU1075" i="4"/>
  <c r="BT1075" i="4"/>
  <c r="BS1075" i="4"/>
  <c r="BR1075" i="4"/>
  <c r="BQ1075" i="4"/>
  <c r="BP1075" i="4"/>
  <c r="BO1075" i="4"/>
  <c r="BN1075" i="4"/>
  <c r="BM1075" i="4"/>
  <c r="BL1075" i="4"/>
  <c r="BK1075" i="4"/>
  <c r="BJ1075" i="4"/>
  <c r="BI1075" i="4"/>
  <c r="BH1075" i="4"/>
  <c r="BG1075" i="4"/>
  <c r="BF1075" i="4"/>
  <c r="BE1075" i="4"/>
  <c r="BD1075" i="4"/>
  <c r="BC1075" i="4"/>
  <c r="BB1075" i="4"/>
  <c r="BA1075" i="4"/>
  <c r="AZ1075" i="4"/>
  <c r="AY1075" i="4"/>
  <c r="AX1075" i="4"/>
  <c r="AW1075" i="4"/>
  <c r="AV1075" i="4"/>
  <c r="AU1075" i="4"/>
  <c r="AT1075" i="4"/>
  <c r="AS1075" i="4"/>
  <c r="AR1075" i="4"/>
  <c r="AQ1075" i="4"/>
  <c r="AP1075" i="4"/>
  <c r="AO1075" i="4"/>
  <c r="AN1075" i="4"/>
  <c r="AM1075" i="4"/>
  <c r="AL1075" i="4"/>
  <c r="AK1075" i="4"/>
  <c r="AJ1075" i="4"/>
  <c r="AI1075" i="4"/>
  <c r="AH1075" i="4"/>
  <c r="AG1075" i="4"/>
  <c r="AF1075" i="4"/>
  <c r="AE1075" i="4"/>
  <c r="AD1075" i="4"/>
  <c r="AC1075" i="4"/>
  <c r="AB1075" i="4"/>
  <c r="AA1075" i="4"/>
  <c r="Z1075" i="4"/>
  <c r="Y1075" i="4"/>
  <c r="X1075" i="4"/>
  <c r="W1075" i="4"/>
  <c r="V1075" i="4"/>
  <c r="U1075" i="4"/>
  <c r="T1075" i="4"/>
  <c r="CO1040" i="4"/>
  <c r="CN1040" i="4"/>
  <c r="CM1040" i="4"/>
  <c r="CL1040" i="4"/>
  <c r="CK1040" i="4"/>
  <c r="CJ1040" i="4"/>
  <c r="CI1040" i="4"/>
  <c r="CH1040" i="4"/>
  <c r="CG1040" i="4"/>
  <c r="CF1040" i="4"/>
  <c r="CE1040" i="4"/>
  <c r="CD1040" i="4"/>
  <c r="CC1040" i="4"/>
  <c r="CB1040" i="4"/>
  <c r="CA1040" i="4"/>
  <c r="BZ1040" i="4"/>
  <c r="BY1040" i="4"/>
  <c r="BX1040" i="4"/>
  <c r="BW1040" i="4"/>
  <c r="BV1040" i="4"/>
  <c r="BU1040" i="4"/>
  <c r="BT1040" i="4"/>
  <c r="BS1040" i="4"/>
  <c r="BR1040" i="4"/>
  <c r="BQ1040" i="4"/>
  <c r="BP1040" i="4"/>
  <c r="BO1040" i="4"/>
  <c r="BN1040" i="4"/>
  <c r="BM1040" i="4"/>
  <c r="BL1040" i="4"/>
  <c r="BK1040" i="4"/>
  <c r="BJ1040" i="4"/>
  <c r="BI1040" i="4"/>
  <c r="BH1040" i="4"/>
  <c r="BG1040" i="4"/>
  <c r="BF1040" i="4"/>
  <c r="BE1040" i="4"/>
  <c r="BD1040" i="4"/>
  <c r="BC1040" i="4"/>
  <c r="BB1040" i="4"/>
  <c r="BA1040" i="4"/>
  <c r="AZ1040" i="4"/>
  <c r="AY1040" i="4"/>
  <c r="AX1040" i="4"/>
  <c r="AW1040" i="4"/>
  <c r="AV1040" i="4"/>
  <c r="AU1040" i="4"/>
  <c r="AT1040" i="4"/>
  <c r="AS1040" i="4"/>
  <c r="AR1040" i="4"/>
  <c r="AQ1040" i="4"/>
  <c r="AP1040" i="4"/>
  <c r="AO1040" i="4"/>
  <c r="AN1040" i="4"/>
  <c r="AM1040" i="4"/>
  <c r="AL1040" i="4"/>
  <c r="AK1040" i="4"/>
  <c r="AJ1040" i="4"/>
  <c r="AI1040" i="4"/>
  <c r="AH1040" i="4"/>
  <c r="AG1040" i="4"/>
  <c r="AF1040" i="4"/>
  <c r="AE1040" i="4"/>
  <c r="AD1040" i="4"/>
  <c r="AC1040" i="4"/>
  <c r="AB1040" i="4"/>
  <c r="AA1040" i="4"/>
  <c r="Z1040" i="4"/>
  <c r="Y1040" i="4"/>
  <c r="X1040" i="4"/>
  <c r="W1040" i="4"/>
  <c r="V1040" i="4"/>
  <c r="U1040" i="4"/>
  <c r="T1040" i="4"/>
  <c r="CO1035" i="4"/>
  <c r="CN1035" i="4"/>
  <c r="CM1035" i="4"/>
  <c r="CL1035" i="4"/>
  <c r="CK1035" i="4"/>
  <c r="CJ1035" i="4"/>
  <c r="CI1035" i="4"/>
  <c r="CH1035" i="4"/>
  <c r="CG1035" i="4"/>
  <c r="CF1035" i="4"/>
  <c r="CE1035" i="4"/>
  <c r="CD1035" i="4"/>
  <c r="CC1035" i="4"/>
  <c r="CB1035" i="4"/>
  <c r="CA1035" i="4"/>
  <c r="BZ1035" i="4"/>
  <c r="BY1035" i="4"/>
  <c r="BX1035" i="4"/>
  <c r="BW1035" i="4"/>
  <c r="BV1035" i="4"/>
  <c r="BU1035" i="4"/>
  <c r="BT1035" i="4"/>
  <c r="BS1035" i="4"/>
  <c r="BR1035" i="4"/>
  <c r="BQ1035" i="4"/>
  <c r="BP1035" i="4"/>
  <c r="BO1035" i="4"/>
  <c r="BN1035" i="4"/>
  <c r="BM1035" i="4"/>
  <c r="BL1035" i="4"/>
  <c r="BK1035" i="4"/>
  <c r="BJ1035" i="4"/>
  <c r="BI1035" i="4"/>
  <c r="BH1035" i="4"/>
  <c r="BG1035" i="4"/>
  <c r="BF1035" i="4"/>
  <c r="BE1035" i="4"/>
  <c r="BD1035" i="4"/>
  <c r="BC1035" i="4"/>
  <c r="BB1035" i="4"/>
  <c r="BA1035" i="4"/>
  <c r="AZ1035" i="4"/>
  <c r="AY1035" i="4"/>
  <c r="AX1035" i="4"/>
  <c r="AW1035" i="4"/>
  <c r="AV1035" i="4"/>
  <c r="AU1035" i="4"/>
  <c r="AT1035" i="4"/>
  <c r="AS1035" i="4"/>
  <c r="AR1035" i="4"/>
  <c r="AQ1035" i="4"/>
  <c r="AP1035" i="4"/>
  <c r="AO1035" i="4"/>
  <c r="AN1035" i="4"/>
  <c r="AM1035" i="4"/>
  <c r="AL1035" i="4"/>
  <c r="AK1035" i="4"/>
  <c r="AJ1035" i="4"/>
  <c r="AI1035" i="4"/>
  <c r="AH1035" i="4"/>
  <c r="AG1035" i="4"/>
  <c r="AF1035" i="4"/>
  <c r="AE1035" i="4"/>
  <c r="AD1035" i="4"/>
  <c r="AC1035" i="4"/>
  <c r="AB1035" i="4"/>
  <c r="AA1035" i="4"/>
  <c r="Z1035" i="4"/>
  <c r="Y1035" i="4"/>
  <c r="X1035" i="4"/>
  <c r="W1035" i="4"/>
  <c r="V1035" i="4"/>
  <c r="U1035" i="4"/>
  <c r="T1035" i="4"/>
  <c r="CO286" i="4"/>
  <c r="CN286" i="4"/>
  <c r="CM286" i="4"/>
  <c r="CL286" i="4"/>
  <c r="CK286" i="4"/>
  <c r="CJ286" i="4"/>
  <c r="CI286" i="4"/>
  <c r="CH286" i="4"/>
  <c r="CG286" i="4"/>
  <c r="CF286" i="4"/>
  <c r="CE286" i="4"/>
  <c r="CD286" i="4"/>
  <c r="CC286" i="4"/>
  <c r="CB286" i="4"/>
  <c r="CA286" i="4"/>
  <c r="BZ286" i="4"/>
  <c r="BY286" i="4"/>
  <c r="BX286" i="4"/>
  <c r="BW286" i="4"/>
  <c r="BV286" i="4"/>
  <c r="BU286" i="4"/>
  <c r="BT286" i="4"/>
  <c r="BS286" i="4"/>
  <c r="BR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L1250" i="4"/>
  <c r="L1240" i="4"/>
  <c r="L1212" i="4"/>
  <c r="L1162" i="4"/>
  <c r="L1088" i="4"/>
  <c r="R1075" i="4"/>
  <c r="Q1075" i="4"/>
  <c r="P1075" i="4"/>
  <c r="O1075" i="4"/>
  <c r="N1075" i="4"/>
  <c r="M1075" i="4"/>
  <c r="L1075" i="4"/>
  <c r="L1045" i="4"/>
  <c r="R1040" i="4"/>
  <c r="Q1040" i="4"/>
  <c r="P1040" i="4"/>
  <c r="O1040" i="4"/>
  <c r="N1040" i="4"/>
  <c r="M1040" i="4"/>
  <c r="L1040" i="4"/>
  <c r="R1035" i="4"/>
  <c r="Q1035" i="4"/>
  <c r="P1035" i="4"/>
  <c r="O1035" i="4"/>
  <c r="N1035" i="4"/>
  <c r="M1035" i="4"/>
  <c r="L1035" i="4"/>
  <c r="L1020" i="4"/>
  <c r="L1012" i="4"/>
  <c r="L1004" i="4"/>
  <c r="L477" i="4"/>
  <c r="L466" i="4"/>
  <c r="L455" i="4"/>
  <c r="L444" i="4"/>
  <c r="R286" i="4"/>
  <c r="Q286" i="4"/>
  <c r="P286" i="4"/>
  <c r="O286" i="4"/>
  <c r="N286" i="4"/>
  <c r="M286" i="4"/>
  <c r="L286" i="4"/>
  <c r="L84" i="4"/>
  <c r="L78" i="4"/>
  <c r="L77" i="4"/>
  <c r="L21" i="4"/>
  <c r="S286" i="4"/>
  <c r="G1242" i="4"/>
  <c r="G1243" i="4"/>
  <c r="G1245" i="4"/>
  <c r="E1243" i="4"/>
  <c r="G415" i="4"/>
  <c r="G414" i="4"/>
  <c r="G413" i="4"/>
  <c r="G286" i="4"/>
  <c r="G287" i="4"/>
  <c r="G288" i="4"/>
  <c r="E275" i="4"/>
  <c r="E273" i="4"/>
  <c r="G275" i="4"/>
  <c r="G273" i="4"/>
  <c r="G154" i="3"/>
  <c r="G152" i="3"/>
  <c r="L1492" i="4" l="1"/>
  <c r="S1075" i="4"/>
  <c r="S1040" i="4"/>
  <c r="S1035" i="4"/>
  <c r="G902" i="4"/>
  <c r="E1042" i="4" l="1"/>
  <c r="E1041" i="4"/>
  <c r="I59" i="62" l="1"/>
  <c r="G33" i="62" l="1"/>
  <c r="G32" i="62"/>
  <c r="E999" i="4" l="1"/>
  <c r="E1000" i="4" s="1"/>
  <c r="G985" i="4"/>
  <c r="G1111" i="4"/>
  <c r="G1109" i="4"/>
  <c r="G656" i="3"/>
  <c r="G4" i="15"/>
  <c r="G343" i="4" l="1"/>
  <c r="G342" i="4"/>
  <c r="G341" i="4"/>
  <c r="E479" i="4"/>
  <c r="E468" i="4"/>
  <c r="E457" i="4"/>
  <c r="E475" i="4"/>
  <c r="E464" i="4"/>
  <c r="E453" i="4"/>
  <c r="G472" i="4"/>
  <c r="G471" i="4"/>
  <c r="G470" i="4"/>
  <c r="G469" i="4"/>
  <c r="G468" i="4"/>
  <c r="G467" i="4"/>
  <c r="G466" i="4"/>
  <c r="G461" i="4"/>
  <c r="G460" i="4"/>
  <c r="G459" i="4"/>
  <c r="G458" i="4"/>
  <c r="G457" i="4"/>
  <c r="G456" i="4"/>
  <c r="G455" i="4"/>
  <c r="E402" i="4"/>
  <c r="E392" i="4"/>
  <c r="E382" i="4"/>
  <c r="G399" i="4"/>
  <c r="G398" i="4"/>
  <c r="G397" i="4"/>
  <c r="G396" i="4"/>
  <c r="G395" i="4"/>
  <c r="G394" i="4"/>
  <c r="G389" i="4"/>
  <c r="G388" i="4"/>
  <c r="G387" i="4"/>
  <c r="G386" i="4"/>
  <c r="G385" i="4"/>
  <c r="G384" i="4"/>
  <c r="G1497" i="4" l="1"/>
  <c r="G1496" i="4"/>
  <c r="G1493" i="4"/>
  <c r="G1492" i="4"/>
  <c r="C79" i="4" l="1"/>
  <c r="E1389" i="4"/>
  <c r="E1426" i="4"/>
  <c r="AY47" i="64" l="1"/>
  <c r="G967" i="4" l="1"/>
  <c r="G968" i="4"/>
  <c r="I272" i="4" l="1"/>
  <c r="C26" i="64"/>
  <c r="E26" i="64"/>
  <c r="CN29" i="64" l="1"/>
  <c r="CO29" i="64"/>
  <c r="CM29" i="64"/>
  <c r="CE29" i="64"/>
  <c r="BW29" i="64"/>
  <c r="BO29" i="64"/>
  <c r="BG29" i="64"/>
  <c r="AY29" i="64"/>
  <c r="AQ29" i="64"/>
  <c r="AI29" i="64"/>
  <c r="AA29" i="64"/>
  <c r="S29" i="64"/>
  <c r="BS29" i="64"/>
  <c r="W29" i="64"/>
  <c r="M29" i="64"/>
  <c r="AZ29" i="64"/>
  <c r="T29" i="64"/>
  <c r="CL29" i="64"/>
  <c r="CD29" i="64"/>
  <c r="BV29" i="64"/>
  <c r="BN29" i="64"/>
  <c r="BF29" i="64"/>
  <c r="AX29" i="64"/>
  <c r="AP29" i="64"/>
  <c r="AH29" i="64"/>
  <c r="Z29" i="64"/>
  <c r="R29" i="64"/>
  <c r="BK29" i="64"/>
  <c r="AU29" i="64"/>
  <c r="O29" i="64"/>
  <c r="BH29" i="64"/>
  <c r="CK29" i="64"/>
  <c r="CC29" i="64"/>
  <c r="BU29" i="64"/>
  <c r="BM29" i="64"/>
  <c r="BE29" i="64"/>
  <c r="AW29" i="64"/>
  <c r="AO29" i="64"/>
  <c r="AG29" i="64"/>
  <c r="Y29" i="64"/>
  <c r="Q29" i="64"/>
  <c r="CA29" i="64"/>
  <c r="AE29" i="64"/>
  <c r="BP29" i="64"/>
  <c r="AJ29" i="64"/>
  <c r="CJ29" i="64"/>
  <c r="CB29" i="64"/>
  <c r="BT29" i="64"/>
  <c r="BL29" i="64"/>
  <c r="BD29" i="64"/>
  <c r="AV29" i="64"/>
  <c r="AN29" i="64"/>
  <c r="AF29" i="64"/>
  <c r="X29" i="64"/>
  <c r="P29" i="64"/>
  <c r="CI29" i="64"/>
  <c r="BC29" i="64"/>
  <c r="AM29" i="64"/>
  <c r="U29" i="64"/>
  <c r="CF29" i="64"/>
  <c r="AR29" i="64"/>
  <c r="CH29" i="64"/>
  <c r="BZ29" i="64"/>
  <c r="BR29" i="64"/>
  <c r="BJ29" i="64"/>
  <c r="BB29" i="64"/>
  <c r="AT29" i="64"/>
  <c r="AL29" i="64"/>
  <c r="AD29" i="64"/>
  <c r="V29" i="64"/>
  <c r="N29" i="64"/>
  <c r="CG29" i="64"/>
  <c r="BY29" i="64"/>
  <c r="BQ29" i="64"/>
  <c r="BI29" i="64"/>
  <c r="BA29" i="64"/>
  <c r="AS29" i="64"/>
  <c r="AK29" i="64"/>
  <c r="AC29" i="64"/>
  <c r="BX29" i="64"/>
  <c r="AB29" i="64"/>
  <c r="L29" i="64"/>
  <c r="G943" i="4"/>
  <c r="G942" i="4"/>
  <c r="G941" i="4"/>
  <c r="G940" i="4"/>
  <c r="E919" i="4"/>
  <c r="E943" i="4" s="1"/>
  <c r="E918" i="4"/>
  <c r="E942" i="4" s="1"/>
  <c r="E917" i="4"/>
  <c r="E941" i="4" s="1"/>
  <c r="E916" i="4"/>
  <c r="E940" i="4" s="1"/>
  <c r="E819" i="4"/>
  <c r="E853" i="4" s="1"/>
  <c r="E818" i="4"/>
  <c r="E844" i="4" s="1"/>
  <c r="E817" i="4"/>
  <c r="E843" i="4" s="1"/>
  <c r="E816" i="4"/>
  <c r="E842" i="4" s="1"/>
  <c r="G853" i="4"/>
  <c r="G852" i="4"/>
  <c r="G851" i="4"/>
  <c r="G850" i="4"/>
  <c r="G845" i="4"/>
  <c r="G844" i="4"/>
  <c r="G843" i="4"/>
  <c r="G842" i="4"/>
  <c r="G833" i="4"/>
  <c r="G834" i="4"/>
  <c r="G835" i="4"/>
  <c r="G836" i="4"/>
  <c r="E840" i="4"/>
  <c r="E839" i="4"/>
  <c r="E836" i="4" l="1"/>
  <c r="E845" i="4"/>
  <c r="E851" i="4"/>
  <c r="E834" i="4"/>
  <c r="E833" i="4"/>
  <c r="E850" i="4"/>
  <c r="E835" i="4"/>
  <c r="E852" i="4"/>
  <c r="G121" i="64"/>
  <c r="G120" i="64"/>
  <c r="G119" i="64"/>
  <c r="G118" i="64"/>
  <c r="G116" i="64"/>
  <c r="G115" i="64"/>
  <c r="G114" i="64"/>
  <c r="G113" i="64"/>
  <c r="G112" i="64"/>
  <c r="G111" i="64"/>
  <c r="G106" i="64"/>
  <c r="G105" i="64"/>
  <c r="G82" i="64"/>
  <c r="G81" i="64"/>
  <c r="G80" i="64"/>
  <c r="G79" i="64"/>
  <c r="G78" i="64"/>
  <c r="G77" i="64"/>
  <c r="G74" i="64"/>
  <c r="G73" i="64"/>
  <c r="G72" i="64"/>
  <c r="G71" i="64"/>
  <c r="G70" i="64"/>
  <c r="G69" i="64"/>
  <c r="G66" i="64"/>
  <c r="G65" i="64"/>
  <c r="G64" i="64"/>
  <c r="G63" i="64"/>
  <c r="G62" i="64"/>
  <c r="G61" i="64"/>
  <c r="G55" i="64"/>
  <c r="G53" i="64"/>
  <c r="G52" i="64"/>
  <c r="G51" i="64"/>
  <c r="G49" i="64"/>
  <c r="CM47" i="64"/>
  <c r="CL47" i="64"/>
  <c r="CK47" i="64"/>
  <c r="CJ47" i="64"/>
  <c r="CI47" i="64"/>
  <c r="CH47" i="64"/>
  <c r="CG47" i="64"/>
  <c r="CF47" i="64"/>
  <c r="CE47" i="64"/>
  <c r="CD47" i="64"/>
  <c r="CC47" i="64"/>
  <c r="CB47" i="64"/>
  <c r="CA47" i="64"/>
  <c r="BZ47" i="64"/>
  <c r="BY47" i="64"/>
  <c r="BX47" i="64"/>
  <c r="BW47" i="64"/>
  <c r="BV47" i="64"/>
  <c r="BU47" i="64"/>
  <c r="BT47" i="64"/>
  <c r="BS47" i="64"/>
  <c r="BR47" i="64"/>
  <c r="BQ47" i="64"/>
  <c r="BP47" i="64"/>
  <c r="BO47" i="64"/>
  <c r="BN47" i="64"/>
  <c r="BM47" i="64"/>
  <c r="BL47" i="64"/>
  <c r="BK47" i="64"/>
  <c r="BJ47" i="64"/>
  <c r="BI47" i="64"/>
  <c r="BH47" i="64"/>
  <c r="BG47" i="64"/>
  <c r="BF47" i="64"/>
  <c r="BE47" i="64"/>
  <c r="BD47" i="64"/>
  <c r="BC47" i="64"/>
  <c r="BB47" i="64"/>
  <c r="BA47" i="64"/>
  <c r="AZ47" i="64"/>
  <c r="AX47" i="64"/>
  <c r="AW47" i="64"/>
  <c r="AV47" i="64"/>
  <c r="AU47" i="64"/>
  <c r="AT47" i="64"/>
  <c r="AS47" i="64"/>
  <c r="AR47" i="64"/>
  <c r="AQ47" i="64"/>
  <c r="AP47" i="64"/>
  <c r="AO47" i="64"/>
  <c r="AN47" i="64"/>
  <c r="AM47" i="64"/>
  <c r="AL47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T47" i="64"/>
  <c r="S47" i="64"/>
  <c r="R47" i="64"/>
  <c r="Q47" i="64"/>
  <c r="P47" i="64"/>
  <c r="O47" i="64"/>
  <c r="N47" i="64"/>
  <c r="M47" i="64"/>
  <c r="L47" i="64"/>
  <c r="G47" i="64"/>
  <c r="I46" i="64"/>
  <c r="G46" i="64"/>
  <c r="I45" i="64"/>
  <c r="G45" i="64"/>
  <c r="G42" i="64"/>
  <c r="I41" i="64"/>
  <c r="G41" i="64"/>
  <c r="G40" i="64"/>
  <c r="G37" i="64"/>
  <c r="G36" i="64"/>
  <c r="G35" i="64"/>
  <c r="G21" i="64"/>
  <c r="G19" i="64"/>
  <c r="G18" i="64"/>
  <c r="G17" i="64"/>
  <c r="G15" i="64"/>
  <c r="G14" i="64"/>
  <c r="G13" i="64"/>
  <c r="B2" i="64"/>
  <c r="B2" i="63"/>
  <c r="I47" i="64" l="1"/>
  <c r="I15" i="64" s="1"/>
  <c r="E98" i="3" l="1"/>
  <c r="E260" i="3" s="1"/>
  <c r="C104" i="15" l="1"/>
  <c r="C98" i="15"/>
  <c r="G74" i="62"/>
  <c r="G73" i="62"/>
  <c r="G72" i="62"/>
  <c r="G70" i="62"/>
  <c r="G68" i="62"/>
  <c r="G67" i="62"/>
  <c r="G66" i="62"/>
  <c r="G65" i="62"/>
  <c r="G64" i="62"/>
  <c r="G63" i="62"/>
  <c r="G62" i="62"/>
  <c r="G48" i="62"/>
  <c r="G46" i="62"/>
  <c r="G45" i="62"/>
  <c r="G43" i="62"/>
  <c r="G42" i="62"/>
  <c r="G27" i="62"/>
  <c r="G26" i="62"/>
  <c r="G25" i="62"/>
  <c r="G24" i="62"/>
  <c r="G23" i="62"/>
  <c r="B2" i="62"/>
  <c r="E164" i="3" l="1"/>
  <c r="E978" i="4" l="1"/>
  <c r="G58" i="15"/>
  <c r="E774" i="4" s="1"/>
  <c r="I774" i="4" s="1"/>
  <c r="G50" i="15"/>
  <c r="E516" i="4" s="1"/>
  <c r="G56" i="15"/>
  <c r="E777" i="4" s="1"/>
  <c r="G55" i="15"/>
  <c r="E776" i="4" s="1"/>
  <c r="G54" i="15"/>
  <c r="E775" i="4" s="1"/>
  <c r="G795" i="4"/>
  <c r="G794" i="4"/>
  <c r="G793" i="4"/>
  <c r="G966" i="4"/>
  <c r="G901" i="4"/>
  <c r="G900" i="4"/>
  <c r="G956" i="4"/>
  <c r="G955" i="4"/>
  <c r="G954" i="4"/>
  <c r="G953" i="4"/>
  <c r="G952" i="4"/>
  <c r="G951" i="4"/>
  <c r="G948" i="4"/>
  <c r="G947" i="4"/>
  <c r="G946" i="4"/>
  <c r="G939" i="4"/>
  <c r="G938" i="4"/>
  <c r="G937" i="4"/>
  <c r="G936" i="4"/>
  <c r="E931" i="4"/>
  <c r="E930" i="4"/>
  <c r="E929" i="4"/>
  <c r="E928" i="4"/>
  <c r="E927" i="4"/>
  <c r="E924" i="4"/>
  <c r="E923" i="4"/>
  <c r="E922" i="4"/>
  <c r="E913" i="4"/>
  <c r="E912" i="4"/>
  <c r="E911" i="4"/>
  <c r="E910" i="4"/>
  <c r="G796" i="4"/>
  <c r="G791" i="4"/>
  <c r="G790" i="4"/>
  <c r="G789" i="4"/>
  <c r="E785" i="4"/>
  <c r="E784" i="4"/>
  <c r="E783" i="4"/>
  <c r="G756" i="4"/>
  <c r="E756" i="4"/>
  <c r="G903" i="4"/>
  <c r="G49" i="15" l="1"/>
  <c r="E515" i="4" s="1"/>
  <c r="G48" i="15"/>
  <c r="E514" i="4" s="1"/>
  <c r="G757" i="4"/>
  <c r="G754" i="4"/>
  <c r="G753" i="4"/>
  <c r="M455" i="3" l="1"/>
  <c r="N455" i="3" s="1"/>
  <c r="O455" i="3" s="1"/>
  <c r="P455" i="3" s="1"/>
  <c r="Q455" i="3" s="1"/>
  <c r="R455" i="3" s="1"/>
  <c r="S455" i="3" s="1"/>
  <c r="T455" i="3" s="1"/>
  <c r="U455" i="3" s="1"/>
  <c r="M451" i="3"/>
  <c r="N451" i="3" s="1"/>
  <c r="O451" i="3" s="1"/>
  <c r="P451" i="3" s="1"/>
  <c r="Q451" i="3" s="1"/>
  <c r="R451" i="3" s="1"/>
  <c r="S451" i="3" s="1"/>
  <c r="T451" i="3" s="1"/>
  <c r="U451" i="3" s="1"/>
  <c r="G44" i="15" l="1"/>
  <c r="E109" i="4" s="1"/>
  <c r="I109" i="4" s="1"/>
  <c r="G43" i="15"/>
  <c r="E108" i="4" s="1"/>
  <c r="I108" i="4" s="1"/>
  <c r="G42" i="15"/>
  <c r="E107" i="4" s="1"/>
  <c r="I107" i="4" s="1"/>
  <c r="G40" i="15"/>
  <c r="E114" i="4" s="1"/>
  <c r="I114" i="4" s="1"/>
  <c r="G39" i="15"/>
  <c r="E113" i="4" s="1"/>
  <c r="I113" i="4" s="1"/>
  <c r="G38" i="15"/>
  <c r="E112" i="4" s="1"/>
  <c r="I112" i="4" s="1"/>
  <c r="G34" i="15"/>
  <c r="E104" i="4" s="1"/>
  <c r="G32" i="15"/>
  <c r="E97" i="4" s="1"/>
  <c r="E771" i="4" s="1"/>
  <c r="I771" i="4" s="1"/>
  <c r="I777" i="4" s="1"/>
  <c r="G31" i="15"/>
  <c r="E96" i="4" s="1"/>
  <c r="E770" i="4" s="1"/>
  <c r="I770" i="4" s="1"/>
  <c r="I776" i="4" s="1"/>
  <c r="G30" i="15"/>
  <c r="E95" i="4" s="1"/>
  <c r="E769" i="4" s="1"/>
  <c r="I769" i="4" s="1"/>
  <c r="I775" i="4" s="1"/>
  <c r="I97" i="4" l="1"/>
  <c r="E511" i="4"/>
  <c r="I511" i="4" s="1"/>
  <c r="I516" i="4" s="1"/>
  <c r="I96" i="4"/>
  <c r="E510" i="4"/>
  <c r="I510" i="4" s="1"/>
  <c r="I515" i="4" s="1"/>
  <c r="I95" i="4"/>
  <c r="E509" i="4"/>
  <c r="I509" i="4" s="1"/>
  <c r="I514" i="4" s="1"/>
  <c r="G322" i="4"/>
  <c r="E23" i="3" l="1"/>
  <c r="G285" i="4"/>
  <c r="G284" i="4"/>
  <c r="G283" i="4"/>
  <c r="G282" i="4"/>
  <c r="G281" i="4"/>
  <c r="G102" i="4"/>
  <c r="G101" i="4"/>
  <c r="G100" i="4"/>
  <c r="G271" i="4"/>
  <c r="G258" i="4"/>
  <c r="G257" i="4"/>
  <c r="G256" i="4"/>
  <c r="G255" i="4"/>
  <c r="G254" i="4"/>
  <c r="E244" i="4"/>
  <c r="G250" i="4"/>
  <c r="G249" i="4"/>
  <c r="G248" i="4"/>
  <c r="G247" i="4"/>
  <c r="G246" i="4"/>
  <c r="G243" i="4"/>
  <c r="G242" i="4"/>
  <c r="G241" i="4"/>
  <c r="H357" i="3"/>
  <c r="H356" i="3"/>
  <c r="H355" i="3"/>
  <c r="G352" i="3"/>
  <c r="G351" i="3"/>
  <c r="G350" i="3"/>
  <c r="G349" i="3"/>
  <c r="G348" i="3"/>
  <c r="G340" i="3"/>
  <c r="G270" i="4"/>
  <c r="G267" i="4"/>
  <c r="G266" i="4"/>
  <c r="G265" i="4"/>
  <c r="G235" i="4"/>
  <c r="G234" i="4"/>
  <c r="G233" i="4"/>
  <c r="G232" i="4"/>
  <c r="G231" i="4"/>
  <c r="G177" i="4"/>
  <c r="G176" i="4"/>
  <c r="G175" i="4"/>
  <c r="G174" i="4"/>
  <c r="G173" i="4"/>
  <c r="G170" i="4"/>
  <c r="G169" i="4"/>
  <c r="G168" i="4"/>
  <c r="G167" i="4"/>
  <c r="G166" i="4"/>
  <c r="G163" i="4"/>
  <c r="G162" i="4"/>
  <c r="G161" i="4"/>
  <c r="G160" i="4"/>
  <c r="G159" i="4"/>
  <c r="E148" i="4"/>
  <c r="G154" i="4"/>
  <c r="G153" i="4"/>
  <c r="G152" i="4"/>
  <c r="G151" i="4"/>
  <c r="G150" i="4"/>
  <c r="G147" i="4"/>
  <c r="G146" i="4"/>
  <c r="G145" i="4"/>
  <c r="G226" i="4"/>
  <c r="G225" i="4"/>
  <c r="G224" i="4"/>
  <c r="G223" i="4"/>
  <c r="E221" i="4"/>
  <c r="G141" i="4"/>
  <c r="G140" i="4"/>
  <c r="G139" i="4"/>
  <c r="G138" i="4"/>
  <c r="G129" i="4"/>
  <c r="G128" i="4"/>
  <c r="G127" i="4"/>
  <c r="G126" i="4"/>
  <c r="G227" i="4"/>
  <c r="G220" i="4"/>
  <c r="G219" i="4"/>
  <c r="G218" i="4"/>
  <c r="E313" i="3"/>
  <c r="E311" i="3"/>
  <c r="E309" i="3"/>
  <c r="H331" i="3"/>
  <c r="H330" i="3"/>
  <c r="H329" i="3"/>
  <c r="G326" i="3"/>
  <c r="G325" i="3"/>
  <c r="G324" i="3"/>
  <c r="G323" i="3"/>
  <c r="G322" i="3"/>
  <c r="G314" i="3"/>
  <c r="E314" i="3" l="1"/>
  <c r="G187" i="3"/>
  <c r="G219" i="3"/>
  <c r="E350" i="3"/>
  <c r="E348" i="3"/>
  <c r="E349" i="3"/>
  <c r="E241" i="4" l="1"/>
  <c r="E242" i="4"/>
  <c r="E243" i="4"/>
  <c r="E351" i="3"/>
  <c r="E352" i="3" s="1"/>
  <c r="E102" i="4" l="1"/>
  <c r="E136" i="4"/>
  <c r="G142" i="4"/>
  <c r="G135" i="4"/>
  <c r="G134" i="4"/>
  <c r="G133" i="4"/>
  <c r="G130" i="4"/>
  <c r="E124" i="4"/>
  <c r="G123" i="4"/>
  <c r="G122" i="4"/>
  <c r="G121" i="4"/>
  <c r="H242" i="3"/>
  <c r="H241" i="3"/>
  <c r="H240" i="3"/>
  <c r="G226" i="3"/>
  <c r="H218" i="3"/>
  <c r="H217" i="3"/>
  <c r="H216" i="3"/>
  <c r="G201" i="3"/>
  <c r="H186" i="3"/>
  <c r="H185" i="3"/>
  <c r="H184" i="3"/>
  <c r="G178" i="3"/>
  <c r="G169" i="3"/>
  <c r="G234" i="3"/>
  <c r="G210" i="3"/>
  <c r="H300" i="3"/>
  <c r="H299" i="3"/>
  <c r="H298" i="3"/>
  <c r="H297" i="3"/>
  <c r="H296" i="3"/>
  <c r="G237" i="3" l="1"/>
  <c r="G236" i="3"/>
  <c r="G235" i="3"/>
  <c r="G233" i="3"/>
  <c r="E224" i="3"/>
  <c r="E226" i="3" s="1"/>
  <c r="E233" i="3" s="1"/>
  <c r="E200" i="3"/>
  <c r="E198" i="3"/>
  <c r="E196" i="3"/>
  <c r="E194" i="3"/>
  <c r="E192" i="3"/>
  <c r="G213" i="3"/>
  <c r="G212" i="3"/>
  <c r="G211" i="3"/>
  <c r="G209" i="3"/>
  <c r="G179" i="3"/>
  <c r="G181" i="3"/>
  <c r="G180" i="3"/>
  <c r="G177" i="3"/>
  <c r="E235" i="3" l="1"/>
  <c r="E201" i="3"/>
  <c r="E212" i="3" s="1"/>
  <c r="E211" i="3"/>
  <c r="E236" i="3" l="1"/>
  <c r="E210" i="3"/>
  <c r="E209" i="3"/>
  <c r="E168" i="3"/>
  <c r="E166" i="3"/>
  <c r="G285" i="3"/>
  <c r="G286" i="3"/>
  <c r="G287" i="3"/>
  <c r="G288" i="3"/>
  <c r="G289" i="3"/>
  <c r="G290" i="3"/>
  <c r="G291" i="3"/>
  <c r="G292" i="3"/>
  <c r="G293" i="3"/>
  <c r="F3" i="15"/>
  <c r="E169" i="3" l="1"/>
  <c r="E179" i="3" s="1"/>
  <c r="H15" i="1"/>
  <c r="H14" i="1"/>
  <c r="E180" i="3" l="1"/>
  <c r="E177" i="3"/>
  <c r="E178" i="3"/>
  <c r="E181" i="3" l="1"/>
  <c r="E213" i="3"/>
  <c r="E237" i="3" l="1"/>
  <c r="E595" i="4" l="1"/>
  <c r="E594" i="4"/>
  <c r="E593" i="4"/>
  <c r="E409" i="3"/>
  <c r="G1120" i="4"/>
  <c r="G1121" i="4"/>
  <c r="G1122" i="4"/>
  <c r="G1123" i="4"/>
  <c r="G1124" i="4"/>
  <c r="G1125" i="4"/>
  <c r="G19" i="13" l="1"/>
  <c r="G18" i="13"/>
  <c r="G17" i="13"/>
  <c r="G15" i="13"/>
  <c r="G14" i="13"/>
  <c r="G13" i="13"/>
  <c r="G12" i="13"/>
  <c r="E593" i="3"/>
  <c r="E1175" i="4" s="1"/>
  <c r="E591" i="3"/>
  <c r="E1173" i="4" s="1"/>
  <c r="E569" i="3"/>
  <c r="J116" i="15"/>
  <c r="G51" i="11"/>
  <c r="G50" i="11"/>
  <c r="G49" i="11"/>
  <c r="G896" i="4"/>
  <c r="G983" i="4"/>
  <c r="G48" i="11"/>
  <c r="G888" i="4"/>
  <c r="G887" i="4"/>
  <c r="G886" i="4"/>
  <c r="G893" i="4"/>
  <c r="G894" i="4"/>
  <c r="G891" i="4"/>
  <c r="G892" i="4"/>
  <c r="G890" i="4"/>
  <c r="G980" i="4"/>
  <c r="CI1175" i="4" l="1"/>
  <c r="CA1175" i="4"/>
  <c r="BS1175" i="4"/>
  <c r="BK1175" i="4"/>
  <c r="BC1175" i="4"/>
  <c r="AU1175" i="4"/>
  <c r="AM1175" i="4"/>
  <c r="AE1175" i="4"/>
  <c r="W1175" i="4"/>
  <c r="O1175" i="4"/>
  <c r="AL1175" i="4"/>
  <c r="S1175" i="4"/>
  <c r="CO1175" i="4"/>
  <c r="CG1175" i="4"/>
  <c r="BY1175" i="4"/>
  <c r="BQ1175" i="4"/>
  <c r="BI1175" i="4"/>
  <c r="BA1175" i="4"/>
  <c r="AS1175" i="4"/>
  <c r="AK1175" i="4"/>
  <c r="AC1175" i="4"/>
  <c r="U1175" i="4"/>
  <c r="M1175" i="4"/>
  <c r="CM1175" i="4"/>
  <c r="BW1175" i="4"/>
  <c r="AQ1175" i="4"/>
  <c r="CN1175" i="4"/>
  <c r="CF1175" i="4"/>
  <c r="BX1175" i="4"/>
  <c r="BP1175" i="4"/>
  <c r="BH1175" i="4"/>
  <c r="AZ1175" i="4"/>
  <c r="AR1175" i="4"/>
  <c r="AJ1175" i="4"/>
  <c r="AB1175" i="4"/>
  <c r="T1175" i="4"/>
  <c r="L1175" i="4"/>
  <c r="CE1175" i="4"/>
  <c r="BO1175" i="4"/>
  <c r="AA1175" i="4"/>
  <c r="CL1175" i="4"/>
  <c r="CD1175" i="4"/>
  <c r="BV1175" i="4"/>
  <c r="BN1175" i="4"/>
  <c r="BF1175" i="4"/>
  <c r="AX1175" i="4"/>
  <c r="AP1175" i="4"/>
  <c r="AH1175" i="4"/>
  <c r="Z1175" i="4"/>
  <c r="R1175" i="4"/>
  <c r="BR1175" i="4"/>
  <c r="BB1175" i="4"/>
  <c r="N1175" i="4"/>
  <c r="AY1175" i="4"/>
  <c r="CK1175" i="4"/>
  <c r="CC1175" i="4"/>
  <c r="BU1175" i="4"/>
  <c r="BM1175" i="4"/>
  <c r="BE1175" i="4"/>
  <c r="AW1175" i="4"/>
  <c r="AO1175" i="4"/>
  <c r="AG1175" i="4"/>
  <c r="Y1175" i="4"/>
  <c r="Q1175" i="4"/>
  <c r="CH1175" i="4"/>
  <c r="BJ1175" i="4"/>
  <c r="AD1175" i="4"/>
  <c r="AI1175" i="4"/>
  <c r="CJ1175" i="4"/>
  <c r="CB1175" i="4"/>
  <c r="BT1175" i="4"/>
  <c r="BL1175" i="4"/>
  <c r="BD1175" i="4"/>
  <c r="AV1175" i="4"/>
  <c r="AN1175" i="4"/>
  <c r="AF1175" i="4"/>
  <c r="X1175" i="4"/>
  <c r="P1175" i="4"/>
  <c r="BZ1175" i="4"/>
  <c r="AT1175" i="4"/>
  <c r="V1175" i="4"/>
  <c r="BG1175" i="4"/>
  <c r="G873" i="4"/>
  <c r="G866" i="4"/>
  <c r="G849" i="4" l="1"/>
  <c r="G848" i="4"/>
  <c r="G841" i="4"/>
  <c r="G840" i="4"/>
  <c r="G839" i="4"/>
  <c r="G854" i="4"/>
  <c r="G832" i="4"/>
  <c r="G831" i="4"/>
  <c r="G828" i="4"/>
  <c r="G827" i="4"/>
  <c r="G826" i="4"/>
  <c r="E893" i="4"/>
  <c r="E894" i="4"/>
  <c r="E878" i="4"/>
  <c r="E891" i="4" s="1"/>
  <c r="E879" i="4"/>
  <c r="E892" i="4" s="1"/>
  <c r="E877" i="4"/>
  <c r="E890" i="4" s="1"/>
  <c r="E981" i="4"/>
  <c r="E862" i="4"/>
  <c r="E872" i="4" s="1"/>
  <c r="E861" i="4"/>
  <c r="E871" i="4" s="1"/>
  <c r="E870" i="4"/>
  <c r="E859" i="4"/>
  <c r="E869" i="4" s="1"/>
  <c r="E858" i="4"/>
  <c r="E868" i="4" s="1"/>
  <c r="E848" i="4"/>
  <c r="E803" i="4"/>
  <c r="E831" i="4" s="1"/>
  <c r="G706" i="4" l="1"/>
  <c r="G700" i="4"/>
  <c r="G696" i="4"/>
  <c r="E648" i="4"/>
  <c r="E647" i="4"/>
  <c r="E646" i="4"/>
  <c r="E645" i="4"/>
  <c r="E640" i="4"/>
  <c r="G691" i="4"/>
  <c r="G627" i="4"/>
  <c r="E579" i="4"/>
  <c r="E578" i="4"/>
  <c r="E577" i="4"/>
  <c r="E589" i="4"/>
  <c r="E588" i="4"/>
  <c r="E587" i="4"/>
  <c r="E584" i="4"/>
  <c r="E583" i="4"/>
  <c r="E582" i="4"/>
  <c r="E533" i="4"/>
  <c r="E532" i="4"/>
  <c r="E531" i="4"/>
  <c r="E553" i="4"/>
  <c r="E550" i="4"/>
  <c r="E543" i="4"/>
  <c r="E524" i="4"/>
  <c r="E523" i="4"/>
  <c r="E522" i="4"/>
  <c r="E526" i="4" l="1"/>
  <c r="E591" i="4"/>
  <c r="E663" i="4"/>
  <c r="E636" i="4"/>
  <c r="G212" i="4" l="1"/>
  <c r="G211" i="4"/>
  <c r="G210" i="4"/>
  <c r="G209" i="4"/>
  <c r="G208" i="4"/>
  <c r="G207" i="4"/>
  <c r="G206" i="4"/>
  <c r="G205" i="4"/>
  <c r="G204" i="4"/>
  <c r="G200" i="4"/>
  <c r="E190" i="4"/>
  <c r="E189" i="4"/>
  <c r="G199" i="4"/>
  <c r="G198" i="4"/>
  <c r="G197" i="4"/>
  <c r="G196" i="4"/>
  <c r="G195" i="4"/>
  <c r="G194" i="4"/>
  <c r="G193" i="4"/>
  <c r="G192" i="4"/>
  <c r="G187" i="4"/>
  <c r="G186" i="4"/>
  <c r="G185" i="4"/>
  <c r="G184" i="4"/>
  <c r="G183" i="4"/>
  <c r="G277" i="3" l="1"/>
  <c r="G272" i="3"/>
  <c r="E269" i="3"/>
  <c r="E267" i="3"/>
  <c r="G261" i="3"/>
  <c r="G256" i="3"/>
  <c r="G252" i="3"/>
  <c r="G251" i="3"/>
  <c r="G250" i="3"/>
  <c r="G249" i="3"/>
  <c r="E265" i="3" l="1"/>
  <c r="E272" i="3" s="1"/>
  <c r="E530" i="4"/>
  <c r="E90" i="3"/>
  <c r="E92" i="3" s="1"/>
  <c r="E288" i="3" l="1"/>
  <c r="E635" i="4"/>
  <c r="E637" i="4" s="1"/>
  <c r="E669" i="4" s="1"/>
  <c r="E592" i="4"/>
  <c r="E662" i="4" s="1"/>
  <c r="E261" i="3"/>
  <c r="E250" i="3" s="1"/>
  <c r="E252" i="3" s="1"/>
  <c r="E285" i="3" s="1"/>
  <c r="E183" i="4" s="1"/>
  <c r="E186" i="4" l="1"/>
  <c r="E287" i="3"/>
  <c r="E256" i="3"/>
  <c r="E93" i="3"/>
  <c r="E276" i="3" s="1"/>
  <c r="E277" i="3" s="1"/>
  <c r="E289" i="3" s="1"/>
  <c r="E668" i="4"/>
  <c r="E667" i="4"/>
  <c r="E608" i="4"/>
  <c r="E610" i="4"/>
  <c r="E609" i="4"/>
  <c r="E605" i="4"/>
  <c r="E604" i="4"/>
  <c r="E603" i="4"/>
  <c r="E600" i="4"/>
  <c r="E599" i="4"/>
  <c r="E598" i="4"/>
  <c r="E187" i="4" l="1"/>
  <c r="E185" i="4"/>
  <c r="E290" i="3"/>
  <c r="E291" i="3"/>
  <c r="E286" i="3"/>
  <c r="E628" i="4"/>
  <c r="E188" i="4" l="1"/>
  <c r="E184" i="4"/>
  <c r="E292" i="3"/>
  <c r="E293" i="3" s="1"/>
  <c r="E100" i="4" l="1"/>
  <c r="E29" i="3"/>
  <c r="CL383" i="4" l="1"/>
  <c r="CO383" i="4"/>
  <c r="BA383" i="4"/>
  <c r="U383" i="4"/>
  <c r="BH383" i="4"/>
  <c r="AB383" i="4"/>
  <c r="AM383" i="4"/>
  <c r="V383" i="4"/>
  <c r="BB383" i="4"/>
  <c r="AP383" i="4"/>
  <c r="AX383" i="4"/>
  <c r="BK393" i="4"/>
  <c r="AE393" i="4"/>
  <c r="BT393" i="4"/>
  <c r="AC393" i="4"/>
  <c r="BM393" i="4"/>
  <c r="V393" i="4"/>
  <c r="M393" i="4"/>
  <c r="AV393" i="4"/>
  <c r="AK393" i="4"/>
  <c r="AJ393" i="4"/>
  <c r="BP403" i="4"/>
  <c r="AJ403" i="4"/>
  <c r="BY403" i="4"/>
  <c r="AH403" i="4"/>
  <c r="BW403" i="4"/>
  <c r="AG403" i="4"/>
  <c r="AE403" i="4"/>
  <c r="CA403" i="4"/>
  <c r="BQ403" i="4"/>
  <c r="AT403" i="4"/>
  <c r="AU383" i="4"/>
  <c r="BY393" i="4"/>
  <c r="Y393" i="4"/>
  <c r="AL403" i="4"/>
  <c r="CH383" i="4"/>
  <c r="CJ383" i="4"/>
  <c r="AW383" i="4"/>
  <c r="N383" i="4"/>
  <c r="BD383" i="4"/>
  <c r="X383" i="4"/>
  <c r="AE383" i="4"/>
  <c r="O383" i="4"/>
  <c r="AD383" i="4"/>
  <c r="BP383" i="4"/>
  <c r="CM393" i="4"/>
  <c r="BG393" i="4"/>
  <c r="AA393" i="4"/>
  <c r="BN393" i="4"/>
  <c r="X393" i="4"/>
  <c r="BH393" i="4"/>
  <c r="CG393" i="4"/>
  <c r="BU393" i="4"/>
  <c r="P393" i="4"/>
  <c r="Z393" i="4"/>
  <c r="BE393" i="4"/>
  <c r="BL403" i="4"/>
  <c r="AF403" i="4"/>
  <c r="BS403" i="4"/>
  <c r="AC403" i="4"/>
  <c r="BR403" i="4"/>
  <c r="AA403" i="4"/>
  <c r="U403" i="4"/>
  <c r="BF403" i="4"/>
  <c r="AK403" i="4"/>
  <c r="AI403" i="4"/>
  <c r="CA383" i="4"/>
  <c r="BR393" i="4"/>
  <c r="BF393" i="4"/>
  <c r="CD403" i="4"/>
  <c r="AP403" i="4"/>
  <c r="CD383" i="4"/>
  <c r="CE383" i="4"/>
  <c r="AS383" i="4"/>
  <c r="CN383" i="4"/>
  <c r="AZ383" i="4"/>
  <c r="T383" i="4"/>
  <c r="W383" i="4"/>
  <c r="CM383" i="4"/>
  <c r="CB383" i="4"/>
  <c r="AH383" i="4"/>
  <c r="CI393" i="4"/>
  <c r="BC393" i="4"/>
  <c r="W393" i="4"/>
  <c r="BI393" i="4"/>
  <c r="O393" i="4"/>
  <c r="BB393" i="4"/>
  <c r="BV393" i="4"/>
  <c r="BJ393" i="4"/>
  <c r="CF393" i="4"/>
  <c r="CK393" i="4"/>
  <c r="CN403" i="4"/>
  <c r="BH403" i="4"/>
  <c r="AB403" i="4"/>
  <c r="BN403" i="4"/>
  <c r="W403" i="4"/>
  <c r="BM403" i="4"/>
  <c r="V403" i="4"/>
  <c r="Q403" i="4"/>
  <c r="AU403" i="4"/>
  <c r="N403" i="4"/>
  <c r="BO403" i="4"/>
  <c r="AF383" i="4"/>
  <c r="BO393" i="4"/>
  <c r="AB393" i="4"/>
  <c r="AN403" i="4"/>
  <c r="Y403" i="4"/>
  <c r="BZ383" i="4"/>
  <c r="BY383" i="4"/>
  <c r="AO383" i="4"/>
  <c r="CI383" i="4"/>
  <c r="AV383" i="4"/>
  <c r="CG383" i="4"/>
  <c r="P383" i="4"/>
  <c r="BQ383" i="4"/>
  <c r="AY383" i="4"/>
  <c r="BF383" i="4"/>
  <c r="CE393" i="4"/>
  <c r="AY393" i="4"/>
  <c r="S393" i="4"/>
  <c r="BD393" i="4"/>
  <c r="CN393" i="4"/>
  <c r="AW393" i="4"/>
  <c r="BL393" i="4"/>
  <c r="AO393" i="4"/>
  <c r="AZ393" i="4"/>
  <c r="AT393" i="4"/>
  <c r="CJ403" i="4"/>
  <c r="BD403" i="4"/>
  <c r="X403" i="4"/>
  <c r="BI403" i="4"/>
  <c r="P403" i="4"/>
  <c r="BG403" i="4"/>
  <c r="CG403" i="4"/>
  <c r="BU403" i="4"/>
  <c r="Z403" i="4"/>
  <c r="BE403" i="4"/>
  <c r="AL383" i="4"/>
  <c r="AI393" i="4"/>
  <c r="BQ393" i="4"/>
  <c r="AM403" i="4"/>
  <c r="BV383" i="4"/>
  <c r="BT383" i="4"/>
  <c r="AK383" i="4"/>
  <c r="CC383" i="4"/>
  <c r="AR383" i="4"/>
  <c r="BW383" i="4"/>
  <c r="BU383" i="4"/>
  <c r="BG383" i="4"/>
  <c r="AI383" i="4"/>
  <c r="CK383" i="4"/>
  <c r="CA393" i="4"/>
  <c r="AU393" i="4"/>
  <c r="CO393" i="4"/>
  <c r="AX393" i="4"/>
  <c r="CH393" i="4"/>
  <c r="AR393" i="4"/>
  <c r="BA393" i="4"/>
  <c r="T393" i="4"/>
  <c r="AD393" i="4"/>
  <c r="N393" i="4"/>
  <c r="CF403" i="4"/>
  <c r="AZ403" i="4"/>
  <c r="T403" i="4"/>
  <c r="BC403" i="4"/>
  <c r="L403" i="4"/>
  <c r="BB403" i="4"/>
  <c r="BV403" i="4"/>
  <c r="BJ403" i="4"/>
  <c r="CE403" i="4"/>
  <c r="CK403" i="4"/>
  <c r="U393" i="4"/>
  <c r="S403" i="4"/>
  <c r="BR383" i="4"/>
  <c r="BO383" i="4"/>
  <c r="AG383" i="4"/>
  <c r="BX383" i="4"/>
  <c r="AN383" i="4"/>
  <c r="BL383" i="4"/>
  <c r="BK383" i="4"/>
  <c r="AQ383" i="4"/>
  <c r="S383" i="4"/>
  <c r="L383" i="4"/>
  <c r="BW393" i="4"/>
  <c r="AQ393" i="4"/>
  <c r="CJ393" i="4"/>
  <c r="AS393" i="4"/>
  <c r="CC393" i="4"/>
  <c r="AL393" i="4"/>
  <c r="AP393" i="4"/>
  <c r="Q393" i="4"/>
  <c r="L393" i="4"/>
  <c r="BZ393" i="4"/>
  <c r="CB403" i="4"/>
  <c r="AV403" i="4"/>
  <c r="CO403" i="4"/>
  <c r="AX403" i="4"/>
  <c r="CM403" i="4"/>
  <c r="AW403" i="4"/>
  <c r="BK403" i="4"/>
  <c r="AO403" i="4"/>
  <c r="AY403" i="4"/>
  <c r="BZ403" i="4"/>
  <c r="CC403" i="4"/>
  <c r="BN383" i="4"/>
  <c r="BI383" i="4"/>
  <c r="AC383" i="4"/>
  <c r="BS383" i="4"/>
  <c r="AJ383" i="4"/>
  <c r="BC383" i="4"/>
  <c r="AT383" i="4"/>
  <c r="AA383" i="4"/>
  <c r="M383" i="4"/>
  <c r="Z383" i="4"/>
  <c r="BS393" i="4"/>
  <c r="AM393" i="4"/>
  <c r="CD393" i="4"/>
  <c r="AN393" i="4"/>
  <c r="BX393" i="4"/>
  <c r="AG393" i="4"/>
  <c r="AF393" i="4"/>
  <c r="CL393" i="4"/>
  <c r="CB393" i="4"/>
  <c r="BP393" i="4"/>
  <c r="BX403" i="4"/>
  <c r="AR403" i="4"/>
  <c r="CI403" i="4"/>
  <c r="AS403" i="4"/>
  <c r="CH403" i="4"/>
  <c r="AQ403" i="4"/>
  <c r="BA403" i="4"/>
  <c r="AD403" i="4"/>
  <c r="O403" i="4"/>
  <c r="M403" i="4"/>
  <c r="BJ383" i="4"/>
  <c r="BE383" i="4"/>
  <c r="Y383" i="4"/>
  <c r="BM383" i="4"/>
  <c r="CF383" i="4"/>
  <c r="Q383" i="4"/>
  <c r="AH393" i="4"/>
  <c r="BT403" i="4"/>
  <c r="CL403" i="4"/>
  <c r="R393" i="4"/>
  <c r="R383" i="4"/>
  <c r="R403" i="4"/>
  <c r="AE465" i="4"/>
  <c r="AL465" i="4"/>
  <c r="BA465" i="4"/>
  <c r="BO465" i="4"/>
  <c r="BE465" i="4"/>
  <c r="CF465" i="4"/>
  <c r="AH465" i="4"/>
  <c r="AP465" i="4"/>
  <c r="BH465" i="4"/>
  <c r="M465" i="4"/>
  <c r="AS476" i="4"/>
  <c r="BH476" i="4"/>
  <c r="BW476" i="4"/>
  <c r="CC476" i="4"/>
  <c r="CA476" i="4"/>
  <c r="CL476" i="4"/>
  <c r="AN476" i="4"/>
  <c r="AX476" i="4"/>
  <c r="BL476" i="4"/>
  <c r="N476" i="4"/>
  <c r="AW454" i="4"/>
  <c r="BD454" i="4"/>
  <c r="BK454" i="4"/>
  <c r="BY454" i="4"/>
  <c r="CE454" i="4"/>
  <c r="BZ454" i="4"/>
  <c r="AB454" i="4"/>
  <c r="BR454" i="4"/>
  <c r="CH454" i="4"/>
  <c r="L454" i="4"/>
  <c r="BR465" i="4"/>
  <c r="AI465" i="4"/>
  <c r="AG465" i="4"/>
  <c r="Q465" i="4"/>
  <c r="AQ476" i="4"/>
  <c r="BZ476" i="4"/>
  <c r="R476" i="4"/>
  <c r="AS454" i="4"/>
  <c r="BF454" i="4"/>
  <c r="BH454" i="4"/>
  <c r="CI465" i="4"/>
  <c r="W465" i="4"/>
  <c r="AD465" i="4"/>
  <c r="AS465" i="4"/>
  <c r="BG465" i="4"/>
  <c r="AO465" i="4"/>
  <c r="BP465" i="4"/>
  <c r="CC465" i="4"/>
  <c r="BX465" i="4"/>
  <c r="BF465" i="4"/>
  <c r="L465" i="4"/>
  <c r="AK476" i="4"/>
  <c r="AZ476" i="4"/>
  <c r="BO476" i="4"/>
  <c r="BU476" i="4"/>
  <c r="BK476" i="4"/>
  <c r="BV476" i="4"/>
  <c r="X476" i="4"/>
  <c r="CH476" i="4"/>
  <c r="AF476" i="4"/>
  <c r="M476" i="4"/>
  <c r="AO454" i="4"/>
  <c r="AV454" i="4"/>
  <c r="BC454" i="4"/>
  <c r="BQ454" i="4"/>
  <c r="BO454" i="4"/>
  <c r="BJ454" i="4"/>
  <c r="CM454" i="4"/>
  <c r="Z454" i="4"/>
  <c r="CF454" i="4"/>
  <c r="N454" i="4"/>
  <c r="U465" i="4"/>
  <c r="AB465" i="4"/>
  <c r="AB476" i="4"/>
  <c r="Z476" i="4"/>
  <c r="CJ454" i="4"/>
  <c r="CD454" i="4"/>
  <c r="AL454" i="4"/>
  <c r="AC454" i="4"/>
  <c r="CA465" i="4"/>
  <c r="CH465" i="4"/>
  <c r="V465" i="4"/>
  <c r="AK465" i="4"/>
  <c r="AY465" i="4"/>
  <c r="Y465" i="4"/>
  <c r="AZ465" i="4"/>
  <c r="BM465" i="4"/>
  <c r="AF465" i="4"/>
  <c r="AV465" i="4"/>
  <c r="CO476" i="4"/>
  <c r="AC476" i="4"/>
  <c r="AR476" i="4"/>
  <c r="BG476" i="4"/>
  <c r="BM476" i="4"/>
  <c r="AU476" i="4"/>
  <c r="BF476" i="4"/>
  <c r="CI476" i="4"/>
  <c r="AV476" i="4"/>
  <c r="V476" i="4"/>
  <c r="L476" i="4"/>
  <c r="AG454" i="4"/>
  <c r="AN454" i="4"/>
  <c r="AU454" i="4"/>
  <c r="BI454" i="4"/>
  <c r="AY454" i="4"/>
  <c r="AT454" i="4"/>
  <c r="BW454" i="4"/>
  <c r="BP454" i="4"/>
  <c r="AZ454" i="4"/>
  <c r="P454" i="4"/>
  <c r="CG465" i="4"/>
  <c r="T465" i="4"/>
  <c r="CN476" i="4"/>
  <c r="AL476" i="4"/>
  <c r="X454" i="4"/>
  <c r="CN454" i="4"/>
  <c r="CA454" i="4"/>
  <c r="BS465" i="4"/>
  <c r="BZ465" i="4"/>
  <c r="CO465" i="4"/>
  <c r="AC465" i="4"/>
  <c r="AQ465" i="4"/>
  <c r="CJ465" i="4"/>
  <c r="AJ465" i="4"/>
  <c r="AW465" i="4"/>
  <c r="BV465" i="4"/>
  <c r="R465" i="4"/>
  <c r="CG476" i="4"/>
  <c r="U476" i="4"/>
  <c r="AJ476" i="4"/>
  <c r="AY476" i="4"/>
  <c r="BE476" i="4"/>
  <c r="AE476" i="4"/>
  <c r="AP476" i="4"/>
  <c r="BS476" i="4"/>
  <c r="CD476" i="4"/>
  <c r="BR476" i="4"/>
  <c r="CK454" i="4"/>
  <c r="Y454" i="4"/>
  <c r="AF454" i="4"/>
  <c r="AM454" i="4"/>
  <c r="BA454" i="4"/>
  <c r="AI454" i="4"/>
  <c r="AD454" i="4"/>
  <c r="BG454" i="4"/>
  <c r="V454" i="4"/>
  <c r="AP454" i="4"/>
  <c r="O454" i="4"/>
  <c r="BK465" i="4"/>
  <c r="BT465" i="4"/>
  <c r="BY476" i="4"/>
  <c r="AW476" i="4"/>
  <c r="BC476" i="4"/>
  <c r="CC454" i="4"/>
  <c r="AE454" i="4"/>
  <c r="AQ454" i="4"/>
  <c r="BT454" i="4"/>
  <c r="BB454" i="4"/>
  <c r="BC465" i="4"/>
  <c r="BJ465" i="4"/>
  <c r="BY465" i="4"/>
  <c r="CM465" i="4"/>
  <c r="AA465" i="4"/>
  <c r="BD465" i="4"/>
  <c r="CD465" i="4"/>
  <c r="CL465" i="4"/>
  <c r="BL465" i="4"/>
  <c r="O465" i="4"/>
  <c r="BQ476" i="4"/>
  <c r="CF476" i="4"/>
  <c r="T476" i="4"/>
  <c r="AI476" i="4"/>
  <c r="AO476" i="4"/>
  <c r="BJ476" i="4"/>
  <c r="CJ476" i="4"/>
  <c r="AM476" i="4"/>
  <c r="CB476" i="4"/>
  <c r="Q476" i="4"/>
  <c r="BU454" i="4"/>
  <c r="CB454" i="4"/>
  <c r="CI454" i="4"/>
  <c r="W454" i="4"/>
  <c r="AK454" i="4"/>
  <c r="BN454" i="4"/>
  <c r="BX454" i="4"/>
  <c r="AA454" i="4"/>
  <c r="T454" i="4"/>
  <c r="R454" i="4"/>
  <c r="AU465" i="4"/>
  <c r="BB465" i="4"/>
  <c r="BQ465" i="4"/>
  <c r="CE465" i="4"/>
  <c r="CK465" i="4"/>
  <c r="AN465" i="4"/>
  <c r="BN465" i="4"/>
  <c r="AR465" i="4"/>
  <c r="Z465" i="4"/>
  <c r="N465" i="4"/>
  <c r="BI476" i="4"/>
  <c r="BX476" i="4"/>
  <c r="CM476" i="4"/>
  <c r="AA476" i="4"/>
  <c r="AG476" i="4"/>
  <c r="AT476" i="4"/>
  <c r="BT476" i="4"/>
  <c r="W476" i="4"/>
  <c r="AH476" i="4"/>
  <c r="P476" i="4"/>
  <c r="BM454" i="4"/>
  <c r="CO454" i="4"/>
  <c r="BV454" i="4"/>
  <c r="Q454" i="4"/>
  <c r="AM465" i="4"/>
  <c r="AT465" i="4"/>
  <c r="BI465" i="4"/>
  <c r="BW465" i="4"/>
  <c r="BU465" i="4"/>
  <c r="X465" i="4"/>
  <c r="AX465" i="4"/>
  <c r="CB465" i="4"/>
  <c r="CN465" i="4"/>
  <c r="P465" i="4"/>
  <c r="BA476" i="4"/>
  <c r="BP476" i="4"/>
  <c r="CE476" i="4"/>
  <c r="CK476" i="4"/>
  <c r="Y476" i="4"/>
  <c r="AD476" i="4"/>
  <c r="BD476" i="4"/>
  <c r="BB476" i="4"/>
  <c r="BN476" i="4"/>
  <c r="O476" i="4"/>
  <c r="BE454" i="4"/>
  <c r="BL454" i="4"/>
  <c r="BS454" i="4"/>
  <c r="CG454" i="4"/>
  <c r="U454" i="4"/>
  <c r="AH454" i="4"/>
  <c r="AR454" i="4"/>
  <c r="AJ454" i="4"/>
  <c r="CL454" i="4"/>
  <c r="M454" i="4"/>
  <c r="AX454" i="4"/>
  <c r="S465" i="4"/>
  <c r="S454" i="4"/>
  <c r="S476" i="4"/>
  <c r="E324" i="3"/>
  <c r="M40" i="3"/>
  <c r="N40" i="3" s="1"/>
  <c r="O40" i="3" l="1"/>
  <c r="E220" i="4"/>
  <c r="E325" i="3"/>
  <c r="E323" i="3"/>
  <c r="E322" i="3"/>
  <c r="E578" i="3"/>
  <c r="E577" i="3"/>
  <c r="E572" i="3"/>
  <c r="E571" i="3"/>
  <c r="P40" i="3" l="1"/>
  <c r="Q40" i="3" s="1"/>
  <c r="R40" i="3" s="1"/>
  <c r="S40" i="3" s="1"/>
  <c r="T40" i="3"/>
  <c r="U40" i="3" s="1"/>
  <c r="V40" i="3" s="1"/>
  <c r="W40" i="3" s="1"/>
  <c r="X40" i="3" s="1"/>
  <c r="Y40" i="3" s="1"/>
  <c r="Z40" i="3" s="1"/>
  <c r="AA40" i="3" s="1"/>
  <c r="L59" i="3"/>
  <c r="L58" i="3"/>
  <c r="E42" i="70" s="1"/>
  <c r="E218" i="4"/>
  <c r="E219" i="4"/>
  <c r="E326" i="3"/>
  <c r="E580" i="3"/>
  <c r="C18" i="15"/>
  <c r="C12" i="15"/>
  <c r="G48" i="70" l="1"/>
  <c r="E101" i="4"/>
  <c r="E360" i="3"/>
  <c r="G1139" i="4"/>
  <c r="G1138" i="4"/>
  <c r="G50" i="70" l="1"/>
  <c r="E438" i="3" s="1"/>
  <c r="E650" i="4" s="1"/>
  <c r="E666" i="4" s="1"/>
  <c r="E670" i="4" s="1"/>
  <c r="F666" i="4" s="1"/>
  <c r="E442" i="4"/>
  <c r="G450" i="4"/>
  <c r="G449" i="4"/>
  <c r="G448" i="4"/>
  <c r="G447" i="4"/>
  <c r="G446" i="4"/>
  <c r="G445" i="4"/>
  <c r="G444" i="4"/>
  <c r="E372" i="4"/>
  <c r="G379" i="4"/>
  <c r="G378" i="4"/>
  <c r="G377" i="4"/>
  <c r="G376" i="4"/>
  <c r="G375" i="4"/>
  <c r="G374" i="4"/>
  <c r="G272" i="4"/>
  <c r="E674" i="4" l="1"/>
  <c r="F128" i="71" s="1"/>
  <c r="G128" i="71" s="1"/>
  <c r="E496" i="3" s="1"/>
  <c r="E809" i="4" s="1"/>
  <c r="E841" i="4" s="1"/>
  <c r="F669" i="4"/>
  <c r="F667" i="4"/>
  <c r="F668" i="4"/>
  <c r="CN373" i="4"/>
  <c r="CJ373" i="4"/>
  <c r="CF373" i="4"/>
  <c r="CB373" i="4"/>
  <c r="BX373" i="4"/>
  <c r="BT373" i="4"/>
  <c r="BP373" i="4"/>
  <c r="BL373" i="4"/>
  <c r="BH373" i="4"/>
  <c r="BD373" i="4"/>
  <c r="AZ373" i="4"/>
  <c r="AV373" i="4"/>
  <c r="AR373" i="4"/>
  <c r="AN373" i="4"/>
  <c r="AJ373" i="4"/>
  <c r="AF373" i="4"/>
  <c r="AB373" i="4"/>
  <c r="X373" i="4"/>
  <c r="T373" i="4"/>
  <c r="Q373" i="4"/>
  <c r="M373" i="4"/>
  <c r="CM373" i="4"/>
  <c r="CI373" i="4"/>
  <c r="CE373" i="4"/>
  <c r="CA373" i="4"/>
  <c r="BW373" i="4"/>
  <c r="BS373" i="4"/>
  <c r="BO373" i="4"/>
  <c r="BK373" i="4"/>
  <c r="BG373" i="4"/>
  <c r="BC373" i="4"/>
  <c r="AY373" i="4"/>
  <c r="AU373" i="4"/>
  <c r="AQ373" i="4"/>
  <c r="AM373" i="4"/>
  <c r="AI373" i="4"/>
  <c r="AE373" i="4"/>
  <c r="AA373" i="4"/>
  <c r="W373" i="4"/>
  <c r="S373" i="4"/>
  <c r="CL373" i="4"/>
  <c r="CD373" i="4"/>
  <c r="BV373" i="4"/>
  <c r="BN373" i="4"/>
  <c r="BF373" i="4"/>
  <c r="AX373" i="4"/>
  <c r="AP373" i="4"/>
  <c r="AH373" i="4"/>
  <c r="Z373" i="4"/>
  <c r="L373" i="4"/>
  <c r="CK373" i="4"/>
  <c r="BU373" i="4"/>
  <c r="BM373" i="4"/>
  <c r="AO373" i="4"/>
  <c r="Y373" i="4"/>
  <c r="CH373" i="4"/>
  <c r="BR373" i="4"/>
  <c r="BB373" i="4"/>
  <c r="AL373" i="4"/>
  <c r="V373" i="4"/>
  <c r="O373" i="4"/>
  <c r="CC373" i="4"/>
  <c r="BE373" i="4"/>
  <c r="AW373" i="4"/>
  <c r="AG373" i="4"/>
  <c r="P373" i="4"/>
  <c r="BZ373" i="4"/>
  <c r="BJ373" i="4"/>
  <c r="AT373" i="4"/>
  <c r="AD373" i="4"/>
  <c r="CG373" i="4"/>
  <c r="BA373" i="4"/>
  <c r="U373" i="4"/>
  <c r="AS373" i="4"/>
  <c r="BQ373" i="4"/>
  <c r="AK373" i="4"/>
  <c r="CO373" i="4"/>
  <c r="AC373" i="4"/>
  <c r="BY373" i="4"/>
  <c r="N373" i="4"/>
  <c r="BI373" i="4"/>
  <c r="R373" i="4"/>
  <c r="CN443" i="4"/>
  <c r="CJ443" i="4"/>
  <c r="CF443" i="4"/>
  <c r="CB443" i="4"/>
  <c r="BX443" i="4"/>
  <c r="BT443" i="4"/>
  <c r="BP443" i="4"/>
  <c r="BL443" i="4"/>
  <c r="BH443" i="4"/>
  <c r="BD443" i="4"/>
  <c r="AZ443" i="4"/>
  <c r="AV443" i="4"/>
  <c r="AR443" i="4"/>
  <c r="AN443" i="4"/>
  <c r="AJ443" i="4"/>
  <c r="AF443" i="4"/>
  <c r="AB443" i="4"/>
  <c r="X443" i="4"/>
  <c r="T443" i="4"/>
  <c r="CM443" i="4"/>
  <c r="CI443" i="4"/>
  <c r="CE443" i="4"/>
  <c r="CA443" i="4"/>
  <c r="BW443" i="4"/>
  <c r="BS443" i="4"/>
  <c r="BO443" i="4"/>
  <c r="BK443" i="4"/>
  <c r="BG443" i="4"/>
  <c r="BC443" i="4"/>
  <c r="AY443" i="4"/>
  <c r="AU443" i="4"/>
  <c r="AQ443" i="4"/>
  <c r="AM443" i="4"/>
  <c r="AI443" i="4"/>
  <c r="AE443" i="4"/>
  <c r="AA443" i="4"/>
  <c r="W443" i="4"/>
  <c r="CO443" i="4"/>
  <c r="CG443" i="4"/>
  <c r="BY443" i="4"/>
  <c r="BQ443" i="4"/>
  <c r="BI443" i="4"/>
  <c r="BA443" i="4"/>
  <c r="AS443" i="4"/>
  <c r="AK443" i="4"/>
  <c r="AC443" i="4"/>
  <c r="U443" i="4"/>
  <c r="CL443" i="4"/>
  <c r="CD443" i="4"/>
  <c r="BV443" i="4"/>
  <c r="BN443" i="4"/>
  <c r="BF443" i="4"/>
  <c r="AX443" i="4"/>
  <c r="AP443" i="4"/>
  <c r="AH443" i="4"/>
  <c r="Z443" i="4"/>
  <c r="CK443" i="4"/>
  <c r="BU443" i="4"/>
  <c r="BE443" i="4"/>
  <c r="AO443" i="4"/>
  <c r="Y443" i="4"/>
  <c r="CH443" i="4"/>
  <c r="BM443" i="4"/>
  <c r="AT443" i="4"/>
  <c r="V443" i="4"/>
  <c r="CC443" i="4"/>
  <c r="BJ443" i="4"/>
  <c r="AL443" i="4"/>
  <c r="BZ443" i="4"/>
  <c r="AG443" i="4"/>
  <c r="P443" i="4"/>
  <c r="L443" i="4"/>
  <c r="BR443" i="4"/>
  <c r="AD443" i="4"/>
  <c r="O443" i="4"/>
  <c r="BB443" i="4"/>
  <c r="R443" i="4"/>
  <c r="AW443" i="4"/>
  <c r="Q443" i="4"/>
  <c r="M443" i="4"/>
  <c r="N443" i="4"/>
  <c r="S443" i="4"/>
  <c r="G705" i="4"/>
  <c r="G704" i="4"/>
  <c r="G707" i="4"/>
  <c r="E24" i="3"/>
  <c r="I14" i="62" l="1"/>
  <c r="I16" i="62" s="1"/>
  <c r="G1462" i="4"/>
  <c r="G1463" i="4"/>
  <c r="G1464" i="4"/>
  <c r="G1471" i="4"/>
  <c r="G1472" i="4"/>
  <c r="G1473" i="4"/>
  <c r="G1474" i="4"/>
  <c r="G1475" i="4"/>
  <c r="G1480" i="4"/>
  <c r="G1481" i="4"/>
  <c r="G1505" i="4"/>
  <c r="G1506" i="4"/>
  <c r="G1515" i="4"/>
  <c r="G1516" i="4"/>
  <c r="G1525" i="4"/>
  <c r="G1526" i="4"/>
  <c r="G1527" i="4"/>
  <c r="G1348" i="4"/>
  <c r="G1349" i="4"/>
  <c r="G1350" i="4"/>
  <c r="G1351" i="4"/>
  <c r="E1359" i="4"/>
  <c r="E1360" i="4"/>
  <c r="E1361" i="4"/>
  <c r="E1364" i="4"/>
  <c r="E1370" i="4"/>
  <c r="E1371" i="4"/>
  <c r="G1385" i="4"/>
  <c r="G1386" i="4"/>
  <c r="G1387" i="4"/>
  <c r="G1388" i="4"/>
  <c r="G1393" i="4"/>
  <c r="G1395" i="4"/>
  <c r="G1398" i="4"/>
  <c r="G1402" i="4"/>
  <c r="G1411" i="4"/>
  <c r="G1412" i="4"/>
  <c r="G1421" i="4"/>
  <c r="G1422" i="4"/>
  <c r="G1423" i="4"/>
  <c r="G1424" i="4"/>
  <c r="G1425" i="4"/>
  <c r="G1430" i="4"/>
  <c r="G1436" i="4"/>
  <c r="G1440" i="4"/>
  <c r="G1449" i="4"/>
  <c r="G1450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4" i="4"/>
  <c r="G1335" i="4"/>
  <c r="G1336" i="4"/>
  <c r="G1337" i="4"/>
  <c r="G1338" i="4"/>
  <c r="G1339" i="4"/>
  <c r="G1340" i="4"/>
  <c r="G1341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3" i="4"/>
  <c r="G1118" i="4" l="1"/>
  <c r="G1119" i="4"/>
  <c r="G1126" i="4"/>
  <c r="G1127" i="4"/>
  <c r="G1128" i="4"/>
  <c r="G1130" i="4"/>
  <c r="G1132" i="4"/>
  <c r="G1133" i="4"/>
  <c r="G1143" i="4"/>
  <c r="G1144" i="4"/>
  <c r="G1145" i="4"/>
  <c r="G1152" i="4"/>
  <c r="G1162" i="4"/>
  <c r="G1163" i="4"/>
  <c r="G1164" i="4"/>
  <c r="G1165" i="4"/>
  <c r="G1168" i="4"/>
  <c r="G1169" i="4"/>
  <c r="G1170" i="4"/>
  <c r="G1178" i="4"/>
  <c r="G1179" i="4"/>
  <c r="G1180" i="4"/>
  <c r="G1181" i="4"/>
  <c r="G1188" i="4"/>
  <c r="G1189" i="4"/>
  <c r="G1190" i="4"/>
  <c r="G1193" i="4"/>
  <c r="G1194" i="4"/>
  <c r="E1195" i="4"/>
  <c r="G1196" i="4"/>
  <c r="G1197" i="4"/>
  <c r="G1198" i="4"/>
  <c r="G1201" i="4"/>
  <c r="G1202" i="4"/>
  <c r="E1203" i="4"/>
  <c r="E1204" i="4"/>
  <c r="G1206" i="4"/>
  <c r="G1207" i="4"/>
  <c r="G1212" i="4"/>
  <c r="G1213" i="4"/>
  <c r="G1214" i="4"/>
  <c r="G1215" i="4"/>
  <c r="G1218" i="4"/>
  <c r="G1219" i="4"/>
  <c r="G1220" i="4"/>
  <c r="G1221" i="4"/>
  <c r="G1224" i="4"/>
  <c r="G1225" i="4"/>
  <c r="G1226" i="4"/>
  <c r="G1234" i="4"/>
  <c r="G1235" i="4"/>
  <c r="G1236" i="4"/>
  <c r="G1240" i="4"/>
  <c r="G1241" i="4"/>
  <c r="G1250" i="4"/>
  <c r="G1251" i="4"/>
  <c r="G1252" i="4"/>
  <c r="G1253" i="4"/>
  <c r="G1254" i="4"/>
  <c r="G1255" i="4"/>
  <c r="G1257" i="4"/>
  <c r="G1261" i="4"/>
  <c r="G1262" i="4"/>
  <c r="G1263" i="4"/>
  <c r="G1264" i="4"/>
  <c r="G1265" i="4"/>
  <c r="G1266" i="4"/>
  <c r="G1271" i="4"/>
  <c r="G1272" i="4"/>
  <c r="G1274" i="4"/>
  <c r="G1275" i="4"/>
  <c r="G1276" i="4"/>
  <c r="G1281" i="4"/>
  <c r="G1282" i="4"/>
  <c r="G1283" i="4"/>
  <c r="G1284" i="4"/>
  <c r="G1285" i="4"/>
  <c r="G1286" i="4"/>
  <c r="G1033" i="4"/>
  <c r="G1034" i="4"/>
  <c r="G1035" i="4"/>
  <c r="G1037" i="4"/>
  <c r="G1038" i="4"/>
  <c r="G1045" i="4"/>
  <c r="G1046" i="4"/>
  <c r="G1047" i="4"/>
  <c r="G1048" i="4"/>
  <c r="G1049" i="4"/>
  <c r="G1069" i="4"/>
  <c r="G1070" i="4"/>
  <c r="G1071" i="4"/>
  <c r="G1072" i="4"/>
  <c r="G1073" i="4"/>
  <c r="G1074" i="4"/>
  <c r="G1075" i="4"/>
  <c r="G1076" i="4"/>
  <c r="G1077" i="4"/>
  <c r="E1079" i="4"/>
  <c r="G1081" i="4"/>
  <c r="G1082" i="4"/>
  <c r="G1083" i="4"/>
  <c r="G1084" i="4"/>
  <c r="G1088" i="4"/>
  <c r="G1089" i="4"/>
  <c r="G1090" i="4"/>
  <c r="G1091" i="4"/>
  <c r="G1093" i="4"/>
  <c r="E1095" i="4"/>
  <c r="G1100" i="4"/>
  <c r="G1101" i="4"/>
  <c r="G1103" i="4"/>
  <c r="E1104" i="4"/>
  <c r="G1104" i="4"/>
  <c r="G1105" i="4"/>
  <c r="E1003" i="4"/>
  <c r="G1004" i="4"/>
  <c r="G1005" i="4"/>
  <c r="G1006" i="4"/>
  <c r="G1007" i="4"/>
  <c r="G1008" i="4"/>
  <c r="E1011" i="4"/>
  <c r="G1012" i="4"/>
  <c r="G1013" i="4"/>
  <c r="G1014" i="4"/>
  <c r="G1015" i="4"/>
  <c r="G1016" i="4"/>
  <c r="E1019" i="4"/>
  <c r="G1020" i="4"/>
  <c r="G1021" i="4"/>
  <c r="G1022" i="4"/>
  <c r="G1023" i="4"/>
  <c r="G1024" i="4"/>
  <c r="G1027" i="4"/>
  <c r="G1028" i="4"/>
  <c r="G988" i="4"/>
  <c r="G991" i="4"/>
  <c r="G992" i="4"/>
  <c r="G994" i="4"/>
  <c r="G984" i="4"/>
  <c r="G970" i="4"/>
  <c r="G972" i="4"/>
  <c r="G974" i="4"/>
  <c r="G759" i="4"/>
  <c r="G761" i="4"/>
  <c r="G268" i="4"/>
  <c r="G269" i="4"/>
  <c r="G276" i="4"/>
  <c r="G279" i="4"/>
  <c r="G280" i="4"/>
  <c r="G289" i="4"/>
  <c r="G260" i="4"/>
  <c r="G294" i="4"/>
  <c r="G295" i="4"/>
  <c r="G296" i="4"/>
  <c r="G297" i="4"/>
  <c r="G298" i="4"/>
  <c r="G299" i="4"/>
  <c r="G302" i="4"/>
  <c r="G303" i="4"/>
  <c r="G304" i="4"/>
  <c r="G305" i="4"/>
  <c r="G306" i="4"/>
  <c r="G307" i="4"/>
  <c r="G320" i="4"/>
  <c r="G321" i="4"/>
  <c r="G330" i="4"/>
  <c r="G331" i="4"/>
  <c r="G332" i="4"/>
  <c r="G334" i="4"/>
  <c r="E352" i="4"/>
  <c r="G354" i="4"/>
  <c r="G355" i="4"/>
  <c r="G356" i="4"/>
  <c r="G357" i="4"/>
  <c r="G358" i="4"/>
  <c r="G359" i="4"/>
  <c r="E362" i="4"/>
  <c r="G364" i="4"/>
  <c r="G365" i="4"/>
  <c r="G366" i="4"/>
  <c r="G367" i="4"/>
  <c r="G368" i="4"/>
  <c r="G369" i="4"/>
  <c r="G404" i="4"/>
  <c r="G405" i="4"/>
  <c r="G406" i="4"/>
  <c r="G407" i="4"/>
  <c r="G408" i="4"/>
  <c r="G409" i="4"/>
  <c r="E420" i="4"/>
  <c r="G422" i="4"/>
  <c r="G423" i="4"/>
  <c r="G424" i="4"/>
  <c r="G425" i="4"/>
  <c r="G426" i="4"/>
  <c r="G427" i="4"/>
  <c r="G428" i="4"/>
  <c r="E431" i="4"/>
  <c r="G433" i="4"/>
  <c r="G434" i="4"/>
  <c r="E435" i="4"/>
  <c r="G435" i="4"/>
  <c r="G436" i="4"/>
  <c r="G437" i="4"/>
  <c r="G438" i="4"/>
  <c r="G439" i="4"/>
  <c r="G477" i="4"/>
  <c r="G478" i="4"/>
  <c r="G479" i="4"/>
  <c r="G480" i="4"/>
  <c r="G481" i="4"/>
  <c r="G482" i="4"/>
  <c r="G483" i="4"/>
  <c r="G488" i="4"/>
  <c r="G489" i="4"/>
  <c r="G490" i="4"/>
  <c r="G491" i="4"/>
  <c r="G494" i="4"/>
  <c r="G495" i="4"/>
  <c r="G499" i="4"/>
  <c r="G500" i="4"/>
  <c r="G501" i="4"/>
  <c r="G502" i="4"/>
  <c r="L435" i="4" l="1"/>
  <c r="CL353" i="4"/>
  <c r="CH353" i="4"/>
  <c r="CD353" i="4"/>
  <c r="BZ353" i="4"/>
  <c r="BV353" i="4"/>
  <c r="BR353" i="4"/>
  <c r="BN353" i="4"/>
  <c r="BJ353" i="4"/>
  <c r="BF353" i="4"/>
  <c r="BB353" i="4"/>
  <c r="AX353" i="4"/>
  <c r="AT353" i="4"/>
  <c r="AP353" i="4"/>
  <c r="AL353" i="4"/>
  <c r="AH353" i="4"/>
  <c r="AD353" i="4"/>
  <c r="Z353" i="4"/>
  <c r="V353" i="4"/>
  <c r="O353" i="4"/>
  <c r="CO353" i="4"/>
  <c r="CK353" i="4"/>
  <c r="CG353" i="4"/>
  <c r="CJ353" i="4"/>
  <c r="CC353" i="4"/>
  <c r="BX353" i="4"/>
  <c r="BS353" i="4"/>
  <c r="BM353" i="4"/>
  <c r="BH353" i="4"/>
  <c r="BC353" i="4"/>
  <c r="AW353" i="4"/>
  <c r="AR353" i="4"/>
  <c r="AM353" i="4"/>
  <c r="AG353" i="4"/>
  <c r="AB353" i="4"/>
  <c r="W353" i="4"/>
  <c r="P353" i="4"/>
  <c r="CI353" i="4"/>
  <c r="BW353" i="4"/>
  <c r="BQ353" i="4"/>
  <c r="BG353" i="4"/>
  <c r="BA353" i="4"/>
  <c r="AQ353" i="4"/>
  <c r="AK353" i="4"/>
  <c r="AF353" i="4"/>
  <c r="AA353" i="4"/>
  <c r="U353" i="4"/>
  <c r="CF353" i="4"/>
  <c r="BU353" i="4"/>
  <c r="BK353" i="4"/>
  <c r="AZ353" i="4"/>
  <c r="AJ353" i="4"/>
  <c r="Y353" i="4"/>
  <c r="T353" i="4"/>
  <c r="CB353" i="4"/>
  <c r="BL353" i="4"/>
  <c r="AV353" i="4"/>
  <c r="N353" i="4"/>
  <c r="CN353" i="4"/>
  <c r="CA353" i="4"/>
  <c r="BP353" i="4"/>
  <c r="BE353" i="4"/>
  <c r="AU353" i="4"/>
  <c r="AO353" i="4"/>
  <c r="AE353" i="4"/>
  <c r="M353" i="4"/>
  <c r="BY353" i="4"/>
  <c r="BD353" i="4"/>
  <c r="AI353" i="4"/>
  <c r="BT353" i="4"/>
  <c r="AY353" i="4"/>
  <c r="AC353" i="4"/>
  <c r="Q353" i="4"/>
  <c r="CM353" i="4"/>
  <c r="AS353" i="4"/>
  <c r="X353" i="4"/>
  <c r="L353" i="4"/>
  <c r="BI353" i="4"/>
  <c r="S353" i="4"/>
  <c r="BO353" i="4"/>
  <c r="CE353" i="4"/>
  <c r="AN353" i="4"/>
  <c r="CM363" i="4"/>
  <c r="CI363" i="4"/>
  <c r="CE363" i="4"/>
  <c r="CA363" i="4"/>
  <c r="BW363" i="4"/>
  <c r="BS363" i="4"/>
  <c r="BO363" i="4"/>
  <c r="BK363" i="4"/>
  <c r="BG363" i="4"/>
  <c r="BC363" i="4"/>
  <c r="AY363" i="4"/>
  <c r="AU363" i="4"/>
  <c r="AQ363" i="4"/>
  <c r="AM363" i="4"/>
  <c r="AI363" i="4"/>
  <c r="AE363" i="4"/>
  <c r="AA363" i="4"/>
  <c r="W363" i="4"/>
  <c r="S363" i="4"/>
  <c r="P363" i="4"/>
  <c r="L363" i="4"/>
  <c r="CL363" i="4"/>
  <c r="CH363" i="4"/>
  <c r="CD363" i="4"/>
  <c r="BZ363" i="4"/>
  <c r="BV363" i="4"/>
  <c r="BR363" i="4"/>
  <c r="BN363" i="4"/>
  <c r="BJ363" i="4"/>
  <c r="BF363" i="4"/>
  <c r="BB363" i="4"/>
  <c r="AX363" i="4"/>
  <c r="AT363" i="4"/>
  <c r="AP363" i="4"/>
  <c r="AL363" i="4"/>
  <c r="AH363" i="4"/>
  <c r="AD363" i="4"/>
  <c r="Z363" i="4"/>
  <c r="V363" i="4"/>
  <c r="CO363" i="4"/>
  <c r="CG363" i="4"/>
  <c r="BY363" i="4"/>
  <c r="BQ363" i="4"/>
  <c r="BI363" i="4"/>
  <c r="BA363" i="4"/>
  <c r="AS363" i="4"/>
  <c r="AK363" i="4"/>
  <c r="AC363" i="4"/>
  <c r="U363" i="4"/>
  <c r="N363" i="4"/>
  <c r="CF363" i="4"/>
  <c r="BX363" i="4"/>
  <c r="BP363" i="4"/>
  <c r="BH363" i="4"/>
  <c r="AR363" i="4"/>
  <c r="AJ363" i="4"/>
  <c r="AB363" i="4"/>
  <c r="CC363" i="4"/>
  <c r="BM363" i="4"/>
  <c r="AW363" i="4"/>
  <c r="AO363" i="4"/>
  <c r="Y363" i="4"/>
  <c r="CN363" i="4"/>
  <c r="AZ363" i="4"/>
  <c r="T363" i="4"/>
  <c r="M363" i="4"/>
  <c r="CK363" i="4"/>
  <c r="BU363" i="4"/>
  <c r="BE363" i="4"/>
  <c r="AG363" i="4"/>
  <c r="Q363" i="4"/>
  <c r="BL363" i="4"/>
  <c r="AF363" i="4"/>
  <c r="CJ363" i="4"/>
  <c r="BD363" i="4"/>
  <c r="AV363" i="4"/>
  <c r="AN363" i="4"/>
  <c r="X363" i="4"/>
  <c r="CB363" i="4"/>
  <c r="BT363" i="4"/>
  <c r="O363" i="4"/>
  <c r="CM432" i="4"/>
  <c r="CI432" i="4"/>
  <c r="CE432" i="4"/>
  <c r="CA432" i="4"/>
  <c r="BW432" i="4"/>
  <c r="BS432" i="4"/>
  <c r="BO432" i="4"/>
  <c r="BK432" i="4"/>
  <c r="BG432" i="4"/>
  <c r="BC432" i="4"/>
  <c r="AY432" i="4"/>
  <c r="AU432" i="4"/>
  <c r="AQ432" i="4"/>
  <c r="AM432" i="4"/>
  <c r="AI432" i="4"/>
  <c r="AE432" i="4"/>
  <c r="AA432" i="4"/>
  <c r="W432" i="4"/>
  <c r="CL432" i="4"/>
  <c r="CH432" i="4"/>
  <c r="CD432" i="4"/>
  <c r="BZ432" i="4"/>
  <c r="BV432" i="4"/>
  <c r="BR432" i="4"/>
  <c r="BN432" i="4"/>
  <c r="BJ432" i="4"/>
  <c r="BF432" i="4"/>
  <c r="BB432" i="4"/>
  <c r="AX432" i="4"/>
  <c r="AT432" i="4"/>
  <c r="AP432" i="4"/>
  <c r="AL432" i="4"/>
  <c r="AH432" i="4"/>
  <c r="AD432" i="4"/>
  <c r="Z432" i="4"/>
  <c r="V432" i="4"/>
  <c r="CJ432" i="4"/>
  <c r="CB432" i="4"/>
  <c r="BT432" i="4"/>
  <c r="CO432" i="4"/>
  <c r="CG432" i="4"/>
  <c r="BY432" i="4"/>
  <c r="BQ432" i="4"/>
  <c r="BI432" i="4"/>
  <c r="BA432" i="4"/>
  <c r="AS432" i="4"/>
  <c r="AK432" i="4"/>
  <c r="AC432" i="4"/>
  <c r="U432" i="4"/>
  <c r="CF432" i="4"/>
  <c r="BP432" i="4"/>
  <c r="BE432" i="4"/>
  <c r="AV432" i="4"/>
  <c r="AJ432" i="4"/>
  <c r="Y432" i="4"/>
  <c r="BX432" i="4"/>
  <c r="BH432" i="4"/>
  <c r="AR432" i="4"/>
  <c r="AF432" i="4"/>
  <c r="CN432" i="4"/>
  <c r="BU432" i="4"/>
  <c r="BD432" i="4"/>
  <c r="AO432" i="4"/>
  <c r="AB432" i="4"/>
  <c r="BM432" i="4"/>
  <c r="AN432" i="4"/>
  <c r="P432" i="4"/>
  <c r="L432" i="4"/>
  <c r="BL432" i="4"/>
  <c r="AG432" i="4"/>
  <c r="O432" i="4"/>
  <c r="CK432" i="4"/>
  <c r="X432" i="4"/>
  <c r="Q432" i="4"/>
  <c r="CC432" i="4"/>
  <c r="T432" i="4"/>
  <c r="N432" i="4"/>
  <c r="AZ432" i="4"/>
  <c r="AW432" i="4"/>
  <c r="R432" i="4"/>
  <c r="M432" i="4"/>
  <c r="R363" i="4"/>
  <c r="CO421" i="4"/>
  <c r="CK421" i="4"/>
  <c r="CG421" i="4"/>
  <c r="CC421" i="4"/>
  <c r="BY421" i="4"/>
  <c r="BU421" i="4"/>
  <c r="BQ421" i="4"/>
  <c r="BM421" i="4"/>
  <c r="BI421" i="4"/>
  <c r="BE421" i="4"/>
  <c r="BA421" i="4"/>
  <c r="AW421" i="4"/>
  <c r="AS421" i="4"/>
  <c r="AO421" i="4"/>
  <c r="AK421" i="4"/>
  <c r="AG421" i="4"/>
  <c r="AC421" i="4"/>
  <c r="Y421" i="4"/>
  <c r="U421" i="4"/>
  <c r="CJ421" i="4"/>
  <c r="CE421" i="4"/>
  <c r="BZ421" i="4"/>
  <c r="BT421" i="4"/>
  <c r="BO421" i="4"/>
  <c r="BJ421" i="4"/>
  <c r="BD421" i="4"/>
  <c r="AY421" i="4"/>
  <c r="AT421" i="4"/>
  <c r="AN421" i="4"/>
  <c r="AI421" i="4"/>
  <c r="AD421" i="4"/>
  <c r="X421" i="4"/>
  <c r="CM421" i="4"/>
  <c r="CF421" i="4"/>
  <c r="BX421" i="4"/>
  <c r="BR421" i="4"/>
  <c r="BK421" i="4"/>
  <c r="BC421" i="4"/>
  <c r="AV421" i="4"/>
  <c r="AP421" i="4"/>
  <c r="AH421" i="4"/>
  <c r="AA421" i="4"/>
  <c r="T421" i="4"/>
  <c r="CL421" i="4"/>
  <c r="CD421" i="4"/>
  <c r="BW421" i="4"/>
  <c r="BP421" i="4"/>
  <c r="BH421" i="4"/>
  <c r="BB421" i="4"/>
  <c r="AU421" i="4"/>
  <c r="AM421" i="4"/>
  <c r="AF421" i="4"/>
  <c r="Z421" i="4"/>
  <c r="CI421" i="4"/>
  <c r="BV421" i="4"/>
  <c r="BG421" i="4"/>
  <c r="AR421" i="4"/>
  <c r="AE421" i="4"/>
  <c r="P421" i="4"/>
  <c r="L421" i="4"/>
  <c r="CH421" i="4"/>
  <c r="BS421" i="4"/>
  <c r="BF421" i="4"/>
  <c r="AQ421" i="4"/>
  <c r="AB421" i="4"/>
  <c r="O421" i="4"/>
  <c r="CB421" i="4"/>
  <c r="AZ421" i="4"/>
  <c r="W421" i="4"/>
  <c r="N421" i="4"/>
  <c r="CA421" i="4"/>
  <c r="AX421" i="4"/>
  <c r="V421" i="4"/>
  <c r="M421" i="4"/>
  <c r="BN421" i="4"/>
  <c r="CN421" i="4"/>
  <c r="BL421" i="4"/>
  <c r="AJ421" i="4"/>
  <c r="AL421" i="4"/>
  <c r="R421" i="4"/>
  <c r="Q421" i="4"/>
  <c r="R353" i="4"/>
  <c r="CM1079" i="4"/>
  <c r="CE1079" i="4"/>
  <c r="BW1079" i="4"/>
  <c r="BO1079" i="4"/>
  <c r="CL1079" i="4"/>
  <c r="CD1079" i="4"/>
  <c r="BV1079" i="4"/>
  <c r="CK1079" i="4"/>
  <c r="CC1079" i="4"/>
  <c r="BU1079" i="4"/>
  <c r="CJ1079" i="4"/>
  <c r="BY1079" i="4"/>
  <c r="CI1079" i="4"/>
  <c r="BX1079" i="4"/>
  <c r="CH1079" i="4"/>
  <c r="BT1079" i="4"/>
  <c r="CG1079" i="4"/>
  <c r="BS1079" i="4"/>
  <c r="CF1079" i="4"/>
  <c r="BR1079" i="4"/>
  <c r="CB1079" i="4"/>
  <c r="BQ1079" i="4"/>
  <c r="CO1079" i="4"/>
  <c r="CN1079" i="4"/>
  <c r="CA1079" i="4"/>
  <c r="BZ1079" i="4"/>
  <c r="BP1079" i="4"/>
  <c r="S432" i="4"/>
  <c r="S421" i="4"/>
  <c r="I1075" i="4"/>
  <c r="E25" i="3" l="1"/>
  <c r="L8" i="72" s="1"/>
  <c r="M7" i="72" l="1"/>
  <c r="L8" i="67"/>
  <c r="M7" i="67" s="1"/>
  <c r="M6" i="67" s="1"/>
  <c r="M58" i="3" s="1"/>
  <c r="E584" i="3"/>
  <c r="E586" i="3" s="1"/>
  <c r="G101" i="11"/>
  <c r="G100" i="11"/>
  <c r="G99" i="11"/>
  <c r="G97" i="11"/>
  <c r="G96" i="11"/>
  <c r="G95" i="11"/>
  <c r="G93" i="11"/>
  <c r="G91" i="11"/>
  <c r="G90" i="11"/>
  <c r="G89" i="11"/>
  <c r="G88" i="11"/>
  <c r="G87" i="11"/>
  <c r="G86" i="11"/>
  <c r="G85" i="11"/>
  <c r="G82" i="11"/>
  <c r="G81" i="11"/>
  <c r="G78" i="11"/>
  <c r="G77" i="11"/>
  <c r="G76" i="11"/>
  <c r="G75" i="11"/>
  <c r="G74" i="11"/>
  <c r="G73" i="11"/>
  <c r="G72" i="11"/>
  <c r="G71" i="11"/>
  <c r="G70" i="11"/>
  <c r="G69" i="11"/>
  <c r="G62" i="11"/>
  <c r="G61" i="11"/>
  <c r="G59" i="11"/>
  <c r="G58" i="11"/>
  <c r="G57" i="11"/>
  <c r="G56" i="11"/>
  <c r="G55" i="11"/>
  <c r="G54" i="11"/>
  <c r="G53" i="11"/>
  <c r="G52" i="11"/>
  <c r="G47" i="11"/>
  <c r="G46" i="11"/>
  <c r="G45" i="11"/>
  <c r="G44" i="11"/>
  <c r="G40" i="11"/>
  <c r="G39" i="11"/>
  <c r="G35" i="11"/>
  <c r="G34" i="11"/>
  <c r="G33" i="11"/>
  <c r="G31" i="11"/>
  <c r="G30" i="11"/>
  <c r="G28" i="11"/>
  <c r="G27" i="11"/>
  <c r="G26" i="11"/>
  <c r="G25" i="11"/>
  <c r="G21" i="11"/>
  <c r="G20" i="11"/>
  <c r="G19" i="11"/>
  <c r="G18" i="11"/>
  <c r="G17" i="11"/>
  <c r="G15" i="11"/>
  <c r="G14" i="11"/>
  <c r="G13" i="11"/>
  <c r="G32" i="2"/>
  <c r="M6" i="72" l="1"/>
  <c r="M8" i="72"/>
  <c r="N7" i="72" s="1"/>
  <c r="M60" i="3"/>
  <c r="M59" i="3"/>
  <c r="M56" i="3"/>
  <c r="M8" i="67"/>
  <c r="N7" i="67" s="1"/>
  <c r="N6" i="67" s="1"/>
  <c r="N58" i="3" s="1"/>
  <c r="E589" i="3"/>
  <c r="E588" i="3"/>
  <c r="E1140" i="4"/>
  <c r="N6" i="72" l="1"/>
  <c r="N8" i="72"/>
  <c r="O7" i="72" s="1"/>
  <c r="N56" i="3"/>
  <c r="N60" i="3"/>
  <c r="N59" i="3"/>
  <c r="N8" i="67"/>
  <c r="O7" i="67" s="1"/>
  <c r="O6" i="67" s="1"/>
  <c r="O58" i="3" s="1"/>
  <c r="E574" i="3"/>
  <c r="E1176" i="4" s="1"/>
  <c r="C1176" i="4" s="1"/>
  <c r="O6" i="72" l="1"/>
  <c r="O8" i="72"/>
  <c r="P7" i="72" s="1"/>
  <c r="O56" i="3"/>
  <c r="O60" i="3"/>
  <c r="O59" i="3"/>
  <c r="O8" i="67"/>
  <c r="P7" i="67" s="1"/>
  <c r="P6" i="67" s="1"/>
  <c r="P58" i="3" s="1"/>
  <c r="B2" i="2"/>
  <c r="P6" i="72" l="1"/>
  <c r="P8" i="72"/>
  <c r="Q7" i="72" s="1"/>
  <c r="P60" i="3"/>
  <c r="P59" i="3"/>
  <c r="P56" i="3"/>
  <c r="P8" i="67"/>
  <c r="Q7" i="67" s="1"/>
  <c r="Q6" i="67" s="1"/>
  <c r="Q58" i="3" s="1"/>
  <c r="L7" i="3"/>
  <c r="B2" i="11"/>
  <c r="B2" i="13"/>
  <c r="B2" i="9"/>
  <c r="B2" i="4"/>
  <c r="B2" i="3"/>
  <c r="B6" i="9"/>
  <c r="Q8" i="72" l="1"/>
  <c r="R7" i="72" s="1"/>
  <c r="Q6" i="72"/>
  <c r="Q60" i="3"/>
  <c r="Q59" i="3"/>
  <c r="Q56" i="3"/>
  <c r="Q8" i="67"/>
  <c r="R7" i="67" s="1"/>
  <c r="R6" i="67" s="1"/>
  <c r="L1392" i="4"/>
  <c r="L86" i="64"/>
  <c r="L87" i="64" s="1"/>
  <c r="L7" i="66"/>
  <c r="L6" i="66" s="1"/>
  <c r="L31" i="62"/>
  <c r="M31" i="62" s="1"/>
  <c r="N31" i="62" s="1"/>
  <c r="O31" i="62" s="1"/>
  <c r="P31" i="62" s="1"/>
  <c r="Q31" i="62" s="1"/>
  <c r="R31" i="62" s="1"/>
  <c r="S31" i="62" s="1"/>
  <c r="T31" i="62" s="1"/>
  <c r="U31" i="62" s="1"/>
  <c r="V31" i="62" s="1"/>
  <c r="W31" i="62" s="1"/>
  <c r="X31" i="62" s="1"/>
  <c r="Y31" i="62" s="1"/>
  <c r="Z31" i="62" s="1"/>
  <c r="AA31" i="62" s="1"/>
  <c r="AB31" i="62" s="1"/>
  <c r="AC31" i="62" s="1"/>
  <c r="AD31" i="62" s="1"/>
  <c r="AE31" i="62" s="1"/>
  <c r="AF31" i="62" s="1"/>
  <c r="AG31" i="62" s="1"/>
  <c r="AH31" i="62" s="1"/>
  <c r="AI31" i="62" s="1"/>
  <c r="AJ31" i="62" s="1"/>
  <c r="AK31" i="62" s="1"/>
  <c r="AL31" i="62" s="1"/>
  <c r="AM31" i="62" s="1"/>
  <c r="AN31" i="62" s="1"/>
  <c r="AO31" i="62" s="1"/>
  <c r="AP31" i="62" s="1"/>
  <c r="AQ31" i="62" s="1"/>
  <c r="AR31" i="62" s="1"/>
  <c r="AS31" i="62" s="1"/>
  <c r="AT31" i="62" s="1"/>
  <c r="AU31" i="62" s="1"/>
  <c r="AV31" i="62" s="1"/>
  <c r="AW31" i="62" s="1"/>
  <c r="AX31" i="62" s="1"/>
  <c r="AY31" i="62" s="1"/>
  <c r="AZ31" i="62" s="1"/>
  <c r="BA31" i="62" s="1"/>
  <c r="BB31" i="62" s="1"/>
  <c r="BC31" i="62" s="1"/>
  <c r="BD31" i="62" s="1"/>
  <c r="BE31" i="62" s="1"/>
  <c r="BF31" i="62" s="1"/>
  <c r="BG31" i="62" s="1"/>
  <c r="BH31" i="62" s="1"/>
  <c r="BI31" i="62" s="1"/>
  <c r="BJ31" i="62" s="1"/>
  <c r="BK31" i="62" s="1"/>
  <c r="BL31" i="62" s="1"/>
  <c r="BM31" i="62" s="1"/>
  <c r="BN31" i="62" s="1"/>
  <c r="BO31" i="62" s="1"/>
  <c r="BP31" i="62" s="1"/>
  <c r="BQ31" i="62" s="1"/>
  <c r="BR31" i="62" s="1"/>
  <c r="BS31" i="62" s="1"/>
  <c r="BT31" i="62" s="1"/>
  <c r="BU31" i="62" s="1"/>
  <c r="BV31" i="62" s="1"/>
  <c r="BW31" i="62" s="1"/>
  <c r="BX31" i="62" s="1"/>
  <c r="BY31" i="62" s="1"/>
  <c r="BZ31" i="62" s="1"/>
  <c r="CA31" i="62" s="1"/>
  <c r="CB31" i="62" s="1"/>
  <c r="CC31" i="62" s="1"/>
  <c r="CD31" i="62" s="1"/>
  <c r="CE31" i="62" s="1"/>
  <c r="CF31" i="62" s="1"/>
  <c r="CG31" i="62" s="1"/>
  <c r="CH31" i="62" s="1"/>
  <c r="CI31" i="62" s="1"/>
  <c r="CJ31" i="62" s="1"/>
  <c r="CK31" i="62" s="1"/>
  <c r="CL31" i="62" s="1"/>
  <c r="CM31" i="62" s="1"/>
  <c r="CN31" i="62" s="1"/>
  <c r="CO31" i="62" s="1"/>
  <c r="L7" i="4"/>
  <c r="L7" i="64"/>
  <c r="L6" i="64" s="1"/>
  <c r="L7" i="62"/>
  <c r="L6" i="62" s="1"/>
  <c r="E590" i="3"/>
  <c r="L6" i="3"/>
  <c r="L6" i="13"/>
  <c r="L7" i="11"/>
  <c r="L6" i="11" s="1"/>
  <c r="L8" i="3"/>
  <c r="R8" i="72" l="1"/>
  <c r="R6" i="72"/>
  <c r="R60" i="3"/>
  <c r="R58" i="3"/>
  <c r="R59" i="3"/>
  <c r="R56" i="3"/>
  <c r="L301" i="3"/>
  <c r="L16" i="4"/>
  <c r="R8" i="67"/>
  <c r="S7" i="67" s="1"/>
  <c r="L218" i="3"/>
  <c r="L355" i="3"/>
  <c r="L329" i="3"/>
  <c r="L217" i="3"/>
  <c r="L184" i="3"/>
  <c r="L297" i="3"/>
  <c r="L357" i="3"/>
  <c r="L296" i="3"/>
  <c r="L298" i="3"/>
  <c r="L240" i="3"/>
  <c r="L356" i="3"/>
  <c r="L300" i="3"/>
  <c r="L216" i="3"/>
  <c r="L331" i="3"/>
  <c r="L330" i="3"/>
  <c r="L299" i="3"/>
  <c r="L242" i="3"/>
  <c r="L185" i="3"/>
  <c r="L241" i="3"/>
  <c r="L186" i="3"/>
  <c r="L1447" i="4"/>
  <c r="L1523" i="4"/>
  <c r="L1524" i="4" s="1"/>
  <c r="L1429" i="4"/>
  <c r="M1392" i="4"/>
  <c r="L314" i="4"/>
  <c r="L8" i="66"/>
  <c r="L28" i="64"/>
  <c r="L30" i="64" s="1"/>
  <c r="L53" i="64" s="1"/>
  <c r="L1409" i="4"/>
  <c r="L28" i="4"/>
  <c r="L8" i="4"/>
  <c r="L29" i="4"/>
  <c r="L30" i="4"/>
  <c r="L6" i="4"/>
  <c r="L15" i="4"/>
  <c r="L1158" i="4"/>
  <c r="L1184" i="4"/>
  <c r="L1156" i="4"/>
  <c r="L1160" i="4"/>
  <c r="L1183" i="4"/>
  <c r="L8" i="62"/>
  <c r="L8" i="64"/>
  <c r="M6" i="13"/>
  <c r="L7" i="13"/>
  <c r="L8" i="11"/>
  <c r="L8" i="13"/>
  <c r="M7" i="3"/>
  <c r="S7" i="72" l="1"/>
  <c r="S8" i="67"/>
  <c r="T7" i="67" s="1"/>
  <c r="S6" i="67"/>
  <c r="S58" i="3" s="1"/>
  <c r="L188" i="4"/>
  <c r="L197" i="4" s="1"/>
  <c r="L58" i="4"/>
  <c r="L57" i="4"/>
  <c r="L1290" i="4" s="1"/>
  <c r="L1128" i="4" s="1"/>
  <c r="L186" i="4"/>
  <c r="L195" i="4" s="1"/>
  <c r="L147" i="4"/>
  <c r="L242" i="4"/>
  <c r="L187" i="4"/>
  <c r="L196" i="4" s="1"/>
  <c r="L145" i="4"/>
  <c r="L122" i="4"/>
  <c r="L146" i="4"/>
  <c r="L220" i="4"/>
  <c r="L225" i="4" s="1"/>
  <c r="L226" i="4" s="1"/>
  <c r="L121" i="4"/>
  <c r="L123" i="4"/>
  <c r="L218" i="4"/>
  <c r="L223" i="4" s="1"/>
  <c r="L183" i="4"/>
  <c r="L192" i="4" s="1"/>
  <c r="L219" i="4"/>
  <c r="L224" i="4" s="1"/>
  <c r="L1129" i="4"/>
  <c r="L134" i="4"/>
  <c r="L184" i="4"/>
  <c r="L193" i="4" s="1"/>
  <c r="L133" i="4"/>
  <c r="L243" i="4"/>
  <c r="L248" i="4" s="1"/>
  <c r="L249" i="4" s="1"/>
  <c r="L185" i="4"/>
  <c r="L194" i="4" s="1"/>
  <c r="L198" i="4" s="1"/>
  <c r="L135" i="4"/>
  <c r="L241" i="4"/>
  <c r="L246" i="4" s="1"/>
  <c r="N1392" i="4"/>
  <c r="M1523" i="4"/>
  <c r="M1524" i="4" s="1"/>
  <c r="M1429" i="4"/>
  <c r="M7" i="66"/>
  <c r="M6" i="66" s="1"/>
  <c r="M86" i="64"/>
  <c r="M87" i="64" s="1"/>
  <c r="L295" i="4"/>
  <c r="L529" i="4"/>
  <c r="L1242" i="4"/>
  <c r="L274" i="4"/>
  <c r="L335" i="4" s="1"/>
  <c r="L1063" i="4" s="1"/>
  <c r="I1063" i="4" s="1"/>
  <c r="L275" i="4"/>
  <c r="L273" i="4"/>
  <c r="L1243" i="4"/>
  <c r="M7" i="4"/>
  <c r="M6" i="4" s="1"/>
  <c r="L54" i="62"/>
  <c r="L1159" i="4"/>
  <c r="L18" i="4"/>
  <c r="L19" i="4"/>
  <c r="L20" i="4" s="1"/>
  <c r="L17" i="4"/>
  <c r="L70" i="4"/>
  <c r="L530" i="4"/>
  <c r="L62" i="4"/>
  <c r="L68" i="4"/>
  <c r="L824" i="4"/>
  <c r="L543" i="4"/>
  <c r="L67" i="4"/>
  <c r="L60" i="4"/>
  <c r="L1151" i="4"/>
  <c r="L1263" i="4"/>
  <c r="L66" i="4"/>
  <c r="L1157" i="4"/>
  <c r="M7" i="62"/>
  <c r="M6" i="62" s="1"/>
  <c r="M7" i="64"/>
  <c r="M6" i="64" s="1"/>
  <c r="M28" i="64" s="1"/>
  <c r="M30" i="64" s="1"/>
  <c r="L54" i="11"/>
  <c r="N6" i="13"/>
  <c r="M8" i="13"/>
  <c r="M7" i="13"/>
  <c r="M7" i="11"/>
  <c r="M6" i="11" s="1"/>
  <c r="M6" i="3"/>
  <c r="M8" i="3"/>
  <c r="S8" i="72" l="1"/>
  <c r="T7" i="72" s="1"/>
  <c r="S6" i="72"/>
  <c r="L1058" i="4"/>
  <c r="T8" i="67"/>
  <c r="U7" i="67" s="1"/>
  <c r="T6" i="67"/>
  <c r="T58" i="3" s="1"/>
  <c r="S59" i="3"/>
  <c r="S60" i="3"/>
  <c r="S56" i="3"/>
  <c r="M301" i="3"/>
  <c r="M16" i="4"/>
  <c r="L15" i="66"/>
  <c r="L32" i="4"/>
  <c r="L39" i="4" s="1"/>
  <c r="L1036" i="4"/>
  <c r="L34" i="4"/>
  <c r="L41" i="4" s="1"/>
  <c r="M329" i="3"/>
  <c r="M218" i="4" s="1"/>
  <c r="M223" i="4" s="1"/>
  <c r="M296" i="3"/>
  <c r="M240" i="3"/>
  <c r="M145" i="4" s="1"/>
  <c r="M216" i="3"/>
  <c r="M298" i="3"/>
  <c r="M218" i="3"/>
  <c r="M241" i="3"/>
  <c r="M356" i="3"/>
  <c r="M242" i="4" s="1"/>
  <c r="M247" i="4" s="1"/>
  <c r="M300" i="3"/>
  <c r="M186" i="3"/>
  <c r="M123" i="4" s="1"/>
  <c r="M331" i="3"/>
  <c r="M357" i="3"/>
  <c r="M184" i="3"/>
  <c r="M121" i="4" s="1"/>
  <c r="M242" i="3"/>
  <c r="M297" i="3"/>
  <c r="M299" i="3"/>
  <c r="M185" i="3"/>
  <c r="M122" i="4" s="1"/>
  <c r="M330" i="3"/>
  <c r="M217" i="3"/>
  <c r="M134" i="4" s="1"/>
  <c r="M1447" i="4"/>
  <c r="L528" i="4"/>
  <c r="M355" i="3"/>
  <c r="L54" i="4"/>
  <c r="L55" i="4" s="1"/>
  <c r="L35" i="4"/>
  <c r="L42" i="4" s="1"/>
  <c r="L37" i="4"/>
  <c r="L44" i="4" s="1"/>
  <c r="L33" i="4"/>
  <c r="L40" i="4" s="1"/>
  <c r="L247" i="4"/>
  <c r="L36" i="4"/>
  <c r="L43" i="4" s="1"/>
  <c r="L22" i="4"/>
  <c r="L642" i="3"/>
  <c r="L1041" i="4" s="1"/>
  <c r="L1042" i="4"/>
  <c r="M8" i="66"/>
  <c r="O1392" i="4"/>
  <c r="N1523" i="4"/>
  <c r="N1524" i="4" s="1"/>
  <c r="N1429" i="4"/>
  <c r="L227" i="4"/>
  <c r="L34" i="66"/>
  <c r="L199" i="4"/>
  <c r="L24" i="4"/>
  <c r="L60" i="62"/>
  <c r="L9" i="66"/>
  <c r="L9" i="3"/>
  <c r="M1183" i="4"/>
  <c r="M1158" i="4"/>
  <c r="M1160" i="4"/>
  <c r="M1156" i="4"/>
  <c r="M1409" i="4"/>
  <c r="M1184" i="4"/>
  <c r="L9" i="4"/>
  <c r="M15" i="4"/>
  <c r="M314" i="4"/>
  <c r="M53" i="64"/>
  <c r="M8" i="4"/>
  <c r="M28" i="4"/>
  <c r="M29" i="4"/>
  <c r="M30" i="4"/>
  <c r="L303" i="4"/>
  <c r="L540" i="4"/>
  <c r="M21" i="4"/>
  <c r="M8" i="64"/>
  <c r="L9" i="62"/>
  <c r="L9" i="64"/>
  <c r="M8" i="62"/>
  <c r="M186" i="4"/>
  <c r="M195" i="4" s="1"/>
  <c r="N7" i="13"/>
  <c r="N8" i="13"/>
  <c r="O6" i="13"/>
  <c r="M8" i="11"/>
  <c r="N7" i="3"/>
  <c r="T8" i="72" l="1"/>
  <c r="U7" i="72" s="1"/>
  <c r="T6" i="72"/>
  <c r="U8" i="67"/>
  <c r="V7" i="67" s="1"/>
  <c r="U6" i="67"/>
  <c r="U58" i="3" s="1"/>
  <c r="T60" i="3"/>
  <c r="T59" i="3"/>
  <c r="T56" i="3"/>
  <c r="M188" i="4"/>
  <c r="M197" i="4" s="1"/>
  <c r="L542" i="4"/>
  <c r="L544" i="4" s="1"/>
  <c r="L95" i="11"/>
  <c r="L488" i="4"/>
  <c r="L53" i="62"/>
  <c r="L65" i="4"/>
  <c r="L499" i="4"/>
  <c r="L1100" i="4" s="1"/>
  <c r="L1047" i="4"/>
  <c r="L50" i="4"/>
  <c r="L46" i="4"/>
  <c r="M58" i="4"/>
  <c r="L47" i="4"/>
  <c r="L49" i="4"/>
  <c r="M146" i="4"/>
  <c r="M147" i="4"/>
  <c r="L48" i="4"/>
  <c r="M1159" i="4"/>
  <c r="L250" i="4"/>
  <c r="L53" i="4"/>
  <c r="M57" i="4"/>
  <c r="M9" i="66" s="1"/>
  <c r="L688" i="4"/>
  <c r="M220" i="4"/>
  <c r="M225" i="4" s="1"/>
  <c r="M226" i="4" s="1"/>
  <c r="M219" i="4"/>
  <c r="M224" i="4" s="1"/>
  <c r="M187" i="4"/>
  <c r="M196" i="4" s="1"/>
  <c r="M133" i="4"/>
  <c r="M183" i="4"/>
  <c r="M192" i="4" s="1"/>
  <c r="M185" i="4"/>
  <c r="M194" i="4" s="1"/>
  <c r="M198" i="4" s="1"/>
  <c r="M135" i="4"/>
  <c r="M243" i="4"/>
  <c r="M248" i="4" s="1"/>
  <c r="M249" i="4" s="1"/>
  <c r="M241" i="4"/>
  <c r="M246" i="4" s="1"/>
  <c r="M184" i="4"/>
  <c r="M193" i="4" s="1"/>
  <c r="M1129" i="4"/>
  <c r="M295" i="4"/>
  <c r="M303" i="4" s="1"/>
  <c r="P1392" i="4"/>
  <c r="O1523" i="4"/>
  <c r="O1524" i="4" s="1"/>
  <c r="O1429" i="4"/>
  <c r="N7" i="66"/>
  <c r="N6" i="66" s="1"/>
  <c r="N86" i="64"/>
  <c r="N87" i="64" s="1"/>
  <c r="M529" i="4"/>
  <c r="M1157" i="4"/>
  <c r="L200" i="4"/>
  <c r="L51" i="4"/>
  <c r="M1263" i="4"/>
  <c r="M1242" i="4"/>
  <c r="M274" i="4"/>
  <c r="M335" i="4" s="1"/>
  <c r="M275" i="4"/>
  <c r="M273" i="4"/>
  <c r="M1243" i="4"/>
  <c r="M18" i="4"/>
  <c r="M54" i="62"/>
  <c r="N7" i="4"/>
  <c r="N15" i="4" s="1"/>
  <c r="M67" i="4"/>
  <c r="M70" i="4"/>
  <c r="M530" i="4"/>
  <c r="M62" i="4"/>
  <c r="M543" i="4"/>
  <c r="M824" i="4"/>
  <c r="L63" i="4"/>
  <c r="L1389" i="4" s="1"/>
  <c r="M17" i="4"/>
  <c r="M19" i="4"/>
  <c r="M20" i="4" s="1"/>
  <c r="L288" i="4"/>
  <c r="L329" i="4" s="1"/>
  <c r="M1151" i="4"/>
  <c r="M60" i="4"/>
  <c r="L61" i="4"/>
  <c r="L287" i="4"/>
  <c r="L324" i="4" s="1"/>
  <c r="M66" i="4"/>
  <c r="L1207" i="4"/>
  <c r="L1225" i="4" s="1"/>
  <c r="M68" i="4"/>
  <c r="M32" i="4"/>
  <c r="M54" i="11"/>
  <c r="N7" i="64"/>
  <c r="N6" i="64" s="1"/>
  <c r="N28" i="64" s="1"/>
  <c r="N7" i="11"/>
  <c r="N6" i="11" s="1"/>
  <c r="N7" i="62"/>
  <c r="N6" i="62" s="1"/>
  <c r="P6" i="13"/>
  <c r="O7" i="13"/>
  <c r="O8" i="13"/>
  <c r="N8" i="3"/>
  <c r="N6" i="3"/>
  <c r="U6" i="72" l="1"/>
  <c r="U8" i="72"/>
  <c r="V7" i="72" s="1"/>
  <c r="M1058" i="4"/>
  <c r="L690" i="4"/>
  <c r="V8" i="67"/>
  <c r="W7" i="67" s="1"/>
  <c r="V6" i="67"/>
  <c r="V58" i="3" s="1"/>
  <c r="U59" i="3"/>
  <c r="U60" i="3"/>
  <c r="U56" i="3"/>
  <c r="N301" i="3"/>
  <c r="N16" i="4"/>
  <c r="M15" i="66"/>
  <c r="M37" i="4"/>
  <c r="M1036" i="4"/>
  <c r="M34" i="4"/>
  <c r="M41" i="4" s="1"/>
  <c r="N1447" i="4"/>
  <c r="N186" i="3"/>
  <c r="M1042" i="4"/>
  <c r="M528" i="4"/>
  <c r="M36" i="4"/>
  <c r="M43" i="4" s="1"/>
  <c r="M54" i="4"/>
  <c r="M55" i="4" s="1"/>
  <c r="N296" i="3"/>
  <c r="N329" i="3"/>
  <c r="N355" i="3"/>
  <c r="N297" i="3"/>
  <c r="N184" i="3"/>
  <c r="N121" i="4" s="1"/>
  <c r="N298" i="3"/>
  <c r="N240" i="3"/>
  <c r="N145" i="4" s="1"/>
  <c r="N216" i="3"/>
  <c r="N299" i="3"/>
  <c r="N356" i="3"/>
  <c r="N217" i="3"/>
  <c r="N134" i="4" s="1"/>
  <c r="N331" i="3"/>
  <c r="N357" i="3"/>
  <c r="N241" i="3"/>
  <c r="N218" i="3"/>
  <c r="N185" i="3"/>
  <c r="N122" i="4" s="1"/>
  <c r="N242" i="3"/>
  <c r="N147" i="4" s="1"/>
  <c r="N300" i="3"/>
  <c r="N330" i="3"/>
  <c r="L318" i="4"/>
  <c r="M35" i="4"/>
  <c r="M33" i="4"/>
  <c r="M22" i="4"/>
  <c r="Q1392" i="4"/>
  <c r="P1523" i="4"/>
  <c r="P1524" i="4" s="1"/>
  <c r="P1429" i="4"/>
  <c r="M24" i="4"/>
  <c r="M34" i="66"/>
  <c r="N8" i="66"/>
  <c r="M60" i="62"/>
  <c r="N6" i="4"/>
  <c r="M642" i="3"/>
  <c r="M9" i="3"/>
  <c r="M9" i="4"/>
  <c r="N314" i="4"/>
  <c r="N1160" i="4"/>
  <c r="N1156" i="4"/>
  <c r="N1184" i="4"/>
  <c r="N1183" i="4"/>
  <c r="N1158" i="4"/>
  <c r="N1409" i="4"/>
  <c r="N30" i="64"/>
  <c r="N53" i="64" s="1"/>
  <c r="L414" i="4"/>
  <c r="L415" i="4" s="1"/>
  <c r="M413" i="4" s="1"/>
  <c r="M288" i="4"/>
  <c r="M329" i="4" s="1"/>
  <c r="N21" i="4"/>
  <c r="M540" i="4"/>
  <c r="M250" i="4"/>
  <c r="M39" i="4"/>
  <c r="M227" i="4"/>
  <c r="M44" i="4"/>
  <c r="N18" i="4"/>
  <c r="L713" i="4"/>
  <c r="N8" i="4"/>
  <c r="N28" i="4"/>
  <c r="N30" i="4"/>
  <c r="N29" i="4"/>
  <c r="M199" i="4"/>
  <c r="N8" i="11"/>
  <c r="N8" i="64"/>
  <c r="M9" i="62"/>
  <c r="M9" i="64"/>
  <c r="N8" i="62"/>
  <c r="P8" i="13"/>
  <c r="Q6" i="13"/>
  <c r="P7" i="13"/>
  <c r="O7" i="3"/>
  <c r="V6" i="72" l="1"/>
  <c r="V8" i="72"/>
  <c r="W7" i="72" s="1"/>
  <c r="L56" i="4"/>
  <c r="M542" i="4"/>
  <c r="M690" i="4" s="1"/>
  <c r="W8" i="67"/>
  <c r="X7" i="67" s="1"/>
  <c r="W6" i="67"/>
  <c r="W58" i="3" s="1"/>
  <c r="V56" i="3"/>
  <c r="V60" i="3"/>
  <c r="V59" i="3"/>
  <c r="N188" i="4"/>
  <c r="N197" i="4" s="1"/>
  <c r="M53" i="62"/>
  <c r="M65" i="4"/>
  <c r="M50" i="4"/>
  <c r="N58" i="4"/>
  <c r="M40" i="4"/>
  <c r="M48" i="4"/>
  <c r="M42" i="4"/>
  <c r="M46" i="4"/>
  <c r="L328" i="4"/>
  <c r="N1159" i="4"/>
  <c r="M53" i="4"/>
  <c r="N57" i="4"/>
  <c r="N243" i="4"/>
  <c r="N248" i="4" s="1"/>
  <c r="N249" i="4" s="1"/>
  <c r="N187" i="4"/>
  <c r="N196" i="4" s="1"/>
  <c r="N146" i="4"/>
  <c r="N34" i="4" s="1"/>
  <c r="N186" i="4"/>
  <c r="N195" i="4" s="1"/>
  <c r="N1129" i="4"/>
  <c r="N185" i="4"/>
  <c r="N194" i="4" s="1"/>
  <c r="N123" i="4"/>
  <c r="N32" i="4" s="1"/>
  <c r="N219" i="4"/>
  <c r="N224" i="4" s="1"/>
  <c r="N220" i="4"/>
  <c r="N225" i="4" s="1"/>
  <c r="N183" i="4"/>
  <c r="N192" i="4" s="1"/>
  <c r="N218" i="4"/>
  <c r="N223" i="4" s="1"/>
  <c r="N242" i="4"/>
  <c r="N247" i="4" s="1"/>
  <c r="N135" i="4"/>
  <c r="N184" i="4"/>
  <c r="N193" i="4" s="1"/>
  <c r="N133" i="4"/>
  <c r="N241" i="4"/>
  <c r="N246" i="4" s="1"/>
  <c r="N295" i="4"/>
  <c r="R1392" i="4"/>
  <c r="Q1523" i="4"/>
  <c r="Q1524" i="4" s="1"/>
  <c r="Q1429" i="4"/>
  <c r="O7" i="66"/>
  <c r="O6" i="66" s="1"/>
  <c r="O86" i="64"/>
  <c r="O87" i="64" s="1"/>
  <c r="N529" i="4"/>
  <c r="N1157" i="4"/>
  <c r="M51" i="4"/>
  <c r="N1263" i="4"/>
  <c r="N1242" i="4"/>
  <c r="N274" i="4"/>
  <c r="N335" i="4" s="1"/>
  <c r="N1243" i="4"/>
  <c r="N273" i="4"/>
  <c r="N275" i="4"/>
  <c r="M1041" i="4"/>
  <c r="M688" i="4"/>
  <c r="O7" i="4"/>
  <c r="O15" i="4" s="1"/>
  <c r="N54" i="62"/>
  <c r="M287" i="4"/>
  <c r="M324" i="4" s="1"/>
  <c r="M200" i="4"/>
  <c r="N19" i="4"/>
  <c r="N20" i="4" s="1"/>
  <c r="N17" i="4"/>
  <c r="N24" i="4" s="1"/>
  <c r="L714" i="4"/>
  <c r="L732" i="4"/>
  <c r="L731" i="4"/>
  <c r="N1151" i="4"/>
  <c r="N60" i="4"/>
  <c r="M61" i="4"/>
  <c r="N66" i="4"/>
  <c r="N62" i="4"/>
  <c r="N824" i="4"/>
  <c r="N70" i="4"/>
  <c r="N543" i="4"/>
  <c r="N530" i="4"/>
  <c r="M63" i="4"/>
  <c r="M1389" i="4" s="1"/>
  <c r="N68" i="4"/>
  <c r="N67" i="4"/>
  <c r="N54" i="11"/>
  <c r="O7" i="11"/>
  <c r="O6" i="11" s="1"/>
  <c r="O7" i="62"/>
  <c r="O6" i="62" s="1"/>
  <c r="O7" i="64"/>
  <c r="O6" i="64" s="1"/>
  <c r="O28" i="64" s="1"/>
  <c r="Q8" i="13"/>
  <c r="Q7" i="13"/>
  <c r="R6" i="13"/>
  <c r="O8" i="3"/>
  <c r="O6" i="3"/>
  <c r="W6" i="72" l="1"/>
  <c r="W8" i="72"/>
  <c r="X7" i="72" s="1"/>
  <c r="O16" i="4"/>
  <c r="M544" i="4"/>
  <c r="X8" i="67"/>
  <c r="Y7" i="67" s="1"/>
  <c r="X6" i="67"/>
  <c r="X58" i="3" s="1"/>
  <c r="W56" i="3"/>
  <c r="W60" i="3"/>
  <c r="W59" i="3"/>
  <c r="N15" i="66"/>
  <c r="N1036" i="4"/>
  <c r="N226" i="4"/>
  <c r="O355" i="3"/>
  <c r="O301" i="3"/>
  <c r="L722" i="4"/>
  <c r="L721" i="4"/>
  <c r="L718" i="4"/>
  <c r="L717" i="4"/>
  <c r="M49" i="4"/>
  <c r="M47" i="4"/>
  <c r="M318" i="4"/>
  <c r="N54" i="4"/>
  <c r="M56" i="4" s="1"/>
  <c r="O297" i="3"/>
  <c r="O216" i="3"/>
  <c r="O133" i="4" s="1"/>
  <c r="O329" i="3"/>
  <c r="O218" i="4" s="1"/>
  <c r="O223" i="4" s="1"/>
  <c r="O298" i="3"/>
  <c r="O184" i="3"/>
  <c r="O121" i="4" s="1"/>
  <c r="O296" i="3"/>
  <c r="O300" i="3"/>
  <c r="O186" i="3"/>
  <c r="O356" i="3"/>
  <c r="O242" i="4" s="1"/>
  <c r="O247" i="4" s="1"/>
  <c r="O240" i="3"/>
  <c r="O145" i="4" s="1"/>
  <c r="O242" i="3"/>
  <c r="O147" i="4" s="1"/>
  <c r="O299" i="3"/>
  <c r="O186" i="4" s="1"/>
  <c r="O195" i="4" s="1"/>
  <c r="O185" i="3"/>
  <c r="O122" i="4" s="1"/>
  <c r="O357" i="3"/>
  <c r="O218" i="3"/>
  <c r="O135" i="4" s="1"/>
  <c r="O331" i="3"/>
  <c r="O217" i="3"/>
  <c r="O134" i="4" s="1"/>
  <c r="O330" i="3"/>
  <c r="O241" i="3"/>
  <c r="O1447" i="4"/>
  <c r="N528" i="4"/>
  <c r="N33" i="4"/>
  <c r="N40" i="4" s="1"/>
  <c r="N47" i="4" s="1"/>
  <c r="N198" i="4"/>
  <c r="N35" i="4"/>
  <c r="N37" i="4"/>
  <c r="N36" i="4"/>
  <c r="N22" i="4"/>
  <c r="N642" i="3"/>
  <c r="N1041" i="4" s="1"/>
  <c r="N1042" i="4"/>
  <c r="R1429" i="4"/>
  <c r="S1392" i="4"/>
  <c r="R1523" i="4"/>
  <c r="R1524" i="4" s="1"/>
  <c r="N34" i="66"/>
  <c r="N60" i="62"/>
  <c r="N9" i="66"/>
  <c r="O8" i="66"/>
  <c r="O6" i="4"/>
  <c r="N540" i="4"/>
  <c r="M414" i="4"/>
  <c r="M415" i="4" s="1"/>
  <c r="N413" i="4" s="1"/>
  <c r="O314" i="4"/>
  <c r="O1409" i="4"/>
  <c r="N9" i="11"/>
  <c r="O30" i="64"/>
  <c r="O1160" i="4"/>
  <c r="O1156" i="4"/>
  <c r="O1184" i="4"/>
  <c r="O1183" i="4"/>
  <c r="O1158" i="4"/>
  <c r="N9" i="3"/>
  <c r="O8" i="4"/>
  <c r="O28" i="4"/>
  <c r="O30" i="4"/>
  <c r="O29" i="4"/>
  <c r="N303" i="4"/>
  <c r="N250" i="4"/>
  <c r="N287" i="4"/>
  <c r="N324" i="4" s="1"/>
  <c r="N9" i="4"/>
  <c r="N41" i="4"/>
  <c r="O21" i="4"/>
  <c r="O18" i="4"/>
  <c r="M713" i="4"/>
  <c r="N39" i="4"/>
  <c r="O8" i="11"/>
  <c r="O8" i="64"/>
  <c r="N9" i="64"/>
  <c r="O8" i="62"/>
  <c r="N9" i="62"/>
  <c r="R7" i="13"/>
  <c r="S6" i="13"/>
  <c r="R8" i="13"/>
  <c r="P7" i="3"/>
  <c r="X6" i="72" l="1"/>
  <c r="X8" i="72"/>
  <c r="Y7" i="72" s="1"/>
  <c r="Y8" i="67"/>
  <c r="Z7" i="67" s="1"/>
  <c r="Y6" i="67"/>
  <c r="Y58" i="3" s="1"/>
  <c r="X60" i="3"/>
  <c r="X59" i="3"/>
  <c r="X56" i="3"/>
  <c r="O188" i="4"/>
  <c r="O197" i="4" s="1"/>
  <c r="N199" i="4"/>
  <c r="N200" i="4" s="1"/>
  <c r="N227" i="4"/>
  <c r="N542" i="4"/>
  <c r="N544" i="4" s="1"/>
  <c r="N44" i="4"/>
  <c r="N51" i="4" s="1"/>
  <c r="N65" i="4"/>
  <c r="N48" i="4"/>
  <c r="N55" i="4"/>
  <c r="N42" i="4"/>
  <c r="N53" i="62"/>
  <c r="O58" i="4"/>
  <c r="M328" i="4"/>
  <c r="N46" i="4"/>
  <c r="N43" i="4"/>
  <c r="N53" i="4"/>
  <c r="O57" i="4"/>
  <c r="N688" i="4"/>
  <c r="O1129" i="4"/>
  <c r="O219" i="4"/>
  <c r="O224" i="4" s="1"/>
  <c r="O183" i="4"/>
  <c r="O192" i="4" s="1"/>
  <c r="O220" i="4"/>
  <c r="O225" i="4" s="1"/>
  <c r="O184" i="4"/>
  <c r="O193" i="4" s="1"/>
  <c r="O123" i="4"/>
  <c r="O32" i="4" s="1"/>
  <c r="O185" i="4"/>
  <c r="O194" i="4" s="1"/>
  <c r="O241" i="4"/>
  <c r="O246" i="4" s="1"/>
  <c r="O243" i="4"/>
  <c r="O248" i="4" s="1"/>
  <c r="O187" i="4"/>
  <c r="O196" i="4" s="1"/>
  <c r="O146" i="4"/>
  <c r="O34" i="4" s="1"/>
  <c r="O295" i="4"/>
  <c r="T1392" i="4"/>
  <c r="S1523" i="4"/>
  <c r="S1524" i="4" s="1"/>
  <c r="S1429" i="4"/>
  <c r="P7" i="66"/>
  <c r="P6" i="66" s="1"/>
  <c r="P86" i="64"/>
  <c r="P87" i="64" s="1"/>
  <c r="O529" i="4"/>
  <c r="O1157" i="4"/>
  <c r="L736" i="4"/>
  <c r="L737" i="4"/>
  <c r="O274" i="4"/>
  <c r="O335" i="4" s="1"/>
  <c r="O1242" i="4"/>
  <c r="O273" i="4"/>
  <c r="O275" i="4"/>
  <c r="O1243" i="4"/>
  <c r="P7" i="4"/>
  <c r="P15" i="4" s="1"/>
  <c r="O54" i="62"/>
  <c r="O1159" i="4"/>
  <c r="O66" i="4"/>
  <c r="O1263" i="4"/>
  <c r="O67" i="4"/>
  <c r="O1042" i="4" s="1"/>
  <c r="O68" i="4"/>
  <c r="O53" i="64"/>
  <c r="O33" i="4"/>
  <c r="O1151" i="4"/>
  <c r="N61" i="4"/>
  <c r="O60" i="4"/>
  <c r="O824" i="4"/>
  <c r="O70" i="4"/>
  <c r="O62" i="4"/>
  <c r="O543" i="4"/>
  <c r="O530" i="4"/>
  <c r="N63" i="4"/>
  <c r="N1389" i="4" s="1"/>
  <c r="N288" i="4"/>
  <c r="N329" i="4" s="1"/>
  <c r="M731" i="4"/>
  <c r="M732" i="4"/>
  <c r="M714" i="4"/>
  <c r="O19" i="4"/>
  <c r="O20" i="4" s="1"/>
  <c r="O17" i="4"/>
  <c r="O24" i="4" s="1"/>
  <c r="O54" i="11"/>
  <c r="P7" i="11"/>
  <c r="P6" i="11" s="1"/>
  <c r="P7" i="62"/>
  <c r="P6" i="62" s="1"/>
  <c r="P7" i="64"/>
  <c r="P6" i="64" s="1"/>
  <c r="P28" i="64" s="1"/>
  <c r="P30" i="64" s="1"/>
  <c r="S7" i="13"/>
  <c r="S8" i="13"/>
  <c r="T6" i="13"/>
  <c r="P8" i="3"/>
  <c r="P6" i="3"/>
  <c r="Y8" i="72" l="1"/>
  <c r="Z7" i="72" s="1"/>
  <c r="Y6" i="72"/>
  <c r="P16" i="4"/>
  <c r="N690" i="4"/>
  <c r="Z8" i="67"/>
  <c r="AA7" i="67" s="1"/>
  <c r="Z6" i="67"/>
  <c r="Z58" i="3" s="1"/>
  <c r="Y60" i="3"/>
  <c r="Y59" i="3"/>
  <c r="Y56" i="3"/>
  <c r="O226" i="4"/>
  <c r="O227" i="4" s="1"/>
  <c r="O15" i="66"/>
  <c r="O1036" i="4"/>
  <c r="P186" i="3"/>
  <c r="P123" i="4" s="1"/>
  <c r="P301" i="3"/>
  <c r="P188" i="4" s="1"/>
  <c r="P197" i="4" s="1"/>
  <c r="M722" i="4"/>
  <c r="M718" i="4"/>
  <c r="M721" i="4"/>
  <c r="M717" i="4"/>
  <c r="O528" i="4"/>
  <c r="O54" i="4"/>
  <c r="O53" i="62" s="1"/>
  <c r="N49" i="4"/>
  <c r="P356" i="3"/>
  <c r="P242" i="4" s="1"/>
  <c r="P247" i="4" s="1"/>
  <c r="P296" i="3"/>
  <c r="P183" i="4" s="1"/>
  <c r="P192" i="4" s="1"/>
  <c r="P298" i="3"/>
  <c r="P185" i="4" s="1"/>
  <c r="P194" i="4" s="1"/>
  <c r="P240" i="3"/>
  <c r="P145" i="4" s="1"/>
  <c r="P299" i="3"/>
  <c r="P186" i="4" s="1"/>
  <c r="P195" i="4" s="1"/>
  <c r="P297" i="3"/>
  <c r="P184" i="4" s="1"/>
  <c r="P193" i="4" s="1"/>
  <c r="P184" i="3"/>
  <c r="P121" i="4" s="1"/>
  <c r="P329" i="3"/>
  <c r="P218" i="4" s="1"/>
  <c r="P223" i="4" s="1"/>
  <c r="P216" i="3"/>
  <c r="P133" i="4" s="1"/>
  <c r="P357" i="3"/>
  <c r="P243" i="4" s="1"/>
  <c r="P248" i="4" s="1"/>
  <c r="P217" i="3"/>
  <c r="P134" i="4" s="1"/>
  <c r="P300" i="3"/>
  <c r="P242" i="3"/>
  <c r="P147" i="4" s="1"/>
  <c r="P185" i="3"/>
  <c r="P122" i="4" s="1"/>
  <c r="P218" i="3"/>
  <c r="P135" i="4" s="1"/>
  <c r="P241" i="3"/>
  <c r="P146" i="4" s="1"/>
  <c r="P331" i="3"/>
  <c r="P220" i="4" s="1"/>
  <c r="P225" i="4" s="1"/>
  <c r="P330" i="3"/>
  <c r="P219" i="4" s="1"/>
  <c r="P224" i="4" s="1"/>
  <c r="P355" i="3"/>
  <c r="P241" i="4" s="1"/>
  <c r="P246" i="4" s="1"/>
  <c r="N318" i="4"/>
  <c r="O249" i="4"/>
  <c r="O250" i="4" s="1"/>
  <c r="N50" i="4"/>
  <c r="N713" i="4" s="1"/>
  <c r="P1447" i="4"/>
  <c r="O36" i="4"/>
  <c r="O43" i="4" s="1"/>
  <c r="O50" i="4" s="1"/>
  <c r="O198" i="4"/>
  <c r="O35" i="4"/>
  <c r="O37" i="4"/>
  <c r="O44" i="4" s="1"/>
  <c r="O22" i="4"/>
  <c r="U1392" i="4"/>
  <c r="T1523" i="4"/>
  <c r="T1524" i="4" s="1"/>
  <c r="T1429" i="4"/>
  <c r="P8" i="66"/>
  <c r="O34" i="66"/>
  <c r="O60" i="62"/>
  <c r="O9" i="66"/>
  <c r="P6" i="4"/>
  <c r="P314" i="4"/>
  <c r="P1242" i="4" s="1"/>
  <c r="O642" i="3"/>
  <c r="P1409" i="4"/>
  <c r="P1184" i="4"/>
  <c r="P1183" i="4"/>
  <c r="P1158" i="4"/>
  <c r="P1159" i="4" s="1"/>
  <c r="P1156" i="4"/>
  <c r="P1160" i="4"/>
  <c r="L738" i="4"/>
  <c r="N414" i="4"/>
  <c r="N415" i="4" s="1"/>
  <c r="O413" i="4" s="1"/>
  <c r="O9" i="4"/>
  <c r="P18" i="4"/>
  <c r="O40" i="4"/>
  <c r="O39" i="4"/>
  <c r="P21" i="4"/>
  <c r="P28" i="4"/>
  <c r="P8" i="4"/>
  <c r="P30" i="4"/>
  <c r="P29" i="4"/>
  <c r="O41" i="4"/>
  <c r="O303" i="4"/>
  <c r="O540" i="4"/>
  <c r="O287" i="4"/>
  <c r="O324" i="4" s="1"/>
  <c r="O9" i="3"/>
  <c r="P8" i="11"/>
  <c r="O9" i="11"/>
  <c r="P8" i="64"/>
  <c r="O9" i="64"/>
  <c r="O9" i="62"/>
  <c r="P8" i="62"/>
  <c r="T7" i="13"/>
  <c r="T8" i="13"/>
  <c r="U6" i="13"/>
  <c r="Q7" i="3"/>
  <c r="Z6" i="72" l="1"/>
  <c r="Z8" i="72"/>
  <c r="AA7" i="72" s="1"/>
  <c r="AA8" i="67"/>
  <c r="AB7" i="67" s="1"/>
  <c r="AA6" i="67"/>
  <c r="AA58" i="3" s="1"/>
  <c r="Z59" i="3"/>
  <c r="Z60" i="3"/>
  <c r="Z56" i="3"/>
  <c r="O542" i="4"/>
  <c r="O544" i="4" s="1"/>
  <c r="O42" i="4"/>
  <c r="O46" i="4"/>
  <c r="O65" i="4"/>
  <c r="O48" i="4"/>
  <c r="O47" i="4"/>
  <c r="O55" i="4"/>
  <c r="N328" i="4"/>
  <c r="P187" i="4"/>
  <c r="P196" i="4" s="1"/>
  <c r="N56" i="4"/>
  <c r="P58" i="4"/>
  <c r="O53" i="4"/>
  <c r="O199" i="4"/>
  <c r="P57" i="4"/>
  <c r="P1129" i="4"/>
  <c r="P295" i="4"/>
  <c r="V1392" i="4"/>
  <c r="U1429" i="4"/>
  <c r="U1523" i="4"/>
  <c r="U1524" i="4" s="1"/>
  <c r="Q7" i="66"/>
  <c r="Q6" i="66" s="1"/>
  <c r="Q86" i="64"/>
  <c r="Q87" i="64" s="1"/>
  <c r="P529" i="4"/>
  <c r="P1157" i="4"/>
  <c r="O51" i="4"/>
  <c r="P249" i="4"/>
  <c r="M737" i="4"/>
  <c r="M736" i="4"/>
  <c r="P1263" i="4"/>
  <c r="P1243" i="4"/>
  <c r="P15" i="66" s="1"/>
  <c r="P273" i="4"/>
  <c r="P275" i="4"/>
  <c r="P274" i="4"/>
  <c r="P335" i="4" s="1"/>
  <c r="L739" i="4"/>
  <c r="O1041" i="4"/>
  <c r="O688" i="4"/>
  <c r="Q7" i="4"/>
  <c r="Q6" i="4" s="1"/>
  <c r="P54" i="62"/>
  <c r="P53" i="64"/>
  <c r="P33" i="4"/>
  <c r="P40" i="4" s="1"/>
  <c r="P47" i="4" s="1"/>
  <c r="P34" i="4"/>
  <c r="O713" i="4"/>
  <c r="O714" i="4" s="1"/>
  <c r="P226" i="4"/>
  <c r="P17" i="4"/>
  <c r="P24" i="4" s="1"/>
  <c r="P19" i="4"/>
  <c r="P20" i="4" s="1"/>
  <c r="P36" i="4"/>
  <c r="N731" i="4"/>
  <c r="N732" i="4"/>
  <c r="N714" i="4"/>
  <c r="P32" i="4"/>
  <c r="O288" i="4"/>
  <c r="O329" i="4" s="1"/>
  <c r="P9" i="66"/>
  <c r="P1151" i="4"/>
  <c r="O61" i="4"/>
  <c r="P60" i="4"/>
  <c r="P66" i="4"/>
  <c r="P198" i="4"/>
  <c r="P37" i="4"/>
  <c r="P62" i="4"/>
  <c r="P824" i="4"/>
  <c r="P70" i="4"/>
  <c r="P543" i="4"/>
  <c r="P530" i="4"/>
  <c r="P68" i="4"/>
  <c r="P67" i="4"/>
  <c r="O63" i="4"/>
  <c r="O1389" i="4" s="1"/>
  <c r="P54" i="11"/>
  <c r="Q7" i="62"/>
  <c r="Q6" i="62" s="1"/>
  <c r="Q7" i="11"/>
  <c r="Q6" i="11" s="1"/>
  <c r="Q7" i="64"/>
  <c r="Q6" i="64" s="1"/>
  <c r="Q28" i="64" s="1"/>
  <c r="U7" i="13"/>
  <c r="U8" i="13"/>
  <c r="V6" i="13"/>
  <c r="Q8" i="3"/>
  <c r="Q6" i="3"/>
  <c r="AA8" i="72" l="1"/>
  <c r="AB7" i="72" s="1"/>
  <c r="AA6" i="72"/>
  <c r="Q16" i="4"/>
  <c r="O690" i="4"/>
  <c r="AB8" i="67"/>
  <c r="AC7" i="67" s="1"/>
  <c r="AB6" i="67"/>
  <c r="AB58" i="3" s="1"/>
  <c r="AA60" i="3"/>
  <c r="AA59" i="3"/>
  <c r="I19" i="62" s="1"/>
  <c r="E1382" i="4" s="1"/>
  <c r="AA56" i="3"/>
  <c r="P1036" i="4"/>
  <c r="Q1447" i="4"/>
  <c r="Q301" i="3"/>
  <c r="Q188" i="4" s="1"/>
  <c r="Q197" i="4" s="1"/>
  <c r="N721" i="4"/>
  <c r="N718" i="4"/>
  <c r="N717" i="4"/>
  <c r="N722" i="4"/>
  <c r="O721" i="4"/>
  <c r="O718" i="4"/>
  <c r="O717" i="4"/>
  <c r="O722" i="4"/>
  <c r="O200" i="4"/>
  <c r="Q300" i="3"/>
  <c r="Q187" i="4" s="1"/>
  <c r="Q196" i="4" s="1"/>
  <c r="O318" i="4"/>
  <c r="P35" i="4"/>
  <c r="P42" i="4" s="1"/>
  <c r="P49" i="4" s="1"/>
  <c r="P528" i="4"/>
  <c r="P54" i="4"/>
  <c r="O56" i="4" s="1"/>
  <c r="O49" i="4"/>
  <c r="Q296" i="3"/>
  <c r="Q298" i="3"/>
  <c r="Q185" i="4" s="1"/>
  <c r="Q194" i="4" s="1"/>
  <c r="Q184" i="3"/>
  <c r="Q121" i="4" s="1"/>
  <c r="Q355" i="3"/>
  <c r="Q241" i="4" s="1"/>
  <c r="Q246" i="4" s="1"/>
  <c r="Q297" i="3"/>
  <c r="Q184" i="4" s="1"/>
  <c r="Q193" i="4" s="1"/>
  <c r="Q240" i="3"/>
  <c r="Q145" i="4" s="1"/>
  <c r="Q329" i="3"/>
  <c r="Q218" i="4" s="1"/>
  <c r="Q223" i="4" s="1"/>
  <c r="Q299" i="3"/>
  <c r="Q186" i="4" s="1"/>
  <c r="Q195" i="4" s="1"/>
  <c r="Q217" i="3"/>
  <c r="Q134" i="4" s="1"/>
  <c r="Q356" i="3"/>
  <c r="Q242" i="4" s="1"/>
  <c r="Q247" i="4" s="1"/>
  <c r="Q186" i="3"/>
  <c r="Q123" i="4" s="1"/>
  <c r="Q242" i="3"/>
  <c r="Q147" i="4" s="1"/>
  <c r="Q216" i="3"/>
  <c r="Q133" i="4" s="1"/>
  <c r="Q185" i="3"/>
  <c r="Q122" i="4" s="1"/>
  <c r="Q357" i="3"/>
  <c r="Q243" i="4" s="1"/>
  <c r="Q248" i="4" s="1"/>
  <c r="Q241" i="3"/>
  <c r="Q146" i="4" s="1"/>
  <c r="Q218" i="3"/>
  <c r="Q135" i="4" s="1"/>
  <c r="Q331" i="3"/>
  <c r="Q220" i="4" s="1"/>
  <c r="Q225" i="4" s="1"/>
  <c r="Q330" i="3"/>
  <c r="Q219" i="4" s="1"/>
  <c r="Q224" i="4" s="1"/>
  <c r="P22" i="4"/>
  <c r="P642" i="3"/>
  <c r="P1041" i="4" s="1"/>
  <c r="P1042" i="4"/>
  <c r="V1523" i="4"/>
  <c r="V1524" i="4" s="1"/>
  <c r="W1392" i="4"/>
  <c r="V1429" i="4"/>
  <c r="Q15" i="4"/>
  <c r="P34" i="66"/>
  <c r="P60" i="62"/>
  <c r="Q8" i="66"/>
  <c r="P9" i="3"/>
  <c r="Q1184" i="4"/>
  <c r="Q1183" i="4"/>
  <c r="Q1158" i="4"/>
  <c r="Q1159" i="4" s="1"/>
  <c r="Q1156" i="4"/>
  <c r="Q1160" i="4"/>
  <c r="Q1409" i="4"/>
  <c r="Q30" i="64"/>
  <c r="Q53" i="64" s="1"/>
  <c r="Q314" i="4"/>
  <c r="O414" i="4"/>
  <c r="O415" i="4" s="1"/>
  <c r="P413" i="4" s="1"/>
  <c r="P9" i="11"/>
  <c r="M738" i="4"/>
  <c r="P540" i="4"/>
  <c r="Q8" i="4"/>
  <c r="Q28" i="4"/>
  <c r="Q30" i="4"/>
  <c r="Q29" i="4"/>
  <c r="P250" i="4"/>
  <c r="P303" i="4"/>
  <c r="P39" i="4"/>
  <c r="P41" i="4"/>
  <c r="Q21" i="4"/>
  <c r="P44" i="4"/>
  <c r="P227" i="4"/>
  <c r="O731" i="4"/>
  <c r="O732" i="4"/>
  <c r="P9" i="4"/>
  <c r="P199" i="4"/>
  <c r="P43" i="4"/>
  <c r="Q8" i="62"/>
  <c r="Q8" i="11"/>
  <c r="Q8" i="64"/>
  <c r="P9" i="64"/>
  <c r="P9" i="62"/>
  <c r="Q183" i="4"/>
  <c r="Q192" i="4" s="1"/>
  <c r="V8" i="13"/>
  <c r="W6" i="13"/>
  <c r="V7" i="13"/>
  <c r="R7" i="3"/>
  <c r="AB8" i="72" l="1"/>
  <c r="AC7" i="72" s="1"/>
  <c r="AB6" i="72"/>
  <c r="AC8" i="67"/>
  <c r="AD7" i="67" s="1"/>
  <c r="AC6" i="67"/>
  <c r="AC58" i="3" s="1"/>
  <c r="AB60" i="3"/>
  <c r="AB59" i="3"/>
  <c r="AB56" i="3"/>
  <c r="P65" i="4"/>
  <c r="P53" i="62"/>
  <c r="Q58" i="4"/>
  <c r="P55" i="4"/>
  <c r="P542" i="4"/>
  <c r="P690" i="4" s="1"/>
  <c r="P50" i="4"/>
  <c r="P46" i="4"/>
  <c r="O328" i="4"/>
  <c r="P48" i="4"/>
  <c r="Q57" i="4"/>
  <c r="Q9" i="66" s="1"/>
  <c r="P53" i="4"/>
  <c r="Q1129" i="4"/>
  <c r="P688" i="4"/>
  <c r="Q18" i="4"/>
  <c r="Q295" i="4"/>
  <c r="X1392" i="4"/>
  <c r="W1523" i="4"/>
  <c r="W1524" i="4" s="1"/>
  <c r="W1429" i="4"/>
  <c r="R7" i="66"/>
  <c r="R6" i="66" s="1"/>
  <c r="R86" i="64"/>
  <c r="R87" i="64" s="1"/>
  <c r="Q529" i="4"/>
  <c r="Q1157" i="4"/>
  <c r="Q249" i="4"/>
  <c r="P51" i="4"/>
  <c r="N736" i="4"/>
  <c r="O736" i="4"/>
  <c r="N737" i="4"/>
  <c r="O737" i="4"/>
  <c r="Q1263" i="4"/>
  <c r="Q1242" i="4"/>
  <c r="Q274" i="4"/>
  <c r="Q335" i="4" s="1"/>
  <c r="Q1243" i="4"/>
  <c r="Q275" i="4"/>
  <c r="Q273" i="4"/>
  <c r="M739" i="4"/>
  <c r="P287" i="4"/>
  <c r="P324" i="4" s="1"/>
  <c r="Q66" i="4"/>
  <c r="Q54" i="62"/>
  <c r="R7" i="4"/>
  <c r="R15" i="4" s="1"/>
  <c r="Q67" i="4"/>
  <c r="Q1042" i="4" s="1"/>
  <c r="Q34" i="4"/>
  <c r="Q41" i="4" s="1"/>
  <c r="Q48" i="4" s="1"/>
  <c r="Q33" i="4"/>
  <c r="Q40" i="4" s="1"/>
  <c r="Q32" i="4"/>
  <c r="Q39" i="4" s="1"/>
  <c r="Q46" i="4" s="1"/>
  <c r="Q226" i="4"/>
  <c r="Q35" i="4"/>
  <c r="Q36" i="4"/>
  <c r="Q17" i="4"/>
  <c r="Q19" i="4"/>
  <c r="Q20" i="4" s="1"/>
  <c r="P288" i="4"/>
  <c r="P329" i="4" s="1"/>
  <c r="Q68" i="4"/>
  <c r="Q198" i="4"/>
  <c r="Q37" i="4"/>
  <c r="P200" i="4"/>
  <c r="Q1151" i="4"/>
  <c r="P61" i="4"/>
  <c r="Q60" i="4"/>
  <c r="Q62" i="4"/>
  <c r="Q528" i="4" s="1"/>
  <c r="Q824" i="4"/>
  <c r="Q70" i="4"/>
  <c r="Q543" i="4"/>
  <c r="Q530" i="4"/>
  <c r="P63" i="4"/>
  <c r="P1389" i="4" s="1"/>
  <c r="Q54" i="11"/>
  <c r="R7" i="62"/>
  <c r="R6" i="62" s="1"/>
  <c r="R7" i="11"/>
  <c r="R6" i="11" s="1"/>
  <c r="R7" i="64"/>
  <c r="R6" i="64" s="1"/>
  <c r="R28" i="64" s="1"/>
  <c r="X6" i="13"/>
  <c r="W7" i="13"/>
  <c r="W8" i="13"/>
  <c r="R8" i="3"/>
  <c r="R6" i="3"/>
  <c r="AC6" i="72" l="1"/>
  <c r="AC8" i="72"/>
  <c r="AD7" i="72" s="1"/>
  <c r="Q24" i="4"/>
  <c r="Q15" i="66"/>
  <c r="AC60" i="3"/>
  <c r="AC59" i="3"/>
  <c r="AC56" i="3"/>
  <c r="AD8" i="67"/>
  <c r="AE7" i="67" s="1"/>
  <c r="AD6" i="67"/>
  <c r="AD58" i="3" s="1"/>
  <c r="R356" i="3"/>
  <c r="R242" i="4" s="1"/>
  <c r="R247" i="4" s="1"/>
  <c r="R16" i="4"/>
  <c r="Q1036" i="4"/>
  <c r="P544" i="4"/>
  <c r="R355" i="3"/>
  <c r="R241" i="4" s="1"/>
  <c r="R246" i="4" s="1"/>
  <c r="R301" i="3"/>
  <c r="R188" i="4" s="1"/>
  <c r="R197" i="4" s="1"/>
  <c r="R184" i="3"/>
  <c r="R121" i="4" s="1"/>
  <c r="Q54" i="4"/>
  <c r="Q53" i="62" s="1"/>
  <c r="P318" i="4"/>
  <c r="Q47" i="4"/>
  <c r="R298" i="3"/>
  <c r="R185" i="4" s="1"/>
  <c r="R194" i="4" s="1"/>
  <c r="R297" i="3"/>
  <c r="R184" i="4" s="1"/>
  <c r="R193" i="4" s="1"/>
  <c r="R240" i="3"/>
  <c r="R145" i="4" s="1"/>
  <c r="R296" i="3"/>
  <c r="R183" i="4" s="1"/>
  <c r="R192" i="4" s="1"/>
  <c r="R216" i="3"/>
  <c r="R133" i="4" s="1"/>
  <c r="R299" i="3"/>
  <c r="R186" i="4" s="1"/>
  <c r="R195" i="4" s="1"/>
  <c r="R186" i="3"/>
  <c r="R123" i="4" s="1"/>
  <c r="R242" i="3"/>
  <c r="R147" i="4" s="1"/>
  <c r="R185" i="3"/>
  <c r="R122" i="4" s="1"/>
  <c r="R329" i="3"/>
  <c r="R218" i="4" s="1"/>
  <c r="R223" i="4" s="1"/>
  <c r="R300" i="3"/>
  <c r="R187" i="4" s="1"/>
  <c r="R196" i="4" s="1"/>
  <c r="R217" i="3"/>
  <c r="R134" i="4" s="1"/>
  <c r="R357" i="3"/>
  <c r="R243" i="4" s="1"/>
  <c r="R248" i="4" s="1"/>
  <c r="R241" i="3"/>
  <c r="R146" i="4" s="1"/>
  <c r="R218" i="3"/>
  <c r="R135" i="4" s="1"/>
  <c r="R330" i="3"/>
  <c r="R219" i="4" s="1"/>
  <c r="R224" i="4" s="1"/>
  <c r="R331" i="3"/>
  <c r="R220" i="4" s="1"/>
  <c r="R225" i="4" s="1"/>
  <c r="R1447" i="4"/>
  <c r="Q22" i="4"/>
  <c r="X1523" i="4"/>
  <c r="X1524" i="4" s="1"/>
  <c r="X1429" i="4"/>
  <c r="Y1392" i="4"/>
  <c r="R8" i="66"/>
  <c r="Q34" i="66"/>
  <c r="Q60" i="62"/>
  <c r="R6" i="4"/>
  <c r="Q540" i="4"/>
  <c r="Q542" i="4" s="1"/>
  <c r="R314" i="4"/>
  <c r="R1243" i="4" s="1"/>
  <c r="Q642" i="3"/>
  <c r="Q9" i="3"/>
  <c r="R30" i="64"/>
  <c r="R1409" i="4"/>
  <c r="R1184" i="4"/>
  <c r="R1183" i="4"/>
  <c r="R1158" i="4"/>
  <c r="R1159" i="4" s="1"/>
  <c r="R1160" i="4"/>
  <c r="R1156" i="4"/>
  <c r="Q9" i="4"/>
  <c r="Q44" i="4"/>
  <c r="Q51" i="4" s="1"/>
  <c r="R28" i="4"/>
  <c r="R8" i="4"/>
  <c r="R30" i="4"/>
  <c r="R29" i="4"/>
  <c r="Q250" i="4"/>
  <c r="Q43" i="4"/>
  <c r="R18" i="4"/>
  <c r="Q42" i="4"/>
  <c r="P713" i="4"/>
  <c r="Q199" i="4"/>
  <c r="N738" i="4"/>
  <c r="R21" i="4"/>
  <c r="Q303" i="4"/>
  <c r="O738" i="4"/>
  <c r="Q227" i="4"/>
  <c r="Q9" i="62"/>
  <c r="Q9" i="11"/>
  <c r="R8" i="62"/>
  <c r="R8" i="11"/>
  <c r="R8" i="64"/>
  <c r="Q9" i="64"/>
  <c r="X7" i="13"/>
  <c r="Y6" i="13"/>
  <c r="X8" i="13"/>
  <c r="S7" i="3"/>
  <c r="AD6" i="72" l="1"/>
  <c r="AD8" i="72"/>
  <c r="AE7" i="72" s="1"/>
  <c r="AD56" i="3"/>
  <c r="AD60" i="3"/>
  <c r="AD59" i="3"/>
  <c r="AE8" i="67"/>
  <c r="AF7" i="67" s="1"/>
  <c r="AE6" i="67"/>
  <c r="AE58" i="3" s="1"/>
  <c r="R58" i="4"/>
  <c r="Q65" i="4"/>
  <c r="Q55" i="4"/>
  <c r="P56" i="4"/>
  <c r="Q49" i="4"/>
  <c r="P328" i="4"/>
  <c r="R57" i="4"/>
  <c r="Q53" i="4"/>
  <c r="R1129" i="4"/>
  <c r="R295" i="4"/>
  <c r="R303" i="4" s="1"/>
  <c r="Z1392" i="4"/>
  <c r="Y1523" i="4"/>
  <c r="Y1524" i="4" s="1"/>
  <c r="Y1429" i="4"/>
  <c r="S7" i="66"/>
  <c r="S6" i="66" s="1"/>
  <c r="S86" i="64"/>
  <c r="S87" i="64" s="1"/>
  <c r="R529" i="4"/>
  <c r="R1157" i="4"/>
  <c r="R275" i="4"/>
  <c r="R1242" i="4"/>
  <c r="R15" i="66" s="1"/>
  <c r="R274" i="4"/>
  <c r="R335" i="4" s="1"/>
  <c r="Q50" i="4"/>
  <c r="R249" i="4"/>
  <c r="R1263" i="4"/>
  <c r="R273" i="4"/>
  <c r="Z6" i="13"/>
  <c r="Z8" i="13" s="1"/>
  <c r="Q1041" i="4"/>
  <c r="Q688" i="4"/>
  <c r="Q287" i="4"/>
  <c r="Q324" i="4" s="1"/>
  <c r="R54" i="62"/>
  <c r="Q200" i="4"/>
  <c r="P414" i="4"/>
  <c r="P415" i="4" s="1"/>
  <c r="Q413" i="4" s="1"/>
  <c r="R53" i="64"/>
  <c r="O739" i="4"/>
  <c r="R36" i="4"/>
  <c r="R43" i="4" s="1"/>
  <c r="R62" i="4"/>
  <c r="R528" i="4" s="1"/>
  <c r="R70" i="4"/>
  <c r="R824" i="4"/>
  <c r="R543" i="4"/>
  <c r="R530" i="4"/>
  <c r="R67" i="4"/>
  <c r="R1042" i="4" s="1"/>
  <c r="Q63" i="4"/>
  <c r="Q1389" i="4" s="1"/>
  <c r="R68" i="4"/>
  <c r="R33" i="4"/>
  <c r="R40" i="4" s="1"/>
  <c r="R47" i="4" s="1"/>
  <c r="Q690" i="4"/>
  <c r="Q544" i="4"/>
  <c r="R35" i="4"/>
  <c r="R42" i="4" s="1"/>
  <c r="R49" i="4" s="1"/>
  <c r="R37" i="4"/>
  <c r="R44" i="4" s="1"/>
  <c r="R51" i="4" s="1"/>
  <c r="R198" i="4"/>
  <c r="N739" i="4"/>
  <c r="R19" i="4"/>
  <c r="R20" i="4" s="1"/>
  <c r="R17" i="4"/>
  <c r="R24" i="4" s="1"/>
  <c r="R226" i="4"/>
  <c r="Q288" i="4"/>
  <c r="Q329" i="4" s="1"/>
  <c r="P732" i="4"/>
  <c r="P731" i="4"/>
  <c r="P714" i="4"/>
  <c r="R32" i="4"/>
  <c r="R39" i="4" s="1"/>
  <c r="R46" i="4" s="1"/>
  <c r="R34" i="4"/>
  <c r="R41" i="4" s="1"/>
  <c r="R48" i="4" s="1"/>
  <c r="R1151" i="4"/>
  <c r="R66" i="4"/>
  <c r="Q61" i="4"/>
  <c r="Q318" i="4" s="1"/>
  <c r="R60" i="4"/>
  <c r="R54" i="11"/>
  <c r="S7" i="62"/>
  <c r="S6" i="62" s="1"/>
  <c r="S7" i="4"/>
  <c r="S7" i="11"/>
  <c r="S6" i="11" s="1"/>
  <c r="S7" i="64"/>
  <c r="S6" i="64" s="1"/>
  <c r="S28" i="64" s="1"/>
  <c r="Y7" i="13"/>
  <c r="Y8" i="13"/>
  <c r="S6" i="3"/>
  <c r="S8" i="3"/>
  <c r="AE6" i="72" l="1"/>
  <c r="AE8" i="72"/>
  <c r="AF7" i="72" s="1"/>
  <c r="S16" i="4"/>
  <c r="AF8" i="67"/>
  <c r="AG7" i="67" s="1"/>
  <c r="AF6" i="67"/>
  <c r="AE56" i="3"/>
  <c r="AE60" i="3"/>
  <c r="AE59" i="3"/>
  <c r="Q328" i="4"/>
  <c r="R1036" i="4"/>
  <c r="S1447" i="4"/>
  <c r="S301" i="3"/>
  <c r="S188" i="4" s="1"/>
  <c r="S197" i="4" s="1"/>
  <c r="P718" i="4"/>
  <c r="P717" i="4"/>
  <c r="P722" i="4"/>
  <c r="P721" i="4"/>
  <c r="R54" i="4"/>
  <c r="Q56" i="4" s="1"/>
  <c r="S298" i="3"/>
  <c r="S185" i="4" s="1"/>
  <c r="S194" i="4" s="1"/>
  <c r="S297" i="3"/>
  <c r="S184" i="4" s="1"/>
  <c r="S193" i="4" s="1"/>
  <c r="S355" i="3"/>
  <c r="S241" i="4" s="1"/>
  <c r="S246" i="4" s="1"/>
  <c r="S216" i="3"/>
  <c r="S133" i="4" s="1"/>
  <c r="S356" i="3"/>
  <c r="S242" i="4" s="1"/>
  <c r="S247" i="4" s="1"/>
  <c r="S299" i="3"/>
  <c r="S186" i="4" s="1"/>
  <c r="S195" i="4" s="1"/>
  <c r="S296" i="3"/>
  <c r="S183" i="4" s="1"/>
  <c r="S192" i="4" s="1"/>
  <c r="S300" i="3"/>
  <c r="S187" i="4" s="1"/>
  <c r="S196" i="4" s="1"/>
  <c r="S184" i="3"/>
  <c r="S121" i="4" s="1"/>
  <c r="S240" i="3"/>
  <c r="S145" i="4" s="1"/>
  <c r="S241" i="3"/>
  <c r="S146" i="4" s="1"/>
  <c r="S185" i="3"/>
  <c r="S122" i="4" s="1"/>
  <c r="S242" i="3"/>
  <c r="S147" i="4" s="1"/>
  <c r="S217" i="3"/>
  <c r="S134" i="4" s="1"/>
  <c r="S329" i="3"/>
  <c r="S218" i="4" s="1"/>
  <c r="S223" i="4" s="1"/>
  <c r="S218" i="3"/>
  <c r="S135" i="4" s="1"/>
  <c r="S357" i="3"/>
  <c r="S243" i="4" s="1"/>
  <c r="S248" i="4" s="1"/>
  <c r="S331" i="3"/>
  <c r="S220" i="4" s="1"/>
  <c r="S225" i="4" s="1"/>
  <c r="S330" i="3"/>
  <c r="S219" i="4" s="1"/>
  <c r="S224" i="4" s="1"/>
  <c r="S186" i="3"/>
  <c r="S123" i="4" s="1"/>
  <c r="Z7" i="13"/>
  <c r="R22" i="4"/>
  <c r="Z1429" i="4"/>
  <c r="AA1392" i="4"/>
  <c r="Z1523" i="4"/>
  <c r="Z1524" i="4" s="1"/>
  <c r="R34" i="66"/>
  <c r="Q713" i="4"/>
  <c r="R50" i="4"/>
  <c r="R60" i="62"/>
  <c r="S8" i="66"/>
  <c r="R9" i="66"/>
  <c r="AA6" i="13"/>
  <c r="R642" i="3"/>
  <c r="R9" i="4"/>
  <c r="S1409" i="4"/>
  <c r="S1184" i="4"/>
  <c r="S1183" i="4"/>
  <c r="S1158" i="4"/>
  <c r="S1160" i="4"/>
  <c r="S1156" i="4"/>
  <c r="S30" i="64"/>
  <c r="S314" i="4"/>
  <c r="Q414" i="4"/>
  <c r="Q415" i="4" s="1"/>
  <c r="R413" i="4" s="1"/>
  <c r="R9" i="62"/>
  <c r="R199" i="4"/>
  <c r="R250" i="4"/>
  <c r="R288" i="4"/>
  <c r="R329" i="4" s="1"/>
  <c r="R227" i="4"/>
  <c r="R540" i="4"/>
  <c r="R542" i="4" s="1"/>
  <c r="R9" i="3"/>
  <c r="S28" i="4"/>
  <c r="S30" i="4"/>
  <c r="S29" i="4"/>
  <c r="S21" i="4"/>
  <c r="S15" i="4"/>
  <c r="S8" i="62"/>
  <c r="S8" i="4"/>
  <c r="S8" i="11"/>
  <c r="S6" i="4"/>
  <c r="R9" i="11"/>
  <c r="S8" i="64"/>
  <c r="R9" i="64"/>
  <c r="T7" i="3"/>
  <c r="AF6" i="72" l="1"/>
  <c r="AF8" i="72"/>
  <c r="AG7" i="72" s="1"/>
  <c r="AF60" i="3"/>
  <c r="AF58" i="3"/>
  <c r="AF56" i="3"/>
  <c r="AG8" i="67"/>
  <c r="AH7" i="67" s="1"/>
  <c r="AG6" i="67"/>
  <c r="AF59" i="3"/>
  <c r="S58" i="4"/>
  <c r="R65" i="4"/>
  <c r="R55" i="4"/>
  <c r="R53" i="62"/>
  <c r="S57" i="4"/>
  <c r="S9" i="66" s="1"/>
  <c r="R53" i="4"/>
  <c r="S1129" i="4"/>
  <c r="AB1392" i="4"/>
  <c r="AA1523" i="4"/>
  <c r="AA1524" i="4" s="1"/>
  <c r="AA1429" i="4"/>
  <c r="S295" i="4"/>
  <c r="S303" i="4" s="1"/>
  <c r="T7" i="66"/>
  <c r="T6" i="66" s="1"/>
  <c r="T86" i="64"/>
  <c r="T87" i="64" s="1"/>
  <c r="S529" i="4"/>
  <c r="S1157" i="4"/>
  <c r="R713" i="4"/>
  <c r="Q731" i="4"/>
  <c r="Q714" i="4"/>
  <c r="Q732" i="4"/>
  <c r="S249" i="4"/>
  <c r="P737" i="4"/>
  <c r="P736" i="4"/>
  <c r="S1263" i="4"/>
  <c r="AB6" i="13"/>
  <c r="AA7" i="13"/>
  <c r="AA8" i="13"/>
  <c r="S274" i="4"/>
  <c r="S335" i="4" s="1"/>
  <c r="S1242" i="4"/>
  <c r="S273" i="4"/>
  <c r="S1243" i="4"/>
  <c r="S275" i="4"/>
  <c r="R1041" i="4"/>
  <c r="R688" i="4"/>
  <c r="S54" i="62"/>
  <c r="R287" i="4"/>
  <c r="R324" i="4" s="1"/>
  <c r="S1159" i="4"/>
  <c r="T7" i="4"/>
  <c r="T6" i="4" s="1"/>
  <c r="R414" i="4"/>
  <c r="R415" i="4" s="1"/>
  <c r="S413" i="4" s="1"/>
  <c r="S53" i="64"/>
  <c r="R200" i="4"/>
  <c r="R690" i="4"/>
  <c r="R544" i="4"/>
  <c r="R61" i="4"/>
  <c r="R318" i="4" s="1"/>
  <c r="R328" i="4" s="1"/>
  <c r="R63" i="4"/>
  <c r="R1389" i="4" s="1"/>
  <c r="S66" i="4"/>
  <c r="S33" i="4"/>
  <c r="S35" i="4"/>
  <c r="S226" i="4"/>
  <c r="S17" i="4"/>
  <c r="S19" i="4"/>
  <c r="S20" i="4" s="1"/>
  <c r="S37" i="4"/>
  <c r="S1151" i="4"/>
  <c r="S60" i="4"/>
  <c r="S198" i="4"/>
  <c r="S36" i="4"/>
  <c r="S18" i="4"/>
  <c r="S54" i="11"/>
  <c r="S824" i="4"/>
  <c r="S62" i="4"/>
  <c r="S528" i="4" s="1"/>
  <c r="S543" i="4"/>
  <c r="S530" i="4"/>
  <c r="S67" i="4"/>
  <c r="S70" i="4"/>
  <c r="S68" i="4"/>
  <c r="S32" i="4"/>
  <c r="S34" i="4"/>
  <c r="T7" i="62"/>
  <c r="T6" i="62" s="1"/>
  <c r="T7" i="11"/>
  <c r="T6" i="11" s="1"/>
  <c r="T7" i="64"/>
  <c r="T6" i="64" s="1"/>
  <c r="T28" i="64" s="1"/>
  <c r="T30" i="64" s="1"/>
  <c r="T6" i="3"/>
  <c r="T8" i="3"/>
  <c r="AG8" i="72" l="1"/>
  <c r="AH7" i="72" s="1"/>
  <c r="AG6" i="72"/>
  <c r="T16" i="4"/>
  <c r="AG60" i="3"/>
  <c r="AG58" i="3"/>
  <c r="AH8" i="67"/>
  <c r="AI7" i="67" s="1"/>
  <c r="AH6" i="67"/>
  <c r="AG59" i="3"/>
  <c r="AG56" i="3"/>
  <c r="S1036" i="4"/>
  <c r="T301" i="3"/>
  <c r="T188" i="4" s="1"/>
  <c r="T197" i="4" s="1"/>
  <c r="S15" i="66"/>
  <c r="Q722" i="4"/>
  <c r="Q717" i="4"/>
  <c r="Q718" i="4"/>
  <c r="Q721" i="4"/>
  <c r="S54" i="4"/>
  <c r="S53" i="62" s="1"/>
  <c r="T184" i="3"/>
  <c r="T121" i="4" s="1"/>
  <c r="T298" i="3"/>
  <c r="T185" i="4" s="1"/>
  <c r="T194" i="4" s="1"/>
  <c r="T300" i="3"/>
  <c r="T187" i="4" s="1"/>
  <c r="T196" i="4" s="1"/>
  <c r="T355" i="3"/>
  <c r="T241" i="4" s="1"/>
  <c r="T246" i="4" s="1"/>
  <c r="T297" i="3"/>
  <c r="T184" i="4" s="1"/>
  <c r="T193" i="4" s="1"/>
  <c r="T216" i="3"/>
  <c r="T133" i="4" s="1"/>
  <c r="T240" i="3"/>
  <c r="T145" i="4" s="1"/>
  <c r="T356" i="3"/>
  <c r="T299" i="3"/>
  <c r="T186" i="4" s="1"/>
  <c r="T195" i="4" s="1"/>
  <c r="T296" i="3"/>
  <c r="T183" i="4" s="1"/>
  <c r="T192" i="4" s="1"/>
  <c r="T217" i="3"/>
  <c r="T134" i="4" s="1"/>
  <c r="T329" i="3"/>
  <c r="T218" i="4" s="1"/>
  <c r="T223" i="4" s="1"/>
  <c r="T186" i="3"/>
  <c r="T123" i="4" s="1"/>
  <c r="T242" i="3"/>
  <c r="T147" i="4" s="1"/>
  <c r="T185" i="3"/>
  <c r="T122" i="4" s="1"/>
  <c r="T241" i="3"/>
  <c r="T146" i="4" s="1"/>
  <c r="T357" i="3"/>
  <c r="T243" i="4" s="1"/>
  <c r="T248" i="4" s="1"/>
  <c r="T330" i="3"/>
  <c r="T219" i="4" s="1"/>
  <c r="T224" i="4" s="1"/>
  <c r="T1447" i="4"/>
  <c r="T218" i="3"/>
  <c r="T135" i="4" s="1"/>
  <c r="T331" i="3"/>
  <c r="T220" i="4" s="1"/>
  <c r="T225" i="4" s="1"/>
  <c r="S22" i="4"/>
  <c r="S642" i="3"/>
  <c r="S1041" i="4" s="1"/>
  <c r="S1042" i="4"/>
  <c r="AC1392" i="4"/>
  <c r="AB1523" i="4"/>
  <c r="AB1524" i="4" s="1"/>
  <c r="AB1429" i="4"/>
  <c r="S24" i="4"/>
  <c r="R714" i="4"/>
  <c r="R731" i="4"/>
  <c r="R732" i="4"/>
  <c r="S34" i="66"/>
  <c r="T8" i="66"/>
  <c r="S60" i="62"/>
  <c r="AC6" i="13"/>
  <c r="AB7" i="13"/>
  <c r="AB8" i="13"/>
  <c r="T15" i="4"/>
  <c r="T1184" i="4"/>
  <c r="T1183" i="4"/>
  <c r="T1158" i="4"/>
  <c r="T1159" i="4" s="1"/>
  <c r="T1160" i="4"/>
  <c r="T1156" i="4"/>
  <c r="T1409" i="4"/>
  <c r="T314" i="4"/>
  <c r="S9" i="3"/>
  <c r="P738" i="4"/>
  <c r="T8" i="4"/>
  <c r="T28" i="4"/>
  <c r="T30" i="4"/>
  <c r="T29" i="4"/>
  <c r="S40" i="4"/>
  <c r="S47" i="4" s="1"/>
  <c r="T21" i="4"/>
  <c r="S287" i="4"/>
  <c r="S324" i="4" s="1"/>
  <c r="S540" i="4"/>
  <c r="S43" i="4"/>
  <c r="S50" i="4" s="1"/>
  <c r="S39" i="4"/>
  <c r="S46" i="4" s="1"/>
  <c r="S227" i="4"/>
  <c r="S44" i="4"/>
  <c r="S51" i="4" s="1"/>
  <c r="S42" i="4"/>
  <c r="S49" i="4" s="1"/>
  <c r="S41" i="4"/>
  <c r="S48" i="4" s="1"/>
  <c r="S250" i="4"/>
  <c r="S199" i="4"/>
  <c r="S9" i="11"/>
  <c r="S9" i="62"/>
  <c r="S9" i="4"/>
  <c r="T8" i="62"/>
  <c r="T8" i="11"/>
  <c r="T8" i="64"/>
  <c r="S9" i="64"/>
  <c r="U7" i="3"/>
  <c r="AH6" i="72" l="1"/>
  <c r="AH8" i="72"/>
  <c r="AI7" i="72" s="1"/>
  <c r="AH56" i="3"/>
  <c r="AH58" i="3"/>
  <c r="S65" i="4"/>
  <c r="AH60" i="3"/>
  <c r="AH59" i="3"/>
  <c r="AI6" i="67"/>
  <c r="AI58" i="3" s="1"/>
  <c r="AI8" i="67"/>
  <c r="AJ7" i="67" s="1"/>
  <c r="S55" i="4"/>
  <c r="R56" i="4"/>
  <c r="T58" i="4"/>
  <c r="R717" i="4"/>
  <c r="R722" i="4"/>
  <c r="R721" i="4"/>
  <c r="R718" i="4"/>
  <c r="T242" i="4"/>
  <c r="T247" i="4" s="1"/>
  <c r="T57" i="4"/>
  <c r="S53" i="4"/>
  <c r="S688" i="4"/>
  <c r="T1129" i="4"/>
  <c r="AD1392" i="4"/>
  <c r="AC1429" i="4"/>
  <c r="AC1523" i="4"/>
  <c r="AC1524" i="4" s="1"/>
  <c r="T295" i="4"/>
  <c r="U7" i="66"/>
  <c r="U6" i="66" s="1"/>
  <c r="U86" i="64"/>
  <c r="U87" i="64" s="1"/>
  <c r="T529" i="4"/>
  <c r="T1157" i="4"/>
  <c r="S542" i="4"/>
  <c r="S544" i="4" s="1"/>
  <c r="Q736" i="4"/>
  <c r="Q737" i="4"/>
  <c r="T226" i="4"/>
  <c r="T249" i="4"/>
  <c r="T18" i="4"/>
  <c r="T1263" i="4"/>
  <c r="AC7" i="13"/>
  <c r="AC8" i="13"/>
  <c r="AD6" i="13"/>
  <c r="T1242" i="4"/>
  <c r="T274" i="4"/>
  <c r="T335" i="4" s="1"/>
  <c r="T1243" i="4"/>
  <c r="T275" i="4"/>
  <c r="T273" i="4"/>
  <c r="T67" i="4"/>
  <c r="T1042" i="4" s="1"/>
  <c r="T68" i="4"/>
  <c r="U7" i="4"/>
  <c r="U6" i="4" s="1"/>
  <c r="T54" i="62"/>
  <c r="P739" i="4"/>
  <c r="T53" i="64"/>
  <c r="T198" i="4"/>
  <c r="T60" i="4"/>
  <c r="T1151" i="4"/>
  <c r="T34" i="4"/>
  <c r="T70" i="4"/>
  <c r="T824" i="4"/>
  <c r="T62" i="4"/>
  <c r="T528" i="4" s="1"/>
  <c r="T543" i="4"/>
  <c r="T530" i="4"/>
  <c r="T36" i="4"/>
  <c r="T32" i="4"/>
  <c r="T35" i="4"/>
  <c r="T33" i="4"/>
  <c r="T19" i="4"/>
  <c r="T20" i="4" s="1"/>
  <c r="T17" i="4"/>
  <c r="T66" i="4"/>
  <c r="S713" i="4"/>
  <c r="S731" i="4" s="1"/>
  <c r="S288" i="4"/>
  <c r="S329" i="4" s="1"/>
  <c r="S200" i="4"/>
  <c r="S61" i="4"/>
  <c r="S318" i="4" s="1"/>
  <c r="S328" i="4" s="1"/>
  <c r="T54" i="11"/>
  <c r="S63" i="4"/>
  <c r="S1389" i="4" s="1"/>
  <c r="U7" i="62"/>
  <c r="U6" i="62" s="1"/>
  <c r="U7" i="11"/>
  <c r="U6" i="11" s="1"/>
  <c r="U7" i="64"/>
  <c r="U6" i="64" s="1"/>
  <c r="U28" i="64" s="1"/>
  <c r="U30" i="64" s="1"/>
  <c r="U6" i="3"/>
  <c r="U8" i="3"/>
  <c r="AI8" i="72" l="1"/>
  <c r="AJ7" i="72" s="1"/>
  <c r="AI6" i="72"/>
  <c r="U16" i="4"/>
  <c r="AI60" i="3"/>
  <c r="AI59" i="3"/>
  <c r="AI56" i="3"/>
  <c r="AJ8" i="67"/>
  <c r="AK7" i="67" s="1"/>
  <c r="AK6" i="67" s="1"/>
  <c r="AJ6" i="67"/>
  <c r="AJ58" i="3" s="1"/>
  <c r="T37" i="4"/>
  <c r="T44" i="4" s="1"/>
  <c r="T51" i="4" s="1"/>
  <c r="T15" i="66"/>
  <c r="T1036" i="4"/>
  <c r="U331" i="3"/>
  <c r="U220" i="4" s="1"/>
  <c r="U225" i="4" s="1"/>
  <c r="U301" i="3"/>
  <c r="U188" i="4" s="1"/>
  <c r="U197" i="4" s="1"/>
  <c r="T54" i="4"/>
  <c r="T65" i="4" s="1"/>
  <c r="U1447" i="4"/>
  <c r="U355" i="3"/>
  <c r="U241" i="4" s="1"/>
  <c r="U246" i="4" s="1"/>
  <c r="T9" i="66"/>
  <c r="U356" i="3"/>
  <c r="U242" i="4" s="1"/>
  <c r="U247" i="4" s="1"/>
  <c r="U186" i="3"/>
  <c r="U123" i="4" s="1"/>
  <c r="U298" i="3"/>
  <c r="U185" i="4" s="1"/>
  <c r="U194" i="4" s="1"/>
  <c r="U240" i="3"/>
  <c r="U145" i="4" s="1"/>
  <c r="U297" i="3"/>
  <c r="U184" i="4" s="1"/>
  <c r="U193" i="4" s="1"/>
  <c r="U329" i="3"/>
  <c r="U218" i="4" s="1"/>
  <c r="U223" i="4" s="1"/>
  <c r="U184" i="3"/>
  <c r="U121" i="4" s="1"/>
  <c r="U300" i="3"/>
  <c r="U187" i="4" s="1"/>
  <c r="U196" i="4" s="1"/>
  <c r="U216" i="3"/>
  <c r="U133" i="4" s="1"/>
  <c r="U217" i="3"/>
  <c r="U134" i="4" s="1"/>
  <c r="U299" i="3"/>
  <c r="U186" i="4" s="1"/>
  <c r="U195" i="4" s="1"/>
  <c r="U296" i="3"/>
  <c r="U183" i="4" s="1"/>
  <c r="U192" i="4" s="1"/>
  <c r="U241" i="3"/>
  <c r="U146" i="4" s="1"/>
  <c r="U242" i="3"/>
  <c r="U147" i="4" s="1"/>
  <c r="U357" i="3"/>
  <c r="U243" i="4" s="1"/>
  <c r="U248" i="4" s="1"/>
  <c r="U330" i="3"/>
  <c r="U219" i="4" s="1"/>
  <c r="U224" i="4" s="1"/>
  <c r="U218" i="3"/>
  <c r="U135" i="4" s="1"/>
  <c r="U185" i="3"/>
  <c r="U122" i="4" s="1"/>
  <c r="T22" i="4"/>
  <c r="AD1523" i="4"/>
  <c r="AD1524" i="4" s="1"/>
  <c r="AD1429" i="4"/>
  <c r="AE1392" i="4"/>
  <c r="S690" i="4"/>
  <c r="R736" i="4"/>
  <c r="Q738" i="4"/>
  <c r="T24" i="4"/>
  <c r="R737" i="4"/>
  <c r="U8" i="66"/>
  <c r="T34" i="66"/>
  <c r="T227" i="4"/>
  <c r="T250" i="4"/>
  <c r="T60" i="62"/>
  <c r="AE6" i="13"/>
  <c r="AD7" i="13"/>
  <c r="AD8" i="13"/>
  <c r="U314" i="4"/>
  <c r="U275" i="4" s="1"/>
  <c r="T9" i="62"/>
  <c r="T642" i="3"/>
  <c r="U15" i="4"/>
  <c r="T9" i="3"/>
  <c r="T9" i="11"/>
  <c r="U1183" i="4"/>
  <c r="U1158" i="4"/>
  <c r="U1159" i="4" s="1"/>
  <c r="U1160" i="4"/>
  <c r="U1156" i="4"/>
  <c r="U1184" i="4"/>
  <c r="T9" i="4"/>
  <c r="U1409" i="4"/>
  <c r="S414" i="4"/>
  <c r="S415" i="4" s="1"/>
  <c r="T413" i="4" s="1"/>
  <c r="S732" i="4"/>
  <c r="S714" i="4"/>
  <c r="U21" i="4"/>
  <c r="T199" i="4"/>
  <c r="T42" i="4"/>
  <c r="T49" i="4" s="1"/>
  <c r="T39" i="4"/>
  <c r="T46" i="4" s="1"/>
  <c r="T303" i="4"/>
  <c r="T41" i="4"/>
  <c r="T48" i="4" s="1"/>
  <c r="T540" i="4"/>
  <c r="T542" i="4" s="1"/>
  <c r="U8" i="4"/>
  <c r="U28" i="4"/>
  <c r="U30" i="4"/>
  <c r="U29" i="4"/>
  <c r="T40" i="4"/>
  <c r="T47" i="4" s="1"/>
  <c r="T43" i="4"/>
  <c r="T50" i="4" s="1"/>
  <c r="U8" i="62"/>
  <c r="U8" i="11"/>
  <c r="U8" i="64"/>
  <c r="T9" i="64"/>
  <c r="V7" i="3"/>
  <c r="AJ8" i="72" l="1"/>
  <c r="AK7" i="72" s="1"/>
  <c r="AJ6" i="72"/>
  <c r="AK8" i="67"/>
  <c r="AL7" i="67" s="1"/>
  <c r="AJ60" i="3"/>
  <c r="AJ59" i="3"/>
  <c r="AJ56" i="3"/>
  <c r="AK60" i="3"/>
  <c r="AK58" i="3"/>
  <c r="AK59" i="3"/>
  <c r="AK56" i="3"/>
  <c r="T53" i="62"/>
  <c r="T55" i="4"/>
  <c r="S56" i="4"/>
  <c r="S721" i="4"/>
  <c r="S718" i="4"/>
  <c r="S722" i="4"/>
  <c r="S717" i="4"/>
  <c r="U58" i="4"/>
  <c r="U57" i="4"/>
  <c r="U1129" i="4"/>
  <c r="T53" i="4"/>
  <c r="AE1429" i="4"/>
  <c r="AF1392" i="4"/>
  <c r="AE1523" i="4"/>
  <c r="AE1524" i="4" s="1"/>
  <c r="U295" i="4"/>
  <c r="V7" i="66"/>
  <c r="V6" i="66" s="1"/>
  <c r="V86" i="64"/>
  <c r="V87" i="64" s="1"/>
  <c r="U529" i="4"/>
  <c r="Q739" i="4"/>
  <c r="U1157" i="4"/>
  <c r="R738" i="4"/>
  <c r="R739" i="4" s="1"/>
  <c r="U226" i="4"/>
  <c r="U249" i="4"/>
  <c r="U18" i="4"/>
  <c r="AE8" i="13"/>
  <c r="AF6" i="13"/>
  <c r="AE7" i="13"/>
  <c r="U274" i="4"/>
  <c r="U335" i="4" s="1"/>
  <c r="U1242" i="4"/>
  <c r="U273" i="4"/>
  <c r="U1243" i="4"/>
  <c r="T1041" i="4"/>
  <c r="T688" i="4"/>
  <c r="T287" i="4"/>
  <c r="T324" i="4" s="1"/>
  <c r="U54" i="62"/>
  <c r="V7" i="4"/>
  <c r="V15" i="4" s="1"/>
  <c r="U66" i="4"/>
  <c r="U1263" i="4"/>
  <c r="U33" i="4"/>
  <c r="U40" i="4" s="1"/>
  <c r="U47" i="4" s="1"/>
  <c r="U53" i="64"/>
  <c r="T200" i="4"/>
  <c r="U35" i="4"/>
  <c r="U19" i="4"/>
  <c r="U20" i="4" s="1"/>
  <c r="U17" i="4"/>
  <c r="T288" i="4"/>
  <c r="T329" i="4" s="1"/>
  <c r="U198" i="4"/>
  <c r="U1151" i="4"/>
  <c r="U60" i="4"/>
  <c r="T61" i="4"/>
  <c r="T318" i="4" s="1"/>
  <c r="T328" i="4" s="1"/>
  <c r="U37" i="4"/>
  <c r="U70" i="4"/>
  <c r="U62" i="4"/>
  <c r="U528" i="4" s="1"/>
  <c r="U824" i="4"/>
  <c r="U543" i="4"/>
  <c r="U530" i="4"/>
  <c r="U68" i="4"/>
  <c r="T63" i="4"/>
  <c r="T1389" i="4" s="1"/>
  <c r="U67" i="4"/>
  <c r="T690" i="4"/>
  <c r="T544" i="4"/>
  <c r="U32" i="4"/>
  <c r="U34" i="4"/>
  <c r="U36" i="4"/>
  <c r="U54" i="11"/>
  <c r="V7" i="62"/>
  <c r="V6" i="62" s="1"/>
  <c r="V7" i="11"/>
  <c r="V6" i="11" s="1"/>
  <c r="V7" i="64"/>
  <c r="V6" i="64" s="1"/>
  <c r="V28" i="64" s="1"/>
  <c r="V30" i="64" s="1"/>
  <c r="V8" i="3"/>
  <c r="V6" i="3"/>
  <c r="AK6" i="72" l="1"/>
  <c r="AK8" i="72"/>
  <c r="AL7" i="72"/>
  <c r="V16" i="4"/>
  <c r="AM7" i="67"/>
  <c r="AM8" i="67" s="1"/>
  <c r="AL8" i="67"/>
  <c r="AL6" i="67"/>
  <c r="AL59" i="3" s="1"/>
  <c r="U15" i="66"/>
  <c r="U1036" i="4"/>
  <c r="S737" i="4"/>
  <c r="V184" i="3"/>
  <c r="V121" i="4" s="1"/>
  <c r="V301" i="3"/>
  <c r="V188" i="4" s="1"/>
  <c r="V197" i="4" s="1"/>
  <c r="U54" i="4"/>
  <c r="U55" i="4" s="1"/>
  <c r="V1447" i="4"/>
  <c r="V298" i="3"/>
  <c r="V185" i="4" s="1"/>
  <c r="V194" i="4" s="1"/>
  <c r="V355" i="3"/>
  <c r="V241" i="4" s="1"/>
  <c r="V246" i="4" s="1"/>
  <c r="V240" i="3"/>
  <c r="V145" i="4" s="1"/>
  <c r="V297" i="3"/>
  <c r="V184" i="4" s="1"/>
  <c r="V193" i="4" s="1"/>
  <c r="V356" i="3"/>
  <c r="V242" i="4" s="1"/>
  <c r="V247" i="4" s="1"/>
  <c r="V216" i="3"/>
  <c r="V133" i="4" s="1"/>
  <c r="V186" i="3"/>
  <c r="V329" i="3"/>
  <c r="V218" i="4" s="1"/>
  <c r="V223" i="4" s="1"/>
  <c r="V218" i="3"/>
  <c r="V135" i="4" s="1"/>
  <c r="V299" i="3"/>
  <c r="V186" i="4" s="1"/>
  <c r="V195" i="4" s="1"/>
  <c r="V217" i="3"/>
  <c r="V134" i="4" s="1"/>
  <c r="V242" i="3"/>
  <c r="V147" i="4" s="1"/>
  <c r="V357" i="3"/>
  <c r="V243" i="4" s="1"/>
  <c r="V248" i="4" s="1"/>
  <c r="V331" i="3"/>
  <c r="V220" i="4" s="1"/>
  <c r="V225" i="4" s="1"/>
  <c r="V300" i="3"/>
  <c r="V187" i="4" s="1"/>
  <c r="V196" i="4" s="1"/>
  <c r="V330" i="3"/>
  <c r="V219" i="4" s="1"/>
  <c r="V224" i="4" s="1"/>
  <c r="V241" i="3"/>
  <c r="V146" i="4" s="1"/>
  <c r="V185" i="3"/>
  <c r="V122" i="4" s="1"/>
  <c r="V296" i="3"/>
  <c r="V183" i="4" s="1"/>
  <c r="V192" i="4" s="1"/>
  <c r="U22" i="4"/>
  <c r="U642" i="3"/>
  <c r="U1041" i="4" s="1"/>
  <c r="U1042" i="4"/>
  <c r="AG1392" i="4"/>
  <c r="AF1523" i="4"/>
  <c r="AF1524" i="4" s="1"/>
  <c r="AF1429" i="4"/>
  <c r="U34" i="66"/>
  <c r="U540" i="4"/>
  <c r="U542" i="4" s="1"/>
  <c r="U544" i="4" s="1"/>
  <c r="S736" i="4"/>
  <c r="U24" i="4"/>
  <c r="V8" i="66"/>
  <c r="U60" i="62"/>
  <c r="U9" i="66"/>
  <c r="AF8" i="13"/>
  <c r="AG6" i="13"/>
  <c r="AF7" i="13"/>
  <c r="V6" i="4"/>
  <c r="V1160" i="4"/>
  <c r="V1156" i="4"/>
  <c r="V1184" i="4"/>
  <c r="V1158" i="4"/>
  <c r="V1159" i="4" s="1"/>
  <c r="V1183" i="4"/>
  <c r="V1409" i="4"/>
  <c r="U9" i="11"/>
  <c r="V314" i="4"/>
  <c r="T414" i="4"/>
  <c r="T415" i="4" s="1"/>
  <c r="U413" i="4" s="1"/>
  <c r="U9" i="4"/>
  <c r="V21" i="4"/>
  <c r="V28" i="4"/>
  <c r="V8" i="4"/>
  <c r="V30" i="4"/>
  <c r="V29" i="4"/>
  <c r="U250" i="4"/>
  <c r="U44" i="4"/>
  <c r="U51" i="4" s="1"/>
  <c r="U41" i="4"/>
  <c r="U48" i="4" s="1"/>
  <c r="T713" i="4"/>
  <c r="V18" i="4"/>
  <c r="U227" i="4"/>
  <c r="U199" i="4"/>
  <c r="U303" i="4"/>
  <c r="U43" i="4"/>
  <c r="U50" i="4" s="1"/>
  <c r="U39" i="4"/>
  <c r="U46" i="4" s="1"/>
  <c r="U42" i="4"/>
  <c r="U49" i="4" s="1"/>
  <c r="U9" i="3"/>
  <c r="U9" i="62"/>
  <c r="V8" i="62"/>
  <c r="V8" i="11"/>
  <c r="V8" i="64"/>
  <c r="U9" i="64"/>
  <c r="W7" i="3"/>
  <c r="AL60" i="3" l="1"/>
  <c r="AN7" i="67"/>
  <c r="AL6" i="72"/>
  <c r="AL8" i="72"/>
  <c r="AM7" i="72"/>
  <c r="AL95" i="67"/>
  <c r="AL56" i="3"/>
  <c r="AM6" i="67"/>
  <c r="AM56" i="3" s="1"/>
  <c r="AN8" i="67"/>
  <c r="AN6" i="67"/>
  <c r="U53" i="62"/>
  <c r="U65" i="4"/>
  <c r="V58" i="4"/>
  <c r="T56" i="4"/>
  <c r="V123" i="4"/>
  <c r="V32" i="4" s="1"/>
  <c r="U53" i="4"/>
  <c r="V57" i="4"/>
  <c r="V9" i="66" s="1"/>
  <c r="V1129" i="4"/>
  <c r="U688" i="4"/>
  <c r="AO7" i="67"/>
  <c r="AG1429" i="4"/>
  <c r="AH1392" i="4"/>
  <c r="AG1523" i="4"/>
  <c r="AG1524" i="4" s="1"/>
  <c r="V295" i="4"/>
  <c r="W7" i="66"/>
  <c r="W6" i="66" s="1"/>
  <c r="W86" i="64"/>
  <c r="W87" i="64" s="1"/>
  <c r="V529" i="4"/>
  <c r="V1157" i="4"/>
  <c r="V249" i="4"/>
  <c r="V1263" i="4"/>
  <c r="AG8" i="13"/>
  <c r="AH6" i="13"/>
  <c r="AG7" i="13"/>
  <c r="S738" i="4"/>
  <c r="S739" i="4" s="1"/>
  <c r="V274" i="4"/>
  <c r="V335" i="4" s="1"/>
  <c r="V1242" i="4"/>
  <c r="V273" i="4"/>
  <c r="V275" i="4"/>
  <c r="V1243" i="4"/>
  <c r="U690" i="4"/>
  <c r="U287" i="4"/>
  <c r="U324" i="4" s="1"/>
  <c r="V67" i="4"/>
  <c r="V68" i="4"/>
  <c r="V54" i="62"/>
  <c r="W7" i="4"/>
  <c r="W15" i="4" s="1"/>
  <c r="V53" i="64"/>
  <c r="V34" i="4"/>
  <c r="V41" i="4" s="1"/>
  <c r="V48" i="4" s="1"/>
  <c r="V198" i="4"/>
  <c r="T732" i="4"/>
  <c r="T714" i="4"/>
  <c r="T731" i="4"/>
  <c r="V19" i="4"/>
  <c r="V20" i="4" s="1"/>
  <c r="V17" i="4"/>
  <c r="V24" i="4" s="1"/>
  <c r="V36" i="4"/>
  <c r="U288" i="4"/>
  <c r="U329" i="4" s="1"/>
  <c r="U200" i="4"/>
  <c r="U713" i="4"/>
  <c r="V1151" i="4"/>
  <c r="V60" i="4"/>
  <c r="V66" i="4"/>
  <c r="U61" i="4"/>
  <c r="U318" i="4" s="1"/>
  <c r="U328" i="4" s="1"/>
  <c r="V35" i="4"/>
  <c r="V226" i="4"/>
  <c r="V70" i="4"/>
  <c r="V824" i="4"/>
  <c r="V62" i="4"/>
  <c r="V528" i="4" s="1"/>
  <c r="V543" i="4"/>
  <c r="V530" i="4"/>
  <c r="U63" i="4"/>
  <c r="U1389" i="4" s="1"/>
  <c r="V33" i="4"/>
  <c r="V37" i="4"/>
  <c r="V54" i="11"/>
  <c r="W7" i="62"/>
  <c r="W6" i="62" s="1"/>
  <c r="W7" i="11"/>
  <c r="W6" i="11" s="1"/>
  <c r="W7" i="64"/>
  <c r="W6" i="64" s="1"/>
  <c r="W28" i="64" s="1"/>
  <c r="W30" i="64" s="1"/>
  <c r="W8" i="3"/>
  <c r="W6" i="3"/>
  <c r="AM60" i="3" l="1"/>
  <c r="W16" i="4"/>
  <c r="AM95" i="67"/>
  <c r="AM6" i="72"/>
  <c r="AM8" i="72"/>
  <c r="AN7" i="72"/>
  <c r="AM58" i="3"/>
  <c r="AM59" i="3"/>
  <c r="AO8" i="67"/>
  <c r="AO6" i="67"/>
  <c r="AN60" i="3"/>
  <c r="AN59" i="3"/>
  <c r="AN58" i="3"/>
  <c r="AN95" i="67"/>
  <c r="AN56" i="3"/>
  <c r="V15" i="66"/>
  <c r="V1036" i="4"/>
  <c r="W296" i="3"/>
  <c r="W183" i="4" s="1"/>
  <c r="W192" i="4" s="1"/>
  <c r="W301" i="3"/>
  <c r="W188" i="4" s="1"/>
  <c r="W197" i="4" s="1"/>
  <c r="V54" i="4"/>
  <c r="V65" i="4" s="1"/>
  <c r="T722" i="4"/>
  <c r="T721" i="4"/>
  <c r="T718" i="4"/>
  <c r="T717" i="4"/>
  <c r="W1447" i="4"/>
  <c r="W330" i="3"/>
  <c r="W219" i="4" s="1"/>
  <c r="W224" i="4" s="1"/>
  <c r="W218" i="3"/>
  <c r="W135" i="4" s="1"/>
  <c r="W298" i="3"/>
  <c r="W185" i="4" s="1"/>
  <c r="W194" i="4" s="1"/>
  <c r="W300" i="3"/>
  <c r="W187" i="4" s="1"/>
  <c r="W196" i="4" s="1"/>
  <c r="W240" i="3"/>
  <c r="W145" i="4" s="1"/>
  <c r="W355" i="3"/>
  <c r="W241" i="4" s="1"/>
  <c r="W246" i="4" s="1"/>
  <c r="W184" i="3"/>
  <c r="W297" i="3"/>
  <c r="W184" i="4" s="1"/>
  <c r="W193" i="4" s="1"/>
  <c r="W185" i="3"/>
  <c r="W122" i="4" s="1"/>
  <c r="W331" i="3"/>
  <c r="W220" i="4" s="1"/>
  <c r="W225" i="4" s="1"/>
  <c r="W329" i="3"/>
  <c r="W218" i="4" s="1"/>
  <c r="W223" i="4" s="1"/>
  <c r="W216" i="3"/>
  <c r="W133" i="4" s="1"/>
  <c r="W217" i="3"/>
  <c r="W134" i="4" s="1"/>
  <c r="W241" i="3"/>
  <c r="W146" i="4" s="1"/>
  <c r="W299" i="3"/>
  <c r="W186" i="4" s="1"/>
  <c r="W195" i="4" s="1"/>
  <c r="W242" i="3"/>
  <c r="W147" i="4" s="1"/>
  <c r="W356" i="3"/>
  <c r="W242" i="4" s="1"/>
  <c r="W247" i="4" s="1"/>
  <c r="W357" i="3"/>
  <c r="W243" i="4" s="1"/>
  <c r="W248" i="4" s="1"/>
  <c r="W186" i="3"/>
  <c r="W123" i="4" s="1"/>
  <c r="AP7" i="67"/>
  <c r="V22" i="4"/>
  <c r="V642" i="3"/>
  <c r="V688" i="4" s="1"/>
  <c r="V1042" i="4"/>
  <c r="AH1429" i="4"/>
  <c r="AH1523" i="4"/>
  <c r="AH1524" i="4" s="1"/>
  <c r="AI1392" i="4"/>
  <c r="V34" i="66"/>
  <c r="V9" i="3"/>
  <c r="W8" i="66"/>
  <c r="V60" i="62"/>
  <c r="AH7" i="13"/>
  <c r="AI6" i="13"/>
  <c r="AH8" i="13"/>
  <c r="W6" i="4"/>
  <c r="W1160" i="4"/>
  <c r="W1156" i="4"/>
  <c r="W1184" i="4"/>
  <c r="W1158" i="4"/>
  <c r="W1159" i="4" s="1"/>
  <c r="W1183" i="4"/>
  <c r="W314" i="4"/>
  <c r="W1409" i="4"/>
  <c r="U414" i="4"/>
  <c r="U415" i="4" s="1"/>
  <c r="V413" i="4" s="1"/>
  <c r="V540" i="4"/>
  <c r="V43" i="4"/>
  <c r="V50" i="4" s="1"/>
  <c r="V44" i="4"/>
  <c r="V51" i="4" s="1"/>
  <c r="V227" i="4"/>
  <c r="V40" i="4"/>
  <c r="V47" i="4" s="1"/>
  <c r="V9" i="4"/>
  <c r="V39" i="4"/>
  <c r="V46" i="4" s="1"/>
  <c r="U732" i="4"/>
  <c r="U731" i="4"/>
  <c r="V303" i="4"/>
  <c r="W18" i="4"/>
  <c r="V199" i="4"/>
  <c r="U714" i="4"/>
  <c r="V42" i="4"/>
  <c r="V49" i="4" s="1"/>
  <c r="W28" i="4"/>
  <c r="W8" i="4"/>
  <c r="W30" i="4"/>
  <c r="W29" i="4"/>
  <c r="V250" i="4"/>
  <c r="W21" i="4"/>
  <c r="W8" i="62"/>
  <c r="W8" i="11"/>
  <c r="V9" i="11"/>
  <c r="V9" i="62"/>
  <c r="W8" i="64"/>
  <c r="V9" i="64"/>
  <c r="X7" i="3"/>
  <c r="AN6" i="72" l="1"/>
  <c r="AN8" i="72"/>
  <c r="AO7" i="72"/>
  <c r="AP8" i="67"/>
  <c r="AP6" i="67"/>
  <c r="AO60" i="3"/>
  <c r="AO59" i="3"/>
  <c r="AO58" i="3"/>
  <c r="AO95" i="67"/>
  <c r="AO56" i="3"/>
  <c r="V1041" i="4"/>
  <c r="V53" i="62"/>
  <c r="V55" i="4"/>
  <c r="W58" i="4"/>
  <c r="U56" i="4"/>
  <c r="U722" i="4"/>
  <c r="U718" i="4"/>
  <c r="U721" i="4"/>
  <c r="U717" i="4"/>
  <c r="W121" i="4"/>
  <c r="W32" i="4" s="1"/>
  <c r="W57" i="4"/>
  <c r="V53" i="4"/>
  <c r="W1129" i="4"/>
  <c r="AQ7" i="67"/>
  <c r="AJ1392" i="4"/>
  <c r="AI1523" i="4"/>
  <c r="AI1524" i="4" s="1"/>
  <c r="AI1429" i="4"/>
  <c r="W295" i="4"/>
  <c r="X7" i="66"/>
  <c r="X6" i="66" s="1"/>
  <c r="X86" i="64"/>
  <c r="X87" i="64" s="1"/>
  <c r="W529" i="4"/>
  <c r="W1157" i="4"/>
  <c r="T736" i="4"/>
  <c r="V542" i="4"/>
  <c r="V544" i="4" s="1"/>
  <c r="W249" i="4"/>
  <c r="T737" i="4"/>
  <c r="AI7" i="13"/>
  <c r="AI8" i="13"/>
  <c r="AJ6" i="13"/>
  <c r="W274" i="4"/>
  <c r="W335" i="4" s="1"/>
  <c r="W1242" i="4"/>
  <c r="W273" i="4"/>
  <c r="W275" i="4"/>
  <c r="W1243" i="4"/>
  <c r="V287" i="4"/>
  <c r="V324" i="4" s="1"/>
  <c r="W54" i="62"/>
  <c r="X7" i="4"/>
  <c r="X15" i="4" s="1"/>
  <c r="W66" i="4"/>
  <c r="W1263" i="4"/>
  <c r="W53" i="64"/>
  <c r="V200" i="4"/>
  <c r="W33" i="4"/>
  <c r="W40" i="4" s="1"/>
  <c r="W47" i="4" s="1"/>
  <c r="W34" i="4"/>
  <c r="W41" i="4" s="1"/>
  <c r="W48" i="4" s="1"/>
  <c r="W198" i="4"/>
  <c r="W17" i="4"/>
  <c r="W24" i="4" s="1"/>
  <c r="W19" i="4"/>
  <c r="W20" i="4" s="1"/>
  <c r="V288" i="4"/>
  <c r="V329" i="4" s="1"/>
  <c r="W36" i="4"/>
  <c r="W1151" i="4"/>
  <c r="V61" i="4"/>
  <c r="V318" i="4" s="1"/>
  <c r="V328" i="4" s="1"/>
  <c r="W60" i="4"/>
  <c r="W70" i="4"/>
  <c r="W62" i="4"/>
  <c r="W528" i="4" s="1"/>
  <c r="W824" i="4"/>
  <c r="W543" i="4"/>
  <c r="W530" i="4"/>
  <c r="W68" i="4"/>
  <c r="V63" i="4"/>
  <c r="V1389" i="4" s="1"/>
  <c r="W67" i="4"/>
  <c r="W35" i="4"/>
  <c r="W226" i="4"/>
  <c r="W37" i="4"/>
  <c r="W54" i="11"/>
  <c r="X7" i="64"/>
  <c r="X6" i="64" s="1"/>
  <c r="X28" i="64" s="1"/>
  <c r="X30" i="64" s="1"/>
  <c r="X7" i="62"/>
  <c r="X6" i="62" s="1"/>
  <c r="X7" i="11"/>
  <c r="X6" i="11" s="1"/>
  <c r="X8" i="3"/>
  <c r="X6" i="3"/>
  <c r="X16" i="4" l="1"/>
  <c r="AO8" i="72"/>
  <c r="AO6" i="72"/>
  <c r="AP7" i="72"/>
  <c r="AQ8" i="67"/>
  <c r="AQ6" i="67"/>
  <c r="AP59" i="3"/>
  <c r="AP58" i="3"/>
  <c r="AP60" i="3"/>
  <c r="AP95" i="67"/>
  <c r="AP56" i="3"/>
  <c r="W15" i="66"/>
  <c r="W1036" i="4"/>
  <c r="X217" i="3"/>
  <c r="X134" i="4" s="1"/>
  <c r="X330" i="3"/>
  <c r="X219" i="4" s="1"/>
  <c r="X224" i="4" s="1"/>
  <c r="X301" i="3"/>
  <c r="X188" i="4" s="1"/>
  <c r="X197" i="4" s="1"/>
  <c r="W54" i="4"/>
  <c r="W53" i="62" s="1"/>
  <c r="X218" i="3"/>
  <c r="X135" i="4" s="1"/>
  <c r="X357" i="3"/>
  <c r="X243" i="4" s="1"/>
  <c r="X248" i="4" s="1"/>
  <c r="X300" i="3"/>
  <c r="X187" i="4" s="1"/>
  <c r="X196" i="4" s="1"/>
  <c r="X1447" i="4"/>
  <c r="X355" i="3"/>
  <c r="X241" i="4" s="1"/>
  <c r="X246" i="4" s="1"/>
  <c r="X242" i="3"/>
  <c r="X147" i="4" s="1"/>
  <c r="X241" i="3"/>
  <c r="X146" i="4" s="1"/>
  <c r="X298" i="3"/>
  <c r="X185" i="4" s="1"/>
  <c r="X194" i="4" s="1"/>
  <c r="X356" i="3"/>
  <c r="X242" i="4" s="1"/>
  <c r="X247" i="4" s="1"/>
  <c r="X297" i="3"/>
  <c r="X184" i="4" s="1"/>
  <c r="X193" i="4" s="1"/>
  <c r="X186" i="3"/>
  <c r="X123" i="4" s="1"/>
  <c r="X296" i="3"/>
  <c r="X183" i="4" s="1"/>
  <c r="X192" i="4" s="1"/>
  <c r="X240" i="3"/>
  <c r="X145" i="4" s="1"/>
  <c r="X216" i="3"/>
  <c r="X133" i="4" s="1"/>
  <c r="X329" i="3"/>
  <c r="X218" i="4" s="1"/>
  <c r="X223" i="4" s="1"/>
  <c r="X331" i="3"/>
  <c r="X220" i="4" s="1"/>
  <c r="X225" i="4" s="1"/>
  <c r="X299" i="3"/>
  <c r="X186" i="4" s="1"/>
  <c r="X195" i="4" s="1"/>
  <c r="X185" i="3"/>
  <c r="X122" i="4" s="1"/>
  <c r="X184" i="3"/>
  <c r="X121" i="4" s="1"/>
  <c r="AR7" i="67"/>
  <c r="W22" i="4"/>
  <c r="W642" i="3"/>
  <c r="W1041" i="4" s="1"/>
  <c r="W1042" i="4"/>
  <c r="AK1392" i="4"/>
  <c r="AJ1523" i="4"/>
  <c r="AJ1524" i="4" s="1"/>
  <c r="AJ1429" i="4"/>
  <c r="V690" i="4"/>
  <c r="X8" i="66"/>
  <c r="X6" i="4"/>
  <c r="W34" i="66"/>
  <c r="U736" i="4"/>
  <c r="U737" i="4"/>
  <c r="W60" i="62"/>
  <c r="W9" i="66"/>
  <c r="AJ8" i="13"/>
  <c r="AK6" i="13"/>
  <c r="AJ7" i="13"/>
  <c r="X1409" i="4"/>
  <c r="W9" i="3"/>
  <c r="X314" i="4"/>
  <c r="W540" i="4"/>
  <c r="W542" i="4" s="1"/>
  <c r="X1184" i="4"/>
  <c r="X1183" i="4"/>
  <c r="X1158" i="4"/>
  <c r="X1159" i="4" s="1"/>
  <c r="X1156" i="4"/>
  <c r="X1160" i="4"/>
  <c r="V414" i="4"/>
  <c r="V415" i="4" s="1"/>
  <c r="W413" i="4" s="1"/>
  <c r="T738" i="4"/>
  <c r="X8" i="4"/>
  <c r="X28" i="4"/>
  <c r="X30" i="4"/>
  <c r="X29" i="4"/>
  <c r="W250" i="4"/>
  <c r="W303" i="4"/>
  <c r="W43" i="4"/>
  <c r="W50" i="4" s="1"/>
  <c r="X21" i="4"/>
  <c r="X18" i="4"/>
  <c r="W39" i="4"/>
  <c r="W46" i="4" s="1"/>
  <c r="W199" i="4"/>
  <c r="W44" i="4"/>
  <c r="W51" i="4" s="1"/>
  <c r="W42" i="4"/>
  <c r="W49" i="4" s="1"/>
  <c r="V713" i="4"/>
  <c r="W9" i="4"/>
  <c r="W227" i="4"/>
  <c r="W9" i="11"/>
  <c r="X8" i="62"/>
  <c r="X8" i="11"/>
  <c r="W9" i="62"/>
  <c r="W9" i="64"/>
  <c r="X8" i="64"/>
  <c r="Y7" i="3"/>
  <c r="AP8" i="72" l="1"/>
  <c r="AP6" i="72"/>
  <c r="AQ7" i="72"/>
  <c r="AR8" i="67"/>
  <c r="AR6" i="67"/>
  <c r="AQ58" i="3"/>
  <c r="AQ59" i="3"/>
  <c r="AQ95" i="67"/>
  <c r="AQ60" i="3"/>
  <c r="AQ56" i="3"/>
  <c r="V56" i="4"/>
  <c r="W65" i="4"/>
  <c r="W55" i="4"/>
  <c r="X58" i="4"/>
  <c r="W688" i="4"/>
  <c r="W53" i="4"/>
  <c r="X57" i="4"/>
  <c r="X9" i="66" s="1"/>
  <c r="X1129" i="4"/>
  <c r="AS7" i="67"/>
  <c r="AL1392" i="4"/>
  <c r="AK1523" i="4"/>
  <c r="AK1524" i="4" s="1"/>
  <c r="AK1429" i="4"/>
  <c r="Y7" i="66"/>
  <c r="Y6" i="66" s="1"/>
  <c r="Y86" i="64"/>
  <c r="Y87" i="64" s="1"/>
  <c r="X295" i="4"/>
  <c r="X529" i="4"/>
  <c r="X1157" i="4"/>
  <c r="X249" i="4"/>
  <c r="X1263" i="4"/>
  <c r="AK8" i="13"/>
  <c r="AK7" i="13"/>
  <c r="X1242" i="4"/>
  <c r="X274" i="4"/>
  <c r="X335" i="4" s="1"/>
  <c r="X273" i="4"/>
  <c r="X1243" i="4"/>
  <c r="X275" i="4"/>
  <c r="W287" i="4"/>
  <c r="W324" i="4" s="1"/>
  <c r="X68" i="4"/>
  <c r="X54" i="62"/>
  <c r="Y7" i="4"/>
  <c r="Y6" i="4" s="1"/>
  <c r="T739" i="4"/>
  <c r="X53" i="64"/>
  <c r="U738" i="4"/>
  <c r="X36" i="4"/>
  <c r="X17" i="4"/>
  <c r="X24" i="4" s="1"/>
  <c r="X19" i="4"/>
  <c r="X20" i="4" s="1"/>
  <c r="V732" i="4"/>
  <c r="V731" i="4"/>
  <c r="V714" i="4"/>
  <c r="W200" i="4"/>
  <c r="W288" i="4"/>
  <c r="W329" i="4" s="1"/>
  <c r="W544" i="4"/>
  <c r="W690" i="4"/>
  <c r="W713" i="4"/>
  <c r="X1151" i="4"/>
  <c r="X66" i="4"/>
  <c r="W61" i="4"/>
  <c r="W318" i="4" s="1"/>
  <c r="W328" i="4" s="1"/>
  <c r="X60" i="4"/>
  <c r="X824" i="4"/>
  <c r="X62" i="4"/>
  <c r="X528" i="4" s="1"/>
  <c r="X70" i="4"/>
  <c r="X543" i="4"/>
  <c r="X530" i="4"/>
  <c r="W63" i="4"/>
  <c r="W1389" i="4" s="1"/>
  <c r="X34" i="4"/>
  <c r="X32" i="4"/>
  <c r="X35" i="4"/>
  <c r="X37" i="4"/>
  <c r="X33" i="4"/>
  <c r="X226" i="4"/>
  <c r="X198" i="4"/>
  <c r="X67" i="4"/>
  <c r="X54" i="11"/>
  <c r="Y7" i="64"/>
  <c r="Y6" i="64" s="1"/>
  <c r="Y28" i="64" s="1"/>
  <c r="Y30" i="64" s="1"/>
  <c r="Y7" i="62"/>
  <c r="Y6" i="62" s="1"/>
  <c r="Y7" i="11"/>
  <c r="Y6" i="11" s="1"/>
  <c r="Y8" i="3"/>
  <c r="Y6" i="3"/>
  <c r="Y16" i="4" l="1"/>
  <c r="AQ8" i="72"/>
  <c r="AQ6" i="72"/>
  <c r="AR7" i="72"/>
  <c r="X15" i="66"/>
  <c r="AR95" i="67"/>
  <c r="AR60" i="3"/>
  <c r="AR59" i="3"/>
  <c r="AR58" i="3"/>
  <c r="AR56" i="3"/>
  <c r="AS8" i="67"/>
  <c r="AS6" i="67"/>
  <c r="X1036" i="4"/>
  <c r="Y297" i="3"/>
  <c r="Y184" i="4" s="1"/>
  <c r="Y193" i="4" s="1"/>
  <c r="Y301" i="3"/>
  <c r="Y188" i="4" s="1"/>
  <c r="Y197" i="4" s="1"/>
  <c r="V721" i="4"/>
  <c r="V718" i="4"/>
  <c r="V717" i="4"/>
  <c r="V722" i="4"/>
  <c r="X54" i="4"/>
  <c r="W56" i="4" s="1"/>
  <c r="Y299" i="3"/>
  <c r="Y186" i="4" s="1"/>
  <c r="Y195" i="4" s="1"/>
  <c r="Y300" i="3"/>
  <c r="Y187" i="4" s="1"/>
  <c r="Y196" i="4" s="1"/>
  <c r="Y355" i="3"/>
  <c r="Y241" i="4" s="1"/>
  <c r="Y246" i="4" s="1"/>
  <c r="Y298" i="3"/>
  <c r="Y185" i="4" s="1"/>
  <c r="Y194" i="4" s="1"/>
  <c r="Y186" i="3"/>
  <c r="Y123" i="4" s="1"/>
  <c r="Y240" i="3"/>
  <c r="Y145" i="4" s="1"/>
  <c r="Y241" i="3"/>
  <c r="Y146" i="4" s="1"/>
  <c r="Y329" i="3"/>
  <c r="Y330" i="3"/>
  <c r="Y219" i="4" s="1"/>
  <c r="Y224" i="4" s="1"/>
  <c r="Y217" i="3"/>
  <c r="Y134" i="4" s="1"/>
  <c r="Y185" i="3"/>
  <c r="Y122" i="4" s="1"/>
  <c r="Y184" i="3"/>
  <c r="Y121" i="4" s="1"/>
  <c r="Y218" i="3"/>
  <c r="Y135" i="4" s="1"/>
  <c r="Y1447" i="4"/>
  <c r="Y331" i="3"/>
  <c r="Y220" i="4" s="1"/>
  <c r="Y225" i="4" s="1"/>
  <c r="Y296" i="3"/>
  <c r="Y183" i="4" s="1"/>
  <c r="Y192" i="4" s="1"/>
  <c r="Y357" i="3"/>
  <c r="Y243" i="4" s="1"/>
  <c r="Y248" i="4" s="1"/>
  <c r="Y242" i="3"/>
  <c r="Y147" i="4" s="1"/>
  <c r="Y356" i="3"/>
  <c r="Y242" i="4" s="1"/>
  <c r="Y247" i="4" s="1"/>
  <c r="Y216" i="3"/>
  <c r="Y133" i="4" s="1"/>
  <c r="AT7" i="67"/>
  <c r="X22" i="4"/>
  <c r="X642" i="3"/>
  <c r="X1041" i="4" s="1"/>
  <c r="X1042" i="4"/>
  <c r="Y15" i="4"/>
  <c r="AL1523" i="4"/>
  <c r="AL1524" i="4" s="1"/>
  <c r="AL1429" i="4"/>
  <c r="AM1392" i="4"/>
  <c r="X34" i="66"/>
  <c r="X60" i="62"/>
  <c r="Y314" i="4"/>
  <c r="Y1242" i="4" s="1"/>
  <c r="Y8" i="66"/>
  <c r="X540" i="4"/>
  <c r="X542" i="4" s="1"/>
  <c r="X544" i="4" s="1"/>
  <c r="X9" i="3"/>
  <c r="X9" i="11"/>
  <c r="X9" i="4"/>
  <c r="Y1184" i="4"/>
  <c r="Y1183" i="4"/>
  <c r="Y1158" i="4"/>
  <c r="Y1159" i="4" s="1"/>
  <c r="Y1156" i="4"/>
  <c r="Y1160" i="4"/>
  <c r="Y1409" i="4"/>
  <c r="W414" i="4"/>
  <c r="W415" i="4" s="1"/>
  <c r="X413" i="4" s="1"/>
  <c r="Y53" i="64"/>
  <c r="U739" i="4"/>
  <c r="X42" i="4"/>
  <c r="X49" i="4" s="1"/>
  <c r="X43" i="4"/>
  <c r="X50" i="4" s="1"/>
  <c r="X41" i="4"/>
  <c r="X48" i="4" s="1"/>
  <c r="X287" i="4"/>
  <c r="X324" i="4" s="1"/>
  <c r="X39" i="4"/>
  <c r="X46" i="4" s="1"/>
  <c r="W714" i="4"/>
  <c r="X40" i="4"/>
  <c r="X47" i="4" s="1"/>
  <c r="Y21" i="4"/>
  <c r="X250" i="4"/>
  <c r="W731" i="4"/>
  <c r="W732" i="4"/>
  <c r="X44" i="4"/>
  <c r="X51" i="4" s="1"/>
  <c r="X303" i="4"/>
  <c r="Y8" i="4"/>
  <c r="Y28" i="4"/>
  <c r="Y30" i="4"/>
  <c r="Y29" i="4"/>
  <c r="X199" i="4"/>
  <c r="X227" i="4"/>
  <c r="X9" i="62"/>
  <c r="Y8" i="62"/>
  <c r="Y8" i="11"/>
  <c r="Z7" i="3"/>
  <c r="Y8" i="64"/>
  <c r="X9" i="64"/>
  <c r="AR8" i="72" l="1"/>
  <c r="AR6" i="72"/>
  <c r="AS7" i="72"/>
  <c r="X65" i="4"/>
  <c r="X53" i="62"/>
  <c r="AT8" i="67"/>
  <c r="AT6" i="67"/>
  <c r="X55" i="4"/>
  <c r="AS95" i="67"/>
  <c r="AS60" i="3"/>
  <c r="AS59" i="3"/>
  <c r="AS58" i="3"/>
  <c r="AS56" i="3"/>
  <c r="Y58" i="4"/>
  <c r="Y18" i="4"/>
  <c r="W721" i="4"/>
  <c r="W717" i="4"/>
  <c r="W722" i="4"/>
  <c r="W718" i="4"/>
  <c r="Y218" i="4"/>
  <c r="Y223" i="4" s="1"/>
  <c r="X688" i="4"/>
  <c r="Y57" i="4"/>
  <c r="X53" i="4"/>
  <c r="Y1129" i="4"/>
  <c r="AU7" i="67"/>
  <c r="AN1392" i="4"/>
  <c r="AM1523" i="4"/>
  <c r="AM1524" i="4" s="1"/>
  <c r="AM1429" i="4"/>
  <c r="Z7" i="66"/>
  <c r="Z6" i="66" s="1"/>
  <c r="Z86" i="64"/>
  <c r="Z87" i="64" s="1"/>
  <c r="Y295" i="4"/>
  <c r="Y303" i="4" s="1"/>
  <c r="Y529" i="4"/>
  <c r="Y1157" i="4"/>
  <c r="V736" i="4"/>
  <c r="V737" i="4"/>
  <c r="Y275" i="4"/>
  <c r="Y273" i="4"/>
  <c r="Y249" i="4"/>
  <c r="Y1243" i="4"/>
  <c r="Y15" i="66" s="1"/>
  <c r="Y274" i="4"/>
  <c r="Y335" i="4" s="1"/>
  <c r="X690" i="4"/>
  <c r="Y54" i="62"/>
  <c r="Y66" i="4"/>
  <c r="Y1263" i="4"/>
  <c r="Y67" i="4"/>
  <c r="Y1042" i="4" s="1"/>
  <c r="Y33" i="4"/>
  <c r="Y40" i="4" s="1"/>
  <c r="Y47" i="4" s="1"/>
  <c r="Y37" i="4"/>
  <c r="Y34" i="4"/>
  <c r="Y19" i="4"/>
  <c r="Y20" i="4" s="1"/>
  <c r="Y17" i="4"/>
  <c r="Y198" i="4"/>
  <c r="X200" i="4"/>
  <c r="Y32" i="4"/>
  <c r="Y68" i="4"/>
  <c r="X288" i="4"/>
  <c r="X329" i="4" s="1"/>
  <c r="Y35" i="4"/>
  <c r="Y226" i="4"/>
  <c r="Y1151" i="4"/>
  <c r="Y60" i="4"/>
  <c r="X61" i="4"/>
  <c r="X318" i="4" s="1"/>
  <c r="X328" i="4" s="1"/>
  <c r="Y62" i="4"/>
  <c r="Y528" i="4" s="1"/>
  <c r="Y70" i="4"/>
  <c r="Y824" i="4"/>
  <c r="Y543" i="4"/>
  <c r="Y530" i="4"/>
  <c r="X63" i="4"/>
  <c r="X1389" i="4" s="1"/>
  <c r="Z6" i="3"/>
  <c r="Z7" i="4"/>
  <c r="Y54" i="11"/>
  <c r="Z7" i="64"/>
  <c r="Z6" i="64" s="1"/>
  <c r="Z28" i="64" s="1"/>
  <c r="Z30" i="64" s="1"/>
  <c r="Z7" i="62"/>
  <c r="Z6" i="62" s="1"/>
  <c r="Z7" i="11"/>
  <c r="Z6" i="11" s="1"/>
  <c r="Z8" i="3"/>
  <c r="Z16" i="4" l="1"/>
  <c r="AS6" i="72"/>
  <c r="AS8" i="72"/>
  <c r="AT7" i="72"/>
  <c r="AT56" i="3"/>
  <c r="AT95" i="67"/>
  <c r="AT58" i="3"/>
  <c r="AT60" i="3"/>
  <c r="AT59" i="3"/>
  <c r="AU8" i="67"/>
  <c r="AU6" i="67"/>
  <c r="Y24" i="4"/>
  <c r="Z186" i="3"/>
  <c r="Z123" i="4" s="1"/>
  <c r="Y1036" i="4"/>
  <c r="Z218" i="3"/>
  <c r="Z135" i="4" s="1"/>
  <c r="Z301" i="3"/>
  <c r="Z188" i="4" s="1"/>
  <c r="Z197" i="4" s="1"/>
  <c r="Y54" i="4"/>
  <c r="Y53" i="62" s="1"/>
  <c r="Z300" i="3"/>
  <c r="Z187" i="4" s="1"/>
  <c r="Z196" i="4" s="1"/>
  <c r="Z184" i="3"/>
  <c r="Z121" i="4" s="1"/>
  <c r="Z297" i="3"/>
  <c r="Z184" i="4" s="1"/>
  <c r="Z193" i="4" s="1"/>
  <c r="Z356" i="3"/>
  <c r="Z242" i="4" s="1"/>
  <c r="Z247" i="4" s="1"/>
  <c r="Z217" i="3"/>
  <c r="Z134" i="4" s="1"/>
  <c r="Z296" i="3"/>
  <c r="Z242" i="3"/>
  <c r="Z147" i="4" s="1"/>
  <c r="Z240" i="3"/>
  <c r="Z145" i="4" s="1"/>
  <c r="Z355" i="3"/>
  <c r="Z241" i="4" s="1"/>
  <c r="Z246" i="4" s="1"/>
  <c r="Z1447" i="4"/>
  <c r="Z299" i="3"/>
  <c r="Z186" i="4" s="1"/>
  <c r="Z195" i="4" s="1"/>
  <c r="Z185" i="3"/>
  <c r="Z122" i="4" s="1"/>
  <c r="Z329" i="3"/>
  <c r="Z218" i="4" s="1"/>
  <c r="Z223" i="4" s="1"/>
  <c r="Y36" i="4"/>
  <c r="Y43" i="4" s="1"/>
  <c r="Z330" i="3"/>
  <c r="Z219" i="4" s="1"/>
  <c r="Z224" i="4" s="1"/>
  <c r="Z298" i="3"/>
  <c r="Z185" i="4" s="1"/>
  <c r="Z194" i="4" s="1"/>
  <c r="Z241" i="3"/>
  <c r="Z146" i="4" s="1"/>
  <c r="Z357" i="3"/>
  <c r="Z243" i="4" s="1"/>
  <c r="Z248" i="4" s="1"/>
  <c r="Z216" i="3"/>
  <c r="Z133" i="4" s="1"/>
  <c r="Z331" i="3"/>
  <c r="Z220" i="4" s="1"/>
  <c r="Z225" i="4" s="1"/>
  <c r="AV7" i="67"/>
  <c r="Y22" i="4"/>
  <c r="AO1392" i="4"/>
  <c r="AN1523" i="4"/>
  <c r="AN1524" i="4" s="1"/>
  <c r="AN1429" i="4"/>
  <c r="Y540" i="4"/>
  <c r="Y542" i="4" s="1"/>
  <c r="W737" i="4"/>
  <c r="V738" i="4"/>
  <c r="W736" i="4"/>
  <c r="Y34" i="66"/>
  <c r="Y60" i="62"/>
  <c r="Y9" i="66"/>
  <c r="Z1409" i="4"/>
  <c r="Z8" i="66"/>
  <c r="Y642" i="3"/>
  <c r="Z1184" i="4"/>
  <c r="Z1183" i="4"/>
  <c r="Z1158" i="4"/>
  <c r="Z1160" i="4"/>
  <c r="Z1156" i="4"/>
  <c r="Z314" i="4"/>
  <c r="AA7" i="3"/>
  <c r="Y9" i="4"/>
  <c r="Z53" i="64"/>
  <c r="Z8" i="4"/>
  <c r="Z28" i="4"/>
  <c r="Z30" i="4"/>
  <c r="Z29" i="4"/>
  <c r="X713" i="4"/>
  <c r="Y227" i="4"/>
  <c r="Y199" i="4"/>
  <c r="Y39" i="4"/>
  <c r="Y46" i="4" s="1"/>
  <c r="Z15" i="4"/>
  <c r="Z6" i="4"/>
  <c r="Y42" i="4"/>
  <c r="Y49" i="4" s="1"/>
  <c r="Y41" i="4"/>
  <c r="Y48" i="4" s="1"/>
  <c r="Z21" i="4"/>
  <c r="Z8" i="64"/>
  <c r="Y9" i="3"/>
  <c r="Y287" i="4"/>
  <c r="Y324" i="4" s="1"/>
  <c r="Y288" i="4"/>
  <c r="Y329" i="4" s="1"/>
  <c r="Y250" i="4"/>
  <c r="Y44" i="4"/>
  <c r="Y51" i="4" s="1"/>
  <c r="Y9" i="62"/>
  <c r="Y9" i="11"/>
  <c r="Z8" i="62"/>
  <c r="Z8" i="11"/>
  <c r="Y9" i="64"/>
  <c r="AT6" i="72" l="1"/>
  <c r="AT8" i="72"/>
  <c r="AU7" i="72"/>
  <c r="AV8" i="67"/>
  <c r="AV6" i="67"/>
  <c r="AU56" i="3"/>
  <c r="AU60" i="3"/>
  <c r="AU59" i="3"/>
  <c r="AU58" i="3"/>
  <c r="AU95" i="67"/>
  <c r="Y65" i="4"/>
  <c r="Z58" i="4"/>
  <c r="X56" i="4"/>
  <c r="Y55" i="4"/>
  <c r="Z183" i="4"/>
  <c r="Z192" i="4" s="1"/>
  <c r="Z57" i="4"/>
  <c r="Z9" i="66" s="1"/>
  <c r="Y53" i="4"/>
  <c r="Z1129" i="4"/>
  <c r="AW7" i="67"/>
  <c r="AA86" i="64"/>
  <c r="AA87" i="64" s="1"/>
  <c r="AP1392" i="4"/>
  <c r="AO1523" i="4"/>
  <c r="AO1524" i="4" s="1"/>
  <c r="AO1429" i="4"/>
  <c r="Z295" i="4"/>
  <c r="Z303" i="4" s="1"/>
  <c r="Z529" i="4"/>
  <c r="V739" i="4"/>
  <c r="Z1157" i="4"/>
  <c r="Y50" i="4"/>
  <c r="Z226" i="4"/>
  <c r="Z249" i="4"/>
  <c r="AA7" i="64"/>
  <c r="AA6" i="64" s="1"/>
  <c r="AA28" i="64" s="1"/>
  <c r="AA30" i="64" s="1"/>
  <c r="AA7" i="66"/>
  <c r="AA6" i="66" s="1"/>
  <c r="Z1263" i="4"/>
  <c r="AA6" i="3"/>
  <c r="AA8" i="3"/>
  <c r="AA7" i="11"/>
  <c r="AA6" i="11" s="1"/>
  <c r="AA7" i="62"/>
  <c r="AA6" i="62" s="1"/>
  <c r="Y1041" i="4"/>
  <c r="Y688" i="4"/>
  <c r="Z1242" i="4"/>
  <c r="Z274" i="4"/>
  <c r="Z335" i="4" s="1"/>
  <c r="Z275" i="4"/>
  <c r="Z273" i="4"/>
  <c r="Z1243" i="4"/>
  <c r="Z32" i="4"/>
  <c r="Z39" i="4" s="1"/>
  <c r="Z46" i="4" s="1"/>
  <c r="AA7" i="4"/>
  <c r="Z1159" i="4"/>
  <c r="Z54" i="62"/>
  <c r="Y414" i="4"/>
  <c r="X414" i="4"/>
  <c r="X415" i="4" s="1"/>
  <c r="Y413" i="4" s="1"/>
  <c r="W738" i="4"/>
  <c r="Z34" i="4"/>
  <c r="Z41" i="4" s="1"/>
  <c r="Z48" i="4" s="1"/>
  <c r="Z33" i="4"/>
  <c r="Z40" i="4" s="1"/>
  <c r="Z47" i="4" s="1"/>
  <c r="Z37" i="4"/>
  <c r="Y200" i="4"/>
  <c r="Z824" i="4"/>
  <c r="Z70" i="4"/>
  <c r="Z62" i="4"/>
  <c r="Z528" i="4" s="1"/>
  <c r="Z543" i="4"/>
  <c r="Z530" i="4"/>
  <c r="Z68" i="4"/>
  <c r="Z67" i="4"/>
  <c r="Y63" i="4"/>
  <c r="Y1389" i="4" s="1"/>
  <c r="Z1151" i="4"/>
  <c r="Z66" i="4"/>
  <c r="Z60" i="4"/>
  <c r="Y61" i="4"/>
  <c r="Y318" i="4" s="1"/>
  <c r="Y328" i="4" s="1"/>
  <c r="Z198" i="4"/>
  <c r="Z36" i="4"/>
  <c r="Y690" i="4"/>
  <c r="Y544" i="4"/>
  <c r="Z19" i="4"/>
  <c r="Z20" i="4" s="1"/>
  <c r="Z17" i="4"/>
  <c r="Z18" i="4"/>
  <c r="X731" i="4"/>
  <c r="X732" i="4"/>
  <c r="X714" i="4"/>
  <c r="Z54" i="11"/>
  <c r="AU6" i="72" l="1"/>
  <c r="AU8" i="72"/>
  <c r="AV7" i="72"/>
  <c r="AA16" i="4"/>
  <c r="AW8" i="67"/>
  <c r="AW6" i="67"/>
  <c r="AV60" i="3"/>
  <c r="AV59" i="3"/>
  <c r="AV58" i="3"/>
  <c r="AV95" i="67"/>
  <c r="AV56" i="3"/>
  <c r="Z15" i="66"/>
  <c r="Z1036" i="4"/>
  <c r="AA301" i="3"/>
  <c r="AA188" i="4" s="1"/>
  <c r="AA197" i="4" s="1"/>
  <c r="Z35" i="4"/>
  <c r="Z42" i="4" s="1"/>
  <c r="Z49" i="4" s="1"/>
  <c r="X718" i="4"/>
  <c r="X717" i="4"/>
  <c r="X722" i="4"/>
  <c r="X721" i="4"/>
  <c r="Z54" i="4"/>
  <c r="Z53" i="62" s="1"/>
  <c r="AA355" i="3"/>
  <c r="AA241" i="4" s="1"/>
  <c r="AA246" i="4" s="1"/>
  <c r="AA218" i="3"/>
  <c r="AA135" i="4" s="1"/>
  <c r="AA186" i="3"/>
  <c r="AA123" i="4" s="1"/>
  <c r="AA298" i="3"/>
  <c r="AA185" i="4" s="1"/>
  <c r="AA299" i="3"/>
  <c r="AA186" i="4" s="1"/>
  <c r="AA195" i="4" s="1"/>
  <c r="AA241" i="3"/>
  <c r="AA146" i="4" s="1"/>
  <c r="AA216" i="3"/>
  <c r="AA242" i="3"/>
  <c r="AA147" i="4" s="1"/>
  <c r="AA356" i="3"/>
  <c r="AA242" i="4" s="1"/>
  <c r="AA247" i="4" s="1"/>
  <c r="AA330" i="3"/>
  <c r="AA219" i="4" s="1"/>
  <c r="AA224" i="4" s="1"/>
  <c r="AA184" i="3"/>
  <c r="AA121" i="4" s="1"/>
  <c r="AA185" i="3"/>
  <c r="AA1447" i="4"/>
  <c r="AA331" i="3"/>
  <c r="AA220" i="4" s="1"/>
  <c r="AA225" i="4" s="1"/>
  <c r="AA226" i="4" s="1"/>
  <c r="AA357" i="3"/>
  <c r="AA296" i="3"/>
  <c r="AA183" i="4" s="1"/>
  <c r="AA192" i="4" s="1"/>
  <c r="AA300" i="3"/>
  <c r="AA187" i="4" s="1"/>
  <c r="AA196" i="4" s="1"/>
  <c r="AA217" i="3"/>
  <c r="AA134" i="4" s="1"/>
  <c r="AA240" i="3"/>
  <c r="AA145" i="4" s="1"/>
  <c r="AA297" i="3"/>
  <c r="AA184" i="4" s="1"/>
  <c r="AA193" i="4" s="1"/>
  <c r="AA329" i="3"/>
  <c r="AA218" i="4" s="1"/>
  <c r="AA223" i="4" s="1"/>
  <c r="AX7" i="67"/>
  <c r="Z22" i="4"/>
  <c r="Z642" i="3"/>
  <c r="Z1041" i="4" s="1"/>
  <c r="Z1042" i="4"/>
  <c r="AB7" i="3"/>
  <c r="AB7" i="64" s="1"/>
  <c r="AB6" i="64" s="1"/>
  <c r="AB28" i="64" s="1"/>
  <c r="AB30" i="64" s="1"/>
  <c r="AA8" i="64"/>
  <c r="AA8" i="11"/>
  <c r="AA8" i="62"/>
  <c r="AA54" i="62" s="1"/>
  <c r="AP1429" i="4"/>
  <c r="AP1523" i="4"/>
  <c r="AP1524" i="4" s="1"/>
  <c r="AQ1392" i="4"/>
  <c r="Y713" i="4"/>
  <c r="Y731" i="4" s="1"/>
  <c r="AA28" i="4"/>
  <c r="AA1409" i="4"/>
  <c r="AA314" i="4"/>
  <c r="AA1242" i="4" s="1"/>
  <c r="Z24" i="4"/>
  <c r="Z34" i="66"/>
  <c r="W739" i="4"/>
  <c r="AA1160" i="4"/>
  <c r="AA8" i="66"/>
  <c r="AA1183" i="4"/>
  <c r="Z60" i="62"/>
  <c r="AA1184" i="4"/>
  <c r="AA29" i="4"/>
  <c r="AA1156" i="4"/>
  <c r="AA30" i="4"/>
  <c r="AA1158" i="4"/>
  <c r="AA1159" i="4" s="1"/>
  <c r="AA8" i="4"/>
  <c r="AA17" i="4" s="1"/>
  <c r="Y415" i="4"/>
  <c r="Z413" i="4" s="1"/>
  <c r="AA6" i="4"/>
  <c r="AA15" i="4"/>
  <c r="Z9" i="4"/>
  <c r="AA53" i="64"/>
  <c r="Z9" i="64"/>
  <c r="Z227" i="4"/>
  <c r="Z288" i="4"/>
  <c r="Z329" i="4" s="1"/>
  <c r="Z250" i="4"/>
  <c r="Z44" i="4"/>
  <c r="Z51" i="4" s="1"/>
  <c r="Z43" i="4"/>
  <c r="AA21" i="4"/>
  <c r="Z199" i="4"/>
  <c r="Z9" i="3"/>
  <c r="Z540" i="4"/>
  <c r="Z542" i="4" s="1"/>
  <c r="Z9" i="11"/>
  <c r="Z9" i="62"/>
  <c r="AV6" i="72" l="1"/>
  <c r="AV8" i="72"/>
  <c r="AW7" i="72"/>
  <c r="AX8" i="67"/>
  <c r="AX6" i="67"/>
  <c r="AW60" i="3"/>
  <c r="AW59" i="3"/>
  <c r="AW58" i="3"/>
  <c r="AW95" i="67"/>
  <c r="AW56" i="3"/>
  <c r="Z688" i="4"/>
  <c r="AA58" i="4"/>
  <c r="AB7" i="11"/>
  <c r="AB6" i="11" s="1"/>
  <c r="AB7" i="62"/>
  <c r="AB6" i="62" s="1"/>
  <c r="AB7" i="4"/>
  <c r="AB6" i="4" s="1"/>
  <c r="AB86" i="64"/>
  <c r="AB87" i="64" s="1"/>
  <c r="AB7" i="66"/>
  <c r="AB6" i="66" s="1"/>
  <c r="AB8" i="3"/>
  <c r="AB6" i="3"/>
  <c r="Z55" i="4"/>
  <c r="Y56" i="4"/>
  <c r="Z65" i="4"/>
  <c r="AA34" i="4"/>
  <c r="AA41" i="4" s="1"/>
  <c r="AA48" i="4" s="1"/>
  <c r="AA243" i="4"/>
  <c r="AA248" i="4" s="1"/>
  <c r="AA249" i="4" s="1"/>
  <c r="AA133" i="4"/>
  <c r="AA33" i="4" s="1"/>
  <c r="AA40" i="4" s="1"/>
  <c r="AA47" i="4" s="1"/>
  <c r="AA122" i="4"/>
  <c r="AA32" i="4" s="1"/>
  <c r="AA39" i="4" s="1"/>
  <c r="AA46" i="4" s="1"/>
  <c r="AA57" i="4"/>
  <c r="AA9" i="3" s="1"/>
  <c r="Z53" i="4"/>
  <c r="AA1129" i="4"/>
  <c r="AY7" i="67"/>
  <c r="AA36" i="4"/>
  <c r="AA43" i="4" s="1"/>
  <c r="AA50" i="4" s="1"/>
  <c r="AA713" i="4" s="1"/>
  <c r="AA68" i="4"/>
  <c r="AA54" i="11"/>
  <c r="AA70" i="4"/>
  <c r="AR1392" i="4"/>
  <c r="AQ1523" i="4"/>
  <c r="AQ1524" i="4" s="1"/>
  <c r="AQ1429" i="4"/>
  <c r="AA543" i="4"/>
  <c r="Y714" i="4"/>
  <c r="Y732" i="4"/>
  <c r="AA295" i="4"/>
  <c r="AA303" i="4" s="1"/>
  <c r="AA62" i="4"/>
  <c r="AA528" i="4" s="1"/>
  <c r="AA194" i="4"/>
  <c r="AA529" i="4"/>
  <c r="AA67" i="4"/>
  <c r="AA273" i="4"/>
  <c r="AA274" i="4"/>
  <c r="AA335" i="4" s="1"/>
  <c r="AA275" i="4"/>
  <c r="AA288" i="4" s="1"/>
  <c r="AA329" i="4" s="1"/>
  <c r="AA1243" i="4"/>
  <c r="AA15" i="66" s="1"/>
  <c r="AA1157" i="4"/>
  <c r="AA530" i="4"/>
  <c r="AA540" i="4" s="1"/>
  <c r="AA824" i="4"/>
  <c r="Z63" i="4"/>
  <c r="Z1389" i="4" s="1"/>
  <c r="AA19" i="4"/>
  <c r="AA20" i="4" s="1"/>
  <c r="AA35" i="4"/>
  <c r="AA42" i="4" s="1"/>
  <c r="AA49" i="4" s="1"/>
  <c r="AA60" i="4"/>
  <c r="Z50" i="4"/>
  <c r="X737" i="4"/>
  <c r="X736" i="4"/>
  <c r="AA1151" i="4"/>
  <c r="AA1263" i="4"/>
  <c r="AA66" i="4"/>
  <c r="Z61" i="4"/>
  <c r="Z318" i="4" s="1"/>
  <c r="Z328" i="4" s="1"/>
  <c r="Z287" i="4"/>
  <c r="Z324" i="4" s="1"/>
  <c r="AA18" i="4"/>
  <c r="AA24" i="4" s="1"/>
  <c r="AA227" i="4"/>
  <c r="Z200" i="4"/>
  <c r="Z544" i="4"/>
  <c r="Z690" i="4"/>
  <c r="AW8" i="72" l="1"/>
  <c r="AW6" i="72"/>
  <c r="AX7" i="72"/>
  <c r="AB297" i="3"/>
  <c r="AB184" i="4" s="1"/>
  <c r="AB193" i="4" s="1"/>
  <c r="AB30" i="4"/>
  <c r="AB824" i="4" s="1"/>
  <c r="AA37" i="4"/>
  <c r="AA44" i="4" s="1"/>
  <c r="AA51" i="4" s="1"/>
  <c r="AC7" i="3"/>
  <c r="AC7" i="4" s="1"/>
  <c r="AB1160" i="4"/>
  <c r="AB29" i="4"/>
  <c r="AB28" i="4"/>
  <c r="AA53" i="4" s="1"/>
  <c r="AB1158" i="4"/>
  <c r="AB1159" i="4" s="1"/>
  <c r="AB8" i="4"/>
  <c r="AB17" i="4" s="1"/>
  <c r="AB1156" i="4"/>
  <c r="AB355" i="3"/>
  <c r="AB241" i="4" s="1"/>
  <c r="AB246" i="4" s="1"/>
  <c r="AB296" i="3"/>
  <c r="AB183" i="4" s="1"/>
  <c r="AB192" i="4" s="1"/>
  <c r="AY8" i="67"/>
  <c r="AY6" i="67"/>
  <c r="AX59" i="3"/>
  <c r="AX58" i="3"/>
  <c r="AX95" i="67"/>
  <c r="AX60" i="3"/>
  <c r="AX56" i="3"/>
  <c r="AB186" i="3"/>
  <c r="AB123" i="4" s="1"/>
  <c r="AB329" i="3"/>
  <c r="AB218" i="4" s="1"/>
  <c r="AB223" i="4" s="1"/>
  <c r="AB331" i="3"/>
  <c r="AB220" i="4" s="1"/>
  <c r="AB225" i="4" s="1"/>
  <c r="AB226" i="4" s="1"/>
  <c r="AB330" i="3"/>
  <c r="AB219" i="4" s="1"/>
  <c r="AB299" i="3"/>
  <c r="AB186" i="4" s="1"/>
  <c r="AB195" i="4" s="1"/>
  <c r="AB242" i="3"/>
  <c r="AB147" i="4" s="1"/>
  <c r="AB217" i="3"/>
  <c r="AB134" i="4" s="1"/>
  <c r="AB1447" i="4"/>
  <c r="AB1183" i="4"/>
  <c r="AB356" i="3"/>
  <c r="AB242" i="4" s="1"/>
  <c r="AB247" i="4" s="1"/>
  <c r="AB240" i="3"/>
  <c r="AB145" i="4" s="1"/>
  <c r="AB8" i="64"/>
  <c r="AB8" i="11"/>
  <c r="AB1184" i="4"/>
  <c r="AB8" i="66"/>
  <c r="AB300" i="3"/>
  <c r="AB187" i="4" s="1"/>
  <c r="AB196" i="4" s="1"/>
  <c r="AB298" i="3"/>
  <c r="AB185" i="4" s="1"/>
  <c r="AB194" i="4" s="1"/>
  <c r="AB198" i="4" s="1"/>
  <c r="AB216" i="3"/>
  <c r="AB133" i="4" s="1"/>
  <c r="AB8" i="62"/>
  <c r="AB54" i="62" s="1"/>
  <c r="AB1409" i="4"/>
  <c r="AB314" i="4"/>
  <c r="AB1242" i="4" s="1"/>
  <c r="AB185" i="3"/>
  <c r="AB122" i="4" s="1"/>
  <c r="AB218" i="3"/>
  <c r="AB135" i="4" s="1"/>
  <c r="AB15" i="4"/>
  <c r="AB18" i="4" s="1"/>
  <c r="AB357" i="3"/>
  <c r="AB243" i="4" s="1"/>
  <c r="AB248" i="4" s="1"/>
  <c r="AB249" i="4" s="1"/>
  <c r="AB16" i="4"/>
  <c r="AB301" i="3"/>
  <c r="AB188" i="4" s="1"/>
  <c r="AB197" i="4" s="1"/>
  <c r="AA1036" i="4"/>
  <c r="AB184" i="3"/>
  <c r="AB121" i="4" s="1"/>
  <c r="AB241" i="3"/>
  <c r="AB146" i="4" s="1"/>
  <c r="AA250" i="4"/>
  <c r="Y722" i="4"/>
  <c r="Y718" i="4"/>
  <c r="Y721" i="4"/>
  <c r="Y717" i="4"/>
  <c r="AA54" i="4"/>
  <c r="AA55" i="4" s="1"/>
  <c r="AZ7" i="67"/>
  <c r="AA287" i="4"/>
  <c r="AA324" i="4" s="1"/>
  <c r="AA22" i="4"/>
  <c r="AA642" i="3"/>
  <c r="AA1041" i="4" s="1"/>
  <c r="AA1042" i="4"/>
  <c r="AS1392" i="4"/>
  <c r="AR1523" i="4"/>
  <c r="AR1524" i="4" s="1"/>
  <c r="AR1429" i="4"/>
  <c r="AA9" i="62"/>
  <c r="AA198" i="4"/>
  <c r="AA542" i="4"/>
  <c r="AA690" i="4" s="1"/>
  <c r="AC7" i="66"/>
  <c r="AC6" i="66" s="1"/>
  <c r="AA34" i="66"/>
  <c r="AB529" i="4"/>
  <c r="AA9" i="11"/>
  <c r="AB1157" i="4"/>
  <c r="AB21" i="4"/>
  <c r="AA9" i="4"/>
  <c r="AA9" i="64"/>
  <c r="AA9" i="66"/>
  <c r="Z713" i="4"/>
  <c r="AA714" i="4" s="1"/>
  <c r="AB1263" i="4"/>
  <c r="AA60" i="62"/>
  <c r="AA414" i="4"/>
  <c r="Z414" i="4"/>
  <c r="Z415" i="4" s="1"/>
  <c r="AA413" i="4" s="1"/>
  <c r="AB68" i="4"/>
  <c r="X738" i="4"/>
  <c r="AB53" i="64"/>
  <c r="AB67" i="4"/>
  <c r="AB1151" i="4"/>
  <c r="AB62" i="4"/>
  <c r="AB528" i="4" s="1"/>
  <c r="AB70" i="4"/>
  <c r="AB543" i="4"/>
  <c r="AB530" i="4"/>
  <c r="AA63" i="4"/>
  <c r="AA1389" i="4" s="1"/>
  <c r="AA732" i="4"/>
  <c r="AA731" i="4"/>
  <c r="AC6" i="3"/>
  <c r="AB54" i="11"/>
  <c r="AC7" i="62"/>
  <c r="AC6" i="62" s="1"/>
  <c r="AC7" i="11"/>
  <c r="AC6" i="11" s="1"/>
  <c r="AC8" i="3"/>
  <c r="AC7" i="64"/>
  <c r="AC6" i="64" s="1"/>
  <c r="AC28" i="64" s="1"/>
  <c r="AC30" i="64" s="1"/>
  <c r="AB57" i="4" l="1"/>
  <c r="AX8" i="72"/>
  <c r="AX6" i="72"/>
  <c r="AY7" i="72"/>
  <c r="AC86" i="64"/>
  <c r="AC87" i="64" s="1"/>
  <c r="AC16" i="4"/>
  <c r="AB295" i="4"/>
  <c r="AB303" i="4" s="1"/>
  <c r="AB60" i="4"/>
  <c r="AB66" i="4"/>
  <c r="AA61" i="4"/>
  <c r="AA318" i="4" s="1"/>
  <c r="AA328" i="4" s="1"/>
  <c r="AB58" i="4"/>
  <c r="AB1129" i="4"/>
  <c r="AB19" i="4"/>
  <c r="AB20" i="4" s="1"/>
  <c r="AY58" i="3"/>
  <c r="AY95" i="67"/>
  <c r="AY59" i="3"/>
  <c r="AY60" i="3"/>
  <c r="AY56" i="3"/>
  <c r="AZ8" i="67"/>
  <c r="AZ6" i="67"/>
  <c r="AB37" i="4"/>
  <c r="AB44" i="4" s="1"/>
  <c r="AB51" i="4" s="1"/>
  <c r="AA53" i="62"/>
  <c r="AB273" i="4"/>
  <c r="AB274" i="4"/>
  <c r="AB335" i="4" s="1"/>
  <c r="AB275" i="4"/>
  <c r="AB288" i="4" s="1"/>
  <c r="AB329" i="4" s="1"/>
  <c r="AB1243" i="4"/>
  <c r="AB15" i="66" s="1"/>
  <c r="AB224" i="4"/>
  <c r="AB227" i="4" s="1"/>
  <c r="AB36" i="4"/>
  <c r="AB43" i="4" s="1"/>
  <c r="AB34" i="4"/>
  <c r="AB41" i="4" s="1"/>
  <c r="AB48" i="4" s="1"/>
  <c r="AB35" i="4"/>
  <c r="AB42" i="4" s="1"/>
  <c r="AB49" i="4" s="1"/>
  <c r="Z56" i="4"/>
  <c r="AB33" i="4"/>
  <c r="AB40" i="4" s="1"/>
  <c r="AB47" i="4" s="1"/>
  <c r="AB32" i="4"/>
  <c r="AB39" i="4" s="1"/>
  <c r="AB46" i="4" s="1"/>
  <c r="Y736" i="4"/>
  <c r="AA65" i="4"/>
  <c r="Y737" i="4"/>
  <c r="AC299" i="3"/>
  <c r="AC186" i="4" s="1"/>
  <c r="AC195" i="4" s="1"/>
  <c r="AC186" i="3"/>
  <c r="AC123" i="4" s="1"/>
  <c r="AC301" i="3"/>
  <c r="AC188" i="4" s="1"/>
  <c r="AC197" i="4" s="1"/>
  <c r="AA721" i="4"/>
  <c r="AA722" i="4"/>
  <c r="AA717" i="4"/>
  <c r="AA718" i="4"/>
  <c r="AB54" i="4"/>
  <c r="AA56" i="4" s="1"/>
  <c r="AC298" i="3"/>
  <c r="AC185" i="4" s="1"/>
  <c r="AC194" i="4" s="1"/>
  <c r="AC300" i="3"/>
  <c r="AC187" i="4" s="1"/>
  <c r="AC196" i="4" s="1"/>
  <c r="AC216" i="3"/>
  <c r="AC133" i="4" s="1"/>
  <c r="AC357" i="3"/>
  <c r="AC243" i="4" s="1"/>
  <c r="AC248" i="4" s="1"/>
  <c r="AC355" i="3"/>
  <c r="AC241" i="4" s="1"/>
  <c r="AC246" i="4" s="1"/>
  <c r="AC241" i="3"/>
  <c r="AC146" i="4" s="1"/>
  <c r="AC330" i="3"/>
  <c r="AC219" i="4" s="1"/>
  <c r="AC224" i="4" s="1"/>
  <c r="AC240" i="3"/>
  <c r="AC145" i="4" s="1"/>
  <c r="AC185" i="3"/>
  <c r="AC122" i="4" s="1"/>
  <c r="AC329" i="3"/>
  <c r="AC218" i="4" s="1"/>
  <c r="AC223" i="4" s="1"/>
  <c r="AC296" i="3"/>
  <c r="AC183" i="4" s="1"/>
  <c r="AC192" i="4" s="1"/>
  <c r="AC218" i="3"/>
  <c r="AC135" i="4" s="1"/>
  <c r="AC184" i="3"/>
  <c r="AC121" i="4" s="1"/>
  <c r="AC217" i="3"/>
  <c r="AC356" i="3"/>
  <c r="AC242" i="4" s="1"/>
  <c r="AC247" i="4" s="1"/>
  <c r="AC242" i="3"/>
  <c r="AC147" i="4" s="1"/>
  <c r="AC331" i="3"/>
  <c r="AC220" i="4" s="1"/>
  <c r="AC225" i="4" s="1"/>
  <c r="AC1447" i="4"/>
  <c r="AC297" i="3"/>
  <c r="AC184" i="4" s="1"/>
  <c r="AC193" i="4" s="1"/>
  <c r="AA688" i="4"/>
  <c r="BA7" i="67"/>
  <c r="AB22" i="4"/>
  <c r="AB642" i="3"/>
  <c r="AB688" i="4" s="1"/>
  <c r="AB1042" i="4"/>
  <c r="AA544" i="4"/>
  <c r="AT1392" i="4"/>
  <c r="AS1523" i="4"/>
  <c r="AS1524" i="4" s="1"/>
  <c r="AS1429" i="4"/>
  <c r="AA199" i="4"/>
  <c r="Z731" i="4"/>
  <c r="Z732" i="4"/>
  <c r="Z714" i="4"/>
  <c r="AB24" i="4"/>
  <c r="X739" i="4"/>
  <c r="AC8" i="66"/>
  <c r="AB60" i="62"/>
  <c r="AB9" i="66"/>
  <c r="AB9" i="64"/>
  <c r="AB9" i="11"/>
  <c r="AB9" i="3"/>
  <c r="AC1183" i="4"/>
  <c r="AC1158" i="4"/>
  <c r="AC1159" i="4" s="1"/>
  <c r="AC1160" i="4"/>
  <c r="AC1156" i="4"/>
  <c r="AC1184" i="4"/>
  <c r="AC314" i="4"/>
  <c r="AC1409" i="4"/>
  <c r="AA415" i="4"/>
  <c r="AB413" i="4" s="1"/>
  <c r="AD7" i="3"/>
  <c r="AB9" i="4"/>
  <c r="AC15" i="4"/>
  <c r="AC6" i="4"/>
  <c r="AB250" i="4"/>
  <c r="AC8" i="4"/>
  <c r="AC28" i="4"/>
  <c r="AC30" i="4"/>
  <c r="AC29" i="4"/>
  <c r="AC8" i="64"/>
  <c r="AB540" i="4"/>
  <c r="AB542" i="4" s="1"/>
  <c r="AB199" i="4"/>
  <c r="AC21" i="4"/>
  <c r="AB9" i="62"/>
  <c r="AC8" i="62"/>
  <c r="AC8" i="11"/>
  <c r="AY8" i="72" l="1"/>
  <c r="AY6" i="72"/>
  <c r="AZ7" i="72"/>
  <c r="AB34" i="66"/>
  <c r="AB1036" i="4"/>
  <c r="AZ95" i="67"/>
  <c r="AZ60" i="3"/>
  <c r="AZ59" i="3"/>
  <c r="AZ58" i="3"/>
  <c r="AZ56" i="3"/>
  <c r="BA8" i="67"/>
  <c r="BA6" i="67"/>
  <c r="Y738" i="4"/>
  <c r="AB65" i="4"/>
  <c r="AB1041" i="4"/>
  <c r="AB55" i="4"/>
  <c r="AB53" i="62"/>
  <c r="Z717" i="4"/>
  <c r="Z722" i="4"/>
  <c r="Z721" i="4"/>
  <c r="Z718" i="4"/>
  <c r="AC58" i="4"/>
  <c r="AC134" i="4"/>
  <c r="AC33" i="4" s="1"/>
  <c r="AC40" i="4" s="1"/>
  <c r="AC47" i="4" s="1"/>
  <c r="AC57" i="4"/>
  <c r="AC9" i="66" s="1"/>
  <c r="AC1129" i="4"/>
  <c r="AB53" i="4"/>
  <c r="BB7" i="67"/>
  <c r="AT1523" i="4"/>
  <c r="AT1524" i="4" s="1"/>
  <c r="AU1392" i="4"/>
  <c r="AT1429" i="4"/>
  <c r="AA200" i="4"/>
  <c r="AD7" i="11"/>
  <c r="AD6" i="11" s="1"/>
  <c r="AD86" i="64"/>
  <c r="AD87" i="64" s="1"/>
  <c r="AC295" i="4"/>
  <c r="AC303" i="4" s="1"/>
  <c r="AC529" i="4"/>
  <c r="AA737" i="4"/>
  <c r="AA736" i="4"/>
  <c r="AC1157" i="4"/>
  <c r="AC226" i="4"/>
  <c r="AC198" i="4"/>
  <c r="AB50" i="4"/>
  <c r="AC249" i="4"/>
  <c r="AD6" i="3"/>
  <c r="AD7" i="66"/>
  <c r="AD6" i="66" s="1"/>
  <c r="AC1263" i="4"/>
  <c r="AC1242" i="4"/>
  <c r="AC274" i="4"/>
  <c r="AC335" i="4" s="1"/>
  <c r="AC275" i="4"/>
  <c r="AC1243" i="4"/>
  <c r="AC273" i="4"/>
  <c r="AD7" i="62"/>
  <c r="AD6" i="62" s="1"/>
  <c r="AD7" i="64"/>
  <c r="AD6" i="64" s="1"/>
  <c r="AD28" i="64" s="1"/>
  <c r="AD30" i="64" s="1"/>
  <c r="AD8" i="3"/>
  <c r="AC34" i="4"/>
  <c r="AC41" i="4" s="1"/>
  <c r="AC48" i="4" s="1"/>
  <c r="AD7" i="4"/>
  <c r="AC54" i="62"/>
  <c r="AB287" i="4"/>
  <c r="AB324" i="4" s="1"/>
  <c r="AC67" i="4"/>
  <c r="AC1042" i="4" s="1"/>
  <c r="AC53" i="64"/>
  <c r="AC32" i="4"/>
  <c r="AC39" i="4" s="1"/>
  <c r="AC46" i="4" s="1"/>
  <c r="AC36" i="4"/>
  <c r="AC43" i="4" s="1"/>
  <c r="AC50" i="4" s="1"/>
  <c r="AB690" i="4"/>
  <c r="AB544" i="4"/>
  <c r="AC37" i="4"/>
  <c r="AC18" i="4"/>
  <c r="AB200" i="4"/>
  <c r="AC35" i="4"/>
  <c r="AC824" i="4"/>
  <c r="AC62" i="4"/>
  <c r="AC528" i="4" s="1"/>
  <c r="AC70" i="4"/>
  <c r="AC543" i="4"/>
  <c r="AC530" i="4"/>
  <c r="AB63" i="4"/>
  <c r="AB1389" i="4" s="1"/>
  <c r="AC68" i="4"/>
  <c r="AC19" i="4"/>
  <c r="AC20" i="4" s="1"/>
  <c r="AC17" i="4"/>
  <c r="AC1151" i="4"/>
  <c r="AB61" i="4"/>
  <c r="AB318" i="4" s="1"/>
  <c r="AB328" i="4" s="1"/>
  <c r="AC60" i="4"/>
  <c r="AC66" i="4"/>
  <c r="AC54" i="11"/>
  <c r="AZ8" i="72" l="1"/>
  <c r="AZ6" i="72"/>
  <c r="BA7" i="72"/>
  <c r="AD16" i="4"/>
  <c r="BA95" i="67"/>
  <c r="BA60" i="3"/>
  <c r="BA59" i="3"/>
  <c r="BA58" i="3"/>
  <c r="BA56" i="3"/>
  <c r="Y739" i="4"/>
  <c r="BB8" i="67"/>
  <c r="BB6" i="67"/>
  <c r="AC15" i="66"/>
  <c r="AC1036" i="4"/>
  <c r="AD301" i="3"/>
  <c r="AD188" i="4" s="1"/>
  <c r="AD197" i="4" s="1"/>
  <c r="AD300" i="3"/>
  <c r="AD187" i="4" s="1"/>
  <c r="AD196" i="4" s="1"/>
  <c r="AD296" i="3"/>
  <c r="AD183" i="4" s="1"/>
  <c r="AD192" i="4" s="1"/>
  <c r="AC54" i="4"/>
  <c r="AC53" i="62" s="1"/>
  <c r="AD355" i="3"/>
  <c r="AD241" i="4" s="1"/>
  <c r="AD246" i="4" s="1"/>
  <c r="AD186" i="3"/>
  <c r="AD123" i="4" s="1"/>
  <c r="AD299" i="3"/>
  <c r="AD185" i="3"/>
  <c r="AD122" i="4" s="1"/>
  <c r="AD297" i="3"/>
  <c r="AD184" i="4" s="1"/>
  <c r="AD193" i="4" s="1"/>
  <c r="AD331" i="3"/>
  <c r="AD220" i="4" s="1"/>
  <c r="AD225" i="4" s="1"/>
  <c r="AD217" i="3"/>
  <c r="AD134" i="4" s="1"/>
  <c r="AD216" i="3"/>
  <c r="AD133" i="4" s="1"/>
  <c r="AD218" i="3"/>
  <c r="AD135" i="4" s="1"/>
  <c r="AD356" i="3"/>
  <c r="AD242" i="4" s="1"/>
  <c r="AD247" i="4" s="1"/>
  <c r="AD329" i="3"/>
  <c r="AD241" i="3"/>
  <c r="AD146" i="4" s="1"/>
  <c r="AD298" i="3"/>
  <c r="AD185" i="4" s="1"/>
  <c r="AD1447" i="4"/>
  <c r="AD184" i="3"/>
  <c r="AD240" i="3"/>
  <c r="AD145" i="4" s="1"/>
  <c r="AD242" i="3"/>
  <c r="AD357" i="3"/>
  <c r="AD243" i="4" s="1"/>
  <c r="AD248" i="4" s="1"/>
  <c r="AD330" i="3"/>
  <c r="AD219" i="4" s="1"/>
  <c r="AD224" i="4" s="1"/>
  <c r="BC7" i="67"/>
  <c r="AC22" i="4"/>
  <c r="AV1392" i="4"/>
  <c r="AU1429" i="4"/>
  <c r="AU1523" i="4"/>
  <c r="AU1524" i="4" s="1"/>
  <c r="AA738" i="4"/>
  <c r="AC227" i="4"/>
  <c r="Z736" i="4"/>
  <c r="AC24" i="4"/>
  <c r="AE7" i="3"/>
  <c r="AE7" i="62" s="1"/>
  <c r="AE6" i="62" s="1"/>
  <c r="Z737" i="4"/>
  <c r="AB713" i="4"/>
  <c r="AC34" i="66"/>
  <c r="AC713" i="4"/>
  <c r="AC732" i="4" s="1"/>
  <c r="AC60" i="62"/>
  <c r="AD1158" i="4"/>
  <c r="AD1159" i="4" s="1"/>
  <c r="AD8" i="66"/>
  <c r="AD8" i="62"/>
  <c r="AD54" i="62" s="1"/>
  <c r="AD8" i="11"/>
  <c r="AD8" i="64"/>
  <c r="AC642" i="3"/>
  <c r="AD314" i="4"/>
  <c r="AD1184" i="4"/>
  <c r="AD29" i="4"/>
  <c r="AD1156" i="4"/>
  <c r="AD30" i="4"/>
  <c r="AD1160" i="4"/>
  <c r="AD8" i="4"/>
  <c r="AD19" i="4" s="1"/>
  <c r="AD20" i="4" s="1"/>
  <c r="AD1409" i="4"/>
  <c r="AD28" i="4"/>
  <c r="AD1183" i="4"/>
  <c r="AD15" i="4"/>
  <c r="AD6" i="4"/>
  <c r="AB414" i="4"/>
  <c r="AB415" i="4" s="1"/>
  <c r="AC413" i="4" s="1"/>
  <c r="AC9" i="3"/>
  <c r="AD53" i="64"/>
  <c r="AC288" i="4"/>
  <c r="AC329" i="4" s="1"/>
  <c r="AC199" i="4"/>
  <c r="AC250" i="4"/>
  <c r="AC42" i="4"/>
  <c r="AC49" i="4" s="1"/>
  <c r="AC9" i="4"/>
  <c r="AD21" i="4"/>
  <c r="AC540" i="4"/>
  <c r="AC542" i="4" s="1"/>
  <c r="AC44" i="4"/>
  <c r="AC51" i="4" s="1"/>
  <c r="AC9" i="64"/>
  <c r="AC9" i="62"/>
  <c r="AC9" i="11"/>
  <c r="BA6" i="72" l="1"/>
  <c r="BA8" i="72"/>
  <c r="BB7" i="72"/>
  <c r="BC8" i="67"/>
  <c r="BC6" i="67"/>
  <c r="BB56" i="3"/>
  <c r="BB95" i="67"/>
  <c r="BB60" i="3"/>
  <c r="BB59" i="3"/>
  <c r="BB58" i="3"/>
  <c r="AE8" i="3"/>
  <c r="AC65" i="4"/>
  <c r="AE6" i="3"/>
  <c r="AE7" i="11"/>
  <c r="AE6" i="11" s="1"/>
  <c r="AE7" i="4"/>
  <c r="AE15" i="4" s="1"/>
  <c r="AE18" i="4" s="1"/>
  <c r="AB56" i="4"/>
  <c r="AC55" i="4"/>
  <c r="AD58" i="4"/>
  <c r="AD218" i="4"/>
  <c r="AD223" i="4" s="1"/>
  <c r="AD121" i="4"/>
  <c r="AD32" i="4" s="1"/>
  <c r="AD39" i="4" s="1"/>
  <c r="AD46" i="4" s="1"/>
  <c r="AD147" i="4"/>
  <c r="AD34" i="4" s="1"/>
  <c r="AD41" i="4" s="1"/>
  <c r="AD48" i="4" s="1"/>
  <c r="AD186" i="4"/>
  <c r="AD195" i="4" s="1"/>
  <c r="AA739" i="4"/>
  <c r="AD57" i="4"/>
  <c r="AD9" i="64" s="1"/>
  <c r="AC53" i="4"/>
  <c r="AE7" i="64"/>
  <c r="AE6" i="64" s="1"/>
  <c r="AE28" i="64" s="1"/>
  <c r="AE30" i="64" s="1"/>
  <c r="AD1129" i="4"/>
  <c r="BD7" i="67"/>
  <c r="AD22" i="4"/>
  <c r="AW1392" i="4"/>
  <c r="AV1523" i="4"/>
  <c r="AV1524" i="4" s="1"/>
  <c r="AV1429" i="4"/>
  <c r="AD295" i="4"/>
  <c r="AD303" i="4" s="1"/>
  <c r="AD194" i="4"/>
  <c r="AE7" i="66"/>
  <c r="AE6" i="66" s="1"/>
  <c r="AE86" i="64"/>
  <c r="AE87" i="64" s="1"/>
  <c r="AD529" i="4"/>
  <c r="AD1157" i="4"/>
  <c r="AC714" i="4"/>
  <c r="AC731" i="4"/>
  <c r="AD33" i="4"/>
  <c r="AD40" i="4" s="1"/>
  <c r="AD47" i="4" s="1"/>
  <c r="Z738" i="4"/>
  <c r="AB714" i="4"/>
  <c r="AB731" i="4"/>
  <c r="AB732" i="4"/>
  <c r="AD60" i="4"/>
  <c r="AD226" i="4"/>
  <c r="AD249" i="4"/>
  <c r="AD1263" i="4"/>
  <c r="AD17" i="4"/>
  <c r="AD37" i="4"/>
  <c r="AD44" i="4" s="1"/>
  <c r="AD51" i="4" s="1"/>
  <c r="AD70" i="4"/>
  <c r="AD68" i="4"/>
  <c r="AD62" i="4"/>
  <c r="AD528" i="4" s="1"/>
  <c r="AC63" i="4"/>
  <c r="AC1389" i="4" s="1"/>
  <c r="AD54" i="11"/>
  <c r="AD67" i="4"/>
  <c r="AD530" i="4"/>
  <c r="AC61" i="4"/>
  <c r="AC318" i="4" s="1"/>
  <c r="AC328" i="4" s="1"/>
  <c r="AD543" i="4"/>
  <c r="AD824" i="4"/>
  <c r="AD1151" i="4"/>
  <c r="AD66" i="4"/>
  <c r="AC1041" i="4"/>
  <c r="AC688" i="4"/>
  <c r="AD274" i="4"/>
  <c r="AD335" i="4" s="1"/>
  <c r="AD1242" i="4"/>
  <c r="AD273" i="4"/>
  <c r="AD275" i="4"/>
  <c r="AD288" i="4" s="1"/>
  <c r="AD329" i="4" s="1"/>
  <c r="AD1243" i="4"/>
  <c r="AC287" i="4"/>
  <c r="AC324" i="4" s="1"/>
  <c r="AD18" i="4"/>
  <c r="AC414" i="4"/>
  <c r="AC415" i="4" s="1"/>
  <c r="AD413" i="4" s="1"/>
  <c r="AC200" i="4"/>
  <c r="AC544" i="4"/>
  <c r="AC690" i="4"/>
  <c r="AE21" i="4"/>
  <c r="BB6" i="72" l="1"/>
  <c r="BB8" i="72"/>
  <c r="BC7" i="72"/>
  <c r="AE16" i="4"/>
  <c r="AE1158" i="4"/>
  <c r="AE1159" i="4" s="1"/>
  <c r="AE299" i="3"/>
  <c r="AE186" i="4" s="1"/>
  <c r="AE195" i="4" s="1"/>
  <c r="AE300" i="3"/>
  <c r="AE187" i="4" s="1"/>
  <c r="AE196" i="4" s="1"/>
  <c r="AE30" i="4"/>
  <c r="AE1156" i="4"/>
  <c r="AE330" i="3"/>
  <c r="AE219" i="4" s="1"/>
  <c r="AE224" i="4" s="1"/>
  <c r="AE1184" i="4"/>
  <c r="AE1160" i="4"/>
  <c r="AE218" i="3"/>
  <c r="AE135" i="4" s="1"/>
  <c r="AE241" i="3"/>
  <c r="AE146" i="4" s="1"/>
  <c r="AF7" i="3"/>
  <c r="AE8" i="64"/>
  <c r="AE8" i="4"/>
  <c r="AE8" i="11"/>
  <c r="AE28" i="4"/>
  <c r="AD53" i="4" s="1"/>
  <c r="AE1409" i="4"/>
  <c r="AE8" i="66"/>
  <c r="AE186" i="3"/>
  <c r="AE123" i="4" s="1"/>
  <c r="AE1183" i="4"/>
  <c r="AE29" i="4"/>
  <c r="AE295" i="4" s="1"/>
  <c r="AE303" i="4" s="1"/>
  <c r="AE8" i="62"/>
  <c r="AE314" i="4"/>
  <c r="AE1242" i="4" s="1"/>
  <c r="AE356" i="3"/>
  <c r="AE242" i="4" s="1"/>
  <c r="AE247" i="4" s="1"/>
  <c r="AE217" i="3"/>
  <c r="AE134" i="4" s="1"/>
  <c r="AE185" i="3"/>
  <c r="AE122" i="4" s="1"/>
  <c r="AE1447" i="4"/>
  <c r="AE184" i="3"/>
  <c r="AE121" i="4" s="1"/>
  <c r="AE355" i="3"/>
  <c r="AE241" i="4" s="1"/>
  <c r="AE246" i="4" s="1"/>
  <c r="AE297" i="3"/>
  <c r="AE184" i="4" s="1"/>
  <c r="AE193" i="4" s="1"/>
  <c r="AE216" i="3"/>
  <c r="AE133" i="4" s="1"/>
  <c r="AE240" i="3"/>
  <c r="AE145" i="4" s="1"/>
  <c r="AE331" i="3"/>
  <c r="AE220" i="4" s="1"/>
  <c r="AE225" i="4" s="1"/>
  <c r="AE226" i="4" s="1"/>
  <c r="AE298" i="3"/>
  <c r="AE185" i="4" s="1"/>
  <c r="AE194" i="4" s="1"/>
  <c r="AE198" i="4" s="1"/>
  <c r="AE301" i="3"/>
  <c r="AE188" i="4" s="1"/>
  <c r="AE197" i="4" s="1"/>
  <c r="AE296" i="3"/>
  <c r="AE183" i="4" s="1"/>
  <c r="AE192" i="4" s="1"/>
  <c r="AE357" i="3"/>
  <c r="AE243" i="4" s="1"/>
  <c r="AE248" i="4" s="1"/>
  <c r="AE249" i="4" s="1"/>
  <c r="AE242" i="3"/>
  <c r="AE147" i="4" s="1"/>
  <c r="BC56" i="3"/>
  <c r="BC60" i="3"/>
  <c r="BC59" i="3"/>
  <c r="BC58" i="3"/>
  <c r="BC95" i="67"/>
  <c r="BD8" i="67"/>
  <c r="BD6" i="67"/>
  <c r="AE329" i="3"/>
  <c r="AE218" i="4" s="1"/>
  <c r="AE223" i="4" s="1"/>
  <c r="AE6" i="4"/>
  <c r="AD15" i="66"/>
  <c r="AD35" i="4"/>
  <c r="AD42" i="4" s="1"/>
  <c r="AD49" i="4" s="1"/>
  <c r="AD1036" i="4"/>
  <c r="AD36" i="4"/>
  <c r="AD43" i="4" s="1"/>
  <c r="AD50" i="4" s="1"/>
  <c r="AD713" i="4" s="1"/>
  <c r="AD9" i="3"/>
  <c r="AD54" i="4"/>
  <c r="AD53" i="62" s="1"/>
  <c r="AB722" i="4"/>
  <c r="AB721" i="4"/>
  <c r="AB718" i="4"/>
  <c r="AB717" i="4"/>
  <c r="AC722" i="4"/>
  <c r="AC718" i="4"/>
  <c r="AC717" i="4"/>
  <c r="AC721" i="4"/>
  <c r="BE7" i="67"/>
  <c r="AD642" i="3"/>
  <c r="AD688" i="4" s="1"/>
  <c r="AD1042" i="4"/>
  <c r="AD9" i="62"/>
  <c r="AW1429" i="4"/>
  <c r="AX1392" i="4"/>
  <c r="AW1523" i="4"/>
  <c r="AW1524" i="4" s="1"/>
  <c r="AD198" i="4"/>
  <c r="AD227" i="4"/>
  <c r="AF7" i="66"/>
  <c r="AF6" i="66" s="1"/>
  <c r="AF86" i="64"/>
  <c r="AF87" i="64" s="1"/>
  <c r="AE28" i="66"/>
  <c r="AE529" i="4"/>
  <c r="AE273" i="4"/>
  <c r="AE1157" i="4"/>
  <c r="AD9" i="11"/>
  <c r="AD540" i="4"/>
  <c r="AD542" i="4" s="1"/>
  <c r="AD544" i="4" s="1"/>
  <c r="Z739" i="4"/>
  <c r="AD24" i="4"/>
  <c r="AE27" i="66"/>
  <c r="AD34" i="66"/>
  <c r="AD250" i="4"/>
  <c r="AD60" i="62"/>
  <c r="AD9" i="66"/>
  <c r="AE67" i="4"/>
  <c r="AD9" i="4"/>
  <c r="AE68" i="4"/>
  <c r="AF7" i="4"/>
  <c r="AF6" i="4" s="1"/>
  <c r="AE54" i="62"/>
  <c r="AE66" i="4"/>
  <c r="AE1263" i="4"/>
  <c r="AD287" i="4"/>
  <c r="AD324" i="4" s="1"/>
  <c r="AD414" i="4"/>
  <c r="AD415" i="4" s="1"/>
  <c r="AE413" i="4" s="1"/>
  <c r="AE53" i="64"/>
  <c r="AE1151" i="4"/>
  <c r="AE60" i="4"/>
  <c r="AD61" i="4"/>
  <c r="AD318" i="4" s="1"/>
  <c r="AD328" i="4" s="1"/>
  <c r="AE70" i="4"/>
  <c r="AE62" i="4"/>
  <c r="AE528" i="4" s="1"/>
  <c r="AE824" i="4"/>
  <c r="AE543" i="4"/>
  <c r="AE530" i="4"/>
  <c r="AD63" i="4"/>
  <c r="AD1389" i="4" s="1"/>
  <c r="AE17" i="4"/>
  <c r="AE24" i="4" s="1"/>
  <c r="AE19" i="4"/>
  <c r="AE20" i="4" s="1"/>
  <c r="AE54" i="11"/>
  <c r="AF7" i="62"/>
  <c r="AF6" i="62" s="1"/>
  <c r="AF7" i="11"/>
  <c r="AF6" i="11" s="1"/>
  <c r="AF7" i="64"/>
  <c r="AF6" i="64" s="1"/>
  <c r="AF28" i="64" s="1"/>
  <c r="AF30" i="64" s="1"/>
  <c r="AF6" i="3"/>
  <c r="AF8" i="3"/>
  <c r="AE57" i="4" l="1"/>
  <c r="BC6" i="72"/>
  <c r="BC8" i="72"/>
  <c r="BD7" i="72"/>
  <c r="AF16" i="4"/>
  <c r="AE1129" i="4"/>
  <c r="AE34" i="4"/>
  <c r="AE41" i="4" s="1"/>
  <c r="AE48" i="4" s="1"/>
  <c r="AE33" i="4"/>
  <c r="AE40" i="4" s="1"/>
  <c r="AE47" i="4" s="1"/>
  <c r="AE274" i="4"/>
  <c r="AE335" i="4" s="1"/>
  <c r="AE275" i="4"/>
  <c r="AE1243" i="4"/>
  <c r="AE15" i="66" s="1"/>
  <c r="AE32" i="4"/>
  <c r="AE39" i="4" s="1"/>
  <c r="AE46" i="4" s="1"/>
  <c r="AE58" i="4"/>
  <c r="AE36" i="4"/>
  <c r="AE43" i="4" s="1"/>
  <c r="AE35" i="4"/>
  <c r="AE37" i="4"/>
  <c r="AE44" i="4" s="1"/>
  <c r="AE51" i="4" s="1"/>
  <c r="BD60" i="3"/>
  <c r="BD59" i="3"/>
  <c r="BD58" i="3"/>
  <c r="BD95" i="67"/>
  <c r="BD56" i="3"/>
  <c r="BE8" i="67"/>
  <c r="BE6" i="67"/>
  <c r="AD55" i="4"/>
  <c r="AC56" i="4"/>
  <c r="AD65" i="4"/>
  <c r="AE1036" i="4"/>
  <c r="AC737" i="4"/>
  <c r="AF356" i="3"/>
  <c r="AF242" i="4" s="1"/>
  <c r="AF247" i="4" s="1"/>
  <c r="AF301" i="3"/>
  <c r="AF188" i="4" s="1"/>
  <c r="AF197" i="4" s="1"/>
  <c r="AE54" i="4"/>
  <c r="AF331" i="3"/>
  <c r="AF220" i="4" s="1"/>
  <c r="AF225" i="4" s="1"/>
  <c r="AF240" i="3"/>
  <c r="AF145" i="4" s="1"/>
  <c r="AF355" i="3"/>
  <c r="AF241" i="4" s="1"/>
  <c r="AF246" i="4" s="1"/>
  <c r="AF296" i="3"/>
  <c r="AF183" i="4" s="1"/>
  <c r="AF192" i="4" s="1"/>
  <c r="AF242" i="3"/>
  <c r="AF147" i="4" s="1"/>
  <c r="AF216" i="3"/>
  <c r="AF133" i="4" s="1"/>
  <c r="AF329" i="3"/>
  <c r="AF218" i="4" s="1"/>
  <c r="AF223" i="4" s="1"/>
  <c r="AF184" i="3"/>
  <c r="AF121" i="4" s="1"/>
  <c r="AF299" i="3"/>
  <c r="AF186" i="4" s="1"/>
  <c r="AF195" i="4" s="1"/>
  <c r="AF185" i="3"/>
  <c r="AF122" i="4" s="1"/>
  <c r="AF330" i="3"/>
  <c r="AF219" i="4" s="1"/>
  <c r="AF224" i="4" s="1"/>
  <c r="AF357" i="3"/>
  <c r="AF243" i="4" s="1"/>
  <c r="AF248" i="4" s="1"/>
  <c r="AF1447" i="4"/>
  <c r="AF186" i="3"/>
  <c r="AF123" i="4" s="1"/>
  <c r="AF300" i="3"/>
  <c r="AF187" i="4" s="1"/>
  <c r="AF196" i="4" s="1"/>
  <c r="AF218" i="3"/>
  <c r="AF135" i="4" s="1"/>
  <c r="AF217" i="3"/>
  <c r="AF134" i="4" s="1"/>
  <c r="AF241" i="3"/>
  <c r="AF146" i="4" s="1"/>
  <c r="AF297" i="3"/>
  <c r="AF184" i="4" s="1"/>
  <c r="AF193" i="4" s="1"/>
  <c r="AF298" i="3"/>
  <c r="AF185" i="4" s="1"/>
  <c r="AF194" i="4" s="1"/>
  <c r="AD1041" i="4"/>
  <c r="BF7" i="67"/>
  <c r="AE22" i="4"/>
  <c r="AE642" i="3"/>
  <c r="AE688" i="4" s="1"/>
  <c r="AE1042" i="4"/>
  <c r="AY1392" i="4"/>
  <c r="AX1429" i="4"/>
  <c r="AX1523" i="4"/>
  <c r="AX1524" i="4" s="1"/>
  <c r="AD199" i="4"/>
  <c r="AC736" i="4"/>
  <c r="AE34" i="66"/>
  <c r="AB737" i="4"/>
  <c r="AB736" i="4"/>
  <c r="AD714" i="4"/>
  <c r="AD732" i="4"/>
  <c r="AD731" i="4"/>
  <c r="AD690" i="4"/>
  <c r="AE9" i="66"/>
  <c r="AF8" i="66"/>
  <c r="AF15" i="4"/>
  <c r="AE9" i="11"/>
  <c r="AE60" i="62"/>
  <c r="AF314" i="4"/>
  <c r="AF1184" i="4"/>
  <c r="AF1183" i="4"/>
  <c r="AF1158" i="4"/>
  <c r="AF1159" i="4" s="1"/>
  <c r="AF1160" i="4"/>
  <c r="AF1156" i="4"/>
  <c r="AF1409" i="4"/>
  <c r="AE9" i="4"/>
  <c r="AF53" i="64"/>
  <c r="AE250" i="4"/>
  <c r="AE288" i="4"/>
  <c r="AE329" i="4" s="1"/>
  <c r="AE227" i="4"/>
  <c r="AF21" i="4"/>
  <c r="AE199" i="4"/>
  <c r="AF28" i="4"/>
  <c r="AF8" i="4"/>
  <c r="AF30" i="4"/>
  <c r="AF29" i="4"/>
  <c r="AE42" i="4"/>
  <c r="AE49" i="4" s="1"/>
  <c r="AE540" i="4"/>
  <c r="AE542" i="4" s="1"/>
  <c r="AE9" i="3"/>
  <c r="AF8" i="62"/>
  <c r="AF8" i="11"/>
  <c r="AE9" i="62"/>
  <c r="AG7" i="3"/>
  <c r="AF8" i="64"/>
  <c r="AE9" i="64"/>
  <c r="BD6" i="72" l="1"/>
  <c r="BD8" i="72"/>
  <c r="BE7" i="72"/>
  <c r="AE65" i="4"/>
  <c r="BF8" i="67"/>
  <c r="BF6" i="67"/>
  <c r="BE60" i="3"/>
  <c r="BE59" i="3"/>
  <c r="BE58" i="3"/>
  <c r="BE95" i="67"/>
  <c r="BE56" i="3"/>
  <c r="AD721" i="4"/>
  <c r="AD718" i="4"/>
  <c r="AD717" i="4"/>
  <c r="AD722" i="4"/>
  <c r="AD56" i="4"/>
  <c r="AE53" i="62"/>
  <c r="AE55" i="4"/>
  <c r="AE1041" i="4"/>
  <c r="AF58" i="4"/>
  <c r="AF57" i="4"/>
  <c r="AE53" i="4"/>
  <c r="AF1129" i="4"/>
  <c r="BG7" i="67"/>
  <c r="AY1523" i="4"/>
  <c r="AY1524" i="4" s="1"/>
  <c r="AZ1392" i="4"/>
  <c r="AY1429" i="4"/>
  <c r="AD200" i="4"/>
  <c r="AC738" i="4"/>
  <c r="AF28" i="66"/>
  <c r="AF295" i="4"/>
  <c r="AF303" i="4" s="1"/>
  <c r="AG7" i="66"/>
  <c r="AG6" i="66" s="1"/>
  <c r="AG86" i="64"/>
  <c r="AG87" i="64" s="1"/>
  <c r="AF529" i="4"/>
  <c r="AF1157" i="4"/>
  <c r="AF18" i="4"/>
  <c r="AB738" i="4"/>
  <c r="AF27" i="66"/>
  <c r="AE50" i="4"/>
  <c r="AF249" i="4"/>
  <c r="AF1263" i="4"/>
  <c r="AF274" i="4"/>
  <c r="AF335" i="4" s="1"/>
  <c r="AF1242" i="4"/>
  <c r="AF1243" i="4"/>
  <c r="AF275" i="4"/>
  <c r="AF273" i="4"/>
  <c r="AE287" i="4"/>
  <c r="AE324" i="4" s="1"/>
  <c r="AE414" i="4"/>
  <c r="AE415" i="4" s="1"/>
  <c r="AF413" i="4" s="1"/>
  <c r="AE200" i="4"/>
  <c r="AF34" i="4"/>
  <c r="AE690" i="4"/>
  <c r="AE544" i="4"/>
  <c r="AF19" i="4"/>
  <c r="AF20" i="4" s="1"/>
  <c r="AF17" i="4"/>
  <c r="AF226" i="4"/>
  <c r="AF35" i="4"/>
  <c r="AF36" i="4"/>
  <c r="AF33" i="4"/>
  <c r="AF32" i="4"/>
  <c r="AF37" i="4"/>
  <c r="AG7" i="64"/>
  <c r="AG6" i="64" s="1"/>
  <c r="AG28" i="64" s="1"/>
  <c r="AG30" i="64" s="1"/>
  <c r="AG7" i="4"/>
  <c r="AF1151" i="4"/>
  <c r="AF66" i="4"/>
  <c r="AE61" i="4"/>
  <c r="AE318" i="4" s="1"/>
  <c r="AE328" i="4" s="1"/>
  <c r="AF60" i="4"/>
  <c r="AF198" i="4"/>
  <c r="AF70" i="4"/>
  <c r="AF62" i="4"/>
  <c r="AF528" i="4" s="1"/>
  <c r="AF824" i="4"/>
  <c r="AF543" i="4"/>
  <c r="AF530" i="4"/>
  <c r="AF67" i="4"/>
  <c r="AE63" i="4"/>
  <c r="AE1389" i="4" s="1"/>
  <c r="AF68" i="4"/>
  <c r="AF54" i="11"/>
  <c r="AG8" i="3"/>
  <c r="AG7" i="62"/>
  <c r="AG6" i="62" s="1"/>
  <c r="AG7" i="11"/>
  <c r="AG6" i="11" s="1"/>
  <c r="AF54" i="62"/>
  <c r="AG6" i="3"/>
  <c r="AG16" i="4" l="1"/>
  <c r="BE8" i="72"/>
  <c r="BE6" i="72"/>
  <c r="BF7" i="72"/>
  <c r="BF59" i="3"/>
  <c r="BF58" i="3"/>
  <c r="BF95" i="67"/>
  <c r="BF60" i="3"/>
  <c r="BF56" i="3"/>
  <c r="BG8" i="67"/>
  <c r="BG6" i="67"/>
  <c r="AF15" i="66"/>
  <c r="AD736" i="4"/>
  <c r="AF1036" i="4"/>
  <c r="AG329" i="3"/>
  <c r="AG218" i="4" s="1"/>
  <c r="AG223" i="4" s="1"/>
  <c r="AG356" i="3"/>
  <c r="AG242" i="4" s="1"/>
  <c r="AG247" i="4" s="1"/>
  <c r="AG301" i="3"/>
  <c r="AG188" i="4" s="1"/>
  <c r="AG197" i="4" s="1"/>
  <c r="AG241" i="3"/>
  <c r="AG146" i="4" s="1"/>
  <c r="AF54" i="4"/>
  <c r="AF65" i="4" s="1"/>
  <c r="AG240" i="3"/>
  <c r="AG145" i="4" s="1"/>
  <c r="AG184" i="3"/>
  <c r="AG121" i="4" s="1"/>
  <c r="AG185" i="3"/>
  <c r="AG122" i="4" s="1"/>
  <c r="AG242" i="3"/>
  <c r="AG147" i="4" s="1"/>
  <c r="AG218" i="3"/>
  <c r="AG135" i="4" s="1"/>
  <c r="AG355" i="3"/>
  <c r="AG241" i="4" s="1"/>
  <c r="AG246" i="4" s="1"/>
  <c r="AG1447" i="4"/>
  <c r="AG330" i="3"/>
  <c r="AG219" i="4" s="1"/>
  <c r="AG224" i="4" s="1"/>
  <c r="AG297" i="3"/>
  <c r="AG184" i="4" s="1"/>
  <c r="AG193" i="4" s="1"/>
  <c r="AG300" i="3"/>
  <c r="AG187" i="4" s="1"/>
  <c r="AG196" i="4" s="1"/>
  <c r="AG217" i="3"/>
  <c r="AG134" i="4" s="1"/>
  <c r="AG216" i="3"/>
  <c r="AG133" i="4" s="1"/>
  <c r="AG331" i="3"/>
  <c r="AG220" i="4" s="1"/>
  <c r="AG225" i="4" s="1"/>
  <c r="AG296" i="3"/>
  <c r="AG186" i="3"/>
  <c r="AG123" i="4" s="1"/>
  <c r="AG299" i="3"/>
  <c r="AG186" i="4" s="1"/>
  <c r="AG195" i="4" s="1"/>
  <c r="AG357" i="3"/>
  <c r="AG243" i="4" s="1"/>
  <c r="AG248" i="4" s="1"/>
  <c r="AG298" i="3"/>
  <c r="AG185" i="4" s="1"/>
  <c r="AG194" i="4" s="1"/>
  <c r="BH7" i="67"/>
  <c r="AF22" i="4"/>
  <c r="AF642" i="3"/>
  <c r="AF1041" i="4" s="1"/>
  <c r="AF1042" i="4"/>
  <c r="AC739" i="4"/>
  <c r="BA1392" i="4"/>
  <c r="AZ1429" i="4"/>
  <c r="AZ1523" i="4"/>
  <c r="AZ1524" i="4" s="1"/>
  <c r="AD737" i="4"/>
  <c r="AF24" i="4"/>
  <c r="AG8" i="66"/>
  <c r="AB739" i="4"/>
  <c r="AF34" i="66"/>
  <c r="AE713" i="4"/>
  <c r="AF60" i="62"/>
  <c r="AF9" i="66"/>
  <c r="AF9" i="11"/>
  <c r="AG314" i="4"/>
  <c r="AG1409" i="4"/>
  <c r="AG1184" i="4"/>
  <c r="AG1183" i="4"/>
  <c r="AG1158" i="4"/>
  <c r="AG1159" i="4" s="1"/>
  <c r="AG1160" i="4"/>
  <c r="AG1156" i="4"/>
  <c r="AF42" i="4"/>
  <c r="AF49" i="4" s="1"/>
  <c r="AG15" i="4"/>
  <c r="AG6" i="4"/>
  <c r="AF44" i="4"/>
  <c r="AF51" i="4" s="1"/>
  <c r="AF287" i="4"/>
  <c r="AF324" i="4" s="1"/>
  <c r="AF288" i="4"/>
  <c r="AF329" i="4" s="1"/>
  <c r="AF40" i="4"/>
  <c r="AF47" i="4" s="1"/>
  <c r="AG21" i="4"/>
  <c r="AF39" i="4"/>
  <c r="AF46" i="4" s="1"/>
  <c r="AF227" i="4"/>
  <c r="AF41" i="4"/>
  <c r="AF48" i="4" s="1"/>
  <c r="AF43" i="4"/>
  <c r="AF250" i="4"/>
  <c r="AF9" i="4"/>
  <c r="AH7" i="3"/>
  <c r="AG8" i="4"/>
  <c r="AG28" i="4"/>
  <c r="AG30" i="4"/>
  <c r="AG29" i="4"/>
  <c r="AF540" i="4"/>
  <c r="AF542" i="4" s="1"/>
  <c r="AF199" i="4"/>
  <c r="AF9" i="62"/>
  <c r="AF9" i="3"/>
  <c r="AG8" i="64"/>
  <c r="AG8" i="62"/>
  <c r="AG8" i="11"/>
  <c r="AF9" i="64"/>
  <c r="BF8" i="72" l="1"/>
  <c r="BF6" i="72"/>
  <c r="BG7" i="72"/>
  <c r="BG58" i="3"/>
  <c r="BG95" i="67"/>
  <c r="BG59" i="3"/>
  <c r="BG60" i="3"/>
  <c r="BG56" i="3"/>
  <c r="BH8" i="67"/>
  <c r="BH6" i="67"/>
  <c r="AF53" i="62"/>
  <c r="AG58" i="4"/>
  <c r="AF55" i="4"/>
  <c r="AE56" i="4"/>
  <c r="AG183" i="4"/>
  <c r="AG192" i="4" s="1"/>
  <c r="AG57" i="4"/>
  <c r="AG9" i="66" s="1"/>
  <c r="AF53" i="4"/>
  <c r="AF688" i="4"/>
  <c r="AG1129" i="4"/>
  <c r="BI7" i="67"/>
  <c r="BB1392" i="4"/>
  <c r="BA1523" i="4"/>
  <c r="BA1524" i="4" s="1"/>
  <c r="BA1429" i="4"/>
  <c r="AD738" i="4"/>
  <c r="AG28" i="66"/>
  <c r="AG295" i="4"/>
  <c r="AG303" i="4" s="1"/>
  <c r="AH7" i="66"/>
  <c r="AH6" i="66" s="1"/>
  <c r="AH86" i="64"/>
  <c r="AH87" i="64" s="1"/>
  <c r="AG529" i="4"/>
  <c r="AG1157" i="4"/>
  <c r="AG27" i="66"/>
  <c r="AE714" i="4"/>
  <c r="AE731" i="4"/>
  <c r="AE732" i="4"/>
  <c r="AH6" i="3"/>
  <c r="AF50" i="4"/>
  <c r="AG249" i="4"/>
  <c r="AG1242" i="4"/>
  <c r="AG274" i="4"/>
  <c r="AG335" i="4" s="1"/>
  <c r="AG1243" i="4"/>
  <c r="AG275" i="4"/>
  <c r="AG273" i="4"/>
  <c r="AG54" i="62"/>
  <c r="AH7" i="4"/>
  <c r="AH15" i="4" s="1"/>
  <c r="AG66" i="4"/>
  <c r="AG1263" i="4"/>
  <c r="AG67" i="4"/>
  <c r="AG1042" i="4" s="1"/>
  <c r="AF414" i="4"/>
  <c r="AF415" i="4" s="1"/>
  <c r="AG413" i="4" s="1"/>
  <c r="AG53" i="64"/>
  <c r="AH7" i="62"/>
  <c r="AH6" i="62" s="1"/>
  <c r="AG36" i="4"/>
  <c r="AG19" i="4"/>
  <c r="AG20" i="4" s="1"/>
  <c r="AG17" i="4"/>
  <c r="AG68" i="4"/>
  <c r="AH8" i="3"/>
  <c r="AG1151" i="4"/>
  <c r="AF61" i="4"/>
  <c r="AF318" i="4" s="1"/>
  <c r="AF328" i="4" s="1"/>
  <c r="AG60" i="4"/>
  <c r="AF690" i="4"/>
  <c r="AF544" i="4"/>
  <c r="AG34" i="4"/>
  <c r="AH7" i="64"/>
  <c r="AH6" i="64" s="1"/>
  <c r="AH28" i="64" s="1"/>
  <c r="AH30" i="64" s="1"/>
  <c r="AF200" i="4"/>
  <c r="AG62" i="4"/>
  <c r="AG528" i="4" s="1"/>
  <c r="AG824" i="4"/>
  <c r="AG70" i="4"/>
  <c r="AG543" i="4"/>
  <c r="AG530" i="4"/>
  <c r="AF63" i="4"/>
  <c r="AF1389" i="4" s="1"/>
  <c r="AG18" i="4"/>
  <c r="AG33" i="4"/>
  <c r="AG32" i="4"/>
  <c r="AG37" i="4"/>
  <c r="AH7" i="11"/>
  <c r="AH6" i="11" s="1"/>
  <c r="AG226" i="4"/>
  <c r="AG198" i="4"/>
  <c r="AG54" i="11"/>
  <c r="AH16" i="4" l="1"/>
  <c r="BG8" i="72"/>
  <c r="BG6" i="72"/>
  <c r="BH7" i="72"/>
  <c r="BI8" i="67"/>
  <c r="BI6" i="67"/>
  <c r="BH95" i="67"/>
  <c r="BH60" i="3"/>
  <c r="BH59" i="3"/>
  <c r="BH58" i="3"/>
  <c r="BH56" i="3"/>
  <c r="AG15" i="66"/>
  <c r="AH297" i="3"/>
  <c r="AH184" i="4" s="1"/>
  <c r="AH193" i="4" s="1"/>
  <c r="AG1036" i="4"/>
  <c r="AG35" i="4"/>
  <c r="AG42" i="4" s="1"/>
  <c r="AG49" i="4" s="1"/>
  <c r="AD739" i="4"/>
  <c r="AH355" i="3"/>
  <c r="AH241" i="4" s="1"/>
  <c r="AH246" i="4" s="1"/>
  <c r="AH301" i="3"/>
  <c r="AH188" i="4" s="1"/>
  <c r="AH197" i="4" s="1"/>
  <c r="AH242" i="3"/>
  <c r="AH147" i="4" s="1"/>
  <c r="AG54" i="4"/>
  <c r="AG55" i="4" s="1"/>
  <c r="AE721" i="4"/>
  <c r="AE718" i="4"/>
  <c r="AE722" i="4"/>
  <c r="AE717" i="4"/>
  <c r="AH184" i="3"/>
  <c r="AH121" i="4" s="1"/>
  <c r="AH216" i="3"/>
  <c r="AH133" i="4" s="1"/>
  <c r="AH300" i="3"/>
  <c r="AH187" i="4" s="1"/>
  <c r="AH196" i="4" s="1"/>
  <c r="AH298" i="3"/>
  <c r="AH299" i="3"/>
  <c r="AH186" i="4" s="1"/>
  <c r="AH195" i="4" s="1"/>
  <c r="AH218" i="3"/>
  <c r="AH185" i="3"/>
  <c r="AH122" i="4" s="1"/>
  <c r="AH296" i="3"/>
  <c r="AH183" i="4" s="1"/>
  <c r="AH192" i="4" s="1"/>
  <c r="AH330" i="3"/>
  <c r="AH219" i="4" s="1"/>
  <c r="AH224" i="4" s="1"/>
  <c r="AH217" i="3"/>
  <c r="AH134" i="4" s="1"/>
  <c r="AH356" i="3"/>
  <c r="AH242" i="4" s="1"/>
  <c r="AH247" i="4" s="1"/>
  <c r="AH241" i="3"/>
  <c r="AH146" i="4" s="1"/>
  <c r="AH329" i="3"/>
  <c r="AH218" i="4" s="1"/>
  <c r="AH223" i="4" s="1"/>
  <c r="AH186" i="3"/>
  <c r="AH123" i="4" s="1"/>
  <c r="AH357" i="3"/>
  <c r="AH243" i="4" s="1"/>
  <c r="AH248" i="4" s="1"/>
  <c r="AH331" i="3"/>
  <c r="AH220" i="4" s="1"/>
  <c r="AH225" i="4" s="1"/>
  <c r="AH240" i="3"/>
  <c r="AH145" i="4" s="1"/>
  <c r="AH1447" i="4"/>
  <c r="BJ7" i="67"/>
  <c r="AG22" i="4"/>
  <c r="BB1523" i="4"/>
  <c r="BB1524" i="4" s="1"/>
  <c r="BB1429" i="4"/>
  <c r="BC1392" i="4"/>
  <c r="AF713" i="4"/>
  <c r="AF731" i="4" s="1"/>
  <c r="AG9" i="64"/>
  <c r="AG24" i="4"/>
  <c r="AG34" i="66"/>
  <c r="AH314" i="4"/>
  <c r="AH275" i="4" s="1"/>
  <c r="AH8" i="66"/>
  <c r="AG60" i="62"/>
  <c r="AH6" i="4"/>
  <c r="AG642" i="3"/>
  <c r="AI7" i="3"/>
  <c r="AH1184" i="4"/>
  <c r="AH1183" i="4"/>
  <c r="AH1158" i="4"/>
  <c r="AH1160" i="4"/>
  <c r="AH1156" i="4"/>
  <c r="AH1409" i="4"/>
  <c r="AG9" i="62"/>
  <c r="AG9" i="3"/>
  <c r="AG9" i="4"/>
  <c r="AG40" i="4"/>
  <c r="AG47" i="4" s="1"/>
  <c r="AH8" i="4"/>
  <c r="AH28" i="4"/>
  <c r="AH30" i="4"/>
  <c r="AH29" i="4"/>
  <c r="AH8" i="64"/>
  <c r="AH8" i="62"/>
  <c r="AH8" i="11"/>
  <c r="AH185" i="4"/>
  <c r="AH194" i="4" s="1"/>
  <c r="AH21" i="4"/>
  <c r="AG540" i="4"/>
  <c r="AG542" i="4" s="1"/>
  <c r="AH18" i="4"/>
  <c r="AG227" i="4"/>
  <c r="AG41" i="4"/>
  <c r="AG48" i="4" s="1"/>
  <c r="AG288" i="4"/>
  <c r="AG329" i="4" s="1"/>
  <c r="AG43" i="4"/>
  <c r="AG250" i="4"/>
  <c r="AG39" i="4"/>
  <c r="AG46" i="4" s="1"/>
  <c r="AG199" i="4"/>
  <c r="AG44" i="4"/>
  <c r="AG51" i="4" s="1"/>
  <c r="AG9" i="11"/>
  <c r="M9" i="11"/>
  <c r="BH8" i="72" l="1"/>
  <c r="BH6" i="72"/>
  <c r="BI7" i="72"/>
  <c r="BI95" i="67"/>
  <c r="BI60" i="3"/>
  <c r="BI59" i="3"/>
  <c r="BI58" i="3"/>
  <c r="BI56" i="3"/>
  <c r="BJ8" i="67"/>
  <c r="BJ6" i="67"/>
  <c r="AG53" i="62"/>
  <c r="AF56" i="4"/>
  <c r="AG65" i="4"/>
  <c r="AH58" i="4"/>
  <c r="AH135" i="4"/>
  <c r="AH33" i="4" s="1"/>
  <c r="AG53" i="4"/>
  <c r="AH57" i="4"/>
  <c r="AH1129" i="4"/>
  <c r="BK7" i="67"/>
  <c r="BC1523" i="4"/>
  <c r="BC1524" i="4" s="1"/>
  <c r="BD1392" i="4"/>
  <c r="BC1429" i="4"/>
  <c r="AF732" i="4"/>
  <c r="AI7" i="64"/>
  <c r="AI6" i="64" s="1"/>
  <c r="AI28" i="64" s="1"/>
  <c r="AI30" i="64" s="1"/>
  <c r="AI53" i="64" s="1"/>
  <c r="AI86" i="64"/>
  <c r="AI87" i="64" s="1"/>
  <c r="AF714" i="4"/>
  <c r="AH28" i="66"/>
  <c r="AH295" i="4"/>
  <c r="AH303" i="4" s="1"/>
  <c r="AH529" i="4"/>
  <c r="AI7" i="4"/>
  <c r="AI6" i="4" s="1"/>
  <c r="AH1157" i="4"/>
  <c r="AE736" i="4"/>
  <c r="AH273" i="4"/>
  <c r="AH1243" i="4"/>
  <c r="AH274" i="4"/>
  <c r="AH335" i="4" s="1"/>
  <c r="AH1242" i="4"/>
  <c r="AG50" i="4"/>
  <c r="AH27" i="66"/>
  <c r="AE737" i="4"/>
  <c r="AH249" i="4"/>
  <c r="AI8" i="3"/>
  <c r="AH1263" i="4"/>
  <c r="AI7" i="62"/>
  <c r="AI6" i="62" s="1"/>
  <c r="AI7" i="66"/>
  <c r="AI6" i="66" s="1"/>
  <c r="AI7" i="11"/>
  <c r="AI6" i="11" s="1"/>
  <c r="AI6" i="3"/>
  <c r="AG1041" i="4"/>
  <c r="AG688" i="4"/>
  <c r="AG287" i="4"/>
  <c r="AG324" i="4" s="1"/>
  <c r="AH1159" i="4"/>
  <c r="AH54" i="62"/>
  <c r="AH53" i="64"/>
  <c r="AG200" i="4"/>
  <c r="AH35" i="4"/>
  <c r="AH37" i="4"/>
  <c r="AH1151" i="4"/>
  <c r="AH60" i="4"/>
  <c r="AH66" i="4"/>
  <c r="AG61" i="4"/>
  <c r="AG318" i="4" s="1"/>
  <c r="AG328" i="4" s="1"/>
  <c r="AH36" i="4"/>
  <c r="AH824" i="4"/>
  <c r="AH62" i="4"/>
  <c r="AH528" i="4" s="1"/>
  <c r="AH70" i="4"/>
  <c r="AH543" i="4"/>
  <c r="AH530" i="4"/>
  <c r="AH68" i="4"/>
  <c r="AH67" i="4"/>
  <c r="AH54" i="11"/>
  <c r="AG63" i="4"/>
  <c r="AG1389" i="4" s="1"/>
  <c r="AH198" i="4"/>
  <c r="AH32" i="4"/>
  <c r="AG690" i="4"/>
  <c r="AG544" i="4"/>
  <c r="AH226" i="4"/>
  <c r="AH34" i="4"/>
  <c r="AH19" i="4"/>
  <c r="AH20" i="4" s="1"/>
  <c r="AH17" i="4"/>
  <c r="AH24" i="4" s="1"/>
  <c r="L9" i="11"/>
  <c r="BI6" i="72" l="1"/>
  <c r="BI8" i="72"/>
  <c r="BJ7" i="72"/>
  <c r="AI16" i="4"/>
  <c r="AH15" i="66"/>
  <c r="BJ56" i="3"/>
  <c r="BJ95" i="67"/>
  <c r="BJ60" i="3"/>
  <c r="BJ59" i="3"/>
  <c r="BJ58" i="3"/>
  <c r="BK8" i="67"/>
  <c r="BK6" i="67"/>
  <c r="AH1036" i="4"/>
  <c r="AI299" i="3"/>
  <c r="AI186" i="4" s="1"/>
  <c r="AI195" i="4" s="1"/>
  <c r="AI301" i="3"/>
  <c r="AI188" i="4" s="1"/>
  <c r="AI197" i="4" s="1"/>
  <c r="AI217" i="3"/>
  <c r="AI134" i="4" s="1"/>
  <c r="AH54" i="4"/>
  <c r="AH53" i="62" s="1"/>
  <c r="AF718" i="4"/>
  <c r="AF717" i="4"/>
  <c r="AF722" i="4"/>
  <c r="AF721" i="4"/>
  <c r="AI184" i="3"/>
  <c r="AI121" i="4" s="1"/>
  <c r="AI1447" i="4"/>
  <c r="AI296" i="3"/>
  <c r="AI183" i="4" s="1"/>
  <c r="AI192" i="4" s="1"/>
  <c r="AI298" i="3"/>
  <c r="AI185" i="4" s="1"/>
  <c r="AI331" i="3"/>
  <c r="AI220" i="4" s="1"/>
  <c r="AI356" i="3"/>
  <c r="AI242" i="4" s="1"/>
  <c r="AI247" i="4" s="1"/>
  <c r="AI186" i="3"/>
  <c r="AI216" i="3"/>
  <c r="AI133" i="4" s="1"/>
  <c r="AI355" i="3"/>
  <c r="AI241" i="4" s="1"/>
  <c r="AI297" i="3"/>
  <c r="AI184" i="4" s="1"/>
  <c r="AI193" i="4" s="1"/>
  <c r="AI242" i="3"/>
  <c r="AI147" i="4" s="1"/>
  <c r="AI330" i="3"/>
  <c r="AI219" i="4" s="1"/>
  <c r="AI224" i="4" s="1"/>
  <c r="AI241" i="3"/>
  <c r="AI146" i="4" s="1"/>
  <c r="AI185" i="3"/>
  <c r="AI240" i="3"/>
  <c r="AI145" i="4" s="1"/>
  <c r="AI218" i="3"/>
  <c r="AI135" i="4" s="1"/>
  <c r="AI357" i="3"/>
  <c r="AI243" i="4" s="1"/>
  <c r="AI248" i="4" s="1"/>
  <c r="AI300" i="3"/>
  <c r="AI187" i="4" s="1"/>
  <c r="AI196" i="4" s="1"/>
  <c r="AI329" i="3"/>
  <c r="AI218" i="4" s="1"/>
  <c r="AI223" i="4" s="1"/>
  <c r="BL7" i="67"/>
  <c r="AH22" i="4"/>
  <c r="AH642" i="3"/>
  <c r="AH688" i="4" s="1"/>
  <c r="AH1042" i="4"/>
  <c r="BE1392" i="4"/>
  <c r="BD1523" i="4"/>
  <c r="BD1524" i="4" s="1"/>
  <c r="BD1429" i="4"/>
  <c r="AI15" i="4"/>
  <c r="AI8" i="11"/>
  <c r="AI8" i="62"/>
  <c r="AI54" i="62" s="1"/>
  <c r="AI8" i="64"/>
  <c r="AI29" i="4"/>
  <c r="AI30" i="4"/>
  <c r="AI543" i="4" s="1"/>
  <c r="AJ7" i="3"/>
  <c r="AJ6" i="3" s="1"/>
  <c r="AH34" i="66"/>
  <c r="AI8" i="66"/>
  <c r="AI314" i="4"/>
  <c r="AI1243" i="4" s="1"/>
  <c r="AG713" i="4"/>
  <c r="AI28" i="4"/>
  <c r="AI8" i="4"/>
  <c r="AI19" i="4" s="1"/>
  <c r="AI20" i="4" s="1"/>
  <c r="AI1160" i="4"/>
  <c r="AE738" i="4"/>
  <c r="AI1409" i="4"/>
  <c r="AH60" i="62"/>
  <c r="AI1156" i="4"/>
  <c r="AI1158" i="4"/>
  <c r="AI1159" i="4" s="1"/>
  <c r="AI1183" i="4"/>
  <c r="AH9" i="66"/>
  <c r="AI1184" i="4"/>
  <c r="AG414" i="4"/>
  <c r="AG415" i="4" s="1"/>
  <c r="AH413" i="4" s="1"/>
  <c r="AH9" i="3"/>
  <c r="AH540" i="4"/>
  <c r="AH227" i="4"/>
  <c r="AH43" i="4"/>
  <c r="AH40" i="4"/>
  <c r="AH47" i="4" s="1"/>
  <c r="AH9" i="11"/>
  <c r="AH9" i="62"/>
  <c r="AH9" i="64"/>
  <c r="AH41" i="4"/>
  <c r="AH48" i="4" s="1"/>
  <c r="AH39" i="4"/>
  <c r="AH46" i="4" s="1"/>
  <c r="AH288" i="4"/>
  <c r="AH329" i="4" s="1"/>
  <c r="AI21" i="4"/>
  <c r="AH9" i="4"/>
  <c r="AH250" i="4"/>
  <c r="AH199" i="4"/>
  <c r="AH44" i="4"/>
  <c r="AH51" i="4" s="1"/>
  <c r="AH42" i="4"/>
  <c r="AH49" i="4" s="1"/>
  <c r="BJ6" i="72" l="1"/>
  <c r="BJ8" i="72"/>
  <c r="BK7" i="72"/>
  <c r="AF736" i="4"/>
  <c r="BL8" i="67"/>
  <c r="BL6" i="67"/>
  <c r="BK56" i="3"/>
  <c r="BK60" i="3"/>
  <c r="BK59" i="3"/>
  <c r="BK58" i="3"/>
  <c r="BK95" i="67"/>
  <c r="AH65" i="4"/>
  <c r="AH55" i="4"/>
  <c r="AG56" i="4"/>
  <c r="AH1041" i="4"/>
  <c r="AJ7" i="64"/>
  <c r="AJ6" i="64" s="1"/>
  <c r="AJ28" i="64" s="1"/>
  <c r="AJ30" i="64" s="1"/>
  <c r="AI123" i="4"/>
  <c r="AJ7" i="4"/>
  <c r="AJ15" i="4" s="1"/>
  <c r="AJ7" i="11"/>
  <c r="AJ6" i="11" s="1"/>
  <c r="AI122" i="4"/>
  <c r="AI58" i="4"/>
  <c r="AJ7" i="62"/>
  <c r="AJ6" i="62" s="1"/>
  <c r="AJ8" i="3"/>
  <c r="AI57" i="4"/>
  <c r="AI9" i="4" s="1"/>
  <c r="AI1129" i="4"/>
  <c r="AH53" i="4"/>
  <c r="BM7" i="67"/>
  <c r="AI22" i="4"/>
  <c r="AI18" i="4"/>
  <c r="AI1151" i="4"/>
  <c r="AI1263" i="4"/>
  <c r="AI529" i="4"/>
  <c r="BF1392" i="4"/>
  <c r="BE1523" i="4"/>
  <c r="BE1524" i="4" s="1"/>
  <c r="BE1429" i="4"/>
  <c r="AI824" i="4"/>
  <c r="AH63" i="4"/>
  <c r="AH1389" i="4" s="1"/>
  <c r="AI62" i="4"/>
  <c r="AI528" i="4" s="1"/>
  <c r="AI68" i="4"/>
  <c r="AI54" i="11"/>
  <c r="AI67" i="4"/>
  <c r="AI530" i="4"/>
  <c r="AF737" i="4"/>
  <c r="AI249" i="4"/>
  <c r="AI70" i="4"/>
  <c r="AI37" i="4"/>
  <c r="AI44" i="4" s="1"/>
  <c r="AI51" i="4" s="1"/>
  <c r="AI246" i="4"/>
  <c r="AI225" i="4"/>
  <c r="AJ7" i="66"/>
  <c r="AJ6" i="66" s="1"/>
  <c r="AJ86" i="64"/>
  <c r="AJ87" i="64" s="1"/>
  <c r="AI194" i="4"/>
  <c r="AI28" i="66"/>
  <c r="AI295" i="4"/>
  <c r="AI303" i="4" s="1"/>
  <c r="AI1242" i="4"/>
  <c r="AI15" i="66" s="1"/>
  <c r="AH61" i="4"/>
  <c r="AH318" i="4" s="1"/>
  <c r="AH328" i="4" s="1"/>
  <c r="AI33" i="4"/>
  <c r="AI40" i="4" s="1"/>
  <c r="AI47" i="4" s="1"/>
  <c r="AI27" i="66"/>
  <c r="AI60" i="4"/>
  <c r="AI66" i="4"/>
  <c r="AI35" i="4"/>
  <c r="AI42" i="4" s="1"/>
  <c r="AI49" i="4" s="1"/>
  <c r="AI1157" i="4"/>
  <c r="AI36" i="4"/>
  <c r="AI43" i="4" s="1"/>
  <c r="AI50" i="4" s="1"/>
  <c r="AI713" i="4" s="1"/>
  <c r="AI34" i="4"/>
  <c r="AI41" i="4" s="1"/>
  <c r="AI48" i="4" s="1"/>
  <c r="AI274" i="4"/>
  <c r="AI335" i="4" s="1"/>
  <c r="AI17" i="4"/>
  <c r="AH542" i="4"/>
  <c r="AH690" i="4" s="1"/>
  <c r="AI273" i="4"/>
  <c r="AI275" i="4"/>
  <c r="AI288" i="4" s="1"/>
  <c r="AI329" i="4" s="1"/>
  <c r="AH50" i="4"/>
  <c r="AE739" i="4"/>
  <c r="AG732" i="4"/>
  <c r="AG731" i="4"/>
  <c r="AG714" i="4"/>
  <c r="AH287" i="4"/>
  <c r="AH324" i="4" s="1"/>
  <c r="AJ21" i="4"/>
  <c r="AH200" i="4"/>
  <c r="BK6" i="72" l="1"/>
  <c r="BK8" i="72"/>
  <c r="BL7" i="72"/>
  <c r="AJ16" i="4"/>
  <c r="AJ6" i="4"/>
  <c r="BM8" i="67"/>
  <c r="BM6" i="67"/>
  <c r="BL60" i="3"/>
  <c r="BL59" i="3"/>
  <c r="BL58" i="3"/>
  <c r="BL95" i="67"/>
  <c r="BL56" i="3"/>
  <c r="AJ1184" i="4"/>
  <c r="AJ29" i="4"/>
  <c r="AJ295" i="4" s="1"/>
  <c r="AJ303" i="4" s="1"/>
  <c r="AI9" i="66"/>
  <c r="AI9" i="62"/>
  <c r="AK7" i="3"/>
  <c r="AK7" i="66" s="1"/>
  <c r="AK6" i="66" s="1"/>
  <c r="AJ28" i="4"/>
  <c r="AJ314" i="4"/>
  <c r="AJ275" i="4" s="1"/>
  <c r="AJ8" i="66"/>
  <c r="AJ1409" i="4"/>
  <c r="AJ1156" i="4"/>
  <c r="AJ1157" i="4" s="1"/>
  <c r="AJ30" i="4"/>
  <c r="AJ67" i="4" s="1"/>
  <c r="AJ1042" i="4" s="1"/>
  <c r="AJ8" i="4"/>
  <c r="AJ17" i="4" s="1"/>
  <c r="AJ8" i="62"/>
  <c r="AJ54" i="62" s="1"/>
  <c r="AJ1160" i="4"/>
  <c r="AJ8" i="11"/>
  <c r="AJ1158" i="4"/>
  <c r="AJ1159" i="4" s="1"/>
  <c r="AI1036" i="4"/>
  <c r="AJ8" i="64"/>
  <c r="AJ1183" i="4"/>
  <c r="AI32" i="4"/>
  <c r="AI39" i="4" s="1"/>
  <c r="AI46" i="4" s="1"/>
  <c r="AJ241" i="3"/>
  <c r="AJ146" i="4" s="1"/>
  <c r="AJ301" i="3"/>
  <c r="AJ188" i="4" s="1"/>
  <c r="AJ197" i="4" s="1"/>
  <c r="AJ1447" i="4"/>
  <c r="AI54" i="4"/>
  <c r="AI53" i="62" s="1"/>
  <c r="AG722" i="4"/>
  <c r="AG717" i="4"/>
  <c r="AG718" i="4"/>
  <c r="AG721" i="4"/>
  <c r="AJ355" i="3"/>
  <c r="AJ357" i="3"/>
  <c r="AJ331" i="3"/>
  <c r="AJ218" i="3"/>
  <c r="AJ299" i="3"/>
  <c r="AJ217" i="3"/>
  <c r="AJ329" i="3"/>
  <c r="AJ297" i="3"/>
  <c r="AJ356" i="3"/>
  <c r="AJ216" i="3"/>
  <c r="AJ298" i="3"/>
  <c r="AJ240" i="3"/>
  <c r="AJ296" i="3"/>
  <c r="AJ330" i="3"/>
  <c r="AJ186" i="3"/>
  <c r="AJ184" i="3"/>
  <c r="AJ242" i="3"/>
  <c r="AJ300" i="3"/>
  <c r="AJ185" i="3"/>
  <c r="AI24" i="4"/>
  <c r="BN7" i="67"/>
  <c r="AI642" i="3"/>
  <c r="AI1042" i="4"/>
  <c r="AI9" i="64"/>
  <c r="AI9" i="3"/>
  <c r="AI9" i="11"/>
  <c r="AI60" i="62"/>
  <c r="BF1429" i="4"/>
  <c r="BG1392" i="4"/>
  <c r="BF1523" i="4"/>
  <c r="BF1524" i="4" s="1"/>
  <c r="AI540" i="4"/>
  <c r="AI542" i="4" s="1"/>
  <c r="AI690" i="4" s="1"/>
  <c r="AF738" i="4"/>
  <c r="AI250" i="4"/>
  <c r="AI226" i="4"/>
  <c r="AI198" i="4"/>
  <c r="AJ28" i="66"/>
  <c r="AH544" i="4"/>
  <c r="AH713" i="4"/>
  <c r="AH732" i="4" s="1"/>
  <c r="AI731" i="4"/>
  <c r="AI732" i="4"/>
  <c r="AI34" i="66"/>
  <c r="AJ27" i="66"/>
  <c r="AI287" i="4"/>
  <c r="AI324" i="4" s="1"/>
  <c r="AJ19" i="4"/>
  <c r="AJ20" i="4" s="1"/>
  <c r="AJ66" i="4"/>
  <c r="AH414" i="4"/>
  <c r="AH415" i="4" s="1"/>
  <c r="AI413" i="4" s="1"/>
  <c r="AJ53" i="64"/>
  <c r="AJ18" i="4"/>
  <c r="AJ24" i="4" s="1"/>
  <c r="AK7" i="64"/>
  <c r="AK6" i="64" s="1"/>
  <c r="AK28" i="64" s="1"/>
  <c r="AK30" i="64" s="1"/>
  <c r="AK7" i="62"/>
  <c r="AK6" i="62" s="1"/>
  <c r="AI61" i="4"/>
  <c r="AI318" i="4" s="1"/>
  <c r="AI328" i="4" s="1"/>
  <c r="AJ58" i="4" l="1"/>
  <c r="BL6" i="72"/>
  <c r="BL8" i="72"/>
  <c r="BM7" i="72"/>
  <c r="AJ60" i="4"/>
  <c r="AJ1263" i="4"/>
  <c r="AJ1151" i="4"/>
  <c r="AJ543" i="4"/>
  <c r="AJ68" i="4"/>
  <c r="AK8" i="3"/>
  <c r="AI63" i="4"/>
  <c r="AI1389" i="4" s="1"/>
  <c r="AJ529" i="4"/>
  <c r="AJ274" i="4"/>
  <c r="AJ335" i="4" s="1"/>
  <c r="AJ1036" i="4" s="1"/>
  <c r="AJ1242" i="4"/>
  <c r="BN8" i="67"/>
  <c r="BN6" i="67"/>
  <c r="BM60" i="3"/>
  <c r="BM59" i="3"/>
  <c r="BM58" i="3"/>
  <c r="BM95" i="67"/>
  <c r="BM56" i="3"/>
  <c r="AK6" i="3"/>
  <c r="AK7" i="4"/>
  <c r="AK6" i="4" s="1"/>
  <c r="AK86" i="64"/>
  <c r="AK87" i="64" s="1"/>
  <c r="AK7" i="11"/>
  <c r="AK6" i="11" s="1"/>
  <c r="AI53" i="4"/>
  <c r="AJ1129" i="4"/>
  <c r="AJ273" i="4"/>
  <c r="AJ1243" i="4"/>
  <c r="AJ530" i="4"/>
  <c r="AJ540" i="4" s="1"/>
  <c r="AJ70" i="4"/>
  <c r="AJ62" i="4"/>
  <c r="AJ528" i="4" s="1"/>
  <c r="AJ57" i="4"/>
  <c r="AJ9" i="64" s="1"/>
  <c r="AJ824" i="4"/>
  <c r="AH56" i="4"/>
  <c r="AJ54" i="11"/>
  <c r="AI65" i="4"/>
  <c r="AI55" i="4"/>
  <c r="AK241" i="3"/>
  <c r="AK146" i="4" s="1"/>
  <c r="AK301" i="3"/>
  <c r="AK188" i="4" s="1"/>
  <c r="AK197" i="4" s="1"/>
  <c r="AK240" i="3"/>
  <c r="AK145" i="4" s="1"/>
  <c r="AJ145" i="4"/>
  <c r="AK185" i="3"/>
  <c r="AK122" i="4" s="1"/>
  <c r="AJ122" i="4"/>
  <c r="AK298" i="3"/>
  <c r="AK185" i="4" s="1"/>
  <c r="AK194" i="4" s="1"/>
  <c r="AJ185" i="4"/>
  <c r="AJ194" i="4" s="1"/>
  <c r="AK218" i="3"/>
  <c r="AK135" i="4" s="1"/>
  <c r="AJ135" i="4"/>
  <c r="AK300" i="3"/>
  <c r="AK187" i="4" s="1"/>
  <c r="AK196" i="4" s="1"/>
  <c r="AJ187" i="4"/>
  <c r="AJ196" i="4" s="1"/>
  <c r="AK216" i="3"/>
  <c r="AK133" i="4" s="1"/>
  <c r="AJ133" i="4"/>
  <c r="AK299" i="3"/>
  <c r="AJ186" i="4"/>
  <c r="AJ195" i="4" s="1"/>
  <c r="AK242" i="3"/>
  <c r="AK147" i="4" s="1"/>
  <c r="AJ147" i="4"/>
  <c r="AK356" i="3"/>
  <c r="AK242" i="4" s="1"/>
  <c r="AK247" i="4" s="1"/>
  <c r="AJ242" i="4"/>
  <c r="AJ247" i="4" s="1"/>
  <c r="AK331" i="3"/>
  <c r="AK220" i="4" s="1"/>
  <c r="AK225" i="4" s="1"/>
  <c r="AJ220" i="4"/>
  <c r="AJ225" i="4" s="1"/>
  <c r="AJ226" i="4" s="1"/>
  <c r="AK184" i="3"/>
  <c r="AK121" i="4" s="1"/>
  <c r="AJ121" i="4"/>
  <c r="AK297" i="3"/>
  <c r="AK184" i="4" s="1"/>
  <c r="AK193" i="4" s="1"/>
  <c r="AJ184" i="4"/>
  <c r="AJ193" i="4" s="1"/>
  <c r="AK357" i="3"/>
  <c r="AK243" i="4" s="1"/>
  <c r="AK248" i="4" s="1"/>
  <c r="AJ243" i="4"/>
  <c r="AJ248" i="4" s="1"/>
  <c r="AJ249" i="4" s="1"/>
  <c r="AK186" i="3"/>
  <c r="AK123" i="4" s="1"/>
  <c r="AJ123" i="4"/>
  <c r="AK1447" i="4"/>
  <c r="AK355" i="3"/>
  <c r="AK241" i="4" s="1"/>
  <c r="AK246" i="4" s="1"/>
  <c r="AJ241" i="4"/>
  <c r="AK330" i="3"/>
  <c r="AK219" i="4" s="1"/>
  <c r="AK224" i="4" s="1"/>
  <c r="AJ219" i="4"/>
  <c r="AJ224" i="4" s="1"/>
  <c r="AJ218" i="4"/>
  <c r="AK296" i="3"/>
  <c r="AK183" i="4" s="1"/>
  <c r="AK192" i="4" s="1"/>
  <c r="AJ183" i="4"/>
  <c r="AK217" i="3"/>
  <c r="AK134" i="4" s="1"/>
  <c r="AJ134" i="4"/>
  <c r="AI544" i="4"/>
  <c r="AI227" i="4"/>
  <c r="BO7" i="67"/>
  <c r="AI1041" i="4"/>
  <c r="AI688" i="4"/>
  <c r="AF739" i="4"/>
  <c r="BH1392" i="4"/>
  <c r="BG1523" i="4"/>
  <c r="BG1524" i="4" s="1"/>
  <c r="BG1429" i="4"/>
  <c r="AI199" i="4"/>
  <c r="AH731" i="4"/>
  <c r="AI714" i="4"/>
  <c r="AH714" i="4"/>
  <c r="AK8" i="66"/>
  <c r="AG736" i="4"/>
  <c r="AG737" i="4"/>
  <c r="AK21" i="4"/>
  <c r="AJ22" i="4"/>
  <c r="AK1409" i="4"/>
  <c r="AJ642" i="3"/>
  <c r="AK314" i="4"/>
  <c r="AK1183" i="4"/>
  <c r="AK1158" i="4"/>
  <c r="AK1159" i="4" s="1"/>
  <c r="AK1160" i="4"/>
  <c r="AK1156" i="4"/>
  <c r="AK1184" i="4"/>
  <c r="AI414" i="4"/>
  <c r="AI415" i="4" s="1"/>
  <c r="AJ413" i="4" s="1"/>
  <c r="AK8" i="4"/>
  <c r="AK28" i="4"/>
  <c r="AK30" i="4"/>
  <c r="AK29" i="4"/>
  <c r="AK8" i="62"/>
  <c r="AK8" i="11"/>
  <c r="AK8" i="64"/>
  <c r="AJ288" i="4"/>
  <c r="AJ329" i="4" s="1"/>
  <c r="AL7" i="3"/>
  <c r="AJ9" i="4"/>
  <c r="BM8" i="72" l="1"/>
  <c r="BM6" i="72"/>
  <c r="BN7" i="72"/>
  <c r="AK16" i="4"/>
  <c r="AJ34" i="66"/>
  <c r="AK329" i="3"/>
  <c r="AK218" i="4" s="1"/>
  <c r="AK223" i="4" s="1"/>
  <c r="AJ287" i="4"/>
  <c r="AJ324" i="4" s="1"/>
  <c r="AJ15" i="66"/>
  <c r="AK15" i="4"/>
  <c r="BO8" i="67"/>
  <c r="BO6" i="67"/>
  <c r="BN59" i="3"/>
  <c r="BN58" i="3"/>
  <c r="BN60" i="3"/>
  <c r="BN95" i="67"/>
  <c r="BN56" i="3"/>
  <c r="AJ542" i="4"/>
  <c r="AJ544" i="4" s="1"/>
  <c r="AJ9" i="66"/>
  <c r="AJ9" i="62"/>
  <c r="AJ60" i="62"/>
  <c r="AJ9" i="3"/>
  <c r="AJ9" i="11"/>
  <c r="AJ54" i="4"/>
  <c r="AJ55" i="4" s="1"/>
  <c r="AK58" i="4"/>
  <c r="AH717" i="4"/>
  <c r="AH722" i="4"/>
  <c r="AH721" i="4"/>
  <c r="AH718" i="4"/>
  <c r="AI721" i="4"/>
  <c r="AI717" i="4"/>
  <c r="AI722" i="4"/>
  <c r="AI718" i="4"/>
  <c r="AJ33" i="4"/>
  <c r="AJ40" i="4" s="1"/>
  <c r="AJ47" i="4" s="1"/>
  <c r="AJ246" i="4"/>
  <c r="AJ250" i="4" s="1"/>
  <c r="AJ37" i="4"/>
  <c r="AJ44" i="4" s="1"/>
  <c r="AJ51" i="4" s="1"/>
  <c r="AK186" i="4"/>
  <c r="AK195" i="4" s="1"/>
  <c r="AJ223" i="4"/>
  <c r="AJ227" i="4" s="1"/>
  <c r="AJ36" i="4"/>
  <c r="AJ43" i="4" s="1"/>
  <c r="AJ50" i="4" s="1"/>
  <c r="AJ32" i="4"/>
  <c r="AJ39" i="4" s="1"/>
  <c r="AJ46" i="4" s="1"/>
  <c r="AJ34" i="4"/>
  <c r="AJ41" i="4" s="1"/>
  <c r="AJ48" i="4" s="1"/>
  <c r="AJ192" i="4"/>
  <c r="AJ35" i="4"/>
  <c r="AJ42" i="4" s="1"/>
  <c r="AJ49" i="4" s="1"/>
  <c r="AJ198" i="4"/>
  <c r="AK57" i="4"/>
  <c r="AK9" i="66" s="1"/>
  <c r="AK1129" i="4"/>
  <c r="AJ53" i="4"/>
  <c r="BP7" i="67"/>
  <c r="AI200" i="4"/>
  <c r="BH1429" i="4"/>
  <c r="BH1523" i="4"/>
  <c r="BH1524" i="4" s="1"/>
  <c r="BI1392" i="4"/>
  <c r="AK28" i="66"/>
  <c r="AK295" i="4"/>
  <c r="AK303" i="4" s="1"/>
  <c r="AL7" i="66"/>
  <c r="AL6" i="66" s="1"/>
  <c r="AL86" i="64"/>
  <c r="AL87" i="64" s="1"/>
  <c r="AK529" i="4"/>
  <c r="AK1157" i="4"/>
  <c r="AG738" i="4"/>
  <c r="AK27" i="66"/>
  <c r="AK249" i="4"/>
  <c r="AK1263" i="4"/>
  <c r="AK1242" i="4"/>
  <c r="AK274" i="4"/>
  <c r="AK335" i="4" s="1"/>
  <c r="AK1243" i="4"/>
  <c r="AK273" i="4"/>
  <c r="AK275" i="4"/>
  <c r="AJ1041" i="4"/>
  <c r="AJ688" i="4"/>
  <c r="AK54" i="62"/>
  <c r="AJ414" i="4"/>
  <c r="AJ415" i="4" s="1"/>
  <c r="AK413" i="4" s="1"/>
  <c r="AK53" i="64"/>
  <c r="AK33" i="4"/>
  <c r="AK226" i="4"/>
  <c r="AK824" i="4"/>
  <c r="AK62" i="4"/>
  <c r="AK528" i="4" s="1"/>
  <c r="AK70" i="4"/>
  <c r="AK543" i="4"/>
  <c r="AK530" i="4"/>
  <c r="AK54" i="11"/>
  <c r="AJ63" i="4"/>
  <c r="AJ1389" i="4" s="1"/>
  <c r="AK67" i="4"/>
  <c r="AK68" i="4"/>
  <c r="AK18" i="4"/>
  <c r="AK198" i="4"/>
  <c r="AK37" i="4"/>
  <c r="AK34" i="4"/>
  <c r="AK1151" i="4"/>
  <c r="AK66" i="4"/>
  <c r="AJ61" i="4"/>
  <c r="AJ318" i="4" s="1"/>
  <c r="AJ328" i="4" s="1"/>
  <c r="AK60" i="4"/>
  <c r="AL8" i="3"/>
  <c r="AL7" i="4"/>
  <c r="AL7" i="64"/>
  <c r="AL6" i="64" s="1"/>
  <c r="AL28" i="64" s="1"/>
  <c r="AL30" i="64" s="1"/>
  <c r="AL7" i="62"/>
  <c r="AL6" i="62" s="1"/>
  <c r="AL7" i="11"/>
  <c r="AL6" i="11" s="1"/>
  <c r="AL6" i="3"/>
  <c r="AK32" i="4"/>
  <c r="AK19" i="4"/>
  <c r="AK20" i="4" s="1"/>
  <c r="AK17" i="4"/>
  <c r="AK36" i="4"/>
  <c r="AL16" i="4" l="1"/>
  <c r="BN8" i="72"/>
  <c r="BN6" i="72"/>
  <c r="BO7" i="72"/>
  <c r="AJ690" i="4"/>
  <c r="BO58" i="3"/>
  <c r="BO95" i="67"/>
  <c r="BO60" i="3"/>
  <c r="BO59" i="3"/>
  <c r="BO56" i="3"/>
  <c r="BP8" i="67"/>
  <c r="BP6" i="67"/>
  <c r="AJ53" i="62"/>
  <c r="AK40" i="4"/>
  <c r="AK47" i="4" s="1"/>
  <c r="AI56" i="4"/>
  <c r="AJ65" i="4"/>
  <c r="AI737" i="4"/>
  <c r="AK15" i="66"/>
  <c r="AK1036" i="4"/>
  <c r="AH736" i="4"/>
  <c r="AK35" i="4"/>
  <c r="AK42" i="4" s="1"/>
  <c r="AK49" i="4" s="1"/>
  <c r="AL241" i="3"/>
  <c r="AL146" i="4" s="1"/>
  <c r="AL301" i="3"/>
  <c r="AL188" i="4" s="1"/>
  <c r="AL197" i="4" s="1"/>
  <c r="AK54" i="4"/>
  <c r="AK55" i="4" s="1"/>
  <c r="AJ199" i="4"/>
  <c r="AL240" i="3"/>
  <c r="AL145" i="4" s="1"/>
  <c r="AL300" i="3"/>
  <c r="AL187" i="4" s="1"/>
  <c r="AL196" i="4" s="1"/>
  <c r="AL218" i="3"/>
  <c r="AL135" i="4" s="1"/>
  <c r="AL297" i="3"/>
  <c r="AL184" i="4" s="1"/>
  <c r="AL193" i="4" s="1"/>
  <c r="AL184" i="3"/>
  <c r="AL121" i="4" s="1"/>
  <c r="AL1447" i="4"/>
  <c r="AL299" i="3"/>
  <c r="AL186" i="4" s="1"/>
  <c r="AL195" i="4" s="1"/>
  <c r="AL298" i="3"/>
  <c r="AL186" i="3"/>
  <c r="AL123" i="4" s="1"/>
  <c r="AL329" i="3"/>
  <c r="AL218" i="4" s="1"/>
  <c r="AL223" i="4" s="1"/>
  <c r="AL185" i="3"/>
  <c r="AL122" i="4" s="1"/>
  <c r="AL330" i="3"/>
  <c r="AL219" i="4" s="1"/>
  <c r="AL224" i="4" s="1"/>
  <c r="AL356" i="3"/>
  <c r="AL242" i="4" s="1"/>
  <c r="AL247" i="4" s="1"/>
  <c r="AL216" i="3"/>
  <c r="AL133" i="4" s="1"/>
  <c r="AL331" i="3"/>
  <c r="AL220" i="4" s="1"/>
  <c r="AL225" i="4" s="1"/>
  <c r="AL217" i="3"/>
  <c r="AL134" i="4" s="1"/>
  <c r="AL355" i="3"/>
  <c r="AL241" i="4" s="1"/>
  <c r="AL246" i="4" s="1"/>
  <c r="AL357" i="3"/>
  <c r="AL243" i="4" s="1"/>
  <c r="AL248" i="4" s="1"/>
  <c r="AL296" i="3"/>
  <c r="AL242" i="3"/>
  <c r="AL147" i="4" s="1"/>
  <c r="BQ7" i="67"/>
  <c r="AK22" i="4"/>
  <c r="AK642" i="3"/>
  <c r="AK1041" i="4" s="1"/>
  <c r="AK1042" i="4"/>
  <c r="BJ1392" i="4"/>
  <c r="BI1523" i="4"/>
  <c r="BI1524" i="4" s="1"/>
  <c r="BI1429" i="4"/>
  <c r="AH737" i="4"/>
  <c r="AI736" i="4"/>
  <c r="AK24" i="4"/>
  <c r="AK34" i="66"/>
  <c r="AG739" i="4"/>
  <c r="AJ713" i="4"/>
  <c r="AL314" i="4"/>
  <c r="AL1242" i="4" s="1"/>
  <c r="AL8" i="66"/>
  <c r="AK60" i="62"/>
  <c r="AK9" i="64"/>
  <c r="AL1160" i="4"/>
  <c r="AL1156" i="4"/>
  <c r="AL1158" i="4"/>
  <c r="AL1183" i="4"/>
  <c r="AL1184" i="4"/>
  <c r="AL1409" i="4"/>
  <c r="AK9" i="62"/>
  <c r="AK9" i="11"/>
  <c r="AK9" i="3"/>
  <c r="AK9" i="4"/>
  <c r="AL6" i="4"/>
  <c r="AL15" i="4"/>
  <c r="AK43" i="4"/>
  <c r="AK288" i="4"/>
  <c r="AK329" i="4" s="1"/>
  <c r="AK199" i="4"/>
  <c r="AL28" i="4"/>
  <c r="AL8" i="4"/>
  <c r="AL30" i="4"/>
  <c r="AL29" i="4"/>
  <c r="AL8" i="62"/>
  <c r="AL8" i="11"/>
  <c r="AL8" i="64"/>
  <c r="AK39" i="4"/>
  <c r="AK46" i="4" s="1"/>
  <c r="AM7" i="3"/>
  <c r="AK227" i="4"/>
  <c r="AK41" i="4"/>
  <c r="AK48" i="4" s="1"/>
  <c r="AL21" i="4"/>
  <c r="AK250" i="4"/>
  <c r="AK44" i="4"/>
  <c r="AK51" i="4" s="1"/>
  <c r="AK540" i="4"/>
  <c r="AK542" i="4" s="1"/>
  <c r="BO8" i="72" l="1"/>
  <c r="BO6" i="72"/>
  <c r="BP7" i="72"/>
  <c r="BQ8" i="67"/>
  <c r="BQ6" i="67"/>
  <c r="BP95" i="67"/>
  <c r="BP60" i="3"/>
  <c r="BP59" i="3"/>
  <c r="BP58" i="3"/>
  <c r="BP56" i="3"/>
  <c r="AL58" i="4"/>
  <c r="AK53" i="62"/>
  <c r="AK65" i="4"/>
  <c r="AK688" i="4"/>
  <c r="AJ200" i="4"/>
  <c r="AJ56" i="4"/>
  <c r="AL183" i="4"/>
  <c r="AL192" i="4" s="1"/>
  <c r="AL185" i="4"/>
  <c r="AL194" i="4" s="1"/>
  <c r="AL198" i="4" s="1"/>
  <c r="AL57" i="4"/>
  <c r="AK53" i="4"/>
  <c r="AI738" i="4"/>
  <c r="AI739" i="4" s="1"/>
  <c r="AH738" i="4"/>
  <c r="AH739" i="4" s="1"/>
  <c r="AL1129" i="4"/>
  <c r="BR7" i="67"/>
  <c r="BK1392" i="4"/>
  <c r="BJ1523" i="4"/>
  <c r="BJ1524" i="4" s="1"/>
  <c r="BJ1429" i="4"/>
  <c r="AL28" i="66"/>
  <c r="AL295" i="4"/>
  <c r="AL303" i="4" s="1"/>
  <c r="AM7" i="66"/>
  <c r="AM6" i="66" s="1"/>
  <c r="AM86" i="64"/>
  <c r="AM87" i="64" s="1"/>
  <c r="AL529" i="4"/>
  <c r="AL1157" i="4"/>
  <c r="AL27" i="66"/>
  <c r="AJ732" i="4"/>
  <c r="AJ714" i="4"/>
  <c r="AJ731" i="4"/>
  <c r="AL1243" i="4"/>
  <c r="AL15" i="66" s="1"/>
  <c r="AL273" i="4"/>
  <c r="AK50" i="4"/>
  <c r="AK713" i="4" s="1"/>
  <c r="AL274" i="4"/>
  <c r="AL335" i="4" s="1"/>
  <c r="AL249" i="4"/>
  <c r="AL275" i="4"/>
  <c r="AK287" i="4"/>
  <c r="AK324" i="4" s="1"/>
  <c r="AL1159" i="4"/>
  <c r="AL54" i="62"/>
  <c r="AL66" i="4"/>
  <c r="AL1263" i="4"/>
  <c r="AK414" i="4"/>
  <c r="AK415" i="4" s="1"/>
  <c r="AL413" i="4" s="1"/>
  <c r="AL53" i="64"/>
  <c r="AL34" i="4"/>
  <c r="AL41" i="4" s="1"/>
  <c r="AL48" i="4" s="1"/>
  <c r="AL33" i="4"/>
  <c r="AL40" i="4" s="1"/>
  <c r="AL47" i="4" s="1"/>
  <c r="AL62" i="4"/>
  <c r="AL528" i="4" s="1"/>
  <c r="AL824" i="4"/>
  <c r="AL70" i="4"/>
  <c r="AL543" i="4"/>
  <c r="AL530" i="4"/>
  <c r="AL54" i="11"/>
  <c r="AK63" i="4"/>
  <c r="AK1389" i="4" s="1"/>
  <c r="AK544" i="4"/>
  <c r="AK690" i="4"/>
  <c r="AL32" i="4"/>
  <c r="AL19" i="4"/>
  <c r="AL20" i="4" s="1"/>
  <c r="AL17" i="4"/>
  <c r="AL67" i="4"/>
  <c r="AL18" i="4"/>
  <c r="AL37" i="4"/>
  <c r="AL68" i="4"/>
  <c r="AL36" i="4"/>
  <c r="AL226" i="4"/>
  <c r="AM7" i="4"/>
  <c r="AM6" i="3"/>
  <c r="AM7" i="62"/>
  <c r="AM6" i="62" s="1"/>
  <c r="AM7" i="64"/>
  <c r="AM6" i="64" s="1"/>
  <c r="AM28" i="64" s="1"/>
  <c r="AM30" i="64" s="1"/>
  <c r="AM7" i="11"/>
  <c r="AM6" i="11" s="1"/>
  <c r="AM8" i="3"/>
  <c r="AL1151" i="4"/>
  <c r="AK61" i="4"/>
  <c r="AK318" i="4" s="1"/>
  <c r="AK328" i="4" s="1"/>
  <c r="AL60" i="4"/>
  <c r="AK200" i="4"/>
  <c r="AM16" i="4" l="1"/>
  <c r="BP8" i="72"/>
  <c r="BP6" i="72"/>
  <c r="BQ7" i="72"/>
  <c r="BR8" i="67"/>
  <c r="BR6" i="67"/>
  <c r="BQ95" i="67"/>
  <c r="BQ60" i="3"/>
  <c r="BQ59" i="3"/>
  <c r="BQ58" i="3"/>
  <c r="BQ56" i="3"/>
  <c r="AL1036" i="4"/>
  <c r="AM331" i="3"/>
  <c r="AM220" i="4" s="1"/>
  <c r="AM225" i="4" s="1"/>
  <c r="AL35" i="4"/>
  <c r="AL42" i="4" s="1"/>
  <c r="AL49" i="4" s="1"/>
  <c r="AM240" i="3"/>
  <c r="AM145" i="4" s="1"/>
  <c r="AM218" i="3"/>
  <c r="AM135" i="4" s="1"/>
  <c r="AM241" i="3"/>
  <c r="AM146" i="4" s="1"/>
  <c r="AM301" i="3"/>
  <c r="AM188" i="4" s="1"/>
  <c r="AM197" i="4" s="1"/>
  <c r="AM185" i="3"/>
  <c r="AM122" i="4" s="1"/>
  <c r="AM298" i="3"/>
  <c r="AM185" i="4" s="1"/>
  <c r="AM194" i="4" s="1"/>
  <c r="AJ722" i="4"/>
  <c r="AJ721" i="4"/>
  <c r="AJ718" i="4"/>
  <c r="AJ717" i="4"/>
  <c r="AL54" i="4"/>
  <c r="AL65" i="4" s="1"/>
  <c r="AM186" i="3"/>
  <c r="AM123" i="4" s="1"/>
  <c r="AM217" i="3"/>
  <c r="AM134" i="4" s="1"/>
  <c r="AM356" i="3"/>
  <c r="AM242" i="4" s="1"/>
  <c r="AM247" i="4" s="1"/>
  <c r="AM297" i="3"/>
  <c r="AM1447" i="4"/>
  <c r="AL9" i="66"/>
  <c r="AM242" i="3"/>
  <c r="AM147" i="4" s="1"/>
  <c r="AM329" i="3"/>
  <c r="AM218" i="4" s="1"/>
  <c r="AM223" i="4" s="1"/>
  <c r="AM355" i="3"/>
  <c r="AM241" i="4" s="1"/>
  <c r="AM246" i="4" s="1"/>
  <c r="AM300" i="3"/>
  <c r="AM187" i="4" s="1"/>
  <c r="AM196" i="4" s="1"/>
  <c r="AM299" i="3"/>
  <c r="AM186" i="4" s="1"/>
  <c r="AM195" i="4" s="1"/>
  <c r="AM216" i="3"/>
  <c r="AM133" i="4" s="1"/>
  <c r="AM330" i="3"/>
  <c r="AM219" i="4" s="1"/>
  <c r="AM224" i="4" s="1"/>
  <c r="AM357" i="3"/>
  <c r="AM243" i="4" s="1"/>
  <c r="AM248" i="4" s="1"/>
  <c r="AM184" i="3"/>
  <c r="AM121" i="4" s="1"/>
  <c r="AM296" i="3"/>
  <c r="AM183" i="4" s="1"/>
  <c r="AM192" i="4" s="1"/>
  <c r="BS7" i="67"/>
  <c r="AL22" i="4"/>
  <c r="AL642" i="3"/>
  <c r="AL1041" i="4" s="1"/>
  <c r="AL1042" i="4"/>
  <c r="BL1392" i="4"/>
  <c r="BK1523" i="4"/>
  <c r="BK1524" i="4" s="1"/>
  <c r="BK1429" i="4"/>
  <c r="AL34" i="66"/>
  <c r="AK731" i="4"/>
  <c r="AK714" i="4"/>
  <c r="AK732" i="4"/>
  <c r="AL24" i="4"/>
  <c r="AM8" i="66"/>
  <c r="AL60" i="62"/>
  <c r="AM1160" i="4"/>
  <c r="AM1156" i="4"/>
  <c r="AM1184" i="4"/>
  <c r="AM1183" i="4"/>
  <c r="AM1158" i="4"/>
  <c r="AM314" i="4"/>
  <c r="AM1409" i="4"/>
  <c r="AN7" i="3"/>
  <c r="AL9" i="4"/>
  <c r="AL9" i="3"/>
  <c r="AL9" i="11"/>
  <c r="AL43" i="4"/>
  <c r="AL44" i="4"/>
  <c r="AL51" i="4" s="1"/>
  <c r="AM21" i="4"/>
  <c r="AM28" i="4"/>
  <c r="AM8" i="4"/>
  <c r="AM30" i="4"/>
  <c r="AM29" i="4"/>
  <c r="AM8" i="64"/>
  <c r="AM8" i="62"/>
  <c r="AM8" i="11"/>
  <c r="AL9" i="64"/>
  <c r="AL9" i="62"/>
  <c r="AL39" i="4"/>
  <c r="AL46" i="4" s="1"/>
  <c r="AL540" i="4"/>
  <c r="AL542" i="4" s="1"/>
  <c r="AL199" i="4"/>
  <c r="AL288" i="4"/>
  <c r="AL329" i="4" s="1"/>
  <c r="AL287" i="4"/>
  <c r="AL324" i="4" s="1"/>
  <c r="AM15" i="4"/>
  <c r="AM6" i="4"/>
  <c r="AL227" i="4"/>
  <c r="AL250" i="4"/>
  <c r="BQ6" i="72" l="1"/>
  <c r="BQ8" i="72"/>
  <c r="BR7" i="72"/>
  <c r="AL53" i="62"/>
  <c r="BS8" i="67"/>
  <c r="BS6" i="67"/>
  <c r="BR56" i="3"/>
  <c r="BR95" i="67"/>
  <c r="BR58" i="3"/>
  <c r="BR60" i="3"/>
  <c r="BR59" i="3"/>
  <c r="AM58" i="4"/>
  <c r="AK56" i="4"/>
  <c r="AK722" i="4"/>
  <c r="AK718" i="4"/>
  <c r="AK721" i="4"/>
  <c r="AK717" i="4"/>
  <c r="AL55" i="4"/>
  <c r="AM184" i="4"/>
  <c r="AM193" i="4" s="1"/>
  <c r="AL53" i="4"/>
  <c r="AM57" i="4"/>
  <c r="AM1129" i="4"/>
  <c r="AL688" i="4"/>
  <c r="BT7" i="67"/>
  <c r="AN86" i="64"/>
  <c r="AN87" i="64" s="1"/>
  <c r="BM1392" i="4"/>
  <c r="BL1429" i="4"/>
  <c r="BL1523" i="4"/>
  <c r="BL1524" i="4" s="1"/>
  <c r="AM28" i="66"/>
  <c r="AM295" i="4"/>
  <c r="AM303" i="4" s="1"/>
  <c r="AM529" i="4"/>
  <c r="AM1157" i="4"/>
  <c r="AJ737" i="4"/>
  <c r="AM27" i="66"/>
  <c r="AL50" i="4"/>
  <c r="AJ736" i="4"/>
  <c r="AM249" i="4"/>
  <c r="AM1263" i="4"/>
  <c r="AN7" i="62"/>
  <c r="AN6" i="62" s="1"/>
  <c r="AN7" i="66"/>
  <c r="AN6" i="66" s="1"/>
  <c r="AM68" i="4"/>
  <c r="AN7" i="4"/>
  <c r="AN6" i="4" s="1"/>
  <c r="AM67" i="4"/>
  <c r="AM1242" i="4"/>
  <c r="AM274" i="4"/>
  <c r="AM335" i="4" s="1"/>
  <c r="AM275" i="4"/>
  <c r="AM1243" i="4"/>
  <c r="AM273" i="4"/>
  <c r="AN7" i="64"/>
  <c r="AN6" i="64" s="1"/>
  <c r="AN28" i="64" s="1"/>
  <c r="AN30" i="64" s="1"/>
  <c r="AN53" i="64" s="1"/>
  <c r="AN7" i="11"/>
  <c r="AN6" i="11" s="1"/>
  <c r="AM1159" i="4"/>
  <c r="AN8" i="3"/>
  <c r="AN6" i="3"/>
  <c r="AM54" i="62"/>
  <c r="AL414" i="4"/>
  <c r="AL415" i="4" s="1"/>
  <c r="AM413" i="4" s="1"/>
  <c r="AM53" i="64"/>
  <c r="AM70" i="4"/>
  <c r="AM62" i="4"/>
  <c r="AM528" i="4" s="1"/>
  <c r="AM824" i="4"/>
  <c r="AM543" i="4"/>
  <c r="AM530" i="4"/>
  <c r="AM54" i="11"/>
  <c r="AL63" i="4"/>
  <c r="AL1389" i="4" s="1"/>
  <c r="AL200" i="4"/>
  <c r="AM37" i="4"/>
  <c r="AM1151" i="4"/>
  <c r="AM60" i="4"/>
  <c r="AM66" i="4"/>
  <c r="AL61" i="4"/>
  <c r="AL318" i="4" s="1"/>
  <c r="AL328" i="4" s="1"/>
  <c r="AM36" i="4"/>
  <c r="AL544" i="4"/>
  <c r="AL690" i="4"/>
  <c r="AM34" i="4"/>
  <c r="AM33" i="4"/>
  <c r="AM198" i="4"/>
  <c r="AM19" i="4"/>
  <c r="AM20" i="4" s="1"/>
  <c r="AM17" i="4"/>
  <c r="AM18" i="4"/>
  <c r="AM32" i="4"/>
  <c r="AM226" i="4"/>
  <c r="BR6" i="72" l="1"/>
  <c r="BR8" i="72"/>
  <c r="BS7" i="72"/>
  <c r="AN16" i="4"/>
  <c r="BT8" i="67"/>
  <c r="BT6" i="67"/>
  <c r="BS56" i="3"/>
  <c r="BS60" i="3"/>
  <c r="BS59" i="3"/>
  <c r="BS58" i="3"/>
  <c r="BS95" i="67"/>
  <c r="AM35" i="4"/>
  <c r="AM42" i="4" s="1"/>
  <c r="AM49" i="4" s="1"/>
  <c r="AM15" i="66"/>
  <c r="AM1036" i="4"/>
  <c r="AK737" i="4"/>
  <c r="AN329" i="3"/>
  <c r="AN218" i="4" s="1"/>
  <c r="AN223" i="4" s="1"/>
  <c r="AN301" i="3"/>
  <c r="AN188" i="4" s="1"/>
  <c r="AN197" i="4" s="1"/>
  <c r="AM54" i="4"/>
  <c r="AM53" i="62" s="1"/>
  <c r="AN216" i="3"/>
  <c r="AN133" i="4" s="1"/>
  <c r="AN185" i="3"/>
  <c r="AN122" i="4" s="1"/>
  <c r="AN331" i="3"/>
  <c r="AN220" i="4" s="1"/>
  <c r="AN225" i="4" s="1"/>
  <c r="AN226" i="4" s="1"/>
  <c r="AN240" i="3"/>
  <c r="AN218" i="3"/>
  <c r="AN135" i="4" s="1"/>
  <c r="AN298" i="3"/>
  <c r="AN241" i="3"/>
  <c r="AN146" i="4" s="1"/>
  <c r="AN355" i="3"/>
  <c r="AN241" i="4" s="1"/>
  <c r="AN246" i="4" s="1"/>
  <c r="AN184" i="3"/>
  <c r="AN121" i="4" s="1"/>
  <c r="AN186" i="3"/>
  <c r="AN123" i="4" s="1"/>
  <c r="AN297" i="3"/>
  <c r="AN184" i="4" s="1"/>
  <c r="AN193" i="4" s="1"/>
  <c r="AN330" i="3"/>
  <c r="AN300" i="3"/>
  <c r="AN187" i="4" s="1"/>
  <c r="AN196" i="4" s="1"/>
  <c r="AN217" i="3"/>
  <c r="AN296" i="3"/>
  <c r="AN183" i="4" s="1"/>
  <c r="AN192" i="4" s="1"/>
  <c r="AN242" i="3"/>
  <c r="AN356" i="3"/>
  <c r="AN242" i="4" s="1"/>
  <c r="AN247" i="4" s="1"/>
  <c r="AN1447" i="4"/>
  <c r="AN357" i="3"/>
  <c r="AN243" i="4" s="1"/>
  <c r="AN248" i="4" s="1"/>
  <c r="AN249" i="4" s="1"/>
  <c r="AN299" i="3"/>
  <c r="AN186" i="4" s="1"/>
  <c r="AN195" i="4" s="1"/>
  <c r="AK736" i="4"/>
  <c r="AN15" i="4"/>
  <c r="BU7" i="67"/>
  <c r="AM22" i="4"/>
  <c r="AM642" i="3"/>
  <c r="AM688" i="4" s="1"/>
  <c r="AM1042" i="4"/>
  <c r="AN30" i="4"/>
  <c r="AN529" i="4" s="1"/>
  <c r="AN8" i="4"/>
  <c r="AN17" i="4" s="1"/>
  <c r="BM1429" i="4"/>
  <c r="BN1392" i="4"/>
  <c r="BM1523" i="4"/>
  <c r="BM1524" i="4" s="1"/>
  <c r="AN28" i="4"/>
  <c r="AN8" i="11"/>
  <c r="AL713" i="4"/>
  <c r="AL732" i="4" s="1"/>
  <c r="AM24" i="4"/>
  <c r="AN8" i="66"/>
  <c r="AJ738" i="4"/>
  <c r="AN8" i="62"/>
  <c r="AN54" i="62" s="1"/>
  <c r="AM34" i="66"/>
  <c r="AN8" i="64"/>
  <c r="AN29" i="4"/>
  <c r="AM9" i="66"/>
  <c r="AN1409" i="4"/>
  <c r="AO7" i="3"/>
  <c r="AN314" i="4"/>
  <c r="AM9" i="11"/>
  <c r="AM60" i="62"/>
  <c r="AN1184" i="4"/>
  <c r="AN1183" i="4"/>
  <c r="AN1158" i="4"/>
  <c r="AN1159" i="4" s="1"/>
  <c r="AN1160" i="4"/>
  <c r="AN1156" i="4"/>
  <c r="AM9" i="64"/>
  <c r="AM540" i="4"/>
  <c r="AM542" i="4" s="1"/>
  <c r="AM43" i="4"/>
  <c r="AM9" i="4"/>
  <c r="AM44" i="4"/>
  <c r="AM51" i="4" s="1"/>
  <c r="AM39" i="4"/>
  <c r="AM46" i="4" s="1"/>
  <c r="AM199" i="4"/>
  <c r="AN21" i="4"/>
  <c r="AM250" i="4"/>
  <c r="AM40" i="4"/>
  <c r="AM47" i="4" s="1"/>
  <c r="AM288" i="4"/>
  <c r="AM329" i="4" s="1"/>
  <c r="AM227" i="4"/>
  <c r="AM41" i="4"/>
  <c r="AM48" i="4" s="1"/>
  <c r="AM9" i="3"/>
  <c r="AM9" i="62"/>
  <c r="BS6" i="72" l="1"/>
  <c r="BS8" i="72"/>
  <c r="BT7" i="72"/>
  <c r="AM65" i="4"/>
  <c r="BU8" i="67"/>
  <c r="BU6" i="67"/>
  <c r="BT60" i="3"/>
  <c r="BT59" i="3"/>
  <c r="BT58" i="3"/>
  <c r="BT95" i="67"/>
  <c r="BT56" i="3"/>
  <c r="AN18" i="4"/>
  <c r="AN58" i="4"/>
  <c r="AM55" i="4"/>
  <c r="AL56" i="4"/>
  <c r="AN185" i="4"/>
  <c r="AN194" i="4" s="1"/>
  <c r="AN198" i="4" s="1"/>
  <c r="AN199" i="4" s="1"/>
  <c r="AN219" i="4"/>
  <c r="AN224" i="4" s="1"/>
  <c r="AN227" i="4" s="1"/>
  <c r="AN134" i="4"/>
  <c r="AN33" i="4" s="1"/>
  <c r="AN40" i="4" s="1"/>
  <c r="AN47" i="4" s="1"/>
  <c r="AN145" i="4"/>
  <c r="AN19" i="4"/>
  <c r="AN20" i="4" s="1"/>
  <c r="AN22" i="4" s="1"/>
  <c r="AK738" i="4"/>
  <c r="AN147" i="4"/>
  <c r="AN54" i="11"/>
  <c r="AN57" i="4"/>
  <c r="AN9" i="66" s="1"/>
  <c r="AN530" i="4"/>
  <c r="AN540" i="4" s="1"/>
  <c r="AM53" i="4"/>
  <c r="AN1129" i="4"/>
  <c r="AM1041" i="4"/>
  <c r="AN32" i="4"/>
  <c r="AN39" i="4" s="1"/>
  <c r="AN46" i="4" s="1"/>
  <c r="BV7" i="67"/>
  <c r="AN37" i="4"/>
  <c r="AN44" i="4" s="1"/>
  <c r="AN51" i="4" s="1"/>
  <c r="AN543" i="4"/>
  <c r="AN824" i="4"/>
  <c r="AN62" i="4"/>
  <c r="AN528" i="4" s="1"/>
  <c r="AM63" i="4"/>
  <c r="AM1389" i="4" s="1"/>
  <c r="AN70" i="4"/>
  <c r="AN67" i="4"/>
  <c r="AN68" i="4"/>
  <c r="BN1429" i="4"/>
  <c r="BN1523" i="4"/>
  <c r="BN1524" i="4" s="1"/>
  <c r="BO1392" i="4"/>
  <c r="AO7" i="11"/>
  <c r="AO6" i="11" s="1"/>
  <c r="AO86" i="64"/>
  <c r="AO87" i="64" s="1"/>
  <c r="AN28" i="66"/>
  <c r="AN295" i="4"/>
  <c r="AN303" i="4" s="1"/>
  <c r="AL731" i="4"/>
  <c r="AL714" i="4"/>
  <c r="AO8" i="3"/>
  <c r="AO7" i="62"/>
  <c r="AO6" i="62" s="1"/>
  <c r="AN1151" i="4"/>
  <c r="AN1263" i="4"/>
  <c r="AN66" i="4"/>
  <c r="AM61" i="4"/>
  <c r="AM318" i="4" s="1"/>
  <c r="AM328" i="4" s="1"/>
  <c r="AN60" i="4"/>
  <c r="AN1157" i="4"/>
  <c r="AJ739" i="4"/>
  <c r="AM50" i="4"/>
  <c r="AM713" i="4" s="1"/>
  <c r="AN27" i="66"/>
  <c r="AN24" i="4"/>
  <c r="AO7" i="4"/>
  <c r="AO7" i="66"/>
  <c r="AO6" i="66" s="1"/>
  <c r="AO6" i="3"/>
  <c r="AO7" i="64"/>
  <c r="AO6" i="64" s="1"/>
  <c r="AO28" i="64" s="1"/>
  <c r="AO30" i="64" s="1"/>
  <c r="AO53" i="64" s="1"/>
  <c r="AN274" i="4"/>
  <c r="AN335" i="4" s="1"/>
  <c r="AN1242" i="4"/>
  <c r="AN1243" i="4"/>
  <c r="AN273" i="4"/>
  <c r="AN275" i="4"/>
  <c r="AN288" i="4" s="1"/>
  <c r="AN329" i="4" s="1"/>
  <c r="AM690" i="4"/>
  <c r="AM544" i="4"/>
  <c r="AM200" i="4"/>
  <c r="AM287" i="4"/>
  <c r="AM324" i="4" s="1"/>
  <c r="AN250" i="4"/>
  <c r="AO16" i="4" l="1"/>
  <c r="BT6" i="72"/>
  <c r="BT8" i="72"/>
  <c r="BU7" i="72"/>
  <c r="AO1156" i="4"/>
  <c r="BU60" i="3"/>
  <c r="BU59" i="3"/>
  <c r="BU58" i="3"/>
  <c r="BU95" i="67"/>
  <c r="BU56" i="3"/>
  <c r="BV8" i="67"/>
  <c r="BV6" i="67"/>
  <c r="AO21" i="4"/>
  <c r="AN35" i="4"/>
  <c r="AN42" i="4" s="1"/>
  <c r="AN49" i="4" s="1"/>
  <c r="AN15" i="66"/>
  <c r="AN1036" i="4"/>
  <c r="AN34" i="4"/>
  <c r="AN41" i="4" s="1"/>
  <c r="AN48" i="4" s="1"/>
  <c r="AO329" i="3"/>
  <c r="AO218" i="4" s="1"/>
  <c r="AO223" i="4" s="1"/>
  <c r="AO301" i="3"/>
  <c r="AO188" i="4" s="1"/>
  <c r="AO197" i="4" s="1"/>
  <c r="AL721" i="4"/>
  <c r="AL718" i="4"/>
  <c r="AL717" i="4"/>
  <c r="AL722" i="4"/>
  <c r="AN54" i="4"/>
  <c r="AM56" i="4" s="1"/>
  <c r="AO185" i="3"/>
  <c r="AO122" i="4" s="1"/>
  <c r="AO330" i="3"/>
  <c r="AO219" i="4" s="1"/>
  <c r="AO224" i="4" s="1"/>
  <c r="AO1184" i="4"/>
  <c r="AN36" i="4"/>
  <c r="AN43" i="4" s="1"/>
  <c r="AN50" i="4" s="1"/>
  <c r="AN713" i="4" s="1"/>
  <c r="AN714" i="4" s="1"/>
  <c r="AO216" i="3"/>
  <c r="AO133" i="4" s="1"/>
  <c r="AO186" i="3"/>
  <c r="AO123" i="4" s="1"/>
  <c r="AO299" i="3"/>
  <c r="AO186" i="4" s="1"/>
  <c r="AO195" i="4" s="1"/>
  <c r="AO355" i="3"/>
  <c r="AO1447" i="4"/>
  <c r="AO218" i="3"/>
  <c r="AO135" i="4" s="1"/>
  <c r="AO242" i="3"/>
  <c r="AO331" i="3"/>
  <c r="AO220" i="4" s="1"/>
  <c r="AO225" i="4" s="1"/>
  <c r="AO226" i="4" s="1"/>
  <c r="AO300" i="3"/>
  <c r="AO187" i="4" s="1"/>
  <c r="AO196" i="4" s="1"/>
  <c r="AO241" i="3"/>
  <c r="AO146" i="4" s="1"/>
  <c r="AO297" i="3"/>
  <c r="AO296" i="3"/>
  <c r="AO183" i="4" s="1"/>
  <c r="AO192" i="4" s="1"/>
  <c r="AO184" i="3"/>
  <c r="AO121" i="4" s="1"/>
  <c r="AO357" i="3"/>
  <c r="AO243" i="4" s="1"/>
  <c r="AO217" i="3"/>
  <c r="AO134" i="4" s="1"/>
  <c r="AK739" i="4"/>
  <c r="AO8" i="66"/>
  <c r="AO356" i="3"/>
  <c r="AO240" i="3"/>
  <c r="AO145" i="4" s="1"/>
  <c r="AO298" i="3"/>
  <c r="AO185" i="4" s="1"/>
  <c r="AO194" i="4" s="1"/>
  <c r="AN542" i="4"/>
  <c r="AN690" i="4" s="1"/>
  <c r="BW7" i="67"/>
  <c r="AN642" i="3"/>
  <c r="AN1042" i="4"/>
  <c r="BO1523" i="4"/>
  <c r="BO1524" i="4" s="1"/>
  <c r="BO1429" i="4"/>
  <c r="BP1392" i="4"/>
  <c r="AP7" i="3"/>
  <c r="AO1158" i="4"/>
  <c r="AO1159" i="4" s="1"/>
  <c r="AO8" i="4"/>
  <c r="AO19" i="4" s="1"/>
  <c r="AO20" i="4" s="1"/>
  <c r="AO1160" i="4"/>
  <c r="AO8" i="64"/>
  <c r="AO8" i="11"/>
  <c r="AO1183" i="4"/>
  <c r="AO29" i="4"/>
  <c r="AO1409" i="4"/>
  <c r="AO314" i="4"/>
  <c r="AO1242" i="4" s="1"/>
  <c r="AO30" i="4"/>
  <c r="AO54" i="11" s="1"/>
  <c r="AO8" i="62"/>
  <c r="AO54" i="62" s="1"/>
  <c r="AO28" i="4"/>
  <c r="AN9" i="4"/>
  <c r="AN9" i="64"/>
  <c r="AN9" i="11"/>
  <c r="AN9" i="3"/>
  <c r="AN60" i="62"/>
  <c r="AN9" i="62"/>
  <c r="AO1157" i="4"/>
  <c r="AM732" i="4"/>
  <c r="AM714" i="4"/>
  <c r="AM731" i="4"/>
  <c r="AN34" i="66"/>
  <c r="AO15" i="4"/>
  <c r="AO6" i="4"/>
  <c r="AN287" i="4"/>
  <c r="AN324" i="4" s="1"/>
  <c r="AM414" i="4"/>
  <c r="AM415" i="4" s="1"/>
  <c r="AN413" i="4" s="1"/>
  <c r="AN200" i="4"/>
  <c r="BU8" i="72" l="1"/>
  <c r="BU6" i="72"/>
  <c r="BV7" i="72"/>
  <c r="BV59" i="3"/>
  <c r="BV58" i="3"/>
  <c r="BV95" i="67"/>
  <c r="BV60" i="3"/>
  <c r="BV56" i="3"/>
  <c r="BW8" i="67"/>
  <c r="BW6" i="67"/>
  <c r="AO17" i="4"/>
  <c r="AN544" i="4"/>
  <c r="AL737" i="4"/>
  <c r="AO529" i="4"/>
  <c r="AN55" i="4"/>
  <c r="AO198" i="4"/>
  <c r="AO58" i="4"/>
  <c r="AN65" i="4"/>
  <c r="AN53" i="62"/>
  <c r="AM721" i="4"/>
  <c r="AM717" i="4"/>
  <c r="AM718" i="4"/>
  <c r="AM722" i="4"/>
  <c r="AN718" i="4"/>
  <c r="AN717" i="4"/>
  <c r="AN722" i="4"/>
  <c r="AN721" i="4"/>
  <c r="AO184" i="4"/>
  <c r="AO193" i="4" s="1"/>
  <c r="AO241" i="4"/>
  <c r="AO246" i="4" s="1"/>
  <c r="AO242" i="4"/>
  <c r="AO247" i="4" s="1"/>
  <c r="AO147" i="4"/>
  <c r="AO34" i="4" s="1"/>
  <c r="AO41" i="4" s="1"/>
  <c r="AO48" i="4" s="1"/>
  <c r="AO57" i="4"/>
  <c r="AN53" i="4"/>
  <c r="AO1129" i="4"/>
  <c r="BX7" i="67"/>
  <c r="AO22" i="4"/>
  <c r="AN1041" i="4"/>
  <c r="AN688" i="4"/>
  <c r="AP86" i="64"/>
  <c r="AP87" i="64" s="1"/>
  <c r="AP7" i="66"/>
  <c r="AP6" i="66" s="1"/>
  <c r="BP1429" i="4"/>
  <c r="BQ1392" i="4"/>
  <c r="BP1523" i="4"/>
  <c r="BP1524" i="4" s="1"/>
  <c r="AP8" i="3"/>
  <c r="AP7" i="11"/>
  <c r="AP6" i="11" s="1"/>
  <c r="AP7" i="4"/>
  <c r="AP7" i="64"/>
  <c r="AP6" i="64" s="1"/>
  <c r="AP28" i="64" s="1"/>
  <c r="AP30" i="64" s="1"/>
  <c r="AP53" i="64" s="1"/>
  <c r="AP7" i="62"/>
  <c r="AP6" i="62" s="1"/>
  <c r="AP6" i="3"/>
  <c r="AO32" i="4"/>
  <c r="AO39" i="4" s="1"/>
  <c r="AO46" i="4" s="1"/>
  <c r="AO274" i="4"/>
  <c r="AO335" i="4" s="1"/>
  <c r="AO275" i="4"/>
  <c r="AO288" i="4" s="1"/>
  <c r="AO329" i="4" s="1"/>
  <c r="AO414" i="4" s="1"/>
  <c r="AO273" i="4"/>
  <c r="AL736" i="4"/>
  <c r="AO1243" i="4"/>
  <c r="AO15" i="66" s="1"/>
  <c r="AO33" i="4"/>
  <c r="AO40" i="4" s="1"/>
  <c r="AO47" i="4" s="1"/>
  <c r="AO248" i="4"/>
  <c r="AO28" i="66"/>
  <c r="AO295" i="4"/>
  <c r="AO303" i="4" s="1"/>
  <c r="AN61" i="4"/>
  <c r="AN318" i="4" s="1"/>
  <c r="AN328" i="4" s="1"/>
  <c r="AO1151" i="4"/>
  <c r="AO60" i="4"/>
  <c r="AO1263" i="4"/>
  <c r="AO27" i="66"/>
  <c r="AO67" i="4"/>
  <c r="AO1042" i="4" s="1"/>
  <c r="AO68" i="4"/>
  <c r="AN63" i="4"/>
  <c r="AN1389" i="4" s="1"/>
  <c r="AO70" i="4"/>
  <c r="AO62" i="4"/>
  <c r="AO528" i="4" s="1"/>
  <c r="AO824" i="4"/>
  <c r="AO543" i="4"/>
  <c r="AO36" i="4"/>
  <c r="AO43" i="4" s="1"/>
  <c r="AO50" i="4" s="1"/>
  <c r="AO713" i="4" s="1"/>
  <c r="AO530" i="4"/>
  <c r="AO66" i="4"/>
  <c r="AO227" i="4"/>
  <c r="AP21" i="4"/>
  <c r="AN732" i="4"/>
  <c r="AN731" i="4"/>
  <c r="AO18" i="4"/>
  <c r="AN414" i="4"/>
  <c r="AN415" i="4" s="1"/>
  <c r="AO413" i="4" s="1"/>
  <c r="AP16" i="4" l="1"/>
  <c r="BV8" i="72"/>
  <c r="BV6" i="72"/>
  <c r="BW7" i="72"/>
  <c r="AO540" i="4"/>
  <c r="AO542" i="4" s="1"/>
  <c r="AO544" i="4" s="1"/>
  <c r="BW58" i="3"/>
  <c r="BW95" i="67"/>
  <c r="BW59" i="3"/>
  <c r="BW60" i="3"/>
  <c r="BW56" i="3"/>
  <c r="BX8" i="67"/>
  <c r="BX6" i="67"/>
  <c r="AM737" i="4"/>
  <c r="AO1036" i="4"/>
  <c r="AO199" i="4"/>
  <c r="AO200" i="4" s="1"/>
  <c r="AO35" i="4"/>
  <c r="AO42" i="4" s="1"/>
  <c r="AO49" i="4" s="1"/>
  <c r="AP329" i="3"/>
  <c r="AP218" i="4" s="1"/>
  <c r="AP301" i="3"/>
  <c r="AP188" i="4" s="1"/>
  <c r="AP197" i="4" s="1"/>
  <c r="AP330" i="3"/>
  <c r="AP219" i="4" s="1"/>
  <c r="AP224" i="4" s="1"/>
  <c r="AO54" i="4"/>
  <c r="AO53" i="62" s="1"/>
  <c r="AP185" i="3"/>
  <c r="AP122" i="4" s="1"/>
  <c r="AP300" i="3"/>
  <c r="AP187" i="4" s="1"/>
  <c r="AP196" i="4" s="1"/>
  <c r="AP1447" i="4"/>
  <c r="AP242" i="3"/>
  <c r="AP147" i="4" s="1"/>
  <c r="AO60" i="62"/>
  <c r="AP296" i="3"/>
  <c r="AP183" i="4" s="1"/>
  <c r="AP357" i="3"/>
  <c r="AP186" i="3"/>
  <c r="AP123" i="4" s="1"/>
  <c r="AP240" i="3"/>
  <c r="AP145" i="4" s="1"/>
  <c r="AP356" i="3"/>
  <c r="AP242" i="4" s="1"/>
  <c r="AP247" i="4" s="1"/>
  <c r="AP299" i="3"/>
  <c r="AP186" i="4" s="1"/>
  <c r="AP195" i="4" s="1"/>
  <c r="AO37" i="4"/>
  <c r="AO44" i="4" s="1"/>
  <c r="AO51" i="4" s="1"/>
  <c r="AP218" i="3"/>
  <c r="AP135" i="4" s="1"/>
  <c r="AP331" i="3"/>
  <c r="AP220" i="4" s="1"/>
  <c r="AP225" i="4" s="1"/>
  <c r="AP226" i="4" s="1"/>
  <c r="AP241" i="3"/>
  <c r="AP146" i="4" s="1"/>
  <c r="AP184" i="3"/>
  <c r="AP121" i="4" s="1"/>
  <c r="AP217" i="3"/>
  <c r="AP134" i="4" s="1"/>
  <c r="AP355" i="3"/>
  <c r="AP241" i="4" s="1"/>
  <c r="AP298" i="3"/>
  <c r="AP185" i="4" s="1"/>
  <c r="AP194" i="4" s="1"/>
  <c r="AP216" i="3"/>
  <c r="AP133" i="4" s="1"/>
  <c r="AP297" i="3"/>
  <c r="AL738" i="4"/>
  <c r="AO55" i="4"/>
  <c r="BY7" i="67"/>
  <c r="AO34" i="66"/>
  <c r="BR1392" i="4"/>
  <c r="BQ1523" i="4"/>
  <c r="BQ1524" i="4" s="1"/>
  <c r="BQ1429" i="4"/>
  <c r="AO287" i="4"/>
  <c r="AO324" i="4" s="1"/>
  <c r="AP8" i="66"/>
  <c r="AP314" i="4"/>
  <c r="AP8" i="11"/>
  <c r="AP1158" i="4"/>
  <c r="AP1159" i="4" s="1"/>
  <c r="AP1409" i="4"/>
  <c r="AP1184" i="4"/>
  <c r="AP1183" i="4"/>
  <c r="AP8" i="4"/>
  <c r="AP8" i="64"/>
  <c r="AP28" i="4"/>
  <c r="AP1160" i="4"/>
  <c r="AP8" i="62"/>
  <c r="AP54" i="62" s="1"/>
  <c r="AP30" i="4"/>
  <c r="AP67" i="4" s="1"/>
  <c r="AP1042" i="4" s="1"/>
  <c r="AP1156" i="4"/>
  <c r="AQ7" i="3"/>
  <c r="AP29" i="4"/>
  <c r="AP15" i="4"/>
  <c r="AP6" i="4"/>
  <c r="AO642" i="3"/>
  <c r="AO9" i="66"/>
  <c r="AO9" i="64"/>
  <c r="AO9" i="11"/>
  <c r="AO9" i="3"/>
  <c r="AO9" i="4"/>
  <c r="AO9" i="62"/>
  <c r="AO249" i="4"/>
  <c r="AM736" i="4"/>
  <c r="AO731" i="4"/>
  <c r="AO732" i="4"/>
  <c r="AO714" i="4"/>
  <c r="AN737" i="4"/>
  <c r="AO24" i="4"/>
  <c r="AN736" i="4"/>
  <c r="AO415" i="4"/>
  <c r="AP413" i="4" s="1"/>
  <c r="BW8" i="72" l="1"/>
  <c r="BW6" i="72"/>
  <c r="BX7" i="72"/>
  <c r="AO65" i="4"/>
  <c r="BX95" i="67"/>
  <c r="BX60" i="3"/>
  <c r="BX59" i="3"/>
  <c r="BX58" i="3"/>
  <c r="BX56" i="3"/>
  <c r="BY8" i="67"/>
  <c r="BY6" i="67"/>
  <c r="AL739" i="4"/>
  <c r="AP58" i="4"/>
  <c r="AN56" i="4"/>
  <c r="AO722" i="4"/>
  <c r="AO717" i="4"/>
  <c r="AO721" i="4"/>
  <c r="AO718" i="4"/>
  <c r="AP243" i="4"/>
  <c r="AP248" i="4" s="1"/>
  <c r="AP249" i="4" s="1"/>
  <c r="AP184" i="4"/>
  <c r="AP193" i="4" s="1"/>
  <c r="AO53" i="4"/>
  <c r="AP57" i="4"/>
  <c r="AP1129" i="4"/>
  <c r="BZ7" i="67"/>
  <c r="AP32" i="4"/>
  <c r="AP39" i="4" s="1"/>
  <c r="AP46" i="4" s="1"/>
  <c r="AP642" i="3"/>
  <c r="AP1041" i="4" s="1"/>
  <c r="BS1392" i="4"/>
  <c r="BR1523" i="4"/>
  <c r="BR1524" i="4" s="1"/>
  <c r="BR1429" i="4"/>
  <c r="AP1157" i="4"/>
  <c r="AP18" i="4"/>
  <c r="AP1242" i="4"/>
  <c r="AP273" i="4"/>
  <c r="AP1243" i="4"/>
  <c r="AP275" i="4"/>
  <c r="AP288" i="4" s="1"/>
  <c r="AP329" i="4" s="1"/>
  <c r="AP414" i="4" s="1"/>
  <c r="AP415" i="4" s="1"/>
  <c r="AQ413" i="4" s="1"/>
  <c r="AP274" i="4"/>
  <c r="AP335" i="4" s="1"/>
  <c r="AP192" i="4"/>
  <c r="AP246" i="4"/>
  <c r="AP70" i="4"/>
  <c r="AP543" i="4"/>
  <c r="AO63" i="4"/>
  <c r="AO1389" i="4" s="1"/>
  <c r="AP530" i="4"/>
  <c r="AP54" i="11"/>
  <c r="AP68" i="4"/>
  <c r="AP529" i="4"/>
  <c r="AP824" i="4"/>
  <c r="AP62" i="4"/>
  <c r="AP528" i="4" s="1"/>
  <c r="AP223" i="4"/>
  <c r="AP227" i="4" s="1"/>
  <c r="AP36" i="4"/>
  <c r="AP43" i="4" s="1"/>
  <c r="AP50" i="4" s="1"/>
  <c r="AP713" i="4" s="1"/>
  <c r="AP34" i="4"/>
  <c r="AP41" i="4" s="1"/>
  <c r="AP48" i="4" s="1"/>
  <c r="AP19" i="4"/>
  <c r="AP20" i="4" s="1"/>
  <c r="AP17" i="4"/>
  <c r="AP295" i="4"/>
  <c r="AP303" i="4" s="1"/>
  <c r="AP1151" i="4"/>
  <c r="AP27" i="66"/>
  <c r="AP60" i="4"/>
  <c r="AP1263" i="4"/>
  <c r="AO61" i="4"/>
  <c r="AO318" i="4" s="1"/>
  <c r="AO328" i="4" s="1"/>
  <c r="AP28" i="66"/>
  <c r="AP33" i="4"/>
  <c r="AP40" i="4" s="1"/>
  <c r="AP47" i="4" s="1"/>
  <c r="AO690" i="4"/>
  <c r="AQ7" i="64"/>
  <c r="AQ6" i="64" s="1"/>
  <c r="AQ28" i="64" s="1"/>
  <c r="AQ30" i="64" s="1"/>
  <c r="AQ53" i="64" s="1"/>
  <c r="AQ6" i="3"/>
  <c r="AQ7" i="62"/>
  <c r="AQ6" i="62" s="1"/>
  <c r="AQ7" i="11"/>
  <c r="AQ6" i="11" s="1"/>
  <c r="AQ7" i="4"/>
  <c r="AQ7" i="66"/>
  <c r="AQ6" i="66" s="1"/>
  <c r="AQ8" i="3"/>
  <c r="AQ86" i="64"/>
  <c r="AQ87" i="64" s="1"/>
  <c r="AP198" i="4"/>
  <c r="AP66" i="4"/>
  <c r="AO250" i="4"/>
  <c r="AM738" i="4"/>
  <c r="AO1041" i="4"/>
  <c r="AO688" i="4"/>
  <c r="AN738" i="4"/>
  <c r="BX8" i="72" l="1"/>
  <c r="BX6" i="72"/>
  <c r="BY7" i="72"/>
  <c r="AQ16" i="4"/>
  <c r="BZ8" i="67"/>
  <c r="BZ6" i="67"/>
  <c r="BY95" i="67"/>
  <c r="BY60" i="3"/>
  <c r="BY59" i="3"/>
  <c r="BY58" i="3"/>
  <c r="BY56" i="3"/>
  <c r="AP250" i="4"/>
  <c r="AP15" i="66"/>
  <c r="AP24" i="4"/>
  <c r="AP37" i="4"/>
  <c r="AP44" i="4" s="1"/>
  <c r="AP51" i="4" s="1"/>
  <c r="AQ242" i="3"/>
  <c r="AQ147" i="4" s="1"/>
  <c r="AO736" i="4"/>
  <c r="AP1036" i="4"/>
  <c r="AP35" i="4"/>
  <c r="AP42" i="4" s="1"/>
  <c r="AP49" i="4" s="1"/>
  <c r="AQ241" i="3"/>
  <c r="AQ146" i="4" s="1"/>
  <c r="AQ218" i="3"/>
  <c r="AQ135" i="4" s="1"/>
  <c r="AQ301" i="3"/>
  <c r="AQ188" i="4" s="1"/>
  <c r="AQ197" i="4" s="1"/>
  <c r="AP54" i="4"/>
  <c r="AP65" i="4" s="1"/>
  <c r="AQ356" i="3"/>
  <c r="AQ242" i="4" s="1"/>
  <c r="AQ247" i="4" s="1"/>
  <c r="AQ355" i="3"/>
  <c r="AQ241" i="4" s="1"/>
  <c r="AQ184" i="3"/>
  <c r="AQ121" i="4" s="1"/>
  <c r="AQ330" i="3"/>
  <c r="AQ219" i="4" s="1"/>
  <c r="AQ224" i="4" s="1"/>
  <c r="AQ329" i="3"/>
  <c r="AQ218" i="4" s="1"/>
  <c r="AQ185" i="3"/>
  <c r="AQ122" i="4" s="1"/>
  <c r="AQ297" i="3"/>
  <c r="AQ184" i="4" s="1"/>
  <c r="AQ193" i="4" s="1"/>
  <c r="AQ298" i="3"/>
  <c r="AQ185" i="4" s="1"/>
  <c r="AQ194" i="4" s="1"/>
  <c r="AQ186" i="3"/>
  <c r="AQ123" i="4" s="1"/>
  <c r="AQ1447" i="4"/>
  <c r="AQ296" i="3"/>
  <c r="AQ183" i="4" s="1"/>
  <c r="AQ299" i="3"/>
  <c r="AQ186" i="4" s="1"/>
  <c r="AQ195" i="4" s="1"/>
  <c r="AQ331" i="3"/>
  <c r="AQ220" i="4" s="1"/>
  <c r="AQ225" i="4" s="1"/>
  <c r="AQ226" i="4" s="1"/>
  <c r="AQ300" i="3"/>
  <c r="AQ187" i="4" s="1"/>
  <c r="AQ196" i="4" s="1"/>
  <c r="AQ217" i="3"/>
  <c r="AQ134" i="4" s="1"/>
  <c r="AQ216" i="3"/>
  <c r="AQ133" i="4" s="1"/>
  <c r="AQ240" i="3"/>
  <c r="AQ145" i="4" s="1"/>
  <c r="AQ357" i="3"/>
  <c r="AQ243" i="4" s="1"/>
  <c r="AQ248" i="4" s="1"/>
  <c r="AQ249" i="4" s="1"/>
  <c r="AP688" i="4"/>
  <c r="CA7" i="67"/>
  <c r="AP287" i="4"/>
  <c r="AP324" i="4" s="1"/>
  <c r="BT1392" i="4"/>
  <c r="BS1429" i="4"/>
  <c r="BS1523" i="4"/>
  <c r="BS1524" i="4" s="1"/>
  <c r="AP540" i="4"/>
  <c r="AP542" i="4" s="1"/>
  <c r="AQ15" i="4"/>
  <c r="AQ6" i="4"/>
  <c r="AP34" i="66"/>
  <c r="AP9" i="66"/>
  <c r="AP60" i="62"/>
  <c r="AP9" i="3"/>
  <c r="AP9" i="62"/>
  <c r="AP9" i="64"/>
  <c r="AP9" i="4"/>
  <c r="AP9" i="11"/>
  <c r="AO737" i="4"/>
  <c r="AP22" i="4"/>
  <c r="AQ21" i="4"/>
  <c r="AP199" i="4"/>
  <c r="AP200" i="4" s="1"/>
  <c r="AQ1409" i="4"/>
  <c r="AR7" i="3"/>
  <c r="AQ1184" i="4"/>
  <c r="AQ8" i="62"/>
  <c r="AQ54" i="62" s="1"/>
  <c r="AQ8" i="64"/>
  <c r="AQ30" i="4"/>
  <c r="AQ8" i="66"/>
  <c r="AQ1183" i="4"/>
  <c r="AQ8" i="4"/>
  <c r="AQ1160" i="4"/>
  <c r="AQ1158" i="4"/>
  <c r="AQ1159" i="4" s="1"/>
  <c r="AQ28" i="4"/>
  <c r="AQ1156" i="4"/>
  <c r="AQ29" i="4"/>
  <c r="AQ8" i="11"/>
  <c r="AQ314" i="4"/>
  <c r="AM739" i="4"/>
  <c r="AP732" i="4"/>
  <c r="AP731" i="4"/>
  <c r="AP714" i="4"/>
  <c r="AN739" i="4"/>
  <c r="AP53" i="62" l="1"/>
  <c r="BY6" i="72"/>
  <c r="BY8" i="72"/>
  <c r="BZ7" i="72"/>
  <c r="CA8" i="67"/>
  <c r="CA6" i="67"/>
  <c r="BZ56" i="3"/>
  <c r="BZ95" i="67"/>
  <c r="BZ60" i="3"/>
  <c r="BZ58" i="3"/>
  <c r="BZ59" i="3"/>
  <c r="AP55" i="4"/>
  <c r="AO56" i="4"/>
  <c r="AQ58" i="4"/>
  <c r="AO738" i="4"/>
  <c r="AP717" i="4"/>
  <c r="AP722" i="4"/>
  <c r="AP721" i="4"/>
  <c r="AP718" i="4"/>
  <c r="AP53" i="4"/>
  <c r="AQ57" i="4"/>
  <c r="AQ9" i="3" s="1"/>
  <c r="AQ1129" i="4"/>
  <c r="CB7" i="67"/>
  <c r="AP544" i="4"/>
  <c r="AP690" i="4"/>
  <c r="BT1523" i="4"/>
  <c r="BT1524" i="4" s="1"/>
  <c r="BT1429" i="4"/>
  <c r="BU1392" i="4"/>
  <c r="AQ32" i="4"/>
  <c r="AQ39" i="4" s="1"/>
  <c r="AQ46" i="4" s="1"/>
  <c r="AQ34" i="4"/>
  <c r="AQ41" i="4" s="1"/>
  <c r="AQ48" i="4" s="1"/>
  <c r="AQ33" i="4"/>
  <c r="AQ40" i="4" s="1"/>
  <c r="AQ47" i="4" s="1"/>
  <c r="AQ223" i="4"/>
  <c r="AQ227" i="4" s="1"/>
  <c r="AQ36" i="4"/>
  <c r="AQ43" i="4" s="1"/>
  <c r="AQ50" i="4" s="1"/>
  <c r="AQ1157" i="4"/>
  <c r="AQ198" i="4"/>
  <c r="AQ19" i="4"/>
  <c r="AQ20" i="4" s="1"/>
  <c r="AQ17" i="4"/>
  <c r="AQ246" i="4"/>
  <c r="AQ250" i="4" s="1"/>
  <c r="AQ37" i="4"/>
  <c r="AQ44" i="4" s="1"/>
  <c r="AQ51" i="4" s="1"/>
  <c r="AQ295" i="4"/>
  <c r="AQ303" i="4" s="1"/>
  <c r="AQ27" i="66"/>
  <c r="AQ1263" i="4"/>
  <c r="AQ1151" i="4"/>
  <c r="AQ66" i="4"/>
  <c r="AP61" i="4"/>
  <c r="AP318" i="4" s="1"/>
  <c r="AP328" i="4" s="1"/>
  <c r="AQ60" i="4"/>
  <c r="AQ28" i="66"/>
  <c r="AQ68" i="4"/>
  <c r="AQ67" i="4"/>
  <c r="AQ1042" i="4" s="1"/>
  <c r="AQ529" i="4"/>
  <c r="AQ530" i="4"/>
  <c r="AQ70" i="4"/>
  <c r="AP63" i="4"/>
  <c r="AP1389" i="4" s="1"/>
  <c r="AQ62" i="4"/>
  <c r="AQ528" i="4" s="1"/>
  <c r="AQ824" i="4"/>
  <c r="AQ543" i="4"/>
  <c r="AQ54" i="11"/>
  <c r="AR8" i="3"/>
  <c r="AR7" i="66"/>
  <c r="AR6" i="66" s="1"/>
  <c r="AR7" i="4"/>
  <c r="AR86" i="64"/>
  <c r="AR87" i="64" s="1"/>
  <c r="AR7" i="64"/>
  <c r="AR6" i="64" s="1"/>
  <c r="AR28" i="64" s="1"/>
  <c r="AR30" i="64" s="1"/>
  <c r="AR53" i="64" s="1"/>
  <c r="AR7" i="62"/>
  <c r="AR6" i="62" s="1"/>
  <c r="AR6" i="3"/>
  <c r="AR7" i="11"/>
  <c r="AR6" i="11" s="1"/>
  <c r="AQ274" i="4"/>
  <c r="AQ335" i="4" s="1"/>
  <c r="AQ275" i="4"/>
  <c r="AQ288" i="4" s="1"/>
  <c r="AQ329" i="4" s="1"/>
  <c r="AQ414" i="4" s="1"/>
  <c r="AQ415" i="4" s="1"/>
  <c r="AR413" i="4" s="1"/>
  <c r="AQ1242" i="4"/>
  <c r="AQ1243" i="4"/>
  <c r="AQ273" i="4"/>
  <c r="AQ192" i="4"/>
  <c r="AQ35" i="4"/>
  <c r="AQ42" i="4" s="1"/>
  <c r="AQ49" i="4" s="1"/>
  <c r="AQ18" i="4"/>
  <c r="AO739" i="4"/>
  <c r="BZ6" i="72" l="1"/>
  <c r="BZ8" i="72"/>
  <c r="CA7" i="72"/>
  <c r="AR16" i="4"/>
  <c r="AQ9" i="4"/>
  <c r="CA56" i="3"/>
  <c r="CA60" i="3"/>
  <c r="CA59" i="3"/>
  <c r="CA58" i="3"/>
  <c r="CA95" i="67"/>
  <c r="CB8" i="67"/>
  <c r="CB6" i="67"/>
  <c r="AP736" i="4"/>
  <c r="AR356" i="3"/>
  <c r="AR242" i="4" s="1"/>
  <c r="AR247" i="4" s="1"/>
  <c r="AQ15" i="66"/>
  <c r="AQ1036" i="4"/>
  <c r="AR185" i="3"/>
  <c r="AR122" i="4" s="1"/>
  <c r="AR301" i="3"/>
  <c r="AR188" i="4" s="1"/>
  <c r="AR197" i="4" s="1"/>
  <c r="AR240" i="3"/>
  <c r="AR145" i="4" s="1"/>
  <c r="AR357" i="3"/>
  <c r="AR243" i="4" s="1"/>
  <c r="AR248" i="4" s="1"/>
  <c r="AR249" i="4" s="1"/>
  <c r="AQ54" i="4"/>
  <c r="AQ55" i="4" s="1"/>
  <c r="AR217" i="3"/>
  <c r="AR134" i="4" s="1"/>
  <c r="AR298" i="3"/>
  <c r="AR185" i="4" s="1"/>
  <c r="AR194" i="4" s="1"/>
  <c r="AR300" i="3"/>
  <c r="AR187" i="4" s="1"/>
  <c r="AR196" i="4" s="1"/>
  <c r="AR355" i="3"/>
  <c r="AR186" i="3"/>
  <c r="AR123" i="4" s="1"/>
  <c r="AR329" i="3"/>
  <c r="AR218" i="4" s="1"/>
  <c r="AR216" i="3"/>
  <c r="AR133" i="4" s="1"/>
  <c r="AR297" i="3"/>
  <c r="AR184" i="4" s="1"/>
  <c r="AR193" i="4" s="1"/>
  <c r="AR299" i="3"/>
  <c r="AR186" i="4" s="1"/>
  <c r="AR195" i="4" s="1"/>
  <c r="AR184" i="3"/>
  <c r="AR121" i="4" s="1"/>
  <c r="AR330" i="3"/>
  <c r="AR219" i="4" s="1"/>
  <c r="AR224" i="4" s="1"/>
  <c r="AR218" i="3"/>
  <c r="AR241" i="3"/>
  <c r="AR146" i="4" s="1"/>
  <c r="AR242" i="3"/>
  <c r="AR147" i="4" s="1"/>
  <c r="AR1447" i="4"/>
  <c r="AR296" i="3"/>
  <c r="AR183" i="4" s="1"/>
  <c r="AR331" i="3"/>
  <c r="AR220" i="4" s="1"/>
  <c r="AR225" i="4" s="1"/>
  <c r="AR226" i="4" s="1"/>
  <c r="CC7" i="67"/>
  <c r="BV1392" i="4"/>
  <c r="BU1523" i="4"/>
  <c r="BU1524" i="4" s="1"/>
  <c r="BU1429" i="4"/>
  <c r="AQ540" i="4"/>
  <c r="AQ542" i="4" s="1"/>
  <c r="AS7" i="3"/>
  <c r="AR30" i="4"/>
  <c r="AR8" i="64"/>
  <c r="AR1409" i="4"/>
  <c r="AR1158" i="4"/>
  <c r="AR1159" i="4" s="1"/>
  <c r="AR8" i="66"/>
  <c r="AR314" i="4"/>
  <c r="AR29" i="4"/>
  <c r="AR28" i="4"/>
  <c r="AR1184" i="4"/>
  <c r="AR1183" i="4"/>
  <c r="AR8" i="11"/>
  <c r="AR1160" i="4"/>
  <c r="AR8" i="62"/>
  <c r="AR54" i="62" s="1"/>
  <c r="AR1156" i="4"/>
  <c r="AR8" i="4"/>
  <c r="AQ24" i="4"/>
  <c r="AQ199" i="4"/>
  <c r="AQ642" i="3"/>
  <c r="AQ9" i="66"/>
  <c r="AQ60" i="62"/>
  <c r="AQ9" i="11"/>
  <c r="AQ22" i="4"/>
  <c r="AR21" i="4"/>
  <c r="AQ287" i="4"/>
  <c r="AQ324" i="4" s="1"/>
  <c r="AQ34" i="66"/>
  <c r="AR15" i="4"/>
  <c r="AR6" i="4"/>
  <c r="AQ9" i="62"/>
  <c r="AQ9" i="64"/>
  <c r="AP737" i="4"/>
  <c r="AQ713" i="4"/>
  <c r="CA6" i="72" l="1"/>
  <c r="CA8" i="72"/>
  <c r="CB7" i="72"/>
  <c r="CC8" i="67"/>
  <c r="CC6" i="67"/>
  <c r="CB60" i="3"/>
  <c r="CB59" i="3"/>
  <c r="CB58" i="3"/>
  <c r="CB95" i="67"/>
  <c r="CB56" i="3"/>
  <c r="AP56" i="4"/>
  <c r="AQ53" i="62"/>
  <c r="AQ65" i="4"/>
  <c r="AR135" i="4"/>
  <c r="AR33" i="4" s="1"/>
  <c r="AR40" i="4" s="1"/>
  <c r="AR47" i="4" s="1"/>
  <c r="AR241" i="4"/>
  <c r="AR246" i="4" s="1"/>
  <c r="AR250" i="4" s="1"/>
  <c r="AR58" i="4"/>
  <c r="AR57" i="4"/>
  <c r="AR1129" i="4"/>
  <c r="AQ53" i="4"/>
  <c r="CD7" i="67"/>
  <c r="AR529" i="4"/>
  <c r="AR34" i="4"/>
  <c r="AR41" i="4" s="1"/>
  <c r="AR48" i="4" s="1"/>
  <c r="AR32" i="4"/>
  <c r="AR39" i="4" s="1"/>
  <c r="AR46" i="4" s="1"/>
  <c r="BW1392" i="4"/>
  <c r="BV1429" i="4"/>
  <c r="BV1523" i="4"/>
  <c r="BV1524" i="4" s="1"/>
  <c r="AR18" i="4"/>
  <c r="AR1242" i="4"/>
  <c r="AR274" i="4"/>
  <c r="AR335" i="4" s="1"/>
  <c r="AR1243" i="4"/>
  <c r="AR273" i="4"/>
  <c r="AR275" i="4"/>
  <c r="AR288" i="4" s="1"/>
  <c r="AR329" i="4" s="1"/>
  <c r="AR414" i="4" s="1"/>
  <c r="AR415" i="4" s="1"/>
  <c r="AS413" i="4" s="1"/>
  <c r="AR223" i="4"/>
  <c r="AR227" i="4" s="1"/>
  <c r="AR36" i="4"/>
  <c r="AR43" i="4" s="1"/>
  <c r="AR50" i="4" s="1"/>
  <c r="AQ544" i="4"/>
  <c r="AQ690" i="4"/>
  <c r="AR198" i="4"/>
  <c r="AR192" i="4"/>
  <c r="AR35" i="4"/>
  <c r="AR42" i="4" s="1"/>
  <c r="AR49" i="4" s="1"/>
  <c r="AR67" i="4"/>
  <c r="AR1042" i="4" s="1"/>
  <c r="AR824" i="4"/>
  <c r="AR62" i="4"/>
  <c r="AR528" i="4" s="1"/>
  <c r="AR70" i="4"/>
  <c r="AR543" i="4"/>
  <c r="AR530" i="4"/>
  <c r="AR54" i="11"/>
  <c r="AR68" i="4"/>
  <c r="AQ63" i="4"/>
  <c r="AQ1389" i="4" s="1"/>
  <c r="AR1157" i="4"/>
  <c r="AQ1041" i="4"/>
  <c r="AQ688" i="4"/>
  <c r="AS6" i="3"/>
  <c r="AS8" i="3"/>
  <c r="AS7" i="4"/>
  <c r="AS7" i="64"/>
  <c r="AS6" i="64" s="1"/>
  <c r="AS28" i="64" s="1"/>
  <c r="AS30" i="64" s="1"/>
  <c r="AS53" i="64" s="1"/>
  <c r="AS7" i="11"/>
  <c r="AS6" i="11" s="1"/>
  <c r="AS7" i="62"/>
  <c r="AS6" i="62" s="1"/>
  <c r="AS7" i="66"/>
  <c r="AS6" i="66" s="1"/>
  <c r="AS86" i="64"/>
  <c r="AS87" i="64" s="1"/>
  <c r="AR17" i="4"/>
  <c r="AR19" i="4"/>
  <c r="AR20" i="4" s="1"/>
  <c r="AR28" i="66"/>
  <c r="AR295" i="4"/>
  <c r="AR303" i="4" s="1"/>
  <c r="AR1151" i="4"/>
  <c r="AR27" i="66"/>
  <c r="AR60" i="4"/>
  <c r="AR1263" i="4"/>
  <c r="AR66" i="4"/>
  <c r="AQ61" i="4"/>
  <c r="AQ318" i="4" s="1"/>
  <c r="AQ328" i="4" s="1"/>
  <c r="AQ200" i="4"/>
  <c r="AP738" i="4"/>
  <c r="AQ732" i="4"/>
  <c r="AQ731" i="4"/>
  <c r="AQ714" i="4"/>
  <c r="AS16" i="4" l="1"/>
  <c r="CB6" i="72"/>
  <c r="CB8" i="72"/>
  <c r="CC7" i="72"/>
  <c r="AR37" i="4"/>
  <c r="AR44" i="4" s="1"/>
  <c r="AR51" i="4" s="1"/>
  <c r="CD8" i="67"/>
  <c r="CD6" i="67"/>
  <c r="CC60" i="3"/>
  <c r="CC59" i="3"/>
  <c r="CC58" i="3"/>
  <c r="CC95" i="67"/>
  <c r="CC56" i="3"/>
  <c r="AR15" i="66"/>
  <c r="AR1036" i="4"/>
  <c r="AS218" i="3"/>
  <c r="AS135" i="4" s="1"/>
  <c r="AS301" i="3"/>
  <c r="AS188" i="4" s="1"/>
  <c r="AS197" i="4" s="1"/>
  <c r="AR54" i="4"/>
  <c r="AQ56" i="4" s="1"/>
  <c r="AQ721" i="4"/>
  <c r="AQ722" i="4"/>
  <c r="AQ718" i="4"/>
  <c r="AQ717" i="4"/>
  <c r="AS299" i="3"/>
  <c r="AS186" i="4" s="1"/>
  <c r="AS195" i="4" s="1"/>
  <c r="AS217" i="3"/>
  <c r="AS134" i="4" s="1"/>
  <c r="AS331" i="3"/>
  <c r="AS220" i="4" s="1"/>
  <c r="AS225" i="4" s="1"/>
  <c r="AS226" i="4" s="1"/>
  <c r="AS216" i="3"/>
  <c r="AS133" i="4" s="1"/>
  <c r="AS184" i="3"/>
  <c r="AS121" i="4" s="1"/>
  <c r="AS1447" i="4"/>
  <c r="AS300" i="3"/>
  <c r="AS186" i="3"/>
  <c r="AS123" i="4" s="1"/>
  <c r="AS330" i="3"/>
  <c r="AS219" i="4" s="1"/>
  <c r="AS224" i="4" s="1"/>
  <c r="AS241" i="3"/>
  <c r="AS146" i="4" s="1"/>
  <c r="AS297" i="3"/>
  <c r="AS184" i="4" s="1"/>
  <c r="AS193" i="4" s="1"/>
  <c r="AS329" i="3"/>
  <c r="AS218" i="4" s="1"/>
  <c r="AS296" i="3"/>
  <c r="AS183" i="4" s="1"/>
  <c r="AS185" i="3"/>
  <c r="AS122" i="4" s="1"/>
  <c r="AS357" i="3"/>
  <c r="AS240" i="3"/>
  <c r="AS145" i="4" s="1"/>
  <c r="AS356" i="3"/>
  <c r="AS242" i="4" s="1"/>
  <c r="AS247" i="4" s="1"/>
  <c r="AS242" i="3"/>
  <c r="AS147" i="4" s="1"/>
  <c r="AS298" i="3"/>
  <c r="AS185" i="4" s="1"/>
  <c r="AS194" i="4" s="1"/>
  <c r="AS355" i="3"/>
  <c r="AS241" i="4" s="1"/>
  <c r="AR199" i="4"/>
  <c r="AR200" i="4" s="1"/>
  <c r="CE7" i="67"/>
  <c r="AR287" i="4"/>
  <c r="AR324" i="4" s="1"/>
  <c r="AR24" i="4"/>
  <c r="BX1392" i="4"/>
  <c r="BW1523" i="4"/>
  <c r="BW1524" i="4" s="1"/>
  <c r="BW1429" i="4"/>
  <c r="AR642" i="3"/>
  <c r="AR22" i="4"/>
  <c r="AS21" i="4"/>
  <c r="AR540" i="4"/>
  <c r="AR542" i="4" s="1"/>
  <c r="AS6" i="4"/>
  <c r="AS15" i="4"/>
  <c r="AR34" i="66"/>
  <c r="AR9" i="66"/>
  <c r="AR9" i="11"/>
  <c r="AR9" i="4"/>
  <c r="AR9" i="64"/>
  <c r="AR60" i="62"/>
  <c r="AR9" i="3"/>
  <c r="AR9" i="62"/>
  <c r="AS28" i="4"/>
  <c r="AS29" i="4"/>
  <c r="AS8" i="64"/>
  <c r="AS1183" i="4"/>
  <c r="AS1156" i="4"/>
  <c r="AS8" i="62"/>
  <c r="AS54" i="62" s="1"/>
  <c r="AS8" i="11"/>
  <c r="AS1184" i="4"/>
  <c r="AS1409" i="4"/>
  <c r="AS314" i="4"/>
  <c r="AT7" i="3"/>
  <c r="AS1158" i="4"/>
  <c r="AS1159" i="4" s="1"/>
  <c r="AS30" i="4"/>
  <c r="AS529" i="4" s="1"/>
  <c r="AS8" i="66"/>
  <c r="AS1160" i="4"/>
  <c r="AS8" i="4"/>
  <c r="AP739" i="4"/>
  <c r="AR713" i="4"/>
  <c r="CC8" i="72" l="1"/>
  <c r="CC6" i="72"/>
  <c r="CD7" i="72"/>
  <c r="CE8" i="67"/>
  <c r="CE6" i="67"/>
  <c r="CD59" i="3"/>
  <c r="CD58" i="3"/>
  <c r="CD60" i="3"/>
  <c r="CD95" i="67"/>
  <c r="CD56" i="3"/>
  <c r="AR53" i="62"/>
  <c r="AR65" i="4"/>
  <c r="AR55" i="4"/>
  <c r="AS58" i="4"/>
  <c r="AS243" i="4"/>
  <c r="AS248" i="4" s="1"/>
  <c r="AS249" i="4" s="1"/>
  <c r="AS187" i="4"/>
  <c r="AS196" i="4" s="1"/>
  <c r="AS67" i="4"/>
  <c r="AS642" i="3" s="1"/>
  <c r="AS1041" i="4" s="1"/>
  <c r="AS57" i="4"/>
  <c r="AS9" i="3" s="1"/>
  <c r="AS1129" i="4"/>
  <c r="AR53" i="4"/>
  <c r="AS68" i="4"/>
  <c r="CF7" i="67"/>
  <c r="BY1392" i="4"/>
  <c r="BX1429" i="4"/>
  <c r="BX1523" i="4"/>
  <c r="BX1524" i="4" s="1"/>
  <c r="AS198" i="4"/>
  <c r="AS1157" i="4"/>
  <c r="AS34" i="4"/>
  <c r="AS41" i="4" s="1"/>
  <c r="AS48" i="4" s="1"/>
  <c r="AS18" i="4"/>
  <c r="AR544" i="4"/>
  <c r="AR690" i="4"/>
  <c r="AS192" i="4"/>
  <c r="AS19" i="4"/>
  <c r="AS20" i="4" s="1"/>
  <c r="AS17" i="4"/>
  <c r="AS1263" i="4"/>
  <c r="AS1151" i="4"/>
  <c r="AR61" i="4"/>
  <c r="AR318" i="4" s="1"/>
  <c r="AR328" i="4" s="1"/>
  <c r="AS28" i="66"/>
  <c r="AS295" i="4"/>
  <c r="AS303" i="4" s="1"/>
  <c r="AS60" i="4"/>
  <c r="AS27" i="66"/>
  <c r="AT7" i="4"/>
  <c r="AT6" i="3"/>
  <c r="AT7" i="11"/>
  <c r="AT6" i="11" s="1"/>
  <c r="AT8" i="3"/>
  <c r="AT7" i="66"/>
  <c r="AT6" i="66" s="1"/>
  <c r="AT7" i="64"/>
  <c r="AT6" i="64" s="1"/>
  <c r="AT28" i="64" s="1"/>
  <c r="AT30" i="64" s="1"/>
  <c r="AT53" i="64" s="1"/>
  <c r="AT86" i="64"/>
  <c r="AT87" i="64" s="1"/>
  <c r="AT7" i="62"/>
  <c r="AT6" i="62" s="1"/>
  <c r="AS223" i="4"/>
  <c r="AS36" i="4"/>
  <c r="AS43" i="4" s="1"/>
  <c r="AS50" i="4" s="1"/>
  <c r="AS713" i="4" s="1"/>
  <c r="AS732" i="4" s="1"/>
  <c r="AS33" i="4"/>
  <c r="AS40" i="4" s="1"/>
  <c r="AS47" i="4" s="1"/>
  <c r="AS824" i="4"/>
  <c r="AR63" i="4"/>
  <c r="AR1389" i="4" s="1"/>
  <c r="AS62" i="4"/>
  <c r="AS528" i="4" s="1"/>
  <c r="AS530" i="4"/>
  <c r="AS543" i="4"/>
  <c r="AS54" i="11"/>
  <c r="AS70" i="4"/>
  <c r="AS246" i="4"/>
  <c r="AS32" i="4"/>
  <c r="AS39" i="4" s="1"/>
  <c r="AS46" i="4" s="1"/>
  <c r="AS1243" i="4"/>
  <c r="AS275" i="4"/>
  <c r="AS288" i="4" s="1"/>
  <c r="AS329" i="4" s="1"/>
  <c r="AS414" i="4" s="1"/>
  <c r="AS415" i="4" s="1"/>
  <c r="AT413" i="4" s="1"/>
  <c r="AS274" i="4"/>
  <c r="AS335" i="4" s="1"/>
  <c r="AS1242" i="4"/>
  <c r="AS273" i="4"/>
  <c r="AS66" i="4"/>
  <c r="AR1041" i="4"/>
  <c r="AR688" i="4"/>
  <c r="AQ737" i="4"/>
  <c r="AR731" i="4"/>
  <c r="AR732" i="4"/>
  <c r="AR714" i="4"/>
  <c r="AQ736" i="4"/>
  <c r="CD8" i="72" l="1"/>
  <c r="CD6" i="72"/>
  <c r="CE7" i="72"/>
  <c r="AS1042" i="4"/>
  <c r="CF8" i="67"/>
  <c r="CF6" i="67"/>
  <c r="CE58" i="3"/>
  <c r="CE59" i="3"/>
  <c r="CE95" i="67"/>
  <c r="CE60" i="3"/>
  <c r="CE56" i="3"/>
  <c r="AT217" i="3"/>
  <c r="AT134" i="4" s="1"/>
  <c r="AT16" i="4"/>
  <c r="AS15" i="66"/>
  <c r="AT355" i="3"/>
  <c r="AT241" i="4" s="1"/>
  <c r="AS1036" i="4"/>
  <c r="AS35" i="4"/>
  <c r="AS42" i="4" s="1"/>
  <c r="AS49" i="4" s="1"/>
  <c r="AS37" i="4"/>
  <c r="AS44" i="4" s="1"/>
  <c r="AS51" i="4" s="1"/>
  <c r="AT218" i="3"/>
  <c r="AT135" i="4" s="1"/>
  <c r="AT301" i="3"/>
  <c r="AT188" i="4" s="1"/>
  <c r="AT197" i="4" s="1"/>
  <c r="AT186" i="3"/>
  <c r="AT123" i="4" s="1"/>
  <c r="AS54" i="4"/>
  <c r="AS65" i="4" s="1"/>
  <c r="AR722" i="4"/>
  <c r="AR721" i="4"/>
  <c r="AR718" i="4"/>
  <c r="AR717" i="4"/>
  <c r="AT240" i="3"/>
  <c r="AT145" i="4" s="1"/>
  <c r="AT241" i="3"/>
  <c r="AT146" i="4" s="1"/>
  <c r="AT357" i="3"/>
  <c r="AT243" i="4" s="1"/>
  <c r="AT248" i="4" s="1"/>
  <c r="AT249" i="4" s="1"/>
  <c r="AT242" i="3"/>
  <c r="AT147" i="4" s="1"/>
  <c r="AT184" i="3"/>
  <c r="AT331" i="3"/>
  <c r="AT220" i="4" s="1"/>
  <c r="AT225" i="4" s="1"/>
  <c r="AT226" i="4" s="1"/>
  <c r="AT296" i="3"/>
  <c r="AT183" i="4" s="1"/>
  <c r="AT299" i="3"/>
  <c r="AT186" i="4" s="1"/>
  <c r="AT195" i="4" s="1"/>
  <c r="AT297" i="3"/>
  <c r="AT184" i="4" s="1"/>
  <c r="AT193" i="4" s="1"/>
  <c r="AT330" i="3"/>
  <c r="AT219" i="4" s="1"/>
  <c r="AT224" i="4" s="1"/>
  <c r="AT298" i="3"/>
  <c r="AT185" i="4" s="1"/>
  <c r="AT194" i="4" s="1"/>
  <c r="AT1447" i="4"/>
  <c r="AT356" i="3"/>
  <c r="AT242" i="4" s="1"/>
  <c r="AT247" i="4" s="1"/>
  <c r="AT216" i="3"/>
  <c r="AT133" i="4" s="1"/>
  <c r="AT185" i="3"/>
  <c r="AT122" i="4" s="1"/>
  <c r="AT329" i="3"/>
  <c r="AT218" i="4" s="1"/>
  <c r="AT300" i="3"/>
  <c r="AT187" i="4" s="1"/>
  <c r="AT196" i="4" s="1"/>
  <c r="AS24" i="4"/>
  <c r="AS688" i="4"/>
  <c r="CG7" i="67"/>
  <c r="AS9" i="62"/>
  <c r="AT314" i="4"/>
  <c r="AT275" i="4" s="1"/>
  <c r="AT288" i="4" s="1"/>
  <c r="AT329" i="4" s="1"/>
  <c r="AT414" i="4" s="1"/>
  <c r="AT415" i="4" s="1"/>
  <c r="AU413" i="4" s="1"/>
  <c r="AS540" i="4"/>
  <c r="AS542" i="4" s="1"/>
  <c r="AS9" i="64"/>
  <c r="AU7" i="3"/>
  <c r="AU6" i="3" s="1"/>
  <c r="BY1429" i="4"/>
  <c r="BZ1392" i="4"/>
  <c r="BY1523" i="4"/>
  <c r="BY1524" i="4" s="1"/>
  <c r="AS9" i="4"/>
  <c r="AS714" i="4"/>
  <c r="AS227" i="4"/>
  <c r="AS22" i="4"/>
  <c r="AT21" i="4"/>
  <c r="AS731" i="4"/>
  <c r="AT15" i="4"/>
  <c r="AT6" i="4"/>
  <c r="AS287" i="4"/>
  <c r="AS324" i="4" s="1"/>
  <c r="AS34" i="66"/>
  <c r="AS9" i="66"/>
  <c r="AS60" i="62"/>
  <c r="AS250" i="4"/>
  <c r="AS9" i="11"/>
  <c r="AS199" i="4"/>
  <c r="AT30" i="4"/>
  <c r="AT1158" i="4"/>
  <c r="AT1159" i="4" s="1"/>
  <c r="AT1184" i="4"/>
  <c r="AT8" i="11"/>
  <c r="AT1156" i="4"/>
  <c r="AT1183" i="4"/>
  <c r="AT28" i="4"/>
  <c r="AT8" i="66"/>
  <c r="AT8" i="4"/>
  <c r="AT8" i="64"/>
  <c r="AT1160" i="4"/>
  <c r="AT1409" i="4"/>
  <c r="AT29" i="4"/>
  <c r="AT8" i="62"/>
  <c r="AT54" i="62" s="1"/>
  <c r="AQ738" i="4"/>
  <c r="CE8" i="72" l="1"/>
  <c r="CE6" i="72"/>
  <c r="CF7" i="72"/>
  <c r="AU7" i="4"/>
  <c r="AU6" i="4" s="1"/>
  <c r="CG8" i="67"/>
  <c r="CG6" i="67"/>
  <c r="CF95" i="67"/>
  <c r="CF58" i="3"/>
  <c r="CF60" i="3"/>
  <c r="CF59" i="3"/>
  <c r="CF56" i="3"/>
  <c r="AS53" i="62"/>
  <c r="AR56" i="4"/>
  <c r="AS55" i="4"/>
  <c r="AT1242" i="4"/>
  <c r="AT274" i="4"/>
  <c r="AT335" i="4" s="1"/>
  <c r="AU7" i="11"/>
  <c r="AU6" i="11" s="1"/>
  <c r="AT1243" i="4"/>
  <c r="AS722" i="4"/>
  <c r="AS718" i="4"/>
  <c r="AS721" i="4"/>
  <c r="AS717" i="4"/>
  <c r="AT121" i="4"/>
  <c r="AT32" i="4" s="1"/>
  <c r="AT58" i="4"/>
  <c r="AS53" i="4"/>
  <c r="AT57" i="4"/>
  <c r="AT9" i="11" s="1"/>
  <c r="AT273" i="4"/>
  <c r="AU86" i="64"/>
  <c r="AU87" i="64" s="1"/>
  <c r="AU7" i="66"/>
  <c r="AU6" i="66" s="1"/>
  <c r="AT1129" i="4"/>
  <c r="AU8" i="3"/>
  <c r="AU7" i="62"/>
  <c r="AU6" i="62" s="1"/>
  <c r="AU7" i="64"/>
  <c r="AU6" i="64" s="1"/>
  <c r="AU28" i="64" s="1"/>
  <c r="AU30" i="64" s="1"/>
  <c r="AU53" i="64" s="1"/>
  <c r="CH7" i="67"/>
  <c r="AT34" i="4"/>
  <c r="AT41" i="4" s="1"/>
  <c r="AT48" i="4" s="1"/>
  <c r="AS544" i="4"/>
  <c r="AS690" i="4"/>
  <c r="AT198" i="4"/>
  <c r="CA1392" i="4"/>
  <c r="BZ1523" i="4"/>
  <c r="BZ1524" i="4" s="1"/>
  <c r="BZ1429" i="4"/>
  <c r="AT17" i="4"/>
  <c r="AT19" i="4"/>
  <c r="AT20" i="4" s="1"/>
  <c r="AT18" i="4"/>
  <c r="AT295" i="4"/>
  <c r="AS61" i="4"/>
  <c r="AS318" i="4" s="1"/>
  <c r="AS328" i="4" s="1"/>
  <c r="AT28" i="66"/>
  <c r="AT1263" i="4"/>
  <c r="AT27" i="66"/>
  <c r="AT1151" i="4"/>
  <c r="AT60" i="4"/>
  <c r="AT33" i="4"/>
  <c r="AT40" i="4" s="1"/>
  <c r="AT47" i="4" s="1"/>
  <c r="AT192" i="4"/>
  <c r="AT35" i="4"/>
  <c r="AT223" i="4"/>
  <c r="AT36" i="4"/>
  <c r="AT246" i="4"/>
  <c r="AT250" i="4" s="1"/>
  <c r="AT37" i="4"/>
  <c r="AT1157" i="4"/>
  <c r="AT54" i="11"/>
  <c r="AT530" i="4"/>
  <c r="AS63" i="4"/>
  <c r="AS1389" i="4" s="1"/>
  <c r="AT70" i="4"/>
  <c r="AT824" i="4"/>
  <c r="AT67" i="4"/>
  <c r="AT1042" i="4" s="1"/>
  <c r="AT543" i="4"/>
  <c r="AT62" i="4"/>
  <c r="AT528" i="4" s="1"/>
  <c r="AT68" i="4"/>
  <c r="AT529" i="4"/>
  <c r="AS200" i="4"/>
  <c r="AT66" i="4"/>
  <c r="AR736" i="4"/>
  <c r="AR737" i="4"/>
  <c r="AQ739" i="4"/>
  <c r="AU16" i="4" l="1"/>
  <c r="CF8" i="72"/>
  <c r="CF6" i="72"/>
  <c r="CG7" i="72"/>
  <c r="AU15" i="4"/>
  <c r="CG95" i="67"/>
  <c r="CG60" i="3"/>
  <c r="CG59" i="3"/>
  <c r="CG58" i="3"/>
  <c r="CG56" i="3"/>
  <c r="CH8" i="67"/>
  <c r="CH6" i="67"/>
  <c r="AT15" i="66"/>
  <c r="AU330" i="3"/>
  <c r="AT1036" i="4"/>
  <c r="AT287" i="4"/>
  <c r="AT324" i="4" s="1"/>
  <c r="AS736" i="4"/>
  <c r="AU240" i="3"/>
  <c r="AU145" i="4" s="1"/>
  <c r="AU184" i="3"/>
  <c r="AU121" i="4" s="1"/>
  <c r="AU1160" i="4"/>
  <c r="AU357" i="3"/>
  <c r="AU243" i="4" s="1"/>
  <c r="AU248" i="4" s="1"/>
  <c r="AU249" i="4" s="1"/>
  <c r="AU301" i="3"/>
  <c r="AU188" i="4" s="1"/>
  <c r="AU197" i="4" s="1"/>
  <c r="AU8" i="11"/>
  <c r="AU1158" i="4"/>
  <c r="AU1159" i="4" s="1"/>
  <c r="AU185" i="3"/>
  <c r="AU122" i="4" s="1"/>
  <c r="AT54" i="4"/>
  <c r="AS56" i="4" s="1"/>
  <c r="AT34" i="66"/>
  <c r="AU355" i="3"/>
  <c r="AU186" i="3"/>
  <c r="AU218" i="3"/>
  <c r="AU135" i="4" s="1"/>
  <c r="AU217" i="3"/>
  <c r="AU134" i="4" s="1"/>
  <c r="AU299" i="3"/>
  <c r="AU186" i="4" s="1"/>
  <c r="AU195" i="4" s="1"/>
  <c r="AU300" i="3"/>
  <c r="AU187" i="4" s="1"/>
  <c r="AU196" i="4" s="1"/>
  <c r="AU241" i="3"/>
  <c r="AU356" i="3"/>
  <c r="AU242" i="4" s="1"/>
  <c r="AU247" i="4" s="1"/>
  <c r="AU331" i="3"/>
  <c r="AU220" i="4" s="1"/>
  <c r="AU225" i="4" s="1"/>
  <c r="AU226" i="4" s="1"/>
  <c r="AU297" i="3"/>
  <c r="AU184" i="4" s="1"/>
  <c r="AU193" i="4" s="1"/>
  <c r="AU298" i="3"/>
  <c r="AU185" i="4" s="1"/>
  <c r="AU194" i="4" s="1"/>
  <c r="AU198" i="4" s="1"/>
  <c r="AU216" i="3"/>
  <c r="AU133" i="4" s="1"/>
  <c r="AU329" i="3"/>
  <c r="AU218" i="4" s="1"/>
  <c r="AU223" i="4" s="1"/>
  <c r="AU242" i="3"/>
  <c r="AU147" i="4" s="1"/>
  <c r="AU296" i="3"/>
  <c r="AU183" i="4" s="1"/>
  <c r="AU192" i="4" s="1"/>
  <c r="AU1447" i="4"/>
  <c r="AU1184" i="4"/>
  <c r="AU314" i="4"/>
  <c r="AU1243" i="4" s="1"/>
  <c r="AU28" i="4"/>
  <c r="AU8" i="64"/>
  <c r="AU30" i="4"/>
  <c r="AU67" i="4" s="1"/>
  <c r="AU1042" i="4" s="1"/>
  <c r="AU29" i="4"/>
  <c r="AU60" i="4" s="1"/>
  <c r="AU1183" i="4"/>
  <c r="AU1156" i="4"/>
  <c r="AU1157" i="4" s="1"/>
  <c r="AU8" i="62"/>
  <c r="AU54" i="62" s="1"/>
  <c r="AV7" i="3"/>
  <c r="AV86" i="64" s="1"/>
  <c r="AV87" i="64" s="1"/>
  <c r="AU8" i="4"/>
  <c r="AU19" i="4" s="1"/>
  <c r="AU20" i="4" s="1"/>
  <c r="AU1409" i="4"/>
  <c r="AU8" i="66"/>
  <c r="AU219" i="4"/>
  <c r="AU224" i="4" s="1"/>
  <c r="AT540" i="4"/>
  <c r="AT542" i="4" s="1"/>
  <c r="AT199" i="4"/>
  <c r="AT200" i="4" s="1"/>
  <c r="CI7" i="67"/>
  <c r="AS737" i="4"/>
  <c r="CA1429" i="4"/>
  <c r="CA1523" i="4"/>
  <c r="CA1524" i="4" s="1"/>
  <c r="CB1392" i="4"/>
  <c r="AT42" i="4"/>
  <c r="AT49" i="4" s="1"/>
  <c r="AT303" i="4"/>
  <c r="AT642" i="3"/>
  <c r="AT44" i="4"/>
  <c r="AT51" i="4" s="1"/>
  <c r="AT9" i="62"/>
  <c r="AT60" i="62"/>
  <c r="AT9" i="4"/>
  <c r="AT9" i="66"/>
  <c r="AT9" i="64"/>
  <c r="AT9" i="3"/>
  <c r="AU18" i="4"/>
  <c r="AT39" i="4"/>
  <c r="AT46" i="4" s="1"/>
  <c r="AT22" i="4"/>
  <c r="AU21" i="4"/>
  <c r="AT43" i="4"/>
  <c r="AT50" i="4" s="1"/>
  <c r="AT713" i="4" s="1"/>
  <c r="AT24" i="4"/>
  <c r="AT227" i="4"/>
  <c r="AT65" i="4"/>
  <c r="AR738" i="4"/>
  <c r="CG6" i="72" l="1"/>
  <c r="CG8" i="72"/>
  <c r="CH7" i="72"/>
  <c r="AU274" i="4"/>
  <c r="AU335" i="4" s="1"/>
  <c r="AU1036" i="4" s="1"/>
  <c r="AT61" i="4"/>
  <c r="AT318" i="4" s="1"/>
  <c r="AT328" i="4" s="1"/>
  <c r="CH56" i="3"/>
  <c r="CH95" i="67"/>
  <c r="CH60" i="3"/>
  <c r="CH59" i="3"/>
  <c r="CH58" i="3"/>
  <c r="CI8" i="67"/>
  <c r="CI6" i="67"/>
  <c r="AV7" i="66"/>
  <c r="AV6" i="66" s="1"/>
  <c r="AV7" i="62"/>
  <c r="AV6" i="62" s="1"/>
  <c r="AU1242" i="4"/>
  <c r="AU15" i="66" s="1"/>
  <c r="AU273" i="4"/>
  <c r="AU287" i="4" s="1"/>
  <c r="AU324" i="4" s="1"/>
  <c r="AU275" i="4"/>
  <c r="AU288" i="4" s="1"/>
  <c r="AU329" i="4" s="1"/>
  <c r="AU414" i="4" s="1"/>
  <c r="AU415" i="4" s="1"/>
  <c r="AV413" i="4" s="1"/>
  <c r="AU58" i="4"/>
  <c r="AV6" i="3"/>
  <c r="AV8" i="3"/>
  <c r="AV7" i="11"/>
  <c r="AV6" i="11" s="1"/>
  <c r="AV7" i="64"/>
  <c r="AV6" i="64" s="1"/>
  <c r="AV28" i="64" s="1"/>
  <c r="AV30" i="64" s="1"/>
  <c r="AV53" i="64" s="1"/>
  <c r="AV7" i="4"/>
  <c r="AV15" i="4" s="1"/>
  <c r="AU543" i="4"/>
  <c r="AU68" i="4"/>
  <c r="AT55" i="4"/>
  <c r="AT53" i="62"/>
  <c r="AU824" i="4"/>
  <c r="AU241" i="4"/>
  <c r="AU17" i="4"/>
  <c r="AU146" i="4"/>
  <c r="AU34" i="4" s="1"/>
  <c r="AU41" i="4" s="1"/>
  <c r="AU48" i="4" s="1"/>
  <c r="AU70" i="4"/>
  <c r="AU123" i="4"/>
  <c r="AU32" i="4" s="1"/>
  <c r="AU39" i="4" s="1"/>
  <c r="AU46" i="4" s="1"/>
  <c r="AU54" i="11"/>
  <c r="AU530" i="4"/>
  <c r="AU62" i="4"/>
  <c r="AU528" i="4" s="1"/>
  <c r="AU36" i="4"/>
  <c r="AU43" i="4" s="1"/>
  <c r="AU50" i="4" s="1"/>
  <c r="AU713" i="4" s="1"/>
  <c r="AU714" i="4" s="1"/>
  <c r="AU227" i="4"/>
  <c r="AU27" i="66"/>
  <c r="AU1263" i="4"/>
  <c r="AU1151" i="4"/>
  <c r="AU295" i="4"/>
  <c r="AU303" i="4" s="1"/>
  <c r="AU28" i="66"/>
  <c r="AU66" i="4"/>
  <c r="AT53" i="4"/>
  <c r="AU33" i="4"/>
  <c r="AU40" i="4" s="1"/>
  <c r="AU47" i="4" s="1"/>
  <c r="AU1129" i="4"/>
  <c r="AU57" i="4"/>
  <c r="AU9" i="3" s="1"/>
  <c r="AU35" i="4"/>
  <c r="AU42" i="4" s="1"/>
  <c r="AU49" i="4" s="1"/>
  <c r="AU529" i="4"/>
  <c r="AT63" i="4"/>
  <c r="AT1389" i="4" s="1"/>
  <c r="CJ7" i="67"/>
  <c r="AS738" i="4"/>
  <c r="CC1392" i="4"/>
  <c r="CB1429" i="4"/>
  <c r="CB1523" i="4"/>
  <c r="CB1524" i="4" s="1"/>
  <c r="AT688" i="4"/>
  <c r="AT1041" i="4"/>
  <c r="AT690" i="4"/>
  <c r="AT544" i="4"/>
  <c r="AV28" i="4"/>
  <c r="AV8" i="62"/>
  <c r="AV1409" i="4"/>
  <c r="AT731" i="4"/>
  <c r="AT732" i="4"/>
  <c r="AT714" i="4"/>
  <c r="AU199" i="4"/>
  <c r="AU200" i="4" s="1"/>
  <c r="AU22" i="4"/>
  <c r="AV21" i="4"/>
  <c r="AW7" i="3"/>
  <c r="AU642" i="3"/>
  <c r="AR739" i="4"/>
  <c r="AV16" i="4" l="1"/>
  <c r="CH6" i="72"/>
  <c r="CH8" i="72"/>
  <c r="CI7" i="72"/>
  <c r="AV1160" i="4"/>
  <c r="AV297" i="3"/>
  <c r="AV184" i="4" s="1"/>
  <c r="AV193" i="4" s="1"/>
  <c r="AU9" i="11"/>
  <c r="AV6" i="4"/>
  <c r="AV29" i="4"/>
  <c r="AV8" i="4"/>
  <c r="AV1183" i="4"/>
  <c r="AV1184" i="4"/>
  <c r="AV355" i="3"/>
  <c r="AV241" i="4" s="1"/>
  <c r="AV246" i="4" s="1"/>
  <c r="AV1156" i="4"/>
  <c r="AV1157" i="4" s="1"/>
  <c r="AV8" i="11"/>
  <c r="AV298" i="3"/>
  <c r="AV185" i="4" s="1"/>
  <c r="AV194" i="4" s="1"/>
  <c r="AV198" i="4" s="1"/>
  <c r="AV1158" i="4"/>
  <c r="AV1159" i="4" s="1"/>
  <c r="AV8" i="66"/>
  <c r="AV314" i="4"/>
  <c r="AV273" i="4" s="1"/>
  <c r="AV30" i="4"/>
  <c r="AV67" i="4" s="1"/>
  <c r="AV1042" i="4" s="1"/>
  <c r="AV8" i="64"/>
  <c r="AV216" i="3"/>
  <c r="AV133" i="4" s="1"/>
  <c r="AV356" i="3"/>
  <c r="AV242" i="4" s="1"/>
  <c r="AV247" i="4" s="1"/>
  <c r="AV184" i="3"/>
  <c r="AV121" i="4" s="1"/>
  <c r="AV54" i="62"/>
  <c r="AV218" i="3"/>
  <c r="AV135" i="4" s="1"/>
  <c r="AV299" i="3"/>
  <c r="AV186" i="4" s="1"/>
  <c r="AV195" i="4" s="1"/>
  <c r="AV185" i="3"/>
  <c r="AV122" i="4" s="1"/>
  <c r="AV242" i="3"/>
  <c r="AV147" i="4" s="1"/>
  <c r="AV296" i="3"/>
  <c r="AV183" i="4" s="1"/>
  <c r="AV192" i="4" s="1"/>
  <c r="AV217" i="3"/>
  <c r="AV134" i="4" s="1"/>
  <c r="AV331" i="3"/>
  <c r="AV220" i="4" s="1"/>
  <c r="AV225" i="4" s="1"/>
  <c r="AV226" i="4" s="1"/>
  <c r="AV240" i="3"/>
  <c r="AV145" i="4" s="1"/>
  <c r="CI56" i="3"/>
  <c r="CI60" i="3"/>
  <c r="CI59" i="3"/>
  <c r="CI58" i="3"/>
  <c r="CI95" i="67"/>
  <c r="CJ8" i="67"/>
  <c r="CJ6" i="67"/>
  <c r="AV241" i="3"/>
  <c r="AV146" i="4" s="1"/>
  <c r="AV329" i="3"/>
  <c r="AV218" i="4" s="1"/>
  <c r="AV300" i="3"/>
  <c r="AV187" i="4" s="1"/>
  <c r="AV196" i="4" s="1"/>
  <c r="AV330" i="3"/>
  <c r="AV219" i="4" s="1"/>
  <c r="AV224" i="4" s="1"/>
  <c r="AV186" i="3"/>
  <c r="AV123" i="4" s="1"/>
  <c r="AU34" i="66"/>
  <c r="AV301" i="3"/>
  <c r="AV188" i="4" s="1"/>
  <c r="AV197" i="4" s="1"/>
  <c r="AV1447" i="4"/>
  <c r="AV357" i="3"/>
  <c r="AV243" i="4" s="1"/>
  <c r="AV248" i="4" s="1"/>
  <c r="AV249" i="4" s="1"/>
  <c r="AU540" i="4"/>
  <c r="AU542" i="4" s="1"/>
  <c r="AU24" i="4"/>
  <c r="AU60" i="62"/>
  <c r="AU721" i="4"/>
  <c r="AU717" i="4"/>
  <c r="AU722" i="4"/>
  <c r="AU718" i="4"/>
  <c r="AU9" i="62"/>
  <c r="AT721" i="4"/>
  <c r="AT718" i="4"/>
  <c r="AT717" i="4"/>
  <c r="AT722" i="4"/>
  <c r="AU9" i="64"/>
  <c r="AU246" i="4"/>
  <c r="AU250" i="4" s="1"/>
  <c r="AU37" i="4"/>
  <c r="AU44" i="4" s="1"/>
  <c r="AU51" i="4" s="1"/>
  <c r="AV58" i="4"/>
  <c r="AU731" i="4"/>
  <c r="AU54" i="4"/>
  <c r="AU9" i="4"/>
  <c r="AU9" i="66"/>
  <c r="AU53" i="4"/>
  <c r="AU732" i="4"/>
  <c r="AV1129" i="4"/>
  <c r="CK7" i="67"/>
  <c r="AS739" i="4"/>
  <c r="CC1523" i="4"/>
  <c r="CC1524" i="4" s="1"/>
  <c r="CC1429" i="4"/>
  <c r="CD1392" i="4"/>
  <c r="AV19" i="4"/>
  <c r="AV20" i="4" s="1"/>
  <c r="AV17" i="4"/>
  <c r="AU1041" i="4"/>
  <c r="AU688" i="4"/>
  <c r="AV18" i="4"/>
  <c r="AV1151" i="4"/>
  <c r="AV27" i="66"/>
  <c r="AV1263" i="4"/>
  <c r="AV295" i="4"/>
  <c r="AV303" i="4" s="1"/>
  <c r="AV66" i="4"/>
  <c r="AV28" i="66"/>
  <c r="AU61" i="4"/>
  <c r="AU318" i="4" s="1"/>
  <c r="AU328" i="4" s="1"/>
  <c r="AV60" i="4"/>
  <c r="AW86" i="64"/>
  <c r="AW87" i="64" s="1"/>
  <c r="AW7" i="4"/>
  <c r="AW7" i="11"/>
  <c r="AW6" i="11" s="1"/>
  <c r="AW7" i="66"/>
  <c r="AW6" i="66" s="1"/>
  <c r="AW7" i="64"/>
  <c r="AW6" i="64" s="1"/>
  <c r="AW28" i="64" s="1"/>
  <c r="AW30" i="64" s="1"/>
  <c r="AW53" i="64" s="1"/>
  <c r="AW8" i="3"/>
  <c r="AW6" i="3"/>
  <c r="AW7" i="62"/>
  <c r="AW6" i="62" s="1"/>
  <c r="AV223" i="4"/>
  <c r="I100" i="4"/>
  <c r="I101" i="4"/>
  <c r="I102" i="4"/>
  <c r="AW16" i="4" l="1"/>
  <c r="AV57" i="4"/>
  <c r="AV9" i="62" s="1"/>
  <c r="CI6" i="72"/>
  <c r="CI8" i="72"/>
  <c r="CJ7" i="72"/>
  <c r="AV824" i="4"/>
  <c r="AV62" i="4"/>
  <c r="AV528" i="4" s="1"/>
  <c r="AV275" i="4"/>
  <c r="AV288" i="4" s="1"/>
  <c r="AV329" i="4" s="1"/>
  <c r="AV414" i="4" s="1"/>
  <c r="AV415" i="4" s="1"/>
  <c r="AW413" i="4" s="1"/>
  <c r="AV1242" i="4"/>
  <c r="AV15" i="66" s="1"/>
  <c r="AV274" i="4"/>
  <c r="AV335" i="4" s="1"/>
  <c r="AV1243" i="4"/>
  <c r="AV530" i="4"/>
  <c r="AV540" i="4" s="1"/>
  <c r="AV54" i="11"/>
  <c r="AV68" i="4"/>
  <c r="AV70" i="4"/>
  <c r="AU63" i="4"/>
  <c r="AU1389" i="4" s="1"/>
  <c r="AV642" i="3"/>
  <c r="AV1041" i="4" s="1"/>
  <c r="AV543" i="4"/>
  <c r="AV529" i="4"/>
  <c r="AV33" i="4"/>
  <c r="AV40" i="4" s="1"/>
  <c r="AV47" i="4" s="1"/>
  <c r="AV37" i="4"/>
  <c r="AV44" i="4" s="1"/>
  <c r="AV51" i="4" s="1"/>
  <c r="AV36" i="4"/>
  <c r="AV43" i="4" s="1"/>
  <c r="AV50" i="4" s="1"/>
  <c r="AV713" i="4" s="1"/>
  <c r="AV731" i="4" s="1"/>
  <c r="AV34" i="4"/>
  <c r="AV41" i="4" s="1"/>
  <c r="AV48" i="4" s="1"/>
  <c r="AV35" i="4"/>
  <c r="AV42" i="4" s="1"/>
  <c r="AV49" i="4" s="1"/>
  <c r="AV32" i="4"/>
  <c r="AV39" i="4" s="1"/>
  <c r="AV46" i="4" s="1"/>
  <c r="CK8" i="67"/>
  <c r="CK6" i="67"/>
  <c r="CJ60" i="3"/>
  <c r="CJ59" i="3"/>
  <c r="CJ58" i="3"/>
  <c r="CJ95" i="67"/>
  <c r="CJ56" i="3"/>
  <c r="AU690" i="4"/>
  <c r="AU544" i="4"/>
  <c r="AV1036" i="4"/>
  <c r="AW357" i="3"/>
  <c r="AW243" i="4" s="1"/>
  <c r="AW248" i="4" s="1"/>
  <c r="AW249" i="4" s="1"/>
  <c r="AW301" i="3"/>
  <c r="AW188" i="4" s="1"/>
  <c r="AW197" i="4" s="1"/>
  <c r="AW186" i="3"/>
  <c r="AW123" i="4" s="1"/>
  <c r="AW242" i="3"/>
  <c r="AW147" i="4" s="1"/>
  <c r="AV54" i="4"/>
  <c r="AU56" i="4" s="1"/>
  <c r="AW329" i="3"/>
  <c r="AW218" i="4" s="1"/>
  <c r="AW185" i="3"/>
  <c r="AW122" i="4" s="1"/>
  <c r="AW299" i="3"/>
  <c r="AW186" i="4" s="1"/>
  <c r="AW195" i="4" s="1"/>
  <c r="AW298" i="3"/>
  <c r="AW185" i="4" s="1"/>
  <c r="AW194" i="4" s="1"/>
  <c r="AW296" i="3"/>
  <c r="AW183" i="4" s="1"/>
  <c r="AW297" i="3"/>
  <c r="AW184" i="4" s="1"/>
  <c r="AW193" i="4" s="1"/>
  <c r="AW356" i="3"/>
  <c r="AW242" i="4" s="1"/>
  <c r="AW247" i="4" s="1"/>
  <c r="AW330" i="3"/>
  <c r="AW219" i="4" s="1"/>
  <c r="AW224" i="4" s="1"/>
  <c r="AW216" i="3"/>
  <c r="AW133" i="4" s="1"/>
  <c r="AW331" i="3"/>
  <c r="AW220" i="4" s="1"/>
  <c r="AW225" i="4" s="1"/>
  <c r="AW226" i="4" s="1"/>
  <c r="AW300" i="3"/>
  <c r="AW187" i="4" s="1"/>
  <c r="AW196" i="4" s="1"/>
  <c r="AW184" i="3"/>
  <c r="AW121" i="4" s="1"/>
  <c r="AW217" i="3"/>
  <c r="AW134" i="4" s="1"/>
  <c r="AW355" i="3"/>
  <c r="AW218" i="3"/>
  <c r="AW135" i="4" s="1"/>
  <c r="AW241" i="3"/>
  <c r="AW146" i="4" s="1"/>
  <c r="AW240" i="3"/>
  <c r="AW145" i="4" s="1"/>
  <c r="AW1447" i="4"/>
  <c r="AT56" i="4"/>
  <c r="AU55" i="4"/>
  <c r="AU65" i="4"/>
  <c r="AU53" i="62"/>
  <c r="I104" i="4"/>
  <c r="CL7" i="67"/>
  <c r="AT737" i="4"/>
  <c r="AV9" i="3"/>
  <c r="AV9" i="64"/>
  <c r="AV9" i="11"/>
  <c r="CD1523" i="4"/>
  <c r="CD1524" i="4" s="1"/>
  <c r="CE1392" i="4"/>
  <c r="CD1429" i="4"/>
  <c r="AU737" i="4"/>
  <c r="AV24" i="4"/>
  <c r="AU736" i="4"/>
  <c r="AW1409" i="4"/>
  <c r="AW1158" i="4"/>
  <c r="AW1159" i="4" s="1"/>
  <c r="AW1184" i="4"/>
  <c r="AW1156" i="4"/>
  <c r="AW29" i="4"/>
  <c r="AW8" i="62"/>
  <c r="AW1160" i="4"/>
  <c r="AW1183" i="4"/>
  <c r="AW8" i="64"/>
  <c r="AW8" i="4"/>
  <c r="AW8" i="66"/>
  <c r="AW30" i="4"/>
  <c r="AW28" i="4"/>
  <c r="AW8" i="11"/>
  <c r="AV22" i="4"/>
  <c r="AW21" i="4"/>
  <c r="AV199" i="4"/>
  <c r="AV287" i="4"/>
  <c r="AV324" i="4" s="1"/>
  <c r="AX7" i="3"/>
  <c r="AW6" i="4"/>
  <c r="AW15" i="4"/>
  <c r="AV9" i="4"/>
  <c r="AV60" i="62"/>
  <c r="AV250" i="4"/>
  <c r="AT736" i="4"/>
  <c r="AW314" i="4"/>
  <c r="AV227" i="4"/>
  <c r="AV9" i="66"/>
  <c r="AV34" i="66" l="1"/>
  <c r="CJ6" i="72"/>
  <c r="CJ8" i="72"/>
  <c r="CK7" i="72"/>
  <c r="AV688" i="4"/>
  <c r="AV714" i="4"/>
  <c r="AV718" i="4" s="1"/>
  <c r="AV732" i="4"/>
  <c r="AV542" i="4"/>
  <c r="AV690" i="4" s="1"/>
  <c r="AV53" i="62"/>
  <c r="CL8" i="67"/>
  <c r="CL6" i="67"/>
  <c r="CK60" i="3"/>
  <c r="CK59" i="3"/>
  <c r="CK58" i="3"/>
  <c r="CK95" i="67"/>
  <c r="CK56" i="3"/>
  <c r="AV65" i="4"/>
  <c r="AV55" i="4"/>
  <c r="AW58" i="4"/>
  <c r="AW241" i="4"/>
  <c r="AW246" i="4" s="1"/>
  <c r="AV53" i="4"/>
  <c r="AW57" i="4"/>
  <c r="AW1129" i="4"/>
  <c r="CM7" i="67"/>
  <c r="AW34" i="4"/>
  <c r="AW41" i="4" s="1"/>
  <c r="AW48" i="4" s="1"/>
  <c r="CE1429" i="4"/>
  <c r="CF1392" i="4"/>
  <c r="CE1523" i="4"/>
  <c r="CE1524" i="4" s="1"/>
  <c r="AW18" i="4"/>
  <c r="AW70" i="4"/>
  <c r="AW67" i="4"/>
  <c r="AW1042" i="4" s="1"/>
  <c r="AW68" i="4"/>
  <c r="AW62" i="4"/>
  <c r="AW528" i="4" s="1"/>
  <c r="AW543" i="4"/>
  <c r="AV63" i="4"/>
  <c r="AV1389" i="4" s="1"/>
  <c r="AW824" i="4"/>
  <c r="AW530" i="4"/>
  <c r="AW54" i="11"/>
  <c r="AW54" i="62"/>
  <c r="AW19" i="4"/>
  <c r="AW20" i="4" s="1"/>
  <c r="AW17" i="4"/>
  <c r="AW1151" i="4"/>
  <c r="AW28" i="66"/>
  <c r="AW60" i="4"/>
  <c r="AW295" i="4"/>
  <c r="AW303" i="4" s="1"/>
  <c r="AV61" i="4"/>
  <c r="AV318" i="4" s="1"/>
  <c r="AV328" i="4" s="1"/>
  <c r="AW27" i="66"/>
  <c r="AW1263" i="4"/>
  <c r="AX86" i="64"/>
  <c r="AX87" i="64" s="1"/>
  <c r="AX7" i="11"/>
  <c r="AX6" i="11" s="1"/>
  <c r="AX7" i="66"/>
  <c r="AX6" i="66" s="1"/>
  <c r="AX8" i="3"/>
  <c r="AX7" i="64"/>
  <c r="AX6" i="64" s="1"/>
  <c r="AX28" i="64" s="1"/>
  <c r="AX30" i="64" s="1"/>
  <c r="AX53" i="64" s="1"/>
  <c r="AX7" i="62"/>
  <c r="AX6" i="62" s="1"/>
  <c r="AX6" i="3"/>
  <c r="AX7" i="4"/>
  <c r="AV200" i="4"/>
  <c r="AW1157" i="4"/>
  <c r="AW198" i="4"/>
  <c r="AW66" i="4"/>
  <c r="AW529" i="4"/>
  <c r="AW223" i="4"/>
  <c r="AW36" i="4"/>
  <c r="AW43" i="4" s="1"/>
  <c r="AW50" i="4" s="1"/>
  <c r="AW713" i="4" s="1"/>
  <c r="AW275" i="4"/>
  <c r="AW288" i="4" s="1"/>
  <c r="AW329" i="4" s="1"/>
  <c r="AW414" i="4" s="1"/>
  <c r="AW415" i="4" s="1"/>
  <c r="AX413" i="4" s="1"/>
  <c r="AW273" i="4"/>
  <c r="AW1243" i="4"/>
  <c r="AW274" i="4"/>
  <c r="AW335" i="4" s="1"/>
  <c r="AW1242" i="4"/>
  <c r="AT738" i="4"/>
  <c r="AW32" i="4"/>
  <c r="AW39" i="4" s="1"/>
  <c r="AW46" i="4" s="1"/>
  <c r="AW192" i="4"/>
  <c r="AW35" i="4"/>
  <c r="AW42" i="4" s="1"/>
  <c r="AW49" i="4" s="1"/>
  <c r="AW33" i="4"/>
  <c r="AW40" i="4" s="1"/>
  <c r="AW47" i="4" s="1"/>
  <c r="AU738" i="4"/>
  <c r="E123" i="4"/>
  <c r="E122" i="4"/>
  <c r="E121" i="4"/>
  <c r="E147" i="4"/>
  <c r="L152" i="4" s="1"/>
  <c r="E135" i="4"/>
  <c r="E146" i="4"/>
  <c r="L151" i="4" s="1"/>
  <c r="E145" i="4"/>
  <c r="L150" i="4" s="1"/>
  <c r="E134" i="4"/>
  <c r="E133" i="4"/>
  <c r="AV721" i="4" l="1"/>
  <c r="AX16" i="4"/>
  <c r="AV722" i="4"/>
  <c r="AV717" i="4"/>
  <c r="CK8" i="72"/>
  <c r="CK6" i="72"/>
  <c r="CL7" i="72"/>
  <c r="AV544" i="4"/>
  <c r="CM8" i="67"/>
  <c r="CM6" i="67"/>
  <c r="CL59" i="3"/>
  <c r="CL58" i="3"/>
  <c r="CL95" i="67"/>
  <c r="CL60" i="3"/>
  <c r="CL56" i="3"/>
  <c r="AW15" i="66"/>
  <c r="AW1036" i="4"/>
  <c r="AW37" i="4"/>
  <c r="AW44" i="4" s="1"/>
  <c r="AW51" i="4" s="1"/>
  <c r="AX300" i="3"/>
  <c r="AX187" i="4" s="1"/>
  <c r="AX196" i="4" s="1"/>
  <c r="AX301" i="3"/>
  <c r="AX188" i="4" s="1"/>
  <c r="AX197" i="4" s="1"/>
  <c r="AW54" i="4"/>
  <c r="AW65" i="4" s="1"/>
  <c r="AW9" i="11"/>
  <c r="AX296" i="3"/>
  <c r="AX183" i="4" s="1"/>
  <c r="AX299" i="3"/>
  <c r="AX186" i="4" s="1"/>
  <c r="AX195" i="4" s="1"/>
  <c r="AX186" i="3"/>
  <c r="AX123" i="4" s="1"/>
  <c r="AX128" i="4" s="1"/>
  <c r="AX357" i="3"/>
  <c r="AX243" i="4" s="1"/>
  <c r="AX248" i="4" s="1"/>
  <c r="AX249" i="4" s="1"/>
  <c r="AX242" i="3"/>
  <c r="AX147" i="4" s="1"/>
  <c r="AX152" i="4" s="1"/>
  <c r="AX216" i="3"/>
  <c r="AX133" i="4" s="1"/>
  <c r="AX138" i="4" s="1"/>
  <c r="AX1447" i="4"/>
  <c r="AX241" i="3"/>
  <c r="AX146" i="4" s="1"/>
  <c r="AX151" i="4" s="1"/>
  <c r="AX297" i="3"/>
  <c r="AX184" i="4" s="1"/>
  <c r="AX193" i="4" s="1"/>
  <c r="AX329" i="3"/>
  <c r="AX218" i="4" s="1"/>
  <c r="AX298" i="3"/>
  <c r="AX185" i="4" s="1"/>
  <c r="AX194" i="4" s="1"/>
  <c r="AX184" i="3"/>
  <c r="AX121" i="4" s="1"/>
  <c r="AX126" i="4" s="1"/>
  <c r="AX218" i="3"/>
  <c r="AX135" i="4" s="1"/>
  <c r="AX140" i="4" s="1"/>
  <c r="AX331" i="3"/>
  <c r="AX220" i="4" s="1"/>
  <c r="AX225" i="4" s="1"/>
  <c r="AX226" i="4" s="1"/>
  <c r="AX356" i="3"/>
  <c r="AX242" i="4" s="1"/>
  <c r="AX247" i="4" s="1"/>
  <c r="AX185" i="3"/>
  <c r="AX122" i="4" s="1"/>
  <c r="AX127" i="4" s="1"/>
  <c r="AX240" i="3"/>
  <c r="AX145" i="4" s="1"/>
  <c r="AX150" i="4" s="1"/>
  <c r="AX217" i="3"/>
  <c r="AX134" i="4" s="1"/>
  <c r="AX139" i="4" s="1"/>
  <c r="AX330" i="3"/>
  <c r="AX219" i="4" s="1"/>
  <c r="AX224" i="4" s="1"/>
  <c r="AX355" i="3"/>
  <c r="AX241" i="4" s="1"/>
  <c r="AV736" i="4"/>
  <c r="AW24" i="4"/>
  <c r="L153" i="4"/>
  <c r="AW9" i="66"/>
  <c r="CN7" i="67"/>
  <c r="AX314" i="4"/>
  <c r="AX1242" i="4" s="1"/>
  <c r="AW9" i="4"/>
  <c r="CF1429" i="4"/>
  <c r="CG1392" i="4"/>
  <c r="CF1523" i="4"/>
  <c r="CF1524" i="4" s="1"/>
  <c r="AW227" i="4"/>
  <c r="AX15" i="4"/>
  <c r="AX6" i="4"/>
  <c r="AT739" i="4"/>
  <c r="AV737" i="4"/>
  <c r="AW287" i="4"/>
  <c r="AW324" i="4" s="1"/>
  <c r="AW34" i="66"/>
  <c r="AW731" i="4"/>
  <c r="AW714" i="4"/>
  <c r="AW732" i="4"/>
  <c r="AW60" i="62"/>
  <c r="AW199" i="4"/>
  <c r="AW200" i="4" s="1"/>
  <c r="AW642" i="3"/>
  <c r="AX28" i="4"/>
  <c r="AX8" i="11"/>
  <c r="AX1160" i="4"/>
  <c r="AX8" i="64"/>
  <c r="AX29" i="4"/>
  <c r="AX8" i="62"/>
  <c r="AX1409" i="4"/>
  <c r="AX1183" i="4"/>
  <c r="AX8" i="4"/>
  <c r="AX1158" i="4"/>
  <c r="AX1184" i="4"/>
  <c r="AX1156" i="4"/>
  <c r="AX30" i="4"/>
  <c r="AX529" i="4" s="1"/>
  <c r="AX8" i="66"/>
  <c r="AW9" i="64"/>
  <c r="AW22" i="4"/>
  <c r="AX21" i="4"/>
  <c r="AW250" i="4"/>
  <c r="AW9" i="62"/>
  <c r="AW540" i="4"/>
  <c r="AW542" i="4" s="1"/>
  <c r="AU739" i="4"/>
  <c r="AY7" i="3"/>
  <c r="AW9" i="3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V140" i="4"/>
  <c r="AN140" i="4"/>
  <c r="AF140" i="4"/>
  <c r="X140" i="4"/>
  <c r="AO140" i="4"/>
  <c r="AC140" i="4"/>
  <c r="T140" i="4"/>
  <c r="AW140" i="4"/>
  <c r="AK140" i="4"/>
  <c r="AB140" i="4"/>
  <c r="AS140" i="4"/>
  <c r="AJ140" i="4"/>
  <c r="Y140" i="4"/>
  <c r="AR140" i="4"/>
  <c r="O140" i="4"/>
  <c r="AG140" i="4"/>
  <c r="U140" i="4"/>
  <c r="L140" i="4"/>
  <c r="M140" i="4"/>
  <c r="P140" i="4"/>
  <c r="AH140" i="4"/>
  <c r="W140" i="4"/>
  <c r="AM140" i="4"/>
  <c r="Q140" i="4"/>
  <c r="N140" i="4"/>
  <c r="V140" i="4"/>
  <c r="AL140" i="4"/>
  <c r="AA140" i="4"/>
  <c r="AQ140" i="4"/>
  <c r="R140" i="4"/>
  <c r="Z140" i="4"/>
  <c r="AP140" i="4"/>
  <c r="AE140" i="4"/>
  <c r="AU140" i="4"/>
  <c r="AT140" i="4"/>
  <c r="AI140" i="4"/>
  <c r="AD140" i="4"/>
  <c r="AQ139" i="4"/>
  <c r="AI139" i="4"/>
  <c r="AA139" i="4"/>
  <c r="AP139" i="4"/>
  <c r="AH139" i="4"/>
  <c r="Z139" i="4"/>
  <c r="AU139" i="4"/>
  <c r="AM139" i="4"/>
  <c r="AE139" i="4"/>
  <c r="W139" i="4"/>
  <c r="AT139" i="4"/>
  <c r="AL139" i="4"/>
  <c r="R139" i="4"/>
  <c r="V139" i="4"/>
  <c r="AD139" i="4"/>
  <c r="N139" i="4"/>
  <c r="Q139" i="4"/>
  <c r="AB139" i="4"/>
  <c r="AR139" i="4"/>
  <c r="AG139" i="4"/>
  <c r="AW139" i="4"/>
  <c r="AF139" i="4"/>
  <c r="AV139" i="4"/>
  <c r="U139" i="4"/>
  <c r="AK139" i="4"/>
  <c r="L139" i="4"/>
  <c r="T139" i="4"/>
  <c r="AJ139" i="4"/>
  <c r="Y139" i="4"/>
  <c r="AO139" i="4"/>
  <c r="AC139" i="4"/>
  <c r="O139" i="4"/>
  <c r="AN139" i="4"/>
  <c r="X139" i="4"/>
  <c r="AS139" i="4"/>
  <c r="P139" i="4"/>
  <c r="M139" i="4"/>
  <c r="AR152" i="4"/>
  <c r="AJ152" i="4"/>
  <c r="AB152" i="4"/>
  <c r="T152" i="4"/>
  <c r="AW152" i="4"/>
  <c r="AO152" i="4"/>
  <c r="AG152" i="4"/>
  <c r="Y152" i="4"/>
  <c r="AV152" i="4"/>
  <c r="AN152" i="4"/>
  <c r="AF152" i="4"/>
  <c r="X152" i="4"/>
  <c r="AS152" i="4"/>
  <c r="AK152" i="4"/>
  <c r="AC152" i="4"/>
  <c r="P152" i="4"/>
  <c r="U152" i="4"/>
  <c r="O152" i="4"/>
  <c r="Z152" i="4"/>
  <c r="AP152" i="4"/>
  <c r="AA152" i="4"/>
  <c r="AQ152" i="4"/>
  <c r="AD152" i="4"/>
  <c r="AT152" i="4"/>
  <c r="AE152" i="4"/>
  <c r="AU152" i="4"/>
  <c r="Q152" i="4"/>
  <c r="N152" i="4"/>
  <c r="AH152" i="4"/>
  <c r="AI152" i="4"/>
  <c r="M152" i="4"/>
  <c r="AL152" i="4"/>
  <c r="AM152" i="4"/>
  <c r="R152" i="4"/>
  <c r="V152" i="4"/>
  <c r="W152" i="4"/>
  <c r="AS138" i="4"/>
  <c r="AK138" i="4"/>
  <c r="AC138" i="4"/>
  <c r="U138" i="4"/>
  <c r="AR138" i="4"/>
  <c r="AJ138" i="4"/>
  <c r="AB138" i="4"/>
  <c r="T138" i="4"/>
  <c r="AW138" i="4"/>
  <c r="AO138" i="4"/>
  <c r="AG138" i="4"/>
  <c r="Y138" i="4"/>
  <c r="X138" i="4"/>
  <c r="M138" i="4"/>
  <c r="AV138" i="4"/>
  <c r="AN138" i="4"/>
  <c r="AF138" i="4"/>
  <c r="Q138" i="4"/>
  <c r="V138" i="4"/>
  <c r="AL138" i="4"/>
  <c r="AA138" i="4"/>
  <c r="AQ138" i="4"/>
  <c r="O138" i="4"/>
  <c r="L138" i="4"/>
  <c r="Z138" i="4"/>
  <c r="AP138" i="4"/>
  <c r="AE138" i="4"/>
  <c r="AU138" i="4"/>
  <c r="P138" i="4"/>
  <c r="N138" i="4"/>
  <c r="AD138" i="4"/>
  <c r="AT138" i="4"/>
  <c r="AI138" i="4"/>
  <c r="R138" i="4"/>
  <c r="W138" i="4"/>
  <c r="AM138" i="4"/>
  <c r="AH138" i="4"/>
  <c r="AV150" i="4"/>
  <c r="AN150" i="4"/>
  <c r="AF150" i="4"/>
  <c r="X150" i="4"/>
  <c r="AS150" i="4"/>
  <c r="AK150" i="4"/>
  <c r="AC150" i="4"/>
  <c r="U150" i="4"/>
  <c r="AR150" i="4"/>
  <c r="AJ150" i="4"/>
  <c r="AB150" i="4"/>
  <c r="T150" i="4"/>
  <c r="AG150" i="4"/>
  <c r="Y150" i="4"/>
  <c r="AW150" i="4"/>
  <c r="N150" i="4"/>
  <c r="AO150" i="4"/>
  <c r="M150" i="4"/>
  <c r="Q150" i="4"/>
  <c r="R150" i="4"/>
  <c r="Z150" i="4"/>
  <c r="AP150" i="4"/>
  <c r="AE150" i="4"/>
  <c r="AU150" i="4"/>
  <c r="O150" i="4"/>
  <c r="AD150" i="4"/>
  <c r="AT150" i="4"/>
  <c r="AI150" i="4"/>
  <c r="AH150" i="4"/>
  <c r="W150" i="4"/>
  <c r="AM150" i="4"/>
  <c r="P150" i="4"/>
  <c r="AL150" i="4"/>
  <c r="V150" i="4"/>
  <c r="AA150" i="4"/>
  <c r="AQ150" i="4"/>
  <c r="AT151" i="4"/>
  <c r="AL151" i="4"/>
  <c r="AD151" i="4"/>
  <c r="V151" i="4"/>
  <c r="AQ151" i="4"/>
  <c r="AI151" i="4"/>
  <c r="AA151" i="4"/>
  <c r="AP151" i="4"/>
  <c r="AH151" i="4"/>
  <c r="Z151" i="4"/>
  <c r="W151" i="4"/>
  <c r="AU151" i="4"/>
  <c r="AM151" i="4"/>
  <c r="O151" i="4"/>
  <c r="R151" i="4"/>
  <c r="N151" i="4"/>
  <c r="AE151" i="4"/>
  <c r="M151" i="4"/>
  <c r="U151" i="4"/>
  <c r="AJ151" i="4"/>
  <c r="AK151" i="4"/>
  <c r="P151" i="4"/>
  <c r="Q151" i="4"/>
  <c r="T151" i="4"/>
  <c r="Y151" i="4"/>
  <c r="AN151" i="4"/>
  <c r="AO151" i="4"/>
  <c r="X151" i="4"/>
  <c r="AB151" i="4"/>
  <c r="AR151" i="4"/>
  <c r="AC151" i="4"/>
  <c r="AS151" i="4"/>
  <c r="AV151" i="4"/>
  <c r="AW151" i="4"/>
  <c r="AF151" i="4"/>
  <c r="AG151" i="4"/>
  <c r="S150" i="4"/>
  <c r="S151" i="4"/>
  <c r="S138" i="4"/>
  <c r="S140" i="4"/>
  <c r="S139" i="4"/>
  <c r="S152" i="4"/>
  <c r="CL8" i="72" l="1"/>
  <c r="CL6" i="72"/>
  <c r="CM7" i="72"/>
  <c r="AW53" i="62"/>
  <c r="CN8" i="67"/>
  <c r="CN6" i="67"/>
  <c r="CM58" i="3"/>
  <c r="CM95" i="67"/>
  <c r="CM59" i="3"/>
  <c r="CM60" i="3"/>
  <c r="CM56" i="3"/>
  <c r="AV56" i="4"/>
  <c r="AW55" i="4"/>
  <c r="AW722" i="4"/>
  <c r="AW718" i="4"/>
  <c r="AW717" i="4"/>
  <c r="AW721" i="4"/>
  <c r="AX58" i="4"/>
  <c r="AX57" i="4"/>
  <c r="AX9" i="3" s="1"/>
  <c r="AX66" i="4"/>
  <c r="AW53" i="4"/>
  <c r="AX1129" i="4"/>
  <c r="V153" i="4"/>
  <c r="S153" i="4"/>
  <c r="AA153" i="4"/>
  <c r="AI153" i="4"/>
  <c r="R153" i="4"/>
  <c r="T153" i="4"/>
  <c r="X153" i="4"/>
  <c r="AB153" i="4"/>
  <c r="AL153" i="4"/>
  <c r="AD153" i="4"/>
  <c r="M153" i="4"/>
  <c r="AJ153" i="4"/>
  <c r="AN153" i="4"/>
  <c r="P153" i="4"/>
  <c r="O153" i="4"/>
  <c r="AO153" i="4"/>
  <c r="AR153" i="4"/>
  <c r="AV153" i="4"/>
  <c r="AT153" i="4"/>
  <c r="AF153" i="4"/>
  <c r="AM153" i="4"/>
  <c r="AU153" i="4"/>
  <c r="N153" i="4"/>
  <c r="U153" i="4"/>
  <c r="Q153" i="4"/>
  <c r="W153" i="4"/>
  <c r="AE153" i="4"/>
  <c r="AW153" i="4"/>
  <c r="AC153" i="4"/>
  <c r="AX153" i="4"/>
  <c r="AP153" i="4"/>
  <c r="Y153" i="4"/>
  <c r="AK153" i="4"/>
  <c r="AQ153" i="4"/>
  <c r="AH153" i="4"/>
  <c r="Z153" i="4"/>
  <c r="AG153" i="4"/>
  <c r="AS153" i="4"/>
  <c r="CO7" i="67"/>
  <c r="AX275" i="4"/>
  <c r="AX288" i="4" s="1"/>
  <c r="AX329" i="4" s="1"/>
  <c r="AX414" i="4" s="1"/>
  <c r="AX415" i="4" s="1"/>
  <c r="AY413" i="4" s="1"/>
  <c r="AX273" i="4"/>
  <c r="AX274" i="4"/>
  <c r="AX1243" i="4"/>
  <c r="AX15" i="66" s="1"/>
  <c r="AX67" i="4"/>
  <c r="AX1042" i="4" s="1"/>
  <c r="AV738" i="4"/>
  <c r="CG1523" i="4"/>
  <c r="CG1524" i="4" s="1"/>
  <c r="CG1429" i="4"/>
  <c r="CH1392" i="4"/>
  <c r="AX33" i="4"/>
  <c r="AX246" i="4"/>
  <c r="AX37" i="4"/>
  <c r="AX223" i="4"/>
  <c r="AX36" i="4"/>
  <c r="AW544" i="4"/>
  <c r="AW690" i="4"/>
  <c r="AX68" i="4"/>
  <c r="AX192" i="4"/>
  <c r="AX35" i="4"/>
  <c r="AY86" i="64"/>
  <c r="AY87" i="64" s="1"/>
  <c r="AY7" i="62"/>
  <c r="AY6" i="62" s="1"/>
  <c r="AY7" i="64"/>
  <c r="AY6" i="64" s="1"/>
  <c r="AY28" i="64" s="1"/>
  <c r="AY30" i="64" s="1"/>
  <c r="AY53" i="64" s="1"/>
  <c r="AY6" i="3"/>
  <c r="AY8" i="3"/>
  <c r="AY7" i="4"/>
  <c r="AY7" i="11"/>
  <c r="AY6" i="11" s="1"/>
  <c r="AY7" i="66"/>
  <c r="AY6" i="66" s="1"/>
  <c r="AX34" i="4"/>
  <c r="AX1159" i="4"/>
  <c r="AX32" i="4"/>
  <c r="AX70" i="4"/>
  <c r="AX54" i="11"/>
  <c r="AX530" i="4"/>
  <c r="AW63" i="4"/>
  <c r="AW1389" i="4" s="1"/>
  <c r="AX543" i="4"/>
  <c r="AX824" i="4"/>
  <c r="AX62" i="4"/>
  <c r="AX19" i="4"/>
  <c r="AX20" i="4" s="1"/>
  <c r="AX17" i="4"/>
  <c r="AX54" i="62"/>
  <c r="AX198" i="4"/>
  <c r="AW1041" i="4"/>
  <c r="AW688" i="4"/>
  <c r="AX1157" i="4"/>
  <c r="AX1151" i="4"/>
  <c r="AX28" i="66"/>
  <c r="AX295" i="4"/>
  <c r="AX303" i="4" s="1"/>
  <c r="AX60" i="4"/>
  <c r="AX1263" i="4"/>
  <c r="AX27" i="66"/>
  <c r="AW61" i="4"/>
  <c r="AW318" i="4" s="1"/>
  <c r="AW328" i="4" s="1"/>
  <c r="AX18" i="4"/>
  <c r="L154" i="4"/>
  <c r="L141" i="4"/>
  <c r="Q141" i="4"/>
  <c r="AR129" i="4"/>
  <c r="AJ129" i="4"/>
  <c r="AB129" i="4"/>
  <c r="T129" i="4"/>
  <c r="L129" i="4"/>
  <c r="U141" i="4"/>
  <c r="Z141" i="4"/>
  <c r="AM141" i="4"/>
  <c r="AG141" i="4"/>
  <c r="AW141" i="4"/>
  <c r="AV141" i="4"/>
  <c r="AQ129" i="4"/>
  <c r="AI129" i="4"/>
  <c r="AA129" i="4"/>
  <c r="S129" i="4"/>
  <c r="AP141" i="4"/>
  <c r="AK141" i="4"/>
  <c r="AD141" i="4"/>
  <c r="R141" i="4"/>
  <c r="W141" i="4"/>
  <c r="O141" i="4"/>
  <c r="T141" i="4"/>
  <c r="AX129" i="4"/>
  <c r="AP129" i="4"/>
  <c r="AH129" i="4"/>
  <c r="Z129" i="4"/>
  <c r="R129" i="4"/>
  <c r="AI141" i="4"/>
  <c r="AQ141" i="4"/>
  <c r="AX141" i="4"/>
  <c r="AR141" i="4"/>
  <c r="AC141" i="4"/>
  <c r="AW129" i="4"/>
  <c r="AO129" i="4"/>
  <c r="AG129" i="4"/>
  <c r="Y129" i="4"/>
  <c r="Q129" i="4"/>
  <c r="S141" i="4"/>
  <c r="AA141" i="4"/>
  <c r="AH141" i="4"/>
  <c r="Y141" i="4"/>
  <c r="AO141" i="4"/>
  <c r="AV129" i="4"/>
  <c r="AN129" i="4"/>
  <c r="AF129" i="4"/>
  <c r="X129" i="4"/>
  <c r="P129" i="4"/>
  <c r="AT141" i="4"/>
  <c r="AL141" i="4"/>
  <c r="P141" i="4"/>
  <c r="AJ141" i="4"/>
  <c r="AU129" i="4"/>
  <c r="AM129" i="4"/>
  <c r="AE129" i="4"/>
  <c r="W129" i="4"/>
  <c r="O129" i="4"/>
  <c r="AU141" i="4"/>
  <c r="V141" i="4"/>
  <c r="M141" i="4"/>
  <c r="AS141" i="4"/>
  <c r="X141" i="4"/>
  <c r="AT129" i="4"/>
  <c r="AL129" i="4"/>
  <c r="AD129" i="4"/>
  <c r="V129" i="4"/>
  <c r="N129" i="4"/>
  <c r="AN141" i="4"/>
  <c r="AE141" i="4"/>
  <c r="N141" i="4"/>
  <c r="AB141" i="4"/>
  <c r="AF141" i="4"/>
  <c r="AS129" i="4"/>
  <c r="AK129" i="4"/>
  <c r="AC129" i="4"/>
  <c r="U129" i="4"/>
  <c r="M129" i="4"/>
  <c r="CM8" i="72" l="1"/>
  <c r="CM6" i="72"/>
  <c r="CN7" i="72"/>
  <c r="AY16" i="4"/>
  <c r="CO8" i="67"/>
  <c r="CO6" i="67"/>
  <c r="CN95" i="67"/>
  <c r="CN58" i="3"/>
  <c r="CN60" i="3"/>
  <c r="CN59" i="3"/>
  <c r="CN56" i="3"/>
  <c r="AX287" i="4"/>
  <c r="AX324" i="4" s="1"/>
  <c r="AX335" i="4"/>
  <c r="T130" i="4"/>
  <c r="AY300" i="3"/>
  <c r="AY187" i="4" s="1"/>
  <c r="AY196" i="4" s="1"/>
  <c r="AY301" i="3"/>
  <c r="AY188" i="4" s="1"/>
  <c r="AY197" i="4" s="1"/>
  <c r="AX54" i="4"/>
  <c r="AX53" i="62" s="1"/>
  <c r="AY297" i="3"/>
  <c r="AY184" i="4" s="1"/>
  <c r="AY193" i="4" s="1"/>
  <c r="AY240" i="3"/>
  <c r="AY145" i="4" s="1"/>
  <c r="AY357" i="3"/>
  <c r="AY243" i="4" s="1"/>
  <c r="AY248" i="4" s="1"/>
  <c r="AY299" i="3"/>
  <c r="AY186" i="4" s="1"/>
  <c r="AY195" i="4" s="1"/>
  <c r="AY184" i="3"/>
  <c r="AY121" i="4" s="1"/>
  <c r="AY1447" i="4"/>
  <c r="AY241" i="3"/>
  <c r="AY146" i="4" s="1"/>
  <c r="AY151" i="4" s="1"/>
  <c r="AY329" i="3"/>
  <c r="AY218" i="4" s="1"/>
  <c r="AY355" i="3"/>
  <c r="AY241" i="4" s="1"/>
  <c r="AY185" i="3"/>
  <c r="AY122" i="4" s="1"/>
  <c r="AY127" i="4" s="1"/>
  <c r="AY217" i="3"/>
  <c r="AY134" i="4" s="1"/>
  <c r="AY139" i="4" s="1"/>
  <c r="AY242" i="3"/>
  <c r="AY147" i="4" s="1"/>
  <c r="AY152" i="4" s="1"/>
  <c r="AY186" i="3"/>
  <c r="AY123" i="4" s="1"/>
  <c r="AY128" i="4" s="1"/>
  <c r="AY218" i="3"/>
  <c r="AY135" i="4" s="1"/>
  <c r="AY140" i="4" s="1"/>
  <c r="AY356" i="3"/>
  <c r="AY242" i="4" s="1"/>
  <c r="AY247" i="4" s="1"/>
  <c r="AY298" i="3"/>
  <c r="AY185" i="4" s="1"/>
  <c r="AY194" i="4" s="1"/>
  <c r="AY216" i="3"/>
  <c r="AY133" i="4" s="1"/>
  <c r="AY296" i="3"/>
  <c r="AY183" i="4" s="1"/>
  <c r="AY330" i="3"/>
  <c r="AY219" i="4" s="1"/>
  <c r="AY224" i="4" s="1"/>
  <c r="AY331" i="3"/>
  <c r="AY220" i="4" s="1"/>
  <c r="AY225" i="4" s="1"/>
  <c r="AX642" i="3"/>
  <c r="AX1041" i="4" s="1"/>
  <c r="AX34" i="66"/>
  <c r="AX9" i="11"/>
  <c r="AZ7" i="3"/>
  <c r="AZ7" i="64" s="1"/>
  <c r="AZ6" i="64" s="1"/>
  <c r="AZ28" i="64" s="1"/>
  <c r="AZ30" i="64" s="1"/>
  <c r="AZ53" i="64" s="1"/>
  <c r="AV739" i="4"/>
  <c r="AJ130" i="4"/>
  <c r="AX9" i="62"/>
  <c r="CH1429" i="4"/>
  <c r="CI1392" i="4"/>
  <c r="CH1523" i="4"/>
  <c r="CH1524" i="4" s="1"/>
  <c r="AW737" i="4"/>
  <c r="AY314" i="4"/>
  <c r="AY275" i="4" s="1"/>
  <c r="AX199" i="4"/>
  <c r="AX200" i="4" s="1"/>
  <c r="AW736" i="4"/>
  <c r="AX528" i="4"/>
  <c r="AY6" i="4"/>
  <c r="AY15" i="4"/>
  <c r="AX9" i="66"/>
  <c r="AX60" i="62"/>
  <c r="AX39" i="4"/>
  <c r="AY1158" i="4"/>
  <c r="AY1183" i="4"/>
  <c r="AY28" i="4"/>
  <c r="AY8" i="11"/>
  <c r="AY29" i="4"/>
  <c r="AY1160" i="4"/>
  <c r="AY8" i="62"/>
  <c r="AY54" i="62" s="1"/>
  <c r="AY1184" i="4"/>
  <c r="AY8" i="4"/>
  <c r="AY30" i="4"/>
  <c r="AY1156" i="4"/>
  <c r="AY1409" i="4"/>
  <c r="AY8" i="66"/>
  <c r="AY8" i="64"/>
  <c r="AX43" i="4"/>
  <c r="AX24" i="4"/>
  <c r="AX227" i="4"/>
  <c r="AX9" i="64"/>
  <c r="AX22" i="4"/>
  <c r="AY21" i="4"/>
  <c r="AX540" i="4"/>
  <c r="AX44" i="4"/>
  <c r="AX9" i="4"/>
  <c r="AX41" i="4"/>
  <c r="AX42" i="4"/>
  <c r="AX250" i="4"/>
  <c r="AX40" i="4"/>
  <c r="L130" i="4"/>
  <c r="AR130" i="4"/>
  <c r="AB130" i="4"/>
  <c r="L142" i="4"/>
  <c r="R130" i="4"/>
  <c r="AK130" i="4"/>
  <c r="AU130" i="4"/>
  <c r="AS130" i="4"/>
  <c r="O130" i="4"/>
  <c r="AP130" i="4"/>
  <c r="M130" i="4"/>
  <c r="AD130" i="4"/>
  <c r="AX130" i="4"/>
  <c r="AN130" i="4"/>
  <c r="AG130" i="4"/>
  <c r="AI130" i="4"/>
  <c r="AC130" i="4"/>
  <c r="W130" i="4"/>
  <c r="P130" i="4"/>
  <c r="AV130" i="4"/>
  <c r="AO130" i="4"/>
  <c r="AQ130" i="4"/>
  <c r="AL130" i="4"/>
  <c r="AE130" i="4"/>
  <c r="X130" i="4"/>
  <c r="Q130" i="4"/>
  <c r="AW130" i="4"/>
  <c r="Z130" i="4"/>
  <c r="S130" i="4"/>
  <c r="U130" i="4"/>
  <c r="N130" i="4"/>
  <c r="AT130" i="4"/>
  <c r="AM130" i="4"/>
  <c r="AF130" i="4"/>
  <c r="Y130" i="4"/>
  <c r="AH130" i="4"/>
  <c r="AA130" i="4"/>
  <c r="V130" i="4"/>
  <c r="R142" i="4"/>
  <c r="Y142" i="4"/>
  <c r="AM154" i="4"/>
  <c r="Q142" i="4"/>
  <c r="AI142" i="4"/>
  <c r="Q154" i="4"/>
  <c r="AQ142" i="4"/>
  <c r="AM142" i="4"/>
  <c r="AN154" i="4"/>
  <c r="AC142" i="4"/>
  <c r="X154" i="4"/>
  <c r="AB142" i="4"/>
  <c r="AG142" i="4"/>
  <c r="U154" i="4"/>
  <c r="AP154" i="4"/>
  <c r="O154" i="4"/>
  <c r="AL154" i="4"/>
  <c r="AF142" i="4"/>
  <c r="AS154" i="4"/>
  <c r="AA142" i="4"/>
  <c r="W142" i="4"/>
  <c r="AK142" i="4"/>
  <c r="Z154" i="4"/>
  <c r="AX154" i="4"/>
  <c r="P154" i="4"/>
  <c r="AF154" i="4"/>
  <c r="AE154" i="4"/>
  <c r="V154" i="4"/>
  <c r="AK154" i="4"/>
  <c r="AD154" i="4"/>
  <c r="AW154" i="4"/>
  <c r="AS142" i="4"/>
  <c r="AO142" i="4"/>
  <c r="N142" i="4"/>
  <c r="AO154" i="4"/>
  <c r="T142" i="4"/>
  <c r="AV142" i="4"/>
  <c r="V142" i="4"/>
  <c r="AG154" i="4"/>
  <c r="AR142" i="4"/>
  <c r="Z142" i="4"/>
  <c r="AW142" i="4"/>
  <c r="AN142" i="4"/>
  <c r="AE142" i="4"/>
  <c r="T154" i="4"/>
  <c r="AJ154" i="4"/>
  <c r="AV154" i="4"/>
  <c r="AR154" i="4"/>
  <c r="Y154" i="4"/>
  <c r="R154" i="4"/>
  <c r="W154" i="4"/>
  <c r="M142" i="4"/>
  <c r="AQ154" i="4"/>
  <c r="O142" i="4"/>
  <c r="AH142" i="4"/>
  <c r="AC154" i="4"/>
  <c r="N154" i="4"/>
  <c r="AA154" i="4"/>
  <c r="X142" i="4"/>
  <c r="AD142" i="4"/>
  <c r="AT142" i="4"/>
  <c r="AB154" i="4"/>
  <c r="M154" i="4"/>
  <c r="AU142" i="4"/>
  <c r="U142" i="4"/>
  <c r="AJ142" i="4"/>
  <c r="AL142" i="4"/>
  <c r="AP142" i="4"/>
  <c r="P142" i="4"/>
  <c r="AU154" i="4"/>
  <c r="AI154" i="4"/>
  <c r="AX142" i="4"/>
  <c r="AT154" i="4"/>
  <c r="AH154" i="4"/>
  <c r="S154" i="4"/>
  <c r="S142" i="4"/>
  <c r="CN8" i="72" l="1"/>
  <c r="CN6" i="72"/>
  <c r="CO7" i="72"/>
  <c r="AZ7" i="62"/>
  <c r="AZ6" i="62" s="1"/>
  <c r="AX65" i="4"/>
  <c r="AZ86" i="64"/>
  <c r="AZ87" i="64" s="1"/>
  <c r="AZ7" i="4"/>
  <c r="AZ7" i="66"/>
  <c r="AZ6" i="66" s="1"/>
  <c r="AZ8" i="3"/>
  <c r="AZ6" i="3"/>
  <c r="AZ7" i="11"/>
  <c r="AZ6" i="11" s="1"/>
  <c r="CO95" i="67"/>
  <c r="CO60" i="3"/>
  <c r="CO59" i="3"/>
  <c r="CO58" i="3"/>
  <c r="CO56" i="3"/>
  <c r="N75" i="4"/>
  <c r="AY82" i="4"/>
  <c r="V82" i="4"/>
  <c r="V75" i="4"/>
  <c r="M82" i="4"/>
  <c r="V88" i="4"/>
  <c r="N82" i="4"/>
  <c r="R82" i="4"/>
  <c r="L75" i="4"/>
  <c r="M75" i="4"/>
  <c r="AM82" i="4"/>
  <c r="AQ75" i="4"/>
  <c r="AQ88" i="4"/>
  <c r="AT82" i="4"/>
  <c r="T75" i="4"/>
  <c r="AE82" i="4"/>
  <c r="AE83" i="4" s="1"/>
  <c r="AT75" i="4"/>
  <c r="AJ75" i="4"/>
  <c r="AH88" i="4"/>
  <c r="AF88" i="4"/>
  <c r="X82" i="4"/>
  <c r="Y82" i="4"/>
  <c r="X75" i="4"/>
  <c r="AH75" i="4"/>
  <c r="O82" i="4"/>
  <c r="AV75" i="4"/>
  <c r="Z82" i="4"/>
  <c r="AP75" i="4"/>
  <c r="U75" i="4"/>
  <c r="P82" i="4"/>
  <c r="AM88" i="4"/>
  <c r="AX88" i="4"/>
  <c r="AX1260" i="4" s="1"/>
  <c r="W75" i="4"/>
  <c r="AP88" i="4"/>
  <c r="AF82" i="4"/>
  <c r="AA75" i="4"/>
  <c r="Z75" i="4"/>
  <c r="AG75" i="4"/>
  <c r="S75" i="4"/>
  <c r="P88" i="4"/>
  <c r="AR88" i="4"/>
  <c r="AE88" i="4"/>
  <c r="Q82" i="4"/>
  <c r="AL82" i="4"/>
  <c r="X88" i="4"/>
  <c r="M88" i="4"/>
  <c r="W88" i="4"/>
  <c r="AK82" i="4"/>
  <c r="AJ88" i="4"/>
  <c r="AG82" i="4"/>
  <c r="S82" i="4"/>
  <c r="O75" i="4"/>
  <c r="AW82" i="4"/>
  <c r="AU75" i="4"/>
  <c r="AU88" i="4"/>
  <c r="AK75" i="4"/>
  <c r="AL75" i="4"/>
  <c r="AN88" i="4"/>
  <c r="AR82" i="4"/>
  <c r="AW75" i="4"/>
  <c r="W82" i="4"/>
  <c r="AQ82" i="4"/>
  <c r="AJ82" i="4"/>
  <c r="AR75" i="4"/>
  <c r="R88" i="4"/>
  <c r="AN75" i="4"/>
  <c r="AO82" i="4"/>
  <c r="AM75" i="4"/>
  <c r="L88" i="4"/>
  <c r="AV88" i="4"/>
  <c r="AC82" i="4"/>
  <c r="L82" i="4"/>
  <c r="Y75" i="4"/>
  <c r="AE75" i="4"/>
  <c r="R75" i="4"/>
  <c r="U82" i="4"/>
  <c r="T82" i="4"/>
  <c r="AF75" i="4"/>
  <c r="AH82" i="4"/>
  <c r="AY75" i="4"/>
  <c r="AS82" i="4"/>
  <c r="AI82" i="4"/>
  <c r="Z88" i="4"/>
  <c r="U88" i="4"/>
  <c r="N88" i="4"/>
  <c r="P75" i="4"/>
  <c r="AV82" i="4"/>
  <c r="AD82" i="4"/>
  <c r="AO75" i="4"/>
  <c r="AN82" i="4"/>
  <c r="Q75" i="4"/>
  <c r="AK88" i="4"/>
  <c r="AI88" i="4"/>
  <c r="S88" i="4"/>
  <c r="AU82" i="4"/>
  <c r="O88" i="4"/>
  <c r="AX75" i="4"/>
  <c r="AS88" i="4"/>
  <c r="AI75" i="4"/>
  <c r="AX82" i="4"/>
  <c r="AP82" i="4"/>
  <c r="AS75" i="4"/>
  <c r="Q88" i="4"/>
  <c r="T88" i="4"/>
  <c r="AL88" i="4"/>
  <c r="AD88" i="4"/>
  <c r="Y88" i="4"/>
  <c r="AT88" i="4"/>
  <c r="AW88" i="4"/>
  <c r="AG88" i="4"/>
  <c r="AO88" i="4"/>
  <c r="AB82" i="4"/>
  <c r="AD75" i="4"/>
  <c r="AC75" i="4"/>
  <c r="AA82" i="4"/>
  <c r="AB75" i="4"/>
  <c r="AX1036" i="4"/>
  <c r="AY58" i="4"/>
  <c r="AX688" i="4"/>
  <c r="AX55" i="4"/>
  <c r="AW56" i="4"/>
  <c r="AX542" i="4"/>
  <c r="AX690" i="4" s="1"/>
  <c r="AX53" i="4"/>
  <c r="AY57" i="4"/>
  <c r="AY1129" i="4"/>
  <c r="AY1242" i="4"/>
  <c r="AY1243" i="4"/>
  <c r="CI1429" i="4"/>
  <c r="CJ1392" i="4"/>
  <c r="CI1523" i="4"/>
  <c r="CI1524" i="4" s="1"/>
  <c r="AY274" i="4"/>
  <c r="AY335" i="4" s="1"/>
  <c r="AY273" i="4"/>
  <c r="AY192" i="4"/>
  <c r="AY35" i="4"/>
  <c r="AY141" i="4"/>
  <c r="AY1159" i="4"/>
  <c r="AX47" i="4"/>
  <c r="AY249" i="4"/>
  <c r="AY824" i="4"/>
  <c r="AY70" i="4"/>
  <c r="AY543" i="4"/>
  <c r="AY54" i="11"/>
  <c r="AY530" i="4"/>
  <c r="AY62" i="4"/>
  <c r="AY67" i="4"/>
  <c r="AY1042" i="4" s="1"/>
  <c r="AY68" i="4"/>
  <c r="AX63" i="4"/>
  <c r="AX1389" i="4" s="1"/>
  <c r="AX46" i="4"/>
  <c r="AY18" i="4"/>
  <c r="AY19" i="4"/>
  <c r="AY20" i="4" s="1"/>
  <c r="AY17" i="4"/>
  <c r="AY295" i="4"/>
  <c r="AY303" i="4" s="1"/>
  <c r="AY27" i="66"/>
  <c r="AY1151" i="4"/>
  <c r="G1151" i="4" s="1"/>
  <c r="AY28" i="66"/>
  <c r="AY1263" i="4"/>
  <c r="AY60" i="4"/>
  <c r="AX61" i="4"/>
  <c r="AX318" i="4" s="1"/>
  <c r="AX328" i="4" s="1"/>
  <c r="AY66" i="4"/>
  <c r="AY198" i="4"/>
  <c r="AX50" i="4"/>
  <c r="AY223" i="4"/>
  <c r="AY36" i="4"/>
  <c r="AY129" i="4"/>
  <c r="AW738" i="4"/>
  <c r="AX51" i="4"/>
  <c r="AY529" i="4"/>
  <c r="AY226" i="4"/>
  <c r="AY34" i="4"/>
  <c r="AY150" i="4"/>
  <c r="AY153" i="4" s="1"/>
  <c r="AZ15" i="4"/>
  <c r="AZ6" i="4"/>
  <c r="AY288" i="4"/>
  <c r="AY329" i="4" s="1"/>
  <c r="AY414" i="4" s="1"/>
  <c r="AY415" i="4" s="1"/>
  <c r="AZ413" i="4" s="1"/>
  <c r="AX49" i="4"/>
  <c r="AY246" i="4"/>
  <c r="AY37" i="4"/>
  <c r="AY33" i="4"/>
  <c r="AY138" i="4"/>
  <c r="AX48" i="4"/>
  <c r="AY32" i="4"/>
  <c r="AY126" i="4"/>
  <c r="AY1157" i="4"/>
  <c r="BA7" i="3"/>
  <c r="AZ16" i="4" l="1"/>
  <c r="CO6" i="72"/>
  <c r="CO8" i="72"/>
  <c r="AZ82" i="4"/>
  <c r="L85" i="4"/>
  <c r="M85" i="4" s="1"/>
  <c r="L83" i="4"/>
  <c r="AZ1158" i="4"/>
  <c r="AZ1159" i="4" s="1"/>
  <c r="L79" i="4"/>
  <c r="M79" i="4" s="1"/>
  <c r="N79" i="4" s="1"/>
  <c r="O79" i="4" s="1"/>
  <c r="L76" i="4"/>
  <c r="AZ1156" i="4"/>
  <c r="AZ30" i="4"/>
  <c r="AZ529" i="4" s="1"/>
  <c r="AZ314" i="4"/>
  <c r="AZ275" i="4" s="1"/>
  <c r="AX1173" i="4"/>
  <c r="AX1177" i="4" s="1"/>
  <c r="AX1494" i="4" s="1"/>
  <c r="AD1173" i="4"/>
  <c r="AD1177" i="4" s="1"/>
  <c r="AD1494" i="4" s="1"/>
  <c r="AD1260" i="4"/>
  <c r="AS1173" i="4"/>
  <c r="AS1177" i="4" s="1"/>
  <c r="AS1494" i="4" s="1"/>
  <c r="AS1260" i="4"/>
  <c r="AN1173" i="4"/>
  <c r="AN1177" i="4" s="1"/>
  <c r="AN1494" i="4" s="1"/>
  <c r="AN1260" i="4"/>
  <c r="AE1173" i="4"/>
  <c r="AE1177" i="4" s="1"/>
  <c r="AE1494" i="4" s="1"/>
  <c r="AE1260" i="4"/>
  <c r="AP1173" i="4"/>
  <c r="AP1177" i="4" s="1"/>
  <c r="AP1494" i="4" s="1"/>
  <c r="AP1260" i="4"/>
  <c r="AL1173" i="4"/>
  <c r="AL1177" i="4" s="1"/>
  <c r="AL1494" i="4" s="1"/>
  <c r="AL1260" i="4"/>
  <c r="R1173" i="4"/>
  <c r="R1177" i="4" s="1"/>
  <c r="R1494" i="4" s="1"/>
  <c r="R1260" i="4"/>
  <c r="AJ1173" i="4"/>
  <c r="AJ1177" i="4" s="1"/>
  <c r="AJ1494" i="4" s="1"/>
  <c r="AJ1260" i="4"/>
  <c r="AR1173" i="4"/>
  <c r="AR1177" i="4" s="1"/>
  <c r="AR1494" i="4" s="1"/>
  <c r="AR1260" i="4"/>
  <c r="Y1173" i="4"/>
  <c r="Y1177" i="4" s="1"/>
  <c r="Y1494" i="4" s="1"/>
  <c r="Y1260" i="4"/>
  <c r="T1173" i="4"/>
  <c r="T1177" i="4" s="1"/>
  <c r="T1494" i="4" s="1"/>
  <c r="T1260" i="4"/>
  <c r="O1173" i="4"/>
  <c r="O1177" i="4" s="1"/>
  <c r="O1494" i="4" s="1"/>
  <c r="O1260" i="4"/>
  <c r="P1173" i="4"/>
  <c r="P1177" i="4" s="1"/>
  <c r="P1494" i="4" s="1"/>
  <c r="P1260" i="4"/>
  <c r="Z1173" i="4"/>
  <c r="Z1177" i="4" s="1"/>
  <c r="Z1494" i="4" s="1"/>
  <c r="Z1260" i="4"/>
  <c r="AH1173" i="4"/>
  <c r="AH1177" i="4" s="1"/>
  <c r="AH1494" i="4" s="1"/>
  <c r="AH1260" i="4"/>
  <c r="AO1173" i="4"/>
  <c r="AO1177" i="4" s="1"/>
  <c r="AO1494" i="4" s="1"/>
  <c r="AO1260" i="4"/>
  <c r="Q1173" i="4"/>
  <c r="Q1177" i="4" s="1"/>
  <c r="Q1494" i="4" s="1"/>
  <c r="Q1260" i="4"/>
  <c r="AU1173" i="4"/>
  <c r="AU1177" i="4" s="1"/>
  <c r="AU1494" i="4" s="1"/>
  <c r="AU1260" i="4"/>
  <c r="W1173" i="4"/>
  <c r="W1177" i="4" s="1"/>
  <c r="W1494" i="4" s="1"/>
  <c r="W1260" i="4"/>
  <c r="AM1173" i="4"/>
  <c r="AM1177" i="4" s="1"/>
  <c r="AM1494" i="4" s="1"/>
  <c r="AM1260" i="4"/>
  <c r="AG1173" i="4"/>
  <c r="AG1177" i="4" s="1"/>
  <c r="AG1494" i="4" s="1"/>
  <c r="AG1260" i="4"/>
  <c r="S1173" i="4"/>
  <c r="S1177" i="4" s="1"/>
  <c r="S1494" i="4" s="1"/>
  <c r="S1260" i="4"/>
  <c r="AV1173" i="4"/>
  <c r="AV1177" i="4" s="1"/>
  <c r="AV1494" i="4" s="1"/>
  <c r="AV1260" i="4"/>
  <c r="M1173" i="4"/>
  <c r="M1177" i="4" s="1"/>
  <c r="M1494" i="4" s="1"/>
  <c r="M1260" i="4"/>
  <c r="V1173" i="4"/>
  <c r="V1177" i="4" s="1"/>
  <c r="V1494" i="4" s="1"/>
  <c r="V1260" i="4"/>
  <c r="AW1173" i="4"/>
  <c r="AW1177" i="4" s="1"/>
  <c r="AW1494" i="4" s="1"/>
  <c r="AW1260" i="4"/>
  <c r="AI1173" i="4"/>
  <c r="AI1177" i="4" s="1"/>
  <c r="AI1494" i="4" s="1"/>
  <c r="AI1260" i="4"/>
  <c r="N1173" i="4"/>
  <c r="N1177" i="4" s="1"/>
  <c r="N1494" i="4" s="1"/>
  <c r="N1260" i="4"/>
  <c r="L1173" i="4"/>
  <c r="L1177" i="4" s="1"/>
  <c r="L1494" i="4" s="1"/>
  <c r="L1260" i="4"/>
  <c r="X1173" i="4"/>
  <c r="X1177" i="4" s="1"/>
  <c r="X1494" i="4" s="1"/>
  <c r="X1260" i="4"/>
  <c r="AQ1173" i="4"/>
  <c r="AQ1177" i="4" s="1"/>
  <c r="AQ1494" i="4" s="1"/>
  <c r="AQ1260" i="4"/>
  <c r="AT1173" i="4"/>
  <c r="AT1177" i="4" s="1"/>
  <c r="AT1494" i="4" s="1"/>
  <c r="AT1260" i="4"/>
  <c r="AK1173" i="4"/>
  <c r="AK1177" i="4" s="1"/>
  <c r="AK1494" i="4" s="1"/>
  <c r="AK1260" i="4"/>
  <c r="U1173" i="4"/>
  <c r="U1177" i="4" s="1"/>
  <c r="U1494" i="4" s="1"/>
  <c r="U1260" i="4"/>
  <c r="AF1173" i="4"/>
  <c r="AF1177" i="4" s="1"/>
  <c r="AF1494" i="4" s="1"/>
  <c r="AF1260" i="4"/>
  <c r="AZ1184" i="4"/>
  <c r="AZ29" i="4"/>
  <c r="AZ295" i="4" s="1"/>
  <c r="AZ303" i="4" s="1"/>
  <c r="AZ1160" i="4"/>
  <c r="AZ355" i="3"/>
  <c r="AZ241" i="4" s="1"/>
  <c r="AZ1409" i="4"/>
  <c r="AZ299" i="3"/>
  <c r="AZ186" i="4" s="1"/>
  <c r="AZ195" i="4" s="1"/>
  <c r="AZ218" i="3"/>
  <c r="AZ135" i="4" s="1"/>
  <c r="AZ140" i="4" s="1"/>
  <c r="AZ141" i="4" s="1"/>
  <c r="AZ8" i="4"/>
  <c r="AZ19" i="4" s="1"/>
  <c r="AZ20" i="4" s="1"/>
  <c r="AZ8" i="11"/>
  <c r="AZ217" i="3"/>
  <c r="AZ134" i="4" s="1"/>
  <c r="AZ139" i="4" s="1"/>
  <c r="AZ186" i="3"/>
  <c r="AZ123" i="4" s="1"/>
  <c r="AZ128" i="4" s="1"/>
  <c r="AZ129" i="4" s="1"/>
  <c r="AZ297" i="3"/>
  <c r="AZ184" i="4" s="1"/>
  <c r="AZ193" i="4" s="1"/>
  <c r="AZ296" i="3"/>
  <c r="AZ183" i="4" s="1"/>
  <c r="AZ241" i="3"/>
  <c r="AZ146" i="4" s="1"/>
  <c r="AZ151" i="4" s="1"/>
  <c r="AZ8" i="66"/>
  <c r="AZ8" i="64"/>
  <c r="AZ298" i="3"/>
  <c r="AZ185" i="4" s="1"/>
  <c r="AZ194" i="4" s="1"/>
  <c r="AZ198" i="4" s="1"/>
  <c r="AZ242" i="3"/>
  <c r="AZ147" i="4" s="1"/>
  <c r="AZ152" i="4" s="1"/>
  <c r="AZ8" i="62"/>
  <c r="AZ54" i="62" s="1"/>
  <c r="AZ1183" i="4"/>
  <c r="AZ240" i="3"/>
  <c r="AZ145" i="4" s="1"/>
  <c r="AZ330" i="3"/>
  <c r="AZ219" i="4" s="1"/>
  <c r="AZ224" i="4" s="1"/>
  <c r="AZ356" i="3"/>
  <c r="AZ242" i="4" s="1"/>
  <c r="AZ247" i="4" s="1"/>
  <c r="AZ28" i="4"/>
  <c r="AZ185" i="3"/>
  <c r="AZ122" i="4" s="1"/>
  <c r="AZ127" i="4" s="1"/>
  <c r="AZ184" i="3"/>
  <c r="AZ121" i="4" s="1"/>
  <c r="AZ126" i="4" s="1"/>
  <c r="AZ329" i="3"/>
  <c r="AZ218" i="4" s="1"/>
  <c r="AZ223" i="4" s="1"/>
  <c r="AZ216" i="3"/>
  <c r="AZ133" i="4" s="1"/>
  <c r="AZ331" i="3"/>
  <c r="AZ220" i="4" s="1"/>
  <c r="AZ225" i="4" s="1"/>
  <c r="AZ226" i="4" s="1"/>
  <c r="AZ301" i="3"/>
  <c r="AZ188" i="4" s="1"/>
  <c r="AZ197" i="4" s="1"/>
  <c r="AZ357" i="3"/>
  <c r="AZ243" i="4" s="1"/>
  <c r="AZ248" i="4" s="1"/>
  <c r="AZ249" i="4" s="1"/>
  <c r="AZ1447" i="4"/>
  <c r="AZ300" i="3"/>
  <c r="AZ187" i="4" s="1"/>
  <c r="AZ196" i="4" s="1"/>
  <c r="AZ75" i="4"/>
  <c r="AY15" i="66"/>
  <c r="AP76" i="4"/>
  <c r="AT83" i="4"/>
  <c r="AW76" i="4"/>
  <c r="AC76" i="4"/>
  <c r="AX83" i="4"/>
  <c r="AO76" i="4"/>
  <c r="P76" i="4"/>
  <c r="AO83" i="4"/>
  <c r="AJ83" i="4"/>
  <c r="AR83" i="4"/>
  <c r="AK76" i="4"/>
  <c r="AU76" i="4"/>
  <c r="AG83" i="4"/>
  <c r="AH76" i="4"/>
  <c r="R83" i="4"/>
  <c r="N76" i="4"/>
  <c r="AA83" i="4"/>
  <c r="AE76" i="4"/>
  <c r="AD76" i="4"/>
  <c r="AD83" i="4"/>
  <c r="Y76" i="4"/>
  <c r="AQ83" i="4"/>
  <c r="AW83" i="4"/>
  <c r="AL83" i="4"/>
  <c r="AA76" i="4"/>
  <c r="Z83" i="4"/>
  <c r="X76" i="4"/>
  <c r="AQ76" i="4"/>
  <c r="N83" i="4"/>
  <c r="AR76" i="4"/>
  <c r="AB83" i="4"/>
  <c r="AU83" i="4"/>
  <c r="AH83" i="4"/>
  <c r="T83" i="4"/>
  <c r="AN76" i="4"/>
  <c r="S76" i="4"/>
  <c r="P83" i="4"/>
  <c r="AK83" i="4"/>
  <c r="AI76" i="4"/>
  <c r="U83" i="4"/>
  <c r="AC83" i="4"/>
  <c r="O76" i="4"/>
  <c r="AF83" i="4"/>
  <c r="AV76" i="4"/>
  <c r="Y83" i="4"/>
  <c r="AM83" i="4"/>
  <c r="M83" i="4"/>
  <c r="M84" i="4" s="1"/>
  <c r="AV83" i="4"/>
  <c r="AI83" i="4"/>
  <c r="Q83" i="4"/>
  <c r="AG76" i="4"/>
  <c r="AJ76" i="4"/>
  <c r="T76" i="4"/>
  <c r="V76" i="4"/>
  <c r="AA88" i="4"/>
  <c r="AC88" i="4"/>
  <c r="AB88" i="4"/>
  <c r="AS76" i="4"/>
  <c r="AX76" i="4"/>
  <c r="Q76" i="4"/>
  <c r="R76" i="4"/>
  <c r="W83" i="4"/>
  <c r="Z76" i="4"/>
  <c r="O83" i="4"/>
  <c r="X83" i="4"/>
  <c r="V83" i="4"/>
  <c r="AM76" i="4"/>
  <c r="AB76" i="4"/>
  <c r="AP83" i="4"/>
  <c r="AN83" i="4"/>
  <c r="AS83" i="4"/>
  <c r="AF76" i="4"/>
  <c r="AL76" i="4"/>
  <c r="S83" i="4"/>
  <c r="W76" i="4"/>
  <c r="U76" i="4"/>
  <c r="AT76" i="4"/>
  <c r="M76" i="4"/>
  <c r="M77" i="4" s="1"/>
  <c r="M78" i="4"/>
  <c r="N78" i="4" s="1"/>
  <c r="O78" i="4" s="1"/>
  <c r="P78" i="4" s="1"/>
  <c r="Q78" i="4" s="1"/>
  <c r="R78" i="4" s="1"/>
  <c r="S78" i="4" s="1"/>
  <c r="T78" i="4" s="1"/>
  <c r="U78" i="4" s="1"/>
  <c r="V78" i="4" s="1"/>
  <c r="W78" i="4" s="1"/>
  <c r="X78" i="4" s="1"/>
  <c r="Y78" i="4" s="1"/>
  <c r="Z78" i="4" s="1"/>
  <c r="AA78" i="4" s="1"/>
  <c r="AB78" i="4" s="1"/>
  <c r="AC78" i="4" s="1"/>
  <c r="AD78" i="4" s="1"/>
  <c r="AE78" i="4" s="1"/>
  <c r="AF78" i="4" s="1"/>
  <c r="AG78" i="4" s="1"/>
  <c r="AH78" i="4" s="1"/>
  <c r="AI78" i="4" s="1"/>
  <c r="AJ78" i="4" s="1"/>
  <c r="AK78" i="4" s="1"/>
  <c r="AL78" i="4" s="1"/>
  <c r="AM78" i="4" s="1"/>
  <c r="AN78" i="4" s="1"/>
  <c r="AO78" i="4" s="1"/>
  <c r="AP78" i="4" s="1"/>
  <c r="AQ78" i="4" s="1"/>
  <c r="AR78" i="4" s="1"/>
  <c r="AS78" i="4" s="1"/>
  <c r="AT78" i="4" s="1"/>
  <c r="AU78" i="4" s="1"/>
  <c r="AV78" i="4" s="1"/>
  <c r="AW78" i="4" s="1"/>
  <c r="AX78" i="4" s="1"/>
  <c r="AY78" i="4" s="1"/>
  <c r="AY1036" i="4"/>
  <c r="AX544" i="4"/>
  <c r="AY54" i="4"/>
  <c r="AY65" i="4" s="1"/>
  <c r="AY9" i="3"/>
  <c r="AY34" i="66"/>
  <c r="AY76" i="4"/>
  <c r="AY9" i="64"/>
  <c r="AY61" i="4"/>
  <c r="AY318" i="4" s="1"/>
  <c r="AY287" i="4"/>
  <c r="AY324" i="4" s="1"/>
  <c r="CJ1523" i="4"/>
  <c r="CJ1524" i="4" s="1"/>
  <c r="CJ1429" i="4"/>
  <c r="CK1392" i="4"/>
  <c r="AY9" i="4"/>
  <c r="AY9" i="11"/>
  <c r="BA86" i="64"/>
  <c r="BA87" i="64" s="1"/>
  <c r="BA7" i="64"/>
  <c r="BA6" i="64" s="1"/>
  <c r="BA28" i="64" s="1"/>
  <c r="BA30" i="64" s="1"/>
  <c r="BA53" i="64" s="1"/>
  <c r="BA7" i="66"/>
  <c r="BA6" i="66" s="1"/>
  <c r="BA6" i="3"/>
  <c r="BA7" i="62"/>
  <c r="BA6" i="62" s="1"/>
  <c r="BA7" i="11"/>
  <c r="BA6" i="11" s="1"/>
  <c r="BA8" i="3"/>
  <c r="BA7" i="4"/>
  <c r="AY130" i="4"/>
  <c r="AY142" i="4"/>
  <c r="AY83" i="4"/>
  <c r="AY39" i="4"/>
  <c r="AZ1157" i="4"/>
  <c r="AY40" i="4"/>
  <c r="AY44" i="4"/>
  <c r="AY154" i="4"/>
  <c r="AY43" i="4"/>
  <c r="AY642" i="3"/>
  <c r="AY42" i="4"/>
  <c r="AZ824" i="4"/>
  <c r="AY250" i="4"/>
  <c r="AY41" i="4"/>
  <c r="AY227" i="4"/>
  <c r="AY60" i="62"/>
  <c r="AY199" i="4"/>
  <c r="AW739" i="4"/>
  <c r="AZ138" i="4"/>
  <c r="AZ246" i="4"/>
  <c r="AX713" i="4"/>
  <c r="AY9" i="66"/>
  <c r="AY9" i="62"/>
  <c r="AY528" i="4"/>
  <c r="AZ18" i="4"/>
  <c r="AZ60" i="4"/>
  <c r="AY24" i="4"/>
  <c r="AY88" i="4" s="1"/>
  <c r="AY1260" i="4" s="1"/>
  <c r="AY540" i="4"/>
  <c r="AZ273" i="4"/>
  <c r="AZ1242" i="4"/>
  <c r="AZ1243" i="4"/>
  <c r="AZ274" i="4"/>
  <c r="AZ335" i="4" s="1"/>
  <c r="AZ21" i="4"/>
  <c r="AY22" i="4"/>
  <c r="BA16" i="4" l="1"/>
  <c r="AZ28" i="66"/>
  <c r="AZ1151" i="4"/>
  <c r="AZ1263" i="4"/>
  <c r="AZ27" i="66"/>
  <c r="AZ66" i="4"/>
  <c r="AZ68" i="4"/>
  <c r="AZ543" i="4"/>
  <c r="AZ62" i="4"/>
  <c r="AZ70" i="4"/>
  <c r="L1109" i="4"/>
  <c r="L1110" i="4" s="1"/>
  <c r="L1111" i="4" s="1"/>
  <c r="L985" i="4" s="1"/>
  <c r="L954" i="4"/>
  <c r="L952" i="4"/>
  <c r="L953" i="4"/>
  <c r="L895" i="4"/>
  <c r="L973" i="4" s="1"/>
  <c r="L296" i="4" s="1"/>
  <c r="L951" i="4"/>
  <c r="L939" i="4"/>
  <c r="L955" i="4"/>
  <c r="L948" i="4"/>
  <c r="L946" i="4"/>
  <c r="L947" i="4"/>
  <c r="L938" i="4"/>
  <c r="L937" i="4"/>
  <c r="L936" i="4"/>
  <c r="L744" i="4"/>
  <c r="L743" i="4"/>
  <c r="L745" i="4"/>
  <c r="AZ530" i="4"/>
  <c r="AZ67" i="4"/>
  <c r="AZ1042" i="4" s="1"/>
  <c r="AZ57" i="4"/>
  <c r="AZ9" i="62" s="1"/>
  <c r="AY63" i="4"/>
  <c r="AY1389" i="4" s="1"/>
  <c r="AZ54" i="11"/>
  <c r="L210" i="4"/>
  <c r="L234" i="4"/>
  <c r="L256" i="4"/>
  <c r="L206" i="4"/>
  <c r="L257" i="4"/>
  <c r="L254" i="4"/>
  <c r="L208" i="4"/>
  <c r="L207" i="4"/>
  <c r="L269" i="4" s="1"/>
  <c r="L283" i="4" s="1"/>
  <c r="L231" i="4"/>
  <c r="L205" i="4"/>
  <c r="L232" i="4"/>
  <c r="L233" i="4"/>
  <c r="L209" i="4"/>
  <c r="L204" i="4"/>
  <c r="L255" i="4"/>
  <c r="L211" i="4"/>
  <c r="L174" i="4"/>
  <c r="L173" i="4"/>
  <c r="L175" i="4"/>
  <c r="L176" i="4"/>
  <c r="L168" i="4"/>
  <c r="L160" i="4"/>
  <c r="L167" i="4"/>
  <c r="L159" i="4"/>
  <c r="L166" i="4"/>
  <c r="L161" i="4"/>
  <c r="L169" i="4"/>
  <c r="L162" i="4"/>
  <c r="AZ1129" i="4"/>
  <c r="AZ58" i="4"/>
  <c r="AZ17" i="4"/>
  <c r="AB1173" i="4"/>
  <c r="AB1177" i="4" s="1"/>
  <c r="AB1494" i="4" s="1"/>
  <c r="AB1260" i="4"/>
  <c r="AC1173" i="4"/>
  <c r="AC1177" i="4" s="1"/>
  <c r="AC1494" i="4" s="1"/>
  <c r="AC1260" i="4"/>
  <c r="AA1173" i="4"/>
  <c r="AA1177" i="4" s="1"/>
  <c r="AA1494" i="4" s="1"/>
  <c r="AA1260" i="4"/>
  <c r="AY53" i="4"/>
  <c r="AZ37" i="4"/>
  <c r="AZ44" i="4" s="1"/>
  <c r="AZ51" i="4" s="1"/>
  <c r="AZ32" i="4"/>
  <c r="AZ39" i="4" s="1"/>
  <c r="AZ46" i="4" s="1"/>
  <c r="AZ34" i="4"/>
  <c r="AZ41" i="4" s="1"/>
  <c r="AZ35" i="4"/>
  <c r="AZ42" i="4" s="1"/>
  <c r="AZ150" i="4"/>
  <c r="AZ153" i="4" s="1"/>
  <c r="AZ192" i="4"/>
  <c r="AZ199" i="4" s="1"/>
  <c r="AZ36" i="4"/>
  <c r="AZ43" i="4" s="1"/>
  <c r="AZ50" i="4" s="1"/>
  <c r="AZ713" i="4" s="1"/>
  <c r="AZ33" i="4"/>
  <c r="AZ40" i="4" s="1"/>
  <c r="AZ47" i="4" s="1"/>
  <c r="O1109" i="4"/>
  <c r="O1110" i="4" s="1"/>
  <c r="O1111" i="4" s="1"/>
  <c r="O985" i="4" s="1"/>
  <c r="O946" i="4"/>
  <c r="O937" i="4"/>
  <c r="O952" i="4"/>
  <c r="O936" i="4"/>
  <c r="O938" i="4"/>
  <c r="O954" i="4"/>
  <c r="O939" i="4"/>
  <c r="O947" i="4"/>
  <c r="O953" i="4"/>
  <c r="O955" i="4"/>
  <c r="O948" i="4"/>
  <c r="O951" i="4"/>
  <c r="O895" i="4"/>
  <c r="O973" i="4" s="1"/>
  <c r="O296" i="4" s="1"/>
  <c r="O743" i="4"/>
  <c r="O744" i="4"/>
  <c r="O745" i="4"/>
  <c r="P79" i="4"/>
  <c r="M210" i="4"/>
  <c r="M211" i="4"/>
  <c r="M234" i="4"/>
  <c r="M208" i="4"/>
  <c r="M209" i="4"/>
  <c r="M257" i="4"/>
  <c r="M205" i="4"/>
  <c r="M232" i="4"/>
  <c r="M233" i="4"/>
  <c r="M204" i="4"/>
  <c r="M255" i="4"/>
  <c r="M206" i="4"/>
  <c r="M207" i="4"/>
  <c r="M269" i="4" s="1"/>
  <c r="M254" i="4"/>
  <c r="M231" i="4"/>
  <c r="M256" i="4"/>
  <c r="M167" i="4"/>
  <c r="M174" i="4"/>
  <c r="M175" i="4"/>
  <c r="M166" i="4"/>
  <c r="M173" i="4"/>
  <c r="M160" i="4"/>
  <c r="M161" i="4"/>
  <c r="M168" i="4"/>
  <c r="M159" i="4"/>
  <c r="M169" i="4"/>
  <c r="M176" i="4"/>
  <c r="M162" i="4"/>
  <c r="N1109" i="4"/>
  <c r="N1110" i="4" s="1"/>
  <c r="N1111" i="4" s="1"/>
  <c r="N985" i="4" s="1"/>
  <c r="N952" i="4"/>
  <c r="N953" i="4"/>
  <c r="N955" i="4"/>
  <c r="N951" i="4"/>
  <c r="N947" i="4"/>
  <c r="N938" i="4"/>
  <c r="N939" i="4"/>
  <c r="N895" i="4"/>
  <c r="N973" i="4" s="1"/>
  <c r="N296" i="4" s="1"/>
  <c r="N946" i="4"/>
  <c r="N937" i="4"/>
  <c r="N948" i="4"/>
  <c r="N954" i="4"/>
  <c r="N936" i="4"/>
  <c r="N744" i="4"/>
  <c r="N743" i="4"/>
  <c r="N745" i="4"/>
  <c r="N84" i="4"/>
  <c r="O84" i="4" s="1"/>
  <c r="P84" i="4" s="1"/>
  <c r="Q84" i="4" s="1"/>
  <c r="R84" i="4" s="1"/>
  <c r="S84" i="4" s="1"/>
  <c r="T84" i="4" s="1"/>
  <c r="U84" i="4" s="1"/>
  <c r="V84" i="4" s="1"/>
  <c r="W84" i="4" s="1"/>
  <c r="X84" i="4" s="1"/>
  <c r="Y84" i="4" s="1"/>
  <c r="Z84" i="4" s="1"/>
  <c r="AA84" i="4" s="1"/>
  <c r="AB84" i="4" s="1"/>
  <c r="AC84" i="4" s="1"/>
  <c r="AD84" i="4" s="1"/>
  <c r="AE84" i="4" s="1"/>
  <c r="AF84" i="4" s="1"/>
  <c r="AG84" i="4" s="1"/>
  <c r="AH84" i="4" s="1"/>
  <c r="AI84" i="4" s="1"/>
  <c r="AJ84" i="4" s="1"/>
  <c r="AK84" i="4" s="1"/>
  <c r="AL84" i="4" s="1"/>
  <c r="AM84" i="4" s="1"/>
  <c r="AN84" i="4" s="1"/>
  <c r="AO84" i="4" s="1"/>
  <c r="AP84" i="4" s="1"/>
  <c r="AQ84" i="4" s="1"/>
  <c r="AR84" i="4" s="1"/>
  <c r="AS84" i="4" s="1"/>
  <c r="AT84" i="4" s="1"/>
  <c r="AU84" i="4" s="1"/>
  <c r="AV84" i="4" s="1"/>
  <c r="AW84" i="4" s="1"/>
  <c r="AX84" i="4" s="1"/>
  <c r="AY84" i="4" s="1"/>
  <c r="M1109" i="4"/>
  <c r="M1110" i="4" s="1"/>
  <c r="M1111" i="4" s="1"/>
  <c r="M985" i="4" s="1"/>
  <c r="M953" i="4"/>
  <c r="M954" i="4"/>
  <c r="M952" i="4"/>
  <c r="M938" i="4"/>
  <c r="M947" i="4"/>
  <c r="M937" i="4"/>
  <c r="M936" i="4"/>
  <c r="M955" i="4"/>
  <c r="M948" i="4"/>
  <c r="M939" i="4"/>
  <c r="M946" i="4"/>
  <c r="M951" i="4"/>
  <c r="M895" i="4"/>
  <c r="M973" i="4" s="1"/>
  <c r="M296" i="4" s="1"/>
  <c r="M743" i="4"/>
  <c r="M744" i="4"/>
  <c r="M745" i="4"/>
  <c r="N85" i="4"/>
  <c r="N77" i="4"/>
  <c r="O77" i="4" s="1"/>
  <c r="P77" i="4" s="1"/>
  <c r="Q77" i="4" s="1"/>
  <c r="R77" i="4" s="1"/>
  <c r="S77" i="4" s="1"/>
  <c r="T77" i="4" s="1"/>
  <c r="U77" i="4" s="1"/>
  <c r="V77" i="4" s="1"/>
  <c r="W77" i="4" s="1"/>
  <c r="X77" i="4" s="1"/>
  <c r="Y77" i="4" s="1"/>
  <c r="Z77" i="4" s="1"/>
  <c r="AA77" i="4" s="1"/>
  <c r="AB77" i="4" s="1"/>
  <c r="AC77" i="4" s="1"/>
  <c r="AD77" i="4" s="1"/>
  <c r="AE77" i="4" s="1"/>
  <c r="AF77" i="4" s="1"/>
  <c r="AG77" i="4" s="1"/>
  <c r="AH77" i="4" s="1"/>
  <c r="AI77" i="4" s="1"/>
  <c r="AJ77" i="4" s="1"/>
  <c r="AK77" i="4" s="1"/>
  <c r="AL77" i="4" s="1"/>
  <c r="AM77" i="4" s="1"/>
  <c r="AN77" i="4" s="1"/>
  <c r="AO77" i="4" s="1"/>
  <c r="AP77" i="4" s="1"/>
  <c r="AQ77" i="4" s="1"/>
  <c r="AR77" i="4" s="1"/>
  <c r="AS77" i="4" s="1"/>
  <c r="AT77" i="4" s="1"/>
  <c r="AU77" i="4" s="1"/>
  <c r="AV77" i="4" s="1"/>
  <c r="AW77" i="4" s="1"/>
  <c r="AX77" i="4" s="1"/>
  <c r="AY77" i="4" s="1"/>
  <c r="AZ15" i="66"/>
  <c r="BB7" i="3"/>
  <c r="BB7" i="66" s="1"/>
  <c r="BB6" i="66" s="1"/>
  <c r="AY1173" i="4"/>
  <c r="AY1177" i="4" s="1"/>
  <c r="AY1494" i="4" s="1"/>
  <c r="AZ1036" i="4"/>
  <c r="AY53" i="62"/>
  <c r="AY542" i="4"/>
  <c r="AY544" i="4" s="1"/>
  <c r="AY55" i="4"/>
  <c r="AX56" i="4"/>
  <c r="BA186" i="3"/>
  <c r="BA123" i="4" s="1"/>
  <c r="BA128" i="4" s="1"/>
  <c r="BA301" i="3"/>
  <c r="BA188" i="4" s="1"/>
  <c r="BA197" i="4" s="1"/>
  <c r="BA216" i="3"/>
  <c r="BA1447" i="4"/>
  <c r="BA330" i="3"/>
  <c r="BA219" i="4" s="1"/>
  <c r="BA224" i="4" s="1"/>
  <c r="BA241" i="3"/>
  <c r="BA146" i="4" s="1"/>
  <c r="BA151" i="4" s="1"/>
  <c r="BA314" i="4"/>
  <c r="BA273" i="4" s="1"/>
  <c r="BA331" i="3"/>
  <c r="BA220" i="4" s="1"/>
  <c r="BA225" i="4" s="1"/>
  <c r="BA226" i="4" s="1"/>
  <c r="BA185" i="3"/>
  <c r="BA355" i="3"/>
  <c r="BA241" i="4" s="1"/>
  <c r="BA357" i="3"/>
  <c r="BA242" i="3"/>
  <c r="BA217" i="3"/>
  <c r="BA134" i="4" s="1"/>
  <c r="BA139" i="4" s="1"/>
  <c r="BA240" i="3"/>
  <c r="BA145" i="4" s="1"/>
  <c r="BA300" i="3"/>
  <c r="BA187" i="4" s="1"/>
  <c r="BA196" i="4" s="1"/>
  <c r="BA356" i="3"/>
  <c r="BA242" i="4" s="1"/>
  <c r="BA247" i="4" s="1"/>
  <c r="BA329" i="3"/>
  <c r="BA218" i="3"/>
  <c r="BA135" i="4" s="1"/>
  <c r="BA140" i="4" s="1"/>
  <c r="BA296" i="3"/>
  <c r="BA299" i="3"/>
  <c r="BA297" i="3"/>
  <c r="BA184" i="4" s="1"/>
  <c r="BA193" i="4" s="1"/>
  <c r="BA184" i="3"/>
  <c r="BA121" i="4" s="1"/>
  <c r="BA298" i="3"/>
  <c r="BA185" i="4" s="1"/>
  <c r="BA194" i="4" s="1"/>
  <c r="AY328" i="4"/>
  <c r="AZ76" i="4"/>
  <c r="CL1392" i="4"/>
  <c r="CK1429" i="4"/>
  <c r="CK1523" i="4"/>
  <c r="CK1524" i="4" s="1"/>
  <c r="AZ528" i="4"/>
  <c r="AZ9" i="3"/>
  <c r="AZ142" i="4"/>
  <c r="AY200" i="4"/>
  <c r="AY48" i="4"/>
  <c r="AZ78" i="4"/>
  <c r="AZ130" i="4"/>
  <c r="AY47" i="4"/>
  <c r="AX714" i="4"/>
  <c r="AX731" i="4"/>
  <c r="AX732" i="4"/>
  <c r="AZ22" i="4"/>
  <c r="BA21" i="4"/>
  <c r="AZ24" i="4"/>
  <c r="AZ88" i="4" s="1"/>
  <c r="AZ1260" i="4" s="1"/>
  <c r="AY688" i="4"/>
  <c r="AY1041" i="4"/>
  <c r="BA6" i="4"/>
  <c r="BA15" i="4"/>
  <c r="AZ288" i="4"/>
  <c r="AZ329" i="4" s="1"/>
  <c r="AZ414" i="4" s="1"/>
  <c r="AZ415" i="4" s="1"/>
  <c r="BA413" i="4" s="1"/>
  <c r="AZ83" i="4"/>
  <c r="AZ227" i="4"/>
  <c r="AZ48" i="4"/>
  <c r="BA1183" i="4"/>
  <c r="BA1160" i="4"/>
  <c r="BA8" i="66"/>
  <c r="BA29" i="4"/>
  <c r="BA1158" i="4"/>
  <c r="BA1159" i="4" s="1"/>
  <c r="BA8" i="11"/>
  <c r="BA28" i="4"/>
  <c r="BA243" i="4"/>
  <c r="BA248" i="4" s="1"/>
  <c r="BA1409" i="4"/>
  <c r="BA30" i="4"/>
  <c r="BA529" i="4" s="1"/>
  <c r="BA8" i="62"/>
  <c r="BA1156" i="4"/>
  <c r="BA1184" i="4"/>
  <c r="BA183" i="4"/>
  <c r="BA8" i="64"/>
  <c r="BA133" i="4"/>
  <c r="BA8" i="4"/>
  <c r="AZ49" i="4"/>
  <c r="AZ9" i="4"/>
  <c r="AZ540" i="4"/>
  <c r="AY49" i="4"/>
  <c r="AY46" i="4"/>
  <c r="AZ34" i="66"/>
  <c r="AZ287" i="4"/>
  <c r="AZ324" i="4" s="1"/>
  <c r="AZ9" i="66"/>
  <c r="AZ250" i="4"/>
  <c r="AY50" i="4"/>
  <c r="AY51" i="4"/>
  <c r="AZ642" i="3" l="1"/>
  <c r="L268" i="4"/>
  <c r="L282" i="4" s="1"/>
  <c r="AZ9" i="64"/>
  <c r="L163" i="4"/>
  <c r="BB7" i="64"/>
  <c r="BB6" i="64" s="1"/>
  <c r="BB28" i="64" s="1"/>
  <c r="BB30" i="64" s="1"/>
  <c r="BB53" i="64" s="1"/>
  <c r="BB7" i="11"/>
  <c r="BB6" i="11" s="1"/>
  <c r="AZ60" i="62"/>
  <c r="L177" i="4"/>
  <c r="L267" i="4"/>
  <c r="L281" i="4" s="1"/>
  <c r="L754" i="4"/>
  <c r="L746" i="4"/>
  <c r="L258" i="4"/>
  <c r="L271" i="4"/>
  <c r="L285" i="4" s="1"/>
  <c r="L170" i="4"/>
  <c r="L266" i="4"/>
  <c r="L280" i="4" s="1"/>
  <c r="L270" i="4"/>
  <c r="L284" i="4" s="1"/>
  <c r="L235" i="4"/>
  <c r="L265" i="4"/>
  <c r="L212" i="4"/>
  <c r="L942" i="4"/>
  <c r="L940" i="4"/>
  <c r="L943" i="4"/>
  <c r="L941" i="4"/>
  <c r="AZ9" i="11"/>
  <c r="AZ54" i="4"/>
  <c r="AZ55" i="4" s="1"/>
  <c r="AZ154" i="4"/>
  <c r="BB6" i="3"/>
  <c r="BB8" i="3"/>
  <c r="BB7" i="62"/>
  <c r="BB6" i="62" s="1"/>
  <c r="BB7" i="4"/>
  <c r="BB86" i="64"/>
  <c r="BB87" i="64" s="1"/>
  <c r="BA274" i="4"/>
  <c r="BA335" i="4" s="1"/>
  <c r="BA1036" i="4" s="1"/>
  <c r="BA75" i="4"/>
  <c r="BA82" i="4"/>
  <c r="O746" i="4"/>
  <c r="M271" i="4"/>
  <c r="M258" i="4"/>
  <c r="M267" i="4"/>
  <c r="M177" i="4"/>
  <c r="M283" i="4"/>
  <c r="O942" i="4"/>
  <c r="O941" i="4"/>
  <c r="O943" i="4"/>
  <c r="O940" i="4"/>
  <c r="N746" i="4"/>
  <c r="M266" i="4"/>
  <c r="M170" i="4"/>
  <c r="N754" i="4"/>
  <c r="M235" i="4"/>
  <c r="M270" i="4"/>
  <c r="AZ84" i="4"/>
  <c r="M268" i="4"/>
  <c r="M212" i="4"/>
  <c r="P1109" i="4"/>
  <c r="P1110" i="4" s="1"/>
  <c r="P1111" i="4" s="1"/>
  <c r="P985" i="4" s="1"/>
  <c r="P895" i="4"/>
  <c r="P973" i="4" s="1"/>
  <c r="P296" i="4" s="1"/>
  <c r="P948" i="4"/>
  <c r="P955" i="4"/>
  <c r="P954" i="4"/>
  <c r="P946" i="4"/>
  <c r="P938" i="4"/>
  <c r="P951" i="4"/>
  <c r="P939" i="4"/>
  <c r="P936" i="4"/>
  <c r="P947" i="4"/>
  <c r="P952" i="4"/>
  <c r="P953" i="4"/>
  <c r="P937" i="4"/>
  <c r="P743" i="4"/>
  <c r="P744" i="4"/>
  <c r="P745" i="4"/>
  <c r="Q79" i="4"/>
  <c r="AZ77" i="4"/>
  <c r="N207" i="4"/>
  <c r="N269" i="4" s="1"/>
  <c r="N256" i="4"/>
  <c r="N254" i="4"/>
  <c r="N208" i="4"/>
  <c r="N257" i="4"/>
  <c r="N232" i="4"/>
  <c r="N231" i="4"/>
  <c r="N204" i="4"/>
  <c r="N255" i="4"/>
  <c r="N233" i="4"/>
  <c r="N206" i="4"/>
  <c r="N205" i="4"/>
  <c r="N209" i="4"/>
  <c r="N210" i="4"/>
  <c r="N234" i="4"/>
  <c r="N211" i="4"/>
  <c r="N174" i="4"/>
  <c r="N161" i="4"/>
  <c r="N166" i="4"/>
  <c r="N175" i="4"/>
  <c r="N160" i="4"/>
  <c r="N168" i="4"/>
  <c r="N173" i="4"/>
  <c r="N159" i="4"/>
  <c r="N167" i="4"/>
  <c r="N176" i="4"/>
  <c r="N169" i="4"/>
  <c r="N162" i="4"/>
  <c r="O85" i="4"/>
  <c r="M942" i="4"/>
  <c r="M943" i="4"/>
  <c r="M940" i="4"/>
  <c r="M941" i="4"/>
  <c r="N942" i="4"/>
  <c r="N940" i="4"/>
  <c r="N941" i="4"/>
  <c r="N943" i="4"/>
  <c r="M163" i="4"/>
  <c r="M265" i="4"/>
  <c r="O754" i="4"/>
  <c r="M754" i="4"/>
  <c r="M746" i="4"/>
  <c r="BA1243" i="4"/>
  <c r="BA275" i="4"/>
  <c r="BA288" i="4" s="1"/>
  <c r="BA329" i="4" s="1"/>
  <c r="BA414" i="4" s="1"/>
  <c r="BA415" i="4" s="1"/>
  <c r="BB413" i="4" s="1"/>
  <c r="BA1242" i="4"/>
  <c r="AZ1173" i="4"/>
  <c r="AZ1177" i="4" s="1"/>
  <c r="AZ1494" i="4" s="1"/>
  <c r="BA58" i="4"/>
  <c r="AY690" i="4"/>
  <c r="AZ53" i="62"/>
  <c r="AZ65" i="4"/>
  <c r="AZ542" i="4"/>
  <c r="AZ690" i="4" s="1"/>
  <c r="AY56" i="4"/>
  <c r="BB299" i="3"/>
  <c r="BB186" i="4" s="1"/>
  <c r="BB195" i="4" s="1"/>
  <c r="BB242" i="3"/>
  <c r="BB147" i="4" s="1"/>
  <c r="BB152" i="4" s="1"/>
  <c r="BB329" i="3"/>
  <c r="BB218" i="4" s="1"/>
  <c r="BB185" i="3"/>
  <c r="BB122" i="4" s="1"/>
  <c r="BB127" i="4" s="1"/>
  <c r="BB186" i="3"/>
  <c r="BB123" i="4" s="1"/>
  <c r="BB128" i="4" s="1"/>
  <c r="BB301" i="3"/>
  <c r="BB188" i="4" s="1"/>
  <c r="BB197" i="4" s="1"/>
  <c r="AX717" i="4"/>
  <c r="AX722" i="4"/>
  <c r="AX721" i="4"/>
  <c r="AX718" i="4"/>
  <c r="BA218" i="4"/>
  <c r="BA223" i="4" s="1"/>
  <c r="BA122" i="4"/>
  <c r="BA127" i="4" s="1"/>
  <c r="BB356" i="3"/>
  <c r="BB242" i="4" s="1"/>
  <c r="BB247" i="4" s="1"/>
  <c r="BB331" i="3"/>
  <c r="BB220" i="4" s="1"/>
  <c r="BB225" i="4" s="1"/>
  <c r="BB298" i="3"/>
  <c r="BB185" i="4" s="1"/>
  <c r="BB194" i="4" s="1"/>
  <c r="BB300" i="3"/>
  <c r="BB187" i="4" s="1"/>
  <c r="BB196" i="4" s="1"/>
  <c r="BA147" i="4"/>
  <c r="BA152" i="4" s="1"/>
  <c r="BB184" i="3"/>
  <c r="BB121" i="4" s="1"/>
  <c r="BB240" i="3"/>
  <c r="BB145" i="4" s="1"/>
  <c r="BB241" i="3"/>
  <c r="BB146" i="4" s="1"/>
  <c r="BB151" i="4" s="1"/>
  <c r="BB297" i="3"/>
  <c r="BB184" i="4" s="1"/>
  <c r="BB193" i="4" s="1"/>
  <c r="BB217" i="3"/>
  <c r="BB134" i="4" s="1"/>
  <c r="BB139" i="4" s="1"/>
  <c r="BB330" i="3"/>
  <c r="BB219" i="4" s="1"/>
  <c r="BB224" i="4" s="1"/>
  <c r="BB1447" i="4"/>
  <c r="BA186" i="4"/>
  <c r="BA195" i="4" s="1"/>
  <c r="BB296" i="3"/>
  <c r="BB183" i="4" s="1"/>
  <c r="BB357" i="3"/>
  <c r="BB243" i="4" s="1"/>
  <c r="BB248" i="4" s="1"/>
  <c r="BB216" i="3"/>
  <c r="BB133" i="4" s="1"/>
  <c r="BB218" i="3"/>
  <c r="BB355" i="3"/>
  <c r="BB241" i="4" s="1"/>
  <c r="AZ53" i="4"/>
  <c r="BA57" i="4"/>
  <c r="BA9" i="4" s="1"/>
  <c r="BA1129" i="4"/>
  <c r="BA66" i="4"/>
  <c r="BA68" i="4"/>
  <c r="CL1429" i="4"/>
  <c r="CL1523" i="4"/>
  <c r="CL1524" i="4" s="1"/>
  <c r="CM1392" i="4"/>
  <c r="BA17" i="4"/>
  <c r="BA19" i="4"/>
  <c r="BA20" i="4" s="1"/>
  <c r="BA249" i="4"/>
  <c r="BA67" i="4"/>
  <c r="BA1042" i="4" s="1"/>
  <c r="BA198" i="4"/>
  <c r="BA246" i="4"/>
  <c r="BA37" i="4"/>
  <c r="BA44" i="4" s="1"/>
  <c r="BA51" i="4" s="1"/>
  <c r="BA126" i="4"/>
  <c r="BB314" i="4"/>
  <c r="BB8" i="11"/>
  <c r="BB1409" i="4"/>
  <c r="BB29" i="4"/>
  <c r="BB60" i="4" s="1"/>
  <c r="BB1156" i="4"/>
  <c r="BB1158" i="4"/>
  <c r="BB1159" i="4" s="1"/>
  <c r="BB30" i="4"/>
  <c r="BB8" i="62"/>
  <c r="BB1160" i="4"/>
  <c r="BB1183" i="4"/>
  <c r="BB28" i="4"/>
  <c r="BB8" i="66"/>
  <c r="BB8" i="4"/>
  <c r="BB8" i="64"/>
  <c r="BB1184" i="4"/>
  <c r="BA33" i="4"/>
  <c r="BA40" i="4" s="1"/>
  <c r="BA47" i="4" s="1"/>
  <c r="BA138" i="4"/>
  <c r="BA1157" i="4"/>
  <c r="BB15" i="4"/>
  <c r="BB6" i="4"/>
  <c r="AZ1041" i="4"/>
  <c r="AZ688" i="4"/>
  <c r="AZ200" i="4"/>
  <c r="BA129" i="4"/>
  <c r="BA54" i="62"/>
  <c r="BA27" i="66"/>
  <c r="BA1151" i="4"/>
  <c r="BA1263" i="4"/>
  <c r="BA28" i="66"/>
  <c r="BA295" i="4"/>
  <c r="BA303" i="4" s="1"/>
  <c r="BA60" i="4"/>
  <c r="AZ61" i="4"/>
  <c r="AZ318" i="4" s="1"/>
  <c r="AZ328" i="4" s="1"/>
  <c r="BA18" i="4"/>
  <c r="BA192" i="4"/>
  <c r="BA54" i="11"/>
  <c r="BA70" i="4"/>
  <c r="BA62" i="4"/>
  <c r="BA528" i="4" s="1"/>
  <c r="BA543" i="4"/>
  <c r="BA530" i="4"/>
  <c r="BA824" i="4"/>
  <c r="AZ63" i="4"/>
  <c r="AZ1389" i="4" s="1"/>
  <c r="BC7" i="3"/>
  <c r="AY713" i="4"/>
  <c r="BA141" i="4"/>
  <c r="BA150" i="4"/>
  <c r="AZ731" i="4"/>
  <c r="AZ732" i="4"/>
  <c r="CO15" i="72" l="1"/>
  <c r="CO16" i="72"/>
  <c r="CO14" i="72"/>
  <c r="BB16" i="4"/>
  <c r="L956" i="4"/>
  <c r="L279" i="4"/>
  <c r="L289" i="4" s="1"/>
  <c r="L334" i="4"/>
  <c r="L1037" i="4" s="1"/>
  <c r="L276" i="4"/>
  <c r="L260" i="4"/>
  <c r="BA287" i="4"/>
  <c r="BA324" i="4" s="1"/>
  <c r="BA9" i="62"/>
  <c r="BA34" i="66"/>
  <c r="BA15" i="66"/>
  <c r="BB82" i="4"/>
  <c r="BB75" i="4"/>
  <c r="BB76" i="4" s="1"/>
  <c r="M260" i="4"/>
  <c r="M33" i="66" s="1"/>
  <c r="M32" i="66" s="1"/>
  <c r="N956" i="4"/>
  <c r="P754" i="4"/>
  <c r="M956" i="4"/>
  <c r="O956" i="4"/>
  <c r="O231" i="4"/>
  <c r="O207" i="4"/>
  <c r="O269" i="4" s="1"/>
  <c r="O255" i="4"/>
  <c r="O206" i="4"/>
  <c r="O205" i="4"/>
  <c r="O204" i="4"/>
  <c r="O233" i="4"/>
  <c r="O208" i="4"/>
  <c r="O256" i="4"/>
  <c r="O232" i="4"/>
  <c r="O254" i="4"/>
  <c r="O209" i="4"/>
  <c r="O234" i="4"/>
  <c r="O257" i="4"/>
  <c r="O210" i="4"/>
  <c r="O211" i="4"/>
  <c r="O174" i="4"/>
  <c r="O168" i="4"/>
  <c r="O160" i="4"/>
  <c r="O175" i="4"/>
  <c r="O166" i="4"/>
  <c r="O167" i="4"/>
  <c r="O173" i="4"/>
  <c r="O159" i="4"/>
  <c r="O161" i="4"/>
  <c r="O176" i="4"/>
  <c r="O169" i="4"/>
  <c r="O162" i="4"/>
  <c r="P85" i="4"/>
  <c r="N170" i="4"/>
  <c r="N266" i="4"/>
  <c r="N280" i="4" s="1"/>
  <c r="N258" i="4"/>
  <c r="N271" i="4"/>
  <c r="N285" i="4" s="1"/>
  <c r="M282" i="4"/>
  <c r="M284" i="4"/>
  <c r="N283" i="4"/>
  <c r="M334" i="4"/>
  <c r="M1037" i="4" s="1"/>
  <c r="M276" i="4"/>
  <c r="M279" i="4"/>
  <c r="N265" i="4"/>
  <c r="N279" i="4" s="1"/>
  <c r="N163" i="4"/>
  <c r="N212" i="4"/>
  <c r="N268" i="4"/>
  <c r="M281" i="4"/>
  <c r="N177" i="4"/>
  <c r="N267" i="4"/>
  <c r="N281" i="4" s="1"/>
  <c r="N270" i="4"/>
  <c r="N235" i="4"/>
  <c r="Q1109" i="4"/>
  <c r="Q1110" i="4" s="1"/>
  <c r="Q1111" i="4" s="1"/>
  <c r="Q985" i="4" s="1"/>
  <c r="Q954" i="4"/>
  <c r="Q939" i="4"/>
  <c r="Q936" i="4"/>
  <c r="Q951" i="4"/>
  <c r="Q937" i="4"/>
  <c r="Q953" i="4"/>
  <c r="Q946" i="4"/>
  <c r="Q895" i="4"/>
  <c r="Q973" i="4" s="1"/>
  <c r="Q296" i="4" s="1"/>
  <c r="Q952" i="4"/>
  <c r="Q955" i="4"/>
  <c r="Q948" i="4"/>
  <c r="Q947" i="4"/>
  <c r="Q938" i="4"/>
  <c r="Q744" i="4"/>
  <c r="Q743" i="4"/>
  <c r="Q745" i="4"/>
  <c r="R79" i="4"/>
  <c r="P943" i="4"/>
  <c r="P940" i="4"/>
  <c r="P942" i="4"/>
  <c r="P941" i="4"/>
  <c r="M280" i="4"/>
  <c r="P746" i="4"/>
  <c r="M285" i="4"/>
  <c r="BA153" i="4"/>
  <c r="BA154" i="4" s="1"/>
  <c r="BA34" i="4"/>
  <c r="BA41" i="4" s="1"/>
  <c r="BA48" i="4" s="1"/>
  <c r="BA35" i="4"/>
  <c r="BA42" i="4" s="1"/>
  <c r="BA49" i="4" s="1"/>
  <c r="BA36" i="4"/>
  <c r="BA43" i="4" s="1"/>
  <c r="BA50" i="4" s="1"/>
  <c r="BA713" i="4" s="1"/>
  <c r="BA732" i="4" s="1"/>
  <c r="BA61" i="4"/>
  <c r="BA318" i="4" s="1"/>
  <c r="BA328" i="4" s="1"/>
  <c r="AZ544" i="4"/>
  <c r="BA32" i="4"/>
  <c r="BA39" i="4" s="1"/>
  <c r="BA46" i="4" s="1"/>
  <c r="BA54" i="4"/>
  <c r="BA53" i="62" s="1"/>
  <c r="BB135" i="4"/>
  <c r="BB140" i="4" s="1"/>
  <c r="BB141" i="4" s="1"/>
  <c r="BB58" i="4"/>
  <c r="BB57" i="4"/>
  <c r="BB9" i="3" s="1"/>
  <c r="BB1129" i="4"/>
  <c r="BA53" i="4"/>
  <c r="BA9" i="11"/>
  <c r="BA9" i="64"/>
  <c r="BA9" i="66"/>
  <c r="AX737" i="4"/>
  <c r="BA540" i="4"/>
  <c r="BA542" i="4" s="1"/>
  <c r="BB66" i="4"/>
  <c r="BB529" i="4"/>
  <c r="AX736" i="4"/>
  <c r="BA63" i="4"/>
  <c r="BA1389" i="4" s="1"/>
  <c r="BA78" i="4"/>
  <c r="CN1392" i="4"/>
  <c r="CM1523" i="4"/>
  <c r="CM1524" i="4" s="1"/>
  <c r="CM1429" i="4"/>
  <c r="BB226" i="4"/>
  <c r="BB249" i="4"/>
  <c r="BB18" i="4"/>
  <c r="BB32" i="4"/>
  <c r="BB126" i="4"/>
  <c r="BB198" i="4"/>
  <c r="BA76" i="4"/>
  <c r="BA77" i="4" s="1"/>
  <c r="BC86" i="64"/>
  <c r="BC87" i="64" s="1"/>
  <c r="BC7" i="62"/>
  <c r="BC6" i="62" s="1"/>
  <c r="BC7" i="64"/>
  <c r="BC6" i="64" s="1"/>
  <c r="BC28" i="64" s="1"/>
  <c r="BC30" i="64" s="1"/>
  <c r="BC53" i="64" s="1"/>
  <c r="BC8" i="3"/>
  <c r="BC16" i="4" s="1"/>
  <c r="BC7" i="11"/>
  <c r="BC6" i="11" s="1"/>
  <c r="BC7" i="66"/>
  <c r="BC6" i="66" s="1"/>
  <c r="BC6" i="3"/>
  <c r="BC7" i="4"/>
  <c r="BA199" i="4"/>
  <c r="BA142" i="4"/>
  <c r="BB138" i="4"/>
  <c r="BB1157" i="4"/>
  <c r="BA642" i="3"/>
  <c r="BB68" i="4"/>
  <c r="BB67" i="4"/>
  <c r="BB1042" i="4" s="1"/>
  <c r="BB246" i="4"/>
  <c r="BB37" i="4"/>
  <c r="BB54" i="62"/>
  <c r="BB129" i="4"/>
  <c r="BB223" i="4"/>
  <c r="BB36" i="4"/>
  <c r="BB34" i="4"/>
  <c r="BB150" i="4"/>
  <c r="BB153" i="4" s="1"/>
  <c r="BB192" i="4"/>
  <c r="BB35" i="4"/>
  <c r="BB275" i="4"/>
  <c r="BB288" i="4" s="1"/>
  <c r="BB329" i="4" s="1"/>
  <c r="BB414" i="4" s="1"/>
  <c r="BB415" i="4" s="1"/>
  <c r="BC413" i="4" s="1"/>
  <c r="BB1242" i="4"/>
  <c r="BB274" i="4"/>
  <c r="BB335" i="4" s="1"/>
  <c r="BB273" i="4"/>
  <c r="BB1243" i="4"/>
  <c r="BA227" i="4"/>
  <c r="BB17" i="4"/>
  <c r="BB19" i="4"/>
  <c r="BB20" i="4" s="1"/>
  <c r="BB1263" i="4"/>
  <c r="BB1151" i="4"/>
  <c r="BB28" i="66"/>
  <c r="BB295" i="4"/>
  <c r="BB303" i="4" s="1"/>
  <c r="BB27" i="66"/>
  <c r="BA250" i="4"/>
  <c r="BA22" i="4"/>
  <c r="BB21" i="4"/>
  <c r="AY732" i="4"/>
  <c r="AY731" i="4"/>
  <c r="AY714" i="4"/>
  <c r="AZ714" i="4"/>
  <c r="BA83" i="4"/>
  <c r="BA84" i="4" s="1"/>
  <c r="BB543" i="4"/>
  <c r="BB530" i="4"/>
  <c r="BB824" i="4"/>
  <c r="BB70" i="4"/>
  <c r="BB62" i="4"/>
  <c r="BB528" i="4" s="1"/>
  <c r="BB54" i="11"/>
  <c r="BA24" i="4"/>
  <c r="BA88" i="4" s="1"/>
  <c r="BA1260" i="4" s="1"/>
  <c r="BA9" i="3"/>
  <c r="BA60" i="62"/>
  <c r="BA130" i="4"/>
  <c r="L65" i="62" l="1"/>
  <c r="L1118" i="4"/>
  <c r="L1291" i="4"/>
  <c r="L33" i="66"/>
  <c r="L32" i="66" s="1"/>
  <c r="L1318" i="4"/>
  <c r="L81" i="11"/>
  <c r="L82" i="11" s="1"/>
  <c r="M1318" i="4"/>
  <c r="M1291" i="4"/>
  <c r="M1118" i="4"/>
  <c r="M81" i="11"/>
  <c r="M82" i="11" s="1"/>
  <c r="M1387" i="4" s="1"/>
  <c r="M65" i="62"/>
  <c r="O268" i="4"/>
  <c r="O282" i="4" s="1"/>
  <c r="Q746" i="4"/>
  <c r="P956" i="4"/>
  <c r="P204" i="4"/>
  <c r="P256" i="4"/>
  <c r="P206" i="4"/>
  <c r="P207" i="4"/>
  <c r="P269" i="4" s="1"/>
  <c r="P283" i="4" s="1"/>
  <c r="P255" i="4"/>
  <c r="P233" i="4"/>
  <c r="P209" i="4"/>
  <c r="P231" i="4"/>
  <c r="P254" i="4"/>
  <c r="P232" i="4"/>
  <c r="P205" i="4"/>
  <c r="P210" i="4"/>
  <c r="P234" i="4"/>
  <c r="P257" i="4"/>
  <c r="P208" i="4"/>
  <c r="P211" i="4"/>
  <c r="P166" i="4"/>
  <c r="P173" i="4"/>
  <c r="P175" i="4"/>
  <c r="P159" i="4"/>
  <c r="P167" i="4"/>
  <c r="P161" i="4"/>
  <c r="P174" i="4"/>
  <c r="P168" i="4"/>
  <c r="P160" i="4"/>
  <c r="P162" i="4"/>
  <c r="P169" i="4"/>
  <c r="P176" i="4"/>
  <c r="Q85" i="4"/>
  <c r="O170" i="4"/>
  <c r="O266" i="4"/>
  <c r="Q754" i="4"/>
  <c r="N260" i="4"/>
  <c r="N276" i="4"/>
  <c r="N334" i="4"/>
  <c r="N1037" i="4" s="1"/>
  <c r="O271" i="4"/>
  <c r="O258" i="4"/>
  <c r="N284" i="4"/>
  <c r="M289" i="4"/>
  <c r="N282" i="4"/>
  <c r="O283" i="4"/>
  <c r="O270" i="4"/>
  <c r="O235" i="4"/>
  <c r="Q943" i="4"/>
  <c r="Q941" i="4"/>
  <c r="Q942" i="4"/>
  <c r="Q940" i="4"/>
  <c r="O265" i="4"/>
  <c r="O163" i="4"/>
  <c r="O212" i="4"/>
  <c r="R1109" i="4"/>
  <c r="R1110" i="4" s="1"/>
  <c r="R1111" i="4" s="1"/>
  <c r="R985" i="4" s="1"/>
  <c r="R895" i="4"/>
  <c r="R973" i="4" s="1"/>
  <c r="R296" i="4" s="1"/>
  <c r="R946" i="4"/>
  <c r="R952" i="4"/>
  <c r="R955" i="4"/>
  <c r="R954" i="4"/>
  <c r="R951" i="4"/>
  <c r="R947" i="4"/>
  <c r="R938" i="4"/>
  <c r="R948" i="4"/>
  <c r="R939" i="4"/>
  <c r="R936" i="4"/>
  <c r="R953" i="4"/>
  <c r="R937" i="4"/>
  <c r="R743" i="4"/>
  <c r="R744" i="4"/>
  <c r="R745" i="4"/>
  <c r="S79" i="4"/>
  <c r="O177" i="4"/>
  <c r="O267" i="4"/>
  <c r="O281" i="4" s="1"/>
  <c r="BA714" i="4"/>
  <c r="BA718" i="4" s="1"/>
  <c r="BA731" i="4"/>
  <c r="BA1173" i="4"/>
  <c r="BA1177" i="4" s="1"/>
  <c r="BA1494" i="4" s="1"/>
  <c r="BB1036" i="4"/>
  <c r="BB15" i="66"/>
  <c r="BB33" i="4"/>
  <c r="BB40" i="4" s="1"/>
  <c r="BB47" i="4" s="1"/>
  <c r="BB77" i="4"/>
  <c r="BA55" i="4"/>
  <c r="AZ56" i="4"/>
  <c r="BA65" i="4"/>
  <c r="BC296" i="3"/>
  <c r="BC183" i="4" s="1"/>
  <c r="BC301" i="3"/>
  <c r="BC188" i="4" s="1"/>
  <c r="BC197" i="4" s="1"/>
  <c r="AZ722" i="4"/>
  <c r="AZ721" i="4"/>
  <c r="AZ718" i="4"/>
  <c r="AZ717" i="4"/>
  <c r="BB54" i="4"/>
  <c r="BA56" i="4" s="1"/>
  <c r="AY721" i="4"/>
  <c r="AY722" i="4"/>
  <c r="AY717" i="4"/>
  <c r="AY718" i="4"/>
  <c r="BC330" i="3"/>
  <c r="BC219" i="4" s="1"/>
  <c r="BC224" i="4" s="1"/>
  <c r="BC298" i="3"/>
  <c r="BC185" i="4" s="1"/>
  <c r="BC194" i="4" s="1"/>
  <c r="BC1447" i="4"/>
  <c r="BC356" i="3"/>
  <c r="BC242" i="4" s="1"/>
  <c r="BC247" i="4" s="1"/>
  <c r="BC216" i="3"/>
  <c r="BC133" i="4" s="1"/>
  <c r="BC186" i="3"/>
  <c r="BC123" i="4" s="1"/>
  <c r="BC128" i="4" s="1"/>
  <c r="BC242" i="3"/>
  <c r="BC185" i="3"/>
  <c r="BC122" i="4" s="1"/>
  <c r="BC127" i="4" s="1"/>
  <c r="BC299" i="3"/>
  <c r="BC186" i="4" s="1"/>
  <c r="BC195" i="4" s="1"/>
  <c r="BC329" i="3"/>
  <c r="BC218" i="4" s="1"/>
  <c r="BC241" i="3"/>
  <c r="BC146" i="4" s="1"/>
  <c r="BC151" i="4" s="1"/>
  <c r="BC184" i="3"/>
  <c r="BC121" i="4" s="1"/>
  <c r="BC218" i="3"/>
  <c r="BC135" i="4" s="1"/>
  <c r="BC140" i="4" s="1"/>
  <c r="BC217" i="3"/>
  <c r="BC331" i="3"/>
  <c r="BC220" i="4" s="1"/>
  <c r="BC225" i="4" s="1"/>
  <c r="BC300" i="3"/>
  <c r="BC187" i="4" s="1"/>
  <c r="BC196" i="4" s="1"/>
  <c r="BC240" i="3"/>
  <c r="BC145" i="4" s="1"/>
  <c r="BC297" i="3"/>
  <c r="BC184" i="4" s="1"/>
  <c r="BC193" i="4" s="1"/>
  <c r="BB540" i="4"/>
  <c r="BB542" i="4" s="1"/>
  <c r="BB544" i="4" s="1"/>
  <c r="BC355" i="3"/>
  <c r="BC241" i="4" s="1"/>
  <c r="BC357" i="3"/>
  <c r="BC243" i="4" s="1"/>
  <c r="BC248" i="4" s="1"/>
  <c r="BB24" i="4"/>
  <c r="BB88" i="4" s="1"/>
  <c r="BB1260" i="4" s="1"/>
  <c r="BC314" i="4"/>
  <c r="BC275" i="4" s="1"/>
  <c r="BC288" i="4" s="1"/>
  <c r="BC329" i="4" s="1"/>
  <c r="BC414" i="4" s="1"/>
  <c r="BC415" i="4" s="1"/>
  <c r="BD413" i="4" s="1"/>
  <c r="BD7" i="3"/>
  <c r="BD6" i="3" s="1"/>
  <c r="AX738" i="4"/>
  <c r="CN1523" i="4"/>
  <c r="CN1524" i="4" s="1"/>
  <c r="CN1429" i="4"/>
  <c r="CO1392" i="4"/>
  <c r="BA690" i="4"/>
  <c r="BA544" i="4"/>
  <c r="BB9" i="64"/>
  <c r="BB60" i="62"/>
  <c r="BB44" i="4"/>
  <c r="BB51" i="4" s="1"/>
  <c r="BB642" i="3"/>
  <c r="BB9" i="66"/>
  <c r="BB42" i="4"/>
  <c r="BB49" i="4" s="1"/>
  <c r="BB250" i="4"/>
  <c r="BB9" i="4"/>
  <c r="BB199" i="4"/>
  <c r="BC6" i="4"/>
  <c r="BC15" i="4"/>
  <c r="BB130" i="4"/>
  <c r="BB22" i="4"/>
  <c r="BC21" i="4"/>
  <c r="BB154" i="4"/>
  <c r="BA688" i="4"/>
  <c r="BA1041" i="4"/>
  <c r="BB39" i="4"/>
  <c r="BB46" i="4" s="1"/>
  <c r="BB34" i="66"/>
  <c r="BB287" i="4"/>
  <c r="BB324" i="4" s="1"/>
  <c r="BB41" i="4"/>
  <c r="BB48" i="4" s="1"/>
  <c r="BB78" i="4"/>
  <c r="BB9" i="62"/>
  <c r="BB43" i="4"/>
  <c r="BB50" i="4" s="1"/>
  <c r="BB713" i="4" s="1"/>
  <c r="BB142" i="4"/>
  <c r="BA200" i="4"/>
  <c r="BB83" i="4"/>
  <c r="BB84" i="4" s="1"/>
  <c r="BB9" i="11"/>
  <c r="BB227" i="4"/>
  <c r="BC8" i="4"/>
  <c r="BC1156" i="4"/>
  <c r="BC1409" i="4"/>
  <c r="BC8" i="64"/>
  <c r="BC28" i="4"/>
  <c r="BC1160" i="4"/>
  <c r="BC8" i="11"/>
  <c r="BC1158" i="4"/>
  <c r="BC1159" i="4" s="1"/>
  <c r="BC30" i="4"/>
  <c r="BC529" i="4" s="1"/>
  <c r="BC29" i="4"/>
  <c r="BC1184" i="4"/>
  <c r="BC8" i="66"/>
  <c r="BC8" i="62"/>
  <c r="BC1183" i="4"/>
  <c r="CN14" i="72" l="1"/>
  <c r="CN15" i="72"/>
  <c r="CN16" i="72"/>
  <c r="L1422" i="4"/>
  <c r="L1387" i="4"/>
  <c r="BC82" i="4"/>
  <c r="BC75" i="4"/>
  <c r="N289" i="4"/>
  <c r="Q956" i="4"/>
  <c r="BA717" i="4"/>
  <c r="BA721" i="4"/>
  <c r="BA722" i="4"/>
  <c r="R746" i="4"/>
  <c r="Q234" i="4"/>
  <c r="Q231" i="4"/>
  <c r="Q207" i="4"/>
  <c r="Q269" i="4" s="1"/>
  <c r="Q254" i="4"/>
  <c r="Q205" i="4"/>
  <c r="Q255" i="4"/>
  <c r="Q211" i="4"/>
  <c r="Q210" i="4"/>
  <c r="Q232" i="4"/>
  <c r="Q233" i="4"/>
  <c r="Q256" i="4"/>
  <c r="Q208" i="4"/>
  <c r="Q204" i="4"/>
  <c r="Q257" i="4"/>
  <c r="Q206" i="4"/>
  <c r="Q209" i="4"/>
  <c r="Q160" i="4"/>
  <c r="Q166" i="4"/>
  <c r="Q161" i="4"/>
  <c r="Q167" i="4"/>
  <c r="Q168" i="4"/>
  <c r="Q159" i="4"/>
  <c r="Q174" i="4"/>
  <c r="Q175" i="4"/>
  <c r="Q173" i="4"/>
  <c r="Q162" i="4"/>
  <c r="Q176" i="4"/>
  <c r="Q169" i="4"/>
  <c r="R85" i="4"/>
  <c r="N81" i="11"/>
  <c r="N82" i="11" s="1"/>
  <c r="N1387" i="4" s="1"/>
  <c r="N65" i="62"/>
  <c r="N1318" i="4"/>
  <c r="N33" i="66"/>
  <c r="N32" i="66" s="1"/>
  <c r="N1291" i="4"/>
  <c r="N1118" i="4"/>
  <c r="R943" i="4"/>
  <c r="R940" i="4"/>
  <c r="R941" i="4"/>
  <c r="R942" i="4"/>
  <c r="O285" i="4"/>
  <c r="P177" i="4"/>
  <c r="P267" i="4"/>
  <c r="P163" i="4"/>
  <c r="P265" i="4"/>
  <c r="O260" i="4"/>
  <c r="P266" i="4"/>
  <c r="P280" i="4" s="1"/>
  <c r="P170" i="4"/>
  <c r="P271" i="4"/>
  <c r="P258" i="4"/>
  <c r="P212" i="4"/>
  <c r="P268" i="4"/>
  <c r="S1109" i="4"/>
  <c r="S1110" i="4" s="1"/>
  <c r="S1111" i="4" s="1"/>
  <c r="S985" i="4" s="1"/>
  <c r="S954" i="4"/>
  <c r="S939" i="4"/>
  <c r="S936" i="4"/>
  <c r="S895" i="4"/>
  <c r="S973" i="4" s="1"/>
  <c r="S296" i="4" s="1"/>
  <c r="S937" i="4"/>
  <c r="S951" i="4"/>
  <c r="S953" i="4"/>
  <c r="S948" i="4"/>
  <c r="S947" i="4"/>
  <c r="S955" i="4"/>
  <c r="S938" i="4"/>
  <c r="S946" i="4"/>
  <c r="S952" i="4"/>
  <c r="S744" i="4"/>
  <c r="S743" i="4"/>
  <c r="S745" i="4"/>
  <c r="T79" i="4"/>
  <c r="O276" i="4"/>
  <c r="O334" i="4"/>
  <c r="O1037" i="4" s="1"/>
  <c r="L16" i="72" s="1"/>
  <c r="O279" i="4"/>
  <c r="O284" i="4"/>
  <c r="P270" i="4"/>
  <c r="P284" i="4" s="1"/>
  <c r="P235" i="4"/>
  <c r="R754" i="4"/>
  <c r="O280" i="4"/>
  <c r="BD7" i="4"/>
  <c r="BD7" i="11"/>
  <c r="BD6" i="11" s="1"/>
  <c r="BD7" i="66"/>
  <c r="BD6" i="66" s="1"/>
  <c r="BD86" i="64"/>
  <c r="BD87" i="64" s="1"/>
  <c r="BD7" i="62"/>
  <c r="BD6" i="62" s="1"/>
  <c r="BB1173" i="4"/>
  <c r="BB1177" i="4" s="1"/>
  <c r="BB1494" i="4" s="1"/>
  <c r="BB53" i="62"/>
  <c r="BB65" i="4"/>
  <c r="BC274" i="4"/>
  <c r="BC335" i="4" s="1"/>
  <c r="BC58" i="4"/>
  <c r="BB55" i="4"/>
  <c r="BC134" i="4"/>
  <c r="BC139" i="4" s="1"/>
  <c r="BC147" i="4"/>
  <c r="BC152" i="4" s="1"/>
  <c r="BC1243" i="4"/>
  <c r="BC57" i="4"/>
  <c r="BC9" i="66" s="1"/>
  <c r="BB53" i="4"/>
  <c r="BC273" i="4"/>
  <c r="BC1129" i="4"/>
  <c r="BC1242" i="4"/>
  <c r="AY736" i="4"/>
  <c r="BB690" i="4"/>
  <c r="AZ736" i="4"/>
  <c r="AX739" i="4"/>
  <c r="AY737" i="4"/>
  <c r="BD7" i="64"/>
  <c r="BD6" i="64" s="1"/>
  <c r="BD28" i="64" s="1"/>
  <c r="BD30" i="64" s="1"/>
  <c r="BD53" i="64" s="1"/>
  <c r="BD8" i="3"/>
  <c r="CO1523" i="4"/>
  <c r="CO1524" i="4" s="1"/>
  <c r="CO1429" i="4"/>
  <c r="BC62" i="4"/>
  <c r="BC528" i="4" s="1"/>
  <c r="BC824" i="4"/>
  <c r="BC543" i="4"/>
  <c r="BC54" i="11"/>
  <c r="BC530" i="4"/>
  <c r="BC70" i="4"/>
  <c r="BB63" i="4"/>
  <c r="BB1389" i="4" s="1"/>
  <c r="BC246" i="4"/>
  <c r="BC37" i="4"/>
  <c r="BC249" i="4"/>
  <c r="BB200" i="4"/>
  <c r="AZ737" i="4"/>
  <c r="BB688" i="4"/>
  <c r="BB1041" i="4"/>
  <c r="BC138" i="4"/>
  <c r="BC129" i="4"/>
  <c r="BC141" i="4"/>
  <c r="BB731" i="4"/>
  <c r="BB732" i="4"/>
  <c r="BB714" i="4"/>
  <c r="BC223" i="4"/>
  <c r="BC36" i="4"/>
  <c r="BC43" i="4" s="1"/>
  <c r="BC50" i="4" s="1"/>
  <c r="BC713" i="4" s="1"/>
  <c r="BC731" i="4" s="1"/>
  <c r="BC192" i="4"/>
  <c r="BC35" i="4"/>
  <c r="BC42" i="4" s="1"/>
  <c r="BC49" i="4" s="1"/>
  <c r="BC18" i="4"/>
  <c r="BC198" i="4"/>
  <c r="BC1157" i="4"/>
  <c r="BC54" i="62"/>
  <c r="BD15" i="4"/>
  <c r="BD6" i="4"/>
  <c r="BC67" i="4"/>
  <c r="BC1042" i="4" s="1"/>
  <c r="BC150" i="4"/>
  <c r="BC32" i="4"/>
  <c r="BC39" i="4" s="1"/>
  <c r="BC46" i="4" s="1"/>
  <c r="BC126" i="4"/>
  <c r="BC17" i="4"/>
  <c r="BC19" i="4"/>
  <c r="BC20" i="4" s="1"/>
  <c r="BC68" i="4"/>
  <c r="BA736" i="4"/>
  <c r="BC27" i="66"/>
  <c r="BC28" i="66"/>
  <c r="BC295" i="4"/>
  <c r="BC303" i="4" s="1"/>
  <c r="BC1151" i="4"/>
  <c r="BC1263" i="4"/>
  <c r="BC66" i="4"/>
  <c r="BC60" i="4"/>
  <c r="BB61" i="4"/>
  <c r="BB318" i="4" s="1"/>
  <c r="BB328" i="4" s="1"/>
  <c r="BC226" i="4"/>
  <c r="CM16" i="72" l="1"/>
  <c r="CM15" i="72"/>
  <c r="CM14" i="72"/>
  <c r="BD16" i="4"/>
  <c r="BA737" i="4"/>
  <c r="BC287" i="4"/>
  <c r="BC324" i="4" s="1"/>
  <c r="BD30" i="4"/>
  <c r="BD529" i="4" s="1"/>
  <c r="BD82" i="4"/>
  <c r="BD75" i="4"/>
  <c r="R956" i="4"/>
  <c r="P282" i="4"/>
  <c r="P285" i="4"/>
  <c r="T1109" i="4"/>
  <c r="T1110" i="4" s="1"/>
  <c r="T1111" i="4" s="1"/>
  <c r="T985" i="4" s="1"/>
  <c r="T953" i="4"/>
  <c r="T952" i="4"/>
  <c r="T895" i="4"/>
  <c r="T973" i="4" s="1"/>
  <c r="T296" i="4" s="1"/>
  <c r="T946" i="4"/>
  <c r="T937" i="4"/>
  <c r="T948" i="4"/>
  <c r="T947" i="4"/>
  <c r="T939" i="4"/>
  <c r="T954" i="4"/>
  <c r="T938" i="4"/>
  <c r="T936" i="4"/>
  <c r="T955" i="4"/>
  <c r="T951" i="4"/>
  <c r="T744" i="4"/>
  <c r="T743" i="4"/>
  <c r="T745" i="4"/>
  <c r="U79" i="4"/>
  <c r="Q163" i="4"/>
  <c r="Q265" i="4"/>
  <c r="S754" i="4"/>
  <c r="S746" i="4"/>
  <c r="P281" i="4"/>
  <c r="R232" i="4"/>
  <c r="R206" i="4"/>
  <c r="R256" i="4"/>
  <c r="R207" i="4"/>
  <c r="R269" i="4" s="1"/>
  <c r="R210" i="4"/>
  <c r="R233" i="4"/>
  <c r="R205" i="4"/>
  <c r="R209" i="4"/>
  <c r="R255" i="4"/>
  <c r="R204" i="4"/>
  <c r="R257" i="4"/>
  <c r="R231" i="4"/>
  <c r="R234" i="4"/>
  <c r="R208" i="4"/>
  <c r="R254" i="4"/>
  <c r="R211" i="4"/>
  <c r="R174" i="4"/>
  <c r="R159" i="4"/>
  <c r="R161" i="4"/>
  <c r="R167" i="4"/>
  <c r="R175" i="4"/>
  <c r="R166" i="4"/>
  <c r="R168" i="4"/>
  <c r="R160" i="4"/>
  <c r="R173" i="4"/>
  <c r="R162" i="4"/>
  <c r="R169" i="4"/>
  <c r="R176" i="4"/>
  <c r="S85" i="4"/>
  <c r="Q268" i="4"/>
  <c r="Q282" i="4" s="1"/>
  <c r="Q212" i="4"/>
  <c r="P334" i="4"/>
  <c r="P1037" i="4" s="1"/>
  <c r="P276" i="4"/>
  <c r="P279" i="4"/>
  <c r="Q258" i="4"/>
  <c r="Q271" i="4"/>
  <c r="O289" i="4"/>
  <c r="P260" i="4"/>
  <c r="Q283" i="4"/>
  <c r="Q170" i="4"/>
  <c r="Q266" i="4"/>
  <c r="Q235" i="4"/>
  <c r="Q270" i="4"/>
  <c r="S940" i="4"/>
  <c r="S941" i="4"/>
  <c r="S943" i="4"/>
  <c r="S942" i="4"/>
  <c r="O1118" i="4"/>
  <c r="O33" i="66"/>
  <c r="O32" i="66" s="1"/>
  <c r="O65" i="62"/>
  <c r="O81" i="11"/>
  <c r="O82" i="11" s="1"/>
  <c r="O1387" i="4" s="1"/>
  <c r="O1291" i="4"/>
  <c r="O1318" i="4"/>
  <c r="Q177" i="4"/>
  <c r="Q267" i="4"/>
  <c r="Q281" i="4" s="1"/>
  <c r="BC15" i="66"/>
  <c r="BC153" i="4"/>
  <c r="BC154" i="4" s="1"/>
  <c r="BC34" i="4"/>
  <c r="BC41" i="4" s="1"/>
  <c r="BC48" i="4" s="1"/>
  <c r="BC1036" i="4"/>
  <c r="BC33" i="4"/>
  <c r="BC40" i="4" s="1"/>
  <c r="BC47" i="4" s="1"/>
  <c r="BC24" i="4"/>
  <c r="BC88" i="4" s="1"/>
  <c r="BC1260" i="4" s="1"/>
  <c r="BD184" i="3"/>
  <c r="BD121" i="4" s="1"/>
  <c r="BD126" i="4" s="1"/>
  <c r="BD301" i="3"/>
  <c r="BD188" i="4" s="1"/>
  <c r="BD197" i="4" s="1"/>
  <c r="BB721" i="4"/>
  <c r="BB718" i="4"/>
  <c r="BB717" i="4"/>
  <c r="BB722" i="4"/>
  <c r="BC54" i="4"/>
  <c r="BC65" i="4" s="1"/>
  <c r="BD298" i="3"/>
  <c r="BD28" i="4"/>
  <c r="BC53" i="4" s="1"/>
  <c r="BD296" i="3"/>
  <c r="BD186" i="3"/>
  <c r="BD123" i="4" s="1"/>
  <c r="BD128" i="4" s="1"/>
  <c r="BD129" i="4" s="1"/>
  <c r="BD8" i="4"/>
  <c r="BD19" i="4" s="1"/>
  <c r="BD20" i="4" s="1"/>
  <c r="BD329" i="3"/>
  <c r="BD355" i="3"/>
  <c r="BD241" i="4" s="1"/>
  <c r="BD242" i="3"/>
  <c r="BD147" i="4" s="1"/>
  <c r="BD152" i="4" s="1"/>
  <c r="BD297" i="3"/>
  <c r="BD184" i="4" s="1"/>
  <c r="BD193" i="4" s="1"/>
  <c r="BD216" i="3"/>
  <c r="BD300" i="3"/>
  <c r="BD187" i="4" s="1"/>
  <c r="BD196" i="4" s="1"/>
  <c r="BD8" i="64"/>
  <c r="BD1409" i="4"/>
  <c r="BD330" i="3"/>
  <c r="BD1447" i="4"/>
  <c r="BD218" i="3"/>
  <c r="BD135" i="4" s="1"/>
  <c r="BD140" i="4" s="1"/>
  <c r="BD141" i="4" s="1"/>
  <c r="BD356" i="3"/>
  <c r="BD242" i="4" s="1"/>
  <c r="BD247" i="4" s="1"/>
  <c r="BD299" i="3"/>
  <c r="BD241" i="3"/>
  <c r="BD357" i="3"/>
  <c r="BD240" i="3"/>
  <c r="BD145" i="4" s="1"/>
  <c r="BD150" i="4" s="1"/>
  <c r="BD8" i="11"/>
  <c r="BC34" i="66"/>
  <c r="BD185" i="3"/>
  <c r="BD122" i="4" s="1"/>
  <c r="BD127" i="4" s="1"/>
  <c r="BD217" i="3"/>
  <c r="BD134" i="4" s="1"/>
  <c r="BD139" i="4" s="1"/>
  <c r="BD331" i="3"/>
  <c r="AY738" i="4"/>
  <c r="AZ738" i="4"/>
  <c r="BD1183" i="4"/>
  <c r="BD1156" i="4"/>
  <c r="BD1157" i="4" s="1"/>
  <c r="BD1160" i="4"/>
  <c r="BD1184" i="4"/>
  <c r="BD1158" i="4"/>
  <c r="BD1159" i="4" s="1"/>
  <c r="BD8" i="62"/>
  <c r="BD54" i="62" s="1"/>
  <c r="BD29" i="4"/>
  <c r="BD27" i="66" s="1"/>
  <c r="BD8" i="66"/>
  <c r="BC9" i="62"/>
  <c r="BC76" i="4"/>
  <c r="BC77" i="4" s="1"/>
  <c r="BC78" i="4"/>
  <c r="BC714" i="4"/>
  <c r="BD314" i="4"/>
  <c r="BE7" i="3"/>
  <c r="BC732" i="4"/>
  <c r="BC199" i="4"/>
  <c r="BC200" i="4" s="1"/>
  <c r="BC9" i="3"/>
  <c r="BC60" i="62"/>
  <c r="BC9" i="4"/>
  <c r="BC130" i="4"/>
  <c r="BC540" i="4"/>
  <c r="BC542" i="4" s="1"/>
  <c r="BC227" i="4"/>
  <c r="BC9" i="11"/>
  <c r="BC44" i="4"/>
  <c r="BC51" i="4" s="1"/>
  <c r="BC250" i="4"/>
  <c r="BC9" i="64"/>
  <c r="BA738" i="4"/>
  <c r="BC22" i="4"/>
  <c r="BD21" i="4"/>
  <c r="BD18" i="4"/>
  <c r="BC642" i="3"/>
  <c r="BC83" i="4"/>
  <c r="BC84" i="4" s="1"/>
  <c r="BC142" i="4"/>
  <c r="BD70" i="4" l="1"/>
  <c r="BD62" i="4"/>
  <c r="BD528" i="4" s="1"/>
  <c r="BC63" i="4"/>
  <c r="BC1389" i="4" s="1"/>
  <c r="BD68" i="4"/>
  <c r="BD67" i="4"/>
  <c r="BD1042" i="4" s="1"/>
  <c r="BD54" i="11"/>
  <c r="BD530" i="4"/>
  <c r="BD543" i="4"/>
  <c r="BD824" i="4"/>
  <c r="P289" i="4"/>
  <c r="BC53" i="62"/>
  <c r="T746" i="4"/>
  <c r="S956" i="4"/>
  <c r="P65" i="62"/>
  <c r="P1318" i="4"/>
  <c r="P81" i="11"/>
  <c r="P82" i="11" s="1"/>
  <c r="P1387" i="4" s="1"/>
  <c r="P1291" i="4"/>
  <c r="P33" i="66"/>
  <c r="P32" i="66" s="1"/>
  <c r="P1118" i="4"/>
  <c r="R258" i="4"/>
  <c r="R271" i="4"/>
  <c r="Q276" i="4"/>
  <c r="Q334" i="4"/>
  <c r="Q1037" i="4" s="1"/>
  <c r="Q279" i="4"/>
  <c r="T943" i="4"/>
  <c r="T942" i="4"/>
  <c r="T941" i="4"/>
  <c r="T940" i="4"/>
  <c r="Q284" i="4"/>
  <c r="R170" i="4"/>
  <c r="R266" i="4"/>
  <c r="R280" i="4" s="1"/>
  <c r="Q260" i="4"/>
  <c r="S204" i="4"/>
  <c r="S255" i="4"/>
  <c r="S207" i="4"/>
  <c r="S269" i="4" s="1"/>
  <c r="S283" i="4" s="1"/>
  <c r="S234" i="4"/>
  <c r="S233" i="4"/>
  <c r="S210" i="4"/>
  <c r="S256" i="4"/>
  <c r="S209" i="4"/>
  <c r="S208" i="4"/>
  <c r="S257" i="4"/>
  <c r="S211" i="4"/>
  <c r="S205" i="4"/>
  <c r="S231" i="4"/>
  <c r="S254" i="4"/>
  <c r="S232" i="4"/>
  <c r="S206" i="4"/>
  <c r="S159" i="4"/>
  <c r="S175" i="4"/>
  <c r="S166" i="4"/>
  <c r="S174" i="4"/>
  <c r="S167" i="4"/>
  <c r="S173" i="4"/>
  <c r="S160" i="4"/>
  <c r="S161" i="4"/>
  <c r="S168" i="4"/>
  <c r="S176" i="4"/>
  <c r="S169" i="4"/>
  <c r="S162" i="4"/>
  <c r="T85" i="4"/>
  <c r="U1109" i="4"/>
  <c r="U1110" i="4" s="1"/>
  <c r="U1111" i="4" s="1"/>
  <c r="U985" i="4" s="1"/>
  <c r="U953" i="4"/>
  <c r="U947" i="4"/>
  <c r="U954" i="4"/>
  <c r="U955" i="4"/>
  <c r="U937" i="4"/>
  <c r="U951" i="4"/>
  <c r="U938" i="4"/>
  <c r="U936" i="4"/>
  <c r="U939" i="4"/>
  <c r="U948" i="4"/>
  <c r="U895" i="4"/>
  <c r="U973" i="4" s="1"/>
  <c r="U296" i="4" s="1"/>
  <c r="U952" i="4"/>
  <c r="U946" i="4"/>
  <c r="U743" i="4"/>
  <c r="U744" i="4"/>
  <c r="U745" i="4"/>
  <c r="V79" i="4"/>
  <c r="Q280" i="4"/>
  <c r="R270" i="4"/>
  <c r="R235" i="4"/>
  <c r="R283" i="4"/>
  <c r="T754" i="4"/>
  <c r="R163" i="4"/>
  <c r="R265" i="4"/>
  <c r="R212" i="4"/>
  <c r="R268" i="4"/>
  <c r="R282" i="4" s="1"/>
  <c r="Q285" i="4"/>
  <c r="R267" i="4"/>
  <c r="R177" i="4"/>
  <c r="AY739" i="4"/>
  <c r="BD17" i="4"/>
  <c r="BC1173" i="4"/>
  <c r="BC1177" i="4" s="1"/>
  <c r="BC1494" i="4" s="1"/>
  <c r="BC61" i="4"/>
  <c r="BC318" i="4" s="1"/>
  <c r="BC328" i="4" s="1"/>
  <c r="BB56" i="4"/>
  <c r="BC55" i="4"/>
  <c r="BC721" i="4"/>
  <c r="BC717" i="4"/>
  <c r="BC722" i="4"/>
  <c r="BC718" i="4"/>
  <c r="BD58" i="4"/>
  <c r="BD146" i="4"/>
  <c r="BD151" i="4" s="1"/>
  <c r="BD153" i="4" s="1"/>
  <c r="BD154" i="4" s="1"/>
  <c r="BD220" i="4"/>
  <c r="BD225" i="4" s="1"/>
  <c r="BD226" i="4" s="1"/>
  <c r="BD243" i="4"/>
  <c r="BD248" i="4" s="1"/>
  <c r="BD249" i="4" s="1"/>
  <c r="BD185" i="4"/>
  <c r="BD194" i="4" s="1"/>
  <c r="BD186" i="4"/>
  <c r="BD195" i="4" s="1"/>
  <c r="AZ739" i="4"/>
  <c r="BD219" i="4"/>
  <c r="BD224" i="4" s="1"/>
  <c r="BD183" i="4"/>
  <c r="BD192" i="4" s="1"/>
  <c r="BD133" i="4"/>
  <c r="BD138" i="4" s="1"/>
  <c r="BD142" i="4" s="1"/>
  <c r="BD218" i="4"/>
  <c r="BD1129" i="4"/>
  <c r="BD57" i="4"/>
  <c r="BD60" i="62" s="1"/>
  <c r="BD28" i="66"/>
  <c r="BD1263" i="4"/>
  <c r="BD60" i="4"/>
  <c r="BD1151" i="4"/>
  <c r="BD295" i="4"/>
  <c r="BD303" i="4" s="1"/>
  <c r="BD66" i="4"/>
  <c r="BD246" i="4"/>
  <c r="BD32" i="4"/>
  <c r="BD39" i="4" s="1"/>
  <c r="BD46" i="4" s="1"/>
  <c r="BD76" i="4"/>
  <c r="BD77" i="4" s="1"/>
  <c r="BB737" i="4"/>
  <c r="BE6" i="3"/>
  <c r="BE7" i="62"/>
  <c r="BE6" i="62" s="1"/>
  <c r="BE7" i="64"/>
  <c r="BE6" i="64" s="1"/>
  <c r="BE28" i="64" s="1"/>
  <c r="BE30" i="64" s="1"/>
  <c r="BE53" i="64" s="1"/>
  <c r="BE7" i="11"/>
  <c r="BE6" i="11" s="1"/>
  <c r="BE7" i="4"/>
  <c r="BE7" i="66"/>
  <c r="BE6" i="66" s="1"/>
  <c r="BE8" i="3"/>
  <c r="BE86" i="64"/>
  <c r="BE87" i="64" s="1"/>
  <c r="BD274" i="4"/>
  <c r="BD335" i="4" s="1"/>
  <c r="BD273" i="4"/>
  <c r="BD1242" i="4"/>
  <c r="BD275" i="4"/>
  <c r="BD288" i="4" s="1"/>
  <c r="BD329" i="4" s="1"/>
  <c r="BD414" i="4" s="1"/>
  <c r="BD415" i="4" s="1"/>
  <c r="BE413" i="4" s="1"/>
  <c r="BD1243" i="4"/>
  <c r="BB736" i="4"/>
  <c r="BC690" i="4"/>
  <c r="BC544" i="4"/>
  <c r="BA739" i="4"/>
  <c r="BD83" i="4"/>
  <c r="BD84" i="4" s="1"/>
  <c r="BD22" i="4"/>
  <c r="BE21" i="4"/>
  <c r="BC688" i="4"/>
  <c r="BC1041" i="4"/>
  <c r="BD78" i="4"/>
  <c r="BD130" i="4"/>
  <c r="BD540" i="4" l="1"/>
  <c r="BD542" i="4" s="1"/>
  <c r="BD690" i="4" s="1"/>
  <c r="BD642" i="3"/>
  <c r="BD24" i="4"/>
  <c r="BD88" i="4" s="1"/>
  <c r="U754" i="4"/>
  <c r="T956" i="4"/>
  <c r="Q289" i="4"/>
  <c r="S266" i="4"/>
  <c r="S170" i="4"/>
  <c r="R285" i="4"/>
  <c r="R281" i="4"/>
  <c r="S163" i="4"/>
  <c r="S265" i="4"/>
  <c r="S279" i="4" s="1"/>
  <c r="S268" i="4"/>
  <c r="S212" i="4"/>
  <c r="R334" i="4"/>
  <c r="R1037" i="4" s="1"/>
  <c r="R276" i="4"/>
  <c r="V1109" i="4"/>
  <c r="V1110" i="4" s="1"/>
  <c r="V1111" i="4" s="1"/>
  <c r="V985" i="4" s="1"/>
  <c r="V946" i="4"/>
  <c r="V952" i="4"/>
  <c r="V895" i="4"/>
  <c r="V973" i="4" s="1"/>
  <c r="V296" i="4" s="1"/>
  <c r="V948" i="4"/>
  <c r="V939" i="4"/>
  <c r="V955" i="4"/>
  <c r="V938" i="4"/>
  <c r="V954" i="4"/>
  <c r="V947" i="4"/>
  <c r="V937" i="4"/>
  <c r="V936" i="4"/>
  <c r="V953" i="4"/>
  <c r="V951" i="4"/>
  <c r="V744" i="4"/>
  <c r="V743" i="4"/>
  <c r="V745" i="4"/>
  <c r="W79" i="4"/>
  <c r="Q1318" i="4"/>
  <c r="Q1118" i="4"/>
  <c r="Q33" i="66"/>
  <c r="Q32" i="66" s="1"/>
  <c r="Q65" i="62"/>
  <c r="Q1291" i="4"/>
  <c r="Q81" i="11"/>
  <c r="Q82" i="11" s="1"/>
  <c r="Q1387" i="4" s="1"/>
  <c r="R279" i="4"/>
  <c r="R260" i="4"/>
  <c r="U746" i="4"/>
  <c r="U940" i="4"/>
  <c r="U942" i="4"/>
  <c r="U943" i="4"/>
  <c r="U941" i="4"/>
  <c r="R284" i="4"/>
  <c r="BD9" i="4"/>
  <c r="S267" i="4"/>
  <c r="S177" i="4"/>
  <c r="S271" i="4"/>
  <c r="S258" i="4"/>
  <c r="T206" i="4"/>
  <c r="T209" i="4"/>
  <c r="T207" i="4"/>
  <c r="T269" i="4" s="1"/>
  <c r="T205" i="4"/>
  <c r="T210" i="4"/>
  <c r="T256" i="4"/>
  <c r="T254" i="4"/>
  <c r="T231" i="4"/>
  <c r="T233" i="4"/>
  <c r="T204" i="4"/>
  <c r="T211" i="4"/>
  <c r="T232" i="4"/>
  <c r="T255" i="4"/>
  <c r="T234" i="4"/>
  <c r="T208" i="4"/>
  <c r="T257" i="4"/>
  <c r="T167" i="4"/>
  <c r="T175" i="4"/>
  <c r="T173" i="4"/>
  <c r="T168" i="4"/>
  <c r="T166" i="4"/>
  <c r="T160" i="4"/>
  <c r="T174" i="4"/>
  <c r="T159" i="4"/>
  <c r="T161" i="4"/>
  <c r="T176" i="4"/>
  <c r="T169" i="4"/>
  <c r="T162" i="4"/>
  <c r="U85" i="4"/>
  <c r="S235" i="4"/>
  <c r="S270" i="4"/>
  <c r="S284" i="4" s="1"/>
  <c r="BD9" i="66"/>
  <c r="BD9" i="62"/>
  <c r="BD9" i="11"/>
  <c r="BD9" i="64"/>
  <c r="BE300" i="3"/>
  <c r="BE187" i="4" s="1"/>
  <c r="BE196" i="4" s="1"/>
  <c r="BE16" i="4"/>
  <c r="BD15" i="66"/>
  <c r="BD1036" i="4"/>
  <c r="BD250" i="4"/>
  <c r="BD37" i="4"/>
  <c r="BD44" i="4" s="1"/>
  <c r="BD51" i="4" s="1"/>
  <c r="BD33" i="4"/>
  <c r="BD40" i="4" s="1"/>
  <c r="BD47" i="4" s="1"/>
  <c r="BC736" i="4"/>
  <c r="BC737" i="4"/>
  <c r="BD34" i="4"/>
  <c r="BD41" i="4" s="1"/>
  <c r="BD48" i="4" s="1"/>
  <c r="BE331" i="3"/>
  <c r="BE220" i="4" s="1"/>
  <c r="BE225" i="4" s="1"/>
  <c r="BE226" i="4" s="1"/>
  <c r="BE299" i="3"/>
  <c r="BE186" i="4" s="1"/>
  <c r="BE195" i="4" s="1"/>
  <c r="BE301" i="3"/>
  <c r="BE188" i="4" s="1"/>
  <c r="BE197" i="4" s="1"/>
  <c r="BE296" i="3"/>
  <c r="BE183" i="4" s="1"/>
  <c r="BE216" i="3"/>
  <c r="BE133" i="4" s="1"/>
  <c r="BE217" i="3"/>
  <c r="BE134" i="4" s="1"/>
  <c r="BE139" i="4" s="1"/>
  <c r="BF7" i="3"/>
  <c r="BF6" i="3" s="1"/>
  <c r="BE184" i="3"/>
  <c r="BE121" i="4" s="1"/>
  <c r="BE355" i="3"/>
  <c r="BE241" i="4" s="1"/>
  <c r="BE298" i="3"/>
  <c r="BE186" i="3"/>
  <c r="BE123" i="4" s="1"/>
  <c r="BE128" i="4" s="1"/>
  <c r="BE129" i="4" s="1"/>
  <c r="BD198" i="4"/>
  <c r="BD199" i="4" s="1"/>
  <c r="BD35" i="4"/>
  <c r="BD42" i="4" s="1"/>
  <c r="BD49" i="4" s="1"/>
  <c r="BD223" i="4"/>
  <c r="BD227" i="4" s="1"/>
  <c r="BD36" i="4"/>
  <c r="BD43" i="4" s="1"/>
  <c r="BD50" i="4" s="1"/>
  <c r="BD713" i="4" s="1"/>
  <c r="BE242" i="3"/>
  <c r="BE147" i="4" s="1"/>
  <c r="BE152" i="4" s="1"/>
  <c r="BE297" i="3"/>
  <c r="BE329" i="3"/>
  <c r="BE218" i="4" s="1"/>
  <c r="BE330" i="3"/>
  <c r="BE219" i="4" s="1"/>
  <c r="BE224" i="4" s="1"/>
  <c r="BE1447" i="4"/>
  <c r="BE218" i="3"/>
  <c r="BE241" i="3"/>
  <c r="BE146" i="4" s="1"/>
  <c r="BE151" i="4" s="1"/>
  <c r="BE240" i="3"/>
  <c r="BE145" i="4" s="1"/>
  <c r="BE185" i="3"/>
  <c r="BE122" i="4" s="1"/>
  <c r="BE127" i="4" s="1"/>
  <c r="BE356" i="3"/>
  <c r="BE242" i="4" s="1"/>
  <c r="BE247" i="4" s="1"/>
  <c r="BE357" i="3"/>
  <c r="BE243" i="4" s="1"/>
  <c r="BE248" i="4" s="1"/>
  <c r="BE249" i="4" s="1"/>
  <c r="BD54" i="4"/>
  <c r="BD9" i="3"/>
  <c r="BB738" i="4"/>
  <c r="BE1183" i="4"/>
  <c r="BE8" i="64"/>
  <c r="BE1156" i="4"/>
  <c r="BE29" i="4"/>
  <c r="BE8" i="62"/>
  <c r="BE8" i="66"/>
  <c r="BE1184" i="4"/>
  <c r="BE8" i="11"/>
  <c r="BE30" i="4"/>
  <c r="BE529" i="4" s="1"/>
  <c r="BE1158" i="4"/>
  <c r="BE1159" i="4" s="1"/>
  <c r="BE8" i="4"/>
  <c r="BE28" i="4"/>
  <c r="BE1409" i="4"/>
  <c r="BE1160" i="4"/>
  <c r="BE6" i="4"/>
  <c r="BE15" i="4"/>
  <c r="BF7" i="64"/>
  <c r="BF6" i="64" s="1"/>
  <c r="BF28" i="64" s="1"/>
  <c r="BF30" i="64" s="1"/>
  <c r="BF53" i="64" s="1"/>
  <c r="BF7" i="4"/>
  <c r="BD544" i="4"/>
  <c r="BE314" i="4"/>
  <c r="BD34" i="66"/>
  <c r="BD287" i="4"/>
  <c r="BD324" i="4" s="1"/>
  <c r="BD1041" i="4"/>
  <c r="BD688" i="4"/>
  <c r="BF7" i="66" l="1"/>
  <c r="BF6" i="66" s="1"/>
  <c r="BF8" i="3"/>
  <c r="BF86" i="64"/>
  <c r="BF87" i="64" s="1"/>
  <c r="BF7" i="11"/>
  <c r="BF6" i="11" s="1"/>
  <c r="BF7" i="62"/>
  <c r="BF6" i="62" s="1"/>
  <c r="BD1173" i="4"/>
  <c r="BD1177" i="4" s="1"/>
  <c r="BD1494" i="4" s="1"/>
  <c r="BD1260" i="4"/>
  <c r="BE82" i="4"/>
  <c r="BE75" i="4"/>
  <c r="U956" i="4"/>
  <c r="V754" i="4"/>
  <c r="T258" i="4"/>
  <c r="T271" i="4"/>
  <c r="T285" i="4" s="1"/>
  <c r="S285" i="4"/>
  <c r="V942" i="4"/>
  <c r="V940" i="4"/>
  <c r="V941" i="4"/>
  <c r="V943" i="4"/>
  <c r="U209" i="4"/>
  <c r="U256" i="4"/>
  <c r="U208" i="4"/>
  <c r="U211" i="4"/>
  <c r="U257" i="4"/>
  <c r="U232" i="4"/>
  <c r="U254" i="4"/>
  <c r="U210" i="4"/>
  <c r="U205" i="4"/>
  <c r="U234" i="4"/>
  <c r="U204" i="4"/>
  <c r="U255" i="4"/>
  <c r="U206" i="4"/>
  <c r="U233" i="4"/>
  <c r="U231" i="4"/>
  <c r="U207" i="4"/>
  <c r="U269" i="4" s="1"/>
  <c r="U283" i="4" s="1"/>
  <c r="U175" i="4"/>
  <c r="U160" i="4"/>
  <c r="U166" i="4"/>
  <c r="U167" i="4"/>
  <c r="U174" i="4"/>
  <c r="U168" i="4"/>
  <c r="U159" i="4"/>
  <c r="U161" i="4"/>
  <c r="U173" i="4"/>
  <c r="U176" i="4"/>
  <c r="U162" i="4"/>
  <c r="U169" i="4"/>
  <c r="V85" i="4"/>
  <c r="T170" i="4"/>
  <c r="T266" i="4"/>
  <c r="T280" i="4" s="1"/>
  <c r="S281" i="4"/>
  <c r="W1109" i="4"/>
  <c r="W1110" i="4" s="1"/>
  <c r="W1111" i="4" s="1"/>
  <c r="W985" i="4" s="1"/>
  <c r="W936" i="4"/>
  <c r="W946" i="4"/>
  <c r="W948" i="4"/>
  <c r="W951" i="4"/>
  <c r="W952" i="4"/>
  <c r="W938" i="4"/>
  <c r="W954" i="4"/>
  <c r="W895" i="4"/>
  <c r="W973" i="4" s="1"/>
  <c r="W296" i="4" s="1"/>
  <c r="W939" i="4"/>
  <c r="W947" i="4"/>
  <c r="W953" i="4"/>
  <c r="W955" i="4"/>
  <c r="W937" i="4"/>
  <c r="W744" i="4"/>
  <c r="W743" i="4"/>
  <c r="W745" i="4"/>
  <c r="X79" i="4"/>
  <c r="V746" i="4"/>
  <c r="S280" i="4"/>
  <c r="S282" i="4"/>
  <c r="T283" i="4"/>
  <c r="T212" i="4"/>
  <c r="T268" i="4"/>
  <c r="T282" i="4" s="1"/>
  <c r="R33" i="66"/>
  <c r="R32" i="66" s="1"/>
  <c r="R1118" i="4"/>
  <c r="R65" i="62"/>
  <c r="R81" i="11"/>
  <c r="R82" i="11" s="1"/>
  <c r="R1387" i="4" s="1"/>
  <c r="R1291" i="4"/>
  <c r="R1318" i="4"/>
  <c r="S334" i="4"/>
  <c r="S1037" i="4" s="1"/>
  <c r="S276" i="4"/>
  <c r="T177" i="4"/>
  <c r="T267" i="4"/>
  <c r="S260" i="4"/>
  <c r="T265" i="4"/>
  <c r="T163" i="4"/>
  <c r="T270" i="4"/>
  <c r="T235" i="4"/>
  <c r="R289" i="4"/>
  <c r="BC738" i="4"/>
  <c r="BF314" i="4"/>
  <c r="BF274" i="4" s="1"/>
  <c r="BF335" i="4" s="1"/>
  <c r="BF301" i="3"/>
  <c r="BF188" i="4" s="1"/>
  <c r="BF197" i="4" s="1"/>
  <c r="BF331" i="3"/>
  <c r="BF220" i="4" s="1"/>
  <c r="BF225" i="4" s="1"/>
  <c r="BF226" i="4" s="1"/>
  <c r="BF300" i="3"/>
  <c r="BF187" i="4" s="1"/>
  <c r="BF196" i="4" s="1"/>
  <c r="BF218" i="3"/>
  <c r="BF135" i="4" s="1"/>
  <c r="BF140" i="4" s="1"/>
  <c r="BF141" i="4" s="1"/>
  <c r="BF297" i="3"/>
  <c r="BF184" i="4" s="1"/>
  <c r="BF193" i="4" s="1"/>
  <c r="BF298" i="3"/>
  <c r="BF185" i="4" s="1"/>
  <c r="BF194" i="4" s="1"/>
  <c r="BD200" i="4"/>
  <c r="BF241" i="3"/>
  <c r="BF146" i="4" s="1"/>
  <c r="BF151" i="4" s="1"/>
  <c r="BF186" i="3"/>
  <c r="BF123" i="4" s="1"/>
  <c r="BF128" i="4" s="1"/>
  <c r="BF129" i="4" s="1"/>
  <c r="BE185" i="4"/>
  <c r="BE194" i="4" s="1"/>
  <c r="BE198" i="4" s="1"/>
  <c r="BF1447" i="4"/>
  <c r="BF242" i="3"/>
  <c r="BF147" i="4" s="1"/>
  <c r="BF152" i="4" s="1"/>
  <c r="BF217" i="3"/>
  <c r="BF357" i="3"/>
  <c r="BF243" i="4" s="1"/>
  <c r="BF248" i="4" s="1"/>
  <c r="BF249" i="4" s="1"/>
  <c r="BF330" i="3"/>
  <c r="BD731" i="4"/>
  <c r="BD732" i="4"/>
  <c r="BD714" i="4"/>
  <c r="BF216" i="3"/>
  <c r="BF133" i="4" s="1"/>
  <c r="BF356" i="3"/>
  <c r="BF242" i="4" s="1"/>
  <c r="BF247" i="4" s="1"/>
  <c r="BF329" i="3"/>
  <c r="BF218" i="4" s="1"/>
  <c r="BF355" i="3"/>
  <c r="BF241" i="4" s="1"/>
  <c r="BF296" i="3"/>
  <c r="BE58" i="4"/>
  <c r="BE184" i="4"/>
  <c r="BE193" i="4" s="1"/>
  <c r="BE135" i="4"/>
  <c r="BE140" i="4" s="1"/>
  <c r="BE141" i="4" s="1"/>
  <c r="BF185" i="3"/>
  <c r="BF122" i="4" s="1"/>
  <c r="BF127" i="4" s="1"/>
  <c r="BF184" i="3"/>
  <c r="BF121" i="4" s="1"/>
  <c r="BF240" i="3"/>
  <c r="BF299" i="3"/>
  <c r="BF186" i="4" s="1"/>
  <c r="BF195" i="4" s="1"/>
  <c r="BB739" i="4"/>
  <c r="BD53" i="4"/>
  <c r="BE57" i="4"/>
  <c r="BC56" i="4"/>
  <c r="BD55" i="4"/>
  <c r="BD65" i="4"/>
  <c r="BD53" i="62"/>
  <c r="BE1129" i="4"/>
  <c r="BF6" i="4"/>
  <c r="BF15" i="4"/>
  <c r="BE1157" i="4"/>
  <c r="BE223" i="4"/>
  <c r="BE227" i="4" s="1"/>
  <c r="BE36" i="4"/>
  <c r="BE43" i="4" s="1"/>
  <c r="BF1409" i="4"/>
  <c r="BF30" i="4"/>
  <c r="BF8" i="11"/>
  <c r="BF8" i="4"/>
  <c r="BF8" i="64"/>
  <c r="BF1184" i="4"/>
  <c r="BF1183" i="4"/>
  <c r="BF8" i="62"/>
  <c r="BF54" i="62" s="1"/>
  <c r="BF28" i="4"/>
  <c r="BF1160" i="4"/>
  <c r="BF1158" i="4"/>
  <c r="BF1159" i="4" s="1"/>
  <c r="BF8" i="66"/>
  <c r="BF1156" i="4"/>
  <c r="BF29" i="4"/>
  <c r="BE246" i="4"/>
  <c r="BE250" i="4" s="1"/>
  <c r="BE37" i="4"/>
  <c r="BE44" i="4" s="1"/>
  <c r="BE51" i="4" s="1"/>
  <c r="BE1243" i="4"/>
  <c r="BE273" i="4"/>
  <c r="BE1242" i="4"/>
  <c r="BE275" i="4"/>
  <c r="BE288" i="4" s="1"/>
  <c r="BE329" i="4" s="1"/>
  <c r="BE414" i="4" s="1"/>
  <c r="BE415" i="4" s="1"/>
  <c r="BF413" i="4" s="1"/>
  <c r="BE274" i="4"/>
  <c r="BE335" i="4" s="1"/>
  <c r="BE19" i="4"/>
  <c r="BE20" i="4" s="1"/>
  <c r="BE17" i="4"/>
  <c r="BE138" i="4"/>
  <c r="BE126" i="4"/>
  <c r="BE130" i="4" s="1"/>
  <c r="BE32" i="4"/>
  <c r="BE39" i="4" s="1"/>
  <c r="BE46" i="4" s="1"/>
  <c r="BE150" i="4"/>
  <c r="BE34" i="4"/>
  <c r="BE41" i="4" s="1"/>
  <c r="BE48" i="4" s="1"/>
  <c r="BE192" i="4"/>
  <c r="BE18" i="4"/>
  <c r="BE54" i="62"/>
  <c r="BD63" i="4"/>
  <c r="BD1389" i="4" s="1"/>
  <c r="BE530" i="4"/>
  <c r="BE67" i="4"/>
  <c r="BE1042" i="4" s="1"/>
  <c r="BE70" i="4"/>
  <c r="BE54" i="11"/>
  <c r="BE543" i="4"/>
  <c r="BE62" i="4"/>
  <c r="BE528" i="4" s="1"/>
  <c r="BE824" i="4"/>
  <c r="BE68" i="4"/>
  <c r="BD61" i="4"/>
  <c r="BD318" i="4" s="1"/>
  <c r="BD328" i="4" s="1"/>
  <c r="BE295" i="4"/>
  <c r="BE1263" i="4"/>
  <c r="BE1151" i="4"/>
  <c r="BE27" i="66"/>
  <c r="BE60" i="4"/>
  <c r="BE28" i="66"/>
  <c r="BE66" i="4"/>
  <c r="BG7" i="3"/>
  <c r="BF16" i="4" l="1"/>
  <c r="BF82" i="4"/>
  <c r="BF75" i="4"/>
  <c r="BF76" i="4" s="1"/>
  <c r="V956" i="4"/>
  <c r="S289" i="4"/>
  <c r="T260" i="4"/>
  <c r="T1318" i="4" s="1"/>
  <c r="T334" i="4"/>
  <c r="T1037" i="4" s="1"/>
  <c r="T276" i="4"/>
  <c r="T279" i="4"/>
  <c r="U163" i="4"/>
  <c r="U265" i="4"/>
  <c r="U270" i="4"/>
  <c r="U284" i="4" s="1"/>
  <c r="U235" i="4"/>
  <c r="U271" i="4"/>
  <c r="U258" i="4"/>
  <c r="U177" i="4"/>
  <c r="U267" i="4"/>
  <c r="U281" i="4" s="1"/>
  <c r="S65" i="62"/>
  <c r="S33" i="66"/>
  <c r="S32" i="66" s="1"/>
  <c r="S1118" i="4"/>
  <c r="S81" i="11"/>
  <c r="S82" i="11" s="1"/>
  <c r="S1387" i="4" s="1"/>
  <c r="S1318" i="4"/>
  <c r="S1291" i="4"/>
  <c r="X1109" i="4"/>
  <c r="X1110" i="4" s="1"/>
  <c r="X1111" i="4" s="1"/>
  <c r="X985" i="4" s="1"/>
  <c r="X952" i="4"/>
  <c r="X895" i="4"/>
  <c r="X973" i="4" s="1"/>
  <c r="X296" i="4" s="1"/>
  <c r="X953" i="4"/>
  <c r="X951" i="4"/>
  <c r="X939" i="4"/>
  <c r="X947" i="4"/>
  <c r="X937" i="4"/>
  <c r="X946" i="4"/>
  <c r="X948" i="4"/>
  <c r="X955" i="4"/>
  <c r="X938" i="4"/>
  <c r="X954" i="4"/>
  <c r="X936" i="4"/>
  <c r="X743" i="4"/>
  <c r="X744" i="4"/>
  <c r="X745" i="4"/>
  <c r="Y79" i="4"/>
  <c r="W940" i="4"/>
  <c r="W942" i="4"/>
  <c r="W941" i="4"/>
  <c r="W943" i="4"/>
  <c r="V204" i="4"/>
  <c r="V231" i="4"/>
  <c r="V234" i="4"/>
  <c r="V254" i="4"/>
  <c r="V232" i="4"/>
  <c r="V210" i="4"/>
  <c r="V207" i="4"/>
  <c r="V269" i="4" s="1"/>
  <c r="V233" i="4"/>
  <c r="V256" i="4"/>
  <c r="V209" i="4"/>
  <c r="V255" i="4"/>
  <c r="V257" i="4"/>
  <c r="V205" i="4"/>
  <c r="V206" i="4"/>
  <c r="V208" i="4"/>
  <c r="V211" i="4"/>
  <c r="V160" i="4"/>
  <c r="V168" i="4"/>
  <c r="V166" i="4"/>
  <c r="V159" i="4"/>
  <c r="V167" i="4"/>
  <c r="V175" i="4"/>
  <c r="V161" i="4"/>
  <c r="V174" i="4"/>
  <c r="V173" i="4"/>
  <c r="V169" i="4"/>
  <c r="V176" i="4"/>
  <c r="V162" i="4"/>
  <c r="W85" i="4"/>
  <c r="T281" i="4"/>
  <c r="W754" i="4"/>
  <c r="W746" i="4"/>
  <c r="U266" i="4"/>
  <c r="U170" i="4"/>
  <c r="U212" i="4"/>
  <c r="U268" i="4"/>
  <c r="U282" i="4" s="1"/>
  <c r="T284" i="4"/>
  <c r="BC739" i="4"/>
  <c r="BF1243" i="4"/>
  <c r="BF275" i="4"/>
  <c r="BF288" i="4" s="1"/>
  <c r="BF329" i="4" s="1"/>
  <c r="BF414" i="4" s="1"/>
  <c r="BF415" i="4" s="1"/>
  <c r="BG413" i="4" s="1"/>
  <c r="BF273" i="4"/>
  <c r="BF287" i="4" s="1"/>
  <c r="BF1242" i="4"/>
  <c r="BE1036" i="4"/>
  <c r="BE15" i="66"/>
  <c r="BF1036" i="4"/>
  <c r="BE35" i="4"/>
  <c r="BE42" i="4" s="1"/>
  <c r="BE49" i="4" s="1"/>
  <c r="BF58" i="4"/>
  <c r="BE142" i="4"/>
  <c r="BE54" i="4"/>
  <c r="BE55" i="4" s="1"/>
  <c r="BD718" i="4"/>
  <c r="BD717" i="4"/>
  <c r="BD722" i="4"/>
  <c r="BD721" i="4"/>
  <c r="BE33" i="4"/>
  <c r="BE40" i="4" s="1"/>
  <c r="BE47" i="4" s="1"/>
  <c r="BF219" i="4"/>
  <c r="BF224" i="4" s="1"/>
  <c r="BF145" i="4"/>
  <c r="BF34" i="4" s="1"/>
  <c r="BF41" i="4" s="1"/>
  <c r="BF48" i="4" s="1"/>
  <c r="BF134" i="4"/>
  <c r="BF139" i="4" s="1"/>
  <c r="BF183" i="4"/>
  <c r="BF35" i="4" s="1"/>
  <c r="BF57" i="4"/>
  <c r="BE53" i="4"/>
  <c r="BF1129" i="4"/>
  <c r="BE153" i="4"/>
  <c r="BE154" i="4" s="1"/>
  <c r="BF66" i="4"/>
  <c r="BE24" i="4"/>
  <c r="BE88" i="4" s="1"/>
  <c r="BE1260" i="4" s="1"/>
  <c r="BE199" i="4"/>
  <c r="BE22" i="4"/>
  <c r="BF21" i="4"/>
  <c r="BF530" i="4"/>
  <c r="BF62" i="4"/>
  <c r="BF528" i="4" s="1"/>
  <c r="BE63" i="4"/>
  <c r="BE1389" i="4" s="1"/>
  <c r="BF54" i="11"/>
  <c r="BF543" i="4"/>
  <c r="BF529" i="4"/>
  <c r="BF70" i="4"/>
  <c r="BF824" i="4"/>
  <c r="BE9" i="64"/>
  <c r="BE9" i="11"/>
  <c r="BE60" i="62"/>
  <c r="BE9" i="62"/>
  <c r="BE9" i="4"/>
  <c r="BE303" i="4"/>
  <c r="BF126" i="4"/>
  <c r="BF130" i="4" s="1"/>
  <c r="BF32" i="4"/>
  <c r="BF39" i="4" s="1"/>
  <c r="BF46" i="4" s="1"/>
  <c r="BE50" i="4"/>
  <c r="BE642" i="3"/>
  <c r="BF68" i="4"/>
  <c r="BF67" i="4"/>
  <c r="BF1042" i="4" s="1"/>
  <c r="BE9" i="66"/>
  <c r="BE540" i="4"/>
  <c r="BE542" i="4" s="1"/>
  <c r="BE83" i="4"/>
  <c r="BE84" i="4" s="1"/>
  <c r="BF1151" i="4"/>
  <c r="BF28" i="66"/>
  <c r="BF1263" i="4"/>
  <c r="BF60" i="4"/>
  <c r="BE61" i="4"/>
  <c r="BE318" i="4" s="1"/>
  <c r="BE328" i="4" s="1"/>
  <c r="BF27" i="66"/>
  <c r="BF295" i="4"/>
  <c r="BF303" i="4" s="1"/>
  <c r="BF246" i="4"/>
  <c r="BF250" i="4" s="1"/>
  <c r="BF37" i="4"/>
  <c r="BF44" i="4" s="1"/>
  <c r="BF51" i="4" s="1"/>
  <c r="BE78" i="4"/>
  <c r="BE76" i="4"/>
  <c r="BE77" i="4" s="1"/>
  <c r="BE34" i="66"/>
  <c r="BE287" i="4"/>
  <c r="BE324" i="4" s="1"/>
  <c r="BF198" i="4"/>
  <c r="BF18" i="4"/>
  <c r="BF1157" i="4"/>
  <c r="BF138" i="4"/>
  <c r="BG7" i="4"/>
  <c r="BG7" i="62"/>
  <c r="BG6" i="62" s="1"/>
  <c r="BG7" i="11"/>
  <c r="BG6" i="11" s="1"/>
  <c r="BG7" i="66"/>
  <c r="BG6" i="66" s="1"/>
  <c r="BG8" i="3"/>
  <c r="BG86" i="64"/>
  <c r="BG87" i="64" s="1"/>
  <c r="BG6" i="3"/>
  <c r="BG7" i="64"/>
  <c r="BG6" i="64" s="1"/>
  <c r="BG28" i="64" s="1"/>
  <c r="BG30" i="64" s="1"/>
  <c r="BG53" i="64" s="1"/>
  <c r="BE9" i="3"/>
  <c r="BF223" i="4"/>
  <c r="BF19" i="4"/>
  <c r="BF20" i="4" s="1"/>
  <c r="BF17" i="4"/>
  <c r="T1118" i="4" l="1"/>
  <c r="T65" i="62"/>
  <c r="T81" i="11"/>
  <c r="T82" i="11" s="1"/>
  <c r="T1387" i="4" s="1"/>
  <c r="T33" i="66"/>
  <c r="T32" i="66" s="1"/>
  <c r="T1291" i="4"/>
  <c r="W956" i="4"/>
  <c r="V177" i="4"/>
  <c r="V267" i="4"/>
  <c r="V212" i="4"/>
  <c r="V268" i="4"/>
  <c r="V282" i="4" s="1"/>
  <c r="X754" i="4"/>
  <c r="X746" i="4"/>
  <c r="V283" i="4"/>
  <c r="X942" i="4"/>
  <c r="X940" i="4"/>
  <c r="X943" i="4"/>
  <c r="X941" i="4"/>
  <c r="U276" i="4"/>
  <c r="U334" i="4"/>
  <c r="U1037" i="4" s="1"/>
  <c r="U279" i="4"/>
  <c r="U260" i="4"/>
  <c r="W254" i="4"/>
  <c r="W232" i="4"/>
  <c r="W204" i="4"/>
  <c r="W207" i="4"/>
  <c r="W269" i="4" s="1"/>
  <c r="W283" i="4" s="1"/>
  <c r="W205" i="4"/>
  <c r="W231" i="4"/>
  <c r="W209" i="4"/>
  <c r="W255" i="4"/>
  <c r="W206" i="4"/>
  <c r="W233" i="4"/>
  <c r="W256" i="4"/>
  <c r="W208" i="4"/>
  <c r="W257" i="4"/>
  <c r="W234" i="4"/>
  <c r="W210" i="4"/>
  <c r="W211" i="4"/>
  <c r="W168" i="4"/>
  <c r="W173" i="4"/>
  <c r="W161" i="4"/>
  <c r="W159" i="4"/>
  <c r="W166" i="4"/>
  <c r="W175" i="4"/>
  <c r="W174" i="4"/>
  <c r="W167" i="4"/>
  <c r="W160" i="4"/>
  <c r="W162" i="4"/>
  <c r="W176" i="4"/>
  <c r="W169" i="4"/>
  <c r="X85" i="4"/>
  <c r="V270" i="4"/>
  <c r="V235" i="4"/>
  <c r="U285" i="4"/>
  <c r="V265" i="4"/>
  <c r="V163" i="4"/>
  <c r="V258" i="4"/>
  <c r="V271" i="4"/>
  <c r="V285" i="4" s="1"/>
  <c r="U280" i="4"/>
  <c r="V170" i="4"/>
  <c r="V266" i="4"/>
  <c r="Y1109" i="4"/>
  <c r="Y1110" i="4" s="1"/>
  <c r="Y1111" i="4" s="1"/>
  <c r="Y985" i="4" s="1"/>
  <c r="Y895" i="4"/>
  <c r="Y973" i="4" s="1"/>
  <c r="Y296" i="4" s="1"/>
  <c r="Y937" i="4"/>
  <c r="Y947" i="4"/>
  <c r="Y939" i="4"/>
  <c r="Y946" i="4"/>
  <c r="Y953" i="4"/>
  <c r="Y936" i="4"/>
  <c r="Y955" i="4"/>
  <c r="Y948" i="4"/>
  <c r="Y952" i="4"/>
  <c r="Y938" i="4"/>
  <c r="Y951" i="4"/>
  <c r="Y954" i="4"/>
  <c r="Y743" i="4"/>
  <c r="Y744" i="4"/>
  <c r="Y745" i="4"/>
  <c r="Z79" i="4"/>
  <c r="T289" i="4"/>
  <c r="BF34" i="66"/>
  <c r="BF15" i="66"/>
  <c r="BF42" i="4"/>
  <c r="BF49" i="4" s="1"/>
  <c r="BF324" i="4"/>
  <c r="BE1173" i="4"/>
  <c r="BE1177" i="4" s="1"/>
  <c r="BE1494" i="4" s="1"/>
  <c r="BG217" i="3"/>
  <c r="BG134" i="4" s="1"/>
  <c r="BG139" i="4" s="1"/>
  <c r="BG16" i="4"/>
  <c r="BF33" i="4"/>
  <c r="BF40" i="4" s="1"/>
  <c r="BF47" i="4" s="1"/>
  <c r="BF227" i="4"/>
  <c r="BF36" i="4"/>
  <c r="BF43" i="4" s="1"/>
  <c r="BF50" i="4" s="1"/>
  <c r="BF713" i="4" s="1"/>
  <c r="BE65" i="4"/>
  <c r="BD737" i="4"/>
  <c r="BF192" i="4"/>
  <c r="BD736" i="4"/>
  <c r="BG185" i="3"/>
  <c r="BG122" i="4" s="1"/>
  <c r="BG127" i="4" s="1"/>
  <c r="BF24" i="4"/>
  <c r="BF88" i="4" s="1"/>
  <c r="BF1260" i="4" s="1"/>
  <c r="BG357" i="3"/>
  <c r="BG243" i="4" s="1"/>
  <c r="BG248" i="4" s="1"/>
  <c r="BG249" i="4" s="1"/>
  <c r="BG301" i="3"/>
  <c r="BG188" i="4" s="1"/>
  <c r="BG197" i="4" s="1"/>
  <c r="BF54" i="4"/>
  <c r="BF55" i="4" s="1"/>
  <c r="BD56" i="4"/>
  <c r="BE53" i="62"/>
  <c r="BF142" i="4"/>
  <c r="BG299" i="3"/>
  <c r="BG186" i="4" s="1"/>
  <c r="BG195" i="4" s="1"/>
  <c r="BG355" i="3"/>
  <c r="BG241" i="4" s="1"/>
  <c r="BG240" i="3"/>
  <c r="BG145" i="4" s="1"/>
  <c r="BG330" i="3"/>
  <c r="BG219" i="4" s="1"/>
  <c r="BG224" i="4" s="1"/>
  <c r="BF150" i="4"/>
  <c r="BF153" i="4" s="1"/>
  <c r="BF154" i="4" s="1"/>
  <c r="BG241" i="3"/>
  <c r="BG146" i="4" s="1"/>
  <c r="BG151" i="4" s="1"/>
  <c r="BG186" i="3"/>
  <c r="BG123" i="4" s="1"/>
  <c r="BG128" i="4" s="1"/>
  <c r="BG129" i="4" s="1"/>
  <c r="BG216" i="3"/>
  <c r="BG133" i="4" s="1"/>
  <c r="BG297" i="3"/>
  <c r="BG298" i="3"/>
  <c r="BG185" i="4" s="1"/>
  <c r="BG194" i="4" s="1"/>
  <c r="BG218" i="3"/>
  <c r="BG135" i="4" s="1"/>
  <c r="BG140" i="4" s="1"/>
  <c r="BG141" i="4" s="1"/>
  <c r="BG331" i="3"/>
  <c r="BG220" i="4" s="1"/>
  <c r="BG225" i="4" s="1"/>
  <c r="BG226" i="4" s="1"/>
  <c r="BG300" i="3"/>
  <c r="BG187" i="4" s="1"/>
  <c r="BG196" i="4" s="1"/>
  <c r="BG356" i="3"/>
  <c r="BG242" i="4" s="1"/>
  <c r="BG247" i="4" s="1"/>
  <c r="BG329" i="3"/>
  <c r="BG218" i="4" s="1"/>
  <c r="BG242" i="3"/>
  <c r="BG147" i="4" s="1"/>
  <c r="BG152" i="4" s="1"/>
  <c r="BG184" i="3"/>
  <c r="BG121" i="4" s="1"/>
  <c r="BG296" i="3"/>
  <c r="BG183" i="4" s="1"/>
  <c r="BG1447" i="4"/>
  <c r="BF77" i="4"/>
  <c r="BF78" i="4"/>
  <c r="BF60" i="62"/>
  <c r="BE713" i="4"/>
  <c r="BF83" i="4"/>
  <c r="BF84" i="4" s="1"/>
  <c r="BG1183" i="4"/>
  <c r="BG8" i="11"/>
  <c r="BG8" i="62"/>
  <c r="BG54" i="62" s="1"/>
  <c r="BG8" i="66"/>
  <c r="BG30" i="4"/>
  <c r="BG68" i="4" s="1"/>
  <c r="BG1184" i="4"/>
  <c r="BG314" i="4"/>
  <c r="BG1160" i="4"/>
  <c r="BG8" i="4"/>
  <c r="BG1158" i="4"/>
  <c r="BG1159" i="4" s="1"/>
  <c r="BG1409" i="4"/>
  <c r="BH7" i="3"/>
  <c r="BG29" i="4"/>
  <c r="BG8" i="64"/>
  <c r="BG1156" i="4"/>
  <c r="BG28" i="4"/>
  <c r="BF9" i="3"/>
  <c r="BF9" i="62"/>
  <c r="BF9" i="11"/>
  <c r="BF9" i="64"/>
  <c r="BF9" i="4"/>
  <c r="BF9" i="66"/>
  <c r="BE688" i="4"/>
  <c r="BE1041" i="4"/>
  <c r="BG6" i="4"/>
  <c r="BG15" i="4"/>
  <c r="BE200" i="4"/>
  <c r="BF540" i="4"/>
  <c r="BF542" i="4" s="1"/>
  <c r="BF22" i="4"/>
  <c r="BG21" i="4"/>
  <c r="BF642" i="3"/>
  <c r="BE544" i="4"/>
  <c r="BE690" i="4"/>
  <c r="BG82" i="4" l="1"/>
  <c r="BG75" i="4"/>
  <c r="X956" i="4"/>
  <c r="V334" i="4"/>
  <c r="V1037" i="4" s="1"/>
  <c r="V280" i="4"/>
  <c r="Y746" i="4"/>
  <c r="W267" i="4"/>
  <c r="W281" i="4" s="1"/>
  <c r="W177" i="4"/>
  <c r="W271" i="4"/>
  <c r="W258" i="4"/>
  <c r="Z1109" i="4"/>
  <c r="Z1110" i="4" s="1"/>
  <c r="Z1111" i="4" s="1"/>
  <c r="Z985" i="4" s="1"/>
  <c r="Z895" i="4"/>
  <c r="Z973" i="4" s="1"/>
  <c r="Z296" i="4" s="1"/>
  <c r="Z953" i="4"/>
  <c r="Z948" i="4"/>
  <c r="Z939" i="4"/>
  <c r="Z936" i="4"/>
  <c r="Z947" i="4"/>
  <c r="Z952" i="4"/>
  <c r="Z938" i="4"/>
  <c r="Z954" i="4"/>
  <c r="Z937" i="4"/>
  <c r="Z946" i="4"/>
  <c r="Z951" i="4"/>
  <c r="Z955" i="4"/>
  <c r="Z743" i="4"/>
  <c r="Z744" i="4"/>
  <c r="Z745" i="4"/>
  <c r="AA79" i="4"/>
  <c r="V281" i="4"/>
  <c r="V260" i="4"/>
  <c r="W270" i="4"/>
  <c r="W284" i="4" s="1"/>
  <c r="W235" i="4"/>
  <c r="Y940" i="4"/>
  <c r="Y941" i="4"/>
  <c r="Y943" i="4"/>
  <c r="Y942" i="4"/>
  <c r="V276" i="4"/>
  <c r="V279" i="4"/>
  <c r="V284" i="4"/>
  <c r="X206" i="4"/>
  <c r="X231" i="4"/>
  <c r="X255" i="4"/>
  <c r="X208" i="4"/>
  <c r="X204" i="4"/>
  <c r="X232" i="4"/>
  <c r="X207" i="4"/>
  <c r="X269" i="4" s="1"/>
  <c r="X256" i="4"/>
  <c r="X205" i="4"/>
  <c r="X233" i="4"/>
  <c r="X254" i="4"/>
  <c r="X209" i="4"/>
  <c r="X210" i="4"/>
  <c r="X234" i="4"/>
  <c r="X257" i="4"/>
  <c r="X211" i="4"/>
  <c r="X175" i="4"/>
  <c r="X174" i="4"/>
  <c r="X168" i="4"/>
  <c r="X166" i="4"/>
  <c r="X161" i="4"/>
  <c r="X173" i="4"/>
  <c r="X159" i="4"/>
  <c r="X167" i="4"/>
  <c r="X160" i="4"/>
  <c r="X176" i="4"/>
  <c r="X162" i="4"/>
  <c r="X169" i="4"/>
  <c r="Y85" i="4"/>
  <c r="W170" i="4"/>
  <c r="W266" i="4"/>
  <c r="W280" i="4" s="1"/>
  <c r="U289" i="4"/>
  <c r="Y754" i="4"/>
  <c r="W265" i="4"/>
  <c r="W163" i="4"/>
  <c r="U33" i="66"/>
  <c r="U32" i="66" s="1"/>
  <c r="U1118" i="4"/>
  <c r="U81" i="11"/>
  <c r="U82" i="11" s="1"/>
  <c r="U1387" i="4" s="1"/>
  <c r="U1318" i="4"/>
  <c r="U65" i="62"/>
  <c r="U1291" i="4"/>
  <c r="W268" i="4"/>
  <c r="W282" i="4" s="1"/>
  <c r="W212" i="4"/>
  <c r="BF1173" i="4"/>
  <c r="BF1177" i="4" s="1"/>
  <c r="BF1494" i="4" s="1"/>
  <c r="BF53" i="62"/>
  <c r="BE56" i="4"/>
  <c r="BD738" i="4"/>
  <c r="BF199" i="4"/>
  <c r="BF200" i="4" s="1"/>
  <c r="BG58" i="4"/>
  <c r="BF65" i="4"/>
  <c r="BG184" i="4"/>
  <c r="BG193" i="4" s="1"/>
  <c r="BG57" i="4"/>
  <c r="BF53" i="4"/>
  <c r="BG529" i="4"/>
  <c r="BG1129" i="4"/>
  <c r="BG138" i="4"/>
  <c r="BG142" i="4" s="1"/>
  <c r="BG33" i="4"/>
  <c r="BG40" i="4" s="1"/>
  <c r="BG47" i="4" s="1"/>
  <c r="BG18" i="4"/>
  <c r="BG198" i="4"/>
  <c r="BG32" i="4"/>
  <c r="BG39" i="4" s="1"/>
  <c r="BG46" i="4" s="1"/>
  <c r="BG126" i="4"/>
  <c r="BG130" i="4" s="1"/>
  <c r="BG66" i="4"/>
  <c r="BG1263" i="4"/>
  <c r="BG27" i="66"/>
  <c r="BG1151" i="4"/>
  <c r="BG60" i="4"/>
  <c r="BG28" i="66"/>
  <c r="BF61" i="4"/>
  <c r="BF318" i="4" s="1"/>
  <c r="BF328" i="4" s="1"/>
  <c r="BG295" i="4"/>
  <c r="BG303" i="4" s="1"/>
  <c r="BG246" i="4"/>
  <c r="BG250" i="4" s="1"/>
  <c r="BG37" i="4"/>
  <c r="BG44" i="4" s="1"/>
  <c r="BG51" i="4" s="1"/>
  <c r="BG19" i="4"/>
  <c r="BG20" i="4" s="1"/>
  <c r="BG17" i="4"/>
  <c r="BG1242" i="4"/>
  <c r="BG1243" i="4"/>
  <c r="BG273" i="4"/>
  <c r="BG275" i="4"/>
  <c r="BG288" i="4" s="1"/>
  <c r="BG329" i="4" s="1"/>
  <c r="BG414" i="4" s="1"/>
  <c r="BG415" i="4" s="1"/>
  <c r="BH413" i="4" s="1"/>
  <c r="BG274" i="4"/>
  <c r="BG335" i="4" s="1"/>
  <c r="BF731" i="4"/>
  <c r="BF732" i="4"/>
  <c r="BE732" i="4"/>
  <c r="BE731" i="4"/>
  <c r="BE714" i="4"/>
  <c r="BF714" i="4"/>
  <c r="BF1041" i="4"/>
  <c r="BF688" i="4"/>
  <c r="BG150" i="4"/>
  <c r="BG34" i="4"/>
  <c r="BG41" i="4" s="1"/>
  <c r="BG48" i="4" s="1"/>
  <c r="BH7" i="66"/>
  <c r="BH6" i="66" s="1"/>
  <c r="BH86" i="64"/>
  <c r="BH87" i="64" s="1"/>
  <c r="BH7" i="4"/>
  <c r="BH7" i="62"/>
  <c r="BH6" i="62" s="1"/>
  <c r="BH7" i="11"/>
  <c r="BH6" i="11" s="1"/>
  <c r="BH7" i="64"/>
  <c r="BH6" i="64" s="1"/>
  <c r="BH28" i="64" s="1"/>
  <c r="BH30" i="64" s="1"/>
  <c r="BH53" i="64" s="1"/>
  <c r="BH8" i="3"/>
  <c r="BH16" i="4" s="1"/>
  <c r="BH6" i="3"/>
  <c r="BG192" i="4"/>
  <c r="BG530" i="4"/>
  <c r="BG70" i="4"/>
  <c r="BG543" i="4"/>
  <c r="BF63" i="4"/>
  <c r="BF1389" i="4" s="1"/>
  <c r="BG824" i="4"/>
  <c r="BG54" i="11"/>
  <c r="BG62" i="4"/>
  <c r="BG528" i="4" s="1"/>
  <c r="BG223" i="4"/>
  <c r="BG227" i="4" s="1"/>
  <c r="BG36" i="4"/>
  <c r="BG43" i="4" s="1"/>
  <c r="BG50" i="4" s="1"/>
  <c r="BG67" i="4"/>
  <c r="BG1042" i="4" s="1"/>
  <c r="BF690" i="4"/>
  <c r="BF544" i="4"/>
  <c r="BG1157" i="4"/>
  <c r="V289" i="4" l="1"/>
  <c r="Y956" i="4"/>
  <c r="X270" i="4"/>
  <c r="X235" i="4"/>
  <c r="Z746" i="4"/>
  <c r="Z754" i="4"/>
  <c r="W285" i="4"/>
  <c r="Z941" i="4"/>
  <c r="Z942" i="4"/>
  <c r="Z940" i="4"/>
  <c r="Z943" i="4"/>
  <c r="X265" i="4"/>
  <c r="X163" i="4"/>
  <c r="X283" i="4"/>
  <c r="X267" i="4"/>
  <c r="X281" i="4" s="1"/>
  <c r="X177" i="4"/>
  <c r="V1318" i="4"/>
  <c r="V33" i="66"/>
  <c r="V32" i="66" s="1"/>
  <c r="V65" i="62"/>
  <c r="V1118" i="4"/>
  <c r="V1291" i="4"/>
  <c r="V81" i="11"/>
  <c r="V82" i="11" s="1"/>
  <c r="V1387" i="4" s="1"/>
  <c r="W260" i="4"/>
  <c r="Y210" i="4"/>
  <c r="Y234" i="4"/>
  <c r="Y233" i="4"/>
  <c r="Y209" i="4"/>
  <c r="Y232" i="4"/>
  <c r="Y211" i="4"/>
  <c r="Y256" i="4"/>
  <c r="Y231" i="4"/>
  <c r="Y207" i="4"/>
  <c r="Y269" i="4" s="1"/>
  <c r="Y206" i="4"/>
  <c r="Y255" i="4"/>
  <c r="Y254" i="4"/>
  <c r="Y204" i="4"/>
  <c r="Y208" i="4"/>
  <c r="Y205" i="4"/>
  <c r="Y257" i="4"/>
  <c r="Y167" i="4"/>
  <c r="Y168" i="4"/>
  <c r="Y166" i="4"/>
  <c r="Y174" i="4"/>
  <c r="Y161" i="4"/>
  <c r="Y173" i="4"/>
  <c r="Y159" i="4"/>
  <c r="Y175" i="4"/>
  <c r="Y160" i="4"/>
  <c r="Y176" i="4"/>
  <c r="Y169" i="4"/>
  <c r="Y162" i="4"/>
  <c r="Z85" i="4"/>
  <c r="X212" i="4"/>
  <c r="X268" i="4"/>
  <c r="X282" i="4" s="1"/>
  <c r="AA1109" i="4"/>
  <c r="AA1110" i="4" s="1"/>
  <c r="AA1111" i="4" s="1"/>
  <c r="AA985" i="4" s="1"/>
  <c r="AA955" i="4"/>
  <c r="AA947" i="4"/>
  <c r="AA948" i="4"/>
  <c r="AA936" i="4"/>
  <c r="AA952" i="4"/>
  <c r="AA937" i="4"/>
  <c r="AA953" i="4"/>
  <c r="AA895" i="4"/>
  <c r="AA973" i="4" s="1"/>
  <c r="AA296" i="4" s="1"/>
  <c r="AA954" i="4"/>
  <c r="AA938" i="4"/>
  <c r="AA951" i="4"/>
  <c r="AA939" i="4"/>
  <c r="AA946" i="4"/>
  <c r="AA743" i="4"/>
  <c r="AA744" i="4"/>
  <c r="AA745" i="4"/>
  <c r="AB79" i="4"/>
  <c r="W334" i="4"/>
  <c r="W1037" i="4" s="1"/>
  <c r="W276" i="4"/>
  <c r="W279" i="4"/>
  <c r="X266" i="4"/>
  <c r="X280" i="4" s="1"/>
  <c r="X170" i="4"/>
  <c r="X271" i="4"/>
  <c r="X285" i="4" s="1"/>
  <c r="X258" i="4"/>
  <c r="BG35" i="4"/>
  <c r="BG42" i="4" s="1"/>
  <c r="BG49" i="4" s="1"/>
  <c r="BG1036" i="4"/>
  <c r="BG15" i="66"/>
  <c r="BD739" i="4"/>
  <c r="BH241" i="3"/>
  <c r="BH146" i="4" s="1"/>
  <c r="BH151" i="4" s="1"/>
  <c r="BH301" i="3"/>
  <c r="BH188" i="4" s="1"/>
  <c r="BH197" i="4" s="1"/>
  <c r="BH298" i="3"/>
  <c r="BH185" i="4" s="1"/>
  <c r="BH194" i="4" s="1"/>
  <c r="BF717" i="4"/>
  <c r="BF722" i="4"/>
  <c r="BF721" i="4"/>
  <c r="BF718" i="4"/>
  <c r="BE722" i="4"/>
  <c r="BE721" i="4"/>
  <c r="BE718" i="4"/>
  <c r="BE717" i="4"/>
  <c r="BG54" i="4"/>
  <c r="BG53" i="62" s="1"/>
  <c r="BH299" i="3"/>
  <c r="BH186" i="4" s="1"/>
  <c r="BH195" i="4" s="1"/>
  <c r="BH240" i="3"/>
  <c r="BH145" i="4" s="1"/>
  <c r="BH186" i="3"/>
  <c r="BH123" i="4" s="1"/>
  <c r="BH128" i="4" s="1"/>
  <c r="BH129" i="4" s="1"/>
  <c r="BH330" i="3"/>
  <c r="BH219" i="4" s="1"/>
  <c r="BH224" i="4" s="1"/>
  <c r="BH331" i="3"/>
  <c r="BH356" i="3"/>
  <c r="BH242" i="4" s="1"/>
  <c r="BH247" i="4" s="1"/>
  <c r="BH184" i="3"/>
  <c r="BH121" i="4" s="1"/>
  <c r="BH1447" i="4"/>
  <c r="BH329" i="3"/>
  <c r="BH218" i="4" s="1"/>
  <c r="BH216" i="3"/>
  <c r="BH355" i="3"/>
  <c r="BH241" i="4" s="1"/>
  <c r="BH218" i="3"/>
  <c r="BH300" i="3"/>
  <c r="BH187" i="4" s="1"/>
  <c r="BH196" i="4" s="1"/>
  <c r="BH357" i="3"/>
  <c r="BH243" i="4" s="1"/>
  <c r="BH248" i="4" s="1"/>
  <c r="BH249" i="4" s="1"/>
  <c r="BH217" i="3"/>
  <c r="BH134" i="4" s="1"/>
  <c r="BH139" i="4" s="1"/>
  <c r="BH185" i="3"/>
  <c r="BH122" i="4" s="1"/>
  <c r="BH127" i="4" s="1"/>
  <c r="BH296" i="3"/>
  <c r="BH183" i="4" s="1"/>
  <c r="BH297" i="3"/>
  <c r="BH242" i="3"/>
  <c r="BG540" i="4"/>
  <c r="BG542" i="4" s="1"/>
  <c r="BG153" i="4"/>
  <c r="BG154" i="4" s="1"/>
  <c r="BG199" i="4"/>
  <c r="BG200" i="4" s="1"/>
  <c r="BG642" i="3"/>
  <c r="BG22" i="4"/>
  <c r="BH21" i="4"/>
  <c r="BG713" i="4"/>
  <c r="BI7" i="3"/>
  <c r="BH8" i="4"/>
  <c r="BH1158" i="4"/>
  <c r="BH1159" i="4" s="1"/>
  <c r="BH1183" i="4"/>
  <c r="BH30" i="4"/>
  <c r="BH67" i="4" s="1"/>
  <c r="BH1409" i="4"/>
  <c r="BH8" i="64"/>
  <c r="BH314" i="4"/>
  <c r="BH8" i="62"/>
  <c r="BH54" i="62" s="1"/>
  <c r="BH8" i="66"/>
  <c r="BH28" i="4"/>
  <c r="BH1184" i="4"/>
  <c r="BH29" i="4"/>
  <c r="BH8" i="11"/>
  <c r="BH1160" i="4"/>
  <c r="BH1156" i="4"/>
  <c r="BG83" i="4"/>
  <c r="BG84" i="4" s="1"/>
  <c r="BG78" i="4"/>
  <c r="BG76" i="4"/>
  <c r="BG77" i="4" s="1"/>
  <c r="BG34" i="66"/>
  <c r="BG287" i="4"/>
  <c r="BG324" i="4" s="1"/>
  <c r="BH15" i="4"/>
  <c r="BH6" i="4"/>
  <c r="BG24" i="4"/>
  <c r="BG88" i="4" s="1"/>
  <c r="BG1260" i="4" s="1"/>
  <c r="BG9" i="66"/>
  <c r="BG9" i="3"/>
  <c r="BG9" i="4"/>
  <c r="BG9" i="64"/>
  <c r="BG60" i="62"/>
  <c r="BG9" i="11"/>
  <c r="BG9" i="62"/>
  <c r="BH75" i="4" l="1"/>
  <c r="BH82" i="4"/>
  <c r="Z956" i="4"/>
  <c r="AA754" i="4"/>
  <c r="W289" i="4"/>
  <c r="Y265" i="4"/>
  <c r="Y163" i="4"/>
  <c r="AA940" i="4"/>
  <c r="AA941" i="4"/>
  <c r="AA943" i="4"/>
  <c r="AA942" i="4"/>
  <c r="Z209" i="4"/>
  <c r="Z254" i="4"/>
  <c r="Z233" i="4"/>
  <c r="Z207" i="4"/>
  <c r="Z269" i="4" s="1"/>
  <c r="Z283" i="4" s="1"/>
  <c r="Z234" i="4"/>
  <c r="Z208" i="4"/>
  <c r="Z210" i="4"/>
  <c r="Z232" i="4"/>
  <c r="Z257" i="4"/>
  <c r="Z206" i="4"/>
  <c r="Z256" i="4"/>
  <c r="Z211" i="4"/>
  <c r="Z205" i="4"/>
  <c r="Z204" i="4"/>
  <c r="Z255" i="4"/>
  <c r="Z231" i="4"/>
  <c r="Z175" i="4"/>
  <c r="Z160" i="4"/>
  <c r="Z166" i="4"/>
  <c r="Z161" i="4"/>
  <c r="Z174" i="4"/>
  <c r="Z168" i="4"/>
  <c r="Z173" i="4"/>
  <c r="Z167" i="4"/>
  <c r="Z159" i="4"/>
  <c r="Z176" i="4"/>
  <c r="Z162" i="4"/>
  <c r="Z169" i="4"/>
  <c r="AA85" i="4"/>
  <c r="Y268" i="4"/>
  <c r="Y282" i="4" s="1"/>
  <c r="Y212" i="4"/>
  <c r="Y271" i="4"/>
  <c r="Y258" i="4"/>
  <c r="AB1109" i="4"/>
  <c r="AB1110" i="4" s="1"/>
  <c r="AB1111" i="4" s="1"/>
  <c r="AB985" i="4" s="1"/>
  <c r="AB895" i="4"/>
  <c r="AB973" i="4" s="1"/>
  <c r="AB296" i="4" s="1"/>
  <c r="AB936" i="4"/>
  <c r="AB937" i="4"/>
  <c r="AB951" i="4"/>
  <c r="AB953" i="4"/>
  <c r="AB955" i="4"/>
  <c r="AB939" i="4"/>
  <c r="AB948" i="4"/>
  <c r="AB947" i="4"/>
  <c r="AB954" i="4"/>
  <c r="AB952" i="4"/>
  <c r="AB946" i="4"/>
  <c r="AB938" i="4"/>
  <c r="AB744" i="4"/>
  <c r="AB743" i="4"/>
  <c r="AB745" i="4"/>
  <c r="AC79" i="4"/>
  <c r="Y170" i="4"/>
  <c r="Y266" i="4"/>
  <c r="Y280" i="4" s="1"/>
  <c r="AA746" i="4"/>
  <c r="X260" i="4"/>
  <c r="Y177" i="4"/>
  <c r="Y267" i="4"/>
  <c r="Y281" i="4" s="1"/>
  <c r="Y283" i="4"/>
  <c r="X334" i="4"/>
  <c r="X1037" i="4" s="1"/>
  <c r="X276" i="4"/>
  <c r="X279" i="4"/>
  <c r="X284" i="4"/>
  <c r="Y270" i="4"/>
  <c r="Y235" i="4"/>
  <c r="W1118" i="4"/>
  <c r="W81" i="11"/>
  <c r="W82" i="11" s="1"/>
  <c r="W1387" i="4" s="1"/>
  <c r="W1318" i="4"/>
  <c r="W33" i="66"/>
  <c r="W32" i="66" s="1"/>
  <c r="W1291" i="4"/>
  <c r="W65" i="62"/>
  <c r="BG1173" i="4"/>
  <c r="BG1177" i="4" s="1"/>
  <c r="BG1494" i="4" s="1"/>
  <c r="BH58" i="4"/>
  <c r="BG65" i="4"/>
  <c r="BG55" i="4"/>
  <c r="BF56" i="4"/>
  <c r="BH135" i="4"/>
  <c r="BH140" i="4" s="1"/>
  <c r="BH141" i="4" s="1"/>
  <c r="BH133" i="4"/>
  <c r="BH138" i="4" s="1"/>
  <c r="BH147" i="4"/>
  <c r="BH152" i="4" s="1"/>
  <c r="BH184" i="4"/>
  <c r="BH193" i="4" s="1"/>
  <c r="BH220" i="4"/>
  <c r="BH225" i="4" s="1"/>
  <c r="BH226" i="4" s="1"/>
  <c r="BG53" i="4"/>
  <c r="BH57" i="4"/>
  <c r="BH1129" i="4"/>
  <c r="BE737" i="4"/>
  <c r="BH1042" i="4"/>
  <c r="BH642" i="3"/>
  <c r="BH688" i="4" s="1"/>
  <c r="BF737" i="4"/>
  <c r="BH18" i="4"/>
  <c r="BG1041" i="4"/>
  <c r="BG688" i="4"/>
  <c r="BH223" i="4"/>
  <c r="BH54" i="11"/>
  <c r="BH62" i="4"/>
  <c r="BH528" i="4" s="1"/>
  <c r="BH530" i="4"/>
  <c r="BH543" i="4"/>
  <c r="BH824" i="4"/>
  <c r="BG63" i="4"/>
  <c r="BG1389" i="4" s="1"/>
  <c r="BH529" i="4"/>
  <c r="BH70" i="4"/>
  <c r="BH19" i="4"/>
  <c r="BH20" i="4" s="1"/>
  <c r="BH17" i="4"/>
  <c r="BH192" i="4"/>
  <c r="BH126" i="4"/>
  <c r="BH130" i="4" s="1"/>
  <c r="BH32" i="4"/>
  <c r="BH39" i="4" s="1"/>
  <c r="BH46" i="4" s="1"/>
  <c r="BH198" i="4"/>
  <c r="BH68" i="4"/>
  <c r="BH66" i="4"/>
  <c r="BH1151" i="4"/>
  <c r="BH27" i="66"/>
  <c r="BH60" i="4"/>
  <c r="BH28" i="66"/>
  <c r="BH295" i="4"/>
  <c r="BH303" i="4" s="1"/>
  <c r="BH1263" i="4"/>
  <c r="BG61" i="4"/>
  <c r="BG318" i="4" s="1"/>
  <c r="BG328" i="4" s="1"/>
  <c r="BH150" i="4"/>
  <c r="BI86" i="64"/>
  <c r="BI87" i="64" s="1"/>
  <c r="BI7" i="66"/>
  <c r="BI6" i="66" s="1"/>
  <c r="BI7" i="11"/>
  <c r="BI6" i="11" s="1"/>
  <c r="BI8" i="3"/>
  <c r="BI16" i="4" s="1"/>
  <c r="BI7" i="64"/>
  <c r="BI6" i="64" s="1"/>
  <c r="BI28" i="64" s="1"/>
  <c r="BI30" i="64" s="1"/>
  <c r="BI53" i="64" s="1"/>
  <c r="BI6" i="3"/>
  <c r="BI7" i="4"/>
  <c r="BI7" i="62"/>
  <c r="BI6" i="62" s="1"/>
  <c r="BF736" i="4"/>
  <c r="BH274" i="4"/>
  <c r="BH335" i="4" s="1"/>
  <c r="BH273" i="4"/>
  <c r="BH1243" i="4"/>
  <c r="BH275" i="4"/>
  <c r="BH288" i="4" s="1"/>
  <c r="BH329" i="4" s="1"/>
  <c r="BH414" i="4" s="1"/>
  <c r="BH415" i="4" s="1"/>
  <c r="BI413" i="4" s="1"/>
  <c r="BH1242" i="4"/>
  <c r="BG731" i="4"/>
  <c r="BG732" i="4"/>
  <c r="BG714" i="4"/>
  <c r="BG690" i="4"/>
  <c r="BG544" i="4"/>
  <c r="BH246" i="4"/>
  <c r="BH250" i="4" s="1"/>
  <c r="BH37" i="4"/>
  <c r="BH44" i="4" s="1"/>
  <c r="BH51" i="4" s="1"/>
  <c r="BH1157" i="4"/>
  <c r="BE736" i="4"/>
  <c r="BH15" i="66" l="1"/>
  <c r="BH34" i="4"/>
  <c r="BH41" i="4" s="1"/>
  <c r="BH48" i="4" s="1"/>
  <c r="X289" i="4"/>
  <c r="AB746" i="4"/>
  <c r="AA956" i="4"/>
  <c r="Y285" i="4"/>
  <c r="Z212" i="4"/>
  <c r="Z268" i="4"/>
  <c r="Z282" i="4" s="1"/>
  <c r="Z170" i="4"/>
  <c r="Z266" i="4"/>
  <c r="Z280" i="4" s="1"/>
  <c r="Y260" i="4"/>
  <c r="X33" i="66"/>
  <c r="X32" i="66" s="1"/>
  <c r="X1291" i="4"/>
  <c r="X1318" i="4"/>
  <c r="X81" i="11"/>
  <c r="X82" i="11" s="1"/>
  <c r="X1387" i="4" s="1"/>
  <c r="X1118" i="4"/>
  <c r="X65" i="62"/>
  <c r="AC1109" i="4"/>
  <c r="AC1110" i="4" s="1"/>
  <c r="AC1111" i="4" s="1"/>
  <c r="AC985" i="4" s="1"/>
  <c r="AC955" i="4"/>
  <c r="AC952" i="4"/>
  <c r="AC895" i="4"/>
  <c r="AC973" i="4" s="1"/>
  <c r="AC296" i="4" s="1"/>
  <c r="AC951" i="4"/>
  <c r="AC953" i="4"/>
  <c r="AC948" i="4"/>
  <c r="AC954" i="4"/>
  <c r="AC946" i="4"/>
  <c r="AC937" i="4"/>
  <c r="AC936" i="4"/>
  <c r="AC938" i="4"/>
  <c r="AC947" i="4"/>
  <c r="AC939" i="4"/>
  <c r="AC744" i="4"/>
  <c r="AC743" i="4"/>
  <c r="AC745" i="4"/>
  <c r="AD79" i="4"/>
  <c r="AB941" i="4"/>
  <c r="AB943" i="4"/>
  <c r="AB940" i="4"/>
  <c r="AB942" i="4"/>
  <c r="Z271" i="4"/>
  <c r="Z285" i="4" s="1"/>
  <c r="Z258" i="4"/>
  <c r="Y276" i="4"/>
  <c r="Y334" i="4"/>
  <c r="Y1037" i="4" s="1"/>
  <c r="Y279" i="4"/>
  <c r="Z265" i="4"/>
  <c r="Z163" i="4"/>
  <c r="Z270" i="4"/>
  <c r="Z284" i="4" s="1"/>
  <c r="Z235" i="4"/>
  <c r="AA254" i="4"/>
  <c r="AA207" i="4"/>
  <c r="AA269" i="4" s="1"/>
  <c r="AA231" i="4"/>
  <c r="AA255" i="4"/>
  <c r="AA232" i="4"/>
  <c r="AA257" i="4"/>
  <c r="AA208" i="4"/>
  <c r="AA234" i="4"/>
  <c r="AA204" i="4"/>
  <c r="AA210" i="4"/>
  <c r="AA209" i="4"/>
  <c r="AA205" i="4"/>
  <c r="AA256" i="4"/>
  <c r="AA206" i="4"/>
  <c r="AA233" i="4"/>
  <c r="AA211" i="4"/>
  <c r="AA168" i="4"/>
  <c r="AA174" i="4"/>
  <c r="AA160" i="4"/>
  <c r="AA175" i="4"/>
  <c r="AA166" i="4"/>
  <c r="AA161" i="4"/>
  <c r="AA167" i="4"/>
  <c r="AA173" i="4"/>
  <c r="AA159" i="4"/>
  <c r="AA169" i="4"/>
  <c r="AA176" i="4"/>
  <c r="AA162" i="4"/>
  <c r="AB85" i="4"/>
  <c r="Y284" i="4"/>
  <c r="AB754" i="4"/>
  <c r="Z267" i="4"/>
  <c r="Z281" i="4" s="1"/>
  <c r="Z177" i="4"/>
  <c r="BH24" i="4"/>
  <c r="BH88" i="4" s="1"/>
  <c r="BH1260" i="4" s="1"/>
  <c r="BH1036" i="4"/>
  <c r="BH35" i="4"/>
  <c r="BH42" i="4" s="1"/>
  <c r="BH49" i="4" s="1"/>
  <c r="BH33" i="4"/>
  <c r="BH40" i="4" s="1"/>
  <c r="BH47" i="4" s="1"/>
  <c r="BH142" i="4"/>
  <c r="BI329" i="3"/>
  <c r="BI218" i="4" s="1"/>
  <c r="BI301" i="3"/>
  <c r="BI188" i="4" s="1"/>
  <c r="BI197" i="4" s="1"/>
  <c r="BH54" i="4"/>
  <c r="BH55" i="4" s="1"/>
  <c r="BG721" i="4"/>
  <c r="BG717" i="4"/>
  <c r="BG718" i="4"/>
  <c r="BG722" i="4"/>
  <c r="BI356" i="3"/>
  <c r="BI242" i="4" s="1"/>
  <c r="BI247" i="4" s="1"/>
  <c r="BI297" i="3"/>
  <c r="BI184" i="4" s="1"/>
  <c r="BI193" i="4" s="1"/>
  <c r="BI186" i="3"/>
  <c r="BI123" i="4" s="1"/>
  <c r="BI128" i="4" s="1"/>
  <c r="BI129" i="4" s="1"/>
  <c r="BI300" i="3"/>
  <c r="BI187" i="4" s="1"/>
  <c r="BI196" i="4" s="1"/>
  <c r="BI240" i="3"/>
  <c r="BI145" i="4" s="1"/>
  <c r="BI296" i="3"/>
  <c r="BI183" i="4" s="1"/>
  <c r="BI217" i="3"/>
  <c r="BI134" i="4" s="1"/>
  <c r="BI139" i="4" s="1"/>
  <c r="BI355" i="3"/>
  <c r="BI241" i="4" s="1"/>
  <c r="BI1447" i="4"/>
  <c r="BI216" i="3"/>
  <c r="BI133" i="4" s="1"/>
  <c r="BI299" i="3"/>
  <c r="BI186" i="4" s="1"/>
  <c r="BI195" i="4" s="1"/>
  <c r="BJ7" i="3"/>
  <c r="BJ7" i="66" s="1"/>
  <c r="BJ6" i="66" s="1"/>
  <c r="BI241" i="3"/>
  <c r="BI298" i="3"/>
  <c r="BI185" i="4" s="1"/>
  <c r="BI194" i="4" s="1"/>
  <c r="BI184" i="3"/>
  <c r="BI121" i="4" s="1"/>
  <c r="BI185" i="3"/>
  <c r="BI122" i="4" s="1"/>
  <c r="BI127" i="4" s="1"/>
  <c r="BI331" i="3"/>
  <c r="BI220" i="4" s="1"/>
  <c r="BI225" i="4" s="1"/>
  <c r="BI226" i="4" s="1"/>
  <c r="BH36" i="4"/>
  <c r="BH43" i="4" s="1"/>
  <c r="BH50" i="4" s="1"/>
  <c r="BH713" i="4" s="1"/>
  <c r="BI357" i="3"/>
  <c r="BI243" i="4" s="1"/>
  <c r="BI248" i="4" s="1"/>
  <c r="BI249" i="4" s="1"/>
  <c r="BI218" i="3"/>
  <c r="BI135" i="4" s="1"/>
  <c r="BI140" i="4" s="1"/>
  <c r="BI141" i="4" s="1"/>
  <c r="BH227" i="4"/>
  <c r="BI330" i="3"/>
  <c r="BI219" i="4" s="1"/>
  <c r="BI224" i="4" s="1"/>
  <c r="BI242" i="3"/>
  <c r="BI147" i="4" s="1"/>
  <c r="BI152" i="4" s="1"/>
  <c r="BH1041" i="4"/>
  <c r="BI314" i="4"/>
  <c r="BI274" i="4" s="1"/>
  <c r="BI335" i="4" s="1"/>
  <c r="BH153" i="4"/>
  <c r="BH154" i="4" s="1"/>
  <c r="BH540" i="4"/>
  <c r="BH542" i="4" s="1"/>
  <c r="BH34" i="66"/>
  <c r="BH287" i="4"/>
  <c r="BH324" i="4" s="1"/>
  <c r="BH9" i="3"/>
  <c r="BH9" i="64"/>
  <c r="BH9" i="62"/>
  <c r="BH9" i="4"/>
  <c r="BH60" i="62"/>
  <c r="BH9" i="66"/>
  <c r="BH9" i="11"/>
  <c r="BH76" i="4"/>
  <c r="BH77" i="4" s="1"/>
  <c r="BH78" i="4"/>
  <c r="BI15" i="4"/>
  <c r="BI6" i="4"/>
  <c r="BH83" i="4"/>
  <c r="BH84" i="4" s="1"/>
  <c r="BH199" i="4"/>
  <c r="BH200" i="4" s="1"/>
  <c r="BE738" i="4"/>
  <c r="BF738" i="4"/>
  <c r="BI1156" i="4"/>
  <c r="BI8" i="11"/>
  <c r="BI8" i="66"/>
  <c r="BI8" i="64"/>
  <c r="BI1409" i="4"/>
  <c r="BI1184" i="4"/>
  <c r="BI30" i="4"/>
  <c r="BI529" i="4" s="1"/>
  <c r="BI8" i="4"/>
  <c r="BI29" i="4"/>
  <c r="BI8" i="62"/>
  <c r="BI1160" i="4"/>
  <c r="BI1183" i="4"/>
  <c r="BI1158" i="4"/>
  <c r="BI1159" i="4" s="1"/>
  <c r="BI28" i="4"/>
  <c r="BI21" i="4"/>
  <c r="BH22" i="4"/>
  <c r="BJ7" i="62" l="1"/>
  <c r="BJ6" i="62" s="1"/>
  <c r="BI273" i="4"/>
  <c r="BI1242" i="4"/>
  <c r="BI275" i="4"/>
  <c r="BI288" i="4" s="1"/>
  <c r="BI329" i="4" s="1"/>
  <c r="BI414" i="4" s="1"/>
  <c r="BI415" i="4" s="1"/>
  <c r="BJ413" i="4" s="1"/>
  <c r="BI1243" i="4"/>
  <c r="BI75" i="4"/>
  <c r="BI82" i="4"/>
  <c r="AC746" i="4"/>
  <c r="Y289" i="4"/>
  <c r="AB956" i="4"/>
  <c r="AB234" i="4"/>
  <c r="AB209" i="4"/>
  <c r="AB204" i="4"/>
  <c r="AB255" i="4"/>
  <c r="AB207" i="4"/>
  <c r="AB269" i="4" s="1"/>
  <c r="AB283" i="4" s="1"/>
  <c r="AB231" i="4"/>
  <c r="AB206" i="4"/>
  <c r="AB254" i="4"/>
  <c r="AB232" i="4"/>
  <c r="AB208" i="4"/>
  <c r="AB211" i="4"/>
  <c r="AB233" i="4"/>
  <c r="AB257" i="4"/>
  <c r="AB210" i="4"/>
  <c r="AB205" i="4"/>
  <c r="AB256" i="4"/>
  <c r="AB175" i="4"/>
  <c r="AB159" i="4"/>
  <c r="AB160" i="4"/>
  <c r="AB167" i="4"/>
  <c r="AB174" i="4"/>
  <c r="AB161" i="4"/>
  <c r="AB166" i="4"/>
  <c r="AB173" i="4"/>
  <c r="AB168" i="4"/>
  <c r="AB176" i="4"/>
  <c r="AB169" i="4"/>
  <c r="AB162" i="4"/>
  <c r="AC85" i="4"/>
  <c r="AA170" i="4"/>
  <c r="AA266" i="4"/>
  <c r="AA280" i="4" s="1"/>
  <c r="Z260" i="4"/>
  <c r="AC942" i="4"/>
  <c r="AC941" i="4"/>
  <c r="AC940" i="4"/>
  <c r="AC943" i="4"/>
  <c r="Z276" i="4"/>
  <c r="Z334" i="4"/>
  <c r="Z1037" i="4" s="1"/>
  <c r="Z279" i="4"/>
  <c r="Z289" i="4" s="1"/>
  <c r="AD1109" i="4"/>
  <c r="AD1110" i="4" s="1"/>
  <c r="AD1111" i="4" s="1"/>
  <c r="AD985" i="4" s="1"/>
  <c r="AD946" i="4"/>
  <c r="AD937" i="4"/>
  <c r="AD938" i="4"/>
  <c r="AD939" i="4"/>
  <c r="AD953" i="4"/>
  <c r="AD954" i="4"/>
  <c r="AD955" i="4"/>
  <c r="AD948" i="4"/>
  <c r="AD952" i="4"/>
  <c r="AD895" i="4"/>
  <c r="AD973" i="4" s="1"/>
  <c r="AD296" i="4" s="1"/>
  <c r="AD951" i="4"/>
  <c r="AD936" i="4"/>
  <c r="AD947" i="4"/>
  <c r="AD743" i="4"/>
  <c r="AD744" i="4"/>
  <c r="AD745" i="4"/>
  <c r="AE79" i="4"/>
  <c r="AA270" i="4"/>
  <c r="AA235" i="4"/>
  <c r="AA283" i="4"/>
  <c r="AC754" i="4"/>
  <c r="AA163" i="4"/>
  <c r="AA265" i="4"/>
  <c r="AA212" i="4"/>
  <c r="AA268" i="4"/>
  <c r="AA282" i="4" s="1"/>
  <c r="AA271" i="4"/>
  <c r="AA285" i="4" s="1"/>
  <c r="AA258" i="4"/>
  <c r="AA267" i="4"/>
  <c r="AA281" i="4" s="1"/>
  <c r="AA177" i="4"/>
  <c r="Y65" i="62"/>
  <c r="Y81" i="11"/>
  <c r="Y82" i="11" s="1"/>
  <c r="Y1387" i="4" s="1"/>
  <c r="Y1118" i="4"/>
  <c r="Y33" i="66"/>
  <c r="Y32" i="66" s="1"/>
  <c r="Y1318" i="4"/>
  <c r="Y1291" i="4"/>
  <c r="BH65" i="4"/>
  <c r="BH53" i="62"/>
  <c r="BJ8" i="3"/>
  <c r="BJ16" i="4" s="1"/>
  <c r="BJ7" i="4"/>
  <c r="BJ6" i="4" s="1"/>
  <c r="BJ86" i="64"/>
  <c r="BJ87" i="64" s="1"/>
  <c r="BJ7" i="64"/>
  <c r="BJ6" i="64" s="1"/>
  <c r="BJ28" i="64" s="1"/>
  <c r="BJ30" i="64" s="1"/>
  <c r="BJ53" i="64" s="1"/>
  <c r="BJ6" i="3"/>
  <c r="BJ7" i="11"/>
  <c r="BJ6" i="11" s="1"/>
  <c r="BH1173" i="4"/>
  <c r="BH1177" i="4" s="1"/>
  <c r="BH1494" i="4" s="1"/>
  <c r="BG56" i="4"/>
  <c r="BI1036" i="4"/>
  <c r="BI58" i="4"/>
  <c r="BI146" i="4"/>
  <c r="BI151" i="4" s="1"/>
  <c r="BI57" i="4"/>
  <c r="BI9" i="4" s="1"/>
  <c r="BH53" i="4"/>
  <c r="BE739" i="4"/>
  <c r="BI1129" i="4"/>
  <c r="BG737" i="4"/>
  <c r="BI1157" i="4"/>
  <c r="BI1263" i="4"/>
  <c r="BH61" i="4"/>
  <c r="BH318" i="4" s="1"/>
  <c r="BH328" i="4" s="1"/>
  <c r="BI295" i="4"/>
  <c r="BI303" i="4" s="1"/>
  <c r="BI60" i="4"/>
  <c r="BI27" i="66"/>
  <c r="BI1151" i="4"/>
  <c r="BI28" i="66"/>
  <c r="BI223" i="4"/>
  <c r="BI36" i="4"/>
  <c r="BI43" i="4" s="1"/>
  <c r="BI50" i="4" s="1"/>
  <c r="BI33" i="4"/>
  <c r="BI40" i="4" s="1"/>
  <c r="BI47" i="4" s="1"/>
  <c r="BI138" i="4"/>
  <c r="BI142" i="4" s="1"/>
  <c r="BI54" i="62"/>
  <c r="BI19" i="4"/>
  <c r="BI20" i="4" s="1"/>
  <c r="BI17" i="4"/>
  <c r="BJ1160" i="4"/>
  <c r="BG736" i="4"/>
  <c r="BI32" i="4"/>
  <c r="BI39" i="4" s="1"/>
  <c r="BI46" i="4" s="1"/>
  <c r="BI126" i="4"/>
  <c r="BI150" i="4"/>
  <c r="BF739" i="4"/>
  <c r="BH544" i="4"/>
  <c r="BH690" i="4"/>
  <c r="BH731" i="4"/>
  <c r="BH714" i="4"/>
  <c r="BH732" i="4"/>
  <c r="BI198" i="4"/>
  <c r="BI246" i="4"/>
  <c r="BI37" i="4"/>
  <c r="BI44" i="4" s="1"/>
  <c r="BI51" i="4" s="1"/>
  <c r="BI66" i="4"/>
  <c r="BI192" i="4"/>
  <c r="BI35" i="4"/>
  <c r="BI42" i="4" s="1"/>
  <c r="BI49" i="4" s="1"/>
  <c r="BI824" i="4"/>
  <c r="BI62" i="4"/>
  <c r="BI528" i="4" s="1"/>
  <c r="BI530" i="4"/>
  <c r="BI68" i="4"/>
  <c r="BI543" i="4"/>
  <c r="BI67" i="4"/>
  <c r="BI1042" i="4" s="1"/>
  <c r="BI54" i="11"/>
  <c r="BI70" i="4"/>
  <c r="BH63" i="4"/>
  <c r="BH1389" i="4" s="1"/>
  <c r="BI287" i="4"/>
  <c r="BI324" i="4" s="1"/>
  <c r="BI18" i="4"/>
  <c r="BI34" i="66" l="1"/>
  <c r="BJ1158" i="4"/>
  <c r="BJ1159" i="4" s="1"/>
  <c r="BJ15" i="4"/>
  <c r="BJ75" i="4" s="1"/>
  <c r="BI15" i="66"/>
  <c r="BJ8" i="11"/>
  <c r="BJ30" i="4"/>
  <c r="BJ529" i="4" s="1"/>
  <c r="BJ185" i="3"/>
  <c r="BJ1156" i="4"/>
  <c r="BJ1157" i="4" s="1"/>
  <c r="BJ186" i="3"/>
  <c r="BJ123" i="4" s="1"/>
  <c r="BJ128" i="4" s="1"/>
  <c r="BJ129" i="4" s="1"/>
  <c r="BJ8" i="62"/>
  <c r="BJ54" i="62" s="1"/>
  <c r="BJ8" i="64"/>
  <c r="BJ184" i="3"/>
  <c r="BJ121" i="4" s="1"/>
  <c r="BJ126" i="4" s="1"/>
  <c r="BJ218" i="3"/>
  <c r="BJ135" i="4" s="1"/>
  <c r="BJ140" i="4" s="1"/>
  <c r="BJ141" i="4" s="1"/>
  <c r="BJ298" i="3"/>
  <c r="BJ185" i="4" s="1"/>
  <c r="BJ194" i="4" s="1"/>
  <c r="BJ198" i="4" s="1"/>
  <c r="BJ329" i="3"/>
  <c r="BJ330" i="3"/>
  <c r="BJ219" i="4" s="1"/>
  <c r="BJ224" i="4" s="1"/>
  <c r="BJ216" i="3"/>
  <c r="BJ133" i="4" s="1"/>
  <c r="BJ138" i="4" s="1"/>
  <c r="BJ1409" i="4"/>
  <c r="BJ28" i="4"/>
  <c r="BI53" i="4" s="1"/>
  <c r="BJ1184" i="4"/>
  <c r="BJ242" i="3"/>
  <c r="BJ147" i="4" s="1"/>
  <c r="BJ152" i="4" s="1"/>
  <c r="BJ357" i="3"/>
  <c r="BJ243" i="4" s="1"/>
  <c r="BJ248" i="4" s="1"/>
  <c r="BJ249" i="4" s="1"/>
  <c r="BJ29" i="4"/>
  <c r="BJ28" i="66" s="1"/>
  <c r="BJ1183" i="4"/>
  <c r="BJ356" i="3"/>
  <c r="BJ242" i="4" s="1"/>
  <c r="BJ247" i="4" s="1"/>
  <c r="BJ300" i="3"/>
  <c r="BJ187" i="4" s="1"/>
  <c r="BJ196" i="4" s="1"/>
  <c r="BJ241" i="3"/>
  <c r="BJ146" i="4" s="1"/>
  <c r="BJ151" i="4" s="1"/>
  <c r="BJ8" i="66"/>
  <c r="BK7" i="3"/>
  <c r="BK86" i="64" s="1"/>
  <c r="BK87" i="64" s="1"/>
  <c r="BJ297" i="3"/>
  <c r="BJ184" i="4" s="1"/>
  <c r="BJ193" i="4" s="1"/>
  <c r="BJ301" i="3"/>
  <c r="BJ188" i="4" s="1"/>
  <c r="BJ197" i="4" s="1"/>
  <c r="BJ8" i="4"/>
  <c r="BJ19" i="4" s="1"/>
  <c r="BJ20" i="4" s="1"/>
  <c r="BJ331" i="3"/>
  <c r="BJ220" i="4" s="1"/>
  <c r="BJ225" i="4" s="1"/>
  <c r="BJ226" i="4" s="1"/>
  <c r="BJ314" i="4"/>
  <c r="BJ273" i="4" s="1"/>
  <c r="BJ217" i="3"/>
  <c r="BJ134" i="4" s="1"/>
  <c r="BJ139" i="4" s="1"/>
  <c r="BJ1447" i="4"/>
  <c r="BJ240" i="3"/>
  <c r="BJ145" i="4" s="1"/>
  <c r="BJ355" i="3"/>
  <c r="BJ241" i="4" s="1"/>
  <c r="BJ299" i="3"/>
  <c r="BJ186" i="4" s="1"/>
  <c r="BJ195" i="4" s="1"/>
  <c r="BJ296" i="3"/>
  <c r="BJ183" i="4" s="1"/>
  <c r="BJ192" i="4" s="1"/>
  <c r="AC956" i="4"/>
  <c r="AA260" i="4"/>
  <c r="AA1291" i="4" s="1"/>
  <c r="AD746" i="4"/>
  <c r="AB265" i="4"/>
  <c r="AB163" i="4"/>
  <c r="AE1109" i="4"/>
  <c r="AE1110" i="4" s="1"/>
  <c r="AE1111" i="4" s="1"/>
  <c r="AE985" i="4" s="1"/>
  <c r="AE895" i="4"/>
  <c r="AE973" i="4" s="1"/>
  <c r="AE296" i="4" s="1"/>
  <c r="AE938" i="4"/>
  <c r="AE946" i="4"/>
  <c r="AE953" i="4"/>
  <c r="AE948" i="4"/>
  <c r="AE939" i="4"/>
  <c r="AE947" i="4"/>
  <c r="AE936" i="4"/>
  <c r="AE954" i="4"/>
  <c r="AE952" i="4"/>
  <c r="AE955" i="4"/>
  <c r="AE937" i="4"/>
  <c r="AE951" i="4"/>
  <c r="AE744" i="4"/>
  <c r="AE743" i="4"/>
  <c r="AE745" i="4"/>
  <c r="AF79" i="4"/>
  <c r="AB268" i="4"/>
  <c r="AB282" i="4" s="1"/>
  <c r="AB212" i="4"/>
  <c r="AD754" i="4"/>
  <c r="AB177" i="4"/>
  <c r="AB267" i="4"/>
  <c r="AB281" i="4" s="1"/>
  <c r="AB271" i="4"/>
  <c r="AB285" i="4" s="1"/>
  <c r="AB258" i="4"/>
  <c r="AA284" i="4"/>
  <c r="AB170" i="4"/>
  <c r="AB266" i="4"/>
  <c r="AB280" i="4" s="1"/>
  <c r="AD940" i="4"/>
  <c r="AD943" i="4"/>
  <c r="AD942" i="4"/>
  <c r="AD941" i="4"/>
  <c r="AB270" i="4"/>
  <c r="AB284" i="4" s="1"/>
  <c r="AB235" i="4"/>
  <c r="AC211" i="4"/>
  <c r="AC208" i="4"/>
  <c r="AC232" i="4"/>
  <c r="AC255" i="4"/>
  <c r="AC231" i="4"/>
  <c r="AC206" i="4"/>
  <c r="AC210" i="4"/>
  <c r="AC254" i="4"/>
  <c r="AC256" i="4"/>
  <c r="AC207" i="4"/>
  <c r="AC269" i="4" s="1"/>
  <c r="AC209" i="4"/>
  <c r="AC205" i="4"/>
  <c r="AC204" i="4"/>
  <c r="AC257" i="4"/>
  <c r="AC233" i="4"/>
  <c r="AC234" i="4"/>
  <c r="AC166" i="4"/>
  <c r="AC167" i="4"/>
  <c r="AC168" i="4"/>
  <c r="AC160" i="4"/>
  <c r="AC175" i="4"/>
  <c r="AC159" i="4"/>
  <c r="AC174" i="4"/>
  <c r="AC161" i="4"/>
  <c r="AC173" i="4"/>
  <c r="AC176" i="4"/>
  <c r="AC169" i="4"/>
  <c r="AC162" i="4"/>
  <c r="AD85" i="4"/>
  <c r="Z1291" i="4"/>
  <c r="Z1118" i="4"/>
  <c r="Z33" i="66"/>
  <c r="Z32" i="66" s="1"/>
  <c r="Z1318" i="4"/>
  <c r="Z65" i="62"/>
  <c r="Z81" i="11"/>
  <c r="Z82" i="11" s="1"/>
  <c r="Z1387" i="4" s="1"/>
  <c r="AA276" i="4"/>
  <c r="AA334" i="4"/>
  <c r="AA1037" i="4" s="1"/>
  <c r="AA279" i="4"/>
  <c r="BI153" i="4"/>
  <c r="BI154" i="4" s="1"/>
  <c r="BI34" i="4"/>
  <c r="BI41" i="4" s="1"/>
  <c r="BI48" i="4" s="1"/>
  <c r="BI540" i="4"/>
  <c r="BI542" i="4" s="1"/>
  <c r="BH722" i="4"/>
  <c r="BH721" i="4"/>
  <c r="BH718" i="4"/>
  <c r="BH717" i="4"/>
  <c r="BI54" i="4"/>
  <c r="BH56" i="4" s="1"/>
  <c r="BJ122" i="4"/>
  <c r="BJ127" i="4" s="1"/>
  <c r="BJ218" i="4"/>
  <c r="BJ223" i="4" s="1"/>
  <c r="BI9" i="66"/>
  <c r="BI9" i="3"/>
  <c r="BI227" i="4"/>
  <c r="BI250" i="4"/>
  <c r="BI24" i="4"/>
  <c r="BI88" i="4" s="1"/>
  <c r="BI1260" i="4" s="1"/>
  <c r="BI9" i="62"/>
  <c r="BI642" i="3"/>
  <c r="BI83" i="4"/>
  <c r="BI84" i="4" s="1"/>
  <c r="BI130" i="4"/>
  <c r="BI60" i="62"/>
  <c r="BI22" i="4"/>
  <c r="BJ21" i="4"/>
  <c r="BI9" i="11"/>
  <c r="BI9" i="64"/>
  <c r="BJ150" i="4"/>
  <c r="BI76" i="4"/>
  <c r="BI77" i="4" s="1"/>
  <c r="BI78" i="4"/>
  <c r="BG738" i="4"/>
  <c r="BI199" i="4"/>
  <c r="BI713" i="4"/>
  <c r="BJ1263" i="4" l="1"/>
  <c r="BJ60" i="4"/>
  <c r="BJ62" i="4"/>
  <c r="BJ528" i="4" s="1"/>
  <c r="BJ1242" i="4"/>
  <c r="BJ18" i="4"/>
  <c r="BJ82" i="4"/>
  <c r="BJ83" i="4" s="1"/>
  <c r="BJ84" i="4" s="1"/>
  <c r="BK7" i="64"/>
  <c r="BK6" i="64" s="1"/>
  <c r="BK28" i="64" s="1"/>
  <c r="BK30" i="64" s="1"/>
  <c r="BK53" i="64" s="1"/>
  <c r="BJ67" i="4"/>
  <c r="BJ1042" i="4" s="1"/>
  <c r="BK7" i="4"/>
  <c r="BJ824" i="4"/>
  <c r="BJ70" i="4"/>
  <c r="BK6" i="3"/>
  <c r="BJ543" i="4"/>
  <c r="BJ68" i="4"/>
  <c r="BK7" i="11"/>
  <c r="BK6" i="11" s="1"/>
  <c r="BI63" i="4"/>
  <c r="BI1389" i="4" s="1"/>
  <c r="BK7" i="66"/>
  <c r="BK6" i="66" s="1"/>
  <c r="BJ530" i="4"/>
  <c r="BJ54" i="11"/>
  <c r="BK7" i="62"/>
  <c r="BK6" i="62" s="1"/>
  <c r="BK8" i="3"/>
  <c r="BJ66" i="4"/>
  <c r="BI61" i="4"/>
  <c r="BI318" i="4" s="1"/>
  <c r="BI328" i="4" s="1"/>
  <c r="BJ1243" i="4"/>
  <c r="BJ275" i="4"/>
  <c r="BJ288" i="4" s="1"/>
  <c r="BJ329" i="4" s="1"/>
  <c r="BJ414" i="4" s="1"/>
  <c r="BJ415" i="4" s="1"/>
  <c r="BK413" i="4" s="1"/>
  <c r="BJ274" i="4"/>
  <c r="BJ1151" i="4"/>
  <c r="BJ27" i="66"/>
  <c r="BJ295" i="4"/>
  <c r="BJ303" i="4" s="1"/>
  <c r="BJ57" i="4"/>
  <c r="BJ9" i="4" s="1"/>
  <c r="BJ1129" i="4"/>
  <c r="BJ58" i="4"/>
  <c r="BJ37" i="4"/>
  <c r="BJ44" i="4" s="1"/>
  <c r="BJ51" i="4" s="1"/>
  <c r="BJ34" i="4"/>
  <c r="BJ41" i="4" s="1"/>
  <c r="BJ48" i="4" s="1"/>
  <c r="BJ246" i="4"/>
  <c r="BJ250" i="4" s="1"/>
  <c r="BJ227" i="4"/>
  <c r="BJ17" i="4"/>
  <c r="BJ24" i="4" s="1"/>
  <c r="BJ88" i="4" s="1"/>
  <c r="BJ1260" i="4" s="1"/>
  <c r="AA33" i="66"/>
  <c r="AA32" i="66" s="1"/>
  <c r="AA289" i="4"/>
  <c r="AA1318" i="4"/>
  <c r="AA1118" i="4"/>
  <c r="AA81" i="11"/>
  <c r="AA82" i="11" s="1"/>
  <c r="AA1387" i="4" s="1"/>
  <c r="AA65" i="62"/>
  <c r="BJ130" i="4"/>
  <c r="AD956" i="4"/>
  <c r="AC258" i="4"/>
  <c r="AC271" i="4"/>
  <c r="AE746" i="4"/>
  <c r="AE754" i="4"/>
  <c r="AE941" i="4"/>
  <c r="AE940" i="4"/>
  <c r="AE942" i="4"/>
  <c r="AE943" i="4"/>
  <c r="AC266" i="4"/>
  <c r="AC280" i="4" s="1"/>
  <c r="AC170" i="4"/>
  <c r="AC265" i="4"/>
  <c r="AC163" i="4"/>
  <c r="AB260" i="4"/>
  <c r="AE85" i="4"/>
  <c r="AD209" i="4"/>
  <c r="AD254" i="4"/>
  <c r="AD204" i="4"/>
  <c r="AD205" i="4"/>
  <c r="AD231" i="4"/>
  <c r="AD256" i="4"/>
  <c r="AD232" i="4"/>
  <c r="AD255" i="4"/>
  <c r="AD208" i="4"/>
  <c r="AD210" i="4"/>
  <c r="AD233" i="4"/>
  <c r="AD257" i="4"/>
  <c r="AD234" i="4"/>
  <c r="AD206" i="4"/>
  <c r="AD207" i="4"/>
  <c r="AD269" i="4" s="1"/>
  <c r="AD283" i="4" s="1"/>
  <c r="AD211" i="4"/>
  <c r="AD173" i="4"/>
  <c r="AD161" i="4"/>
  <c r="AD166" i="4"/>
  <c r="AD175" i="4"/>
  <c r="AD159" i="4"/>
  <c r="AD167" i="4"/>
  <c r="AD160" i="4"/>
  <c r="AD174" i="4"/>
  <c r="AD168" i="4"/>
  <c r="AD162" i="4"/>
  <c r="AD169" i="4"/>
  <c r="AD176" i="4"/>
  <c r="AC268" i="4"/>
  <c r="AC282" i="4" s="1"/>
  <c r="AC212" i="4"/>
  <c r="AC235" i="4"/>
  <c r="AC270" i="4"/>
  <c r="AC284" i="4" s="1"/>
  <c r="AB276" i="4"/>
  <c r="AB334" i="4"/>
  <c r="AB1037" i="4" s="1"/>
  <c r="AB279" i="4"/>
  <c r="AB289" i="4" s="1"/>
  <c r="AC267" i="4"/>
  <c r="AC281" i="4" s="1"/>
  <c r="AC177" i="4"/>
  <c r="AC283" i="4"/>
  <c r="AF1109" i="4"/>
  <c r="AF1110" i="4" s="1"/>
  <c r="AF1111" i="4" s="1"/>
  <c r="AF985" i="4" s="1"/>
  <c r="AF895" i="4"/>
  <c r="AF973" i="4" s="1"/>
  <c r="AF296" i="4" s="1"/>
  <c r="AF947" i="4"/>
  <c r="AF954" i="4"/>
  <c r="AF938" i="4"/>
  <c r="AF953" i="4"/>
  <c r="AF946" i="4"/>
  <c r="AF955" i="4"/>
  <c r="AF951" i="4"/>
  <c r="AF948" i="4"/>
  <c r="AF936" i="4"/>
  <c r="AF939" i="4"/>
  <c r="AF952" i="4"/>
  <c r="AF937" i="4"/>
  <c r="AF743" i="4"/>
  <c r="AF744" i="4"/>
  <c r="AF745" i="4"/>
  <c r="AG79" i="4"/>
  <c r="BJ35" i="4"/>
  <c r="BJ42" i="4" s="1"/>
  <c r="BJ49" i="4" s="1"/>
  <c r="BJ15" i="66"/>
  <c r="BI1173" i="4"/>
  <c r="BI1177" i="4" s="1"/>
  <c r="BI1494" i="4" s="1"/>
  <c r="BJ32" i="4"/>
  <c r="BJ39" i="4" s="1"/>
  <c r="BJ46" i="4" s="1"/>
  <c r="BJ36" i="4"/>
  <c r="BJ43" i="4" s="1"/>
  <c r="BJ50" i="4" s="1"/>
  <c r="BJ713" i="4" s="1"/>
  <c r="BJ714" i="4" s="1"/>
  <c r="BK329" i="3"/>
  <c r="BK218" i="4" s="1"/>
  <c r="BK16" i="4"/>
  <c r="BJ335" i="4"/>
  <c r="BJ287" i="4"/>
  <c r="BJ324" i="4" s="1"/>
  <c r="BI55" i="4"/>
  <c r="BK186" i="3"/>
  <c r="BK123" i="4" s="1"/>
  <c r="BK128" i="4" s="1"/>
  <c r="BK129" i="4" s="1"/>
  <c r="BK242" i="3"/>
  <c r="BK147" i="4" s="1"/>
  <c r="BK152" i="4" s="1"/>
  <c r="BK301" i="3"/>
  <c r="BK188" i="4" s="1"/>
  <c r="BK197" i="4" s="1"/>
  <c r="BK217" i="3"/>
  <c r="BK134" i="4" s="1"/>
  <c r="BK139" i="4" s="1"/>
  <c r="BI53" i="62"/>
  <c r="BI65" i="4"/>
  <c r="BJ142" i="4"/>
  <c r="BK1447" i="4"/>
  <c r="BK299" i="3"/>
  <c r="BK186" i="4" s="1"/>
  <c r="BK195" i="4" s="1"/>
  <c r="BK330" i="3"/>
  <c r="BK219" i="4" s="1"/>
  <c r="BK224" i="4" s="1"/>
  <c r="BK298" i="3"/>
  <c r="BK185" i="4" s="1"/>
  <c r="BK194" i="4" s="1"/>
  <c r="BK296" i="3"/>
  <c r="BK183" i="4" s="1"/>
  <c r="BK241" i="3"/>
  <c r="BK146" i="4" s="1"/>
  <c r="BK151" i="4" s="1"/>
  <c r="BK240" i="3"/>
  <c r="BK145" i="4" s="1"/>
  <c r="BK355" i="3"/>
  <c r="BK218" i="3"/>
  <c r="BK135" i="4" s="1"/>
  <c r="BK140" i="4" s="1"/>
  <c r="BK141" i="4" s="1"/>
  <c r="BK216" i="3"/>
  <c r="BK133" i="4" s="1"/>
  <c r="BK297" i="3"/>
  <c r="BK184" i="4" s="1"/>
  <c r="BK193" i="4" s="1"/>
  <c r="BK300" i="3"/>
  <c r="BK356" i="3"/>
  <c r="BK242" i="4" s="1"/>
  <c r="BK247" i="4" s="1"/>
  <c r="BK331" i="3"/>
  <c r="BK357" i="3"/>
  <c r="BK243" i="4" s="1"/>
  <c r="BK248" i="4" s="1"/>
  <c r="BK249" i="4" s="1"/>
  <c r="BJ33" i="4"/>
  <c r="BJ40" i="4" s="1"/>
  <c r="BJ47" i="4" s="1"/>
  <c r="BK184" i="3"/>
  <c r="BK121" i="4" s="1"/>
  <c r="BK185" i="3"/>
  <c r="BK122" i="4" s="1"/>
  <c r="BK127" i="4" s="1"/>
  <c r="BJ9" i="3"/>
  <c r="BJ153" i="4"/>
  <c r="BJ154" i="4" s="1"/>
  <c r="BH737" i="4"/>
  <c r="BI200" i="4"/>
  <c r="BI688" i="4"/>
  <c r="BI1041" i="4"/>
  <c r="BI731" i="4"/>
  <c r="BI732" i="4"/>
  <c r="BI714" i="4"/>
  <c r="BJ22" i="4"/>
  <c r="BK21" i="4"/>
  <c r="BH736" i="4"/>
  <c r="BI690" i="4"/>
  <c r="BI544" i="4"/>
  <c r="BJ76" i="4"/>
  <c r="BJ77" i="4" s="1"/>
  <c r="BJ78" i="4"/>
  <c r="BG739" i="4"/>
  <c r="BK6" i="4"/>
  <c r="BK15" i="4"/>
  <c r="BJ199" i="4"/>
  <c r="BJ200" i="4" s="1"/>
  <c r="BK314" i="4"/>
  <c r="BL7" i="3"/>
  <c r="BK1158" i="4"/>
  <c r="BK1159" i="4" s="1"/>
  <c r="BK28" i="4"/>
  <c r="BK8" i="66"/>
  <c r="BK1184" i="4"/>
  <c r="BK29" i="4"/>
  <c r="BK1156" i="4"/>
  <c r="BK8" i="62"/>
  <c r="BK54" i="62" s="1"/>
  <c r="BK1160" i="4"/>
  <c r="BK8" i="11"/>
  <c r="BK8" i="4"/>
  <c r="BK1183" i="4"/>
  <c r="BK8" i="64"/>
  <c r="BK1409" i="4"/>
  <c r="BK30" i="4"/>
  <c r="BJ642" i="3"/>
  <c r="BJ34" i="66" l="1"/>
  <c r="BJ9" i="66"/>
  <c r="BJ60" i="62"/>
  <c r="BJ54" i="4"/>
  <c r="BI56" i="4" s="1"/>
  <c r="BJ9" i="64"/>
  <c r="BJ9" i="11"/>
  <c r="BJ9" i="62"/>
  <c r="BJ540" i="4"/>
  <c r="BJ542" i="4" s="1"/>
  <c r="BJ690" i="4" s="1"/>
  <c r="BK82" i="4"/>
  <c r="BK75" i="4"/>
  <c r="AD268" i="4"/>
  <c r="AD282" i="4" s="1"/>
  <c r="AE956" i="4"/>
  <c r="AF746" i="4"/>
  <c r="AD270" i="4"/>
  <c r="AD284" i="4" s="1"/>
  <c r="AD235" i="4"/>
  <c r="AF754" i="4"/>
  <c r="AD266" i="4"/>
  <c r="AD280" i="4" s="1"/>
  <c r="AD170" i="4"/>
  <c r="AD212" i="4"/>
  <c r="AD271" i="4"/>
  <c r="AD285" i="4" s="1"/>
  <c r="AD258" i="4"/>
  <c r="AC260" i="4"/>
  <c r="AD163" i="4"/>
  <c r="AD265" i="4"/>
  <c r="AD267" i="4"/>
  <c r="AD281" i="4" s="1"/>
  <c r="AD177" i="4"/>
  <c r="AC334" i="4"/>
  <c r="AC1037" i="4" s="1"/>
  <c r="AC276" i="4"/>
  <c r="AC279" i="4"/>
  <c r="AF942" i="4"/>
  <c r="AF941" i="4"/>
  <c r="AF943" i="4"/>
  <c r="AF940" i="4"/>
  <c r="AE209" i="4"/>
  <c r="AE257" i="4"/>
  <c r="AE234" i="4"/>
  <c r="AE208" i="4"/>
  <c r="AE233" i="4"/>
  <c r="AE205" i="4"/>
  <c r="AE232" i="4"/>
  <c r="AE206" i="4"/>
  <c r="AE207" i="4"/>
  <c r="AE269" i="4" s="1"/>
  <c r="AE255" i="4"/>
  <c r="AE254" i="4"/>
  <c r="AE211" i="4"/>
  <c r="AE231" i="4"/>
  <c r="AE210" i="4"/>
  <c r="AE256" i="4"/>
  <c r="AE204" i="4"/>
  <c r="AE160" i="4"/>
  <c r="AE168" i="4"/>
  <c r="AE175" i="4"/>
  <c r="AE159" i="4"/>
  <c r="AE174" i="4"/>
  <c r="AE173" i="4"/>
  <c r="AE167" i="4"/>
  <c r="AE161" i="4"/>
  <c r="AE166" i="4"/>
  <c r="AE162" i="4"/>
  <c r="AE176" i="4"/>
  <c r="AE169" i="4"/>
  <c r="AF85" i="4"/>
  <c r="AG1109" i="4"/>
  <c r="AG1110" i="4" s="1"/>
  <c r="AG1111" i="4" s="1"/>
  <c r="AG985" i="4" s="1"/>
  <c r="AG895" i="4"/>
  <c r="AG973" i="4" s="1"/>
  <c r="AG296" i="4" s="1"/>
  <c r="AG955" i="4"/>
  <c r="AG953" i="4"/>
  <c r="AG939" i="4"/>
  <c r="AG946" i="4"/>
  <c r="AG947" i="4"/>
  <c r="AG938" i="4"/>
  <c r="AG948" i="4"/>
  <c r="AG954" i="4"/>
  <c r="AG952" i="4"/>
  <c r="AG937" i="4"/>
  <c r="AG951" i="4"/>
  <c r="AG936" i="4"/>
  <c r="AG744" i="4"/>
  <c r="AG743" i="4"/>
  <c r="AG745" i="4"/>
  <c r="AH79" i="4"/>
  <c r="AB81" i="11"/>
  <c r="AB82" i="11" s="1"/>
  <c r="AB1387" i="4" s="1"/>
  <c r="AB33" i="66"/>
  <c r="AB32" i="66" s="1"/>
  <c r="AB1118" i="4"/>
  <c r="AB65" i="62"/>
  <c r="AB1318" i="4"/>
  <c r="AB1291" i="4"/>
  <c r="AC285" i="4"/>
  <c r="BJ731" i="4"/>
  <c r="BJ732" i="4"/>
  <c r="BJ1173" i="4"/>
  <c r="BJ1177" i="4" s="1"/>
  <c r="BJ1494" i="4" s="1"/>
  <c r="BJ53" i="62"/>
  <c r="BJ1036" i="4"/>
  <c r="BJ65" i="4"/>
  <c r="BI722" i="4"/>
  <c r="BI718" i="4"/>
  <c r="BI721" i="4"/>
  <c r="BI717" i="4"/>
  <c r="BJ721" i="4"/>
  <c r="BJ718" i="4"/>
  <c r="BJ717" i="4"/>
  <c r="BJ722" i="4"/>
  <c r="BK241" i="4"/>
  <c r="BK37" i="4" s="1"/>
  <c r="BK44" i="4" s="1"/>
  <c r="BK51" i="4" s="1"/>
  <c r="BK187" i="4"/>
  <c r="BK196" i="4" s="1"/>
  <c r="BK220" i="4"/>
  <c r="BK225" i="4" s="1"/>
  <c r="BK226" i="4" s="1"/>
  <c r="BK58" i="4"/>
  <c r="BJ53" i="4"/>
  <c r="BK57" i="4"/>
  <c r="BK1129" i="4"/>
  <c r="BK32" i="4"/>
  <c r="BK39" i="4" s="1"/>
  <c r="BK46" i="4" s="1"/>
  <c r="BK126" i="4"/>
  <c r="BK130" i="4" s="1"/>
  <c r="BK19" i="4"/>
  <c r="BK20" i="4" s="1"/>
  <c r="BK17" i="4"/>
  <c r="BL8" i="3"/>
  <c r="BL86" i="64"/>
  <c r="BL87" i="64" s="1"/>
  <c r="BL7" i="64"/>
  <c r="BL6" i="64" s="1"/>
  <c r="BL28" i="64" s="1"/>
  <c r="BL30" i="64" s="1"/>
  <c r="BL53" i="64" s="1"/>
  <c r="BL7" i="4"/>
  <c r="BL7" i="62"/>
  <c r="BL6" i="62" s="1"/>
  <c r="BL6" i="3"/>
  <c r="BL7" i="66"/>
  <c r="BL6" i="66" s="1"/>
  <c r="BL7" i="11"/>
  <c r="BL6" i="11" s="1"/>
  <c r="BK198" i="4"/>
  <c r="BK275" i="4"/>
  <c r="BK288" i="4" s="1"/>
  <c r="BK329" i="4" s="1"/>
  <c r="BK414" i="4" s="1"/>
  <c r="BK415" i="4" s="1"/>
  <c r="BL413" i="4" s="1"/>
  <c r="BK1243" i="4"/>
  <c r="BK1242" i="4"/>
  <c r="BK273" i="4"/>
  <c r="BK274" i="4"/>
  <c r="BK335" i="4" s="1"/>
  <c r="BJ1041" i="4"/>
  <c r="BJ688" i="4"/>
  <c r="BK18" i="4"/>
  <c r="BH738" i="4"/>
  <c r="BK1157" i="4"/>
  <c r="BK54" i="11"/>
  <c r="BJ63" i="4"/>
  <c r="BJ1389" i="4" s="1"/>
  <c r="BK530" i="4"/>
  <c r="BK70" i="4"/>
  <c r="BK824" i="4"/>
  <c r="BK62" i="4"/>
  <c r="BK528" i="4" s="1"/>
  <c r="BK529" i="4"/>
  <c r="BK543" i="4"/>
  <c r="BK67" i="4"/>
  <c r="BK1042" i="4" s="1"/>
  <c r="BK68" i="4"/>
  <c r="BK223" i="4"/>
  <c r="BK295" i="4"/>
  <c r="BK303" i="4" s="1"/>
  <c r="BK27" i="66"/>
  <c r="BK1151" i="4"/>
  <c r="BK28" i="66"/>
  <c r="BK1263" i="4"/>
  <c r="BK60" i="4"/>
  <c r="BJ61" i="4"/>
  <c r="BJ318" i="4" s="1"/>
  <c r="BJ328" i="4" s="1"/>
  <c r="BK66" i="4"/>
  <c r="BK192" i="4"/>
  <c r="BK33" i="4"/>
  <c r="BK40" i="4" s="1"/>
  <c r="BK47" i="4" s="1"/>
  <c r="BK138" i="4"/>
  <c r="BK142" i="4" s="1"/>
  <c r="BK150" i="4"/>
  <c r="BK34" i="4"/>
  <c r="BK41" i="4" s="1"/>
  <c r="BK48" i="4" s="1"/>
  <c r="BJ55" i="4" l="1"/>
  <c r="BK36" i="4"/>
  <c r="BK43" i="4" s="1"/>
  <c r="BK50" i="4" s="1"/>
  <c r="BK713" i="4" s="1"/>
  <c r="BK731" i="4" s="1"/>
  <c r="BJ544" i="4"/>
  <c r="BK246" i="4"/>
  <c r="BK250" i="4" s="1"/>
  <c r="BK227" i="4"/>
  <c r="AF956" i="4"/>
  <c r="AC289" i="4"/>
  <c r="AF257" i="4"/>
  <c r="AF231" i="4"/>
  <c r="AF205" i="4"/>
  <c r="AF211" i="4"/>
  <c r="AF256" i="4"/>
  <c r="AF234" i="4"/>
  <c r="AF254" i="4"/>
  <c r="AF232" i="4"/>
  <c r="AF209" i="4"/>
  <c r="AF204" i="4"/>
  <c r="AF210" i="4"/>
  <c r="AF207" i="4"/>
  <c r="AF269" i="4" s="1"/>
  <c r="AF283" i="4" s="1"/>
  <c r="AF233" i="4"/>
  <c r="AF206" i="4"/>
  <c r="AF255" i="4"/>
  <c r="AF208" i="4"/>
  <c r="AF175" i="4"/>
  <c r="AF168" i="4"/>
  <c r="AF174" i="4"/>
  <c r="AF159" i="4"/>
  <c r="AF161" i="4"/>
  <c r="AF166" i="4"/>
  <c r="AF167" i="4"/>
  <c r="AF160" i="4"/>
  <c r="AF173" i="4"/>
  <c r="AF176" i="4"/>
  <c r="AF162" i="4"/>
  <c r="AF169" i="4"/>
  <c r="AG85" i="4"/>
  <c r="AE235" i="4"/>
  <c r="AE270" i="4"/>
  <c r="AE258" i="4"/>
  <c r="AE271" i="4"/>
  <c r="AG746" i="4"/>
  <c r="AD334" i="4"/>
  <c r="AD1037" i="4" s="1"/>
  <c r="AD276" i="4"/>
  <c r="AD279" i="4"/>
  <c r="AD289" i="4" s="1"/>
  <c r="AG754" i="4"/>
  <c r="AE170" i="4"/>
  <c r="AE266" i="4"/>
  <c r="AE280" i="4" s="1"/>
  <c r="AE283" i="4"/>
  <c r="AD260" i="4"/>
  <c r="AE212" i="4"/>
  <c r="AE268" i="4"/>
  <c r="AE282" i="4" s="1"/>
  <c r="AE163" i="4"/>
  <c r="AE265" i="4"/>
  <c r="AG942" i="4"/>
  <c r="AG943" i="4"/>
  <c r="AG941" i="4"/>
  <c r="AG940" i="4"/>
  <c r="AC1318" i="4"/>
  <c r="AC81" i="11"/>
  <c r="AC82" i="11" s="1"/>
  <c r="AC1387" i="4" s="1"/>
  <c r="AC1291" i="4"/>
  <c r="AC33" i="66"/>
  <c r="AC32" i="66" s="1"/>
  <c r="AC65" i="62"/>
  <c r="AC1118" i="4"/>
  <c r="AH1109" i="4"/>
  <c r="AH1110" i="4" s="1"/>
  <c r="AH1111" i="4" s="1"/>
  <c r="AH985" i="4" s="1"/>
  <c r="AH895" i="4"/>
  <c r="AH973" i="4" s="1"/>
  <c r="AH296" i="4" s="1"/>
  <c r="AH954" i="4"/>
  <c r="AH947" i="4"/>
  <c r="AH938" i="4"/>
  <c r="AH948" i="4"/>
  <c r="AH955" i="4"/>
  <c r="AH952" i="4"/>
  <c r="AH937" i="4"/>
  <c r="AH946" i="4"/>
  <c r="AH936" i="4"/>
  <c r="AH939" i="4"/>
  <c r="AH953" i="4"/>
  <c r="AH951" i="4"/>
  <c r="AH744" i="4"/>
  <c r="AH743" i="4"/>
  <c r="AH745" i="4"/>
  <c r="AI79" i="4"/>
  <c r="AE267" i="4"/>
  <c r="AE281" i="4" s="1"/>
  <c r="AE177" i="4"/>
  <c r="BL218" i="3"/>
  <c r="BL135" i="4" s="1"/>
  <c r="BL140" i="4" s="1"/>
  <c r="BL141" i="4" s="1"/>
  <c r="BL16" i="4"/>
  <c r="BK15" i="66"/>
  <c r="BK1036" i="4"/>
  <c r="BL185" i="3"/>
  <c r="BL122" i="4" s="1"/>
  <c r="BL127" i="4" s="1"/>
  <c r="BL301" i="3"/>
  <c r="BL188" i="4" s="1"/>
  <c r="BL197" i="4" s="1"/>
  <c r="BL296" i="3"/>
  <c r="BL183" i="4" s="1"/>
  <c r="BL300" i="3"/>
  <c r="BL187" i="4" s="1"/>
  <c r="BL196" i="4" s="1"/>
  <c r="BK54" i="4"/>
  <c r="BK55" i="4" s="1"/>
  <c r="BL1447" i="4"/>
  <c r="BL240" i="3"/>
  <c r="BL145" i="4" s="1"/>
  <c r="BL357" i="3"/>
  <c r="BL216" i="3"/>
  <c r="BL133" i="4" s="1"/>
  <c r="BL184" i="3"/>
  <c r="BL121" i="4" s="1"/>
  <c r="BL330" i="3"/>
  <c r="BL219" i="4" s="1"/>
  <c r="BL224" i="4" s="1"/>
  <c r="BL356" i="3"/>
  <c r="BL242" i="4" s="1"/>
  <c r="BL247" i="4" s="1"/>
  <c r="BL331" i="3"/>
  <c r="BL220" i="4" s="1"/>
  <c r="BL225" i="4" s="1"/>
  <c r="BL226" i="4" s="1"/>
  <c r="BL242" i="3"/>
  <c r="BL147" i="4" s="1"/>
  <c r="BL152" i="4" s="1"/>
  <c r="BL186" i="3"/>
  <c r="BL123" i="4" s="1"/>
  <c r="BL128" i="4" s="1"/>
  <c r="BL129" i="4" s="1"/>
  <c r="BL329" i="3"/>
  <c r="BL218" i="4" s="1"/>
  <c r="BL217" i="3"/>
  <c r="BL134" i="4" s="1"/>
  <c r="BL139" i="4" s="1"/>
  <c r="BL298" i="3"/>
  <c r="BL185" i="4" s="1"/>
  <c r="BL194" i="4" s="1"/>
  <c r="BL241" i="3"/>
  <c r="BL146" i="4" s="1"/>
  <c r="BL151" i="4" s="1"/>
  <c r="BL299" i="3"/>
  <c r="BL186" i="4" s="1"/>
  <c r="BL195" i="4" s="1"/>
  <c r="BK35" i="4"/>
  <c r="BK42" i="4" s="1"/>
  <c r="BK49" i="4" s="1"/>
  <c r="BL297" i="3"/>
  <c r="BL184" i="4" s="1"/>
  <c r="BL193" i="4" s="1"/>
  <c r="BL355" i="3"/>
  <c r="BL241" i="4" s="1"/>
  <c r="BK153" i="4"/>
  <c r="BK154" i="4" s="1"/>
  <c r="BK540" i="4"/>
  <c r="BK542" i="4" s="1"/>
  <c r="BK690" i="4" s="1"/>
  <c r="BI737" i="4"/>
  <c r="BJ736" i="4"/>
  <c r="BI736" i="4"/>
  <c r="BK9" i="3"/>
  <c r="BK60" i="62"/>
  <c r="BK9" i="66"/>
  <c r="BK9" i="62"/>
  <c r="BK9" i="11"/>
  <c r="BK9" i="64"/>
  <c r="BK9" i="4"/>
  <c r="BL1409" i="4"/>
  <c r="BL29" i="4"/>
  <c r="BL8" i="4"/>
  <c r="BL1160" i="4"/>
  <c r="BL1183" i="4"/>
  <c r="BM7" i="3"/>
  <c r="BL8" i="11"/>
  <c r="BL1158" i="4"/>
  <c r="BL1159" i="4" s="1"/>
  <c r="BL28" i="4"/>
  <c r="BL30" i="4"/>
  <c r="BL529" i="4" s="1"/>
  <c r="BL8" i="62"/>
  <c r="BL54" i="62" s="1"/>
  <c r="BL1156" i="4"/>
  <c r="BL314" i="4"/>
  <c r="BL1184" i="4"/>
  <c r="BL8" i="66"/>
  <c r="BL8" i="64"/>
  <c r="BK199" i="4"/>
  <c r="BK200" i="4" s="1"/>
  <c r="BK642" i="3"/>
  <c r="BK83" i="4"/>
  <c r="BK84" i="4" s="1"/>
  <c r="BK287" i="4"/>
  <c r="BK324" i="4" s="1"/>
  <c r="BK34" i="66"/>
  <c r="BK24" i="4"/>
  <c r="BK88" i="4" s="1"/>
  <c r="BK1260" i="4" s="1"/>
  <c r="BH739" i="4"/>
  <c r="BK76" i="4"/>
  <c r="BK77" i="4" s="1"/>
  <c r="BK78" i="4"/>
  <c r="BJ737" i="4"/>
  <c r="BK22" i="4"/>
  <c r="BL21" i="4"/>
  <c r="BL6" i="4"/>
  <c r="BL15" i="4"/>
  <c r="BK732" i="4" l="1"/>
  <c r="BK714" i="4"/>
  <c r="BL75" i="4"/>
  <c r="BL82" i="4"/>
  <c r="AG956" i="4"/>
  <c r="AH754" i="4"/>
  <c r="AH941" i="4"/>
  <c r="AH943" i="4"/>
  <c r="AH942" i="4"/>
  <c r="AH940" i="4"/>
  <c r="AE276" i="4"/>
  <c r="AE334" i="4"/>
  <c r="AE1037" i="4" s="1"/>
  <c r="AE279" i="4"/>
  <c r="AF268" i="4"/>
  <c r="AF282" i="4" s="1"/>
  <c r="AF212" i="4"/>
  <c r="AF270" i="4"/>
  <c r="AF284" i="4" s="1"/>
  <c r="AF235" i="4"/>
  <c r="AI1109" i="4"/>
  <c r="AI1110" i="4" s="1"/>
  <c r="AI1111" i="4" s="1"/>
  <c r="AI985" i="4" s="1"/>
  <c r="AI948" i="4"/>
  <c r="AI952" i="4"/>
  <c r="AI895" i="4"/>
  <c r="AI973" i="4" s="1"/>
  <c r="AI296" i="4" s="1"/>
  <c r="AI936" i="4"/>
  <c r="AI939" i="4"/>
  <c r="AI951" i="4"/>
  <c r="AI946" i="4"/>
  <c r="AI947" i="4"/>
  <c r="AI938" i="4"/>
  <c r="AI953" i="4"/>
  <c r="AI955" i="4"/>
  <c r="AI937" i="4"/>
  <c r="AI954" i="4"/>
  <c r="AI744" i="4"/>
  <c r="AI743" i="4"/>
  <c r="AI745" i="4"/>
  <c r="AJ79" i="4"/>
  <c r="AE260" i="4"/>
  <c r="AF177" i="4"/>
  <c r="AF267" i="4"/>
  <c r="AF281" i="4" s="1"/>
  <c r="AH746" i="4"/>
  <c r="AD1118" i="4"/>
  <c r="AD65" i="62"/>
  <c r="AD1318" i="4"/>
  <c r="AD1291" i="4"/>
  <c r="AD33" i="66"/>
  <c r="AD32" i="66" s="1"/>
  <c r="AD81" i="11"/>
  <c r="AD82" i="11" s="1"/>
  <c r="AD1387" i="4" s="1"/>
  <c r="AE284" i="4"/>
  <c r="AF258" i="4"/>
  <c r="AF271" i="4"/>
  <c r="AF285" i="4" s="1"/>
  <c r="BK544" i="4"/>
  <c r="AE285" i="4"/>
  <c r="AF266" i="4"/>
  <c r="AF280" i="4" s="1"/>
  <c r="AF170" i="4"/>
  <c r="AF163" i="4"/>
  <c r="AF265" i="4"/>
  <c r="AG234" i="4"/>
  <c r="AG254" i="4"/>
  <c r="AG211" i="4"/>
  <c r="AG232" i="4"/>
  <c r="AG204" i="4"/>
  <c r="AG255" i="4"/>
  <c r="AG205" i="4"/>
  <c r="AG206" i="4"/>
  <c r="AG233" i="4"/>
  <c r="AG207" i="4"/>
  <c r="AG269" i="4" s="1"/>
  <c r="AG283" i="4" s="1"/>
  <c r="AG256" i="4"/>
  <c r="AG210" i="4"/>
  <c r="AG231" i="4"/>
  <c r="AG257" i="4"/>
  <c r="AG208" i="4"/>
  <c r="AG209" i="4"/>
  <c r="AG174" i="4"/>
  <c r="AG161" i="4"/>
  <c r="AG160" i="4"/>
  <c r="AG168" i="4"/>
  <c r="AG159" i="4"/>
  <c r="AG175" i="4"/>
  <c r="AG173" i="4"/>
  <c r="AG166" i="4"/>
  <c r="AG167" i="4"/>
  <c r="AG162" i="4"/>
  <c r="AG169" i="4"/>
  <c r="AG176" i="4"/>
  <c r="AH85" i="4"/>
  <c r="BK65" i="4"/>
  <c r="BK53" i="62"/>
  <c r="BK1173" i="4"/>
  <c r="BK1177" i="4" s="1"/>
  <c r="BK1494" i="4" s="1"/>
  <c r="BJ56" i="4"/>
  <c r="BK721" i="4"/>
  <c r="BK717" i="4"/>
  <c r="BK722" i="4"/>
  <c r="BK718" i="4"/>
  <c r="BL243" i="4"/>
  <c r="BL248" i="4" s="1"/>
  <c r="BL249" i="4" s="1"/>
  <c r="BL58" i="4"/>
  <c r="BK53" i="4"/>
  <c r="BL57" i="4"/>
  <c r="BL1129" i="4"/>
  <c r="BI738" i="4"/>
  <c r="BJ738" i="4"/>
  <c r="BL138" i="4"/>
  <c r="BL142" i="4" s="1"/>
  <c r="BL33" i="4"/>
  <c r="BL40" i="4" s="1"/>
  <c r="BL47" i="4" s="1"/>
  <c r="BL18" i="4"/>
  <c r="BK688" i="4"/>
  <c r="BK1041" i="4"/>
  <c r="BL1243" i="4"/>
  <c r="BL274" i="4"/>
  <c r="BL335" i="4" s="1"/>
  <c r="BL275" i="4"/>
  <c r="BL288" i="4" s="1"/>
  <c r="BL329" i="4" s="1"/>
  <c r="BL414" i="4" s="1"/>
  <c r="BL415" i="4" s="1"/>
  <c r="BM413" i="4" s="1"/>
  <c r="BL273" i="4"/>
  <c r="BL1242" i="4"/>
  <c r="BL54" i="11"/>
  <c r="BL62" i="4"/>
  <c r="BL528" i="4" s="1"/>
  <c r="BL824" i="4"/>
  <c r="BL70" i="4"/>
  <c r="BL68" i="4"/>
  <c r="BL543" i="4"/>
  <c r="BL67" i="4"/>
  <c r="BL1042" i="4" s="1"/>
  <c r="BL530" i="4"/>
  <c r="BK63" i="4"/>
  <c r="BK1389" i="4" s="1"/>
  <c r="BL198" i="4"/>
  <c r="BL17" i="4"/>
  <c r="BL19" i="4"/>
  <c r="BL20" i="4" s="1"/>
  <c r="BL126" i="4"/>
  <c r="BL130" i="4" s="1"/>
  <c r="BL32" i="4"/>
  <c r="BL39" i="4" s="1"/>
  <c r="BL46" i="4" s="1"/>
  <c r="BL150" i="4"/>
  <c r="BL34" i="4"/>
  <c r="BL41" i="4" s="1"/>
  <c r="BL48" i="4" s="1"/>
  <c r="BL192" i="4"/>
  <c r="BL35" i="4"/>
  <c r="BL42" i="4" s="1"/>
  <c r="BL49" i="4" s="1"/>
  <c r="BL36" i="4"/>
  <c r="BL43" i="4" s="1"/>
  <c r="BL50" i="4" s="1"/>
  <c r="BL713" i="4" s="1"/>
  <c r="BL223" i="4"/>
  <c r="BL227" i="4" s="1"/>
  <c r="BL246" i="4"/>
  <c r="BL1157" i="4"/>
  <c r="BM7" i="62"/>
  <c r="BM6" i="62" s="1"/>
  <c r="BM86" i="64"/>
  <c r="BM87" i="64" s="1"/>
  <c r="BM7" i="66"/>
  <c r="BM6" i="66" s="1"/>
  <c r="BM6" i="3"/>
  <c r="BM7" i="4"/>
  <c r="BM8" i="3"/>
  <c r="BM16" i="4" s="1"/>
  <c r="BM7" i="64"/>
  <c r="BM6" i="64" s="1"/>
  <c r="BM28" i="64" s="1"/>
  <c r="BM30" i="64" s="1"/>
  <c r="BM53" i="64" s="1"/>
  <c r="BM7" i="11"/>
  <c r="BM6" i="11" s="1"/>
  <c r="BL295" i="4"/>
  <c r="BL303" i="4" s="1"/>
  <c r="BL1263" i="4"/>
  <c r="BK61" i="4"/>
  <c r="BK318" i="4" s="1"/>
  <c r="BK328" i="4" s="1"/>
  <c r="BL27" i="66"/>
  <c r="BL60" i="4"/>
  <c r="BL1151" i="4"/>
  <c r="BL28" i="66"/>
  <c r="BL66" i="4"/>
  <c r="BL37" i="4" l="1"/>
  <c r="BL44" i="4" s="1"/>
  <c r="BL51" i="4" s="1"/>
  <c r="AI746" i="4"/>
  <c r="AE289" i="4"/>
  <c r="AH956" i="4"/>
  <c r="AI754" i="4"/>
  <c r="AG258" i="4"/>
  <c r="AG271" i="4"/>
  <c r="AG285" i="4" s="1"/>
  <c r="AG266" i="4"/>
  <c r="AG280" i="4" s="1"/>
  <c r="AG170" i="4"/>
  <c r="AG177" i="4"/>
  <c r="AG267" i="4"/>
  <c r="AI943" i="4"/>
  <c r="AI941" i="4"/>
  <c r="AI940" i="4"/>
  <c r="AI942" i="4"/>
  <c r="AF276" i="4"/>
  <c r="AF334" i="4"/>
  <c r="AF1037" i="4" s="1"/>
  <c r="AF279" i="4"/>
  <c r="AF289" i="4" s="1"/>
  <c r="AE1318" i="4"/>
  <c r="AE65" i="62"/>
  <c r="AE1291" i="4"/>
  <c r="AE1118" i="4"/>
  <c r="AE81" i="11"/>
  <c r="AE82" i="11" s="1"/>
  <c r="AE1387" i="4" s="1"/>
  <c r="AE33" i="66"/>
  <c r="AE32" i="66" s="1"/>
  <c r="AH205" i="4"/>
  <c r="AH257" i="4"/>
  <c r="AH207" i="4"/>
  <c r="AH269" i="4" s="1"/>
  <c r="AH283" i="4" s="1"/>
  <c r="AH255" i="4"/>
  <c r="AH208" i="4"/>
  <c r="AH234" i="4"/>
  <c r="AH254" i="4"/>
  <c r="AH204" i="4"/>
  <c r="AH210" i="4"/>
  <c r="AH206" i="4"/>
  <c r="AH209" i="4"/>
  <c r="AH233" i="4"/>
  <c r="AH256" i="4"/>
  <c r="AH232" i="4"/>
  <c r="AH231" i="4"/>
  <c r="AH211" i="4"/>
  <c r="AH161" i="4"/>
  <c r="AH166" i="4"/>
  <c r="AH159" i="4"/>
  <c r="AH168" i="4"/>
  <c r="AH173" i="4"/>
  <c r="AH167" i="4"/>
  <c r="AH174" i="4"/>
  <c r="AH175" i="4"/>
  <c r="AH160" i="4"/>
  <c r="AH169" i="4"/>
  <c r="AH162" i="4"/>
  <c r="AH176" i="4"/>
  <c r="AI85" i="4"/>
  <c r="AG265" i="4"/>
  <c r="AG163" i="4"/>
  <c r="AG235" i="4"/>
  <c r="AG270" i="4"/>
  <c r="AG284" i="4" s="1"/>
  <c r="AG212" i="4"/>
  <c r="AG268" i="4"/>
  <c r="AG282" i="4" s="1"/>
  <c r="AF260" i="4"/>
  <c r="AJ1109" i="4"/>
  <c r="AJ1110" i="4" s="1"/>
  <c r="AJ1111" i="4" s="1"/>
  <c r="AJ985" i="4" s="1"/>
  <c r="AJ939" i="4"/>
  <c r="AJ895" i="4"/>
  <c r="AJ973" i="4" s="1"/>
  <c r="AJ296" i="4" s="1"/>
  <c r="AJ953" i="4"/>
  <c r="AJ947" i="4"/>
  <c r="AJ954" i="4"/>
  <c r="AJ952" i="4"/>
  <c r="AJ937" i="4"/>
  <c r="AJ951" i="4"/>
  <c r="AJ948" i="4"/>
  <c r="AJ936" i="4"/>
  <c r="AJ938" i="4"/>
  <c r="AJ955" i="4"/>
  <c r="AJ946" i="4"/>
  <c r="AJ744" i="4"/>
  <c r="AJ743" i="4"/>
  <c r="AJ745" i="4"/>
  <c r="AK79" i="4"/>
  <c r="BL250" i="4"/>
  <c r="BL15" i="66"/>
  <c r="BL1036" i="4"/>
  <c r="BM297" i="3"/>
  <c r="BM184" i="4" s="1"/>
  <c r="BM193" i="4" s="1"/>
  <c r="BM301" i="3"/>
  <c r="BM188" i="4" s="1"/>
  <c r="BM197" i="4" s="1"/>
  <c r="BL54" i="4"/>
  <c r="BL53" i="62" s="1"/>
  <c r="BM1447" i="4"/>
  <c r="BM216" i="3"/>
  <c r="BM133" i="4" s="1"/>
  <c r="BM330" i="3"/>
  <c r="BM219" i="4" s="1"/>
  <c r="BM224" i="4" s="1"/>
  <c r="BM331" i="3"/>
  <c r="BM241" i="3"/>
  <c r="BM146" i="4" s="1"/>
  <c r="BM151" i="4" s="1"/>
  <c r="BM329" i="3"/>
  <c r="BM242" i="3"/>
  <c r="BM147" i="4" s="1"/>
  <c r="BM152" i="4" s="1"/>
  <c r="BM217" i="3"/>
  <c r="BM134" i="4" s="1"/>
  <c r="BM139" i="4" s="1"/>
  <c r="BM185" i="3"/>
  <c r="BM122" i="4" s="1"/>
  <c r="BM127" i="4" s="1"/>
  <c r="BM218" i="3"/>
  <c r="BM135" i="4" s="1"/>
  <c r="BM140" i="4" s="1"/>
  <c r="BM141" i="4" s="1"/>
  <c r="BM296" i="3"/>
  <c r="BM183" i="4" s="1"/>
  <c r="BM300" i="3"/>
  <c r="BM184" i="3"/>
  <c r="BM121" i="4" s="1"/>
  <c r="BM240" i="3"/>
  <c r="BM145" i="4" s="1"/>
  <c r="BM186" i="3"/>
  <c r="BM123" i="4" s="1"/>
  <c r="BM128" i="4" s="1"/>
  <c r="BM129" i="4" s="1"/>
  <c r="BM298" i="3"/>
  <c r="BM185" i="4" s="1"/>
  <c r="BM194" i="4" s="1"/>
  <c r="BM356" i="3"/>
  <c r="BM242" i="4" s="1"/>
  <c r="BM247" i="4" s="1"/>
  <c r="BM355" i="3"/>
  <c r="BM241" i="4" s="1"/>
  <c r="BJ739" i="4"/>
  <c r="BM299" i="3"/>
  <c r="BM186" i="4" s="1"/>
  <c r="BM195" i="4" s="1"/>
  <c r="BM357" i="3"/>
  <c r="BL24" i="4"/>
  <c r="BL88" i="4" s="1"/>
  <c r="BL1260" i="4" s="1"/>
  <c r="BI739" i="4"/>
  <c r="BL153" i="4"/>
  <c r="BL154" i="4" s="1"/>
  <c r="BM314" i="4"/>
  <c r="BM275" i="4" s="1"/>
  <c r="BM288" i="4" s="1"/>
  <c r="BM329" i="4" s="1"/>
  <c r="BM414" i="4" s="1"/>
  <c r="BM415" i="4" s="1"/>
  <c r="BN413" i="4" s="1"/>
  <c r="BL540" i="4"/>
  <c r="BL542" i="4" s="1"/>
  <c r="BK737" i="4"/>
  <c r="BL78" i="4"/>
  <c r="BL76" i="4"/>
  <c r="BL77" i="4" s="1"/>
  <c r="BL731" i="4"/>
  <c r="BL714" i="4"/>
  <c r="BL732" i="4"/>
  <c r="BM8" i="62"/>
  <c r="BM1184" i="4"/>
  <c r="BM8" i="11"/>
  <c r="BM8" i="64"/>
  <c r="BM8" i="4"/>
  <c r="BM1156" i="4"/>
  <c r="BM28" i="4"/>
  <c r="BM8" i="66"/>
  <c r="BM29" i="4"/>
  <c r="BM1409" i="4"/>
  <c r="BM30" i="4"/>
  <c r="BN7" i="3"/>
  <c r="BM1183" i="4"/>
  <c r="BM1158" i="4"/>
  <c r="BM1159" i="4" s="1"/>
  <c r="BM1160" i="4"/>
  <c r="BL83" i="4"/>
  <c r="BL84" i="4" s="1"/>
  <c r="BL9" i="4"/>
  <c r="BL9" i="3"/>
  <c r="BL60" i="62"/>
  <c r="BL9" i="11"/>
  <c r="BL9" i="64"/>
  <c r="BL9" i="66"/>
  <c r="BL9" i="62"/>
  <c r="BM15" i="4"/>
  <c r="BM6" i="4"/>
  <c r="BL22" i="4"/>
  <c r="BM21" i="4"/>
  <c r="BL642" i="3"/>
  <c r="BK736" i="4"/>
  <c r="BL199" i="4"/>
  <c r="BL34" i="66"/>
  <c r="BL287" i="4"/>
  <c r="BL324" i="4" s="1"/>
  <c r="BM75" i="4" l="1"/>
  <c r="BM82" i="4"/>
  <c r="AI956" i="4"/>
  <c r="AH212" i="4"/>
  <c r="AH268" i="4"/>
  <c r="AH282" i="4" s="1"/>
  <c r="AJ942" i="4"/>
  <c r="AJ941" i="4"/>
  <c r="AJ940" i="4"/>
  <c r="AJ943" i="4"/>
  <c r="AH271" i="4"/>
  <c r="AH285" i="4" s="1"/>
  <c r="AH258" i="4"/>
  <c r="AK1109" i="4"/>
  <c r="AK1110" i="4" s="1"/>
  <c r="AK1111" i="4" s="1"/>
  <c r="AK985" i="4" s="1"/>
  <c r="AK895" i="4"/>
  <c r="AK973" i="4" s="1"/>
  <c r="AK296" i="4" s="1"/>
  <c r="AK946" i="4"/>
  <c r="AK951" i="4"/>
  <c r="AK952" i="4"/>
  <c r="AK939" i="4"/>
  <c r="AK948" i="4"/>
  <c r="AK936" i="4"/>
  <c r="AK954" i="4"/>
  <c r="AK938" i="4"/>
  <c r="AK953" i="4"/>
  <c r="AK947" i="4"/>
  <c r="AK955" i="4"/>
  <c r="AK937" i="4"/>
  <c r="AK743" i="4"/>
  <c r="AK744" i="4"/>
  <c r="AK745" i="4"/>
  <c r="AL79" i="4"/>
  <c r="AG276" i="4"/>
  <c r="AG279" i="4"/>
  <c r="AI257" i="4"/>
  <c r="AI256" i="4"/>
  <c r="AI205" i="4"/>
  <c r="AI210" i="4"/>
  <c r="AI208" i="4"/>
  <c r="AI232" i="4"/>
  <c r="AI234" i="4"/>
  <c r="AI255" i="4"/>
  <c r="AI206" i="4"/>
  <c r="AI207" i="4"/>
  <c r="AI269" i="4" s="1"/>
  <c r="AI283" i="4" s="1"/>
  <c r="AI233" i="4"/>
  <c r="AI204" i="4"/>
  <c r="AI231" i="4"/>
  <c r="AI254" i="4"/>
  <c r="AI209" i="4"/>
  <c r="AI211" i="4"/>
  <c r="AI160" i="4"/>
  <c r="AI167" i="4"/>
  <c r="AI174" i="4"/>
  <c r="AI161" i="4"/>
  <c r="AI175" i="4"/>
  <c r="AI166" i="4"/>
  <c r="AI168" i="4"/>
  <c r="AI173" i="4"/>
  <c r="AI159" i="4"/>
  <c r="AI162" i="4"/>
  <c r="AI169" i="4"/>
  <c r="AI176" i="4"/>
  <c r="AJ85" i="4"/>
  <c r="AH177" i="4"/>
  <c r="AH267" i="4"/>
  <c r="AH281" i="4" s="1"/>
  <c r="AG334" i="4"/>
  <c r="AG1037" i="4" s="1"/>
  <c r="AG281" i="4"/>
  <c r="AJ746" i="4"/>
  <c r="AJ754" i="4"/>
  <c r="AF81" i="11"/>
  <c r="AF82" i="11" s="1"/>
  <c r="AF1387" i="4" s="1"/>
  <c r="AF1118" i="4"/>
  <c r="AF33" i="66"/>
  <c r="AF32" i="66" s="1"/>
  <c r="AF65" i="62"/>
  <c r="AF1318" i="4"/>
  <c r="AF1291" i="4"/>
  <c r="AH163" i="4"/>
  <c r="AH265" i="4"/>
  <c r="AH270" i="4"/>
  <c r="AH284" i="4" s="1"/>
  <c r="AH235" i="4"/>
  <c r="AH170" i="4"/>
  <c r="AH266" i="4"/>
  <c r="AH280" i="4" s="1"/>
  <c r="AG260" i="4"/>
  <c r="BM273" i="4"/>
  <c r="BL1173" i="4"/>
  <c r="BL1177" i="4" s="1"/>
  <c r="BL1494" i="4" s="1"/>
  <c r="BL65" i="4"/>
  <c r="BL55" i="4"/>
  <c r="BK56" i="4"/>
  <c r="BL718" i="4"/>
  <c r="BL717" i="4"/>
  <c r="BL722" i="4"/>
  <c r="BL721" i="4"/>
  <c r="BM58" i="4"/>
  <c r="BM187" i="4"/>
  <c r="BM196" i="4" s="1"/>
  <c r="BM243" i="4"/>
  <c r="BM248" i="4" s="1"/>
  <c r="BM249" i="4" s="1"/>
  <c r="BM218" i="4"/>
  <c r="BM223" i="4" s="1"/>
  <c r="BM220" i="4"/>
  <c r="BM225" i="4" s="1"/>
  <c r="BM226" i="4" s="1"/>
  <c r="BM57" i="4"/>
  <c r="BM9" i="11" s="1"/>
  <c r="BL53" i="4"/>
  <c r="BM274" i="4"/>
  <c r="BM1242" i="4"/>
  <c r="BM1129" i="4"/>
  <c r="BM1243" i="4"/>
  <c r="BL200" i="4"/>
  <c r="BL690" i="4"/>
  <c r="BL544" i="4"/>
  <c r="BM138" i="4"/>
  <c r="BM142" i="4" s="1"/>
  <c r="BM33" i="4"/>
  <c r="BM40" i="4" s="1"/>
  <c r="BM47" i="4" s="1"/>
  <c r="BN7" i="64"/>
  <c r="BN6" i="64" s="1"/>
  <c r="BN28" i="64" s="1"/>
  <c r="BN30" i="64" s="1"/>
  <c r="BN53" i="64" s="1"/>
  <c r="BN7" i="62"/>
  <c r="BN6" i="62" s="1"/>
  <c r="BN7" i="66"/>
  <c r="BN6" i="66" s="1"/>
  <c r="BN7" i="11"/>
  <c r="BN6" i="11" s="1"/>
  <c r="BN86" i="64"/>
  <c r="BN87" i="64" s="1"/>
  <c r="BN7" i="4"/>
  <c r="BN6" i="3"/>
  <c r="BN8" i="3"/>
  <c r="BN16" i="4" s="1"/>
  <c r="BM32" i="4"/>
  <c r="BM39" i="4" s="1"/>
  <c r="BM46" i="4" s="1"/>
  <c r="BM126" i="4"/>
  <c r="BM130" i="4" s="1"/>
  <c r="BM192" i="4"/>
  <c r="BM34" i="4"/>
  <c r="BM41" i="4" s="1"/>
  <c r="BM48" i="4" s="1"/>
  <c r="BM150" i="4"/>
  <c r="BM68" i="4"/>
  <c r="BM543" i="4"/>
  <c r="BL63" i="4"/>
  <c r="BL1389" i="4" s="1"/>
  <c r="BM54" i="11"/>
  <c r="BM529" i="4"/>
  <c r="BM530" i="4"/>
  <c r="BM70" i="4"/>
  <c r="BM824" i="4"/>
  <c r="BM67" i="4"/>
  <c r="BM1042" i="4" s="1"/>
  <c r="BM62" i="4"/>
  <c r="BM528" i="4" s="1"/>
  <c r="BM246" i="4"/>
  <c r="BM18" i="4"/>
  <c r="BM1157" i="4"/>
  <c r="BM54" i="62"/>
  <c r="BK738" i="4"/>
  <c r="BL1041" i="4"/>
  <c r="BL688" i="4"/>
  <c r="BM198" i="4"/>
  <c r="BM66" i="4"/>
  <c r="BM28" i="66"/>
  <c r="BM60" i="4"/>
  <c r="BM1263" i="4"/>
  <c r="BM1151" i="4"/>
  <c r="BM295" i="4"/>
  <c r="BM303" i="4" s="1"/>
  <c r="BM27" i="66"/>
  <c r="BL61" i="4"/>
  <c r="BL318" i="4" s="1"/>
  <c r="BL328" i="4" s="1"/>
  <c r="BM17" i="4"/>
  <c r="BM19" i="4"/>
  <c r="BM20" i="4" s="1"/>
  <c r="AJ956" i="4" l="1"/>
  <c r="AH260" i="4"/>
  <c r="AH1291" i="4" s="1"/>
  <c r="BM227" i="4"/>
  <c r="AK940" i="4"/>
  <c r="AK942" i="4"/>
  <c r="AK943" i="4"/>
  <c r="AK941" i="4"/>
  <c r="AI163" i="4"/>
  <c r="AI265" i="4"/>
  <c r="AK746" i="4"/>
  <c r="AK754" i="4"/>
  <c r="AI177" i="4"/>
  <c r="AI267" i="4"/>
  <c r="AI281" i="4" s="1"/>
  <c r="AI170" i="4"/>
  <c r="AI266" i="4"/>
  <c r="AI280" i="4" s="1"/>
  <c r="AI271" i="4"/>
  <c r="AI285" i="4" s="1"/>
  <c r="AI258" i="4"/>
  <c r="AJ207" i="4"/>
  <c r="AJ269" i="4" s="1"/>
  <c r="AJ283" i="4" s="1"/>
  <c r="AJ209" i="4"/>
  <c r="AJ208" i="4"/>
  <c r="AJ233" i="4"/>
  <c r="AJ256" i="4"/>
  <c r="AJ205" i="4"/>
  <c r="AJ206" i="4"/>
  <c r="AJ255" i="4"/>
  <c r="AJ232" i="4"/>
  <c r="AJ257" i="4"/>
  <c r="AJ234" i="4"/>
  <c r="AJ210" i="4"/>
  <c r="AJ231" i="4"/>
  <c r="AJ204" i="4"/>
  <c r="AJ254" i="4"/>
  <c r="AJ211" i="4"/>
  <c r="AJ175" i="4"/>
  <c r="AJ168" i="4"/>
  <c r="AJ167" i="4"/>
  <c r="AJ160" i="4"/>
  <c r="AJ159" i="4"/>
  <c r="AJ166" i="4"/>
  <c r="AJ173" i="4"/>
  <c r="AJ161" i="4"/>
  <c r="AJ174" i="4"/>
  <c r="AJ169" i="4"/>
  <c r="AJ162" i="4"/>
  <c r="AJ176" i="4"/>
  <c r="AK85" i="4"/>
  <c r="AI270" i="4"/>
  <c r="AI284" i="4" s="1"/>
  <c r="AI235" i="4"/>
  <c r="AG289" i="4"/>
  <c r="AH276" i="4"/>
  <c r="AH334" i="4"/>
  <c r="AH1037" i="4" s="1"/>
  <c r="AH279" i="4"/>
  <c r="AH289" i="4" s="1"/>
  <c r="AI268" i="4"/>
  <c r="AI282" i="4" s="1"/>
  <c r="AI212" i="4"/>
  <c r="AG81" i="11"/>
  <c r="AG82" i="11" s="1"/>
  <c r="AG1387" i="4" s="1"/>
  <c r="AG65" i="62"/>
  <c r="AG1118" i="4"/>
  <c r="AG1318" i="4"/>
  <c r="AG1291" i="4"/>
  <c r="AG33" i="66"/>
  <c r="AG32" i="66" s="1"/>
  <c r="AL1109" i="4"/>
  <c r="AL1110" i="4" s="1"/>
  <c r="AL1111" i="4" s="1"/>
  <c r="AL985" i="4" s="1"/>
  <c r="AL895" i="4"/>
  <c r="AL973" i="4" s="1"/>
  <c r="AL296" i="4" s="1"/>
  <c r="AL936" i="4"/>
  <c r="AL937" i="4"/>
  <c r="AL952" i="4"/>
  <c r="AL951" i="4"/>
  <c r="AL938" i="4"/>
  <c r="AL948" i="4"/>
  <c r="AL954" i="4"/>
  <c r="AL939" i="4"/>
  <c r="AL955" i="4"/>
  <c r="AL953" i="4"/>
  <c r="AL947" i="4"/>
  <c r="AL946" i="4"/>
  <c r="AL743" i="4"/>
  <c r="AL744" i="4"/>
  <c r="AL745" i="4"/>
  <c r="AM79" i="4"/>
  <c r="BM36" i="4"/>
  <c r="BM43" i="4" s="1"/>
  <c r="BM50" i="4" s="1"/>
  <c r="BM713" i="4" s="1"/>
  <c r="BM732" i="4" s="1"/>
  <c r="BM15" i="66"/>
  <c r="BM287" i="4"/>
  <c r="BM324" i="4" s="1"/>
  <c r="BM335" i="4"/>
  <c r="BM250" i="4"/>
  <c r="BM37" i="4"/>
  <c r="BM44" i="4" s="1"/>
  <c r="BM51" i="4" s="1"/>
  <c r="BM35" i="4"/>
  <c r="BM42" i="4" s="1"/>
  <c r="BM49" i="4" s="1"/>
  <c r="BN297" i="3"/>
  <c r="BN184" i="4" s="1"/>
  <c r="BN193" i="4" s="1"/>
  <c r="BN301" i="3"/>
  <c r="BN188" i="4" s="1"/>
  <c r="BN197" i="4" s="1"/>
  <c r="BM34" i="66"/>
  <c r="BM54" i="4"/>
  <c r="BM65" i="4" s="1"/>
  <c r="BN1447" i="4"/>
  <c r="BN356" i="3"/>
  <c r="BN242" i="4" s="1"/>
  <c r="BN247" i="4" s="1"/>
  <c r="BN217" i="3"/>
  <c r="BN134" i="4" s="1"/>
  <c r="BN139" i="4" s="1"/>
  <c r="BN298" i="3"/>
  <c r="BN185" i="4" s="1"/>
  <c r="BN194" i="4" s="1"/>
  <c r="BN218" i="3"/>
  <c r="BN135" i="4" s="1"/>
  <c r="BN140" i="4" s="1"/>
  <c r="BN141" i="4" s="1"/>
  <c r="BN240" i="3"/>
  <c r="BN145" i="4" s="1"/>
  <c r="BN331" i="3"/>
  <c r="BN355" i="3"/>
  <c r="BN241" i="4" s="1"/>
  <c r="BN241" i="3"/>
  <c r="BN146" i="4" s="1"/>
  <c r="BN151" i="4" s="1"/>
  <c r="BN242" i="3"/>
  <c r="BN147" i="4" s="1"/>
  <c r="BN152" i="4" s="1"/>
  <c r="BN357" i="3"/>
  <c r="BN243" i="4" s="1"/>
  <c r="BN248" i="4" s="1"/>
  <c r="BN249" i="4" s="1"/>
  <c r="BN184" i="3"/>
  <c r="BN186" i="3"/>
  <c r="BN123" i="4" s="1"/>
  <c r="BN128" i="4" s="1"/>
  <c r="BN129" i="4" s="1"/>
  <c r="BN216" i="3"/>
  <c r="BN133" i="4" s="1"/>
  <c r="BN330" i="3"/>
  <c r="BN219" i="4" s="1"/>
  <c r="BN224" i="4" s="1"/>
  <c r="BN299" i="3"/>
  <c r="BN186" i="4" s="1"/>
  <c r="BN195" i="4" s="1"/>
  <c r="BN314" i="4"/>
  <c r="BN1243" i="4" s="1"/>
  <c r="BN300" i="3"/>
  <c r="BN187" i="4" s="1"/>
  <c r="BN196" i="4" s="1"/>
  <c r="BN185" i="3"/>
  <c r="BN296" i="3"/>
  <c r="BN183" i="4" s="1"/>
  <c r="BN329" i="3"/>
  <c r="BN218" i="4" s="1"/>
  <c r="BM9" i="62"/>
  <c r="BM153" i="4"/>
  <c r="BM154" i="4" s="1"/>
  <c r="BM24" i="4"/>
  <c r="BM88" i="4" s="1"/>
  <c r="BM1260" i="4" s="1"/>
  <c r="BM9" i="3"/>
  <c r="BK739" i="4"/>
  <c r="BM9" i="64"/>
  <c r="BL736" i="4"/>
  <c r="BN21" i="4"/>
  <c r="BM22" i="4"/>
  <c r="BN8" i="4"/>
  <c r="BN8" i="64"/>
  <c r="BN1409" i="4"/>
  <c r="BN1184" i="4"/>
  <c r="BN8" i="66"/>
  <c r="BN1183" i="4"/>
  <c r="BN1160" i="4"/>
  <c r="BN29" i="4"/>
  <c r="BN30" i="4"/>
  <c r="BN1158" i="4"/>
  <c r="BN1159" i="4" s="1"/>
  <c r="BN28" i="4"/>
  <c r="BN8" i="11"/>
  <c r="BN1156" i="4"/>
  <c r="BN8" i="62"/>
  <c r="BN54" i="62" s="1"/>
  <c r="BO7" i="3"/>
  <c r="BM83" i="4"/>
  <c r="BM84" i="4" s="1"/>
  <c r="BN15" i="4"/>
  <c r="BN6" i="4"/>
  <c r="BM642" i="3"/>
  <c r="BM199" i="4"/>
  <c r="BM60" i="62"/>
  <c r="BM9" i="66"/>
  <c r="BM9" i="4"/>
  <c r="BM76" i="4"/>
  <c r="BM77" i="4" s="1"/>
  <c r="BM540" i="4"/>
  <c r="BM542" i="4" s="1"/>
  <c r="BM78" i="4"/>
  <c r="BL737" i="4"/>
  <c r="BN82" i="4" l="1"/>
  <c r="BN75" i="4"/>
  <c r="AH81" i="11"/>
  <c r="AH82" i="11" s="1"/>
  <c r="AH1387" i="4" s="1"/>
  <c r="AH65" i="62"/>
  <c r="AK956" i="4"/>
  <c r="AH33" i="66"/>
  <c r="AH32" i="66" s="1"/>
  <c r="AH1118" i="4"/>
  <c r="AH1318" i="4"/>
  <c r="BM731" i="4"/>
  <c r="BM714" i="4"/>
  <c r="BM722" i="4" s="1"/>
  <c r="AL941" i="4"/>
  <c r="AL942" i="4"/>
  <c r="AL940" i="4"/>
  <c r="AL943" i="4"/>
  <c r="AK257" i="4"/>
  <c r="AK233" i="4"/>
  <c r="AK231" i="4"/>
  <c r="AK204" i="4"/>
  <c r="AK232" i="4"/>
  <c r="AK255" i="4"/>
  <c r="AK208" i="4"/>
  <c r="AK254" i="4"/>
  <c r="AK209" i="4"/>
  <c r="AK206" i="4"/>
  <c r="AK234" i="4"/>
  <c r="AK205" i="4"/>
  <c r="AK211" i="4"/>
  <c r="AK210" i="4"/>
  <c r="AK207" i="4"/>
  <c r="AK269" i="4" s="1"/>
  <c r="AK283" i="4" s="1"/>
  <c r="AK256" i="4"/>
  <c r="AK173" i="4"/>
  <c r="AK160" i="4"/>
  <c r="AK166" i="4"/>
  <c r="AK159" i="4"/>
  <c r="AK167" i="4"/>
  <c r="AK161" i="4"/>
  <c r="AK174" i="4"/>
  <c r="AK168" i="4"/>
  <c r="AK175" i="4"/>
  <c r="AK176" i="4"/>
  <c r="AK162" i="4"/>
  <c r="AK169" i="4"/>
  <c r="AL85" i="4"/>
  <c r="AJ163" i="4"/>
  <c r="AJ265" i="4"/>
  <c r="AJ235" i="4"/>
  <c r="AJ270" i="4"/>
  <c r="AJ284" i="4" s="1"/>
  <c r="AJ268" i="4"/>
  <c r="AJ282" i="4" s="1"/>
  <c r="AJ212" i="4"/>
  <c r="AM1109" i="4"/>
  <c r="AM1110" i="4" s="1"/>
  <c r="AM1111" i="4" s="1"/>
  <c r="AM985" i="4" s="1"/>
  <c r="AM895" i="4"/>
  <c r="AM973" i="4" s="1"/>
  <c r="AM296" i="4" s="1"/>
  <c r="AM946" i="4"/>
  <c r="AM953" i="4"/>
  <c r="AM936" i="4"/>
  <c r="AM937" i="4"/>
  <c r="AM939" i="4"/>
  <c r="AM954" i="4"/>
  <c r="AM947" i="4"/>
  <c r="AM948" i="4"/>
  <c r="AM938" i="4"/>
  <c r="AM951" i="4"/>
  <c r="AM952" i="4"/>
  <c r="AM955" i="4"/>
  <c r="AM744" i="4"/>
  <c r="AM743" i="4"/>
  <c r="AM745" i="4"/>
  <c r="AN79" i="4"/>
  <c r="AL754" i="4"/>
  <c r="AI334" i="4"/>
  <c r="AI1037" i="4" s="1"/>
  <c r="AI276" i="4"/>
  <c r="AI279" i="4"/>
  <c r="AI289" i="4" s="1"/>
  <c r="AL746" i="4"/>
  <c r="AI260" i="4"/>
  <c r="AJ266" i="4"/>
  <c r="AJ280" i="4" s="1"/>
  <c r="AJ170" i="4"/>
  <c r="AJ267" i="4"/>
  <c r="AJ177" i="4"/>
  <c r="AJ271" i="4"/>
  <c r="AJ285" i="4" s="1"/>
  <c r="AJ258" i="4"/>
  <c r="BM1173" i="4"/>
  <c r="BM1177" i="4" s="1"/>
  <c r="BM1494" i="4" s="1"/>
  <c r="BM1036" i="4"/>
  <c r="BM53" i="62"/>
  <c r="BM55" i="4"/>
  <c r="BL56" i="4"/>
  <c r="BN1242" i="4"/>
  <c r="BN15" i="66" s="1"/>
  <c r="BN275" i="4"/>
  <c r="BN288" i="4" s="1"/>
  <c r="BN329" i="4" s="1"/>
  <c r="BN414" i="4" s="1"/>
  <c r="BN415" i="4" s="1"/>
  <c r="BO413" i="4" s="1"/>
  <c r="BN273" i="4"/>
  <c r="BN58" i="4"/>
  <c r="BN274" i="4"/>
  <c r="BN122" i="4"/>
  <c r="BN127" i="4" s="1"/>
  <c r="BN220" i="4"/>
  <c r="BN225" i="4" s="1"/>
  <c r="BN226" i="4" s="1"/>
  <c r="BN121" i="4"/>
  <c r="BN126" i="4" s="1"/>
  <c r="BM53" i="4"/>
  <c r="BN57" i="4"/>
  <c r="BN9" i="64" s="1"/>
  <c r="BN1129" i="4"/>
  <c r="BN246" i="4"/>
  <c r="BN37" i="4"/>
  <c r="BN44" i="4" s="1"/>
  <c r="BN51" i="4" s="1"/>
  <c r="BM200" i="4"/>
  <c r="BN198" i="4"/>
  <c r="BN529" i="4"/>
  <c r="BN70" i="4"/>
  <c r="BN530" i="4"/>
  <c r="BN54" i="11"/>
  <c r="BN67" i="4"/>
  <c r="BN1042" i="4" s="1"/>
  <c r="BM63" i="4"/>
  <c r="BM1389" i="4" s="1"/>
  <c r="BN824" i="4"/>
  <c r="BN68" i="4"/>
  <c r="BN62" i="4"/>
  <c r="BN528" i="4" s="1"/>
  <c r="BN543" i="4"/>
  <c r="BO86" i="64"/>
  <c r="BO87" i="64" s="1"/>
  <c r="BO7" i="64"/>
  <c r="BO6" i="64" s="1"/>
  <c r="BO28" i="64" s="1"/>
  <c r="BO30" i="64" s="1"/>
  <c r="BO53" i="64" s="1"/>
  <c r="BO7" i="66"/>
  <c r="BO6" i="66" s="1"/>
  <c r="BO7" i="4"/>
  <c r="BO7" i="62"/>
  <c r="BO6" i="62" s="1"/>
  <c r="BO8" i="3"/>
  <c r="BP7" i="3" s="1"/>
  <c r="BP7" i="4" s="1"/>
  <c r="BO7" i="11"/>
  <c r="BO6" i="11" s="1"/>
  <c r="BO6" i="3"/>
  <c r="BN34" i="4"/>
  <c r="BN41" i="4" s="1"/>
  <c r="BN48" i="4" s="1"/>
  <c r="BN150" i="4"/>
  <c r="BM61" i="4"/>
  <c r="BM318" i="4" s="1"/>
  <c r="BM328" i="4" s="1"/>
  <c r="BN1151" i="4"/>
  <c r="BN66" i="4"/>
  <c r="BN60" i="4"/>
  <c r="BN28" i="66"/>
  <c r="BN1263" i="4"/>
  <c r="BN295" i="4"/>
  <c r="BN303" i="4" s="1"/>
  <c r="BN27" i="66"/>
  <c r="BN17" i="4"/>
  <c r="BN19" i="4"/>
  <c r="BN20" i="4" s="1"/>
  <c r="BN18" i="4"/>
  <c r="BN1157" i="4"/>
  <c r="BN192" i="4"/>
  <c r="BN35" i="4"/>
  <c r="BN42" i="4" s="1"/>
  <c r="BN49" i="4" s="1"/>
  <c r="BN223" i="4"/>
  <c r="BM544" i="4"/>
  <c r="BM690" i="4"/>
  <c r="BN138" i="4"/>
  <c r="BN33" i="4"/>
  <c r="BN40" i="4" s="1"/>
  <c r="BN47" i="4" s="1"/>
  <c r="BM1041" i="4"/>
  <c r="BM688" i="4"/>
  <c r="BL738" i="4"/>
  <c r="BM718" i="4" l="1"/>
  <c r="BM717" i="4"/>
  <c r="BM721" i="4"/>
  <c r="AJ260" i="4"/>
  <c r="AJ1291" i="4" s="1"/>
  <c r="AL956" i="4"/>
  <c r="AJ334" i="4"/>
  <c r="AJ1037" i="4" s="1"/>
  <c r="AJ281" i="4"/>
  <c r="AI65" i="62"/>
  <c r="AI1118" i="4"/>
  <c r="AI81" i="11"/>
  <c r="AI82" i="11" s="1"/>
  <c r="AI1387" i="4" s="1"/>
  <c r="AI1318" i="4"/>
  <c r="AI1291" i="4"/>
  <c r="AI33" i="66"/>
  <c r="AI32" i="66" s="1"/>
  <c r="AL234" i="4"/>
  <c r="AL257" i="4"/>
  <c r="AL233" i="4"/>
  <c r="AL209" i="4"/>
  <c r="AL254" i="4"/>
  <c r="AL211" i="4"/>
  <c r="AL206" i="4"/>
  <c r="AL208" i="4"/>
  <c r="AL232" i="4"/>
  <c r="AL207" i="4"/>
  <c r="AL269" i="4" s="1"/>
  <c r="AL283" i="4" s="1"/>
  <c r="AL255" i="4"/>
  <c r="AL210" i="4"/>
  <c r="AL231" i="4"/>
  <c r="AL256" i="4"/>
  <c r="AL204" i="4"/>
  <c r="AL205" i="4"/>
  <c r="AL167" i="4"/>
  <c r="AL166" i="4"/>
  <c r="AL159" i="4"/>
  <c r="AL174" i="4"/>
  <c r="AL175" i="4"/>
  <c r="AL160" i="4"/>
  <c r="AL161" i="4"/>
  <c r="AL168" i="4"/>
  <c r="AL173" i="4"/>
  <c r="AL169" i="4"/>
  <c r="AL162" i="4"/>
  <c r="AL176" i="4"/>
  <c r="AM85" i="4"/>
  <c r="AN1109" i="4"/>
  <c r="AN1110" i="4" s="1"/>
  <c r="AN1111" i="4" s="1"/>
  <c r="AN985" i="4" s="1"/>
  <c r="AN895" i="4"/>
  <c r="AN973" i="4" s="1"/>
  <c r="AN296" i="4" s="1"/>
  <c r="AN947" i="4"/>
  <c r="AN948" i="4"/>
  <c r="AN946" i="4"/>
  <c r="AN953" i="4"/>
  <c r="AN955" i="4"/>
  <c r="AN952" i="4"/>
  <c r="AN939" i="4"/>
  <c r="AN936" i="4"/>
  <c r="AN951" i="4"/>
  <c r="AN938" i="4"/>
  <c r="AN937" i="4"/>
  <c r="AN954" i="4"/>
  <c r="AN743" i="4"/>
  <c r="AN744" i="4"/>
  <c r="AN745" i="4"/>
  <c r="AO79" i="4"/>
  <c r="AK163" i="4"/>
  <c r="AK265" i="4"/>
  <c r="AK268" i="4"/>
  <c r="AK282" i="4" s="1"/>
  <c r="AK212" i="4"/>
  <c r="AK266" i="4"/>
  <c r="AK280" i="4" s="1"/>
  <c r="AK170" i="4"/>
  <c r="AK270" i="4"/>
  <c r="AK284" i="4" s="1"/>
  <c r="AK235" i="4"/>
  <c r="AM754" i="4"/>
  <c r="AM746" i="4"/>
  <c r="AK177" i="4"/>
  <c r="AK267" i="4"/>
  <c r="AK281" i="4" s="1"/>
  <c r="AK271" i="4"/>
  <c r="AK285" i="4" s="1"/>
  <c r="AK258" i="4"/>
  <c r="AM942" i="4"/>
  <c r="AM941" i="4"/>
  <c r="AM943" i="4"/>
  <c r="AM940" i="4"/>
  <c r="AJ276" i="4"/>
  <c r="AJ279" i="4"/>
  <c r="BO217" i="3"/>
  <c r="BO134" i="4" s="1"/>
  <c r="BO139" i="4" s="1"/>
  <c r="BO16" i="4"/>
  <c r="BP7" i="11"/>
  <c r="BP6" i="11" s="1"/>
  <c r="BN34" i="66"/>
  <c r="BN335" i="4"/>
  <c r="BN287" i="4"/>
  <c r="BN324" i="4" s="1"/>
  <c r="BO297" i="3"/>
  <c r="BO184" i="4" s="1"/>
  <c r="BO193" i="4" s="1"/>
  <c r="BO301" i="3"/>
  <c r="BO188" i="4" s="1"/>
  <c r="BO197" i="4" s="1"/>
  <c r="BO299" i="3"/>
  <c r="BO186" i="4" s="1"/>
  <c r="BO195" i="4" s="1"/>
  <c r="BO185" i="3"/>
  <c r="BO122" i="4" s="1"/>
  <c r="BO127" i="4" s="1"/>
  <c r="BO216" i="3"/>
  <c r="BO133" i="4" s="1"/>
  <c r="BN54" i="4"/>
  <c r="BM56" i="4" s="1"/>
  <c r="BN32" i="4"/>
  <c r="BN39" i="4" s="1"/>
  <c r="BN46" i="4" s="1"/>
  <c r="BP8" i="3"/>
  <c r="BP314" i="4" s="1"/>
  <c r="BP274" i="4" s="1"/>
  <c r="BP335" i="4" s="1"/>
  <c r="BO241" i="3"/>
  <c r="BO218" i="3"/>
  <c r="BO135" i="4" s="1"/>
  <c r="BO140" i="4" s="1"/>
  <c r="BO141" i="4" s="1"/>
  <c r="BO329" i="3"/>
  <c r="BO218" i="4" s="1"/>
  <c r="BO298" i="3"/>
  <c r="BO240" i="3"/>
  <c r="BO145" i="4" s="1"/>
  <c r="BN36" i="4"/>
  <c r="BN43" i="4" s="1"/>
  <c r="BN50" i="4" s="1"/>
  <c r="BN713" i="4" s="1"/>
  <c r="BO356" i="3"/>
  <c r="BO242" i="3"/>
  <c r="BO147" i="4" s="1"/>
  <c r="BO152" i="4" s="1"/>
  <c r="BO296" i="3"/>
  <c r="BO183" i="4" s="1"/>
  <c r="BO355" i="3"/>
  <c r="BO241" i="4" s="1"/>
  <c r="BO184" i="3"/>
  <c r="BP7" i="66"/>
  <c r="BP6" i="66" s="1"/>
  <c r="BP7" i="62"/>
  <c r="BP6" i="62" s="1"/>
  <c r="BO330" i="3"/>
  <c r="BO357" i="3"/>
  <c r="BO331" i="3"/>
  <c r="BO220" i="4" s="1"/>
  <c r="BO225" i="4" s="1"/>
  <c r="BO226" i="4" s="1"/>
  <c r="BP6" i="3"/>
  <c r="BO1447" i="4"/>
  <c r="BO300" i="3"/>
  <c r="BO187" i="4" s="1"/>
  <c r="BO196" i="4" s="1"/>
  <c r="BO186" i="3"/>
  <c r="BO123" i="4" s="1"/>
  <c r="BO128" i="4" s="1"/>
  <c r="BO129" i="4" s="1"/>
  <c r="BN153" i="4"/>
  <c r="BN154" i="4" s="1"/>
  <c r="BP86" i="64"/>
  <c r="BP87" i="64" s="1"/>
  <c r="BN9" i="4"/>
  <c r="BL739" i="4"/>
  <c r="BM736" i="4"/>
  <c r="BN24" i="4"/>
  <c r="BN88" i="4" s="1"/>
  <c r="BN1260" i="4" s="1"/>
  <c r="BM737" i="4"/>
  <c r="BN540" i="4"/>
  <c r="BN542" i="4" s="1"/>
  <c r="BN76" i="4"/>
  <c r="BN77" i="4" s="1"/>
  <c r="BN9" i="66"/>
  <c r="BN9" i="11"/>
  <c r="BN60" i="62"/>
  <c r="BN83" i="4"/>
  <c r="BN84" i="4" s="1"/>
  <c r="BN9" i="3"/>
  <c r="BN250" i="4"/>
  <c r="BN78" i="4"/>
  <c r="BN130" i="4"/>
  <c r="BP7" i="64"/>
  <c r="BP6" i="64" s="1"/>
  <c r="BP28" i="64" s="1"/>
  <c r="BP30" i="64" s="1"/>
  <c r="BP53" i="64" s="1"/>
  <c r="BN142" i="4"/>
  <c r="BN227" i="4"/>
  <c r="BO1156" i="4"/>
  <c r="BO1160" i="4"/>
  <c r="BO314" i="4"/>
  <c r="BO1183" i="4"/>
  <c r="BO1158" i="4"/>
  <c r="BO1159" i="4" s="1"/>
  <c r="BO1409" i="4"/>
  <c r="BO30" i="4"/>
  <c r="BO8" i="64"/>
  <c r="BO8" i="11"/>
  <c r="BO1184" i="4"/>
  <c r="BO8" i="4"/>
  <c r="BO8" i="62"/>
  <c r="BO8" i="66"/>
  <c r="BO28" i="4"/>
  <c r="BO29" i="4"/>
  <c r="BN642" i="3"/>
  <c r="BN199" i="4"/>
  <c r="BN22" i="4"/>
  <c r="BO21" i="4"/>
  <c r="BN9" i="62"/>
  <c r="BO15" i="4"/>
  <c r="BO6" i="4"/>
  <c r="BP6" i="4"/>
  <c r="BP15" i="4"/>
  <c r="BP28" i="4" l="1"/>
  <c r="BP1409" i="4"/>
  <c r="BP30" i="4"/>
  <c r="BP529" i="4" s="1"/>
  <c r="BP8" i="62"/>
  <c r="BP357" i="3"/>
  <c r="BP243" i="4" s="1"/>
  <c r="BP248" i="4" s="1"/>
  <c r="BP249" i="4" s="1"/>
  <c r="BP1183" i="4"/>
  <c r="BP8" i="66"/>
  <c r="BP1158" i="4"/>
  <c r="BP1159" i="4" s="1"/>
  <c r="BP356" i="3"/>
  <c r="BP242" i="4" s="1"/>
  <c r="BP247" i="4" s="1"/>
  <c r="BP75" i="4"/>
  <c r="BP82" i="4"/>
  <c r="BO82" i="4"/>
  <c r="BO75" i="4"/>
  <c r="AJ81" i="11"/>
  <c r="AJ82" i="11" s="1"/>
  <c r="AJ1387" i="4" s="1"/>
  <c r="AJ65" i="62"/>
  <c r="AJ1118" i="4"/>
  <c r="AJ33" i="66"/>
  <c r="AJ32" i="66" s="1"/>
  <c r="AJ1318" i="4"/>
  <c r="AM956" i="4"/>
  <c r="BN53" i="62"/>
  <c r="AJ289" i="4"/>
  <c r="AK260" i="4"/>
  <c r="AL163" i="4"/>
  <c r="AL265" i="4"/>
  <c r="AO1109" i="4"/>
  <c r="AO1110" i="4" s="1"/>
  <c r="AO1111" i="4" s="1"/>
  <c r="AO985" i="4" s="1"/>
  <c r="AO953" i="4"/>
  <c r="AO955" i="4"/>
  <c r="AO938" i="4"/>
  <c r="AO954" i="4"/>
  <c r="AO947" i="4"/>
  <c r="AO937" i="4"/>
  <c r="AO948" i="4"/>
  <c r="AO946" i="4"/>
  <c r="AO936" i="4"/>
  <c r="AO895" i="4"/>
  <c r="AO973" i="4" s="1"/>
  <c r="AO296" i="4" s="1"/>
  <c r="AO939" i="4"/>
  <c r="AO951" i="4"/>
  <c r="AO952" i="4"/>
  <c r="AO744" i="4"/>
  <c r="AO743" i="4"/>
  <c r="AO745" i="4"/>
  <c r="AP79" i="4"/>
  <c r="AN943" i="4"/>
  <c r="AN940" i="4"/>
  <c r="AN941" i="4"/>
  <c r="AN942" i="4"/>
  <c r="AL170" i="4"/>
  <c r="AL266" i="4"/>
  <c r="AL280" i="4" s="1"/>
  <c r="AL267" i="4"/>
  <c r="AL281" i="4" s="1"/>
  <c r="AL177" i="4"/>
  <c r="AN746" i="4"/>
  <c r="AN754" i="4"/>
  <c r="AL212" i="4"/>
  <c r="AL268" i="4"/>
  <c r="AL282" i="4" s="1"/>
  <c r="BN65" i="4"/>
  <c r="AK276" i="4"/>
  <c r="AK334" i="4"/>
  <c r="AK1037" i="4" s="1"/>
  <c r="AK279" i="4"/>
  <c r="AK289" i="4" s="1"/>
  <c r="AM210" i="4"/>
  <c r="AM256" i="4"/>
  <c r="AM231" i="4"/>
  <c r="AM211" i="4"/>
  <c r="AM206" i="4"/>
  <c r="AM234" i="4"/>
  <c r="AM257" i="4"/>
  <c r="AM233" i="4"/>
  <c r="AM209" i="4"/>
  <c r="AM208" i="4"/>
  <c r="AM207" i="4"/>
  <c r="AM269" i="4" s="1"/>
  <c r="AM283" i="4" s="1"/>
  <c r="AM204" i="4"/>
  <c r="AM205" i="4"/>
  <c r="AM255" i="4"/>
  <c r="AM254" i="4"/>
  <c r="AM232" i="4"/>
  <c r="AM159" i="4"/>
  <c r="AM175" i="4"/>
  <c r="AM161" i="4"/>
  <c r="AM168" i="4"/>
  <c r="AM160" i="4"/>
  <c r="AM167" i="4"/>
  <c r="AM174" i="4"/>
  <c r="AM166" i="4"/>
  <c r="AM173" i="4"/>
  <c r="AM176" i="4"/>
  <c r="AM169" i="4"/>
  <c r="AM162" i="4"/>
  <c r="AN85" i="4"/>
  <c r="AL270" i="4"/>
  <c r="AL284" i="4" s="1"/>
  <c r="AL235" i="4"/>
  <c r="AL271" i="4"/>
  <c r="AL285" i="4" s="1"/>
  <c r="AL258" i="4"/>
  <c r="BP299" i="3"/>
  <c r="BP186" i="4" s="1"/>
  <c r="BP195" i="4" s="1"/>
  <c r="BP296" i="3"/>
  <c r="BP183" i="4" s="1"/>
  <c r="BP192" i="4" s="1"/>
  <c r="BP218" i="3"/>
  <c r="BP135" i="4" s="1"/>
  <c r="BP140" i="4" s="1"/>
  <c r="BP141" i="4" s="1"/>
  <c r="BP331" i="3"/>
  <c r="BP220" i="4" s="1"/>
  <c r="BP225" i="4" s="1"/>
  <c r="BP226" i="4" s="1"/>
  <c r="BP242" i="3"/>
  <c r="BP147" i="4" s="1"/>
  <c r="BP152" i="4" s="1"/>
  <c r="BP241" i="3"/>
  <c r="BP146" i="4" s="1"/>
  <c r="BP151" i="4" s="1"/>
  <c r="BQ7" i="3"/>
  <c r="BQ86" i="64" s="1"/>
  <c r="BQ87" i="64" s="1"/>
  <c r="BP8" i="4"/>
  <c r="BP19" i="4" s="1"/>
  <c r="BO243" i="4"/>
  <c r="BO248" i="4" s="1"/>
  <c r="BO249" i="4" s="1"/>
  <c r="BP330" i="3"/>
  <c r="BP219" i="4" s="1"/>
  <c r="BP224" i="4" s="1"/>
  <c r="BP297" i="3"/>
  <c r="BP184" i="4" s="1"/>
  <c r="BP193" i="4" s="1"/>
  <c r="BP8" i="64"/>
  <c r="BP1156" i="4"/>
  <c r="BP1157" i="4" s="1"/>
  <c r="BP186" i="3"/>
  <c r="BP123" i="4" s="1"/>
  <c r="BP128" i="4" s="1"/>
  <c r="BP129" i="4" s="1"/>
  <c r="BO242" i="4"/>
  <c r="BO247" i="4" s="1"/>
  <c r="BP300" i="3"/>
  <c r="BP187" i="4" s="1"/>
  <c r="BP196" i="4" s="1"/>
  <c r="BP240" i="3"/>
  <c r="BP145" i="4" s="1"/>
  <c r="BP150" i="4" s="1"/>
  <c r="BP1160" i="4"/>
  <c r="BP29" i="4"/>
  <c r="BO61" i="4" s="1"/>
  <c r="BO318" i="4" s="1"/>
  <c r="BP8" i="11"/>
  <c r="BP1447" i="4"/>
  <c r="BP184" i="3"/>
  <c r="BP121" i="4" s="1"/>
  <c r="BP126" i="4" s="1"/>
  <c r="BP298" i="3"/>
  <c r="BP185" i="4" s="1"/>
  <c r="BP194" i="4" s="1"/>
  <c r="BP198" i="4" s="1"/>
  <c r="BP185" i="3"/>
  <c r="BP122" i="4" s="1"/>
  <c r="BP127" i="4" s="1"/>
  <c r="BP1184" i="4"/>
  <c r="BP355" i="3"/>
  <c r="BP241" i="4" s="1"/>
  <c r="BP246" i="4" s="1"/>
  <c r="BP329" i="3"/>
  <c r="BP218" i="4" s="1"/>
  <c r="BP223" i="4" s="1"/>
  <c r="BN1173" i="4"/>
  <c r="BN1177" i="4" s="1"/>
  <c r="BN1494" i="4" s="1"/>
  <c r="BP301" i="3"/>
  <c r="BP188" i="4" s="1"/>
  <c r="BP197" i="4" s="1"/>
  <c r="BP16" i="4"/>
  <c r="BP217" i="3"/>
  <c r="BP134" i="4" s="1"/>
  <c r="BP139" i="4" s="1"/>
  <c r="BP216" i="3"/>
  <c r="BP133" i="4" s="1"/>
  <c r="BP138" i="4" s="1"/>
  <c r="BN1036" i="4"/>
  <c r="BP1036" i="4"/>
  <c r="BN55" i="4"/>
  <c r="BO146" i="4"/>
  <c r="BO151" i="4" s="1"/>
  <c r="BO121" i="4"/>
  <c r="BO32" i="4" s="1"/>
  <c r="BO39" i="4" s="1"/>
  <c r="BO46" i="4" s="1"/>
  <c r="BO185" i="4"/>
  <c r="BO194" i="4" s="1"/>
  <c r="BO198" i="4" s="1"/>
  <c r="BO58" i="4"/>
  <c r="BO219" i="4"/>
  <c r="BO224" i="4" s="1"/>
  <c r="BO53" i="4"/>
  <c r="BN53" i="4"/>
  <c r="BO66" i="4"/>
  <c r="BO57" i="4"/>
  <c r="BO9" i="66" s="1"/>
  <c r="BO1129" i="4"/>
  <c r="BM738" i="4"/>
  <c r="BP1243" i="4"/>
  <c r="BP1242" i="4"/>
  <c r="BP275" i="4"/>
  <c r="BP273" i="4"/>
  <c r="BO1157" i="4"/>
  <c r="BN200" i="4"/>
  <c r="BO223" i="4"/>
  <c r="BO17" i="4"/>
  <c r="BO19" i="4"/>
  <c r="BO20" i="4" s="1"/>
  <c r="BN544" i="4"/>
  <c r="BN690" i="4"/>
  <c r="BN688" i="4"/>
  <c r="BN1041" i="4"/>
  <c r="BO138" i="4"/>
  <c r="BO33" i="4"/>
  <c r="BO40" i="4" s="1"/>
  <c r="BO47" i="4" s="1"/>
  <c r="BO18" i="4"/>
  <c r="BO67" i="4"/>
  <c r="BO1042" i="4" s="1"/>
  <c r="BO530" i="4"/>
  <c r="BO70" i="4"/>
  <c r="BO824" i="4"/>
  <c r="BO529" i="4"/>
  <c r="BO54" i="11"/>
  <c r="BO68" i="4"/>
  <c r="BO62" i="4"/>
  <c r="BO528" i="4" s="1"/>
  <c r="BO543" i="4"/>
  <c r="BN63" i="4"/>
  <c r="BN1389" i="4" s="1"/>
  <c r="BO246" i="4"/>
  <c r="BO150" i="4"/>
  <c r="BO275" i="4"/>
  <c r="BO288" i="4" s="1"/>
  <c r="BO329" i="4" s="1"/>
  <c r="BO414" i="4" s="1"/>
  <c r="BO415" i="4" s="1"/>
  <c r="BP413" i="4" s="1"/>
  <c r="BO273" i="4"/>
  <c r="BO1242" i="4"/>
  <c r="BO274" i="4"/>
  <c r="BO335" i="4" s="1"/>
  <c r="BO1243" i="4"/>
  <c r="BN731" i="4"/>
  <c r="BN714" i="4"/>
  <c r="BN732" i="4"/>
  <c r="BN61" i="4"/>
  <c r="BN318" i="4" s="1"/>
  <c r="BN328" i="4" s="1"/>
  <c r="BO60" i="4"/>
  <c r="BO1151" i="4"/>
  <c r="BO1263" i="4"/>
  <c r="BO295" i="4"/>
  <c r="BO303" i="4" s="1"/>
  <c r="BO28" i="66"/>
  <c r="BO27" i="66"/>
  <c r="BO192" i="4"/>
  <c r="BO54" i="62"/>
  <c r="BP530" i="4"/>
  <c r="BP70" i="4"/>
  <c r="BP54" i="11"/>
  <c r="BP543" i="4"/>
  <c r="BP62" i="4"/>
  <c r="BP824" i="4"/>
  <c r="BO63" i="4"/>
  <c r="BO1389" i="4" s="1"/>
  <c r="BP54" i="62"/>
  <c r="BP18" i="4"/>
  <c r="BP17" i="4" l="1"/>
  <c r="BP37" i="4"/>
  <c r="AO746" i="4"/>
  <c r="BP28" i="66"/>
  <c r="BP1151" i="4"/>
  <c r="BP60" i="4"/>
  <c r="BP58" i="4"/>
  <c r="BP67" i="4"/>
  <c r="BP1042" i="4" s="1"/>
  <c r="AN956" i="4"/>
  <c r="BP1263" i="4"/>
  <c r="BP68" i="4"/>
  <c r="BP57" i="4"/>
  <c r="BP9" i="4" s="1"/>
  <c r="BP27" i="66"/>
  <c r="BP1129" i="4"/>
  <c r="BP295" i="4"/>
  <c r="BP303" i="4" s="1"/>
  <c r="BP66" i="4"/>
  <c r="AM268" i="4"/>
  <c r="AM282" i="4" s="1"/>
  <c r="AM212" i="4"/>
  <c r="AM235" i="4"/>
  <c r="AM270" i="4"/>
  <c r="AM284" i="4" s="1"/>
  <c r="AP1109" i="4"/>
  <c r="AP1110" i="4" s="1"/>
  <c r="AP1111" i="4" s="1"/>
  <c r="AP985" i="4" s="1"/>
  <c r="AP948" i="4"/>
  <c r="AP939" i="4"/>
  <c r="AP955" i="4"/>
  <c r="AP938" i="4"/>
  <c r="AP954" i="4"/>
  <c r="AP895" i="4"/>
  <c r="AP973" i="4" s="1"/>
  <c r="AP296" i="4" s="1"/>
  <c r="AP937" i="4"/>
  <c r="AP946" i="4"/>
  <c r="AP953" i="4"/>
  <c r="AP936" i="4"/>
  <c r="AP952" i="4"/>
  <c r="AP951" i="4"/>
  <c r="AP947" i="4"/>
  <c r="AP744" i="4"/>
  <c r="AP743" i="4"/>
  <c r="AP745" i="4"/>
  <c r="AQ79" i="4"/>
  <c r="AO940" i="4"/>
  <c r="AO941" i="4"/>
  <c r="AO942" i="4"/>
  <c r="AO943" i="4"/>
  <c r="AO754" i="4"/>
  <c r="AL334" i="4"/>
  <c r="AL1037" i="4" s="1"/>
  <c r="AL276" i="4"/>
  <c r="AL279" i="4"/>
  <c r="AL289" i="4" s="1"/>
  <c r="AM177" i="4"/>
  <c r="AM267" i="4"/>
  <c r="AM281" i="4" s="1"/>
  <c r="AM265" i="4"/>
  <c r="AM163" i="4"/>
  <c r="AL260" i="4"/>
  <c r="AM170" i="4"/>
  <c r="AM266" i="4"/>
  <c r="AM280" i="4" s="1"/>
  <c r="AK81" i="11"/>
  <c r="AK82" i="11" s="1"/>
  <c r="AK1387" i="4" s="1"/>
  <c r="AK1318" i="4"/>
  <c r="AK1291" i="4"/>
  <c r="AK1118" i="4"/>
  <c r="AK65" i="62"/>
  <c r="AK33" i="66"/>
  <c r="AK32" i="66" s="1"/>
  <c r="AM271" i="4"/>
  <c r="AM285" i="4" s="1"/>
  <c r="AM258" i="4"/>
  <c r="AN234" i="4"/>
  <c r="AN207" i="4"/>
  <c r="AN269" i="4" s="1"/>
  <c r="AN283" i="4" s="1"/>
  <c r="AN204" i="4"/>
  <c r="AN231" i="4"/>
  <c r="AN211" i="4"/>
  <c r="AN205" i="4"/>
  <c r="AN210" i="4"/>
  <c r="AN206" i="4"/>
  <c r="AN209" i="4"/>
  <c r="AN256" i="4"/>
  <c r="AN254" i="4"/>
  <c r="AN233" i="4"/>
  <c r="AN232" i="4"/>
  <c r="AN255" i="4"/>
  <c r="AN257" i="4"/>
  <c r="AN208" i="4"/>
  <c r="AN168" i="4"/>
  <c r="AN174" i="4"/>
  <c r="AN167" i="4"/>
  <c r="AN159" i="4"/>
  <c r="AN166" i="4"/>
  <c r="AN160" i="4"/>
  <c r="AN161" i="4"/>
  <c r="AN175" i="4"/>
  <c r="AN173" i="4"/>
  <c r="AN162" i="4"/>
  <c r="AN176" i="4"/>
  <c r="AN169" i="4"/>
  <c r="AO85" i="4"/>
  <c r="BQ6" i="3"/>
  <c r="BP36" i="4"/>
  <c r="BO35" i="4"/>
  <c r="BO42" i="4" s="1"/>
  <c r="BO49" i="4" s="1"/>
  <c r="BO34" i="4"/>
  <c r="BO41" i="4" s="1"/>
  <c r="BO48" i="4" s="1"/>
  <c r="BQ7" i="4"/>
  <c r="BQ15" i="4" s="1"/>
  <c r="BQ7" i="64"/>
  <c r="BQ6" i="64" s="1"/>
  <c r="BQ28" i="64" s="1"/>
  <c r="BQ30" i="64" s="1"/>
  <c r="BQ53" i="64" s="1"/>
  <c r="BO15" i="66"/>
  <c r="BQ7" i="11"/>
  <c r="BQ6" i="11" s="1"/>
  <c r="BQ8" i="3"/>
  <c r="BQ16" i="4" s="1"/>
  <c r="BQ7" i="66"/>
  <c r="BQ6" i="66" s="1"/>
  <c r="BP35" i="4"/>
  <c r="BQ7" i="62"/>
  <c r="BQ6" i="62" s="1"/>
  <c r="BO37" i="4"/>
  <c r="BO44" i="4" s="1"/>
  <c r="BO51" i="4" s="1"/>
  <c r="BP15" i="66"/>
  <c r="BP34" i="4"/>
  <c r="BP153" i="4"/>
  <c r="BP154" i="4" s="1"/>
  <c r="BP32" i="4"/>
  <c r="BP39" i="4" s="1"/>
  <c r="BP46" i="4" s="1"/>
  <c r="BO126" i="4"/>
  <c r="BO130" i="4" s="1"/>
  <c r="BO1036" i="4"/>
  <c r="BP33" i="4"/>
  <c r="BP40" i="4" s="1"/>
  <c r="BP47" i="4" s="1"/>
  <c r="BO153" i="4"/>
  <c r="BO154" i="4" s="1"/>
  <c r="BP20" i="4"/>
  <c r="BP22" i="4" s="1"/>
  <c r="BP34" i="66"/>
  <c r="BO54" i="4"/>
  <c r="BO53" i="62" s="1"/>
  <c r="BN717" i="4"/>
  <c r="BN722" i="4"/>
  <c r="BN721" i="4"/>
  <c r="BN718" i="4"/>
  <c r="BP528" i="4"/>
  <c r="BO36" i="4"/>
  <c r="BO43" i="4" s="1"/>
  <c r="BO50" i="4" s="1"/>
  <c r="BO713" i="4" s="1"/>
  <c r="BO732" i="4" s="1"/>
  <c r="BQ298" i="3"/>
  <c r="BM739" i="4"/>
  <c r="BO24" i="4"/>
  <c r="BO88" i="4" s="1"/>
  <c r="BO1260" i="4" s="1"/>
  <c r="BP287" i="4"/>
  <c r="BO22" i="4"/>
  <c r="BP21" i="4"/>
  <c r="BO9" i="62"/>
  <c r="BO142" i="4"/>
  <c r="BO227" i="4"/>
  <c r="BO9" i="3"/>
  <c r="BO60" i="62"/>
  <c r="BO250" i="4"/>
  <c r="BP9" i="62"/>
  <c r="BO34" i="66"/>
  <c r="BO287" i="4"/>
  <c r="BO324" i="4" s="1"/>
  <c r="BO642" i="3"/>
  <c r="BO540" i="4"/>
  <c r="BO542" i="4" s="1"/>
  <c r="BO9" i="4"/>
  <c r="BO76" i="4"/>
  <c r="BO77" i="4" s="1"/>
  <c r="BO78" i="4"/>
  <c r="BP78" i="4" s="1"/>
  <c r="BO9" i="11"/>
  <c r="BO83" i="4"/>
  <c r="BO84" i="4" s="1"/>
  <c r="BP288" i="4"/>
  <c r="BP329" i="4" s="1"/>
  <c r="BP414" i="4" s="1"/>
  <c r="BP415" i="4" s="1"/>
  <c r="BQ413" i="4" s="1"/>
  <c r="BO9" i="64"/>
  <c r="BO328" i="4"/>
  <c r="BO199" i="4"/>
  <c r="BP76" i="4"/>
  <c r="BP24" i="4"/>
  <c r="BP88" i="4" s="1"/>
  <c r="BP1260" i="4" s="1"/>
  <c r="BP130" i="4"/>
  <c r="BP142" i="4"/>
  <c r="BP250" i="4"/>
  <c r="BP83" i="4"/>
  <c r="BP199" i="4"/>
  <c r="BP200" i="4" s="1"/>
  <c r="BP227" i="4"/>
  <c r="BP540" i="4"/>
  <c r="BQ8" i="64"/>
  <c r="BQ301" i="3" l="1"/>
  <c r="BQ188" i="4" s="1"/>
  <c r="BQ197" i="4" s="1"/>
  <c r="BP642" i="3"/>
  <c r="BQ6" i="4"/>
  <c r="BQ299" i="3"/>
  <c r="BQ186" i="4" s="1"/>
  <c r="BQ195" i="4" s="1"/>
  <c r="BQ297" i="3"/>
  <c r="BQ184" i="4" s="1"/>
  <c r="BQ193" i="4" s="1"/>
  <c r="BQ240" i="3"/>
  <c r="BQ145" i="4" s="1"/>
  <c r="BQ330" i="3"/>
  <c r="BQ219" i="4" s="1"/>
  <c r="BQ224" i="4" s="1"/>
  <c r="BP41" i="4"/>
  <c r="BP48" i="4" s="1"/>
  <c r="BQ75" i="4"/>
  <c r="BQ82" i="4"/>
  <c r="BQ296" i="3"/>
  <c r="BQ183" i="4" s="1"/>
  <c r="BP44" i="4"/>
  <c r="BP51" i="4" s="1"/>
  <c r="BP60" i="62"/>
  <c r="BP9" i="3"/>
  <c r="BP9" i="11"/>
  <c r="BP9" i="64"/>
  <c r="BP54" i="4"/>
  <c r="BP53" i="62" s="1"/>
  <c r="BP9" i="66"/>
  <c r="BP42" i="4"/>
  <c r="BP49" i="4" s="1"/>
  <c r="AO956" i="4"/>
  <c r="AM260" i="4"/>
  <c r="AM33" i="66" s="1"/>
  <c r="AM32" i="66" s="1"/>
  <c r="AP754" i="4"/>
  <c r="AL1291" i="4"/>
  <c r="AL1318" i="4"/>
  <c r="AL1118" i="4"/>
  <c r="AL81" i="11"/>
  <c r="AL82" i="11" s="1"/>
  <c r="AL1387" i="4" s="1"/>
  <c r="AL33" i="66"/>
  <c r="AL32" i="66" s="1"/>
  <c r="AL65" i="62"/>
  <c r="AO256" i="4"/>
  <c r="AO234" i="4"/>
  <c r="AO255" i="4"/>
  <c r="AO205" i="4"/>
  <c r="AO210" i="4"/>
  <c r="AO207" i="4"/>
  <c r="AO269" i="4" s="1"/>
  <c r="AO283" i="4" s="1"/>
  <c r="AO254" i="4"/>
  <c r="AO232" i="4"/>
  <c r="AO208" i="4"/>
  <c r="AO211" i="4"/>
  <c r="AO206" i="4"/>
  <c r="AO233" i="4"/>
  <c r="AO204" i="4"/>
  <c r="AO209" i="4"/>
  <c r="AO257" i="4"/>
  <c r="AO231" i="4"/>
  <c r="AO161" i="4"/>
  <c r="AO175" i="4"/>
  <c r="AO166" i="4"/>
  <c r="AO168" i="4"/>
  <c r="AO159" i="4"/>
  <c r="AO174" i="4"/>
  <c r="AO167" i="4"/>
  <c r="AO160" i="4"/>
  <c r="AO173" i="4"/>
  <c r="AO162" i="4"/>
  <c r="AO169" i="4"/>
  <c r="AO176" i="4"/>
  <c r="AP85" i="4"/>
  <c r="AN266" i="4"/>
  <c r="AN280" i="4" s="1"/>
  <c r="AN170" i="4"/>
  <c r="AN265" i="4"/>
  <c r="AN163" i="4"/>
  <c r="AN235" i="4"/>
  <c r="AN270" i="4"/>
  <c r="AN284" i="4" s="1"/>
  <c r="AM334" i="4"/>
  <c r="AM1037" i="4" s="1"/>
  <c r="AM276" i="4"/>
  <c r="AM279" i="4"/>
  <c r="AM289" i="4" s="1"/>
  <c r="AP942" i="4"/>
  <c r="AP943" i="4"/>
  <c r="AP941" i="4"/>
  <c r="AP940" i="4"/>
  <c r="AN258" i="4"/>
  <c r="AN271" i="4"/>
  <c r="AN285" i="4" s="1"/>
  <c r="AN268" i="4"/>
  <c r="AN282" i="4" s="1"/>
  <c r="AN212" i="4"/>
  <c r="AQ1109" i="4"/>
  <c r="AQ1110" i="4" s="1"/>
  <c r="AQ1111" i="4" s="1"/>
  <c r="AQ985" i="4" s="1"/>
  <c r="AQ954" i="4"/>
  <c r="AQ937" i="4"/>
  <c r="AQ895" i="4"/>
  <c r="AQ973" i="4" s="1"/>
  <c r="AQ296" i="4" s="1"/>
  <c r="AQ938" i="4"/>
  <c r="AQ939" i="4"/>
  <c r="AQ946" i="4"/>
  <c r="AQ951" i="4"/>
  <c r="AQ955" i="4"/>
  <c r="AQ947" i="4"/>
  <c r="AQ936" i="4"/>
  <c r="AQ948" i="4"/>
  <c r="AQ953" i="4"/>
  <c r="AQ952" i="4"/>
  <c r="AQ743" i="4"/>
  <c r="AQ744" i="4"/>
  <c r="AQ745" i="4"/>
  <c r="AR79" i="4"/>
  <c r="AN267" i="4"/>
  <c r="AN281" i="4" s="1"/>
  <c r="AN177" i="4"/>
  <c r="AP746" i="4"/>
  <c r="BQ1409" i="4"/>
  <c r="BQ186" i="3"/>
  <c r="BQ123" i="4" s="1"/>
  <c r="BQ128" i="4" s="1"/>
  <c r="BQ129" i="4" s="1"/>
  <c r="BQ356" i="3"/>
  <c r="BQ242" i="4" s="1"/>
  <c r="BQ247" i="4" s="1"/>
  <c r="BQ8" i="11"/>
  <c r="BQ329" i="3"/>
  <c r="BQ218" i="4" s="1"/>
  <c r="BQ223" i="4" s="1"/>
  <c r="BQ357" i="3"/>
  <c r="BQ243" i="4" s="1"/>
  <c r="BQ248" i="4" s="1"/>
  <c r="BQ249" i="4" s="1"/>
  <c r="BQ185" i="3"/>
  <c r="BQ122" i="4" s="1"/>
  <c r="BQ127" i="4" s="1"/>
  <c r="BQ217" i="3"/>
  <c r="BQ134" i="4" s="1"/>
  <c r="BQ139" i="4" s="1"/>
  <c r="BQ1156" i="4"/>
  <c r="BQ1157" i="4" s="1"/>
  <c r="BQ1158" i="4"/>
  <c r="BQ1159" i="4" s="1"/>
  <c r="BQ1184" i="4"/>
  <c r="BQ30" i="4"/>
  <c r="BQ62" i="4" s="1"/>
  <c r="BQ528" i="4" s="1"/>
  <c r="BQ218" i="3"/>
  <c r="BQ135" i="4" s="1"/>
  <c r="BQ140" i="4" s="1"/>
  <c r="BQ141" i="4" s="1"/>
  <c r="BQ300" i="3"/>
  <c r="BQ187" i="4" s="1"/>
  <c r="BQ196" i="4" s="1"/>
  <c r="BQ241" i="3"/>
  <c r="BQ146" i="4" s="1"/>
  <c r="BQ151" i="4" s="1"/>
  <c r="BQ1160" i="4"/>
  <c r="BQ28" i="4"/>
  <c r="BP53" i="4" s="1"/>
  <c r="BQ1447" i="4"/>
  <c r="BR7" i="3"/>
  <c r="BR6" i="3" s="1"/>
  <c r="BQ184" i="3"/>
  <c r="BQ121" i="4" s="1"/>
  <c r="BQ126" i="4" s="1"/>
  <c r="BQ355" i="3"/>
  <c r="BQ241" i="4" s="1"/>
  <c r="BQ246" i="4" s="1"/>
  <c r="BQ8" i="66"/>
  <c r="BQ29" i="4"/>
  <c r="BQ60" i="4" s="1"/>
  <c r="BQ1183" i="4"/>
  <c r="BQ8" i="4"/>
  <c r="BQ19" i="4" s="1"/>
  <c r="BQ20" i="4" s="1"/>
  <c r="BQ8" i="62"/>
  <c r="BQ54" i="62" s="1"/>
  <c r="BQ314" i="4"/>
  <c r="BQ1242" i="4" s="1"/>
  <c r="BQ216" i="3"/>
  <c r="BQ133" i="4" s="1"/>
  <c r="BQ138" i="4" s="1"/>
  <c r="BQ242" i="3"/>
  <c r="BQ147" i="4" s="1"/>
  <c r="BQ152" i="4" s="1"/>
  <c r="BQ331" i="3"/>
  <c r="BQ220" i="4" s="1"/>
  <c r="BQ225" i="4" s="1"/>
  <c r="BQ226" i="4" s="1"/>
  <c r="BQ21" i="4"/>
  <c r="BP1173" i="4"/>
  <c r="BP1177" i="4" s="1"/>
  <c r="BP1494" i="4" s="1"/>
  <c r="BO1173" i="4"/>
  <c r="BO1177" i="4" s="1"/>
  <c r="BO1494" i="4" s="1"/>
  <c r="BP542" i="4"/>
  <c r="BP690" i="4" s="1"/>
  <c r="BO55" i="4"/>
  <c r="BO65" i="4"/>
  <c r="BN56" i="4"/>
  <c r="BP43" i="4"/>
  <c r="BP50" i="4" s="1"/>
  <c r="BP713" i="4" s="1"/>
  <c r="BP732" i="4" s="1"/>
  <c r="BO714" i="4"/>
  <c r="BO731" i="4"/>
  <c r="BQ185" i="4"/>
  <c r="BQ194" i="4" s="1"/>
  <c r="BQ198" i="4" s="1"/>
  <c r="BN737" i="4"/>
  <c r="BP84" i="4"/>
  <c r="BP324" i="4"/>
  <c r="BN736" i="4"/>
  <c r="BO1041" i="4"/>
  <c r="BO688" i="4"/>
  <c r="BP77" i="4"/>
  <c r="BO200" i="4"/>
  <c r="BO690" i="4"/>
  <c r="BO544" i="4"/>
  <c r="BQ150" i="4"/>
  <c r="BP688" i="4"/>
  <c r="BP1041" i="4"/>
  <c r="BQ192" i="4"/>
  <c r="BQ18" i="4"/>
  <c r="BR7" i="66" l="1"/>
  <c r="BR6" i="66" s="1"/>
  <c r="BR8" i="3"/>
  <c r="BR8" i="11" s="1"/>
  <c r="BQ1243" i="4"/>
  <c r="BQ15" i="66" s="1"/>
  <c r="BQ274" i="4"/>
  <c r="BQ335" i="4" s="1"/>
  <c r="BQ273" i="4"/>
  <c r="BR7" i="11"/>
  <c r="BR6" i="11" s="1"/>
  <c r="BR7" i="4"/>
  <c r="BR15" i="4" s="1"/>
  <c r="BR82" i="4" s="1"/>
  <c r="BP65" i="4"/>
  <c r="BQ529" i="4"/>
  <c r="BP55" i="4"/>
  <c r="BO56" i="4"/>
  <c r="BQ17" i="4"/>
  <c r="BQ275" i="4"/>
  <c r="BQ288" i="4" s="1"/>
  <c r="BQ329" i="4" s="1"/>
  <c r="BQ414" i="4" s="1"/>
  <c r="BQ415" i="4" s="1"/>
  <c r="BR413" i="4" s="1"/>
  <c r="BQ824" i="4"/>
  <c r="BQ70" i="4"/>
  <c r="BQ54" i="11"/>
  <c r="BQ543" i="4"/>
  <c r="BQ530" i="4"/>
  <c r="BQ67" i="4"/>
  <c r="BQ1042" i="4" s="1"/>
  <c r="BQ68" i="4"/>
  <c r="BP63" i="4"/>
  <c r="BP1389" i="4" s="1"/>
  <c r="AM81" i="11"/>
  <c r="AM82" i="11" s="1"/>
  <c r="AM1387" i="4" s="1"/>
  <c r="AM1318" i="4"/>
  <c r="AM1118" i="4"/>
  <c r="AM65" i="62"/>
  <c r="BQ1129" i="4"/>
  <c r="AM1291" i="4"/>
  <c r="BQ1263" i="4"/>
  <c r="BP544" i="4"/>
  <c r="AP956" i="4"/>
  <c r="BQ295" i="4"/>
  <c r="BQ303" i="4" s="1"/>
  <c r="BQ66" i="4"/>
  <c r="AR1109" i="4"/>
  <c r="AR1110" i="4" s="1"/>
  <c r="AR1111" i="4" s="1"/>
  <c r="AR985" i="4" s="1"/>
  <c r="AR937" i="4"/>
  <c r="AR895" i="4"/>
  <c r="AR973" i="4" s="1"/>
  <c r="AR296" i="4" s="1"/>
  <c r="AR936" i="4"/>
  <c r="AR951" i="4"/>
  <c r="AR939" i="4"/>
  <c r="AR938" i="4"/>
  <c r="AR953" i="4"/>
  <c r="AR947" i="4"/>
  <c r="AR952" i="4"/>
  <c r="AR955" i="4"/>
  <c r="AR954" i="4"/>
  <c r="AR948" i="4"/>
  <c r="AR946" i="4"/>
  <c r="AR743" i="4"/>
  <c r="AR744" i="4"/>
  <c r="AR745" i="4"/>
  <c r="AS79" i="4"/>
  <c r="AQ943" i="4"/>
  <c r="AQ940" i="4"/>
  <c r="AQ942" i="4"/>
  <c r="AQ941" i="4"/>
  <c r="AO170" i="4"/>
  <c r="AO266" i="4"/>
  <c r="AO280" i="4" s="1"/>
  <c r="AQ746" i="4"/>
  <c r="AO177" i="4"/>
  <c r="AO267" i="4"/>
  <c r="AN260" i="4"/>
  <c r="AO270" i="4"/>
  <c r="AO284" i="4" s="1"/>
  <c r="AO235" i="4"/>
  <c r="AQ754" i="4"/>
  <c r="AN276" i="4"/>
  <c r="AN334" i="4"/>
  <c r="AN1037" i="4" s="1"/>
  <c r="AN279" i="4"/>
  <c r="AN289" i="4" s="1"/>
  <c r="AO271" i="4"/>
  <c r="AO285" i="4" s="1"/>
  <c r="AO258" i="4"/>
  <c r="AP208" i="4"/>
  <c r="AP256" i="4"/>
  <c r="AP257" i="4"/>
  <c r="AP205" i="4"/>
  <c r="AP210" i="4"/>
  <c r="AP233" i="4"/>
  <c r="AP207" i="4"/>
  <c r="AP269" i="4" s="1"/>
  <c r="AP283" i="4" s="1"/>
  <c r="AP254" i="4"/>
  <c r="AP255" i="4"/>
  <c r="AP211" i="4"/>
  <c r="AP204" i="4"/>
  <c r="AP234" i="4"/>
  <c r="AP231" i="4"/>
  <c r="AP209" i="4"/>
  <c r="AP206" i="4"/>
  <c r="AP232" i="4"/>
  <c r="AP160" i="4"/>
  <c r="AP167" i="4"/>
  <c r="AP173" i="4"/>
  <c r="AP174" i="4"/>
  <c r="AP168" i="4"/>
  <c r="AP159" i="4"/>
  <c r="AP175" i="4"/>
  <c r="AP161" i="4"/>
  <c r="AP166" i="4"/>
  <c r="AP162" i="4"/>
  <c r="AP169" i="4"/>
  <c r="AP176" i="4"/>
  <c r="AQ85" i="4"/>
  <c r="AO265" i="4"/>
  <c r="AO163" i="4"/>
  <c r="AO268" i="4"/>
  <c r="AO282" i="4" s="1"/>
  <c r="AO212" i="4"/>
  <c r="BQ58" i="4"/>
  <c r="BQ28" i="66"/>
  <c r="BQ1151" i="4"/>
  <c r="BQ57" i="4"/>
  <c r="BQ9" i="4" s="1"/>
  <c r="BQ27" i="66"/>
  <c r="BP61" i="4"/>
  <c r="BP318" i="4" s="1"/>
  <c r="BP328" i="4" s="1"/>
  <c r="BQ153" i="4"/>
  <c r="BQ154" i="4" s="1"/>
  <c r="BQ34" i="4"/>
  <c r="BQ41" i="4" s="1"/>
  <c r="BQ48" i="4" s="1"/>
  <c r="BQ32" i="4"/>
  <c r="BQ39" i="4" s="1"/>
  <c r="BQ46" i="4" s="1"/>
  <c r="BQ37" i="4"/>
  <c r="BQ44" i="4" s="1"/>
  <c r="BQ51" i="4" s="1"/>
  <c r="BQ36" i="4"/>
  <c r="BQ43" i="4" s="1"/>
  <c r="BQ50" i="4" s="1"/>
  <c r="BQ713" i="4" s="1"/>
  <c r="BQ714" i="4" s="1"/>
  <c r="BR7" i="62"/>
  <c r="BR6" i="62" s="1"/>
  <c r="BR86" i="64"/>
  <c r="BR87" i="64" s="1"/>
  <c r="BR7" i="64"/>
  <c r="BR6" i="64" s="1"/>
  <c r="BR28" i="64" s="1"/>
  <c r="BR30" i="64" s="1"/>
  <c r="BR53" i="64" s="1"/>
  <c r="BQ33" i="4"/>
  <c r="BQ40" i="4" s="1"/>
  <c r="BQ47" i="4" s="1"/>
  <c r="BS7" i="3"/>
  <c r="BS7" i="64" s="1"/>
  <c r="BS6" i="64" s="1"/>
  <c r="BR1409" i="4"/>
  <c r="BR29" i="4"/>
  <c r="BR60" i="4" s="1"/>
  <c r="BR8" i="4"/>
  <c r="BR1156" i="4"/>
  <c r="BR1157" i="4" s="1"/>
  <c r="BR1158" i="4"/>
  <c r="BR1159" i="4" s="1"/>
  <c r="BR1184" i="4"/>
  <c r="BR8" i="64"/>
  <c r="BR28" i="4"/>
  <c r="BQ53" i="4" s="1"/>
  <c r="BR314" i="4"/>
  <c r="BR275" i="4" s="1"/>
  <c r="BR30" i="4"/>
  <c r="BR529" i="4" s="1"/>
  <c r="BR8" i="62"/>
  <c r="BR8" i="66"/>
  <c r="BR1160" i="4"/>
  <c r="BR329" i="3"/>
  <c r="BR218" i="4" s="1"/>
  <c r="BR223" i="4" s="1"/>
  <c r="BR16" i="4"/>
  <c r="BR1447" i="4"/>
  <c r="BQ1036" i="4"/>
  <c r="BQ35" i="4"/>
  <c r="BQ42" i="4" s="1"/>
  <c r="BQ49" i="4" s="1"/>
  <c r="BR296" i="3"/>
  <c r="BR183" i="4" s="1"/>
  <c r="BR192" i="4" s="1"/>
  <c r="BR300" i="3"/>
  <c r="BR187" i="4" s="1"/>
  <c r="BR196" i="4" s="1"/>
  <c r="BP731" i="4"/>
  <c r="BP714" i="4"/>
  <c r="BP721" i="4" s="1"/>
  <c r="BR241" i="3"/>
  <c r="BR146" i="4" s="1"/>
  <c r="BR151" i="4" s="1"/>
  <c r="BR217" i="3"/>
  <c r="BR134" i="4" s="1"/>
  <c r="BR139" i="4" s="1"/>
  <c r="BR301" i="3"/>
  <c r="BR188" i="4" s="1"/>
  <c r="BR197" i="4" s="1"/>
  <c r="BR185" i="3"/>
  <c r="BR122" i="4" s="1"/>
  <c r="BR127" i="4" s="1"/>
  <c r="BR297" i="3"/>
  <c r="BR184" i="4" s="1"/>
  <c r="BR193" i="4" s="1"/>
  <c r="BR240" i="3"/>
  <c r="BR145" i="4" s="1"/>
  <c r="BR150" i="4" s="1"/>
  <c r="BO721" i="4"/>
  <c r="BO722" i="4"/>
  <c r="BO717" i="4"/>
  <c r="BO718" i="4"/>
  <c r="BQ287" i="4"/>
  <c r="BQ324" i="4" s="1"/>
  <c r="BR218" i="3"/>
  <c r="BR298" i="3"/>
  <c r="BR355" i="3"/>
  <c r="BR356" i="3"/>
  <c r="BR184" i="3"/>
  <c r="BR242" i="3"/>
  <c r="BR299" i="3"/>
  <c r="BR216" i="3"/>
  <c r="BR331" i="3"/>
  <c r="BR357" i="3"/>
  <c r="BR330" i="3"/>
  <c r="BN738" i="4"/>
  <c r="BQ76" i="4"/>
  <c r="BQ77" i="4" s="1"/>
  <c r="BQ130" i="4"/>
  <c r="BQ227" i="4"/>
  <c r="BQ24" i="4"/>
  <c r="BQ88" i="4" s="1"/>
  <c r="BQ1260" i="4" s="1"/>
  <c r="BQ78" i="4"/>
  <c r="BQ250" i="4"/>
  <c r="BQ83" i="4"/>
  <c r="BQ84" i="4" s="1"/>
  <c r="BQ22" i="4"/>
  <c r="BR21" i="4"/>
  <c r="BQ142" i="4"/>
  <c r="BQ199" i="4"/>
  <c r="BQ200" i="4" s="1"/>
  <c r="BR54" i="62" l="1"/>
  <c r="BQ540" i="4"/>
  <c r="BR1183" i="4"/>
  <c r="BR186" i="3"/>
  <c r="BR123" i="4" s="1"/>
  <c r="BR128" i="4" s="1"/>
  <c r="BR129" i="4" s="1"/>
  <c r="BR17" i="4"/>
  <c r="BR18" i="4"/>
  <c r="BR288" i="4"/>
  <c r="BR329" i="4" s="1"/>
  <c r="BR414" i="4" s="1"/>
  <c r="BR415" i="4" s="1"/>
  <c r="BS413" i="4" s="1"/>
  <c r="BQ542" i="4"/>
  <c r="BQ690" i="4" s="1"/>
  <c r="BR6" i="4"/>
  <c r="BR75" i="4"/>
  <c r="BR76" i="4" s="1"/>
  <c r="BR77" i="4" s="1"/>
  <c r="BS7" i="11"/>
  <c r="BS6" i="11" s="1"/>
  <c r="BQ642" i="3"/>
  <c r="BQ1041" i="4" s="1"/>
  <c r="BR19" i="4"/>
  <c r="BR20" i="4" s="1"/>
  <c r="BQ9" i="66"/>
  <c r="BQ54" i="4"/>
  <c r="BQ53" i="62" s="1"/>
  <c r="BR27" i="66"/>
  <c r="BR274" i="4"/>
  <c r="BR335" i="4" s="1"/>
  <c r="BR1036" i="4" s="1"/>
  <c r="BQ34" i="66"/>
  <c r="BR1243" i="4"/>
  <c r="BR1151" i="4"/>
  <c r="BR1263" i="4"/>
  <c r="BQ60" i="62"/>
  <c r="BQ9" i="3"/>
  <c r="BQ9" i="11"/>
  <c r="BQ9" i="62"/>
  <c r="BQ9" i="64"/>
  <c r="BQ61" i="4"/>
  <c r="BQ318" i="4" s="1"/>
  <c r="BQ328" i="4" s="1"/>
  <c r="BR54" i="11"/>
  <c r="BR70" i="4"/>
  <c r="BR824" i="4"/>
  <c r="BR543" i="4"/>
  <c r="BR62" i="4"/>
  <c r="BR528" i="4" s="1"/>
  <c r="BR530" i="4"/>
  <c r="BR540" i="4" s="1"/>
  <c r="BR67" i="4"/>
  <c r="BR1042" i="4" s="1"/>
  <c r="BR57" i="4"/>
  <c r="BR9" i="4" s="1"/>
  <c r="AR754" i="4"/>
  <c r="BR68" i="4"/>
  <c r="BQ63" i="4"/>
  <c r="BQ1389" i="4" s="1"/>
  <c r="AQ956" i="4"/>
  <c r="BQ731" i="4"/>
  <c r="AP271" i="4"/>
  <c r="AP285" i="4" s="1"/>
  <c r="AP258" i="4"/>
  <c r="AR943" i="4"/>
  <c r="AR942" i="4"/>
  <c r="AR940" i="4"/>
  <c r="AR941" i="4"/>
  <c r="AP266" i="4"/>
  <c r="AP280" i="4" s="1"/>
  <c r="AP170" i="4"/>
  <c r="AO260" i="4"/>
  <c r="AO276" i="4"/>
  <c r="AO279" i="4"/>
  <c r="AP265" i="4"/>
  <c r="AP163" i="4"/>
  <c r="AS1109" i="4"/>
  <c r="AS1110" i="4" s="1"/>
  <c r="AS1111" i="4" s="1"/>
  <c r="AS985" i="4" s="1"/>
  <c r="AS939" i="4"/>
  <c r="AS895" i="4"/>
  <c r="AS973" i="4" s="1"/>
  <c r="AS296" i="4" s="1"/>
  <c r="AS948" i="4"/>
  <c r="AS936" i="4"/>
  <c r="AS954" i="4"/>
  <c r="AS951" i="4"/>
  <c r="AS946" i="4"/>
  <c r="AS937" i="4"/>
  <c r="AS955" i="4"/>
  <c r="AS947" i="4"/>
  <c r="AS953" i="4"/>
  <c r="AS938" i="4"/>
  <c r="AS952" i="4"/>
  <c r="AS743" i="4"/>
  <c r="AS744" i="4"/>
  <c r="AS745" i="4"/>
  <c r="AT79" i="4"/>
  <c r="AQ210" i="4"/>
  <c r="AQ234" i="4"/>
  <c r="AQ255" i="4"/>
  <c r="AQ211" i="4"/>
  <c r="AQ232" i="4"/>
  <c r="AQ208" i="4"/>
  <c r="AQ256" i="4"/>
  <c r="AQ207" i="4"/>
  <c r="AQ269" i="4" s="1"/>
  <c r="AQ283" i="4" s="1"/>
  <c r="AQ205" i="4"/>
  <c r="AQ254" i="4"/>
  <c r="AQ231" i="4"/>
  <c r="AQ204" i="4"/>
  <c r="AQ209" i="4"/>
  <c r="AQ233" i="4"/>
  <c r="AQ206" i="4"/>
  <c r="AQ257" i="4"/>
  <c r="AQ168" i="4"/>
  <c r="AQ173" i="4"/>
  <c r="AQ166" i="4"/>
  <c r="AQ161" i="4"/>
  <c r="AQ167" i="4"/>
  <c r="AQ175" i="4"/>
  <c r="AQ159" i="4"/>
  <c r="AQ174" i="4"/>
  <c r="AQ160" i="4"/>
  <c r="AQ169" i="4"/>
  <c r="AQ176" i="4"/>
  <c r="AQ162" i="4"/>
  <c r="AR85" i="4"/>
  <c r="AP270" i="4"/>
  <c r="AP284" i="4" s="1"/>
  <c r="AP235" i="4"/>
  <c r="AN1291" i="4"/>
  <c r="AN33" i="66"/>
  <c r="AN32" i="66" s="1"/>
  <c r="AN1318" i="4"/>
  <c r="AN1118" i="4"/>
  <c r="AN65" i="62"/>
  <c r="AN81" i="11"/>
  <c r="AN82" i="11" s="1"/>
  <c r="AN1387" i="4" s="1"/>
  <c r="AO334" i="4"/>
  <c r="AO1037" i="4" s="1"/>
  <c r="AO281" i="4"/>
  <c r="AP177" i="4"/>
  <c r="AP267" i="4"/>
  <c r="AP281" i="4" s="1"/>
  <c r="AP268" i="4"/>
  <c r="AP282" i="4" s="1"/>
  <c r="AP212" i="4"/>
  <c r="AR746" i="4"/>
  <c r="BS28" i="64"/>
  <c r="BS30" i="64" s="1"/>
  <c r="BS53" i="64" s="1"/>
  <c r="BR1242" i="4"/>
  <c r="BR28" i="66"/>
  <c r="BR295" i="4"/>
  <c r="BR303" i="4" s="1"/>
  <c r="BR273" i="4"/>
  <c r="BR34" i="66" s="1"/>
  <c r="BR66" i="4"/>
  <c r="BS8" i="3"/>
  <c r="BS16" i="4" s="1"/>
  <c r="BS7" i="66"/>
  <c r="BS6" i="66" s="1"/>
  <c r="BR1129" i="4"/>
  <c r="BR58" i="4"/>
  <c r="BS86" i="64"/>
  <c r="BS87" i="64" s="1"/>
  <c r="BS6" i="3"/>
  <c r="BS7" i="4"/>
  <c r="BS15" i="4" s="1"/>
  <c r="BS7" i="62"/>
  <c r="BS6" i="62" s="1"/>
  <c r="BQ1173" i="4"/>
  <c r="BQ1177" i="4" s="1"/>
  <c r="BQ1494" i="4" s="1"/>
  <c r="BQ732" i="4"/>
  <c r="BO736" i="4"/>
  <c r="BP717" i="4"/>
  <c r="BP722" i="4"/>
  <c r="BP737" i="4" s="1"/>
  <c r="BP718" i="4"/>
  <c r="BQ544" i="4"/>
  <c r="BO737" i="4"/>
  <c r="BN739" i="4"/>
  <c r="BQ722" i="4"/>
  <c r="BQ718" i="4"/>
  <c r="BQ721" i="4"/>
  <c r="BQ717" i="4"/>
  <c r="BR243" i="4"/>
  <c r="BR248" i="4" s="1"/>
  <c r="BR249" i="4" s="1"/>
  <c r="BR185" i="4"/>
  <c r="BR133" i="4"/>
  <c r="BR220" i="4"/>
  <c r="BR225" i="4" s="1"/>
  <c r="BR226" i="4" s="1"/>
  <c r="BR147" i="4"/>
  <c r="BR135" i="4"/>
  <c r="BR140" i="4" s="1"/>
  <c r="BR141" i="4" s="1"/>
  <c r="BR121" i="4"/>
  <c r="BR241" i="4"/>
  <c r="BR242" i="4"/>
  <c r="BR247" i="4" s="1"/>
  <c r="BR186" i="4"/>
  <c r="BR195" i="4" s="1"/>
  <c r="BR219" i="4"/>
  <c r="BR22" i="4"/>
  <c r="BS21" i="4"/>
  <c r="BR83" i="4"/>
  <c r="BR84" i="4" s="1"/>
  <c r="BR24" i="4"/>
  <c r="BR88" i="4" s="1"/>
  <c r="BR1260" i="4" s="1"/>
  <c r="BQ688" i="4" l="1"/>
  <c r="BR78" i="4"/>
  <c r="BQ55" i="4"/>
  <c r="BQ65" i="4"/>
  <c r="BP56" i="4"/>
  <c r="BR15" i="66"/>
  <c r="BS242" i="3"/>
  <c r="BS147" i="4" s="1"/>
  <c r="BS152" i="4" s="1"/>
  <c r="BR287" i="4"/>
  <c r="BR324" i="4" s="1"/>
  <c r="BS299" i="3"/>
  <c r="BS186" i="4" s="1"/>
  <c r="BS195" i="4" s="1"/>
  <c r="BR542" i="4"/>
  <c r="BR544" i="4" s="1"/>
  <c r="BS1156" i="4"/>
  <c r="BS1157" i="4" s="1"/>
  <c r="BS29" i="4"/>
  <c r="BS60" i="4" s="1"/>
  <c r="BS8" i="11"/>
  <c r="BS240" i="3"/>
  <c r="BS145" i="4" s="1"/>
  <c r="BS150" i="4" s="1"/>
  <c r="BS1184" i="4"/>
  <c r="BS30" i="4"/>
  <c r="BS67" i="4" s="1"/>
  <c r="BS1042" i="4" s="1"/>
  <c r="BS296" i="3"/>
  <c r="BS183" i="4" s="1"/>
  <c r="BS192" i="4" s="1"/>
  <c r="BS357" i="3"/>
  <c r="BS243" i="4" s="1"/>
  <c r="BS248" i="4" s="1"/>
  <c r="BS249" i="4" s="1"/>
  <c r="BT7" i="3"/>
  <c r="BT7" i="66" s="1"/>
  <c r="BT6" i="66" s="1"/>
  <c r="BS8" i="64"/>
  <c r="BS1160" i="4"/>
  <c r="BS330" i="3"/>
  <c r="BS219" i="4" s="1"/>
  <c r="BS224" i="4" s="1"/>
  <c r="BS82" i="4"/>
  <c r="BS75" i="4"/>
  <c r="BS301" i="3"/>
  <c r="BS188" i="4" s="1"/>
  <c r="BS197" i="4" s="1"/>
  <c r="BR642" i="3"/>
  <c r="BR1041" i="4" s="1"/>
  <c r="BR60" i="62"/>
  <c r="BR9" i="64"/>
  <c r="BR9" i="11"/>
  <c r="BR9" i="62"/>
  <c r="BR54" i="4"/>
  <c r="BQ56" i="4" s="1"/>
  <c r="BR9" i="66"/>
  <c r="BR9" i="3"/>
  <c r="AR956" i="4"/>
  <c r="AS754" i="4"/>
  <c r="AS746" i="4"/>
  <c r="AO289" i="4"/>
  <c r="AQ268" i="4"/>
  <c r="AQ282" i="4" s="1"/>
  <c r="AQ212" i="4"/>
  <c r="AP260" i="4"/>
  <c r="AR208" i="4"/>
  <c r="AR231" i="4"/>
  <c r="AR209" i="4"/>
  <c r="AR204" i="4"/>
  <c r="AR256" i="4"/>
  <c r="AR210" i="4"/>
  <c r="AR232" i="4"/>
  <c r="AR255" i="4"/>
  <c r="AR254" i="4"/>
  <c r="AR234" i="4"/>
  <c r="AR206" i="4"/>
  <c r="AR257" i="4"/>
  <c r="AR207" i="4"/>
  <c r="AR269" i="4" s="1"/>
  <c r="AR283" i="4" s="1"/>
  <c r="AR205" i="4"/>
  <c r="AR211" i="4"/>
  <c r="AR233" i="4"/>
  <c r="AR174" i="4"/>
  <c r="AR168" i="4"/>
  <c r="AR160" i="4"/>
  <c r="AR166" i="4"/>
  <c r="AR167" i="4"/>
  <c r="AR161" i="4"/>
  <c r="AR159" i="4"/>
  <c r="AR175" i="4"/>
  <c r="AR173" i="4"/>
  <c r="AR169" i="4"/>
  <c r="AR176" i="4"/>
  <c r="AR162" i="4"/>
  <c r="AS85" i="4"/>
  <c r="AQ266" i="4"/>
  <c r="AQ280" i="4" s="1"/>
  <c r="AQ170" i="4"/>
  <c r="AQ235" i="4"/>
  <c r="AQ270" i="4"/>
  <c r="AQ284" i="4" s="1"/>
  <c r="AS940" i="4"/>
  <c r="AS943" i="4"/>
  <c r="AS941" i="4"/>
  <c r="AS942" i="4"/>
  <c r="AP276" i="4"/>
  <c r="AP334" i="4"/>
  <c r="AP1037" i="4" s="1"/>
  <c r="AP279" i="4"/>
  <c r="AP289" i="4" s="1"/>
  <c r="AQ177" i="4"/>
  <c r="AQ267" i="4"/>
  <c r="AQ281" i="4" s="1"/>
  <c r="AQ271" i="4"/>
  <c r="AQ285" i="4" s="1"/>
  <c r="AQ258" i="4"/>
  <c r="AT1109" i="4"/>
  <c r="AT1110" i="4" s="1"/>
  <c r="AT1111" i="4" s="1"/>
  <c r="AT985" i="4" s="1"/>
  <c r="AT895" i="4"/>
  <c r="AT973" i="4" s="1"/>
  <c r="AT296" i="4" s="1"/>
  <c r="AT953" i="4"/>
  <c r="AT946" i="4"/>
  <c r="AT937" i="4"/>
  <c r="AT955" i="4"/>
  <c r="AT947" i="4"/>
  <c r="AT952" i="4"/>
  <c r="AT938" i="4"/>
  <c r="AT951" i="4"/>
  <c r="AT936" i="4"/>
  <c r="AT948" i="4"/>
  <c r="AT939" i="4"/>
  <c r="AT954" i="4"/>
  <c r="AT744" i="4"/>
  <c r="AT743" i="4"/>
  <c r="AT745" i="4"/>
  <c r="AU79" i="4"/>
  <c r="AO33" i="66"/>
  <c r="AO32" i="66" s="1"/>
  <c r="AO1118" i="4"/>
  <c r="AO81" i="11"/>
  <c r="AO82" i="11" s="1"/>
  <c r="AO1387" i="4" s="1"/>
  <c r="AO65" i="62"/>
  <c r="AO1318" i="4"/>
  <c r="AO1291" i="4"/>
  <c r="BP736" i="4"/>
  <c r="BP738" i="4" s="1"/>
  <c r="BP739" i="4" s="1"/>
  <c r="AQ163" i="4"/>
  <c r="AQ265" i="4"/>
  <c r="BS184" i="3"/>
  <c r="BS121" i="4" s="1"/>
  <c r="BS126" i="4" s="1"/>
  <c r="BS218" i="3"/>
  <c r="BS135" i="4" s="1"/>
  <c r="BS140" i="4" s="1"/>
  <c r="BS141" i="4" s="1"/>
  <c r="BS298" i="3"/>
  <c r="BS185" i="4" s="1"/>
  <c r="BS194" i="4" s="1"/>
  <c r="BS198" i="4" s="1"/>
  <c r="BS1409" i="4"/>
  <c r="BS28" i="4"/>
  <c r="BR53" i="4" s="1"/>
  <c r="BS356" i="3"/>
  <c r="BS242" i="4" s="1"/>
  <c r="BS247" i="4" s="1"/>
  <c r="BS217" i="3"/>
  <c r="BS134" i="4" s="1"/>
  <c r="BS139" i="4" s="1"/>
  <c r="BS185" i="3"/>
  <c r="BS122" i="4" s="1"/>
  <c r="BS127" i="4" s="1"/>
  <c r="BS8" i="4"/>
  <c r="BS17" i="4" s="1"/>
  <c r="BS1183" i="4"/>
  <c r="BS314" i="4"/>
  <c r="BS274" i="4" s="1"/>
  <c r="BS335" i="4" s="1"/>
  <c r="BS1036" i="4" s="1"/>
  <c r="BS241" i="3"/>
  <c r="BS146" i="4" s="1"/>
  <c r="BS151" i="4" s="1"/>
  <c r="BS186" i="3"/>
  <c r="BS123" i="4" s="1"/>
  <c r="BS128" i="4" s="1"/>
  <c r="BS129" i="4" s="1"/>
  <c r="BS331" i="3"/>
  <c r="BS220" i="4" s="1"/>
  <c r="BS225" i="4" s="1"/>
  <c r="BS226" i="4" s="1"/>
  <c r="BS8" i="62"/>
  <c r="BS54" i="62" s="1"/>
  <c r="BS8" i="66"/>
  <c r="BS297" i="3"/>
  <c r="BS184" i="4" s="1"/>
  <c r="BS193" i="4" s="1"/>
  <c r="BS355" i="3"/>
  <c r="BS241" i="4" s="1"/>
  <c r="BS246" i="4" s="1"/>
  <c r="BS1447" i="4"/>
  <c r="BS1158" i="4"/>
  <c r="BS1159" i="4" s="1"/>
  <c r="BS300" i="3"/>
  <c r="BS187" i="4" s="1"/>
  <c r="BS196" i="4" s="1"/>
  <c r="BS329" i="3"/>
  <c r="BS218" i="4" s="1"/>
  <c r="BS223" i="4" s="1"/>
  <c r="BS216" i="3"/>
  <c r="BS133" i="4" s="1"/>
  <c r="BS138" i="4" s="1"/>
  <c r="BS6" i="4"/>
  <c r="BR1173" i="4"/>
  <c r="BR1177" i="4" s="1"/>
  <c r="BR1494" i="4" s="1"/>
  <c r="BO738" i="4"/>
  <c r="BR224" i="4"/>
  <c r="BR227" i="4" s="1"/>
  <c r="BR36" i="4"/>
  <c r="BR43" i="4" s="1"/>
  <c r="BR50" i="4" s="1"/>
  <c r="BR713" i="4" s="1"/>
  <c r="BR138" i="4"/>
  <c r="BR142" i="4" s="1"/>
  <c r="BR33" i="4"/>
  <c r="BR40" i="4" s="1"/>
  <c r="BR47" i="4" s="1"/>
  <c r="BR126" i="4"/>
  <c r="BR130" i="4" s="1"/>
  <c r="BR32" i="4"/>
  <c r="BR39" i="4" s="1"/>
  <c r="BR46" i="4" s="1"/>
  <c r="BR194" i="4"/>
  <c r="BR35" i="4"/>
  <c r="BR42" i="4" s="1"/>
  <c r="BR49" i="4" s="1"/>
  <c r="BR152" i="4"/>
  <c r="BR34" i="4"/>
  <c r="BR41" i="4" s="1"/>
  <c r="BR48" i="4" s="1"/>
  <c r="BR246" i="4"/>
  <c r="BR250" i="4" s="1"/>
  <c r="BR37" i="4"/>
  <c r="BR44" i="4" s="1"/>
  <c r="BR51" i="4" s="1"/>
  <c r="BQ736" i="4"/>
  <c r="BQ737" i="4"/>
  <c r="BS18" i="4"/>
  <c r="BS1263" i="4"/>
  <c r="BS1151" i="4"/>
  <c r="BS530" i="4" l="1"/>
  <c r="BR63" i="4"/>
  <c r="BR1389" i="4" s="1"/>
  <c r="BS19" i="4"/>
  <c r="BS20" i="4" s="1"/>
  <c r="BT8" i="3"/>
  <c r="BT7" i="62"/>
  <c r="BT6" i="62" s="1"/>
  <c r="BR690" i="4"/>
  <c r="BR55" i="4"/>
  <c r="BR65" i="4"/>
  <c r="BS28" i="66"/>
  <c r="BR53" i="62"/>
  <c r="BS27" i="66"/>
  <c r="BS66" i="4"/>
  <c r="BR61" i="4"/>
  <c r="BR318" i="4" s="1"/>
  <c r="BR328" i="4" s="1"/>
  <c r="BS295" i="4"/>
  <c r="BS303" i="4" s="1"/>
  <c r="BR688" i="4"/>
  <c r="BS54" i="11"/>
  <c r="BS529" i="4"/>
  <c r="BS70" i="4"/>
  <c r="BS824" i="4"/>
  <c r="BS642" i="3"/>
  <c r="BS1041" i="4" s="1"/>
  <c r="BS62" i="4"/>
  <c r="BS528" i="4" s="1"/>
  <c r="BS68" i="4"/>
  <c r="BS57" i="4"/>
  <c r="BS9" i="3" s="1"/>
  <c r="BS543" i="4"/>
  <c r="BS34" i="4"/>
  <c r="BS41" i="4" s="1"/>
  <c r="BS48" i="4" s="1"/>
  <c r="BS275" i="4"/>
  <c r="BS288" i="4" s="1"/>
  <c r="BS329" i="4" s="1"/>
  <c r="BS414" i="4" s="1"/>
  <c r="BS415" i="4" s="1"/>
  <c r="BT413" i="4" s="1"/>
  <c r="BS273" i="4"/>
  <c r="BS287" i="4" s="1"/>
  <c r="BS324" i="4" s="1"/>
  <c r="BT6" i="3"/>
  <c r="BT7" i="11"/>
  <c r="BT6" i="11" s="1"/>
  <c r="BT86" i="64"/>
  <c r="BT87" i="64" s="1"/>
  <c r="BS1243" i="4"/>
  <c r="BS1242" i="4"/>
  <c r="BT7" i="4"/>
  <c r="BT15" i="4" s="1"/>
  <c r="BT75" i="4" s="1"/>
  <c r="BT7" i="64"/>
  <c r="BT6" i="64" s="1"/>
  <c r="BT28" i="64" s="1"/>
  <c r="BT30" i="64" s="1"/>
  <c r="BT53" i="64" s="1"/>
  <c r="BS1129" i="4"/>
  <c r="BS58" i="4"/>
  <c r="AQ260" i="4"/>
  <c r="AQ1318" i="4" s="1"/>
  <c r="BS153" i="4"/>
  <c r="BS154" i="4" s="1"/>
  <c r="AS956" i="4"/>
  <c r="AR170" i="4"/>
  <c r="AR266" i="4"/>
  <c r="AR280" i="4" s="1"/>
  <c r="AR268" i="4"/>
  <c r="AR282" i="4" s="1"/>
  <c r="AR212" i="4"/>
  <c r="AQ334" i="4"/>
  <c r="AQ1037" i="4" s="1"/>
  <c r="S16" i="72" s="1"/>
  <c r="AQ276" i="4"/>
  <c r="AQ279" i="4"/>
  <c r="AQ289" i="4" s="1"/>
  <c r="AR235" i="4"/>
  <c r="AR270" i="4"/>
  <c r="AR284" i="4" s="1"/>
  <c r="AR177" i="4"/>
  <c r="AR267" i="4"/>
  <c r="AR281" i="4" s="1"/>
  <c r="AR271" i="4"/>
  <c r="AR285" i="4" s="1"/>
  <c r="AR258" i="4"/>
  <c r="AT943" i="4"/>
  <c r="AT942" i="4"/>
  <c r="AT941" i="4"/>
  <c r="AT940" i="4"/>
  <c r="AU1109" i="4"/>
  <c r="AU1110" i="4" s="1"/>
  <c r="AU1111" i="4" s="1"/>
  <c r="AU985" i="4" s="1"/>
  <c r="AU952" i="4"/>
  <c r="AU938" i="4"/>
  <c r="AU936" i="4"/>
  <c r="AU948" i="4"/>
  <c r="AU955" i="4"/>
  <c r="AU954" i="4"/>
  <c r="AU937" i="4"/>
  <c r="AU895" i="4"/>
  <c r="AU973" i="4" s="1"/>
  <c r="AU296" i="4" s="1"/>
  <c r="AU947" i="4"/>
  <c r="AU946" i="4"/>
  <c r="AU953" i="4"/>
  <c r="AU951" i="4"/>
  <c r="AU939" i="4"/>
  <c r="AU744" i="4"/>
  <c r="AU743" i="4"/>
  <c r="AU745" i="4"/>
  <c r="AV79" i="4"/>
  <c r="AR265" i="4"/>
  <c r="AR163" i="4"/>
  <c r="AP1291" i="4"/>
  <c r="AP33" i="66"/>
  <c r="AP32" i="66" s="1"/>
  <c r="AP1318" i="4"/>
  <c r="AP1118" i="4"/>
  <c r="AP65" i="62"/>
  <c r="AP81" i="11"/>
  <c r="AP82" i="11" s="1"/>
  <c r="AP1387" i="4" s="1"/>
  <c r="AT754" i="4"/>
  <c r="AT746" i="4"/>
  <c r="AS231" i="4"/>
  <c r="AS211" i="4"/>
  <c r="AS254" i="4"/>
  <c r="AS232" i="4"/>
  <c r="AS204" i="4"/>
  <c r="AS207" i="4"/>
  <c r="AS269" i="4" s="1"/>
  <c r="AS283" i="4" s="1"/>
  <c r="AS255" i="4"/>
  <c r="AS233" i="4"/>
  <c r="AS205" i="4"/>
  <c r="AS257" i="4"/>
  <c r="AS209" i="4"/>
  <c r="AS256" i="4"/>
  <c r="AS208" i="4"/>
  <c r="AS206" i="4"/>
  <c r="AS234" i="4"/>
  <c r="AS210" i="4"/>
  <c r="AS175" i="4"/>
  <c r="AS160" i="4"/>
  <c r="AS173" i="4"/>
  <c r="AS159" i="4"/>
  <c r="AS166" i="4"/>
  <c r="AS161" i="4"/>
  <c r="AS168" i="4"/>
  <c r="AS174" i="4"/>
  <c r="AS167" i="4"/>
  <c r="AS169" i="4"/>
  <c r="AS176" i="4"/>
  <c r="AS162" i="4"/>
  <c r="AT85" i="4"/>
  <c r="BS37" i="4"/>
  <c r="BS44" i="4" s="1"/>
  <c r="BS51" i="4" s="1"/>
  <c r="BT299" i="3"/>
  <c r="BT186" i="4" s="1"/>
  <c r="BT195" i="4" s="1"/>
  <c r="BT16" i="4"/>
  <c r="BT1184" i="4"/>
  <c r="BT8" i="4"/>
  <c r="BT30" i="4"/>
  <c r="BS63" i="4" s="1"/>
  <c r="BS1389" i="4" s="1"/>
  <c r="BO739" i="4"/>
  <c r="BT1183" i="4"/>
  <c r="BT8" i="66"/>
  <c r="BT29" i="4"/>
  <c r="BS61" i="4" s="1"/>
  <c r="BS318" i="4" s="1"/>
  <c r="BT1409" i="4"/>
  <c r="BT314" i="4"/>
  <c r="BT275" i="4" s="1"/>
  <c r="BT1158" i="4"/>
  <c r="BT1159" i="4" s="1"/>
  <c r="BT8" i="64"/>
  <c r="BU7" i="3"/>
  <c r="BU7" i="64" s="1"/>
  <c r="BU6" i="64" s="1"/>
  <c r="BT1156" i="4"/>
  <c r="BT1157" i="4" s="1"/>
  <c r="BS36" i="4"/>
  <c r="BS43" i="4" s="1"/>
  <c r="BS50" i="4" s="1"/>
  <c r="BS713" i="4" s="1"/>
  <c r="BS731" i="4" s="1"/>
  <c r="BS32" i="4"/>
  <c r="BS39" i="4" s="1"/>
  <c r="BS46" i="4" s="1"/>
  <c r="BS33" i="4"/>
  <c r="BS40" i="4" s="1"/>
  <c r="BS47" i="4" s="1"/>
  <c r="BS35" i="4"/>
  <c r="BS42" i="4" s="1"/>
  <c r="BS49" i="4" s="1"/>
  <c r="BT8" i="62"/>
  <c r="BT54" i="62" s="1"/>
  <c r="BT357" i="3"/>
  <c r="BT243" i="4" s="1"/>
  <c r="BT248" i="4" s="1"/>
  <c r="BT249" i="4" s="1"/>
  <c r="BT185" i="3"/>
  <c r="BT122" i="4" s="1"/>
  <c r="BT127" i="4" s="1"/>
  <c r="BT301" i="3"/>
  <c r="BT188" i="4" s="1"/>
  <c r="BT197" i="4" s="1"/>
  <c r="BT296" i="3"/>
  <c r="BT183" i="4" s="1"/>
  <c r="BT192" i="4" s="1"/>
  <c r="BT355" i="3"/>
  <c r="BT241" i="4" s="1"/>
  <c r="BT246" i="4" s="1"/>
  <c r="BT356" i="3"/>
  <c r="BT242" i="4" s="1"/>
  <c r="BT247" i="4" s="1"/>
  <c r="BT28" i="4"/>
  <c r="BS53" i="4" s="1"/>
  <c r="BT1160" i="4"/>
  <c r="BT8" i="11"/>
  <c r="BR153" i="4"/>
  <c r="BT217" i="3"/>
  <c r="BT242" i="3"/>
  <c r="BT240" i="3"/>
  <c r="BR198" i="4"/>
  <c r="BT1447" i="4"/>
  <c r="BT241" i="3"/>
  <c r="BR731" i="4"/>
  <c r="BR732" i="4"/>
  <c r="BR714" i="4"/>
  <c r="BT298" i="3"/>
  <c r="BT216" i="3"/>
  <c r="BT218" i="3"/>
  <c r="BT329" i="3"/>
  <c r="BT330" i="3"/>
  <c r="BT184" i="3"/>
  <c r="BT300" i="3"/>
  <c r="BT331" i="3"/>
  <c r="BS24" i="4"/>
  <c r="BS88" i="4" s="1"/>
  <c r="BS1260" i="4" s="1"/>
  <c r="BT297" i="3"/>
  <c r="BT186" i="3"/>
  <c r="BT123" i="4" s="1"/>
  <c r="BT128" i="4" s="1"/>
  <c r="BT129" i="4" s="1"/>
  <c r="BQ738" i="4"/>
  <c r="BS250" i="4"/>
  <c r="BS540" i="4"/>
  <c r="BU86" i="64"/>
  <c r="BU87" i="64" s="1"/>
  <c r="BS83" i="4"/>
  <c r="BS84" i="4" s="1"/>
  <c r="BS130" i="4"/>
  <c r="BS76" i="4"/>
  <c r="BS77" i="4" s="1"/>
  <c r="BS227" i="4"/>
  <c r="BS78" i="4"/>
  <c r="BS142" i="4"/>
  <c r="BS22" i="4"/>
  <c r="BT21" i="4"/>
  <c r="BS199" i="4"/>
  <c r="BS688" i="4" l="1"/>
  <c r="BU28" i="64"/>
  <c r="BU30" i="64" s="1"/>
  <c r="BU53" i="64" s="1"/>
  <c r="BT18" i="4"/>
  <c r="BT19" i="4"/>
  <c r="BT20" i="4" s="1"/>
  <c r="BS34" i="66"/>
  <c r="BT6" i="4"/>
  <c r="BT17" i="4"/>
  <c r="BU7" i="62"/>
  <c r="BU6" i="62" s="1"/>
  <c r="BT288" i="4"/>
  <c r="BT329" i="4" s="1"/>
  <c r="BT414" i="4" s="1"/>
  <c r="BT415" i="4" s="1"/>
  <c r="BU413" i="4" s="1"/>
  <c r="BU7" i="66"/>
  <c r="BU6" i="66" s="1"/>
  <c r="BS328" i="4"/>
  <c r="BS9" i="11"/>
  <c r="BS9" i="66"/>
  <c r="BS9" i="4"/>
  <c r="BS9" i="62"/>
  <c r="BS54" i="4"/>
  <c r="BS65" i="4" s="1"/>
  <c r="BS9" i="64"/>
  <c r="BS60" i="62"/>
  <c r="BS542" i="4"/>
  <c r="BS690" i="4" s="1"/>
  <c r="BT82" i="4"/>
  <c r="BT83" i="4" s="1"/>
  <c r="BT84" i="4" s="1"/>
  <c r="BS15" i="66"/>
  <c r="BU8" i="3"/>
  <c r="BU16" i="4" s="1"/>
  <c r="BU7" i="11"/>
  <c r="BU6" i="11" s="1"/>
  <c r="BT1129" i="4"/>
  <c r="BU7" i="4"/>
  <c r="BU15" i="4" s="1"/>
  <c r="BU6" i="3"/>
  <c r="AQ33" i="66"/>
  <c r="AQ32" i="66" s="1"/>
  <c r="AQ65" i="62"/>
  <c r="AQ81" i="11"/>
  <c r="AQ82" i="11" s="1"/>
  <c r="AQ1387" i="4" s="1"/>
  <c r="AQ1118" i="4"/>
  <c r="AQ1291" i="4"/>
  <c r="BT543" i="4"/>
  <c r="BT28" i="66"/>
  <c r="BT66" i="4"/>
  <c r="BT1151" i="4"/>
  <c r="AT956" i="4"/>
  <c r="BT295" i="4"/>
  <c r="BT303" i="4" s="1"/>
  <c r="BT60" i="4"/>
  <c r="BT1263" i="4"/>
  <c r="BT27" i="66"/>
  <c r="AU746" i="4"/>
  <c r="BT70" i="4"/>
  <c r="AS270" i="4"/>
  <c r="AS284" i="4" s="1"/>
  <c r="AS235" i="4"/>
  <c r="AR260" i="4"/>
  <c r="AU940" i="4"/>
  <c r="AU941" i="4"/>
  <c r="AU942" i="4"/>
  <c r="AU943" i="4"/>
  <c r="AR334" i="4"/>
  <c r="AR1037" i="4" s="1"/>
  <c r="AR276" i="4"/>
  <c r="AR279" i="4"/>
  <c r="AR289" i="4" s="1"/>
  <c r="AV1109" i="4"/>
  <c r="AV1110" i="4" s="1"/>
  <c r="AV1111" i="4" s="1"/>
  <c r="AV985" i="4" s="1"/>
  <c r="AV938" i="4"/>
  <c r="AV936" i="4"/>
  <c r="AV947" i="4"/>
  <c r="AV948" i="4"/>
  <c r="AV946" i="4"/>
  <c r="AV954" i="4"/>
  <c r="AV951" i="4"/>
  <c r="AV953" i="4"/>
  <c r="AV955" i="4"/>
  <c r="AV937" i="4"/>
  <c r="AV939" i="4"/>
  <c r="AV895" i="4"/>
  <c r="AV973" i="4" s="1"/>
  <c r="AV296" i="4" s="1"/>
  <c r="AV952" i="4"/>
  <c r="AV744" i="4"/>
  <c r="AV743" i="4"/>
  <c r="AV745" i="4"/>
  <c r="AW79" i="4"/>
  <c r="AS170" i="4"/>
  <c r="AS266" i="4"/>
  <c r="AS280" i="4" s="1"/>
  <c r="AS265" i="4"/>
  <c r="AS163" i="4"/>
  <c r="AU754" i="4"/>
  <c r="AT204" i="4"/>
  <c r="AT211" i="4"/>
  <c r="AT207" i="4"/>
  <c r="AT269" i="4" s="1"/>
  <c r="AT283" i="4" s="1"/>
  <c r="AT231" i="4"/>
  <c r="AT234" i="4"/>
  <c r="AT206" i="4"/>
  <c r="AT208" i="4"/>
  <c r="AT256" i="4"/>
  <c r="AT254" i="4"/>
  <c r="AT257" i="4"/>
  <c r="AT210" i="4"/>
  <c r="AT233" i="4"/>
  <c r="AT232" i="4"/>
  <c r="AT255" i="4"/>
  <c r="AT209" i="4"/>
  <c r="AT205" i="4"/>
  <c r="AT159" i="4"/>
  <c r="AT166" i="4"/>
  <c r="AT160" i="4"/>
  <c r="AT167" i="4"/>
  <c r="AT173" i="4"/>
  <c r="AT161" i="4"/>
  <c r="AT175" i="4"/>
  <c r="AT168" i="4"/>
  <c r="AT174" i="4"/>
  <c r="AT176" i="4"/>
  <c r="AT169" i="4"/>
  <c r="AT162" i="4"/>
  <c r="AU85" i="4"/>
  <c r="AS268" i="4"/>
  <c r="AS212" i="4"/>
  <c r="AS177" i="4"/>
  <c r="AS267" i="4"/>
  <c r="AS281" i="4" s="1"/>
  <c r="AS258" i="4"/>
  <c r="AS271" i="4"/>
  <c r="AS285" i="4" s="1"/>
  <c r="BT529" i="4"/>
  <c r="BT54" i="11"/>
  <c r="BT530" i="4"/>
  <c r="BS732" i="4"/>
  <c r="BT824" i="4"/>
  <c r="BT57" i="4"/>
  <c r="BT9" i="11" s="1"/>
  <c r="BT62" i="4"/>
  <c r="BT528" i="4" s="1"/>
  <c r="BT68" i="4"/>
  <c r="BT67" i="4"/>
  <c r="BT1042" i="4" s="1"/>
  <c r="BS1173" i="4"/>
  <c r="BS1177" i="4" s="1"/>
  <c r="BS1494" i="4" s="1"/>
  <c r="BT58" i="4"/>
  <c r="BT1243" i="4"/>
  <c r="BT274" i="4"/>
  <c r="BT335" i="4" s="1"/>
  <c r="BT1036" i="4" s="1"/>
  <c r="BS714" i="4"/>
  <c r="BS718" i="4" s="1"/>
  <c r="BT1242" i="4"/>
  <c r="BT273" i="4"/>
  <c r="BT250" i="4"/>
  <c r="BT37" i="4"/>
  <c r="BT44" i="4" s="1"/>
  <c r="BT51" i="4" s="1"/>
  <c r="BR721" i="4"/>
  <c r="BR718" i="4"/>
  <c r="BR717" i="4"/>
  <c r="BR722" i="4"/>
  <c r="BT184" i="4"/>
  <c r="BT133" i="4"/>
  <c r="BT185" i="4"/>
  <c r="BT194" i="4" s="1"/>
  <c r="BT187" i="4"/>
  <c r="BT196" i="4" s="1"/>
  <c r="BT146" i="4"/>
  <c r="BT151" i="4" s="1"/>
  <c r="BT147" i="4"/>
  <c r="BT152" i="4" s="1"/>
  <c r="BT145" i="4"/>
  <c r="BT121" i="4"/>
  <c r="BT126" i="4" s="1"/>
  <c r="BT130" i="4" s="1"/>
  <c r="BT134" i="4"/>
  <c r="BT139" i="4" s="1"/>
  <c r="BT219" i="4"/>
  <c r="BT224" i="4" s="1"/>
  <c r="BT218" i="4"/>
  <c r="BR154" i="4"/>
  <c r="BT220" i="4"/>
  <c r="BT225" i="4" s="1"/>
  <c r="BT226" i="4" s="1"/>
  <c r="BT135" i="4"/>
  <c r="BT140" i="4" s="1"/>
  <c r="BT141" i="4" s="1"/>
  <c r="BR199" i="4"/>
  <c r="BQ739" i="4"/>
  <c r="BT78" i="4"/>
  <c r="BS200" i="4"/>
  <c r="BT76" i="4"/>
  <c r="BT77" i="4" s="1"/>
  <c r="BT24" i="4"/>
  <c r="BT88" i="4" s="1"/>
  <c r="BT1260" i="4" s="1"/>
  <c r="BT22" i="4"/>
  <c r="BU21" i="4"/>
  <c r="BS544" i="4"/>
  <c r="BU1184" i="4" l="1"/>
  <c r="BR56" i="4"/>
  <c r="BU314" i="4"/>
  <c r="BS55" i="4"/>
  <c r="BU1158" i="4"/>
  <c r="BU1159" i="4" s="1"/>
  <c r="BU184" i="3"/>
  <c r="BU355" i="3"/>
  <c r="BU241" i="4" s="1"/>
  <c r="BU246" i="4" s="1"/>
  <c r="BU1156" i="4"/>
  <c r="BU1157" i="4" s="1"/>
  <c r="BU8" i="64"/>
  <c r="BU329" i="3"/>
  <c r="BU218" i="4" s="1"/>
  <c r="BU297" i="3"/>
  <c r="BU184" i="4" s="1"/>
  <c r="BU193" i="4" s="1"/>
  <c r="BU356" i="3"/>
  <c r="BU242" i="4" s="1"/>
  <c r="BU247" i="4" s="1"/>
  <c r="BU241" i="3"/>
  <c r="BU146" i="4" s="1"/>
  <c r="BU151" i="4" s="1"/>
  <c r="BU8" i="11"/>
  <c r="BU218" i="3"/>
  <c r="BU135" i="4" s="1"/>
  <c r="BU140" i="4" s="1"/>
  <c r="BU141" i="4" s="1"/>
  <c r="BU185" i="3"/>
  <c r="BU122" i="4" s="1"/>
  <c r="BU127" i="4" s="1"/>
  <c r="BU300" i="3"/>
  <c r="BT540" i="4"/>
  <c r="BT542" i="4" s="1"/>
  <c r="BT690" i="4" s="1"/>
  <c r="BU1160" i="4"/>
  <c r="BU8" i="66"/>
  <c r="BU186" i="3"/>
  <c r="BU123" i="4" s="1"/>
  <c r="BU128" i="4" s="1"/>
  <c r="BU129" i="4" s="1"/>
  <c r="BU296" i="3"/>
  <c r="BU183" i="4" s="1"/>
  <c r="BU192" i="4" s="1"/>
  <c r="BU1409" i="4"/>
  <c r="BU240" i="3"/>
  <c r="BU145" i="4" s="1"/>
  <c r="BU150" i="4" s="1"/>
  <c r="BU298" i="3"/>
  <c r="BU185" i="4" s="1"/>
  <c r="BU194" i="4" s="1"/>
  <c r="BU198" i="4" s="1"/>
  <c r="BU8" i="62"/>
  <c r="BU54" i="62" s="1"/>
  <c r="BU1183" i="4"/>
  <c r="BU331" i="3"/>
  <c r="BU330" i="3"/>
  <c r="BU219" i="4" s="1"/>
  <c r="BU224" i="4" s="1"/>
  <c r="BT15" i="66"/>
  <c r="BU28" i="4"/>
  <c r="BT53" i="4" s="1"/>
  <c r="BU242" i="3"/>
  <c r="BU147" i="4" s="1"/>
  <c r="BU152" i="4" s="1"/>
  <c r="BU216" i="3"/>
  <c r="BU133" i="4" s="1"/>
  <c r="BU138" i="4" s="1"/>
  <c r="BU301" i="3"/>
  <c r="BU188" i="4" s="1"/>
  <c r="BU197" i="4" s="1"/>
  <c r="BS53" i="62"/>
  <c r="BV7" i="3"/>
  <c r="BU8" i="4"/>
  <c r="BU30" i="4"/>
  <c r="BU54" i="11" s="1"/>
  <c r="BU29" i="4"/>
  <c r="BU295" i="4" s="1"/>
  <c r="BU303" i="4" s="1"/>
  <c r="BU1447" i="4"/>
  <c r="BU217" i="3"/>
  <c r="BU134" i="4" s="1"/>
  <c r="BU139" i="4" s="1"/>
  <c r="BU299" i="3"/>
  <c r="BU186" i="4" s="1"/>
  <c r="BU195" i="4" s="1"/>
  <c r="BU357" i="3"/>
  <c r="BU243" i="4" s="1"/>
  <c r="BU248" i="4" s="1"/>
  <c r="BU249" i="4" s="1"/>
  <c r="BT9" i="3"/>
  <c r="BT9" i="64"/>
  <c r="BT9" i="4"/>
  <c r="BU6" i="4"/>
  <c r="BU75" i="4"/>
  <c r="BU82" i="4"/>
  <c r="BT642" i="3"/>
  <c r="BT1041" i="4" s="1"/>
  <c r="AU956" i="4"/>
  <c r="BT54" i="4"/>
  <c r="BS56" i="4" s="1"/>
  <c r="AT270" i="4"/>
  <c r="AT284" i="4" s="1"/>
  <c r="AT235" i="4"/>
  <c r="AV941" i="4"/>
  <c r="AV940" i="4"/>
  <c r="AV942" i="4"/>
  <c r="AV943" i="4"/>
  <c r="AR1118" i="4"/>
  <c r="AR65" i="62"/>
  <c r="AR33" i="66"/>
  <c r="AR32" i="66" s="1"/>
  <c r="AR81" i="11"/>
  <c r="AR82" i="11" s="1"/>
  <c r="AR1387" i="4" s="1"/>
  <c r="AR1318" i="4"/>
  <c r="AR1291" i="4"/>
  <c r="AT170" i="4"/>
  <c r="AT266" i="4"/>
  <c r="AT280" i="4" s="1"/>
  <c r="AV746" i="4"/>
  <c r="AT265" i="4"/>
  <c r="AT163" i="4"/>
  <c r="AT271" i="4"/>
  <c r="AT285" i="4" s="1"/>
  <c r="AT258" i="4"/>
  <c r="AT268" i="4"/>
  <c r="AT282" i="4" s="1"/>
  <c r="AT212" i="4"/>
  <c r="AV754" i="4"/>
  <c r="AS282" i="4"/>
  <c r="AS260" i="4"/>
  <c r="AW1109" i="4"/>
  <c r="AW1110" i="4" s="1"/>
  <c r="AW1111" i="4" s="1"/>
  <c r="AW985" i="4" s="1"/>
  <c r="AW955" i="4"/>
  <c r="AW946" i="4"/>
  <c r="AW951" i="4"/>
  <c r="AW936" i="4"/>
  <c r="AW954" i="4"/>
  <c r="AW939" i="4"/>
  <c r="AW948" i="4"/>
  <c r="AW895" i="4"/>
  <c r="AW973" i="4" s="1"/>
  <c r="AW296" i="4" s="1"/>
  <c r="AW947" i="4"/>
  <c r="AW937" i="4"/>
  <c r="AW952" i="4"/>
  <c r="AW953" i="4"/>
  <c r="AW938" i="4"/>
  <c r="AW744" i="4"/>
  <c r="AW743" i="4"/>
  <c r="AW745" i="4"/>
  <c r="AX79" i="4"/>
  <c r="AU232" i="4"/>
  <c r="AU211" i="4"/>
  <c r="AU206" i="4"/>
  <c r="AU233" i="4"/>
  <c r="AU204" i="4"/>
  <c r="AU255" i="4"/>
  <c r="AU256" i="4"/>
  <c r="AU210" i="4"/>
  <c r="AU234" i="4"/>
  <c r="AU205" i="4"/>
  <c r="AU231" i="4"/>
  <c r="AU207" i="4"/>
  <c r="AU269" i="4" s="1"/>
  <c r="AU283" i="4" s="1"/>
  <c r="AU209" i="4"/>
  <c r="AU208" i="4"/>
  <c r="AU257" i="4"/>
  <c r="AU254" i="4"/>
  <c r="AU166" i="4"/>
  <c r="AU174" i="4"/>
  <c r="AU159" i="4"/>
  <c r="AU173" i="4"/>
  <c r="AU161" i="4"/>
  <c r="AU167" i="4"/>
  <c r="AU160" i="4"/>
  <c r="AU175" i="4"/>
  <c r="AU168" i="4"/>
  <c r="AU162" i="4"/>
  <c r="AU176" i="4"/>
  <c r="AU169" i="4"/>
  <c r="AV85" i="4"/>
  <c r="AT267" i="4"/>
  <c r="AT281" i="4" s="1"/>
  <c r="AT177" i="4"/>
  <c r="AS334" i="4"/>
  <c r="AS1037" i="4" s="1"/>
  <c r="AS276" i="4"/>
  <c r="AS279" i="4"/>
  <c r="BT60" i="62"/>
  <c r="BT9" i="62"/>
  <c r="BT9" i="66"/>
  <c r="BS717" i="4"/>
  <c r="BS736" i="4" s="1"/>
  <c r="BS721" i="4"/>
  <c r="BS722" i="4"/>
  <c r="BT1173" i="4"/>
  <c r="BT1177" i="4" s="1"/>
  <c r="BT1494" i="4" s="1"/>
  <c r="BT34" i="66"/>
  <c r="BT287" i="4"/>
  <c r="BT324" i="4" s="1"/>
  <c r="BR736" i="4"/>
  <c r="BT150" i="4"/>
  <c r="BT153" i="4" s="1"/>
  <c r="BT154" i="4" s="1"/>
  <c r="BT34" i="4"/>
  <c r="BT41" i="4" s="1"/>
  <c r="BT48" i="4" s="1"/>
  <c r="BT198" i="4"/>
  <c r="BU187" i="4"/>
  <c r="BU196" i="4" s="1"/>
  <c r="BT193" i="4"/>
  <c r="BT35" i="4"/>
  <c r="BT42" i="4" s="1"/>
  <c r="BT49" i="4" s="1"/>
  <c r="BT223" i="4"/>
  <c r="BT36" i="4"/>
  <c r="BT43" i="4" s="1"/>
  <c r="BT50" i="4" s="1"/>
  <c r="BT713" i="4" s="1"/>
  <c r="BT138" i="4"/>
  <c r="BT142" i="4" s="1"/>
  <c r="BT33" i="4"/>
  <c r="BT40" i="4" s="1"/>
  <c r="BT47" i="4" s="1"/>
  <c r="BU220" i="4"/>
  <c r="BU225" i="4" s="1"/>
  <c r="BU226" i="4" s="1"/>
  <c r="BU121" i="4"/>
  <c r="BU126" i="4" s="1"/>
  <c r="BR200" i="4"/>
  <c r="BR737" i="4"/>
  <c r="BT32" i="4"/>
  <c r="BT39" i="4" s="1"/>
  <c r="BT46" i="4" s="1"/>
  <c r="BU223" i="4"/>
  <c r="BU19" i="4"/>
  <c r="BU20" i="4" s="1"/>
  <c r="BU17" i="4"/>
  <c r="BU18" i="4"/>
  <c r="BV86" i="64"/>
  <c r="BV87" i="64" s="1"/>
  <c r="BV7" i="66"/>
  <c r="BV6" i="66" s="1"/>
  <c r="BV7" i="4"/>
  <c r="BV6" i="3"/>
  <c r="BV8" i="3"/>
  <c r="BV7" i="11"/>
  <c r="BV6" i="11" s="1"/>
  <c r="BV7" i="62"/>
  <c r="BV6" i="62" s="1"/>
  <c r="BV7" i="64"/>
  <c r="BV6" i="64" s="1"/>
  <c r="BV28" i="64" s="1"/>
  <c r="BV30" i="64" s="1"/>
  <c r="BV53" i="64" s="1"/>
  <c r="BU274" i="4"/>
  <c r="BU335" i="4" s="1"/>
  <c r="BU275" i="4"/>
  <c r="BU288" i="4" s="1"/>
  <c r="BU329" i="4" s="1"/>
  <c r="BU414" i="4" s="1"/>
  <c r="BU415" i="4" s="1"/>
  <c r="BV413" i="4" s="1"/>
  <c r="BU273" i="4"/>
  <c r="BU1243" i="4"/>
  <c r="BU1242" i="4"/>
  <c r="BU1151" i="4" l="1"/>
  <c r="BU28" i="66"/>
  <c r="BU66" i="4"/>
  <c r="BU130" i="4"/>
  <c r="BU543" i="4"/>
  <c r="BU70" i="4"/>
  <c r="BU62" i="4"/>
  <c r="BU528" i="4" s="1"/>
  <c r="BU530" i="4"/>
  <c r="BU540" i="4" s="1"/>
  <c r="BT63" i="4"/>
  <c r="BT1389" i="4" s="1"/>
  <c r="BU58" i="4"/>
  <c r="BU37" i="4"/>
  <c r="BU44" i="4" s="1"/>
  <c r="BU51" i="4" s="1"/>
  <c r="BU1263" i="4"/>
  <c r="BU250" i="4"/>
  <c r="BT61" i="4"/>
  <c r="BT318" i="4" s="1"/>
  <c r="BT328" i="4" s="1"/>
  <c r="BU1129" i="4"/>
  <c r="BU60" i="4"/>
  <c r="BU57" i="4"/>
  <c r="BU9" i="11" s="1"/>
  <c r="BU27" i="66"/>
  <c r="BU142" i="4"/>
  <c r="BU68" i="4"/>
  <c r="BU529" i="4"/>
  <c r="BU33" i="4"/>
  <c r="BU40" i="4" s="1"/>
  <c r="BU47" i="4" s="1"/>
  <c r="BU67" i="4"/>
  <c r="BU1042" i="4" s="1"/>
  <c r="BU34" i="4"/>
  <c r="BU41" i="4" s="1"/>
  <c r="BU48" i="4" s="1"/>
  <c r="BU824" i="4"/>
  <c r="BT55" i="4"/>
  <c r="BT53" i="62"/>
  <c r="BT65" i="4"/>
  <c r="AS289" i="4"/>
  <c r="BT688" i="4"/>
  <c r="BT544" i="4"/>
  <c r="AV956" i="4"/>
  <c r="AU163" i="4"/>
  <c r="AU265" i="4"/>
  <c r="AU235" i="4"/>
  <c r="AU270" i="4"/>
  <c r="AU284" i="4" s="1"/>
  <c r="AW754" i="4"/>
  <c r="AT260" i="4"/>
  <c r="AU266" i="4"/>
  <c r="AU280" i="4" s="1"/>
  <c r="AU170" i="4"/>
  <c r="AU258" i="4"/>
  <c r="AU271" i="4"/>
  <c r="AU285" i="4" s="1"/>
  <c r="AW943" i="4"/>
  <c r="AW941" i="4"/>
  <c r="AW942" i="4"/>
  <c r="AW940" i="4"/>
  <c r="AV204" i="4"/>
  <c r="AV254" i="4"/>
  <c r="AV233" i="4"/>
  <c r="AV256" i="4"/>
  <c r="AV209" i="4"/>
  <c r="AV210" i="4"/>
  <c r="AV255" i="4"/>
  <c r="AV231" i="4"/>
  <c r="AV207" i="4"/>
  <c r="AV269" i="4" s="1"/>
  <c r="AV283" i="4" s="1"/>
  <c r="AV257" i="4"/>
  <c r="AV234" i="4"/>
  <c r="AV232" i="4"/>
  <c r="AV205" i="4"/>
  <c r="AV208" i="4"/>
  <c r="AV211" i="4"/>
  <c r="AV206" i="4"/>
  <c r="AV161" i="4"/>
  <c r="AV159" i="4"/>
  <c r="AV174" i="4"/>
  <c r="AV173" i="4"/>
  <c r="AV167" i="4"/>
  <c r="AV160" i="4"/>
  <c r="AV175" i="4"/>
  <c r="AV168" i="4"/>
  <c r="AV166" i="4"/>
  <c r="AV162" i="4"/>
  <c r="AV176" i="4"/>
  <c r="AV169" i="4"/>
  <c r="AW85" i="4"/>
  <c r="AU212" i="4"/>
  <c r="AU268" i="4"/>
  <c r="AX1109" i="4"/>
  <c r="AX1110" i="4" s="1"/>
  <c r="AX1111" i="4" s="1"/>
  <c r="AX985" i="4" s="1"/>
  <c r="AX948" i="4"/>
  <c r="AX895" i="4"/>
  <c r="AX973" i="4" s="1"/>
  <c r="AX296" i="4" s="1"/>
  <c r="AX954" i="4"/>
  <c r="AY79" i="4"/>
  <c r="AX953" i="4"/>
  <c r="AX946" i="4"/>
  <c r="AX947" i="4"/>
  <c r="AX955" i="4"/>
  <c r="AX936" i="4"/>
  <c r="AX938" i="4"/>
  <c r="AX952" i="4"/>
  <c r="AX939" i="4"/>
  <c r="AX951" i="4"/>
  <c r="AX937" i="4"/>
  <c r="AX744" i="4"/>
  <c r="AX743" i="4"/>
  <c r="AX745" i="4"/>
  <c r="AS1118" i="4"/>
  <c r="AS65" i="62"/>
  <c r="AS1291" i="4"/>
  <c r="AS1318" i="4"/>
  <c r="AS33" i="66"/>
  <c r="AS32" i="66" s="1"/>
  <c r="AS81" i="11"/>
  <c r="AS82" i="11" s="1"/>
  <c r="AS1387" i="4" s="1"/>
  <c r="AT334" i="4"/>
  <c r="AT1037" i="4" s="1"/>
  <c r="AT276" i="4"/>
  <c r="AT279" i="4"/>
  <c r="AT289" i="4" s="1"/>
  <c r="AU267" i="4"/>
  <c r="AU281" i="4" s="1"/>
  <c r="AU177" i="4"/>
  <c r="AW746" i="4"/>
  <c r="BS737" i="4"/>
  <c r="BS738" i="4" s="1"/>
  <c r="BV241" i="3"/>
  <c r="BV146" i="4" s="1"/>
  <c r="BV151" i="4" s="1"/>
  <c r="BV16" i="4"/>
  <c r="BU15" i="66"/>
  <c r="BU1036" i="4"/>
  <c r="BU32" i="4"/>
  <c r="BU39" i="4" s="1"/>
  <c r="BU46" i="4" s="1"/>
  <c r="BU36" i="4"/>
  <c r="BU43" i="4" s="1"/>
  <c r="BU50" i="4" s="1"/>
  <c r="BU713" i="4" s="1"/>
  <c r="BU731" i="4" s="1"/>
  <c r="BU227" i="4"/>
  <c r="BU35" i="4"/>
  <c r="BU42" i="4" s="1"/>
  <c r="BU49" i="4" s="1"/>
  <c r="BV329" i="3"/>
  <c r="BV218" i="4" s="1"/>
  <c r="BV357" i="3"/>
  <c r="BV243" i="4" s="1"/>
  <c r="BV248" i="4" s="1"/>
  <c r="BV249" i="4" s="1"/>
  <c r="BV301" i="3"/>
  <c r="BV188" i="4" s="1"/>
  <c r="BV197" i="4" s="1"/>
  <c r="BU54" i="4"/>
  <c r="BU55" i="4" s="1"/>
  <c r="BT227" i="4"/>
  <c r="BV185" i="3"/>
  <c r="BV297" i="3"/>
  <c r="BV184" i="4" s="1"/>
  <c r="BV193" i="4" s="1"/>
  <c r="BV355" i="3"/>
  <c r="BV241" i="4" s="1"/>
  <c r="BT199" i="4"/>
  <c r="BV356" i="3"/>
  <c r="BV242" i="4" s="1"/>
  <c r="BV247" i="4" s="1"/>
  <c r="BV218" i="3"/>
  <c r="BV298" i="3"/>
  <c r="BV185" i="4" s="1"/>
  <c r="BV194" i="4" s="1"/>
  <c r="BV296" i="3"/>
  <c r="BV183" i="4" s="1"/>
  <c r="BV216" i="3"/>
  <c r="BV133" i="4" s="1"/>
  <c r="BV330" i="3"/>
  <c r="BV219" i="4" s="1"/>
  <c r="BV224" i="4" s="1"/>
  <c r="BV240" i="3"/>
  <c r="BV145" i="4" s="1"/>
  <c r="BV186" i="3"/>
  <c r="BV123" i="4" s="1"/>
  <c r="BV128" i="4" s="1"/>
  <c r="BV129" i="4" s="1"/>
  <c r="BV242" i="3"/>
  <c r="BV147" i="4" s="1"/>
  <c r="BV152" i="4" s="1"/>
  <c r="BV331" i="3"/>
  <c r="BV220" i="4" s="1"/>
  <c r="BV225" i="4" s="1"/>
  <c r="BV226" i="4" s="1"/>
  <c r="BV300" i="3"/>
  <c r="BV187" i="4" s="1"/>
  <c r="BV196" i="4" s="1"/>
  <c r="BV217" i="3"/>
  <c r="BV134" i="4" s="1"/>
  <c r="BV139" i="4" s="1"/>
  <c r="BV184" i="3"/>
  <c r="BV121" i="4" s="1"/>
  <c r="BV299" i="3"/>
  <c r="BV186" i="4" s="1"/>
  <c r="BV195" i="4" s="1"/>
  <c r="BR738" i="4"/>
  <c r="BV1447" i="4"/>
  <c r="BT732" i="4"/>
  <c r="BT731" i="4"/>
  <c r="BT714" i="4"/>
  <c r="BU153" i="4"/>
  <c r="BU154" i="4" s="1"/>
  <c r="BU199" i="4"/>
  <c r="BU287" i="4"/>
  <c r="BU324" i="4" s="1"/>
  <c r="BU34" i="66"/>
  <c r="BV1409" i="4"/>
  <c r="BV1158" i="4"/>
  <c r="BV1159" i="4" s="1"/>
  <c r="BV1160" i="4"/>
  <c r="BV1156" i="4"/>
  <c r="BV30" i="4"/>
  <c r="BV8" i="66"/>
  <c r="BV1183" i="4"/>
  <c r="BV8" i="4"/>
  <c r="BV1184" i="4"/>
  <c r="BV28" i="4"/>
  <c r="BV29" i="4"/>
  <c r="BW7" i="3"/>
  <c r="BV8" i="62"/>
  <c r="BV54" i="62" s="1"/>
  <c r="BV8" i="11"/>
  <c r="BV8" i="64"/>
  <c r="BV314" i="4"/>
  <c r="BU24" i="4"/>
  <c r="BU88" i="4" s="1"/>
  <c r="BU1260" i="4" s="1"/>
  <c r="BU83" i="4"/>
  <c r="BU84" i="4" s="1"/>
  <c r="BU22" i="4"/>
  <c r="BV21" i="4"/>
  <c r="BV15" i="4"/>
  <c r="BV6" i="4"/>
  <c r="BU76" i="4"/>
  <c r="BU77" i="4" s="1"/>
  <c r="BU78" i="4"/>
  <c r="BU9" i="66"/>
  <c r="BU60" i="62"/>
  <c r="BU9" i="3"/>
  <c r="BU542" i="4" l="1"/>
  <c r="BU9" i="62"/>
  <c r="BU9" i="64"/>
  <c r="BU642" i="3"/>
  <c r="BU9" i="4"/>
  <c r="BV82" i="4"/>
  <c r="BV75" i="4"/>
  <c r="AW956" i="4"/>
  <c r="AU260" i="4"/>
  <c r="AU1291" i="4" s="1"/>
  <c r="AX746" i="4"/>
  <c r="AV266" i="4"/>
  <c r="AV280" i="4" s="1"/>
  <c r="AV170" i="4"/>
  <c r="AV268" i="4"/>
  <c r="AV282" i="4" s="1"/>
  <c r="AV212" i="4"/>
  <c r="AU282" i="4"/>
  <c r="AU276" i="4"/>
  <c r="AU334" i="4"/>
  <c r="AU1037" i="4" s="1"/>
  <c r="T16" i="72" s="1"/>
  <c r="AU279" i="4"/>
  <c r="AV235" i="4"/>
  <c r="AV270" i="4"/>
  <c r="AV284" i="4" s="1"/>
  <c r="AT33" i="66"/>
  <c r="AT32" i="66" s="1"/>
  <c r="AT65" i="62"/>
  <c r="AT81" i="11"/>
  <c r="AT82" i="11" s="1"/>
  <c r="AT1387" i="4" s="1"/>
  <c r="AT1318" i="4"/>
  <c r="AT1291" i="4"/>
  <c r="AT1118" i="4"/>
  <c r="AY1109" i="4"/>
  <c r="AY1110" i="4" s="1"/>
  <c r="AY1111" i="4" s="1"/>
  <c r="AY985" i="4" s="1"/>
  <c r="AZ79" i="4"/>
  <c r="AY936" i="4"/>
  <c r="AY946" i="4"/>
  <c r="AY955" i="4"/>
  <c r="AY953" i="4"/>
  <c r="AY948" i="4"/>
  <c r="AY954" i="4"/>
  <c r="AY947" i="4"/>
  <c r="AY951" i="4"/>
  <c r="AY937" i="4"/>
  <c r="AY952" i="4"/>
  <c r="AY938" i="4"/>
  <c r="AY895" i="4"/>
  <c r="AY973" i="4" s="1"/>
  <c r="AY296" i="4" s="1"/>
  <c r="AY939" i="4"/>
  <c r="AY744" i="4"/>
  <c r="AY743" i="4"/>
  <c r="AY745" i="4"/>
  <c r="AW210" i="4"/>
  <c r="AW206" i="4"/>
  <c r="AW204" i="4"/>
  <c r="AW160" i="4"/>
  <c r="AW255" i="4"/>
  <c r="AW231" i="4"/>
  <c r="AW205" i="4"/>
  <c r="AW167" i="4"/>
  <c r="AW257" i="4"/>
  <c r="AW208" i="4"/>
  <c r="AW175" i="4"/>
  <c r="AW168" i="4"/>
  <c r="AW232" i="4"/>
  <c r="AW233" i="4"/>
  <c r="AW159" i="4"/>
  <c r="AW234" i="4"/>
  <c r="AW209" i="4"/>
  <c r="AW211" i="4"/>
  <c r="AW173" i="4"/>
  <c r="AW254" i="4"/>
  <c r="AW256" i="4"/>
  <c r="AW166" i="4"/>
  <c r="AW174" i="4"/>
  <c r="AW161" i="4"/>
  <c r="AW207" i="4"/>
  <c r="AW269" i="4" s="1"/>
  <c r="AW283" i="4" s="1"/>
  <c r="AW176" i="4"/>
  <c r="AW162" i="4"/>
  <c r="AW169" i="4"/>
  <c r="AX85" i="4"/>
  <c r="AV177" i="4"/>
  <c r="AV267" i="4"/>
  <c r="AV281" i="4" s="1"/>
  <c r="AX754" i="4"/>
  <c r="AX941" i="4"/>
  <c r="AX943" i="4"/>
  <c r="AX942" i="4"/>
  <c r="AX940" i="4"/>
  <c r="AV163" i="4"/>
  <c r="AV265" i="4"/>
  <c r="AV258" i="4"/>
  <c r="AV271" i="4"/>
  <c r="AV285" i="4" s="1"/>
  <c r="BU1173" i="4"/>
  <c r="BU1177" i="4" s="1"/>
  <c r="BU1494" i="4" s="1"/>
  <c r="BV58" i="4"/>
  <c r="BU732" i="4"/>
  <c r="BU714" i="4"/>
  <c r="BU718" i="4" s="1"/>
  <c r="BU65" i="4"/>
  <c r="BU53" i="62"/>
  <c r="BT56" i="4"/>
  <c r="BT718" i="4"/>
  <c r="BT717" i="4"/>
  <c r="BT722" i="4"/>
  <c r="BT721" i="4"/>
  <c r="BV122" i="4"/>
  <c r="BV127" i="4" s="1"/>
  <c r="BR739" i="4"/>
  <c r="BV135" i="4"/>
  <c r="BV140" i="4" s="1"/>
  <c r="BV141" i="4" s="1"/>
  <c r="BT200" i="4"/>
  <c r="BU53" i="4"/>
  <c r="BV57" i="4"/>
  <c r="BV1129" i="4"/>
  <c r="BV18" i="4"/>
  <c r="BV223" i="4"/>
  <c r="BV227" i="4" s="1"/>
  <c r="BV36" i="4"/>
  <c r="BV43" i="4" s="1"/>
  <c r="BV50" i="4" s="1"/>
  <c r="BV713" i="4" s="1"/>
  <c r="BV714" i="4" s="1"/>
  <c r="BV70" i="4"/>
  <c r="BV67" i="4"/>
  <c r="BV1042" i="4" s="1"/>
  <c r="BV530" i="4"/>
  <c r="BV543" i="4"/>
  <c r="BV54" i="11"/>
  <c r="BV529" i="4"/>
  <c r="BV824" i="4"/>
  <c r="BV68" i="4"/>
  <c r="BU63" i="4"/>
  <c r="BU1389" i="4" s="1"/>
  <c r="BV62" i="4"/>
  <c r="BV528" i="4" s="1"/>
  <c r="BV1242" i="4"/>
  <c r="BV275" i="4"/>
  <c r="BV288" i="4" s="1"/>
  <c r="BV329" i="4" s="1"/>
  <c r="BV414" i="4" s="1"/>
  <c r="BV415" i="4" s="1"/>
  <c r="BW413" i="4" s="1"/>
  <c r="BV1243" i="4"/>
  <c r="BV274" i="4"/>
  <c r="BV335" i="4" s="1"/>
  <c r="BV273" i="4"/>
  <c r="BV1157" i="4"/>
  <c r="BS739" i="4"/>
  <c r="BV60" i="4"/>
  <c r="BV1151" i="4"/>
  <c r="BV28" i="66"/>
  <c r="BV66" i="4"/>
  <c r="BU61" i="4"/>
  <c r="BU318" i="4" s="1"/>
  <c r="BU328" i="4" s="1"/>
  <c r="BV295" i="4"/>
  <c r="BV303" i="4" s="1"/>
  <c r="BV27" i="66"/>
  <c r="BV1263" i="4"/>
  <c r="BV192" i="4"/>
  <c r="BV35" i="4"/>
  <c r="BV42" i="4" s="1"/>
  <c r="BV49" i="4" s="1"/>
  <c r="BU1041" i="4"/>
  <c r="BU688" i="4"/>
  <c r="BW86" i="64"/>
  <c r="BW87" i="64" s="1"/>
  <c r="BW7" i="62"/>
  <c r="BW6" i="62" s="1"/>
  <c r="BW7" i="66"/>
  <c r="BW6" i="66" s="1"/>
  <c r="BW6" i="3"/>
  <c r="BW7" i="64"/>
  <c r="BW6" i="64" s="1"/>
  <c r="BW28" i="64" s="1"/>
  <c r="BW30" i="64" s="1"/>
  <c r="BW53" i="64" s="1"/>
  <c r="BW8" i="3"/>
  <c r="BW7" i="4"/>
  <c r="BW7" i="11"/>
  <c r="BW6" i="11" s="1"/>
  <c r="BV138" i="4"/>
  <c r="BV150" i="4"/>
  <c r="BV153" i="4" s="1"/>
  <c r="BV34" i="4"/>
  <c r="BV41" i="4" s="1"/>
  <c r="BV48" i="4" s="1"/>
  <c r="BV126" i="4"/>
  <c r="BV246" i="4"/>
  <c r="BV250" i="4" s="1"/>
  <c r="BV37" i="4"/>
  <c r="BV44" i="4" s="1"/>
  <c r="BV51" i="4" s="1"/>
  <c r="BV17" i="4"/>
  <c r="BV19" i="4"/>
  <c r="BV20" i="4" s="1"/>
  <c r="BU690" i="4"/>
  <c r="BU544" i="4"/>
  <c r="BV198" i="4"/>
  <c r="BU200" i="4"/>
  <c r="BU722" i="4" l="1"/>
  <c r="AU33" i="66"/>
  <c r="AU32" i="66" s="1"/>
  <c r="AU81" i="11"/>
  <c r="AU82" i="11" s="1"/>
  <c r="AU1387" i="4" s="1"/>
  <c r="AU65" i="62"/>
  <c r="AU1318" i="4"/>
  <c r="AU1118" i="4"/>
  <c r="AX956" i="4"/>
  <c r="AU289" i="4"/>
  <c r="AX162" i="4"/>
  <c r="AX231" i="4"/>
  <c r="AX205" i="4"/>
  <c r="AX173" i="4"/>
  <c r="AX233" i="4"/>
  <c r="AX166" i="4"/>
  <c r="AX176" i="4"/>
  <c r="AX255" i="4"/>
  <c r="AX169" i="4"/>
  <c r="AX232" i="4"/>
  <c r="AX175" i="4"/>
  <c r="AX254" i="4"/>
  <c r="AY85" i="4"/>
  <c r="AX207" i="4"/>
  <c r="AX269" i="4" s="1"/>
  <c r="AX283" i="4" s="1"/>
  <c r="AX160" i="4"/>
  <c r="AX210" i="4"/>
  <c r="AX161" i="4"/>
  <c r="AX209" i="4"/>
  <c r="AX206" i="4"/>
  <c r="AX167" i="4"/>
  <c r="AX211" i="4"/>
  <c r="AX174" i="4"/>
  <c r="AX257" i="4"/>
  <c r="AX256" i="4"/>
  <c r="AX168" i="4"/>
  <c r="AX208" i="4"/>
  <c r="AX234" i="4"/>
  <c r="AX159" i="4"/>
  <c r="AX204" i="4"/>
  <c r="AV260" i="4"/>
  <c r="AW177" i="4"/>
  <c r="AW267" i="4"/>
  <c r="AW212" i="4"/>
  <c r="AW268" i="4"/>
  <c r="AY940" i="4"/>
  <c r="AY943" i="4"/>
  <c r="AY941" i="4"/>
  <c r="AY942" i="4"/>
  <c r="AZ1109" i="4"/>
  <c r="AZ1110" i="4" s="1"/>
  <c r="AZ1111" i="4" s="1"/>
  <c r="AZ985" i="4" s="1"/>
  <c r="AZ954" i="4"/>
  <c r="AZ936" i="4"/>
  <c r="AZ955" i="4"/>
  <c r="AZ895" i="4"/>
  <c r="AZ973" i="4" s="1"/>
  <c r="AZ296" i="4" s="1"/>
  <c r="AZ953" i="4"/>
  <c r="AZ946" i="4"/>
  <c r="AZ937" i="4"/>
  <c r="AZ947" i="4"/>
  <c r="AZ952" i="4"/>
  <c r="AZ948" i="4"/>
  <c r="AZ938" i="4"/>
  <c r="AZ951" i="4"/>
  <c r="AZ939" i="4"/>
  <c r="BA79" i="4"/>
  <c r="AZ743" i="4"/>
  <c r="AZ744" i="4"/>
  <c r="AZ745" i="4"/>
  <c r="AV334" i="4"/>
  <c r="AV1037" i="4" s="1"/>
  <c r="AV276" i="4"/>
  <c r="AV279" i="4"/>
  <c r="AV289" i="4" s="1"/>
  <c r="AW258" i="4"/>
  <c r="AW271" i="4"/>
  <c r="AW285" i="4" s="1"/>
  <c r="AW265" i="4"/>
  <c r="AW163" i="4"/>
  <c r="AY746" i="4"/>
  <c r="AY754" i="4"/>
  <c r="AW266" i="4"/>
  <c r="AW280" i="4" s="1"/>
  <c r="AW170" i="4"/>
  <c r="AW270" i="4"/>
  <c r="AW284" i="4" s="1"/>
  <c r="AW235" i="4"/>
  <c r="BW301" i="3"/>
  <c r="BW188" i="4" s="1"/>
  <c r="BW197" i="4" s="1"/>
  <c r="BW16" i="4"/>
  <c r="BT736" i="4"/>
  <c r="BV15" i="66"/>
  <c r="BU721" i="4"/>
  <c r="BU737" i="4" s="1"/>
  <c r="BV1036" i="4"/>
  <c r="BU717" i="4"/>
  <c r="BU736" i="4" s="1"/>
  <c r="BV130" i="4"/>
  <c r="BV142" i="4"/>
  <c r="BV33" i="4"/>
  <c r="BV40" i="4" s="1"/>
  <c r="BV47" i="4" s="1"/>
  <c r="BV24" i="4"/>
  <c r="BV88" i="4" s="1"/>
  <c r="BV1260" i="4" s="1"/>
  <c r="BV731" i="4"/>
  <c r="BW184" i="3"/>
  <c r="BW121" i="4" s="1"/>
  <c r="BW216" i="3"/>
  <c r="BW133" i="4" s="1"/>
  <c r="BW186" i="3"/>
  <c r="BW123" i="4" s="1"/>
  <c r="BW128" i="4" s="1"/>
  <c r="BW129" i="4" s="1"/>
  <c r="BW218" i="3"/>
  <c r="BW135" i="4" s="1"/>
  <c r="BW140" i="4" s="1"/>
  <c r="BW141" i="4" s="1"/>
  <c r="BV54" i="4"/>
  <c r="BU56" i="4" s="1"/>
  <c r="BV717" i="4"/>
  <c r="BV722" i="4"/>
  <c r="BV721" i="4"/>
  <c r="BV718" i="4"/>
  <c r="BV32" i="4"/>
  <c r="BV39" i="4" s="1"/>
  <c r="BV46" i="4" s="1"/>
  <c r="BW329" i="3"/>
  <c r="BW218" i="4" s="1"/>
  <c r="BW357" i="3"/>
  <c r="BW241" i="3"/>
  <c r="BW146" i="4" s="1"/>
  <c r="BW151" i="4" s="1"/>
  <c r="BW300" i="3"/>
  <c r="BW187" i="4" s="1"/>
  <c r="BW196" i="4" s="1"/>
  <c r="BW242" i="3"/>
  <c r="BW147" i="4" s="1"/>
  <c r="BW152" i="4" s="1"/>
  <c r="BW1447" i="4"/>
  <c r="BT737" i="4"/>
  <c r="BW330" i="3"/>
  <c r="BW219" i="4" s="1"/>
  <c r="BW224" i="4" s="1"/>
  <c r="BW299" i="3"/>
  <c r="BW185" i="3"/>
  <c r="BW217" i="3"/>
  <c r="BW134" i="4" s="1"/>
  <c r="BW139" i="4" s="1"/>
  <c r="BW297" i="3"/>
  <c r="BW184" i="4" s="1"/>
  <c r="BW193" i="4" s="1"/>
  <c r="BW356" i="3"/>
  <c r="BW242" i="4" s="1"/>
  <c r="BW247" i="4" s="1"/>
  <c r="BW296" i="3"/>
  <c r="BW183" i="4" s="1"/>
  <c r="BW355" i="3"/>
  <c r="BW241" i="4" s="1"/>
  <c r="BW331" i="3"/>
  <c r="BW220" i="4" s="1"/>
  <c r="BW225" i="4" s="1"/>
  <c r="BW226" i="4" s="1"/>
  <c r="BW298" i="3"/>
  <c r="BW185" i="4" s="1"/>
  <c r="BW194" i="4" s="1"/>
  <c r="BW240" i="3"/>
  <c r="BW145" i="4" s="1"/>
  <c r="BV732" i="4"/>
  <c r="BV199" i="4"/>
  <c r="BV9" i="62"/>
  <c r="BV9" i="64"/>
  <c r="BV9" i="4"/>
  <c r="BV9" i="66"/>
  <c r="BV9" i="11"/>
  <c r="BV9" i="3"/>
  <c r="BV60" i="62"/>
  <c r="BV76" i="4"/>
  <c r="BV77" i="4" s="1"/>
  <c r="BW15" i="4"/>
  <c r="BW6" i="4"/>
  <c r="BV83" i="4"/>
  <c r="BV84" i="4" s="1"/>
  <c r="BW8" i="62"/>
  <c r="BW54" i="62" s="1"/>
  <c r="BW30" i="4"/>
  <c r="BW1158" i="4"/>
  <c r="BW1159" i="4" s="1"/>
  <c r="BW1160" i="4"/>
  <c r="BW1184" i="4"/>
  <c r="BW1409" i="4"/>
  <c r="BW8" i="11"/>
  <c r="BW28" i="4"/>
  <c r="BW8" i="4"/>
  <c r="BX7" i="3"/>
  <c r="BW314" i="4"/>
  <c r="BW1156" i="4"/>
  <c r="BW8" i="66"/>
  <c r="BW8" i="64"/>
  <c r="BW29" i="4"/>
  <c r="BW1183" i="4"/>
  <c r="BV34" i="66"/>
  <c r="BV287" i="4"/>
  <c r="BV324" i="4" s="1"/>
  <c r="BV540" i="4"/>
  <c r="BV542" i="4" s="1"/>
  <c r="BV22" i="4"/>
  <c r="BW21" i="4"/>
  <c r="BV642" i="3"/>
  <c r="BV154" i="4"/>
  <c r="BV78" i="4"/>
  <c r="BW82" i="4" l="1"/>
  <c r="BW75" i="4"/>
  <c r="AY956" i="4"/>
  <c r="AW276" i="4"/>
  <c r="AW279" i="4"/>
  <c r="AX266" i="4"/>
  <c r="AX280" i="4" s="1"/>
  <c r="AX170" i="4"/>
  <c r="AW282" i="4"/>
  <c r="AV33" i="66"/>
  <c r="AV32" i="66" s="1"/>
  <c r="AV1291" i="4"/>
  <c r="AV1318" i="4"/>
  <c r="AV65" i="62"/>
  <c r="AV1118" i="4"/>
  <c r="AV81" i="11"/>
  <c r="AV82" i="11" s="1"/>
  <c r="AV1387" i="4" s="1"/>
  <c r="AX212" i="4"/>
  <c r="AX268" i="4"/>
  <c r="AY169" i="4"/>
  <c r="AZ85" i="4"/>
  <c r="AY210" i="4"/>
  <c r="AY166" i="4"/>
  <c r="AY231" i="4"/>
  <c r="AY209" i="4"/>
  <c r="AY257" i="4"/>
  <c r="AY176" i="4"/>
  <c r="AY204" i="4"/>
  <c r="AY208" i="4"/>
  <c r="AY160" i="4"/>
  <c r="AY173" i="4"/>
  <c r="AY161" i="4"/>
  <c r="AY174" i="4"/>
  <c r="AY254" i="4"/>
  <c r="AY233" i="4"/>
  <c r="AY256" i="4"/>
  <c r="AY234" i="4"/>
  <c r="AY206" i="4"/>
  <c r="AY255" i="4"/>
  <c r="AY205" i="4"/>
  <c r="AY175" i="4"/>
  <c r="AY168" i="4"/>
  <c r="AY232" i="4"/>
  <c r="AY167" i="4"/>
  <c r="AY162" i="4"/>
  <c r="AY211" i="4"/>
  <c r="AY207" i="4"/>
  <c r="AY269" i="4" s="1"/>
  <c r="AY283" i="4" s="1"/>
  <c r="AY159" i="4"/>
  <c r="AZ746" i="4"/>
  <c r="AZ942" i="4"/>
  <c r="AZ940" i="4"/>
  <c r="AZ941" i="4"/>
  <c r="AZ943" i="4"/>
  <c r="AX265" i="4"/>
  <c r="AX163" i="4"/>
  <c r="AX258" i="4"/>
  <c r="AX271" i="4"/>
  <c r="AX285" i="4" s="1"/>
  <c r="AX177" i="4"/>
  <c r="AX267" i="4"/>
  <c r="AX281" i="4" s="1"/>
  <c r="AW334" i="4"/>
  <c r="AW1037" i="4" s="1"/>
  <c r="AW281" i="4"/>
  <c r="AZ754" i="4"/>
  <c r="AW260" i="4"/>
  <c r="AX270" i="4"/>
  <c r="AX284" i="4" s="1"/>
  <c r="AX235" i="4"/>
  <c r="BA1109" i="4"/>
  <c r="BA1110" i="4" s="1"/>
  <c r="BA1111" i="4" s="1"/>
  <c r="BA985" i="4" s="1"/>
  <c r="BB79" i="4"/>
  <c r="BA938" i="4"/>
  <c r="BA955" i="4"/>
  <c r="BA895" i="4"/>
  <c r="BA973" i="4" s="1"/>
  <c r="BA296" i="4" s="1"/>
  <c r="BA937" i="4"/>
  <c r="BA947" i="4"/>
  <c r="BA952" i="4"/>
  <c r="BA948" i="4"/>
  <c r="BA939" i="4"/>
  <c r="BA936" i="4"/>
  <c r="BA946" i="4"/>
  <c r="BA954" i="4"/>
  <c r="BA953" i="4"/>
  <c r="BA951" i="4"/>
  <c r="BA743" i="4"/>
  <c r="BA744" i="4"/>
  <c r="BA745" i="4"/>
  <c r="BV1173" i="4"/>
  <c r="BV1177" i="4" s="1"/>
  <c r="BV1494" i="4" s="1"/>
  <c r="BV65" i="4"/>
  <c r="BV53" i="62"/>
  <c r="BV55" i="4"/>
  <c r="BV736" i="4"/>
  <c r="BW58" i="4"/>
  <c r="BV737" i="4"/>
  <c r="BW243" i="4"/>
  <c r="BW248" i="4" s="1"/>
  <c r="BW249" i="4" s="1"/>
  <c r="BW186" i="4"/>
  <c r="BW195" i="4" s="1"/>
  <c r="BW122" i="4"/>
  <c r="BW127" i="4" s="1"/>
  <c r="BT738" i="4"/>
  <c r="BW57" i="4"/>
  <c r="BV53" i="4"/>
  <c r="BW1129" i="4"/>
  <c r="BW223" i="4"/>
  <c r="BW227" i="4" s="1"/>
  <c r="BW36" i="4"/>
  <c r="BW43" i="4" s="1"/>
  <c r="BW50" i="4" s="1"/>
  <c r="BW713" i="4" s="1"/>
  <c r="BW714" i="4" s="1"/>
  <c r="BW18" i="4"/>
  <c r="BW1157" i="4"/>
  <c r="BW17" i="4"/>
  <c r="BW19" i="4"/>
  <c r="BW20" i="4" s="1"/>
  <c r="BW529" i="4"/>
  <c r="BW530" i="4"/>
  <c r="BW68" i="4"/>
  <c r="BW62" i="4"/>
  <c r="BW528" i="4" s="1"/>
  <c r="BW543" i="4"/>
  <c r="BV63" i="4"/>
  <c r="BV1389" i="4" s="1"/>
  <c r="BW70" i="4"/>
  <c r="BW67" i="4"/>
  <c r="BW1042" i="4" s="1"/>
  <c r="BW54" i="11"/>
  <c r="BW824" i="4"/>
  <c r="BW273" i="4"/>
  <c r="BW275" i="4"/>
  <c r="BW288" i="4" s="1"/>
  <c r="BW329" i="4" s="1"/>
  <c r="BW414" i="4" s="1"/>
  <c r="BW415" i="4" s="1"/>
  <c r="BX413" i="4" s="1"/>
  <c r="BW274" i="4"/>
  <c r="BW335" i="4" s="1"/>
  <c r="BW1242" i="4"/>
  <c r="BW1243" i="4"/>
  <c r="BV688" i="4"/>
  <c r="BV1041" i="4"/>
  <c r="BW1151" i="4"/>
  <c r="BW1263" i="4"/>
  <c r="BV61" i="4"/>
  <c r="BV318" i="4" s="1"/>
  <c r="BV328" i="4" s="1"/>
  <c r="BW66" i="4"/>
  <c r="BW60" i="4"/>
  <c r="BW27" i="66"/>
  <c r="BW28" i="66"/>
  <c r="BW295" i="4"/>
  <c r="BW303" i="4" s="1"/>
  <c r="BX86" i="64"/>
  <c r="BX87" i="64" s="1"/>
  <c r="BX7" i="64"/>
  <c r="BX6" i="64" s="1"/>
  <c r="BX28" i="64" s="1"/>
  <c r="BX30" i="64" s="1"/>
  <c r="BX53" i="64" s="1"/>
  <c r="BX7" i="4"/>
  <c r="BX7" i="66"/>
  <c r="BX6" i="66" s="1"/>
  <c r="BX6" i="3"/>
  <c r="BX7" i="11"/>
  <c r="BX6" i="11" s="1"/>
  <c r="BX8" i="3"/>
  <c r="BX16" i="4" s="1"/>
  <c r="BX7" i="62"/>
  <c r="BX6" i="62" s="1"/>
  <c r="BV200" i="4"/>
  <c r="BW150" i="4"/>
  <c r="BW153" i="4" s="1"/>
  <c r="BW34" i="4"/>
  <c r="BW41" i="4" s="1"/>
  <c r="BW48" i="4" s="1"/>
  <c r="BW246" i="4"/>
  <c r="BW138" i="4"/>
  <c r="BW142" i="4" s="1"/>
  <c r="BW33" i="4"/>
  <c r="BW40" i="4" s="1"/>
  <c r="BW47" i="4" s="1"/>
  <c r="BW192" i="4"/>
  <c r="BV544" i="4"/>
  <c r="BV690" i="4"/>
  <c r="BW198" i="4"/>
  <c r="BW126" i="4"/>
  <c r="BU738" i="4"/>
  <c r="AZ956" i="4" l="1"/>
  <c r="BA746" i="4"/>
  <c r="AY258" i="4"/>
  <c r="AY271" i="4"/>
  <c r="AY285" i="4" s="1"/>
  <c r="BB895" i="4"/>
  <c r="BB973" i="4" s="1"/>
  <c r="BB296" i="4" s="1"/>
  <c r="BB1109" i="4"/>
  <c r="BB1110" i="4" s="1"/>
  <c r="BB1111" i="4" s="1"/>
  <c r="BB985" i="4" s="1"/>
  <c r="BB953" i="4"/>
  <c r="BB951" i="4"/>
  <c r="BB955" i="4"/>
  <c r="BB938" i="4"/>
  <c r="BB947" i="4"/>
  <c r="BB946" i="4"/>
  <c r="BB939" i="4"/>
  <c r="BB952" i="4"/>
  <c r="BB937" i="4"/>
  <c r="BB936" i="4"/>
  <c r="BB948" i="4"/>
  <c r="BC79" i="4"/>
  <c r="BB954" i="4"/>
  <c r="BB743" i="4"/>
  <c r="BB744" i="4"/>
  <c r="BB745" i="4"/>
  <c r="AW33" i="66"/>
  <c r="AW32" i="66" s="1"/>
  <c r="AW1118" i="4"/>
  <c r="AW65" i="62"/>
  <c r="AW1318" i="4"/>
  <c r="AW81" i="11"/>
  <c r="AW82" i="11" s="1"/>
  <c r="AW1387" i="4" s="1"/>
  <c r="AW1291" i="4"/>
  <c r="BA754" i="4"/>
  <c r="AX260" i="4"/>
  <c r="AY163" i="4"/>
  <c r="AY265" i="4"/>
  <c r="AY270" i="4"/>
  <c r="AY284" i="4" s="1"/>
  <c r="AY235" i="4"/>
  <c r="AW289" i="4"/>
  <c r="AX276" i="4"/>
  <c r="AX334" i="4"/>
  <c r="AX1037" i="4" s="1"/>
  <c r="AX279" i="4"/>
  <c r="AY177" i="4"/>
  <c r="AY267" i="4"/>
  <c r="AY281" i="4" s="1"/>
  <c r="AY266" i="4"/>
  <c r="AY280" i="4" s="1"/>
  <c r="AY170" i="4"/>
  <c r="AZ169" i="4"/>
  <c r="AZ254" i="4"/>
  <c r="AZ256" i="4"/>
  <c r="AZ175" i="4"/>
  <c r="AZ207" i="4"/>
  <c r="AZ269" i="4" s="1"/>
  <c r="AZ283" i="4" s="1"/>
  <c r="AZ211" i="4"/>
  <c r="AZ231" i="4"/>
  <c r="AZ166" i="4"/>
  <c r="AZ206" i="4"/>
  <c r="AZ205" i="4"/>
  <c r="AZ257" i="4"/>
  <c r="AZ160" i="4"/>
  <c r="AZ174" i="4"/>
  <c r="AZ176" i="4"/>
  <c r="AZ255" i="4"/>
  <c r="AZ210" i="4"/>
  <c r="AZ173" i="4"/>
  <c r="AZ167" i="4"/>
  <c r="AZ168" i="4"/>
  <c r="AZ204" i="4"/>
  <c r="AZ209" i="4"/>
  <c r="AZ159" i="4"/>
  <c r="AZ208" i="4"/>
  <c r="AZ232" i="4"/>
  <c r="AZ161" i="4"/>
  <c r="AZ234" i="4"/>
  <c r="AZ162" i="4"/>
  <c r="AZ233" i="4"/>
  <c r="BA85" i="4"/>
  <c r="AY268" i="4"/>
  <c r="AY212" i="4"/>
  <c r="BA941" i="4"/>
  <c r="BA940" i="4"/>
  <c r="BA942" i="4"/>
  <c r="BA943" i="4"/>
  <c r="AX282" i="4"/>
  <c r="BW250" i="4"/>
  <c r="BW15" i="66"/>
  <c r="BW1036" i="4"/>
  <c r="BW37" i="4"/>
  <c r="BW44" i="4" s="1"/>
  <c r="BW51" i="4" s="1"/>
  <c r="BW35" i="4"/>
  <c r="BW42" i="4" s="1"/>
  <c r="BW49" i="4" s="1"/>
  <c r="BV738" i="4"/>
  <c r="BX330" i="3"/>
  <c r="BX219" i="4" s="1"/>
  <c r="BX224" i="4" s="1"/>
  <c r="BX301" i="3"/>
  <c r="BX188" i="4" s="1"/>
  <c r="BX197" i="4" s="1"/>
  <c r="BX241" i="3"/>
  <c r="BX146" i="4" s="1"/>
  <c r="BX151" i="4" s="1"/>
  <c r="BW721" i="4"/>
  <c r="BW717" i="4"/>
  <c r="BW718" i="4"/>
  <c r="BW722" i="4"/>
  <c r="BW54" i="4"/>
  <c r="BW53" i="62" s="1"/>
  <c r="BX217" i="3"/>
  <c r="BX134" i="4" s="1"/>
  <c r="BX139" i="4" s="1"/>
  <c r="BX240" i="3"/>
  <c r="BX145" i="4" s="1"/>
  <c r="BX242" i="3"/>
  <c r="BX147" i="4" s="1"/>
  <c r="BX152" i="4" s="1"/>
  <c r="BX329" i="3"/>
  <c r="BX218" i="4" s="1"/>
  <c r="BX185" i="3"/>
  <c r="BW731" i="4"/>
  <c r="BX298" i="3"/>
  <c r="BX185" i="4" s="1"/>
  <c r="BX194" i="4" s="1"/>
  <c r="BX356" i="3"/>
  <c r="BX242" i="4" s="1"/>
  <c r="BX247" i="4" s="1"/>
  <c r="BX216" i="3"/>
  <c r="BX133" i="4" s="1"/>
  <c r="BX184" i="3"/>
  <c r="BX121" i="4" s="1"/>
  <c r="BX218" i="3"/>
  <c r="BX135" i="4" s="1"/>
  <c r="BX140" i="4" s="1"/>
  <c r="BX141" i="4" s="1"/>
  <c r="BX186" i="3"/>
  <c r="BX331" i="3"/>
  <c r="BX220" i="4" s="1"/>
  <c r="BX225" i="4" s="1"/>
  <c r="BX226" i="4" s="1"/>
  <c r="BT739" i="4"/>
  <c r="BX355" i="3"/>
  <c r="BX241" i="4" s="1"/>
  <c r="BW130" i="4"/>
  <c r="BX300" i="3"/>
  <c r="BX187" i="4" s="1"/>
  <c r="BX196" i="4" s="1"/>
  <c r="BW32" i="4"/>
  <c r="BW39" i="4" s="1"/>
  <c r="BW46" i="4" s="1"/>
  <c r="BX297" i="3"/>
  <c r="BX184" i="4" s="1"/>
  <c r="BX193" i="4" s="1"/>
  <c r="BX1447" i="4"/>
  <c r="BX299" i="3"/>
  <c r="BX296" i="3"/>
  <c r="BX183" i="4" s="1"/>
  <c r="BX357" i="3"/>
  <c r="BX243" i="4" s="1"/>
  <c r="BX248" i="4" s="1"/>
  <c r="BX249" i="4" s="1"/>
  <c r="BW732" i="4"/>
  <c r="BW24" i="4"/>
  <c r="BW88" i="4" s="1"/>
  <c r="BW1260" i="4" s="1"/>
  <c r="BX6" i="4"/>
  <c r="BX15" i="4"/>
  <c r="BW287" i="4"/>
  <c r="BW324" i="4" s="1"/>
  <c r="BW34" i="66"/>
  <c r="BW642" i="3"/>
  <c r="BW22" i="4"/>
  <c r="BX21" i="4"/>
  <c r="BW9" i="62"/>
  <c r="BW9" i="3"/>
  <c r="BW9" i="66"/>
  <c r="BW60" i="62"/>
  <c r="BW9" i="11"/>
  <c r="BW9" i="4"/>
  <c r="BW9" i="64"/>
  <c r="BW76" i="4"/>
  <c r="BW77" i="4" s="1"/>
  <c r="BW78" i="4"/>
  <c r="BW83" i="4"/>
  <c r="BW84" i="4" s="1"/>
  <c r="BW199" i="4"/>
  <c r="BW154" i="4"/>
  <c r="BX1183" i="4"/>
  <c r="BX1156" i="4"/>
  <c r="BX29" i="4"/>
  <c r="BX1160" i="4"/>
  <c r="BX30" i="4"/>
  <c r="BX1158" i="4"/>
  <c r="BX1159" i="4" s="1"/>
  <c r="BX186" i="4"/>
  <c r="BX195" i="4" s="1"/>
  <c r="BX8" i="66"/>
  <c r="BX28" i="4"/>
  <c r="BX1409" i="4"/>
  <c r="BX1184" i="4"/>
  <c r="BY7" i="3"/>
  <c r="BX8" i="64"/>
  <c r="BX314" i="4"/>
  <c r="BX8" i="62"/>
  <c r="BX54" i="62" s="1"/>
  <c r="BX8" i="4"/>
  <c r="BX8" i="11"/>
  <c r="BW540" i="4"/>
  <c r="BW542" i="4" s="1"/>
  <c r="BU739" i="4"/>
  <c r="BX82" i="4" l="1"/>
  <c r="BX75" i="4"/>
  <c r="BA956" i="4"/>
  <c r="AX1318" i="4"/>
  <c r="AX1118" i="4"/>
  <c r="AX65" i="62"/>
  <c r="AX81" i="11"/>
  <c r="AX82" i="11" s="1"/>
  <c r="AX1387" i="4" s="1"/>
  <c r="AX1291" i="4"/>
  <c r="AX33" i="66"/>
  <c r="AX32" i="66" s="1"/>
  <c r="BC1109" i="4"/>
  <c r="BC1110" i="4" s="1"/>
  <c r="BC1111" i="4" s="1"/>
  <c r="BC985" i="4" s="1"/>
  <c r="BC937" i="4"/>
  <c r="BC936" i="4"/>
  <c r="BC948" i="4"/>
  <c r="BC952" i="4"/>
  <c r="BC954" i="4"/>
  <c r="BC953" i="4"/>
  <c r="BC895" i="4"/>
  <c r="BC973" i="4" s="1"/>
  <c r="BC296" i="4" s="1"/>
  <c r="BC947" i="4"/>
  <c r="BC939" i="4"/>
  <c r="BC955" i="4"/>
  <c r="BC938" i="4"/>
  <c r="BC946" i="4"/>
  <c r="BC951" i="4"/>
  <c r="BD79" i="4"/>
  <c r="BC744" i="4"/>
  <c r="BC743" i="4"/>
  <c r="BC745" i="4"/>
  <c r="AZ267" i="4"/>
  <c r="AZ281" i="4" s="1"/>
  <c r="AZ177" i="4"/>
  <c r="BB942" i="4"/>
  <c r="BB941" i="4"/>
  <c r="BB940" i="4"/>
  <c r="BB943" i="4"/>
  <c r="AZ271" i="4"/>
  <c r="AZ285" i="4" s="1"/>
  <c r="AZ258" i="4"/>
  <c r="AZ266" i="4"/>
  <c r="AZ280" i="4" s="1"/>
  <c r="AZ170" i="4"/>
  <c r="AZ270" i="4"/>
  <c r="AZ284" i="4" s="1"/>
  <c r="AZ235" i="4"/>
  <c r="AZ265" i="4"/>
  <c r="AZ163" i="4"/>
  <c r="AX289" i="4"/>
  <c r="BA209" i="4"/>
  <c r="BB85" i="4"/>
  <c r="BA173" i="4"/>
  <c r="BA210" i="4"/>
  <c r="BA206" i="4"/>
  <c r="BA234" i="4"/>
  <c r="BA255" i="4"/>
  <c r="BA168" i="4"/>
  <c r="BA233" i="4"/>
  <c r="BA162" i="4"/>
  <c r="BA161" i="4"/>
  <c r="BA207" i="4"/>
  <c r="BA269" i="4" s="1"/>
  <c r="BA283" i="4" s="1"/>
  <c r="BA166" i="4"/>
  <c r="BA254" i="4"/>
  <c r="BA205" i="4"/>
  <c r="BA256" i="4"/>
  <c r="BA169" i="4"/>
  <c r="BA167" i="4"/>
  <c r="BA174" i="4"/>
  <c r="BA175" i="4"/>
  <c r="BA231" i="4"/>
  <c r="BA159" i="4"/>
  <c r="BA208" i="4"/>
  <c r="BA160" i="4"/>
  <c r="BA204" i="4"/>
  <c r="BA232" i="4"/>
  <c r="BA257" i="4"/>
  <c r="BA176" i="4"/>
  <c r="BA211" i="4"/>
  <c r="AY334" i="4"/>
  <c r="AY1037" i="4" s="1"/>
  <c r="AY276" i="4"/>
  <c r="AY279" i="4"/>
  <c r="BB754" i="4"/>
  <c r="BB746" i="4"/>
  <c r="AY282" i="4"/>
  <c r="AZ212" i="4"/>
  <c r="AZ268" i="4"/>
  <c r="AY260" i="4"/>
  <c r="BW1173" i="4"/>
  <c r="BW1177" i="4" s="1"/>
  <c r="BW1494" i="4" s="1"/>
  <c r="BW736" i="4"/>
  <c r="BV739" i="4"/>
  <c r="BV56" i="4"/>
  <c r="BW55" i="4"/>
  <c r="BW65" i="4"/>
  <c r="BX58" i="4"/>
  <c r="BW737" i="4"/>
  <c r="BX123" i="4"/>
  <c r="BX128" i="4" s="1"/>
  <c r="BX129" i="4" s="1"/>
  <c r="BX122" i="4"/>
  <c r="BX127" i="4" s="1"/>
  <c r="BX57" i="4"/>
  <c r="BW53" i="4"/>
  <c r="BX1129" i="4"/>
  <c r="BX126" i="4"/>
  <c r="BX192" i="4"/>
  <c r="BX35" i="4"/>
  <c r="BX42" i="4" s="1"/>
  <c r="BX49" i="4" s="1"/>
  <c r="BX198" i="4"/>
  <c r="BX275" i="4"/>
  <c r="BX288" i="4" s="1"/>
  <c r="BX329" i="4" s="1"/>
  <c r="BX414" i="4" s="1"/>
  <c r="BX415" i="4" s="1"/>
  <c r="BY413" i="4" s="1"/>
  <c r="BX1242" i="4"/>
  <c r="BX273" i="4"/>
  <c r="BX274" i="4"/>
  <c r="BX335" i="4" s="1"/>
  <c r="BX1243" i="4"/>
  <c r="BX246" i="4"/>
  <c r="BX250" i="4" s="1"/>
  <c r="BX37" i="4"/>
  <c r="BX44" i="4" s="1"/>
  <c r="BX51" i="4" s="1"/>
  <c r="BW690" i="4"/>
  <c r="BW544" i="4"/>
  <c r="BX1157" i="4"/>
  <c r="BX19" i="4"/>
  <c r="BX20" i="4" s="1"/>
  <c r="BX17" i="4"/>
  <c r="BX223" i="4"/>
  <c r="BX227" i="4" s="1"/>
  <c r="BX36" i="4"/>
  <c r="BX43" i="4" s="1"/>
  <c r="BX50" i="4" s="1"/>
  <c r="BX713" i="4" s="1"/>
  <c r="BX731" i="4" s="1"/>
  <c r="BX62" i="4"/>
  <c r="BX528" i="4" s="1"/>
  <c r="BX530" i="4"/>
  <c r="BX54" i="11"/>
  <c r="BX529" i="4"/>
  <c r="BX68" i="4"/>
  <c r="BX543" i="4"/>
  <c r="BW63" i="4"/>
  <c r="BW1389" i="4" s="1"/>
  <c r="BX824" i="4"/>
  <c r="BX67" i="4"/>
  <c r="BX1042" i="4" s="1"/>
  <c r="BX70" i="4"/>
  <c r="BX34" i="4"/>
  <c r="BX41" i="4" s="1"/>
  <c r="BX48" i="4" s="1"/>
  <c r="BX150" i="4"/>
  <c r="BY86" i="64"/>
  <c r="BY87" i="64" s="1"/>
  <c r="BY7" i="62"/>
  <c r="BY6" i="62" s="1"/>
  <c r="BY7" i="11"/>
  <c r="BY6" i="11" s="1"/>
  <c r="BY7" i="64"/>
  <c r="BY6" i="64" s="1"/>
  <c r="BY28" i="64" s="1"/>
  <c r="BY30" i="64" s="1"/>
  <c r="BY53" i="64" s="1"/>
  <c r="BY7" i="4"/>
  <c r="BY8" i="3"/>
  <c r="BY6" i="3"/>
  <c r="BY7" i="66"/>
  <c r="BY6" i="66" s="1"/>
  <c r="BW200" i="4"/>
  <c r="BX138" i="4"/>
  <c r="BX33" i="4"/>
  <c r="BX40" i="4" s="1"/>
  <c r="BX47" i="4" s="1"/>
  <c r="BX28" i="66"/>
  <c r="BX1151" i="4"/>
  <c r="BW61" i="4"/>
  <c r="BW318" i="4" s="1"/>
  <c r="BW328" i="4" s="1"/>
  <c r="BX295" i="4"/>
  <c r="BX303" i="4" s="1"/>
  <c r="BX60" i="4"/>
  <c r="BX66" i="4"/>
  <c r="BX1263" i="4"/>
  <c r="BX27" i="66"/>
  <c r="BW688" i="4"/>
  <c r="BW1041" i="4"/>
  <c r="BX18" i="4"/>
  <c r="BB956" i="4" l="1"/>
  <c r="BA235" i="4"/>
  <c r="BA270" i="4"/>
  <c r="BA284" i="4" s="1"/>
  <c r="AZ282" i="4"/>
  <c r="BA177" i="4"/>
  <c r="BA267" i="4"/>
  <c r="BA281" i="4" s="1"/>
  <c r="BB176" i="4"/>
  <c r="BB169" i="4"/>
  <c r="BB255" i="4"/>
  <c r="BB208" i="4"/>
  <c r="BB173" i="4"/>
  <c r="BB204" i="4"/>
  <c r="BB234" i="4"/>
  <c r="BB160" i="4"/>
  <c r="BB205" i="4"/>
  <c r="BC85" i="4"/>
  <c r="BB159" i="4"/>
  <c r="BB232" i="4"/>
  <c r="BB233" i="4"/>
  <c r="BB167" i="4"/>
  <c r="BB257" i="4"/>
  <c r="BB168" i="4"/>
  <c r="BB207" i="4"/>
  <c r="BB269" i="4" s="1"/>
  <c r="BB283" i="4" s="1"/>
  <c r="BB211" i="4"/>
  <c r="BB161" i="4"/>
  <c r="BB210" i="4"/>
  <c r="BB254" i="4"/>
  <c r="BB231" i="4"/>
  <c r="BB175" i="4"/>
  <c r="BB206" i="4"/>
  <c r="BB209" i="4"/>
  <c r="BB256" i="4"/>
  <c r="BB174" i="4"/>
  <c r="BB162" i="4"/>
  <c r="BB166" i="4"/>
  <c r="AY289" i="4"/>
  <c r="BA268" i="4"/>
  <c r="BA282" i="4" s="1"/>
  <c r="BA212" i="4"/>
  <c r="BD1109" i="4"/>
  <c r="BD1110" i="4" s="1"/>
  <c r="BD1111" i="4" s="1"/>
  <c r="BD985" i="4" s="1"/>
  <c r="BD946" i="4"/>
  <c r="BD937" i="4"/>
  <c r="BD936" i="4"/>
  <c r="BD947" i="4"/>
  <c r="BD955" i="4"/>
  <c r="BD952" i="4"/>
  <c r="BD939" i="4"/>
  <c r="BD953" i="4"/>
  <c r="BE79" i="4"/>
  <c r="BD948" i="4"/>
  <c r="BD895" i="4"/>
  <c r="BD973" i="4" s="1"/>
  <c r="BD296" i="4" s="1"/>
  <c r="BD954" i="4"/>
  <c r="BD938" i="4"/>
  <c r="BD951" i="4"/>
  <c r="BD744" i="4"/>
  <c r="BD743" i="4"/>
  <c r="BD745" i="4"/>
  <c r="AY1291" i="4"/>
  <c r="AY81" i="11"/>
  <c r="AY82" i="11" s="1"/>
  <c r="AY1387" i="4" s="1"/>
  <c r="AY1318" i="4"/>
  <c r="AY65" i="62"/>
  <c r="AY33" i="66"/>
  <c r="AY32" i="66" s="1"/>
  <c r="AY1118" i="4"/>
  <c r="AZ260" i="4"/>
  <c r="BC754" i="4"/>
  <c r="BC942" i="4"/>
  <c r="BC941" i="4"/>
  <c r="BC940" i="4"/>
  <c r="BC943" i="4"/>
  <c r="BA170" i="4"/>
  <c r="BA266" i="4"/>
  <c r="BA280" i="4" s="1"/>
  <c r="AZ334" i="4"/>
  <c r="AZ1037" i="4" s="1"/>
  <c r="AZ276" i="4"/>
  <c r="AZ279" i="4"/>
  <c r="BC746" i="4"/>
  <c r="BA265" i="4"/>
  <c r="BA163" i="4"/>
  <c r="BA271" i="4"/>
  <c r="BA285" i="4" s="1"/>
  <c r="BA258" i="4"/>
  <c r="BX15" i="66"/>
  <c r="BY356" i="3"/>
  <c r="BY242" i="4" s="1"/>
  <c r="BY247" i="4" s="1"/>
  <c r="BY16" i="4"/>
  <c r="BX32" i="4"/>
  <c r="BX39" i="4" s="1"/>
  <c r="BX46" i="4" s="1"/>
  <c r="BX1036" i="4"/>
  <c r="BW738" i="4"/>
  <c r="BY184" i="3"/>
  <c r="BY121" i="4" s="1"/>
  <c r="BY301" i="3"/>
  <c r="BY188" i="4" s="1"/>
  <c r="BY197" i="4" s="1"/>
  <c r="BY240" i="3"/>
  <c r="BY297" i="3"/>
  <c r="BY184" i="4" s="1"/>
  <c r="BY193" i="4" s="1"/>
  <c r="BY355" i="3"/>
  <c r="BY241" i="4" s="1"/>
  <c r="BY186" i="3"/>
  <c r="BY123" i="4" s="1"/>
  <c r="BY128" i="4" s="1"/>
  <c r="BY129" i="4" s="1"/>
  <c r="BX54" i="4"/>
  <c r="BX55" i="4" s="1"/>
  <c r="BY331" i="3"/>
  <c r="BY220" i="4" s="1"/>
  <c r="BY225" i="4" s="1"/>
  <c r="BY226" i="4" s="1"/>
  <c r="BY217" i="3"/>
  <c r="BY134" i="4" s="1"/>
  <c r="BY139" i="4" s="1"/>
  <c r="BY216" i="3"/>
  <c r="BY133" i="4" s="1"/>
  <c r="BY357" i="3"/>
  <c r="BY300" i="3"/>
  <c r="BY187" i="4" s="1"/>
  <c r="BY196" i="4" s="1"/>
  <c r="BY242" i="3"/>
  <c r="BY147" i="4" s="1"/>
  <c r="BY152" i="4" s="1"/>
  <c r="BY298" i="3"/>
  <c r="BY185" i="4" s="1"/>
  <c r="BY194" i="4" s="1"/>
  <c r="BY299" i="3"/>
  <c r="BY186" i="4" s="1"/>
  <c r="BY195" i="4" s="1"/>
  <c r="BY330" i="3"/>
  <c r="BY219" i="4" s="1"/>
  <c r="BY224" i="4" s="1"/>
  <c r="BY241" i="3"/>
  <c r="BY1447" i="4"/>
  <c r="BY218" i="3"/>
  <c r="BY135" i="4" s="1"/>
  <c r="BY140" i="4" s="1"/>
  <c r="BY141" i="4" s="1"/>
  <c r="BY329" i="3"/>
  <c r="BY218" i="4" s="1"/>
  <c r="BY296" i="3"/>
  <c r="BY183" i="4" s="1"/>
  <c r="BY185" i="3"/>
  <c r="BY122" i="4" s="1"/>
  <c r="BY127" i="4" s="1"/>
  <c r="BX714" i="4"/>
  <c r="BX732" i="4"/>
  <c r="BX153" i="4"/>
  <c r="BX154" i="4" s="1"/>
  <c r="BX199" i="4"/>
  <c r="BX200" i="4" s="1"/>
  <c r="BX540" i="4"/>
  <c r="BX542" i="4" s="1"/>
  <c r="BX83" i="4"/>
  <c r="BX84" i="4" s="1"/>
  <c r="BX142" i="4"/>
  <c r="BX76" i="4"/>
  <c r="BX77" i="4" s="1"/>
  <c r="BX642" i="3"/>
  <c r="BX34" i="66"/>
  <c r="BX287" i="4"/>
  <c r="BX324" i="4" s="1"/>
  <c r="BX130" i="4"/>
  <c r="BY30" i="4"/>
  <c r="BY29" i="4"/>
  <c r="BY8" i="62"/>
  <c r="BY54" i="62" s="1"/>
  <c r="BY1156" i="4"/>
  <c r="BY8" i="11"/>
  <c r="BZ7" i="3"/>
  <c r="BY1409" i="4"/>
  <c r="BY1184" i="4"/>
  <c r="BY1160" i="4"/>
  <c r="BY145" i="4"/>
  <c r="BY1158" i="4"/>
  <c r="BY1159" i="4" s="1"/>
  <c r="BY314" i="4"/>
  <c r="BY8" i="4"/>
  <c r="BY8" i="66"/>
  <c r="BY1183" i="4"/>
  <c r="BY8" i="64"/>
  <c r="BY28" i="4"/>
  <c r="BX24" i="4"/>
  <c r="BX88" i="4" s="1"/>
  <c r="BX1260" i="4" s="1"/>
  <c r="BY6" i="4"/>
  <c r="BY15" i="4"/>
  <c r="BX22" i="4"/>
  <c r="BY21" i="4"/>
  <c r="BX78" i="4"/>
  <c r="BX9" i="4"/>
  <c r="BX9" i="64"/>
  <c r="BX9" i="66"/>
  <c r="BX9" i="11"/>
  <c r="BX60" i="62"/>
  <c r="BX9" i="3"/>
  <c r="BX9" i="62"/>
  <c r="BY82" i="4" l="1"/>
  <c r="BY75" i="4"/>
  <c r="AZ289" i="4"/>
  <c r="BC956" i="4"/>
  <c r="BX53" i="62"/>
  <c r="BD746" i="4"/>
  <c r="BD754" i="4"/>
  <c r="BB163" i="4"/>
  <c r="BB265" i="4"/>
  <c r="BC159" i="4"/>
  <c r="BD85" i="4"/>
  <c r="BC161" i="4"/>
  <c r="BC231" i="4"/>
  <c r="BC207" i="4"/>
  <c r="BC269" i="4" s="1"/>
  <c r="BC283" i="4" s="1"/>
  <c r="BC162" i="4"/>
  <c r="BC209" i="4"/>
  <c r="BC169" i="4"/>
  <c r="BC255" i="4"/>
  <c r="BC206" i="4"/>
  <c r="BC208" i="4"/>
  <c r="BC234" i="4"/>
  <c r="BC210" i="4"/>
  <c r="BC168" i="4"/>
  <c r="BC256" i="4"/>
  <c r="BC167" i="4"/>
  <c r="BC232" i="4"/>
  <c r="BC176" i="4"/>
  <c r="BC257" i="4"/>
  <c r="BC166" i="4"/>
  <c r="BC254" i="4"/>
  <c r="BC174" i="4"/>
  <c r="BC233" i="4"/>
  <c r="BC204" i="4"/>
  <c r="BC211" i="4"/>
  <c r="BC173" i="4"/>
  <c r="BC205" i="4"/>
  <c r="BC160" i="4"/>
  <c r="BC175" i="4"/>
  <c r="AZ81" i="11"/>
  <c r="AZ82" i="11" s="1"/>
  <c r="AZ1387" i="4" s="1"/>
  <c r="AZ1318" i="4"/>
  <c r="AZ1118" i="4"/>
  <c r="AZ1291" i="4"/>
  <c r="AZ65" i="62"/>
  <c r="AZ33" i="66"/>
  <c r="AZ32" i="66" s="1"/>
  <c r="BE1109" i="4"/>
  <c r="BE1110" i="4" s="1"/>
  <c r="BE1111" i="4" s="1"/>
  <c r="BE985" i="4" s="1"/>
  <c r="BE947" i="4"/>
  <c r="BE946" i="4"/>
  <c r="BF79" i="4"/>
  <c r="BE948" i="4"/>
  <c r="BE939" i="4"/>
  <c r="BE937" i="4"/>
  <c r="BE953" i="4"/>
  <c r="BE936" i="4"/>
  <c r="BE895" i="4"/>
  <c r="BE973" i="4" s="1"/>
  <c r="BE296" i="4" s="1"/>
  <c r="BE951" i="4"/>
  <c r="BE952" i="4"/>
  <c r="BE938" i="4"/>
  <c r="BE955" i="4"/>
  <c r="BE954" i="4"/>
  <c r="BE743" i="4"/>
  <c r="BE744" i="4"/>
  <c r="BE745" i="4"/>
  <c r="BA260" i="4"/>
  <c r="BA334" i="4"/>
  <c r="BA1037" i="4" s="1"/>
  <c r="BA276" i="4"/>
  <c r="BA279" i="4"/>
  <c r="BA289" i="4" s="1"/>
  <c r="BD941" i="4"/>
  <c r="BD942" i="4"/>
  <c r="BD940" i="4"/>
  <c r="BD943" i="4"/>
  <c r="BB270" i="4"/>
  <c r="BB284" i="4" s="1"/>
  <c r="BB235" i="4"/>
  <c r="BB268" i="4"/>
  <c r="BB282" i="4" s="1"/>
  <c r="BB212" i="4"/>
  <c r="BB266" i="4"/>
  <c r="BB280" i="4" s="1"/>
  <c r="BB170" i="4"/>
  <c r="BB258" i="4"/>
  <c r="BB271" i="4"/>
  <c r="BB285" i="4" s="1"/>
  <c r="BB267" i="4"/>
  <c r="BB281" i="4" s="1"/>
  <c r="BB177" i="4"/>
  <c r="BW739" i="4"/>
  <c r="BX1173" i="4"/>
  <c r="BX1177" i="4" s="1"/>
  <c r="BX1494" i="4" s="1"/>
  <c r="BX65" i="4"/>
  <c r="BW56" i="4"/>
  <c r="BY58" i="4"/>
  <c r="BX722" i="4"/>
  <c r="BX721" i="4"/>
  <c r="BX718" i="4"/>
  <c r="BX717" i="4"/>
  <c r="BY243" i="4"/>
  <c r="BY248" i="4" s="1"/>
  <c r="BY249" i="4" s="1"/>
  <c r="BY146" i="4"/>
  <c r="BY151" i="4" s="1"/>
  <c r="BY57" i="4"/>
  <c r="BY1129" i="4"/>
  <c r="BX53" i="4"/>
  <c r="BX544" i="4"/>
  <c r="BX690" i="4"/>
  <c r="BY19" i="4"/>
  <c r="BY20" i="4" s="1"/>
  <c r="BY17" i="4"/>
  <c r="BY198" i="4"/>
  <c r="BY18" i="4"/>
  <c r="BY274" i="4"/>
  <c r="BY335" i="4" s="1"/>
  <c r="BY273" i="4"/>
  <c r="BY1243" i="4"/>
  <c r="BY275" i="4"/>
  <c r="BY288" i="4" s="1"/>
  <c r="BY329" i="4" s="1"/>
  <c r="BY414" i="4" s="1"/>
  <c r="BY415" i="4" s="1"/>
  <c r="BZ413" i="4" s="1"/>
  <c r="BY1242" i="4"/>
  <c r="BY28" i="66"/>
  <c r="BY1151" i="4"/>
  <c r="BY295" i="4"/>
  <c r="BY27" i="66"/>
  <c r="BY60" i="4"/>
  <c r="BY66" i="4"/>
  <c r="BY1263" i="4"/>
  <c r="BX61" i="4"/>
  <c r="BX318" i="4" s="1"/>
  <c r="BX328" i="4" s="1"/>
  <c r="BY33" i="4"/>
  <c r="BY40" i="4" s="1"/>
  <c r="BY47" i="4" s="1"/>
  <c r="BY138" i="4"/>
  <c r="BY142" i="4" s="1"/>
  <c r="BZ86" i="64"/>
  <c r="BZ87" i="64" s="1"/>
  <c r="BZ7" i="66"/>
  <c r="BZ6" i="66" s="1"/>
  <c r="BZ7" i="64"/>
  <c r="BZ6" i="64" s="1"/>
  <c r="BZ28" i="64" s="1"/>
  <c r="BZ30" i="64" s="1"/>
  <c r="BZ53" i="64" s="1"/>
  <c r="BZ8" i="3"/>
  <c r="BZ7" i="11"/>
  <c r="BZ6" i="11" s="1"/>
  <c r="BZ7" i="62"/>
  <c r="BZ6" i="62" s="1"/>
  <c r="BZ6" i="3"/>
  <c r="BZ7" i="4"/>
  <c r="BX688" i="4"/>
  <c r="BX1041" i="4"/>
  <c r="BY192" i="4"/>
  <c r="BY35" i="4"/>
  <c r="BY42" i="4" s="1"/>
  <c r="BY49" i="4" s="1"/>
  <c r="BY150" i="4"/>
  <c r="BY62" i="4"/>
  <c r="BY528" i="4" s="1"/>
  <c r="BY543" i="4"/>
  <c r="BX63" i="4"/>
  <c r="BX1389" i="4" s="1"/>
  <c r="BY529" i="4"/>
  <c r="BY530" i="4"/>
  <c r="BY54" i="11"/>
  <c r="BY824" i="4"/>
  <c r="BY70" i="4"/>
  <c r="BY67" i="4"/>
  <c r="BY1042" i="4" s="1"/>
  <c r="BY68" i="4"/>
  <c r="BY126" i="4"/>
  <c r="BY130" i="4" s="1"/>
  <c r="BY32" i="4"/>
  <c r="BY39" i="4" s="1"/>
  <c r="BY46" i="4" s="1"/>
  <c r="BY246" i="4"/>
  <c r="BY1157" i="4"/>
  <c r="BY223" i="4"/>
  <c r="BY227" i="4" s="1"/>
  <c r="BY36" i="4"/>
  <c r="BY43" i="4" s="1"/>
  <c r="BY50" i="4" s="1"/>
  <c r="BY713" i="4" s="1"/>
  <c r="BY731" i="4" s="1"/>
  <c r="BY34" i="4" l="1"/>
  <c r="BY41" i="4" s="1"/>
  <c r="BY48" i="4" s="1"/>
  <c r="BY153" i="4"/>
  <c r="BY154" i="4" s="1"/>
  <c r="BD956" i="4"/>
  <c r="BC258" i="4"/>
  <c r="BC271" i="4"/>
  <c r="BC285" i="4" s="1"/>
  <c r="BB334" i="4"/>
  <c r="BB1037" i="4" s="1"/>
  <c r="BB276" i="4"/>
  <c r="BB279" i="4"/>
  <c r="BB289" i="4" s="1"/>
  <c r="BF1109" i="4"/>
  <c r="BF1110" i="4" s="1"/>
  <c r="BF1111" i="4" s="1"/>
  <c r="BF985" i="4" s="1"/>
  <c r="BF946" i="4"/>
  <c r="BF954" i="4"/>
  <c r="BF953" i="4"/>
  <c r="BF952" i="4"/>
  <c r="BF937" i="4"/>
  <c r="BF951" i="4"/>
  <c r="BF955" i="4"/>
  <c r="BG79" i="4"/>
  <c r="BF895" i="4"/>
  <c r="BF973" i="4" s="1"/>
  <c r="BF296" i="4" s="1"/>
  <c r="BF947" i="4"/>
  <c r="BF939" i="4"/>
  <c r="BF948" i="4"/>
  <c r="BF938" i="4"/>
  <c r="BF936" i="4"/>
  <c r="BF743" i="4"/>
  <c r="BF744" i="4"/>
  <c r="BF745" i="4"/>
  <c r="BC267" i="4"/>
  <c r="BC281" i="4" s="1"/>
  <c r="BC177" i="4"/>
  <c r="BD169" i="4"/>
  <c r="BD204" i="4"/>
  <c r="BD207" i="4"/>
  <c r="BD269" i="4" s="1"/>
  <c r="BD283" i="4" s="1"/>
  <c r="BD256" i="4"/>
  <c r="BD234" i="4"/>
  <c r="BD160" i="4"/>
  <c r="BD159" i="4"/>
  <c r="BD205" i="4"/>
  <c r="BD255" i="4"/>
  <c r="BD254" i="4"/>
  <c r="BD233" i="4"/>
  <c r="BD167" i="4"/>
  <c r="BD209" i="4"/>
  <c r="BD232" i="4"/>
  <c r="BD208" i="4"/>
  <c r="BD173" i="4"/>
  <c r="BD161" i="4"/>
  <c r="BD175" i="4"/>
  <c r="BD174" i="4"/>
  <c r="BD231" i="4"/>
  <c r="BD162" i="4"/>
  <c r="BD166" i="4"/>
  <c r="BD176" i="4"/>
  <c r="BD206" i="4"/>
  <c r="BD168" i="4"/>
  <c r="BD257" i="4"/>
  <c r="BD211" i="4"/>
  <c r="BD210" i="4"/>
  <c r="BE85" i="4"/>
  <c r="BB260" i="4"/>
  <c r="BC265" i="4"/>
  <c r="BC163" i="4"/>
  <c r="BC270" i="4"/>
  <c r="BC284" i="4" s="1"/>
  <c r="BC235" i="4"/>
  <c r="BA33" i="66"/>
  <c r="BA32" i="66" s="1"/>
  <c r="BA1291" i="4"/>
  <c r="BA1118" i="4"/>
  <c r="BA65" i="62"/>
  <c r="BA81" i="11"/>
  <c r="BA82" i="11" s="1"/>
  <c r="BA1387" i="4" s="1"/>
  <c r="BA1318" i="4"/>
  <c r="BE943" i="4"/>
  <c r="BE941" i="4"/>
  <c r="BE940" i="4"/>
  <c r="BE942" i="4"/>
  <c r="BC212" i="4"/>
  <c r="BC268" i="4"/>
  <c r="BC282" i="4" s="1"/>
  <c r="BC266" i="4"/>
  <c r="BC280" i="4" s="1"/>
  <c r="BC170" i="4"/>
  <c r="BE746" i="4"/>
  <c r="BE754" i="4"/>
  <c r="BX737" i="4"/>
  <c r="BZ331" i="3"/>
  <c r="BZ220" i="4" s="1"/>
  <c r="BZ225" i="4" s="1"/>
  <c r="BZ226" i="4" s="1"/>
  <c r="BZ16" i="4"/>
  <c r="BY15" i="66"/>
  <c r="BY1036" i="4"/>
  <c r="BY540" i="4"/>
  <c r="BY542" i="4" s="1"/>
  <c r="BX736" i="4"/>
  <c r="BY37" i="4"/>
  <c r="BY44" i="4" s="1"/>
  <c r="BY51" i="4" s="1"/>
  <c r="BY250" i="4"/>
  <c r="BZ330" i="3"/>
  <c r="BZ219" i="4" s="1"/>
  <c r="BZ224" i="4" s="1"/>
  <c r="BZ301" i="3"/>
  <c r="BZ188" i="4" s="1"/>
  <c r="BZ197" i="4" s="1"/>
  <c r="BY54" i="4"/>
  <c r="BY55" i="4" s="1"/>
  <c r="BZ185" i="3"/>
  <c r="BZ122" i="4" s="1"/>
  <c r="BZ127" i="4" s="1"/>
  <c r="BZ298" i="3"/>
  <c r="BZ185" i="4" s="1"/>
  <c r="BZ194" i="4" s="1"/>
  <c r="BZ300" i="3"/>
  <c r="BZ187" i="4" s="1"/>
  <c r="BZ196" i="4" s="1"/>
  <c r="BZ296" i="3"/>
  <c r="BZ183" i="4" s="1"/>
  <c r="BZ218" i="3"/>
  <c r="BZ135" i="4" s="1"/>
  <c r="BZ140" i="4" s="1"/>
  <c r="BZ141" i="4" s="1"/>
  <c r="BZ242" i="3"/>
  <c r="BZ299" i="3"/>
  <c r="BZ186" i="4" s="1"/>
  <c r="BZ195" i="4" s="1"/>
  <c r="BZ329" i="3"/>
  <c r="BZ218" i="4" s="1"/>
  <c r="BZ314" i="4"/>
  <c r="BZ1243" i="4" s="1"/>
  <c r="BZ184" i="3"/>
  <c r="BZ121" i="4" s="1"/>
  <c r="BZ356" i="3"/>
  <c r="BZ242" i="4" s="1"/>
  <c r="BZ247" i="4" s="1"/>
  <c r="BZ186" i="3"/>
  <c r="BZ123" i="4" s="1"/>
  <c r="BZ128" i="4" s="1"/>
  <c r="BZ129" i="4" s="1"/>
  <c r="BZ240" i="3"/>
  <c r="BZ297" i="3"/>
  <c r="BZ355" i="3"/>
  <c r="BZ241" i="4" s="1"/>
  <c r="BZ1447" i="4"/>
  <c r="BZ216" i="3"/>
  <c r="BZ133" i="4" s="1"/>
  <c r="BZ357" i="3"/>
  <c r="BZ243" i="4" s="1"/>
  <c r="BZ248" i="4" s="1"/>
  <c r="BZ249" i="4" s="1"/>
  <c r="BZ217" i="3"/>
  <c r="BZ134" i="4" s="1"/>
  <c r="BZ139" i="4" s="1"/>
  <c r="BZ241" i="3"/>
  <c r="BZ146" i="4" s="1"/>
  <c r="BZ151" i="4" s="1"/>
  <c r="BY199" i="4"/>
  <c r="BY200" i="4" s="1"/>
  <c r="CA7" i="3"/>
  <c r="CA8" i="3" s="1"/>
  <c r="CA16" i="4" s="1"/>
  <c r="BY24" i="4"/>
  <c r="BY88" i="4" s="1"/>
  <c r="BY1260" i="4" s="1"/>
  <c r="BY732" i="4"/>
  <c r="BY714" i="4"/>
  <c r="BY78" i="4"/>
  <c r="BY76" i="4"/>
  <c r="BY77" i="4" s="1"/>
  <c r="BY83" i="4"/>
  <c r="BY84" i="4" s="1"/>
  <c r="BY9" i="62"/>
  <c r="BY9" i="64"/>
  <c r="BY9" i="11"/>
  <c r="BY9" i="66"/>
  <c r="BY9" i="3"/>
  <c r="BY60" i="62"/>
  <c r="BY9" i="4"/>
  <c r="BZ15" i="4"/>
  <c r="BZ6" i="4"/>
  <c r="BY642" i="3"/>
  <c r="BY287" i="4"/>
  <c r="BY324" i="4" s="1"/>
  <c r="BY34" i="66"/>
  <c r="BY22" i="4"/>
  <c r="BZ21" i="4"/>
  <c r="BZ29" i="4"/>
  <c r="BZ30" i="4"/>
  <c r="BZ8" i="11"/>
  <c r="BZ1160" i="4"/>
  <c r="BZ8" i="62"/>
  <c r="BZ8" i="66"/>
  <c r="BZ8" i="64"/>
  <c r="BZ8" i="4"/>
  <c r="BZ28" i="4"/>
  <c r="BZ1156" i="4"/>
  <c r="BZ1409" i="4"/>
  <c r="BZ1184" i="4"/>
  <c r="BZ1158" i="4"/>
  <c r="BZ1159" i="4" s="1"/>
  <c r="BZ1183" i="4"/>
  <c r="BY303" i="4"/>
  <c r="BZ82" i="4" l="1"/>
  <c r="BZ75" i="4"/>
  <c r="BE956" i="4"/>
  <c r="BD271" i="4"/>
  <c r="BD285" i="4" s="1"/>
  <c r="BD258" i="4"/>
  <c r="BD177" i="4"/>
  <c r="BD267" i="4"/>
  <c r="BD281" i="4" s="1"/>
  <c r="BD265" i="4"/>
  <c r="BD163" i="4"/>
  <c r="BC276" i="4"/>
  <c r="BC334" i="4"/>
  <c r="BC1037" i="4" s="1"/>
  <c r="BC279" i="4"/>
  <c r="BC289" i="4" s="1"/>
  <c r="BB33" i="66"/>
  <c r="BB32" i="66" s="1"/>
  <c r="BB65" i="62"/>
  <c r="BB81" i="11"/>
  <c r="BB82" i="11" s="1"/>
  <c r="BB1387" i="4" s="1"/>
  <c r="BB1318" i="4"/>
  <c r="BB1291" i="4"/>
  <c r="BB1118" i="4"/>
  <c r="BD170" i="4"/>
  <c r="BD266" i="4"/>
  <c r="BD280" i="4" s="1"/>
  <c r="BF746" i="4"/>
  <c r="BD212" i="4"/>
  <c r="BD268" i="4"/>
  <c r="BD282" i="4" s="1"/>
  <c r="BD270" i="4"/>
  <c r="BD284" i="4" s="1"/>
  <c r="BD235" i="4"/>
  <c r="BF754" i="4"/>
  <c r="BG1109" i="4"/>
  <c r="BG1110" i="4" s="1"/>
  <c r="BG1111" i="4" s="1"/>
  <c r="BG985" i="4" s="1"/>
  <c r="BH79" i="4"/>
  <c r="BG939" i="4"/>
  <c r="BG952" i="4"/>
  <c r="BG951" i="4"/>
  <c r="BG895" i="4"/>
  <c r="BG973" i="4" s="1"/>
  <c r="BG296" i="4" s="1"/>
  <c r="BG954" i="4"/>
  <c r="BG937" i="4"/>
  <c r="BG936" i="4"/>
  <c r="BG946" i="4"/>
  <c r="BG947" i="4"/>
  <c r="BG938" i="4"/>
  <c r="BG953" i="4"/>
  <c r="BG955" i="4"/>
  <c r="BG948" i="4"/>
  <c r="BG744" i="4"/>
  <c r="BG743" i="4"/>
  <c r="BG745" i="4"/>
  <c r="BF85" i="4"/>
  <c r="BE254" i="4"/>
  <c r="BE169" i="4"/>
  <c r="BE234" i="4"/>
  <c r="BE233" i="4"/>
  <c r="BE166" i="4"/>
  <c r="BE160" i="4"/>
  <c r="BE232" i="4"/>
  <c r="BE207" i="4"/>
  <c r="BE269" i="4" s="1"/>
  <c r="BE283" i="4" s="1"/>
  <c r="BE159" i="4"/>
  <c r="BE211" i="4"/>
  <c r="BE231" i="4"/>
  <c r="BE208" i="4"/>
  <c r="BE209" i="4"/>
  <c r="BE210" i="4"/>
  <c r="BE162" i="4"/>
  <c r="BE176" i="4"/>
  <c r="BE168" i="4"/>
  <c r="BE206" i="4"/>
  <c r="BE205" i="4"/>
  <c r="BE255" i="4"/>
  <c r="BE167" i="4"/>
  <c r="BE173" i="4"/>
  <c r="BE256" i="4"/>
  <c r="BE175" i="4"/>
  <c r="BE204" i="4"/>
  <c r="BE161" i="4"/>
  <c r="BE174" i="4"/>
  <c r="BE257" i="4"/>
  <c r="BC260" i="4"/>
  <c r="BF942" i="4"/>
  <c r="BF940" i="4"/>
  <c r="BF941" i="4"/>
  <c r="BF943" i="4"/>
  <c r="CA7" i="4"/>
  <c r="CA15" i="4" s="1"/>
  <c r="CA7" i="11"/>
  <c r="CA6" i="11" s="1"/>
  <c r="BX738" i="4"/>
  <c r="BX739" i="4" s="1"/>
  <c r="CA7" i="62"/>
  <c r="CA6" i="62" s="1"/>
  <c r="CA6" i="3"/>
  <c r="CA7" i="66"/>
  <c r="CA6" i="66" s="1"/>
  <c r="CA86" i="64"/>
  <c r="CA87" i="64" s="1"/>
  <c r="BY1173" i="4"/>
  <c r="BY1177" i="4" s="1"/>
  <c r="BY1494" i="4" s="1"/>
  <c r="CA7" i="64"/>
  <c r="CA6" i="64" s="1"/>
  <c r="CA28" i="64" s="1"/>
  <c r="CA30" i="64" s="1"/>
  <c r="CA53" i="64" s="1"/>
  <c r="BY53" i="62"/>
  <c r="BY65" i="4"/>
  <c r="BZ273" i="4"/>
  <c r="BZ274" i="4"/>
  <c r="BZ335" i="4" s="1"/>
  <c r="BZ1242" i="4"/>
  <c r="BZ15" i="66" s="1"/>
  <c r="BZ275" i="4"/>
  <c r="BZ288" i="4" s="1"/>
  <c r="BZ329" i="4" s="1"/>
  <c r="BZ414" i="4" s="1"/>
  <c r="BZ415" i="4" s="1"/>
  <c r="CA413" i="4" s="1"/>
  <c r="BX56" i="4"/>
  <c r="CA330" i="3"/>
  <c r="CA219" i="4" s="1"/>
  <c r="CA224" i="4" s="1"/>
  <c r="CA301" i="3"/>
  <c r="CA188" i="4" s="1"/>
  <c r="CA197" i="4" s="1"/>
  <c r="BZ58" i="4"/>
  <c r="CA299" i="3"/>
  <c r="CA186" i="4" s="1"/>
  <c r="CA195" i="4" s="1"/>
  <c r="CA297" i="3"/>
  <c r="CA184" i="4" s="1"/>
  <c r="CA193" i="4" s="1"/>
  <c r="CA240" i="3"/>
  <c r="CA145" i="4" s="1"/>
  <c r="BY722" i="4"/>
  <c r="BY718" i="4"/>
  <c r="BY717" i="4"/>
  <c r="BY721" i="4"/>
  <c r="CA242" i="3"/>
  <c r="CA147" i="4" s="1"/>
  <c r="CA152" i="4" s="1"/>
  <c r="BZ184" i="4"/>
  <c r="BZ193" i="4" s="1"/>
  <c r="BZ147" i="4"/>
  <c r="BZ152" i="4" s="1"/>
  <c r="CA241" i="3"/>
  <c r="CA186" i="3"/>
  <c r="CA123" i="4" s="1"/>
  <c r="CA128" i="4" s="1"/>
  <c r="CA129" i="4" s="1"/>
  <c r="CA218" i="3"/>
  <c r="CA135" i="4" s="1"/>
  <c r="CA140" i="4" s="1"/>
  <c r="CA141" i="4" s="1"/>
  <c r="CA217" i="3"/>
  <c r="CA134" i="4" s="1"/>
  <c r="CA139" i="4" s="1"/>
  <c r="CA356" i="3"/>
  <c r="CA242" i="4" s="1"/>
  <c r="CA247" i="4" s="1"/>
  <c r="CA296" i="3"/>
  <c r="CA183" i="4" s="1"/>
  <c r="CA357" i="3"/>
  <c r="CA243" i="4" s="1"/>
  <c r="CA248" i="4" s="1"/>
  <c r="CA249" i="4" s="1"/>
  <c r="CA184" i="3"/>
  <c r="CA121" i="4" s="1"/>
  <c r="CA300" i="3"/>
  <c r="CA187" i="4" s="1"/>
  <c r="CA196" i="4" s="1"/>
  <c r="CA216" i="3"/>
  <c r="CA133" i="4" s="1"/>
  <c r="CA298" i="3"/>
  <c r="CA185" i="4" s="1"/>
  <c r="CA194" i="4" s="1"/>
  <c r="BZ145" i="4"/>
  <c r="BZ150" i="4" s="1"/>
  <c r="CA1447" i="4"/>
  <c r="CA331" i="3"/>
  <c r="CA185" i="3"/>
  <c r="CA122" i="4" s="1"/>
  <c r="CA127" i="4" s="1"/>
  <c r="CA355" i="3"/>
  <c r="CA241" i="4" s="1"/>
  <c r="CA329" i="3"/>
  <c r="CA218" i="4" s="1"/>
  <c r="BZ1129" i="4"/>
  <c r="BY53" i="4"/>
  <c r="BZ57" i="4"/>
  <c r="BZ67" i="4"/>
  <c r="BZ1042" i="4" s="1"/>
  <c r="BZ529" i="4"/>
  <c r="BZ1157" i="4"/>
  <c r="BZ33" i="4"/>
  <c r="BZ40" i="4" s="1"/>
  <c r="BZ47" i="4" s="1"/>
  <c r="BZ138" i="4"/>
  <c r="BZ126" i="4"/>
  <c r="BZ32" i="4"/>
  <c r="BZ39" i="4" s="1"/>
  <c r="BZ46" i="4" s="1"/>
  <c r="BZ223" i="4"/>
  <c r="BZ36" i="4"/>
  <c r="BZ43" i="4" s="1"/>
  <c r="BZ50" i="4" s="1"/>
  <c r="BZ713" i="4" s="1"/>
  <c r="BZ198" i="4"/>
  <c r="CA30" i="4"/>
  <c r="CA1160" i="4"/>
  <c r="CA1184" i="4"/>
  <c r="CA1158" i="4"/>
  <c r="CA1159" i="4" s="1"/>
  <c r="CA1409" i="4"/>
  <c r="CA8" i="62"/>
  <c r="CA314" i="4"/>
  <c r="CB7" i="3"/>
  <c r="CA8" i="64"/>
  <c r="CA8" i="66"/>
  <c r="CA1183" i="4"/>
  <c r="CA8" i="4"/>
  <c r="CA1156" i="4"/>
  <c r="CA29" i="4"/>
  <c r="CA8" i="11"/>
  <c r="CA28" i="4"/>
  <c r="BZ824" i="4"/>
  <c r="BZ543" i="4"/>
  <c r="BZ530" i="4"/>
  <c r="BZ62" i="4"/>
  <c r="BZ528" i="4" s="1"/>
  <c r="BY63" i="4"/>
  <c r="BY1389" i="4" s="1"/>
  <c r="BZ70" i="4"/>
  <c r="BZ54" i="11"/>
  <c r="BZ17" i="4"/>
  <c r="BZ19" i="4"/>
  <c r="BZ20" i="4" s="1"/>
  <c r="BZ192" i="4"/>
  <c r="BY690" i="4"/>
  <c r="BY544" i="4"/>
  <c r="BZ54" i="62"/>
  <c r="BZ246" i="4"/>
  <c r="BZ37" i="4"/>
  <c r="BZ44" i="4" s="1"/>
  <c r="BZ51" i="4" s="1"/>
  <c r="BZ60" i="4"/>
  <c r="BZ1263" i="4"/>
  <c r="BZ1151" i="4"/>
  <c r="BZ27" i="66"/>
  <c r="BZ28" i="66"/>
  <c r="BZ295" i="4"/>
  <c r="BZ303" i="4" s="1"/>
  <c r="BY61" i="4"/>
  <c r="BY318" i="4" s="1"/>
  <c r="BY328" i="4" s="1"/>
  <c r="BZ66" i="4"/>
  <c r="BZ18" i="4"/>
  <c r="CA6" i="4"/>
  <c r="BZ68" i="4"/>
  <c r="BY1041" i="4"/>
  <c r="BY688" i="4"/>
  <c r="CA75" i="4" l="1"/>
  <c r="CA82" i="4"/>
  <c r="CA54" i="62"/>
  <c r="BD260" i="4"/>
  <c r="BD1118" i="4" s="1"/>
  <c r="BG754" i="4"/>
  <c r="BF956" i="4"/>
  <c r="BD276" i="4"/>
  <c r="BD334" i="4"/>
  <c r="BD1037" i="4" s="1"/>
  <c r="BD279" i="4"/>
  <c r="BD289" i="4" s="1"/>
  <c r="BG746" i="4"/>
  <c r="BE170" i="4"/>
  <c r="BE266" i="4"/>
  <c r="BE280" i="4" s="1"/>
  <c r="BE235" i="4"/>
  <c r="BE270" i="4"/>
  <c r="BE284" i="4" s="1"/>
  <c r="BG943" i="4"/>
  <c r="BG941" i="4"/>
  <c r="BG942" i="4"/>
  <c r="BG940" i="4"/>
  <c r="BH1109" i="4"/>
  <c r="BH1110" i="4" s="1"/>
  <c r="BH1111" i="4" s="1"/>
  <c r="BH985" i="4" s="1"/>
  <c r="BH895" i="4"/>
  <c r="BH973" i="4" s="1"/>
  <c r="BH296" i="4" s="1"/>
  <c r="BH955" i="4"/>
  <c r="BH953" i="4"/>
  <c r="BH951" i="4"/>
  <c r="BH948" i="4"/>
  <c r="BH938" i="4"/>
  <c r="BH937" i="4"/>
  <c r="BH954" i="4"/>
  <c r="BH939" i="4"/>
  <c r="BH947" i="4"/>
  <c r="BH952" i="4"/>
  <c r="BH936" i="4"/>
  <c r="BH946" i="4"/>
  <c r="BI79" i="4"/>
  <c r="BH744" i="4"/>
  <c r="BH743" i="4"/>
  <c r="BH745" i="4"/>
  <c r="BE268" i="4"/>
  <c r="BE282" i="4" s="1"/>
  <c r="BE212" i="4"/>
  <c r="BF175" i="4"/>
  <c r="BF254" i="4"/>
  <c r="BF206" i="4"/>
  <c r="BF167" i="4"/>
  <c r="BF174" i="4"/>
  <c r="BF161" i="4"/>
  <c r="BF255" i="4"/>
  <c r="BF257" i="4"/>
  <c r="BF232" i="4"/>
  <c r="BF210" i="4"/>
  <c r="BF159" i="4"/>
  <c r="BF168" i="4"/>
  <c r="BF256" i="4"/>
  <c r="BF205" i="4"/>
  <c r="BF207" i="4"/>
  <c r="BF269" i="4" s="1"/>
  <c r="BF283" i="4" s="1"/>
  <c r="BF231" i="4"/>
  <c r="BF209" i="4"/>
  <c r="BG85" i="4"/>
  <c r="BF233" i="4"/>
  <c r="BF160" i="4"/>
  <c r="BF208" i="4"/>
  <c r="BF176" i="4"/>
  <c r="BF173" i="4"/>
  <c r="BF234" i="4"/>
  <c r="BF204" i="4"/>
  <c r="BF169" i="4"/>
  <c r="BF166" i="4"/>
  <c r="BF162" i="4"/>
  <c r="BF211" i="4"/>
  <c r="BE265" i="4"/>
  <c r="BE163" i="4"/>
  <c r="BE271" i="4"/>
  <c r="BE285" i="4" s="1"/>
  <c r="BE258" i="4"/>
  <c r="BC81" i="11"/>
  <c r="BC82" i="11" s="1"/>
  <c r="BC1387" i="4" s="1"/>
  <c r="BC1118" i="4"/>
  <c r="BC1291" i="4"/>
  <c r="BC33" i="66"/>
  <c r="BC32" i="66" s="1"/>
  <c r="BC1318" i="4"/>
  <c r="BC65" i="62"/>
  <c r="BE267" i="4"/>
  <c r="BE281" i="4" s="1"/>
  <c r="BE177" i="4"/>
  <c r="BZ1036" i="4"/>
  <c r="BZ642" i="3"/>
  <c r="BZ1041" i="4" s="1"/>
  <c r="BZ34" i="66"/>
  <c r="BZ153" i="4"/>
  <c r="BZ154" i="4" s="1"/>
  <c r="BZ35" i="4"/>
  <c r="BZ42" i="4" s="1"/>
  <c r="BZ49" i="4" s="1"/>
  <c r="BZ287" i="4"/>
  <c r="BZ324" i="4" s="1"/>
  <c r="BY737" i="4"/>
  <c r="BZ34" i="4"/>
  <c r="BZ41" i="4" s="1"/>
  <c r="BZ48" i="4" s="1"/>
  <c r="BZ54" i="4"/>
  <c r="BZ53" i="62" s="1"/>
  <c r="BY736" i="4"/>
  <c r="CA58" i="4"/>
  <c r="CA220" i="4"/>
  <c r="CA225" i="4" s="1"/>
  <c r="CA226" i="4" s="1"/>
  <c r="CA146" i="4"/>
  <c r="CA151" i="4" s="1"/>
  <c r="BZ78" i="4"/>
  <c r="CA57" i="4"/>
  <c r="BZ53" i="4"/>
  <c r="CA1129" i="4"/>
  <c r="CA66" i="4"/>
  <c r="CA67" i="4"/>
  <c r="CA1042" i="4" s="1"/>
  <c r="BZ24" i="4"/>
  <c r="BZ88" i="4" s="1"/>
  <c r="BZ1260" i="4" s="1"/>
  <c r="BZ540" i="4"/>
  <c r="BZ542" i="4" s="1"/>
  <c r="CA150" i="4"/>
  <c r="CA19" i="4"/>
  <c r="CA20" i="4" s="1"/>
  <c r="CA17" i="4"/>
  <c r="CA273" i="4"/>
  <c r="CA1243" i="4"/>
  <c r="CA275" i="4"/>
  <c r="CA288" i="4" s="1"/>
  <c r="CA329" i="4" s="1"/>
  <c r="CA414" i="4" s="1"/>
  <c r="CA415" i="4" s="1"/>
  <c r="CB413" i="4" s="1"/>
  <c r="CA274" i="4"/>
  <c r="CA335" i="4" s="1"/>
  <c r="CA1242" i="4"/>
  <c r="BZ9" i="66"/>
  <c r="BZ60" i="62"/>
  <c r="BZ250" i="4"/>
  <c r="BZ61" i="4"/>
  <c r="BZ318" i="4" s="1"/>
  <c r="BZ328" i="4" s="1"/>
  <c r="CA1263" i="4"/>
  <c r="CA1151" i="4"/>
  <c r="CA60" i="4"/>
  <c r="CA28" i="66"/>
  <c r="CA295" i="4"/>
  <c r="CA303" i="4" s="1"/>
  <c r="CA27" i="66"/>
  <c r="CA192" i="4"/>
  <c r="CA35" i="4"/>
  <c r="BZ76" i="4"/>
  <c r="BZ77" i="4" s="1"/>
  <c r="BZ9" i="3"/>
  <c r="CA198" i="4"/>
  <c r="BZ83" i="4"/>
  <c r="BZ84" i="4" s="1"/>
  <c r="BZ9" i="11"/>
  <c r="CA223" i="4"/>
  <c r="BZ142" i="4"/>
  <c r="BZ9" i="4"/>
  <c r="CA1157" i="4"/>
  <c r="BZ732" i="4"/>
  <c r="BZ714" i="4"/>
  <c r="BZ731" i="4"/>
  <c r="CB86" i="64"/>
  <c r="CB87" i="64" s="1"/>
  <c r="CB7" i="62"/>
  <c r="CB6" i="62" s="1"/>
  <c r="CB6" i="3"/>
  <c r="CB7" i="66"/>
  <c r="CB6" i="66" s="1"/>
  <c r="CB8" i="3"/>
  <c r="CB7" i="11"/>
  <c r="CB6" i="11" s="1"/>
  <c r="CB7" i="4"/>
  <c r="CB7" i="64"/>
  <c r="CB6" i="64" s="1"/>
  <c r="CB28" i="64" s="1"/>
  <c r="CB30" i="64" s="1"/>
  <c r="CB53" i="64" s="1"/>
  <c r="CA33" i="4"/>
  <c r="CA40" i="4" s="1"/>
  <c r="CA47" i="4" s="1"/>
  <c r="CA138" i="4"/>
  <c r="CA529" i="4"/>
  <c r="CA543" i="4"/>
  <c r="CA530" i="4"/>
  <c r="CA62" i="4"/>
  <c r="CA528" i="4" s="1"/>
  <c r="CA70" i="4"/>
  <c r="BZ63" i="4"/>
  <c r="BZ1389" i="4" s="1"/>
  <c r="CA54" i="11"/>
  <c r="CA824" i="4"/>
  <c r="BZ227" i="4"/>
  <c r="CA68" i="4"/>
  <c r="BZ9" i="64"/>
  <c r="BZ199" i="4"/>
  <c r="CA246" i="4"/>
  <c r="CA250" i="4" s="1"/>
  <c r="CA37" i="4"/>
  <c r="CA44" i="4" s="1"/>
  <c r="CA51" i="4" s="1"/>
  <c r="CA18" i="4"/>
  <c r="BZ9" i="62"/>
  <c r="BZ22" i="4"/>
  <c r="CA21" i="4"/>
  <c r="CA126" i="4"/>
  <c r="CA32" i="4"/>
  <c r="CA39" i="4" s="1"/>
  <c r="CA46" i="4" s="1"/>
  <c r="BZ130" i="4"/>
  <c r="BZ688" i="4" l="1"/>
  <c r="BD1291" i="4"/>
  <c r="BD81" i="11"/>
  <c r="BD82" i="11" s="1"/>
  <c r="BD1387" i="4" s="1"/>
  <c r="BD33" i="66"/>
  <c r="BD32" i="66" s="1"/>
  <c r="BD1318" i="4"/>
  <c r="BD65" i="62"/>
  <c r="BG956" i="4"/>
  <c r="BF270" i="4"/>
  <c r="BF284" i="4" s="1"/>
  <c r="BF235" i="4"/>
  <c r="BF267" i="4"/>
  <c r="BF281" i="4" s="1"/>
  <c r="BF177" i="4"/>
  <c r="BH754" i="4"/>
  <c r="BH746" i="4"/>
  <c r="BF212" i="4"/>
  <c r="BI1109" i="4"/>
  <c r="BI1110" i="4" s="1"/>
  <c r="BI1111" i="4" s="1"/>
  <c r="BI985" i="4" s="1"/>
  <c r="BI947" i="4"/>
  <c r="BI938" i="4"/>
  <c r="BJ79" i="4"/>
  <c r="BI937" i="4"/>
  <c r="BI939" i="4"/>
  <c r="BI936" i="4"/>
  <c r="BI953" i="4"/>
  <c r="BI895" i="4"/>
  <c r="BI973" i="4" s="1"/>
  <c r="BI296" i="4" s="1"/>
  <c r="BI954" i="4"/>
  <c r="BI948" i="4"/>
  <c r="BI946" i="4"/>
  <c r="BI952" i="4"/>
  <c r="BI955" i="4"/>
  <c r="BI951" i="4"/>
  <c r="BI744" i="4"/>
  <c r="BI743" i="4"/>
  <c r="BI745" i="4"/>
  <c r="BE260" i="4"/>
  <c r="BF266" i="4"/>
  <c r="BF280" i="4" s="1"/>
  <c r="BF170" i="4"/>
  <c r="BF265" i="4"/>
  <c r="BF163" i="4"/>
  <c r="BE334" i="4"/>
  <c r="BE1037" i="4" s="1"/>
  <c r="BE276" i="4"/>
  <c r="BE279" i="4"/>
  <c r="BE289" i="4" s="1"/>
  <c r="BG204" i="4"/>
  <c r="BG168" i="4"/>
  <c r="BG169" i="4"/>
  <c r="BG159" i="4"/>
  <c r="BG233" i="4"/>
  <c r="BG208" i="4"/>
  <c r="BG176" i="4"/>
  <c r="BH85" i="4"/>
  <c r="BG162" i="4"/>
  <c r="BG231" i="4"/>
  <c r="BG174" i="4"/>
  <c r="BG211" i="4"/>
  <c r="BG255" i="4"/>
  <c r="BG167" i="4"/>
  <c r="BG205" i="4"/>
  <c r="BG254" i="4"/>
  <c r="BG256" i="4"/>
  <c r="BG173" i="4"/>
  <c r="BG175" i="4"/>
  <c r="BG207" i="4"/>
  <c r="BG269" i="4" s="1"/>
  <c r="BG283" i="4" s="1"/>
  <c r="BG234" i="4"/>
  <c r="BG206" i="4"/>
  <c r="BG160" i="4"/>
  <c r="BG257" i="4"/>
  <c r="BG161" i="4"/>
  <c r="BG166" i="4"/>
  <c r="BG232" i="4"/>
  <c r="BG209" i="4"/>
  <c r="BG210" i="4"/>
  <c r="BF271" i="4"/>
  <c r="BF285" i="4" s="1"/>
  <c r="BF258" i="4"/>
  <c r="BF268" i="4"/>
  <c r="BF282" i="4" s="1"/>
  <c r="BH940" i="4"/>
  <c r="BH942" i="4"/>
  <c r="BH941" i="4"/>
  <c r="BH943" i="4"/>
  <c r="CA540" i="4"/>
  <c r="CA542" i="4" s="1"/>
  <c r="BZ1173" i="4"/>
  <c r="BZ1177" i="4" s="1"/>
  <c r="BZ1494" i="4" s="1"/>
  <c r="CB217" i="3"/>
  <c r="CB134" i="4" s="1"/>
  <c r="CB139" i="4" s="1"/>
  <c r="CB16" i="4"/>
  <c r="BY738" i="4"/>
  <c r="CA42" i="4"/>
  <c r="CA49" i="4" s="1"/>
  <c r="CA15" i="66"/>
  <c r="CA1036" i="4"/>
  <c r="CA36" i="4"/>
  <c r="CA43" i="4" s="1"/>
  <c r="CA50" i="4" s="1"/>
  <c r="CA713" i="4" s="1"/>
  <c r="CA731" i="4" s="1"/>
  <c r="CA227" i="4"/>
  <c r="BZ65" i="4"/>
  <c r="CA34" i="4"/>
  <c r="CA41" i="4" s="1"/>
  <c r="CA48" i="4" s="1"/>
  <c r="BZ55" i="4"/>
  <c r="BY56" i="4"/>
  <c r="CB1447" i="4"/>
  <c r="CB301" i="3"/>
  <c r="CB188" i="4" s="1"/>
  <c r="CB197" i="4" s="1"/>
  <c r="CB241" i="3"/>
  <c r="CB146" i="4" s="1"/>
  <c r="CB151" i="4" s="1"/>
  <c r="BZ721" i="4"/>
  <c r="BZ718" i="4"/>
  <c r="BZ717" i="4"/>
  <c r="BZ722" i="4"/>
  <c r="CA54" i="4"/>
  <c r="BZ56" i="4" s="1"/>
  <c r="CB216" i="3"/>
  <c r="CB133" i="4" s="1"/>
  <c r="CB357" i="3"/>
  <c r="CB329" i="3"/>
  <c r="CB242" i="3"/>
  <c r="CB147" i="4" s="1"/>
  <c r="CB152" i="4" s="1"/>
  <c r="CB300" i="3"/>
  <c r="CB187" i="4" s="1"/>
  <c r="CB196" i="4" s="1"/>
  <c r="CB218" i="3"/>
  <c r="CB135" i="4" s="1"/>
  <c r="CB140" i="4" s="1"/>
  <c r="CB141" i="4" s="1"/>
  <c r="CB356" i="3"/>
  <c r="CB185" i="3"/>
  <c r="CB122" i="4" s="1"/>
  <c r="CB127" i="4" s="1"/>
  <c r="CB355" i="3"/>
  <c r="CB241" i="4" s="1"/>
  <c r="CB298" i="3"/>
  <c r="CB185" i="4" s="1"/>
  <c r="CB194" i="4" s="1"/>
  <c r="CB184" i="3"/>
  <c r="CB121" i="4" s="1"/>
  <c r="CB296" i="3"/>
  <c r="CB183" i="4" s="1"/>
  <c r="CB330" i="3"/>
  <c r="CB219" i="4" s="1"/>
  <c r="CB224" i="4" s="1"/>
  <c r="CB299" i="3"/>
  <c r="CB186" i="4" s="1"/>
  <c r="CB195" i="4" s="1"/>
  <c r="CB297" i="3"/>
  <c r="CB240" i="3"/>
  <c r="CB145" i="4" s="1"/>
  <c r="CB186" i="3"/>
  <c r="CB123" i="4" s="1"/>
  <c r="CB128" i="4" s="1"/>
  <c r="CB129" i="4" s="1"/>
  <c r="CB331" i="3"/>
  <c r="CB220" i="4" s="1"/>
  <c r="CB225" i="4" s="1"/>
  <c r="CB226" i="4" s="1"/>
  <c r="CA153" i="4"/>
  <c r="CA154" i="4" s="1"/>
  <c r="CA642" i="3"/>
  <c r="CA130" i="4"/>
  <c r="CB15" i="4"/>
  <c r="CB6" i="4"/>
  <c r="BZ544" i="4"/>
  <c r="BZ690" i="4"/>
  <c r="CA287" i="4"/>
  <c r="CA324" i="4" s="1"/>
  <c r="CA34" i="66"/>
  <c r="CC7" i="3"/>
  <c r="CB1160" i="4"/>
  <c r="CB1409" i="4"/>
  <c r="CB8" i="62"/>
  <c r="CB54" i="62" s="1"/>
  <c r="CB1184" i="4"/>
  <c r="CB1158" i="4"/>
  <c r="CB1159" i="4" s="1"/>
  <c r="CB28" i="4"/>
  <c r="CB29" i="4"/>
  <c r="CB1183" i="4"/>
  <c r="CB314" i="4"/>
  <c r="CB8" i="64"/>
  <c r="CB30" i="4"/>
  <c r="CB1156" i="4"/>
  <c r="CB8" i="66"/>
  <c r="CB8" i="4"/>
  <c r="CB8" i="11"/>
  <c r="CA24" i="4"/>
  <c r="CA88" i="4" s="1"/>
  <c r="CA1260" i="4" s="1"/>
  <c r="CA199" i="4"/>
  <c r="CA9" i="66"/>
  <c r="CA9" i="4"/>
  <c r="CA9" i="64"/>
  <c r="CA9" i="3"/>
  <c r="CA9" i="62"/>
  <c r="CA60" i="62"/>
  <c r="CA9" i="11"/>
  <c r="CA22" i="4"/>
  <c r="CB21" i="4"/>
  <c r="CA76" i="4"/>
  <c r="CA77" i="4" s="1"/>
  <c r="CA78" i="4"/>
  <c r="BZ200" i="4"/>
  <c r="CA142" i="4"/>
  <c r="CA83" i="4"/>
  <c r="CA84" i="4" s="1"/>
  <c r="CB82" i="4" l="1"/>
  <c r="CB75" i="4"/>
  <c r="BH956" i="4"/>
  <c r="BE1118" i="4"/>
  <c r="BE1291" i="4"/>
  <c r="BE81" i="11"/>
  <c r="BE82" i="11" s="1"/>
  <c r="BE1387" i="4" s="1"/>
  <c r="BE1318" i="4"/>
  <c r="BE33" i="66"/>
  <c r="BE32" i="66" s="1"/>
  <c r="BE65" i="62"/>
  <c r="BI942" i="4"/>
  <c r="BI940" i="4"/>
  <c r="BI943" i="4"/>
  <c r="BI941" i="4"/>
  <c r="BG163" i="4"/>
  <c r="BG265" i="4"/>
  <c r="BG170" i="4"/>
  <c r="BG266" i="4"/>
  <c r="BG280" i="4" s="1"/>
  <c r="BG177" i="4"/>
  <c r="BG267" i="4"/>
  <c r="BG281" i="4" s="1"/>
  <c r="BG235" i="4"/>
  <c r="BG270" i="4"/>
  <c r="BG284" i="4" s="1"/>
  <c r="BF260" i="4"/>
  <c r="BJ1109" i="4"/>
  <c r="BJ1110" i="4" s="1"/>
  <c r="BJ1111" i="4" s="1"/>
  <c r="BJ985" i="4" s="1"/>
  <c r="BJ955" i="4"/>
  <c r="BJ939" i="4"/>
  <c r="BJ938" i="4"/>
  <c r="BJ952" i="4"/>
  <c r="BK79" i="4"/>
  <c r="BJ953" i="4"/>
  <c r="BJ936" i="4"/>
  <c r="BJ948" i="4"/>
  <c r="BJ937" i="4"/>
  <c r="BJ951" i="4"/>
  <c r="BJ954" i="4"/>
  <c r="BJ946" i="4"/>
  <c r="BJ947" i="4"/>
  <c r="BJ895" i="4"/>
  <c r="BJ973" i="4" s="1"/>
  <c r="BJ296" i="4" s="1"/>
  <c r="BJ743" i="4"/>
  <c r="BJ744" i="4"/>
  <c r="BJ745" i="4"/>
  <c r="BG212" i="4"/>
  <c r="BG268" i="4"/>
  <c r="BG282" i="4" s="1"/>
  <c r="BF334" i="4"/>
  <c r="BF1037" i="4" s="1"/>
  <c r="BF276" i="4"/>
  <c r="BF279" i="4"/>
  <c r="BF289" i="4" s="1"/>
  <c r="BG258" i="4"/>
  <c r="BG271" i="4"/>
  <c r="BG285" i="4" s="1"/>
  <c r="BH159" i="4"/>
  <c r="BH255" i="4"/>
  <c r="BH204" i="4"/>
  <c r="BH208" i="4"/>
  <c r="BH166" i="4"/>
  <c r="BH256" i="4"/>
  <c r="BH169" i="4"/>
  <c r="BH162" i="4"/>
  <c r="BH211" i="4"/>
  <c r="BI85" i="4"/>
  <c r="BH232" i="4"/>
  <c r="BH233" i="4"/>
  <c r="BH206" i="4"/>
  <c r="BH175" i="4"/>
  <c r="BH231" i="4"/>
  <c r="BH160" i="4"/>
  <c r="BH168" i="4"/>
  <c r="BH207" i="4"/>
  <c r="BH269" i="4" s="1"/>
  <c r="BH283" i="4" s="1"/>
  <c r="BH167" i="4"/>
  <c r="BH161" i="4"/>
  <c r="BH176" i="4"/>
  <c r="BH254" i="4"/>
  <c r="BH173" i="4"/>
  <c r="BH174" i="4"/>
  <c r="BH210" i="4"/>
  <c r="BH205" i="4"/>
  <c r="BH209" i="4"/>
  <c r="BH234" i="4"/>
  <c r="BH257" i="4"/>
  <c r="BI746" i="4"/>
  <c r="BI754" i="4"/>
  <c r="BY739" i="4"/>
  <c r="CA1173" i="4"/>
  <c r="CA1177" i="4" s="1"/>
  <c r="CA1494" i="4" s="1"/>
  <c r="CA732" i="4"/>
  <c r="CA714" i="4"/>
  <c r="CA53" i="62"/>
  <c r="CA65" i="4"/>
  <c r="CA55" i="4"/>
  <c r="CB184" i="4"/>
  <c r="CB193" i="4" s="1"/>
  <c r="CB218" i="4"/>
  <c r="CB223" i="4" s="1"/>
  <c r="CB227" i="4" s="1"/>
  <c r="CB242" i="4"/>
  <c r="CB247" i="4" s="1"/>
  <c r="CB243" i="4"/>
  <c r="CB248" i="4" s="1"/>
  <c r="CB249" i="4" s="1"/>
  <c r="CB58" i="4"/>
  <c r="CB57" i="4"/>
  <c r="CB1129" i="4"/>
  <c r="CA53" i="4"/>
  <c r="CA688" i="4"/>
  <c r="CA1041" i="4"/>
  <c r="BZ736" i="4"/>
  <c r="CA544" i="4"/>
  <c r="CA690" i="4"/>
  <c r="BZ737" i="4"/>
  <c r="CB1157" i="4"/>
  <c r="CB62" i="4"/>
  <c r="CB528" i="4" s="1"/>
  <c r="CB543" i="4"/>
  <c r="CB824" i="4"/>
  <c r="CB530" i="4"/>
  <c r="CB67" i="4"/>
  <c r="CB1042" i="4" s="1"/>
  <c r="CB68" i="4"/>
  <c r="CB54" i="11"/>
  <c r="CB529" i="4"/>
  <c r="CA63" i="4"/>
  <c r="CA1389" i="4" s="1"/>
  <c r="CB70" i="4"/>
  <c r="CB275" i="4"/>
  <c r="CB288" i="4" s="1"/>
  <c r="CB329" i="4" s="1"/>
  <c r="CB414" i="4" s="1"/>
  <c r="CB415" i="4" s="1"/>
  <c r="CC413" i="4" s="1"/>
  <c r="CB1242" i="4"/>
  <c r="CB274" i="4"/>
  <c r="CB335" i="4" s="1"/>
  <c r="CB273" i="4"/>
  <c r="CB1243" i="4"/>
  <c r="CB33" i="4"/>
  <c r="CB40" i="4" s="1"/>
  <c r="CB47" i="4" s="1"/>
  <c r="CB138" i="4"/>
  <c r="CB142" i="4" s="1"/>
  <c r="CB150" i="4"/>
  <c r="CB34" i="4"/>
  <c r="CB41" i="4" s="1"/>
  <c r="CB48" i="4" s="1"/>
  <c r="CB246" i="4"/>
  <c r="CA200" i="4"/>
  <c r="CB192" i="4"/>
  <c r="CB198" i="4"/>
  <c r="CB19" i="4"/>
  <c r="CB20" i="4" s="1"/>
  <c r="CB17" i="4"/>
  <c r="CB32" i="4"/>
  <c r="CB39" i="4" s="1"/>
  <c r="CB46" i="4" s="1"/>
  <c r="CB126" i="4"/>
  <c r="CB130" i="4" s="1"/>
  <c r="CB1263" i="4"/>
  <c r="CB66" i="4"/>
  <c r="CB295" i="4"/>
  <c r="CB303" i="4" s="1"/>
  <c r="CB60" i="4"/>
  <c r="CB28" i="66"/>
  <c r="CB1151" i="4"/>
  <c r="CA61" i="4"/>
  <c r="CA318" i="4" s="1"/>
  <c r="CA328" i="4" s="1"/>
  <c r="CB27" i="66"/>
  <c r="CC86" i="64"/>
  <c r="CC87" i="64" s="1"/>
  <c r="CC7" i="11"/>
  <c r="CC6" i="11" s="1"/>
  <c r="CC6" i="3"/>
  <c r="CC7" i="4"/>
  <c r="CC7" i="62"/>
  <c r="CC6" i="62" s="1"/>
  <c r="CC7" i="66"/>
  <c r="CC6" i="66" s="1"/>
  <c r="CC7" i="64"/>
  <c r="CC6" i="64" s="1"/>
  <c r="CC28" i="64" s="1"/>
  <c r="CC30" i="64" s="1"/>
  <c r="CC53" i="64" s="1"/>
  <c r="CC8" i="3"/>
  <c r="CB18" i="4"/>
  <c r="BI956" i="4" l="1"/>
  <c r="BH163" i="4"/>
  <c r="BH265" i="4"/>
  <c r="BJ754" i="4"/>
  <c r="BG260" i="4"/>
  <c r="BI205" i="4"/>
  <c r="BI173" i="4"/>
  <c r="BI174" i="4"/>
  <c r="BI208" i="4"/>
  <c r="BI231" i="4"/>
  <c r="BI175" i="4"/>
  <c r="BI206" i="4"/>
  <c r="BI166" i="4"/>
  <c r="BI168" i="4"/>
  <c r="BI210" i="4"/>
  <c r="BI209" i="4"/>
  <c r="BI167" i="4"/>
  <c r="BI207" i="4"/>
  <c r="BI269" i="4" s="1"/>
  <c r="BI283" i="4" s="1"/>
  <c r="BI204" i="4"/>
  <c r="BI161" i="4"/>
  <c r="BI162" i="4"/>
  <c r="BI169" i="4"/>
  <c r="BI233" i="4"/>
  <c r="BI255" i="4"/>
  <c r="BI254" i="4"/>
  <c r="BI159" i="4"/>
  <c r="BI234" i="4"/>
  <c r="BJ85" i="4"/>
  <c r="BI256" i="4"/>
  <c r="BI160" i="4"/>
  <c r="BI176" i="4"/>
  <c r="BI232" i="4"/>
  <c r="BI257" i="4"/>
  <c r="BI211" i="4"/>
  <c r="BG334" i="4"/>
  <c r="BG1037" i="4" s="1"/>
  <c r="BG276" i="4"/>
  <c r="BG279" i="4"/>
  <c r="BG289" i="4" s="1"/>
  <c r="BH267" i="4"/>
  <c r="BH281" i="4" s="1"/>
  <c r="BH177" i="4"/>
  <c r="BH235" i="4"/>
  <c r="BH270" i="4"/>
  <c r="BH284" i="4" s="1"/>
  <c r="BJ746" i="4"/>
  <c r="BJ942" i="4"/>
  <c r="BJ941" i="4"/>
  <c r="BJ943" i="4"/>
  <c r="BJ940" i="4"/>
  <c r="BH258" i="4"/>
  <c r="BH271" i="4"/>
  <c r="BH285" i="4" s="1"/>
  <c r="BF81" i="11"/>
  <c r="BF82" i="11" s="1"/>
  <c r="BF1387" i="4" s="1"/>
  <c r="BF1118" i="4"/>
  <c r="BF1291" i="4"/>
  <c r="BF1318" i="4"/>
  <c r="BF33" i="66"/>
  <c r="BF32" i="66" s="1"/>
  <c r="BF65" i="62"/>
  <c r="BH266" i="4"/>
  <c r="BH280" i="4" s="1"/>
  <c r="BH170" i="4"/>
  <c r="BK1109" i="4"/>
  <c r="BK1110" i="4" s="1"/>
  <c r="BK1111" i="4" s="1"/>
  <c r="BK985" i="4" s="1"/>
  <c r="BK951" i="4"/>
  <c r="BL79" i="4"/>
  <c r="BK939" i="4"/>
  <c r="BK937" i="4"/>
  <c r="BK954" i="4"/>
  <c r="BK952" i="4"/>
  <c r="BK938" i="4"/>
  <c r="BK946" i="4"/>
  <c r="BK948" i="4"/>
  <c r="BK936" i="4"/>
  <c r="BK895" i="4"/>
  <c r="BK973" i="4" s="1"/>
  <c r="BK296" i="4" s="1"/>
  <c r="BK953" i="4"/>
  <c r="BK947" i="4"/>
  <c r="BK955" i="4"/>
  <c r="BK743" i="4"/>
  <c r="BK744" i="4"/>
  <c r="BK745" i="4"/>
  <c r="BH268" i="4"/>
  <c r="BH282" i="4" s="1"/>
  <c r="BH212" i="4"/>
  <c r="CC216" i="3"/>
  <c r="CC133" i="4" s="1"/>
  <c r="CC16" i="4"/>
  <c r="CB15" i="66"/>
  <c r="CB1036" i="4"/>
  <c r="CA717" i="4"/>
  <c r="CA718" i="4"/>
  <c r="CA722" i="4"/>
  <c r="CA721" i="4"/>
  <c r="CB35" i="4"/>
  <c r="CB42" i="4" s="1"/>
  <c r="CB49" i="4" s="1"/>
  <c r="CB36" i="4"/>
  <c r="CB43" i="4" s="1"/>
  <c r="CB50" i="4" s="1"/>
  <c r="CB713" i="4" s="1"/>
  <c r="CB732" i="4" s="1"/>
  <c r="CC296" i="3"/>
  <c r="CC183" i="4" s="1"/>
  <c r="CC185" i="3"/>
  <c r="CC122" i="4" s="1"/>
  <c r="CC127" i="4" s="1"/>
  <c r="CC301" i="3"/>
  <c r="CC188" i="4" s="1"/>
  <c r="CC197" i="4" s="1"/>
  <c r="CC242" i="3"/>
  <c r="CC147" i="4" s="1"/>
  <c r="CC152" i="4" s="1"/>
  <c r="CC330" i="3"/>
  <c r="CC219" i="4" s="1"/>
  <c r="CC224" i="4" s="1"/>
  <c r="CB54" i="4"/>
  <c r="CA56" i="4" s="1"/>
  <c r="CC218" i="3"/>
  <c r="CC135" i="4" s="1"/>
  <c r="CC140" i="4" s="1"/>
  <c r="CC141" i="4" s="1"/>
  <c r="CC184" i="3"/>
  <c r="CC121" i="4" s="1"/>
  <c r="CC299" i="3"/>
  <c r="CC186" i="4" s="1"/>
  <c r="CC195" i="4" s="1"/>
  <c r="CB37" i="4"/>
  <c r="CB44" i="4" s="1"/>
  <c r="CB51" i="4" s="1"/>
  <c r="CC331" i="3"/>
  <c r="CC355" i="3"/>
  <c r="CC241" i="4" s="1"/>
  <c r="CC356" i="3"/>
  <c r="CC242" i="4" s="1"/>
  <c r="CC247" i="4" s="1"/>
  <c r="CB250" i="4"/>
  <c r="CC329" i="3"/>
  <c r="CC218" i="4" s="1"/>
  <c r="CC298" i="3"/>
  <c r="CC185" i="4" s="1"/>
  <c r="CC194" i="4" s="1"/>
  <c r="CC240" i="3"/>
  <c r="CC1447" i="4"/>
  <c r="CC217" i="3"/>
  <c r="CC134" i="4" s="1"/>
  <c r="CC139" i="4" s="1"/>
  <c r="CC241" i="3"/>
  <c r="CC146" i="4" s="1"/>
  <c r="CC151" i="4" s="1"/>
  <c r="CC186" i="3"/>
  <c r="CC123" i="4" s="1"/>
  <c r="CC128" i="4" s="1"/>
  <c r="CC129" i="4" s="1"/>
  <c r="CC300" i="3"/>
  <c r="CC187" i="4" s="1"/>
  <c r="CC196" i="4" s="1"/>
  <c r="CC357" i="3"/>
  <c r="CC297" i="3"/>
  <c r="CC184" i="4" s="1"/>
  <c r="CC193" i="4" s="1"/>
  <c r="CB153" i="4"/>
  <c r="CB154" i="4" s="1"/>
  <c r="CB9" i="66"/>
  <c r="CB60" i="62"/>
  <c r="CB9" i="62"/>
  <c r="CB9" i="3"/>
  <c r="CB9" i="64"/>
  <c r="CB9" i="4"/>
  <c r="CB9" i="11"/>
  <c r="CB78" i="4"/>
  <c r="CB76" i="4"/>
  <c r="CB77" i="4" s="1"/>
  <c r="CC15" i="4"/>
  <c r="CC6" i="4"/>
  <c r="CB287" i="4"/>
  <c r="CB324" i="4" s="1"/>
  <c r="CB34" i="66"/>
  <c r="CB24" i="4"/>
  <c r="CB88" i="4" s="1"/>
  <c r="CB1260" i="4" s="1"/>
  <c r="CB642" i="3"/>
  <c r="BZ738" i="4"/>
  <c r="CB22" i="4"/>
  <c r="CC21" i="4"/>
  <c r="CB199" i="4"/>
  <c r="CB540" i="4"/>
  <c r="CB542" i="4" s="1"/>
  <c r="CB83" i="4"/>
  <c r="CB84" i="4" s="1"/>
  <c r="CC1160" i="4"/>
  <c r="CC1409" i="4"/>
  <c r="CC1156" i="4"/>
  <c r="CC8" i="66"/>
  <c r="CC1158" i="4"/>
  <c r="CC1159" i="4" s="1"/>
  <c r="CC8" i="11"/>
  <c r="CC8" i="4"/>
  <c r="CC29" i="4"/>
  <c r="CC1184" i="4"/>
  <c r="CC28" i="4"/>
  <c r="CC1183" i="4"/>
  <c r="CC314" i="4"/>
  <c r="CC8" i="64"/>
  <c r="CC30" i="4"/>
  <c r="CC8" i="62"/>
  <c r="CC54" i="62" s="1"/>
  <c r="CD7" i="3"/>
  <c r="CC75" i="4" l="1"/>
  <c r="CC82" i="4"/>
  <c r="BJ956" i="4"/>
  <c r="BI212" i="4"/>
  <c r="BI268" i="4"/>
  <c r="BI282" i="4" s="1"/>
  <c r="BL1109" i="4"/>
  <c r="BL1110" i="4" s="1"/>
  <c r="BL1111" i="4" s="1"/>
  <c r="BL985" i="4" s="1"/>
  <c r="BM79" i="4"/>
  <c r="BL947" i="4"/>
  <c r="BL951" i="4"/>
  <c r="BL936" i="4"/>
  <c r="BL937" i="4"/>
  <c r="BL939" i="4"/>
  <c r="BL952" i="4"/>
  <c r="BL955" i="4"/>
  <c r="BL953" i="4"/>
  <c r="BL948" i="4"/>
  <c r="BL938" i="4"/>
  <c r="BL895" i="4"/>
  <c r="BL973" i="4" s="1"/>
  <c r="BL296" i="4" s="1"/>
  <c r="BL946" i="4"/>
  <c r="BL954" i="4"/>
  <c r="BL743" i="4"/>
  <c r="BL744" i="4"/>
  <c r="BL745" i="4"/>
  <c r="BI265" i="4"/>
  <c r="BI163" i="4"/>
  <c r="BI235" i="4"/>
  <c r="BI270" i="4"/>
  <c r="BI284" i="4" s="1"/>
  <c r="BI271" i="4"/>
  <c r="BI285" i="4" s="1"/>
  <c r="BI258" i="4"/>
  <c r="BH276" i="4"/>
  <c r="BH334" i="4"/>
  <c r="BH1037" i="4" s="1"/>
  <c r="BH279" i="4"/>
  <c r="BH289" i="4" s="1"/>
  <c r="BK746" i="4"/>
  <c r="BK754" i="4"/>
  <c r="BH260" i="4"/>
  <c r="BI267" i="4"/>
  <c r="BI281" i="4" s="1"/>
  <c r="BI177" i="4"/>
  <c r="BK943" i="4"/>
  <c r="BK941" i="4"/>
  <c r="BK940" i="4"/>
  <c r="BK942" i="4"/>
  <c r="BI266" i="4"/>
  <c r="BI280" i="4" s="1"/>
  <c r="BI170" i="4"/>
  <c r="BG1318" i="4"/>
  <c r="BG33" i="66"/>
  <c r="BG32" i="66" s="1"/>
  <c r="BG65" i="62"/>
  <c r="BG1118" i="4"/>
  <c r="BG81" i="11"/>
  <c r="BG82" i="11" s="1"/>
  <c r="BG1387" i="4" s="1"/>
  <c r="BG1291" i="4"/>
  <c r="BJ231" i="4"/>
  <c r="BJ206" i="4"/>
  <c r="BJ173" i="4"/>
  <c r="BJ256" i="4"/>
  <c r="BJ160" i="4"/>
  <c r="BJ211" i="4"/>
  <c r="BJ208" i="4"/>
  <c r="BJ205" i="4"/>
  <c r="BJ169" i="4"/>
  <c r="BJ162" i="4"/>
  <c r="BJ175" i="4"/>
  <c r="BJ233" i="4"/>
  <c r="BJ174" i="4"/>
  <c r="BJ232" i="4"/>
  <c r="BJ210" i="4"/>
  <c r="BJ167" i="4"/>
  <c r="BK85" i="4"/>
  <c r="BJ257" i="4"/>
  <c r="BJ234" i="4"/>
  <c r="BJ254" i="4"/>
  <c r="BJ176" i="4"/>
  <c r="BJ207" i="4"/>
  <c r="BJ269" i="4" s="1"/>
  <c r="BJ209" i="4"/>
  <c r="BJ159" i="4"/>
  <c r="BJ204" i="4"/>
  <c r="BJ161" i="4"/>
  <c r="BJ166" i="4"/>
  <c r="BJ255" i="4"/>
  <c r="BJ168" i="4"/>
  <c r="CB1173" i="4"/>
  <c r="CB1177" i="4" s="1"/>
  <c r="CB1494" i="4" s="1"/>
  <c r="CA736" i="4"/>
  <c r="CB731" i="4"/>
  <c r="CA737" i="4"/>
  <c r="CB714" i="4"/>
  <c r="CB721" i="4" s="1"/>
  <c r="CB65" i="4"/>
  <c r="CB53" i="62"/>
  <c r="CC58" i="4"/>
  <c r="CB55" i="4"/>
  <c r="CC145" i="4"/>
  <c r="CC150" i="4" s="1"/>
  <c r="CC153" i="4" s="1"/>
  <c r="CC243" i="4"/>
  <c r="CC248" i="4" s="1"/>
  <c r="CC249" i="4" s="1"/>
  <c r="CC220" i="4"/>
  <c r="CC225" i="4" s="1"/>
  <c r="CC226" i="4" s="1"/>
  <c r="CC57" i="4"/>
  <c r="CC9" i="4" s="1"/>
  <c r="CC1129" i="4"/>
  <c r="CB53" i="4"/>
  <c r="CC295" i="4"/>
  <c r="CC303" i="4" s="1"/>
  <c r="CC1263" i="4"/>
  <c r="CB61" i="4"/>
  <c r="CB318" i="4" s="1"/>
  <c r="CB328" i="4" s="1"/>
  <c r="CC66" i="4"/>
  <c r="CC27" i="66"/>
  <c r="CC60" i="4"/>
  <c r="CC1151" i="4"/>
  <c r="CC28" i="66"/>
  <c r="CB690" i="4"/>
  <c r="CB544" i="4"/>
  <c r="CB1041" i="4"/>
  <c r="CB688" i="4"/>
  <c r="CC192" i="4"/>
  <c r="CC35" i="4"/>
  <c r="CC42" i="4" s="1"/>
  <c r="CC49" i="4" s="1"/>
  <c r="CC223" i="4"/>
  <c r="CC1157" i="4"/>
  <c r="CB200" i="4"/>
  <c r="CC67" i="4"/>
  <c r="CC1042" i="4" s="1"/>
  <c r="CC529" i="4"/>
  <c r="CC62" i="4"/>
  <c r="CC528" i="4" s="1"/>
  <c r="CC543" i="4"/>
  <c r="CC70" i="4"/>
  <c r="CC824" i="4"/>
  <c r="CC54" i="11"/>
  <c r="CC530" i="4"/>
  <c r="CB63" i="4"/>
  <c r="CB1389" i="4" s="1"/>
  <c r="CC68" i="4"/>
  <c r="CC198" i="4"/>
  <c r="CD86" i="64"/>
  <c r="CD87" i="64" s="1"/>
  <c r="CD7" i="64"/>
  <c r="CD6" i="64" s="1"/>
  <c r="CD28" i="64" s="1"/>
  <c r="CD30" i="64" s="1"/>
  <c r="CD53" i="64" s="1"/>
  <c r="CD7" i="66"/>
  <c r="CD6" i="66" s="1"/>
  <c r="CD7" i="11"/>
  <c r="CD6" i="11" s="1"/>
  <c r="CD6" i="3"/>
  <c r="CD7" i="62"/>
  <c r="CD6" i="62" s="1"/>
  <c r="CD7" i="4"/>
  <c r="CD8" i="3"/>
  <c r="CD16" i="4" s="1"/>
  <c r="CC138" i="4"/>
  <c r="CC33" i="4"/>
  <c r="CC40" i="4" s="1"/>
  <c r="CC47" i="4" s="1"/>
  <c r="CC17" i="4"/>
  <c r="CC19" i="4"/>
  <c r="CC20" i="4" s="1"/>
  <c r="CC32" i="4"/>
  <c r="CC39" i="4" s="1"/>
  <c r="CC46" i="4" s="1"/>
  <c r="CC126" i="4"/>
  <c r="CC130" i="4" s="1"/>
  <c r="CC18" i="4"/>
  <c r="CC273" i="4"/>
  <c r="CC274" i="4"/>
  <c r="CC335" i="4" s="1"/>
  <c r="CC1242" i="4"/>
  <c r="CC1243" i="4"/>
  <c r="CC275" i="4"/>
  <c r="CC288" i="4" s="1"/>
  <c r="CC329" i="4" s="1"/>
  <c r="CC414" i="4" s="1"/>
  <c r="CC415" i="4" s="1"/>
  <c r="CD413" i="4" s="1"/>
  <c r="CC246" i="4"/>
  <c r="BZ739" i="4"/>
  <c r="BK956" i="4" l="1"/>
  <c r="BL746" i="4"/>
  <c r="BJ212" i="4"/>
  <c r="BJ268" i="4"/>
  <c r="BK231" i="4"/>
  <c r="BK257" i="4"/>
  <c r="BK174" i="4"/>
  <c r="BK205" i="4"/>
  <c r="BK161" i="4"/>
  <c r="BK175" i="4"/>
  <c r="BK209" i="4"/>
  <c r="BK204" i="4"/>
  <c r="BK256" i="4"/>
  <c r="BK173" i="4"/>
  <c r="BK167" i="4"/>
  <c r="BK234" i="4"/>
  <c r="BK162" i="4"/>
  <c r="BK210" i="4"/>
  <c r="BK207" i="4"/>
  <c r="BK269" i="4" s="1"/>
  <c r="BK283" i="4" s="1"/>
  <c r="BK176" i="4"/>
  <c r="BK232" i="4"/>
  <c r="BK206" i="4"/>
  <c r="BK208" i="4"/>
  <c r="BK254" i="4"/>
  <c r="BK166" i="4"/>
  <c r="BK169" i="4"/>
  <c r="BK233" i="4"/>
  <c r="BK255" i="4"/>
  <c r="BK160" i="4"/>
  <c r="BL85" i="4"/>
  <c r="BK211" i="4"/>
  <c r="BK168" i="4"/>
  <c r="BK159" i="4"/>
  <c r="BJ270" i="4"/>
  <c r="BJ284" i="4" s="1"/>
  <c r="BJ235" i="4"/>
  <c r="BJ283" i="4"/>
  <c r="BH65" i="62"/>
  <c r="BH1318" i="4"/>
  <c r="BH33" i="66"/>
  <c r="BH32" i="66" s="1"/>
  <c r="BH1291" i="4"/>
  <c r="BH81" i="11"/>
  <c r="BH82" i="11" s="1"/>
  <c r="BH1387" i="4" s="1"/>
  <c r="BH1118" i="4"/>
  <c r="BL942" i="4"/>
  <c r="BL941" i="4"/>
  <c r="BL940" i="4"/>
  <c r="BL943" i="4"/>
  <c r="BJ271" i="4"/>
  <c r="BJ285" i="4" s="1"/>
  <c r="BJ258" i="4"/>
  <c r="BI260" i="4"/>
  <c r="BJ163" i="4"/>
  <c r="BJ265" i="4"/>
  <c r="BJ266" i="4"/>
  <c r="BJ280" i="4" s="1"/>
  <c r="BJ170" i="4"/>
  <c r="BJ177" i="4"/>
  <c r="BJ267" i="4"/>
  <c r="BJ281" i="4" s="1"/>
  <c r="BI334" i="4"/>
  <c r="BI1037" i="4" s="1"/>
  <c r="BI276" i="4"/>
  <c r="BI279" i="4"/>
  <c r="BI289" i="4" s="1"/>
  <c r="BM1109" i="4"/>
  <c r="BM1110" i="4" s="1"/>
  <c r="BM1111" i="4" s="1"/>
  <c r="BM985" i="4" s="1"/>
  <c r="BM953" i="4"/>
  <c r="BM946" i="4"/>
  <c r="BM936" i="4"/>
  <c r="BM952" i="4"/>
  <c r="BM938" i="4"/>
  <c r="BM954" i="4"/>
  <c r="BN79" i="4"/>
  <c r="BM955" i="4"/>
  <c r="BM939" i="4"/>
  <c r="BM947" i="4"/>
  <c r="BM937" i="4"/>
  <c r="BM895" i="4"/>
  <c r="BM973" i="4" s="1"/>
  <c r="BM296" i="4" s="1"/>
  <c r="BM951" i="4"/>
  <c r="BM948" i="4"/>
  <c r="BM743" i="4"/>
  <c r="BM744" i="4"/>
  <c r="BM745" i="4"/>
  <c r="BL754" i="4"/>
  <c r="CB722" i="4"/>
  <c r="CB737" i="4" s="1"/>
  <c r="CB718" i="4"/>
  <c r="CA738" i="4"/>
  <c r="CC15" i="66"/>
  <c r="CB717" i="4"/>
  <c r="CC1036" i="4"/>
  <c r="CC37" i="4"/>
  <c r="CC44" i="4" s="1"/>
  <c r="CC51" i="4" s="1"/>
  <c r="CC9" i="64"/>
  <c r="CC34" i="4"/>
  <c r="CC41" i="4" s="1"/>
  <c r="CC48" i="4" s="1"/>
  <c r="CD240" i="3"/>
  <c r="CD145" i="4" s="1"/>
  <c r="CD301" i="3"/>
  <c r="CD188" i="4" s="1"/>
  <c r="CD197" i="4" s="1"/>
  <c r="CD300" i="3"/>
  <c r="CD187" i="4" s="1"/>
  <c r="CD196" i="4" s="1"/>
  <c r="CD218" i="3"/>
  <c r="CD135" i="4" s="1"/>
  <c r="CD140" i="4" s="1"/>
  <c r="CD141" i="4" s="1"/>
  <c r="CC54" i="4"/>
  <c r="CC55" i="4" s="1"/>
  <c r="CC250" i="4"/>
  <c r="CD357" i="3"/>
  <c r="CD243" i="4" s="1"/>
  <c r="CD248" i="4" s="1"/>
  <c r="CD249" i="4" s="1"/>
  <c r="CC9" i="62"/>
  <c r="CD241" i="3"/>
  <c r="CD185" i="3"/>
  <c r="CD216" i="3"/>
  <c r="CD133" i="4" s="1"/>
  <c r="CD296" i="3"/>
  <c r="CD183" i="4" s="1"/>
  <c r="CD242" i="3"/>
  <c r="CD147" i="4" s="1"/>
  <c r="CD152" i="4" s="1"/>
  <c r="CD330" i="3"/>
  <c r="CD219" i="4" s="1"/>
  <c r="CD224" i="4" s="1"/>
  <c r="CD298" i="3"/>
  <c r="CD185" i="4" s="1"/>
  <c r="CD194" i="4" s="1"/>
  <c r="CD299" i="3"/>
  <c r="CD186" i="4" s="1"/>
  <c r="CD195" i="4" s="1"/>
  <c r="CD186" i="3"/>
  <c r="CD297" i="3"/>
  <c r="CC36" i="4"/>
  <c r="CC43" i="4" s="1"/>
  <c r="CC50" i="4" s="1"/>
  <c r="CC713" i="4" s="1"/>
  <c r="CC731" i="4" s="1"/>
  <c r="CD355" i="3"/>
  <c r="CD241" i="4" s="1"/>
  <c r="CD356" i="3"/>
  <c r="CD242" i="4" s="1"/>
  <c r="CD247" i="4" s="1"/>
  <c r="CD184" i="3"/>
  <c r="CD121" i="4" s="1"/>
  <c r="CC227" i="4"/>
  <c r="CD1447" i="4"/>
  <c r="CD217" i="3"/>
  <c r="CD329" i="3"/>
  <c r="CD218" i="4" s="1"/>
  <c r="CD331" i="3"/>
  <c r="CD220" i="4" s="1"/>
  <c r="CD225" i="4" s="1"/>
  <c r="CD226" i="4" s="1"/>
  <c r="CC199" i="4"/>
  <c r="CC200" i="4" s="1"/>
  <c r="CC540" i="4"/>
  <c r="CC542" i="4" s="1"/>
  <c r="CC34" i="66"/>
  <c r="CC287" i="4"/>
  <c r="CC324" i="4" s="1"/>
  <c r="CC642" i="3"/>
  <c r="CC154" i="4"/>
  <c r="CC83" i="4"/>
  <c r="CC84" i="4" s="1"/>
  <c r="CC22" i="4"/>
  <c r="CD21" i="4"/>
  <c r="CC24" i="4"/>
  <c r="CC88" i="4" s="1"/>
  <c r="CC1260" i="4" s="1"/>
  <c r="CC9" i="66"/>
  <c r="CC9" i="3"/>
  <c r="CC9" i="11"/>
  <c r="CC60" i="62"/>
  <c r="CC142" i="4"/>
  <c r="CD314" i="4"/>
  <c r="CD1160" i="4"/>
  <c r="CD1409" i="4"/>
  <c r="CE7" i="3"/>
  <c r="CD1156" i="4"/>
  <c r="CD1184" i="4"/>
  <c r="CD28" i="4"/>
  <c r="CD29" i="4"/>
  <c r="CD8" i="62"/>
  <c r="CD54" i="62" s="1"/>
  <c r="CD30" i="4"/>
  <c r="CD8" i="4"/>
  <c r="CD1183" i="4"/>
  <c r="CD1158" i="4"/>
  <c r="CD1159" i="4" s="1"/>
  <c r="CD8" i="66"/>
  <c r="CD8" i="64"/>
  <c r="CD8" i="11"/>
  <c r="CC76" i="4"/>
  <c r="CC77" i="4" s="1"/>
  <c r="CC78" i="4"/>
  <c r="CD15" i="4"/>
  <c r="CD6" i="4"/>
  <c r="CD82" i="4" l="1"/>
  <c r="CD75" i="4"/>
  <c r="BL956" i="4"/>
  <c r="CB736" i="4"/>
  <c r="CB738" i="4" s="1"/>
  <c r="BJ260" i="4"/>
  <c r="BL209" i="4"/>
  <c r="BL160" i="4"/>
  <c r="BL159" i="4"/>
  <c r="BL175" i="4"/>
  <c r="BL174" i="4"/>
  <c r="BL255" i="4"/>
  <c r="BL161" i="4"/>
  <c r="BL167" i="4"/>
  <c r="BL169" i="4"/>
  <c r="BL231" i="4"/>
  <c r="BM85" i="4"/>
  <c r="BL176" i="4"/>
  <c r="BL254" i="4"/>
  <c r="BL168" i="4"/>
  <c r="BL166" i="4"/>
  <c r="BL204" i="4"/>
  <c r="BL234" i="4"/>
  <c r="BL206" i="4"/>
  <c r="BL173" i="4"/>
  <c r="BL211" i="4"/>
  <c r="BL208" i="4"/>
  <c r="BL207" i="4"/>
  <c r="BL269" i="4" s="1"/>
  <c r="BL162" i="4"/>
  <c r="BL205" i="4"/>
  <c r="BL257" i="4"/>
  <c r="BL210" i="4"/>
  <c r="BL233" i="4"/>
  <c r="BL256" i="4"/>
  <c r="BL232" i="4"/>
  <c r="BK177" i="4"/>
  <c r="BK267" i="4"/>
  <c r="BK281" i="4" s="1"/>
  <c r="BJ334" i="4"/>
  <c r="BJ1037" i="4" s="1"/>
  <c r="BJ276" i="4"/>
  <c r="BJ279" i="4"/>
  <c r="BM746" i="4"/>
  <c r="BM754" i="4"/>
  <c r="BN1109" i="4"/>
  <c r="BN1110" i="4" s="1"/>
  <c r="BN1111" i="4" s="1"/>
  <c r="BN985" i="4" s="1"/>
  <c r="BN953" i="4"/>
  <c r="BN946" i="4"/>
  <c r="BN948" i="4"/>
  <c r="BN952" i="4"/>
  <c r="BO79" i="4"/>
  <c r="BN936" i="4"/>
  <c r="BN954" i="4"/>
  <c r="BN947" i="4"/>
  <c r="BN955" i="4"/>
  <c r="BN938" i="4"/>
  <c r="BN939" i="4"/>
  <c r="BN937" i="4"/>
  <c r="BN895" i="4"/>
  <c r="BN973" i="4" s="1"/>
  <c r="BN296" i="4" s="1"/>
  <c r="BN951" i="4"/>
  <c r="BN744" i="4"/>
  <c r="BN743" i="4"/>
  <c r="BN745" i="4"/>
  <c r="BI1291" i="4"/>
  <c r="BI33" i="66"/>
  <c r="BI32" i="66" s="1"/>
  <c r="BI1318" i="4"/>
  <c r="BI81" i="11"/>
  <c r="BI82" i="11" s="1"/>
  <c r="BI1387" i="4" s="1"/>
  <c r="BI1118" i="4"/>
  <c r="BI65" i="62"/>
  <c r="BK270" i="4"/>
  <c r="BK284" i="4" s="1"/>
  <c r="BK235" i="4"/>
  <c r="BK268" i="4"/>
  <c r="BK282" i="4" s="1"/>
  <c r="BK212" i="4"/>
  <c r="BJ282" i="4"/>
  <c r="BK258" i="4"/>
  <c r="BK271" i="4"/>
  <c r="BK285" i="4" s="1"/>
  <c r="BM940" i="4"/>
  <c r="BM943" i="4"/>
  <c r="BM941" i="4"/>
  <c r="BM942" i="4"/>
  <c r="BK265" i="4"/>
  <c r="BK163" i="4"/>
  <c r="BK170" i="4"/>
  <c r="BK266" i="4"/>
  <c r="BK280" i="4" s="1"/>
  <c r="CC1173" i="4"/>
  <c r="CC1177" i="4" s="1"/>
  <c r="CC1494" i="4" s="1"/>
  <c r="CA739" i="4"/>
  <c r="CC714" i="4"/>
  <c r="CC721" i="4" s="1"/>
  <c r="CD58" i="4"/>
  <c r="CC732" i="4"/>
  <c r="CB56" i="4"/>
  <c r="CC53" i="62"/>
  <c r="CC65" i="4"/>
  <c r="CD146" i="4"/>
  <c r="CD151" i="4" s="1"/>
  <c r="CD134" i="4"/>
  <c r="CD139" i="4" s="1"/>
  <c r="CD122" i="4"/>
  <c r="CD127" i="4" s="1"/>
  <c r="CD123" i="4"/>
  <c r="CD128" i="4" s="1"/>
  <c r="CD129" i="4" s="1"/>
  <c r="CD184" i="4"/>
  <c r="CD193" i="4" s="1"/>
  <c r="CD57" i="4"/>
  <c r="CC53" i="4"/>
  <c r="CD1129" i="4"/>
  <c r="CC544" i="4"/>
  <c r="CC690" i="4"/>
  <c r="CD198" i="4"/>
  <c r="CD1157" i="4"/>
  <c r="CD150" i="4"/>
  <c r="CD18" i="4"/>
  <c r="CC1041" i="4"/>
  <c r="CC688" i="4"/>
  <c r="CD295" i="4"/>
  <c r="CD303" i="4" s="1"/>
  <c r="CD66" i="4"/>
  <c r="CD1263" i="4"/>
  <c r="CD28" i="66"/>
  <c r="CD27" i="66"/>
  <c r="CD1151" i="4"/>
  <c r="CD60" i="4"/>
  <c r="CC61" i="4"/>
  <c r="CC318" i="4" s="1"/>
  <c r="CC328" i="4" s="1"/>
  <c r="CD246" i="4"/>
  <c r="CD250" i="4" s="1"/>
  <c r="CD37" i="4"/>
  <c r="CD44" i="4" s="1"/>
  <c r="CD51" i="4" s="1"/>
  <c r="CD17" i="4"/>
  <c r="CD19" i="4"/>
  <c r="CD20" i="4" s="1"/>
  <c r="CD192" i="4"/>
  <c r="CE86" i="64"/>
  <c r="CE87" i="64" s="1"/>
  <c r="CE7" i="66"/>
  <c r="CE6" i="66" s="1"/>
  <c r="CE8" i="3"/>
  <c r="CE16" i="4" s="1"/>
  <c r="CE7" i="64"/>
  <c r="CE6" i="64" s="1"/>
  <c r="CE28" i="64" s="1"/>
  <c r="CE30" i="64" s="1"/>
  <c r="CE53" i="64" s="1"/>
  <c r="CE7" i="4"/>
  <c r="CE7" i="62"/>
  <c r="CE6" i="62" s="1"/>
  <c r="CE7" i="11"/>
  <c r="CE6" i="11" s="1"/>
  <c r="CE6" i="3"/>
  <c r="CD273" i="4"/>
  <c r="CD275" i="4"/>
  <c r="CD288" i="4" s="1"/>
  <c r="CD329" i="4" s="1"/>
  <c r="CD414" i="4" s="1"/>
  <c r="CD415" i="4" s="1"/>
  <c r="CE413" i="4" s="1"/>
  <c r="CD274" i="4"/>
  <c r="CD335" i="4" s="1"/>
  <c r="CD1242" i="4"/>
  <c r="CD1243" i="4"/>
  <c r="CD138" i="4"/>
  <c r="CD70" i="4"/>
  <c r="CD529" i="4"/>
  <c r="CC63" i="4"/>
  <c r="CC1389" i="4" s="1"/>
  <c r="CD543" i="4"/>
  <c r="CD62" i="4"/>
  <c r="CD528" i="4" s="1"/>
  <c r="CD530" i="4"/>
  <c r="CD824" i="4"/>
  <c r="CD54" i="11"/>
  <c r="CD67" i="4"/>
  <c r="CD1042" i="4" s="1"/>
  <c r="CD68" i="4"/>
  <c r="CD126" i="4"/>
  <c r="CD223" i="4"/>
  <c r="CD227" i="4" s="1"/>
  <c r="CD36" i="4"/>
  <c r="CD43" i="4" s="1"/>
  <c r="CD50" i="4" s="1"/>
  <c r="CD15" i="66" l="1"/>
  <c r="BM956" i="4"/>
  <c r="BN754" i="4"/>
  <c r="BL283" i="4"/>
  <c r="BL258" i="4"/>
  <c r="BL271" i="4"/>
  <c r="BL285" i="4" s="1"/>
  <c r="BN943" i="4"/>
  <c r="BN941" i="4"/>
  <c r="BN942" i="4"/>
  <c r="BN940" i="4"/>
  <c r="BK260" i="4"/>
  <c r="BO1109" i="4"/>
  <c r="BO1110" i="4" s="1"/>
  <c r="BO1111" i="4" s="1"/>
  <c r="BO985" i="4" s="1"/>
  <c r="BP79" i="4"/>
  <c r="BO946" i="4"/>
  <c r="BO936" i="4"/>
  <c r="BO954" i="4"/>
  <c r="BO937" i="4"/>
  <c r="BO895" i="4"/>
  <c r="BO973" i="4" s="1"/>
  <c r="BO296" i="4" s="1"/>
  <c r="BO955" i="4"/>
  <c r="BO948" i="4"/>
  <c r="BO953" i="4"/>
  <c r="BO951" i="4"/>
  <c r="BO952" i="4"/>
  <c r="BO938" i="4"/>
  <c r="BO947" i="4"/>
  <c r="BO939" i="4"/>
  <c r="BO743" i="4"/>
  <c r="BO744" i="4"/>
  <c r="BO745" i="4"/>
  <c r="BL177" i="4"/>
  <c r="BL267" i="4"/>
  <c r="BL281" i="4" s="1"/>
  <c r="BM254" i="4"/>
  <c r="BM173" i="4"/>
  <c r="BM233" i="4"/>
  <c r="BM206" i="4"/>
  <c r="BM167" i="4"/>
  <c r="BM231" i="4"/>
  <c r="BM174" i="4"/>
  <c r="BM209" i="4"/>
  <c r="BM256" i="4"/>
  <c r="BN85" i="4"/>
  <c r="BM204" i="4"/>
  <c r="BM234" i="4"/>
  <c r="BM205" i="4"/>
  <c r="BM159" i="4"/>
  <c r="BM160" i="4"/>
  <c r="BM161" i="4"/>
  <c r="BM257" i="4"/>
  <c r="BM207" i="4"/>
  <c r="BM269" i="4" s="1"/>
  <c r="BM283" i="4" s="1"/>
  <c r="BM169" i="4"/>
  <c r="BM208" i="4"/>
  <c r="BM162" i="4"/>
  <c r="BM210" i="4"/>
  <c r="BM166" i="4"/>
  <c r="BM176" i="4"/>
  <c r="BM168" i="4"/>
  <c r="BM232" i="4"/>
  <c r="BM211" i="4"/>
  <c r="BM255" i="4"/>
  <c r="BM175" i="4"/>
  <c r="BL163" i="4"/>
  <c r="BL265" i="4"/>
  <c r="BK334" i="4"/>
  <c r="BK1037" i="4" s="1"/>
  <c r="BK276" i="4"/>
  <c r="BK279" i="4"/>
  <c r="BK289" i="4" s="1"/>
  <c r="BJ289" i="4"/>
  <c r="BL270" i="4"/>
  <c r="BL284" i="4" s="1"/>
  <c r="BL235" i="4"/>
  <c r="BJ1318" i="4"/>
  <c r="BJ81" i="11"/>
  <c r="BJ82" i="11" s="1"/>
  <c r="BJ1387" i="4" s="1"/>
  <c r="BJ1118" i="4"/>
  <c r="BJ65" i="62"/>
  <c r="BJ1291" i="4"/>
  <c r="BJ33" i="66"/>
  <c r="BJ32" i="66" s="1"/>
  <c r="BL266" i="4"/>
  <c r="BL280" i="4" s="1"/>
  <c r="BL170" i="4"/>
  <c r="BN746" i="4"/>
  <c r="BL212" i="4"/>
  <c r="BL268" i="4"/>
  <c r="CD35" i="4"/>
  <c r="CD42" i="4" s="1"/>
  <c r="CD49" i="4" s="1"/>
  <c r="CD33" i="4"/>
  <c r="CD40" i="4" s="1"/>
  <c r="CD47" i="4" s="1"/>
  <c r="CC718" i="4"/>
  <c r="CB739" i="4"/>
  <c r="CC722" i="4"/>
  <c r="CC737" i="4" s="1"/>
  <c r="CC717" i="4"/>
  <c r="CD1036" i="4"/>
  <c r="CD34" i="4"/>
  <c r="CD41" i="4" s="1"/>
  <c r="CD48" i="4" s="1"/>
  <c r="CD153" i="4"/>
  <c r="CD154" i="4" s="1"/>
  <c r="CD130" i="4"/>
  <c r="CD32" i="4"/>
  <c r="CD39" i="4" s="1"/>
  <c r="CD46" i="4" s="1"/>
  <c r="CE186" i="3"/>
  <c r="CE123" i="4" s="1"/>
  <c r="CE128" i="4" s="1"/>
  <c r="CE129" i="4" s="1"/>
  <c r="CE301" i="3"/>
  <c r="CE188" i="4" s="1"/>
  <c r="CE197" i="4" s="1"/>
  <c r="CD54" i="4"/>
  <c r="CD55" i="4" s="1"/>
  <c r="CE356" i="3"/>
  <c r="CE242" i="4" s="1"/>
  <c r="CE247" i="4" s="1"/>
  <c r="CD199" i="4"/>
  <c r="CD200" i="4" s="1"/>
  <c r="CE216" i="3"/>
  <c r="CE133" i="4" s="1"/>
  <c r="CE357" i="3"/>
  <c r="CE243" i="4" s="1"/>
  <c r="CE248" i="4" s="1"/>
  <c r="CE249" i="4" s="1"/>
  <c r="CE240" i="3"/>
  <c r="CE145" i="4" s="1"/>
  <c r="CE300" i="3"/>
  <c r="CE187" i="4" s="1"/>
  <c r="CE196" i="4" s="1"/>
  <c r="CE218" i="3"/>
  <c r="CE331" i="3"/>
  <c r="CE220" i="4" s="1"/>
  <c r="CE225" i="4" s="1"/>
  <c r="CE226" i="4" s="1"/>
  <c r="CE330" i="3"/>
  <c r="CE219" i="4" s="1"/>
  <c r="CE224" i="4" s="1"/>
  <c r="CE185" i="3"/>
  <c r="CE122" i="4" s="1"/>
  <c r="CE127" i="4" s="1"/>
  <c r="CE184" i="3"/>
  <c r="CE121" i="4" s="1"/>
  <c r="CE299" i="3"/>
  <c r="CE186" i="4" s="1"/>
  <c r="CE195" i="4" s="1"/>
  <c r="CE297" i="3"/>
  <c r="CE184" i="4" s="1"/>
  <c r="CE193" i="4" s="1"/>
  <c r="CE1447" i="4"/>
  <c r="CE296" i="3"/>
  <c r="CE329" i="3"/>
  <c r="CE218" i="4" s="1"/>
  <c r="CE355" i="3"/>
  <c r="CE241" i="4" s="1"/>
  <c r="CE298" i="3"/>
  <c r="CE185" i="4" s="1"/>
  <c r="CE194" i="4" s="1"/>
  <c r="CE241" i="3"/>
  <c r="CE146" i="4" s="1"/>
  <c r="CE151" i="4" s="1"/>
  <c r="CE242" i="3"/>
  <c r="CE147" i="4" s="1"/>
  <c r="CE152" i="4" s="1"/>
  <c r="CE217" i="3"/>
  <c r="CE134" i="4" s="1"/>
  <c r="CE139" i="4" s="1"/>
  <c r="CD540" i="4"/>
  <c r="CD542" i="4" s="1"/>
  <c r="CD142" i="4"/>
  <c r="CD83" i="4"/>
  <c r="CD84" i="4" s="1"/>
  <c r="CE6" i="4"/>
  <c r="CE15" i="4"/>
  <c r="CD76" i="4"/>
  <c r="CD77" i="4" s="1"/>
  <c r="CD78" i="4"/>
  <c r="CD9" i="11"/>
  <c r="CD9" i="3"/>
  <c r="CD9" i="64"/>
  <c r="CD9" i="66"/>
  <c r="CD60" i="62"/>
  <c r="CD9" i="62"/>
  <c r="CD9" i="4"/>
  <c r="CE1409" i="4"/>
  <c r="CE8" i="64"/>
  <c r="CE1160" i="4"/>
  <c r="CE8" i="4"/>
  <c r="CF7" i="3"/>
  <c r="CE8" i="11"/>
  <c r="CE8" i="66"/>
  <c r="CE314" i="4"/>
  <c r="CE1184" i="4"/>
  <c r="CE1183" i="4"/>
  <c r="CE1158" i="4"/>
  <c r="CE1159" i="4" s="1"/>
  <c r="CE29" i="4"/>
  <c r="CE1156" i="4"/>
  <c r="CE28" i="4"/>
  <c r="CE30" i="4"/>
  <c r="CE8" i="62"/>
  <c r="CE54" i="62" s="1"/>
  <c r="CD34" i="66"/>
  <c r="CD287" i="4"/>
  <c r="CD324" i="4" s="1"/>
  <c r="CD22" i="4"/>
  <c r="CE21" i="4"/>
  <c r="CD642" i="3"/>
  <c r="CD24" i="4"/>
  <c r="CD88" i="4" s="1"/>
  <c r="CD1260" i="4" s="1"/>
  <c r="CD713" i="4"/>
  <c r="CD714" i="4" s="1"/>
  <c r="CE75" i="4" l="1"/>
  <c r="CE82" i="4"/>
  <c r="BN956" i="4"/>
  <c r="BP1109" i="4"/>
  <c r="BP1110" i="4" s="1"/>
  <c r="BP1111" i="4" s="1"/>
  <c r="BP985" i="4" s="1"/>
  <c r="BP895" i="4"/>
  <c r="BP973" i="4" s="1"/>
  <c r="BP296" i="4" s="1"/>
  <c r="BQ79" i="4"/>
  <c r="BP951" i="4"/>
  <c r="BP936" i="4"/>
  <c r="BP947" i="4"/>
  <c r="BP937" i="4"/>
  <c r="BP948" i="4"/>
  <c r="BP955" i="4"/>
  <c r="BP952" i="4"/>
  <c r="BP954" i="4"/>
  <c r="BP939" i="4"/>
  <c r="BP946" i="4"/>
  <c r="BP938" i="4"/>
  <c r="BP953" i="4"/>
  <c r="BP744" i="4"/>
  <c r="BP743" i="4"/>
  <c r="BP745" i="4"/>
  <c r="BO746" i="4"/>
  <c r="BO754" i="4"/>
  <c r="BM212" i="4"/>
  <c r="BM268" i="4"/>
  <c r="BM282" i="4" s="1"/>
  <c r="BN254" i="4"/>
  <c r="BN166" i="4"/>
  <c r="BN173" i="4"/>
  <c r="BN257" i="4"/>
  <c r="BN174" i="4"/>
  <c r="BO85" i="4"/>
  <c r="BN168" i="4"/>
  <c r="BN233" i="4"/>
  <c r="BN162" i="4"/>
  <c r="BN210" i="4"/>
  <c r="BN161" i="4"/>
  <c r="BN176" i="4"/>
  <c r="BN160" i="4"/>
  <c r="BN159" i="4"/>
  <c r="BN211" i="4"/>
  <c r="BN207" i="4"/>
  <c r="BN269" i="4" s="1"/>
  <c r="BN205" i="4"/>
  <c r="BN256" i="4"/>
  <c r="BN255" i="4"/>
  <c r="BN167" i="4"/>
  <c r="BN234" i="4"/>
  <c r="BN175" i="4"/>
  <c r="BN204" i="4"/>
  <c r="BN206" i="4"/>
  <c r="BN209" i="4"/>
  <c r="BN232" i="4"/>
  <c r="BN169" i="4"/>
  <c r="BN231" i="4"/>
  <c r="BN208" i="4"/>
  <c r="BM177" i="4"/>
  <c r="BM267" i="4"/>
  <c r="BM281" i="4" s="1"/>
  <c r="BM258" i="4"/>
  <c r="BM271" i="4"/>
  <c r="BM285" i="4" s="1"/>
  <c r="BL282" i="4"/>
  <c r="BL334" i="4"/>
  <c r="BL1037" i="4" s="1"/>
  <c r="BL276" i="4"/>
  <c r="BL279" i="4"/>
  <c r="BM266" i="4"/>
  <c r="BM280" i="4" s="1"/>
  <c r="BM170" i="4"/>
  <c r="BO942" i="4"/>
  <c r="BO940" i="4"/>
  <c r="BO943" i="4"/>
  <c r="BO941" i="4"/>
  <c r="BK65" i="62"/>
  <c r="BK33" i="66"/>
  <c r="BK32" i="66" s="1"/>
  <c r="BK81" i="11"/>
  <c r="BK82" i="11" s="1"/>
  <c r="BK1387" i="4" s="1"/>
  <c r="BK1291" i="4"/>
  <c r="BK1318" i="4"/>
  <c r="BK1118" i="4"/>
  <c r="BL260" i="4"/>
  <c r="BM265" i="4"/>
  <c r="BM163" i="4"/>
  <c r="BM235" i="4"/>
  <c r="BM270" i="4"/>
  <c r="BM284" i="4" s="1"/>
  <c r="CC736" i="4"/>
  <c r="CC738" i="4" s="1"/>
  <c r="CD1173" i="4"/>
  <c r="CD1177" i="4" s="1"/>
  <c r="CD1494" i="4" s="1"/>
  <c r="CD65" i="4"/>
  <c r="CD53" i="62"/>
  <c r="CC56" i="4"/>
  <c r="CE58" i="4"/>
  <c r="CD717" i="4"/>
  <c r="CD722" i="4"/>
  <c r="CD721" i="4"/>
  <c r="CD718" i="4"/>
  <c r="CE183" i="4"/>
  <c r="CE35" i="4" s="1"/>
  <c r="CE42" i="4" s="1"/>
  <c r="CE49" i="4" s="1"/>
  <c r="CE135" i="4"/>
  <c r="CE140" i="4" s="1"/>
  <c r="CE141" i="4" s="1"/>
  <c r="CD690" i="4"/>
  <c r="CD544" i="4"/>
  <c r="CE57" i="4"/>
  <c r="CE1129" i="4"/>
  <c r="CD53" i="4"/>
  <c r="CD1041" i="4"/>
  <c r="CD688" i="4"/>
  <c r="CE1157" i="4"/>
  <c r="CE295" i="4"/>
  <c r="CE303" i="4" s="1"/>
  <c r="CE1263" i="4"/>
  <c r="CE27" i="66"/>
  <c r="CE1151" i="4"/>
  <c r="CE66" i="4"/>
  <c r="CE60" i="4"/>
  <c r="CD61" i="4"/>
  <c r="CD318" i="4" s="1"/>
  <c r="CD328" i="4" s="1"/>
  <c r="CE28" i="66"/>
  <c r="CF86" i="64"/>
  <c r="CF87" i="64" s="1"/>
  <c r="CF6" i="3"/>
  <c r="CF7" i="4"/>
  <c r="CF7" i="64"/>
  <c r="CF6" i="64" s="1"/>
  <c r="CF28" i="64" s="1"/>
  <c r="CF30" i="64" s="1"/>
  <c r="CF53" i="64" s="1"/>
  <c r="CF7" i="62"/>
  <c r="CF6" i="62" s="1"/>
  <c r="CF7" i="11"/>
  <c r="CF6" i="11" s="1"/>
  <c r="CF7" i="66"/>
  <c r="CF6" i="66" s="1"/>
  <c r="CF8" i="3"/>
  <c r="CF16" i="4" s="1"/>
  <c r="CE198" i="4"/>
  <c r="CE17" i="4"/>
  <c r="CE19" i="4"/>
  <c r="CE20" i="4" s="1"/>
  <c r="CE150" i="4"/>
  <c r="CE34" i="4"/>
  <c r="CE41" i="4" s="1"/>
  <c r="CE48" i="4" s="1"/>
  <c r="CE32" i="4"/>
  <c r="CE39" i="4" s="1"/>
  <c r="CE46" i="4" s="1"/>
  <c r="CE126" i="4"/>
  <c r="CE138" i="4"/>
  <c r="CE223" i="4"/>
  <c r="CE36" i="4"/>
  <c r="CE43" i="4" s="1"/>
  <c r="CE50" i="4" s="1"/>
  <c r="CE68" i="4"/>
  <c r="CE824" i="4"/>
  <c r="CE529" i="4"/>
  <c r="CE543" i="4"/>
  <c r="CE530" i="4"/>
  <c r="CD63" i="4"/>
  <c r="CD1389" i="4" s="1"/>
  <c r="CE54" i="11"/>
  <c r="CE70" i="4"/>
  <c r="CE67" i="4"/>
  <c r="CE1042" i="4" s="1"/>
  <c r="CE62" i="4"/>
  <c r="CE528" i="4" s="1"/>
  <c r="CE1242" i="4"/>
  <c r="CE274" i="4"/>
  <c r="CE335" i="4" s="1"/>
  <c r="CE273" i="4"/>
  <c r="CE1243" i="4"/>
  <c r="CE275" i="4"/>
  <c r="CE288" i="4" s="1"/>
  <c r="CE329" i="4" s="1"/>
  <c r="CE414" i="4" s="1"/>
  <c r="CE415" i="4" s="1"/>
  <c r="CF413" i="4" s="1"/>
  <c r="CE246" i="4"/>
  <c r="CE250" i="4" s="1"/>
  <c r="CE37" i="4"/>
  <c r="CE44" i="4" s="1"/>
  <c r="CE51" i="4" s="1"/>
  <c r="CE18" i="4"/>
  <c r="CD732" i="4"/>
  <c r="CD731" i="4"/>
  <c r="CE192" i="4" l="1"/>
  <c r="CE199" i="4" s="1"/>
  <c r="BO956" i="4"/>
  <c r="BN267" i="4"/>
  <c r="BN281" i="4" s="1"/>
  <c r="BN177" i="4"/>
  <c r="BP746" i="4"/>
  <c r="BN170" i="4"/>
  <c r="BN266" i="4"/>
  <c r="BN280" i="4" s="1"/>
  <c r="BN271" i="4"/>
  <c r="BN285" i="4" s="1"/>
  <c r="BN258" i="4"/>
  <c r="BM260" i="4"/>
  <c r="BN283" i="4"/>
  <c r="BM276" i="4"/>
  <c r="BM334" i="4"/>
  <c r="BM1037" i="4" s="1"/>
  <c r="BM279" i="4"/>
  <c r="BM289" i="4" s="1"/>
  <c r="BN268" i="4"/>
  <c r="BN212" i="4"/>
  <c r="BP942" i="4"/>
  <c r="BP941" i="4"/>
  <c r="BP943" i="4"/>
  <c r="BP940" i="4"/>
  <c r="BL1291" i="4"/>
  <c r="BL33" i="66"/>
  <c r="BL32" i="66" s="1"/>
  <c r="BL81" i="11"/>
  <c r="BL82" i="11" s="1"/>
  <c r="BL1387" i="4" s="1"/>
  <c r="BL65" i="62"/>
  <c r="BL1318" i="4"/>
  <c r="BL1118" i="4"/>
  <c r="BN163" i="4"/>
  <c r="BN265" i="4"/>
  <c r="BO173" i="4"/>
  <c r="BP85" i="4"/>
  <c r="BO209" i="4"/>
  <c r="BO169" i="4"/>
  <c r="BO206" i="4"/>
  <c r="BO233" i="4"/>
  <c r="BO166" i="4"/>
  <c r="BO168" i="4"/>
  <c r="BO255" i="4"/>
  <c r="BO254" i="4"/>
  <c r="BO167" i="4"/>
  <c r="BO205" i="4"/>
  <c r="BO175" i="4"/>
  <c r="BO210" i="4"/>
  <c r="BO232" i="4"/>
  <c r="BO257" i="4"/>
  <c r="BO160" i="4"/>
  <c r="BO161" i="4"/>
  <c r="BO208" i="4"/>
  <c r="BO174" i="4"/>
  <c r="BO234" i="4"/>
  <c r="BO204" i="4"/>
  <c r="BO207" i="4"/>
  <c r="BO269" i="4" s="1"/>
  <c r="BO283" i="4" s="1"/>
  <c r="BO256" i="4"/>
  <c r="BO162" i="4"/>
  <c r="BO159" i="4"/>
  <c r="BO211" i="4"/>
  <c r="BO231" i="4"/>
  <c r="BO176" i="4"/>
  <c r="BQ1109" i="4"/>
  <c r="BQ1110" i="4" s="1"/>
  <c r="BQ1111" i="4" s="1"/>
  <c r="BQ985" i="4" s="1"/>
  <c r="BR79" i="4"/>
  <c r="BQ955" i="4"/>
  <c r="BQ939" i="4"/>
  <c r="BQ953" i="4"/>
  <c r="BQ952" i="4"/>
  <c r="BQ948" i="4"/>
  <c r="BQ947" i="4"/>
  <c r="BQ936" i="4"/>
  <c r="BQ954" i="4"/>
  <c r="BQ938" i="4"/>
  <c r="BQ937" i="4"/>
  <c r="BQ946" i="4"/>
  <c r="BQ951" i="4"/>
  <c r="BQ895" i="4"/>
  <c r="BQ973" i="4" s="1"/>
  <c r="BQ296" i="4" s="1"/>
  <c r="BQ744" i="4"/>
  <c r="BQ743" i="4"/>
  <c r="BQ745" i="4"/>
  <c r="BL289" i="4"/>
  <c r="BN270" i="4"/>
  <c r="BN284" i="4" s="1"/>
  <c r="BN235" i="4"/>
  <c r="BP754" i="4"/>
  <c r="CE1036" i="4"/>
  <c r="CE15" i="66"/>
  <c r="CE33" i="4"/>
  <c r="CE40" i="4" s="1"/>
  <c r="CE47" i="4" s="1"/>
  <c r="CF186" i="3"/>
  <c r="CF123" i="4" s="1"/>
  <c r="CF128" i="4" s="1"/>
  <c r="CF129" i="4" s="1"/>
  <c r="CF301" i="3"/>
  <c r="CF188" i="4" s="1"/>
  <c r="CF197" i="4" s="1"/>
  <c r="CF329" i="3"/>
  <c r="CF218" i="4" s="1"/>
  <c r="CF298" i="3"/>
  <c r="CF185" i="4" s="1"/>
  <c r="CF194" i="4" s="1"/>
  <c r="CF216" i="3"/>
  <c r="CF133" i="4" s="1"/>
  <c r="CF299" i="3"/>
  <c r="CF186" i="4" s="1"/>
  <c r="CF195" i="4" s="1"/>
  <c r="CF240" i="3"/>
  <c r="CF145" i="4" s="1"/>
  <c r="CE54" i="4"/>
  <c r="CD56" i="4" s="1"/>
  <c r="CF331" i="3"/>
  <c r="CF220" i="4" s="1"/>
  <c r="CF225" i="4" s="1"/>
  <c r="CF226" i="4" s="1"/>
  <c r="CF242" i="3"/>
  <c r="CF147" i="4" s="1"/>
  <c r="CF152" i="4" s="1"/>
  <c r="CF217" i="3"/>
  <c r="CF134" i="4" s="1"/>
  <c r="CF139" i="4" s="1"/>
  <c r="CF184" i="3"/>
  <c r="CF121" i="4" s="1"/>
  <c r="CF300" i="3"/>
  <c r="CF187" i="4" s="1"/>
  <c r="CF196" i="4" s="1"/>
  <c r="CF356" i="3"/>
  <c r="CF242" i="4" s="1"/>
  <c r="CF247" i="4" s="1"/>
  <c r="CF241" i="3"/>
  <c r="CF146" i="4" s="1"/>
  <c r="CF151" i="4" s="1"/>
  <c r="CF1447" i="4"/>
  <c r="CF330" i="3"/>
  <c r="CF355" i="3"/>
  <c r="CF241" i="4" s="1"/>
  <c r="CF297" i="3"/>
  <c r="CF184" i="4" s="1"/>
  <c r="CF193" i="4" s="1"/>
  <c r="CF218" i="3"/>
  <c r="CF135" i="4" s="1"/>
  <c r="CF140" i="4" s="1"/>
  <c r="CF141" i="4" s="1"/>
  <c r="CF185" i="3"/>
  <c r="CF122" i="4" s="1"/>
  <c r="CF127" i="4" s="1"/>
  <c r="CF357" i="3"/>
  <c r="CF243" i="4" s="1"/>
  <c r="CF248" i="4" s="1"/>
  <c r="CF249" i="4" s="1"/>
  <c r="CF296" i="3"/>
  <c r="CF183" i="4" s="1"/>
  <c r="CE153" i="4"/>
  <c r="CE154" i="4" s="1"/>
  <c r="CE540" i="4"/>
  <c r="CE542" i="4" s="1"/>
  <c r="CD736" i="4"/>
  <c r="CE142" i="4"/>
  <c r="CE287" i="4"/>
  <c r="CE324" i="4" s="1"/>
  <c r="CE34" i="66"/>
  <c r="CE227" i="4"/>
  <c r="CE130" i="4"/>
  <c r="CF1160" i="4"/>
  <c r="CF1184" i="4"/>
  <c r="CF8" i="66"/>
  <c r="CF29" i="4"/>
  <c r="CF28" i="4"/>
  <c r="CF1183" i="4"/>
  <c r="CG7" i="3"/>
  <c r="CF1158" i="4"/>
  <c r="CF1159" i="4" s="1"/>
  <c r="CF1409" i="4"/>
  <c r="CF1156" i="4"/>
  <c r="CF8" i="4"/>
  <c r="CF30" i="4"/>
  <c r="CF8" i="11"/>
  <c r="CF8" i="64"/>
  <c r="CF8" i="62"/>
  <c r="CF54" i="62" s="1"/>
  <c r="CF314" i="4"/>
  <c r="CE83" i="4"/>
  <c r="CE84" i="4" s="1"/>
  <c r="CE78" i="4"/>
  <c r="CE76" i="4"/>
  <c r="CE77" i="4" s="1"/>
  <c r="CE22" i="4"/>
  <c r="CF21" i="4"/>
  <c r="CE642" i="3"/>
  <c r="CE24" i="4"/>
  <c r="CE88" i="4" s="1"/>
  <c r="CE1260" i="4" s="1"/>
  <c r="CE9" i="62"/>
  <c r="CE60" i="62"/>
  <c r="CE9" i="4"/>
  <c r="CE9" i="64"/>
  <c r="CE9" i="3"/>
  <c r="CE9" i="11"/>
  <c r="CE9" i="66"/>
  <c r="CF6" i="4"/>
  <c r="CF15" i="4"/>
  <c r="CD737" i="4"/>
  <c r="CC739" i="4"/>
  <c r="CE713" i="4"/>
  <c r="CF75" i="4" l="1"/>
  <c r="CF82" i="4"/>
  <c r="BP956" i="4"/>
  <c r="BO163" i="4"/>
  <c r="BO265" i="4"/>
  <c r="BO271" i="4"/>
  <c r="BO285" i="4" s="1"/>
  <c r="BO258" i="4"/>
  <c r="BP173" i="4"/>
  <c r="BP254" i="4"/>
  <c r="BP256" i="4"/>
  <c r="BP206" i="4"/>
  <c r="BQ85" i="4"/>
  <c r="BP210" i="4"/>
  <c r="BP166" i="4"/>
  <c r="BP231" i="4"/>
  <c r="BP162" i="4"/>
  <c r="BP232" i="4"/>
  <c r="BP176" i="4"/>
  <c r="BP204" i="4"/>
  <c r="BP168" i="4"/>
  <c r="BP161" i="4"/>
  <c r="BP211" i="4"/>
  <c r="BP160" i="4"/>
  <c r="BP167" i="4"/>
  <c r="BP209" i="4"/>
  <c r="BP208" i="4"/>
  <c r="BP207" i="4"/>
  <c r="BP269" i="4" s="1"/>
  <c r="BP257" i="4"/>
  <c r="BP159" i="4"/>
  <c r="BP233" i="4"/>
  <c r="BP205" i="4"/>
  <c r="BP234" i="4"/>
  <c r="BP169" i="4"/>
  <c r="BP175" i="4"/>
  <c r="BP174" i="4"/>
  <c r="BP255" i="4"/>
  <c r="BN334" i="4"/>
  <c r="BN1037" i="4" s="1"/>
  <c r="BN276" i="4"/>
  <c r="BN279" i="4"/>
  <c r="BO170" i="4"/>
  <c r="BO266" i="4"/>
  <c r="BO280" i="4" s="1"/>
  <c r="BN260" i="4"/>
  <c r="BO212" i="4"/>
  <c r="BO268" i="4"/>
  <c r="BO282" i="4" s="1"/>
  <c r="BN282" i="4"/>
  <c r="BM1318" i="4"/>
  <c r="BM1118" i="4"/>
  <c r="BM65" i="62"/>
  <c r="BM1291" i="4"/>
  <c r="BM81" i="11"/>
  <c r="BM82" i="11" s="1"/>
  <c r="BM1387" i="4" s="1"/>
  <c r="BM33" i="66"/>
  <c r="BM32" i="66" s="1"/>
  <c r="BO270" i="4"/>
  <c r="BO284" i="4" s="1"/>
  <c r="BO235" i="4"/>
  <c r="BO177" i="4"/>
  <c r="BO267" i="4"/>
  <c r="BO281" i="4" s="1"/>
  <c r="BQ746" i="4"/>
  <c r="BQ754" i="4"/>
  <c r="BQ942" i="4"/>
  <c r="BQ940" i="4"/>
  <c r="BQ941" i="4"/>
  <c r="BQ943" i="4"/>
  <c r="BR1109" i="4"/>
  <c r="BR1110" i="4" s="1"/>
  <c r="BR1111" i="4" s="1"/>
  <c r="BR985" i="4" s="1"/>
  <c r="BS79" i="4"/>
  <c r="BR952" i="4"/>
  <c r="BR953" i="4"/>
  <c r="BR954" i="4"/>
  <c r="BR955" i="4"/>
  <c r="BR937" i="4"/>
  <c r="BR895" i="4"/>
  <c r="BR973" i="4" s="1"/>
  <c r="BR296" i="4" s="1"/>
  <c r="BR939" i="4"/>
  <c r="BR951" i="4"/>
  <c r="BR946" i="4"/>
  <c r="BR936" i="4"/>
  <c r="BR938" i="4"/>
  <c r="BR947" i="4"/>
  <c r="BR948" i="4"/>
  <c r="BR744" i="4"/>
  <c r="BR743" i="4"/>
  <c r="BR745" i="4"/>
  <c r="CE1173" i="4"/>
  <c r="CE1177" i="4" s="1"/>
  <c r="CE1494" i="4" s="1"/>
  <c r="CF58" i="4"/>
  <c r="CE65" i="4"/>
  <c r="CE53" i="62"/>
  <c r="CE55" i="4"/>
  <c r="CF219" i="4"/>
  <c r="CF224" i="4" s="1"/>
  <c r="CE53" i="4"/>
  <c r="CF57" i="4"/>
  <c r="CF1129" i="4"/>
  <c r="CF18" i="4"/>
  <c r="CF223" i="4"/>
  <c r="CF70" i="4"/>
  <c r="CF67" i="4"/>
  <c r="CF1042" i="4" s="1"/>
  <c r="CF54" i="11"/>
  <c r="CF68" i="4"/>
  <c r="CF62" i="4"/>
  <c r="CF528" i="4" s="1"/>
  <c r="CF824" i="4"/>
  <c r="CF530" i="4"/>
  <c r="CF543" i="4"/>
  <c r="CE63" i="4"/>
  <c r="CE1389" i="4" s="1"/>
  <c r="CF273" i="4"/>
  <c r="CF275" i="4"/>
  <c r="CF288" i="4" s="1"/>
  <c r="CF329" i="4" s="1"/>
  <c r="CF414" i="4" s="1"/>
  <c r="CF415" i="4" s="1"/>
  <c r="CG413" i="4" s="1"/>
  <c r="CF1243" i="4"/>
  <c r="CF1242" i="4"/>
  <c r="CF274" i="4"/>
  <c r="CF335" i="4" s="1"/>
  <c r="CF198" i="4"/>
  <c r="CF17" i="4"/>
  <c r="CF19" i="4"/>
  <c r="CF20" i="4" s="1"/>
  <c r="CF150" i="4"/>
  <c r="CF34" i="4"/>
  <c r="CF41" i="4" s="1"/>
  <c r="CF48" i="4" s="1"/>
  <c r="CF1151" i="4"/>
  <c r="CF60" i="4"/>
  <c r="CF28" i="66"/>
  <c r="CE61" i="4"/>
  <c r="CE318" i="4" s="1"/>
  <c r="CE328" i="4" s="1"/>
  <c r="CF1263" i="4"/>
  <c r="CF66" i="4"/>
  <c r="CF27" i="66"/>
  <c r="CF295" i="4"/>
  <c r="CF303" i="4" s="1"/>
  <c r="CF1157" i="4"/>
  <c r="CF126" i="4"/>
  <c r="CF130" i="4" s="1"/>
  <c r="CF32" i="4"/>
  <c r="CF39" i="4" s="1"/>
  <c r="CF46" i="4" s="1"/>
  <c r="CE200" i="4"/>
  <c r="CF138" i="4"/>
  <c r="CF33" i="4"/>
  <c r="CF40" i="4" s="1"/>
  <c r="CF47" i="4" s="1"/>
  <c r="CG86" i="64"/>
  <c r="CG87" i="64" s="1"/>
  <c r="CG6" i="3"/>
  <c r="CG7" i="4"/>
  <c r="CG7" i="62"/>
  <c r="CG6" i="62" s="1"/>
  <c r="CG7" i="11"/>
  <c r="CG6" i="11" s="1"/>
  <c r="CG8" i="3"/>
  <c r="CG16" i="4" s="1"/>
  <c r="CG7" i="64"/>
  <c r="CG6" i="64" s="1"/>
  <c r="CG28" i="64" s="1"/>
  <c r="CG30" i="64" s="1"/>
  <c r="CG53" i="64" s="1"/>
  <c r="CG7" i="66"/>
  <c r="CG6" i="66" s="1"/>
  <c r="CF192" i="4"/>
  <c r="CF35" i="4"/>
  <c r="CF42" i="4" s="1"/>
  <c r="CF49" i="4" s="1"/>
  <c r="CE690" i="4"/>
  <c r="CE544" i="4"/>
  <c r="CD738" i="4"/>
  <c r="CF529" i="4"/>
  <c r="CE1041" i="4"/>
  <c r="CE688" i="4"/>
  <c r="CF246" i="4"/>
  <c r="CF250" i="4" s="1"/>
  <c r="CF37" i="4"/>
  <c r="CF44" i="4" s="1"/>
  <c r="CF51" i="4" s="1"/>
  <c r="CE731" i="4"/>
  <c r="CE732" i="4"/>
  <c r="CE714" i="4"/>
  <c r="BQ956" i="4" l="1"/>
  <c r="BN289" i="4"/>
  <c r="BR746" i="4"/>
  <c r="BR754" i="4"/>
  <c r="BR85" i="4"/>
  <c r="BQ159" i="4"/>
  <c r="BQ173" i="4"/>
  <c r="BQ175" i="4"/>
  <c r="BQ160" i="4"/>
  <c r="BQ257" i="4"/>
  <c r="BQ209" i="4"/>
  <c r="BQ256" i="4"/>
  <c r="BQ231" i="4"/>
  <c r="BQ166" i="4"/>
  <c r="BQ208" i="4"/>
  <c r="BQ169" i="4"/>
  <c r="BQ162" i="4"/>
  <c r="BQ174" i="4"/>
  <c r="BQ233" i="4"/>
  <c r="BQ210" i="4"/>
  <c r="BQ207" i="4"/>
  <c r="BQ269" i="4" s="1"/>
  <c r="BQ283" i="4" s="1"/>
  <c r="BQ204" i="4"/>
  <c r="BQ234" i="4"/>
  <c r="BQ167" i="4"/>
  <c r="BQ168" i="4"/>
  <c r="BQ211" i="4"/>
  <c r="BQ255" i="4"/>
  <c r="BQ161" i="4"/>
  <c r="BQ176" i="4"/>
  <c r="BQ206" i="4"/>
  <c r="BQ254" i="4"/>
  <c r="BQ205" i="4"/>
  <c r="BQ232" i="4"/>
  <c r="BO260" i="4"/>
  <c r="BN65" i="62"/>
  <c r="BN1291" i="4"/>
  <c r="BN1318" i="4"/>
  <c r="BN33" i="66"/>
  <c r="BN32" i="66" s="1"/>
  <c r="BN81" i="11"/>
  <c r="BN82" i="11" s="1"/>
  <c r="BN1387" i="4" s="1"/>
  <c r="BN1118" i="4"/>
  <c r="BP271" i="4"/>
  <c r="BP285" i="4" s="1"/>
  <c r="BP258" i="4"/>
  <c r="BP212" i="4"/>
  <c r="BP268" i="4"/>
  <c r="BP177" i="4"/>
  <c r="BP267" i="4"/>
  <c r="BP281" i="4" s="1"/>
  <c r="BR942" i="4"/>
  <c r="BR940" i="4"/>
  <c r="BR943" i="4"/>
  <c r="BR941" i="4"/>
  <c r="BP270" i="4"/>
  <c r="BP284" i="4" s="1"/>
  <c r="BP235" i="4"/>
  <c r="BP170" i="4"/>
  <c r="BP266" i="4"/>
  <c r="BP280" i="4" s="1"/>
  <c r="BP283" i="4"/>
  <c r="BS1109" i="4"/>
  <c r="BS1110" i="4" s="1"/>
  <c r="BS1111" i="4" s="1"/>
  <c r="BS985" i="4" s="1"/>
  <c r="BS895" i="4"/>
  <c r="BS973" i="4" s="1"/>
  <c r="BS296" i="4" s="1"/>
  <c r="BS947" i="4"/>
  <c r="BT79" i="4"/>
  <c r="BS952" i="4"/>
  <c r="BS953" i="4"/>
  <c r="BS937" i="4"/>
  <c r="BS936" i="4"/>
  <c r="BS948" i="4"/>
  <c r="BS946" i="4"/>
  <c r="BS954" i="4"/>
  <c r="BS955" i="4"/>
  <c r="BS938" i="4"/>
  <c r="BS939" i="4"/>
  <c r="BS951" i="4"/>
  <c r="BS743" i="4"/>
  <c r="BS745" i="4"/>
  <c r="BS744" i="4"/>
  <c r="BP163" i="4"/>
  <c r="BP265" i="4"/>
  <c r="BO334" i="4"/>
  <c r="BO1037" i="4" s="1"/>
  <c r="BO276" i="4"/>
  <c r="BO279" i="4"/>
  <c r="BO289" i="4" s="1"/>
  <c r="CF36" i="4"/>
  <c r="CF43" i="4" s="1"/>
  <c r="CF50" i="4" s="1"/>
  <c r="CF713" i="4" s="1"/>
  <c r="CF714" i="4" s="1"/>
  <c r="CF721" i="4" s="1"/>
  <c r="CF227" i="4"/>
  <c r="CF1036" i="4"/>
  <c r="CF15" i="66"/>
  <c r="CG217" i="3"/>
  <c r="CG134" i="4" s="1"/>
  <c r="CG139" i="4" s="1"/>
  <c r="CG301" i="3"/>
  <c r="CG188" i="4" s="1"/>
  <c r="CG197" i="4" s="1"/>
  <c r="CF54" i="4"/>
  <c r="CE56" i="4" s="1"/>
  <c r="CE721" i="4"/>
  <c r="CE718" i="4"/>
  <c r="CE717" i="4"/>
  <c r="CE722" i="4"/>
  <c r="CG297" i="3"/>
  <c r="CG184" i="4" s="1"/>
  <c r="CG193" i="4" s="1"/>
  <c r="CG185" i="3"/>
  <c r="CG122" i="4" s="1"/>
  <c r="CG127" i="4" s="1"/>
  <c r="CG355" i="3"/>
  <c r="CG241" i="4" s="1"/>
  <c r="CG331" i="3"/>
  <c r="CG220" i="4" s="1"/>
  <c r="CG225" i="4" s="1"/>
  <c r="CG226" i="4" s="1"/>
  <c r="CG357" i="3"/>
  <c r="CG356" i="3"/>
  <c r="CG242" i="4" s="1"/>
  <c r="CG247" i="4" s="1"/>
  <c r="CG298" i="3"/>
  <c r="CG329" i="3"/>
  <c r="CG218" i="4" s="1"/>
  <c r="CG299" i="3"/>
  <c r="CG186" i="4" s="1"/>
  <c r="CG195" i="4" s="1"/>
  <c r="CG240" i="3"/>
  <c r="CG145" i="4" s="1"/>
  <c r="CG186" i="3"/>
  <c r="CG123" i="4" s="1"/>
  <c r="CG128" i="4" s="1"/>
  <c r="CG129" i="4" s="1"/>
  <c r="CG216" i="3"/>
  <c r="CG133" i="4" s="1"/>
  <c r="CG1447" i="4"/>
  <c r="CG296" i="3"/>
  <c r="CG183" i="4" s="1"/>
  <c r="CG330" i="3"/>
  <c r="CG218" i="3"/>
  <c r="CG135" i="4" s="1"/>
  <c r="CG140" i="4" s="1"/>
  <c r="CG141" i="4" s="1"/>
  <c r="CG242" i="3"/>
  <c r="CG147" i="4" s="1"/>
  <c r="CG152" i="4" s="1"/>
  <c r="CG184" i="3"/>
  <c r="CG121" i="4" s="1"/>
  <c r="CG241" i="3"/>
  <c r="CG146" i="4" s="1"/>
  <c r="CG151" i="4" s="1"/>
  <c r="CG300" i="3"/>
  <c r="CG187" i="4" s="1"/>
  <c r="CG196" i="4" s="1"/>
  <c r="CF24" i="4"/>
  <c r="CF88" i="4" s="1"/>
  <c r="CF1260" i="4" s="1"/>
  <c r="CF199" i="4"/>
  <c r="CF200" i="4" s="1"/>
  <c r="CF153" i="4"/>
  <c r="CF154" i="4" s="1"/>
  <c r="CD739" i="4"/>
  <c r="CH7" i="3"/>
  <c r="CG29" i="4"/>
  <c r="CG1160" i="4"/>
  <c r="CG8" i="11"/>
  <c r="CG8" i="64"/>
  <c r="CG30" i="4"/>
  <c r="CG8" i="4"/>
  <c r="CG1158" i="4"/>
  <c r="CG1159" i="4" s="1"/>
  <c r="CG1156" i="4"/>
  <c r="CG28" i="4"/>
  <c r="CG8" i="66"/>
  <c r="CG1184" i="4"/>
  <c r="CG314" i="4"/>
  <c r="CG1183" i="4"/>
  <c r="CG1409" i="4"/>
  <c r="CG8" i="62"/>
  <c r="CG54" i="62" s="1"/>
  <c r="CF287" i="4"/>
  <c r="CF324" i="4" s="1"/>
  <c r="CF34" i="66"/>
  <c r="CF642" i="3"/>
  <c r="CG15" i="4"/>
  <c r="CG6" i="4"/>
  <c r="CF22" i="4"/>
  <c r="CG21" i="4"/>
  <c r="CF540" i="4"/>
  <c r="CF542" i="4" s="1"/>
  <c r="CF76" i="4"/>
  <c r="CF77" i="4" s="1"/>
  <c r="CF78" i="4"/>
  <c r="CF9" i="11"/>
  <c r="CF9" i="62"/>
  <c r="CF60" i="62"/>
  <c r="CF9" i="3"/>
  <c r="CF9" i="4"/>
  <c r="CF9" i="66"/>
  <c r="CF9" i="64"/>
  <c r="CF83" i="4"/>
  <c r="CF84" i="4" s="1"/>
  <c r="CF142" i="4"/>
  <c r="CG82" i="4" l="1"/>
  <c r="CG75" i="4"/>
  <c r="CF731" i="4"/>
  <c r="CF732" i="4"/>
  <c r="CF722" i="4"/>
  <c r="BR956" i="4"/>
  <c r="BP282" i="4"/>
  <c r="BQ268" i="4"/>
  <c r="BQ282" i="4" s="1"/>
  <c r="BQ212" i="4"/>
  <c r="BQ170" i="4"/>
  <c r="BQ266" i="4"/>
  <c r="BQ280" i="4" s="1"/>
  <c r="BQ163" i="4"/>
  <c r="BQ265" i="4"/>
  <c r="BQ270" i="4"/>
  <c r="BQ284" i="4" s="1"/>
  <c r="BQ235" i="4"/>
  <c r="BR231" i="4"/>
  <c r="BS85" i="4"/>
  <c r="BR234" i="4"/>
  <c r="BR256" i="4"/>
  <c r="BR255" i="4"/>
  <c r="BR208" i="4"/>
  <c r="BR174" i="4"/>
  <c r="BR160" i="4"/>
  <c r="BR167" i="4"/>
  <c r="BR162" i="4"/>
  <c r="BR233" i="4"/>
  <c r="BR204" i="4"/>
  <c r="BR205" i="4"/>
  <c r="BR257" i="4"/>
  <c r="BR173" i="4"/>
  <c r="BR168" i="4"/>
  <c r="BR161" i="4"/>
  <c r="BR207" i="4"/>
  <c r="BR269" i="4" s="1"/>
  <c r="BR283" i="4" s="1"/>
  <c r="BR169" i="4"/>
  <c r="BR254" i="4"/>
  <c r="BR166" i="4"/>
  <c r="BR209" i="4"/>
  <c r="BR159" i="4"/>
  <c r="BR232" i="4"/>
  <c r="BR206" i="4"/>
  <c r="BR175" i="4"/>
  <c r="BR210" i="4"/>
  <c r="BR176" i="4"/>
  <c r="BR211" i="4"/>
  <c r="BQ271" i="4"/>
  <c r="BQ285" i="4" s="1"/>
  <c r="BQ258" i="4"/>
  <c r="BP276" i="4"/>
  <c r="BP334" i="4"/>
  <c r="BP1037" i="4" s="1"/>
  <c r="BP279" i="4"/>
  <c r="BP260" i="4"/>
  <c r="BS746" i="4"/>
  <c r="BS754" i="4"/>
  <c r="BS941" i="4"/>
  <c r="BS943" i="4"/>
  <c r="BS940" i="4"/>
  <c r="BS942" i="4"/>
  <c r="BO1291" i="4"/>
  <c r="BO33" i="66"/>
  <c r="BO32" i="66" s="1"/>
  <c r="BO65" i="62"/>
  <c r="BO1118" i="4"/>
  <c r="BO1318" i="4"/>
  <c r="BO81" i="11"/>
  <c r="BO82" i="11" s="1"/>
  <c r="BO1387" i="4" s="1"/>
  <c r="BT1109" i="4"/>
  <c r="BT1110" i="4" s="1"/>
  <c r="BT1111" i="4" s="1"/>
  <c r="BT985" i="4" s="1"/>
  <c r="BU79" i="4"/>
  <c r="BT937" i="4"/>
  <c r="BT948" i="4"/>
  <c r="BT953" i="4"/>
  <c r="BT895" i="4"/>
  <c r="BT973" i="4" s="1"/>
  <c r="BT296" i="4" s="1"/>
  <c r="BT936" i="4"/>
  <c r="BT947" i="4"/>
  <c r="BT954" i="4"/>
  <c r="BT938" i="4"/>
  <c r="BT952" i="4"/>
  <c r="BT946" i="4"/>
  <c r="BT951" i="4"/>
  <c r="BT955" i="4"/>
  <c r="BT939" i="4"/>
  <c r="BT743" i="4"/>
  <c r="BT744" i="4"/>
  <c r="BT745" i="4"/>
  <c r="BQ177" i="4"/>
  <c r="BQ267" i="4"/>
  <c r="BQ281" i="4" s="1"/>
  <c r="CF1173" i="4"/>
  <c r="CF1177" i="4" s="1"/>
  <c r="CF1494" i="4" s="1"/>
  <c r="CF717" i="4"/>
  <c r="CF718" i="4"/>
  <c r="CF53" i="62"/>
  <c r="CF65" i="4"/>
  <c r="CF55" i="4"/>
  <c r="CG58" i="4"/>
  <c r="CG219" i="4"/>
  <c r="CG224" i="4" s="1"/>
  <c r="CG243" i="4"/>
  <c r="CG248" i="4" s="1"/>
  <c r="CG249" i="4" s="1"/>
  <c r="CG185" i="4"/>
  <c r="CG194" i="4" s="1"/>
  <c r="CF53" i="4"/>
  <c r="CG57" i="4"/>
  <c r="CG1129" i="4"/>
  <c r="CG18" i="4"/>
  <c r="CG246" i="4"/>
  <c r="CG34" i="4"/>
  <c r="CG41" i="4" s="1"/>
  <c r="CG48" i="4" s="1"/>
  <c r="CG150" i="4"/>
  <c r="CG32" i="4"/>
  <c r="CG39" i="4" s="1"/>
  <c r="CG46" i="4" s="1"/>
  <c r="CG126" i="4"/>
  <c r="CG130" i="4" s="1"/>
  <c r="CG529" i="4"/>
  <c r="CG62" i="4"/>
  <c r="CG528" i="4" s="1"/>
  <c r="CG70" i="4"/>
  <c r="CG543" i="4"/>
  <c r="CG824" i="4"/>
  <c r="CG530" i="4"/>
  <c r="CG54" i="11"/>
  <c r="CG67" i="4"/>
  <c r="CG1042" i="4" s="1"/>
  <c r="CG68" i="4"/>
  <c r="CF63" i="4"/>
  <c r="CF1389" i="4" s="1"/>
  <c r="CG275" i="4"/>
  <c r="CG288" i="4" s="1"/>
  <c r="CG329" i="4" s="1"/>
  <c r="CG414" i="4" s="1"/>
  <c r="CG415" i="4" s="1"/>
  <c r="CH413" i="4" s="1"/>
  <c r="CG1242" i="4"/>
  <c r="CG274" i="4"/>
  <c r="CG335" i="4" s="1"/>
  <c r="CG273" i="4"/>
  <c r="CG1243" i="4"/>
  <c r="CG192" i="4"/>
  <c r="CF1041" i="4"/>
  <c r="CF688" i="4"/>
  <c r="CG1157" i="4"/>
  <c r="CG295" i="4"/>
  <c r="CG303" i="4" s="1"/>
  <c r="CG27" i="66"/>
  <c r="CG1151" i="4"/>
  <c r="CG66" i="4"/>
  <c r="CG28" i="66"/>
  <c r="CG60" i="4"/>
  <c r="CG1263" i="4"/>
  <c r="CF61" i="4"/>
  <c r="CF318" i="4" s="1"/>
  <c r="CF328" i="4" s="1"/>
  <c r="CG223" i="4"/>
  <c r="CH6" i="3"/>
  <c r="CH8" i="3"/>
  <c r="CH7" i="11"/>
  <c r="CH6" i="11" s="1"/>
  <c r="CH7" i="4"/>
  <c r="CH7" i="64"/>
  <c r="CH6" i="64" s="1"/>
  <c r="CH28" i="64" s="1"/>
  <c r="CH30" i="64" s="1"/>
  <c r="CH53" i="64" s="1"/>
  <c r="CH7" i="62"/>
  <c r="CH6" i="62" s="1"/>
  <c r="CH86" i="64"/>
  <c r="CH87" i="64" s="1"/>
  <c r="CH7" i="66"/>
  <c r="CH6" i="66" s="1"/>
  <c r="CF544" i="4"/>
  <c r="CF690" i="4"/>
  <c r="CG138" i="4"/>
  <c r="CG33" i="4"/>
  <c r="CG40" i="4" s="1"/>
  <c r="CG47" i="4" s="1"/>
  <c r="CG17" i="4"/>
  <c r="CG19" i="4"/>
  <c r="CG20" i="4" s="1"/>
  <c r="CE736" i="4"/>
  <c r="CF737" i="4"/>
  <c r="CE737" i="4"/>
  <c r="CG35" i="4" l="1"/>
  <c r="CG42" i="4" s="1"/>
  <c r="CG49" i="4" s="1"/>
  <c r="CG36" i="4"/>
  <c r="CG43" i="4" s="1"/>
  <c r="CG50" i="4" s="1"/>
  <c r="CF736" i="4"/>
  <c r="BS956" i="4"/>
  <c r="BR235" i="4"/>
  <c r="BR270" i="4"/>
  <c r="BR284" i="4" s="1"/>
  <c r="BR163" i="4"/>
  <c r="BR265" i="4"/>
  <c r="BR177" i="4"/>
  <c r="BR267" i="4"/>
  <c r="BR281" i="4" s="1"/>
  <c r="BU1109" i="4"/>
  <c r="BU1110" i="4" s="1"/>
  <c r="BU1111" i="4" s="1"/>
  <c r="BU985" i="4" s="1"/>
  <c r="BU937" i="4"/>
  <c r="BU951" i="4"/>
  <c r="BU955" i="4"/>
  <c r="BU946" i="4"/>
  <c r="BU895" i="4"/>
  <c r="BU973" i="4" s="1"/>
  <c r="BU296" i="4" s="1"/>
  <c r="BU954" i="4"/>
  <c r="BU948" i="4"/>
  <c r="BV79" i="4"/>
  <c r="BU939" i="4"/>
  <c r="BU952" i="4"/>
  <c r="BU947" i="4"/>
  <c r="BU953" i="4"/>
  <c r="BU936" i="4"/>
  <c r="BU938" i="4"/>
  <c r="BU743" i="4"/>
  <c r="BU744" i="4"/>
  <c r="BU745" i="4"/>
  <c r="BP65" i="62"/>
  <c r="BP1118" i="4"/>
  <c r="BP33" i="66"/>
  <c r="BP32" i="66" s="1"/>
  <c r="BP1291" i="4"/>
  <c r="BP1318" i="4"/>
  <c r="BP81" i="11"/>
  <c r="BP82" i="11" s="1"/>
  <c r="BP1387" i="4" s="1"/>
  <c r="BT754" i="4"/>
  <c r="BT746" i="4"/>
  <c r="BR266" i="4"/>
  <c r="BR280" i="4" s="1"/>
  <c r="BR170" i="4"/>
  <c r="BT943" i="4"/>
  <c r="BT942" i="4"/>
  <c r="BT940" i="4"/>
  <c r="BT941" i="4"/>
  <c r="BR271" i="4"/>
  <c r="BR285" i="4" s="1"/>
  <c r="BR258" i="4"/>
  <c r="BR212" i="4"/>
  <c r="BR268" i="4"/>
  <c r="BR282" i="4" s="1"/>
  <c r="BQ334" i="4"/>
  <c r="BQ1037" i="4" s="1"/>
  <c r="BQ276" i="4"/>
  <c r="BQ279" i="4"/>
  <c r="BQ289" i="4" s="1"/>
  <c r="BP289" i="4"/>
  <c r="BS210" i="4"/>
  <c r="BT85" i="4"/>
  <c r="BS204" i="4"/>
  <c r="BS173" i="4"/>
  <c r="BS256" i="4"/>
  <c r="BS255" i="4"/>
  <c r="BS209" i="4"/>
  <c r="BS234" i="4"/>
  <c r="BS176" i="4"/>
  <c r="BS232" i="4"/>
  <c r="BS167" i="4"/>
  <c r="BS231" i="4"/>
  <c r="BS233" i="4"/>
  <c r="BS161" i="4"/>
  <c r="BS257" i="4"/>
  <c r="BS211" i="4"/>
  <c r="BS159" i="4"/>
  <c r="BS169" i="4"/>
  <c r="BS207" i="4"/>
  <c r="BS269" i="4" s="1"/>
  <c r="BS283" i="4" s="1"/>
  <c r="BS175" i="4"/>
  <c r="BS205" i="4"/>
  <c r="BS206" i="4"/>
  <c r="BS162" i="4"/>
  <c r="BS208" i="4"/>
  <c r="BS166" i="4"/>
  <c r="BS168" i="4"/>
  <c r="BS160" i="4"/>
  <c r="BS254" i="4"/>
  <c r="BS174" i="4"/>
  <c r="BQ260" i="4"/>
  <c r="CH331" i="3"/>
  <c r="CH220" i="4" s="1"/>
  <c r="CH225" i="4" s="1"/>
  <c r="CH226" i="4" s="1"/>
  <c r="CH16" i="4"/>
  <c r="CG15" i="66"/>
  <c r="CG37" i="4"/>
  <c r="CG44" i="4" s="1"/>
  <c r="CG51" i="4" s="1"/>
  <c r="CG250" i="4"/>
  <c r="CG1036" i="4"/>
  <c r="CH355" i="3"/>
  <c r="CH241" i="4" s="1"/>
  <c r="CH298" i="3"/>
  <c r="CH185" i="4" s="1"/>
  <c r="CH194" i="4" s="1"/>
  <c r="CH301" i="3"/>
  <c r="CH188" i="4" s="1"/>
  <c r="CH197" i="4" s="1"/>
  <c r="CH218" i="3"/>
  <c r="CH135" i="4" s="1"/>
  <c r="CH140" i="4" s="1"/>
  <c r="CH141" i="4" s="1"/>
  <c r="CH240" i="3"/>
  <c r="CH145" i="4" s="1"/>
  <c r="CG54" i="4"/>
  <c r="CG55" i="4" s="1"/>
  <c r="CG198" i="4"/>
  <c r="CG199" i="4" s="1"/>
  <c r="CG200" i="4" s="1"/>
  <c r="CG227" i="4"/>
  <c r="CH329" i="3"/>
  <c r="CH218" i="4" s="1"/>
  <c r="CH184" i="3"/>
  <c r="CH121" i="4" s="1"/>
  <c r="CH216" i="3"/>
  <c r="CH133" i="4" s="1"/>
  <c r="CH297" i="3"/>
  <c r="CH184" i="4" s="1"/>
  <c r="CH193" i="4" s="1"/>
  <c r="CH186" i="3"/>
  <c r="CH123" i="4" s="1"/>
  <c r="CH128" i="4" s="1"/>
  <c r="CH129" i="4" s="1"/>
  <c r="CH1447" i="4"/>
  <c r="CH299" i="3"/>
  <c r="CH186" i="4" s="1"/>
  <c r="CH195" i="4" s="1"/>
  <c r="CH241" i="3"/>
  <c r="CH356" i="3"/>
  <c r="CH242" i="4" s="1"/>
  <c r="CH247" i="4" s="1"/>
  <c r="CH242" i="3"/>
  <c r="CH296" i="3"/>
  <c r="CH183" i="4" s="1"/>
  <c r="CH300" i="3"/>
  <c r="CH187" i="4" s="1"/>
  <c r="CH196" i="4" s="1"/>
  <c r="CH217" i="3"/>
  <c r="CH134" i="4" s="1"/>
  <c r="CH139" i="4" s="1"/>
  <c r="CH185" i="3"/>
  <c r="CH122" i="4" s="1"/>
  <c r="CH127" i="4" s="1"/>
  <c r="CH357" i="3"/>
  <c r="CH243" i="4" s="1"/>
  <c r="CH248" i="4" s="1"/>
  <c r="CH249" i="4" s="1"/>
  <c r="CH330" i="3"/>
  <c r="CH219" i="4" s="1"/>
  <c r="CH224" i="4" s="1"/>
  <c r="CG24" i="4"/>
  <c r="CG88" i="4" s="1"/>
  <c r="CG1260" i="4" s="1"/>
  <c r="CG153" i="4"/>
  <c r="CG154" i="4" s="1"/>
  <c r="CH314" i="4"/>
  <c r="CH1409" i="4"/>
  <c r="CH8" i="4"/>
  <c r="CH1156" i="4"/>
  <c r="CH8" i="62"/>
  <c r="CH30" i="4"/>
  <c r="CH67" i="4" s="1"/>
  <c r="CH1042" i="4" s="1"/>
  <c r="CH8" i="66"/>
  <c r="CH8" i="64"/>
  <c r="CH28" i="4"/>
  <c r="CH8" i="11"/>
  <c r="CH1184" i="4"/>
  <c r="CH1158" i="4"/>
  <c r="CH1159" i="4" s="1"/>
  <c r="CH1183" i="4"/>
  <c r="CH1160" i="4"/>
  <c r="CH29" i="4"/>
  <c r="CI7" i="3"/>
  <c r="CG60" i="62"/>
  <c r="CG9" i="4"/>
  <c r="CG9" i="3"/>
  <c r="CG9" i="11"/>
  <c r="CG9" i="62"/>
  <c r="CG9" i="66"/>
  <c r="CG9" i="64"/>
  <c r="CG287" i="4"/>
  <c r="CG324" i="4" s="1"/>
  <c r="CG34" i="66"/>
  <c r="CG642" i="3"/>
  <c r="CG83" i="4"/>
  <c r="CG84" i="4" s="1"/>
  <c r="CG76" i="4"/>
  <c r="CG77" i="4" s="1"/>
  <c r="CG78" i="4"/>
  <c r="CG540" i="4"/>
  <c r="CG542" i="4" s="1"/>
  <c r="CG22" i="4"/>
  <c r="CH21" i="4"/>
  <c r="CG142" i="4"/>
  <c r="CH6" i="4"/>
  <c r="CH15" i="4"/>
  <c r="CG713" i="4"/>
  <c r="CG714" i="4" s="1"/>
  <c r="CF738" i="4"/>
  <c r="CE738" i="4"/>
  <c r="CH75" i="4" l="1"/>
  <c r="CH82" i="4"/>
  <c r="BR260" i="4"/>
  <c r="BR33" i="66" s="1"/>
  <c r="BR32" i="66" s="1"/>
  <c r="BT956" i="4"/>
  <c r="BU746" i="4"/>
  <c r="BS212" i="4"/>
  <c r="BS268" i="4"/>
  <c r="BS282" i="4" s="1"/>
  <c r="BS266" i="4"/>
  <c r="BS280" i="4" s="1"/>
  <c r="BS170" i="4"/>
  <c r="BS265" i="4"/>
  <c r="BS163" i="4"/>
  <c r="BV1109" i="4"/>
  <c r="BV1110" i="4" s="1"/>
  <c r="BV1111" i="4" s="1"/>
  <c r="BV985" i="4" s="1"/>
  <c r="BV955" i="4"/>
  <c r="BV948" i="4"/>
  <c r="BV895" i="4"/>
  <c r="BV973" i="4" s="1"/>
  <c r="BV296" i="4" s="1"/>
  <c r="BV952" i="4"/>
  <c r="BW79" i="4"/>
  <c r="BV953" i="4"/>
  <c r="BV937" i="4"/>
  <c r="BV947" i="4"/>
  <c r="BV951" i="4"/>
  <c r="BV936" i="4"/>
  <c r="BV946" i="4"/>
  <c r="BV938" i="4"/>
  <c r="BV939" i="4"/>
  <c r="BV954" i="4"/>
  <c r="BV744" i="4"/>
  <c r="BV743" i="4"/>
  <c r="BV745" i="4"/>
  <c r="BQ1318" i="4"/>
  <c r="BQ1291" i="4"/>
  <c r="BQ1118" i="4"/>
  <c r="BQ81" i="11"/>
  <c r="BQ82" i="11" s="1"/>
  <c r="BQ1387" i="4" s="1"/>
  <c r="BQ65" i="62"/>
  <c r="BQ33" i="66"/>
  <c r="BQ32" i="66" s="1"/>
  <c r="BU754" i="4"/>
  <c r="BT162" i="4"/>
  <c r="BT174" i="4"/>
  <c r="BT234" i="4"/>
  <c r="BT169" i="4"/>
  <c r="BT207" i="4"/>
  <c r="BT269" i="4" s="1"/>
  <c r="BT283" i="4" s="1"/>
  <c r="BT168" i="4"/>
  <c r="BT206" i="4"/>
  <c r="BT233" i="4"/>
  <c r="BT160" i="4"/>
  <c r="BT175" i="4"/>
  <c r="BT161" i="4"/>
  <c r="BT176" i="4"/>
  <c r="BT208" i="4"/>
  <c r="BT167" i="4"/>
  <c r="BT232" i="4"/>
  <c r="BT254" i="4"/>
  <c r="BT159" i="4"/>
  <c r="BT257" i="4"/>
  <c r="BU85" i="4"/>
  <c r="BT204" i="4"/>
  <c r="BT256" i="4"/>
  <c r="BT255" i="4"/>
  <c r="BT173" i="4"/>
  <c r="BT209" i="4"/>
  <c r="BT231" i="4"/>
  <c r="BT166" i="4"/>
  <c r="BT210" i="4"/>
  <c r="BT205" i="4"/>
  <c r="BT211" i="4"/>
  <c r="BU940" i="4"/>
  <c r="BU942" i="4"/>
  <c r="BU943" i="4"/>
  <c r="BU941" i="4"/>
  <c r="BS271" i="4"/>
  <c r="BS285" i="4" s="1"/>
  <c r="BS258" i="4"/>
  <c r="BS235" i="4"/>
  <c r="BS270" i="4"/>
  <c r="BS284" i="4" s="1"/>
  <c r="BS267" i="4"/>
  <c r="BS281" i="4" s="1"/>
  <c r="BS177" i="4"/>
  <c r="BR279" i="4"/>
  <c r="BR289" i="4" s="1"/>
  <c r="BR276" i="4"/>
  <c r="BR334" i="4"/>
  <c r="BR1037" i="4" s="1"/>
  <c r="CG1173" i="4"/>
  <c r="CG1177" i="4" s="1"/>
  <c r="CG1494" i="4" s="1"/>
  <c r="CG53" i="62"/>
  <c r="CH58" i="4"/>
  <c r="CH529" i="4"/>
  <c r="CG65" i="4"/>
  <c r="CF56" i="4"/>
  <c r="CG722" i="4"/>
  <c r="CG718" i="4"/>
  <c r="CG721" i="4"/>
  <c r="CG717" i="4"/>
  <c r="CH68" i="4"/>
  <c r="CH146" i="4"/>
  <c r="CH151" i="4" s="1"/>
  <c r="CH147" i="4"/>
  <c r="CH152" i="4" s="1"/>
  <c r="CH66" i="4"/>
  <c r="CG53" i="4"/>
  <c r="CH57" i="4"/>
  <c r="CH9" i="66" s="1"/>
  <c r="CH1129" i="4"/>
  <c r="CH642" i="3"/>
  <c r="CH150" i="4"/>
  <c r="CI7" i="11"/>
  <c r="CI6" i="11" s="1"/>
  <c r="CI7" i="4"/>
  <c r="CI86" i="64"/>
  <c r="CI87" i="64" s="1"/>
  <c r="CI7" i="66"/>
  <c r="CI6" i="66" s="1"/>
  <c r="CI7" i="62"/>
  <c r="CI6" i="62" s="1"/>
  <c r="CI7" i="64"/>
  <c r="CI6" i="64" s="1"/>
  <c r="CI28" i="64" s="1"/>
  <c r="CI30" i="64" s="1"/>
  <c r="CI53" i="64" s="1"/>
  <c r="CI8" i="3"/>
  <c r="CI6" i="3"/>
  <c r="CH33" i="4"/>
  <c r="CH40" i="4" s="1"/>
  <c r="CH47" i="4" s="1"/>
  <c r="CH138" i="4"/>
  <c r="CH824" i="4"/>
  <c r="CH530" i="4"/>
  <c r="CH62" i="4"/>
  <c r="CH528" i="4" s="1"/>
  <c r="CH543" i="4"/>
  <c r="CG63" i="4"/>
  <c r="CG1389" i="4" s="1"/>
  <c r="CH54" i="11"/>
  <c r="CH70" i="4"/>
  <c r="CH223" i="4"/>
  <c r="CH36" i="4"/>
  <c r="CH43" i="4" s="1"/>
  <c r="CH50" i="4" s="1"/>
  <c r="CH713" i="4" s="1"/>
  <c r="CH714" i="4" s="1"/>
  <c r="CH198" i="4"/>
  <c r="CH19" i="4"/>
  <c r="CH20" i="4" s="1"/>
  <c r="CH17" i="4"/>
  <c r="CG688" i="4"/>
  <c r="CG1041" i="4"/>
  <c r="CH192" i="4"/>
  <c r="CH35" i="4"/>
  <c r="CH42" i="4" s="1"/>
  <c r="CH49" i="4" s="1"/>
  <c r="CH246" i="4"/>
  <c r="CH37" i="4"/>
  <c r="CH44" i="4" s="1"/>
  <c r="CH51" i="4" s="1"/>
  <c r="CH54" i="62"/>
  <c r="CG690" i="4"/>
  <c r="CG544" i="4"/>
  <c r="CH1263" i="4"/>
  <c r="CH1151" i="4"/>
  <c r="CH28" i="66"/>
  <c r="CH295" i="4"/>
  <c r="CH303" i="4" s="1"/>
  <c r="CH27" i="66"/>
  <c r="CH60" i="4"/>
  <c r="CG61" i="4"/>
  <c r="CG318" i="4" s="1"/>
  <c r="CG328" i="4" s="1"/>
  <c r="CH126" i="4"/>
  <c r="CH32" i="4"/>
  <c r="CH39" i="4" s="1"/>
  <c r="CH46" i="4" s="1"/>
  <c r="CH1242" i="4"/>
  <c r="CH275" i="4"/>
  <c r="CH288" i="4" s="1"/>
  <c r="CH329" i="4" s="1"/>
  <c r="CH414" i="4" s="1"/>
  <c r="CH415" i="4" s="1"/>
  <c r="CI413" i="4" s="1"/>
  <c r="CH274" i="4"/>
  <c r="CH335" i="4" s="1"/>
  <c r="CH1243" i="4"/>
  <c r="CH273" i="4"/>
  <c r="CH18" i="4"/>
  <c r="CH1157" i="4"/>
  <c r="CG732" i="4"/>
  <c r="CG731" i="4"/>
  <c r="CF739" i="4"/>
  <c r="CE739" i="4"/>
  <c r="BR81" i="11" l="1"/>
  <c r="BR82" i="11" s="1"/>
  <c r="BR1387" i="4" s="1"/>
  <c r="BR1291" i="4"/>
  <c r="BR65" i="62"/>
  <c r="BR1118" i="4"/>
  <c r="BR1318" i="4"/>
  <c r="BV754" i="4"/>
  <c r="BU956" i="4"/>
  <c r="BV941" i="4"/>
  <c r="BV942" i="4"/>
  <c r="BV940" i="4"/>
  <c r="BV943" i="4"/>
  <c r="BS276" i="4"/>
  <c r="BS334" i="4"/>
  <c r="BS1037" i="4" s="1"/>
  <c r="BS279" i="4"/>
  <c r="BS289" i="4" s="1"/>
  <c r="BU159" i="4"/>
  <c r="BU207" i="4"/>
  <c r="BU269" i="4" s="1"/>
  <c r="BU283" i="4" s="1"/>
  <c r="BU234" i="4"/>
  <c r="BU173" i="4"/>
  <c r="BU233" i="4"/>
  <c r="BU254" i="4"/>
  <c r="BU255" i="4"/>
  <c r="BU210" i="4"/>
  <c r="BU176" i="4"/>
  <c r="BU231" i="4"/>
  <c r="BU167" i="4"/>
  <c r="BU174" i="4"/>
  <c r="BU168" i="4"/>
  <c r="BU257" i="4"/>
  <c r="BU161" i="4"/>
  <c r="BV85" i="4"/>
  <c r="BU209" i="4"/>
  <c r="BU208" i="4"/>
  <c r="BU256" i="4"/>
  <c r="BU206" i="4"/>
  <c r="BU205" i="4"/>
  <c r="BU169" i="4"/>
  <c r="BU166" i="4"/>
  <c r="BU175" i="4"/>
  <c r="BU204" i="4"/>
  <c r="BU232" i="4"/>
  <c r="BU162" i="4"/>
  <c r="BU211" i="4"/>
  <c r="BU160" i="4"/>
  <c r="BV746" i="4"/>
  <c r="BT170" i="4"/>
  <c r="BT266" i="4"/>
  <c r="BT280" i="4" s="1"/>
  <c r="BT212" i="4"/>
  <c r="BT268" i="4"/>
  <c r="BT282" i="4" s="1"/>
  <c r="BT235" i="4"/>
  <c r="BT270" i="4"/>
  <c r="BT284" i="4" s="1"/>
  <c r="BT265" i="4"/>
  <c r="BT163" i="4"/>
  <c r="BT271" i="4"/>
  <c r="BT285" i="4" s="1"/>
  <c r="BT258" i="4"/>
  <c r="BW1109" i="4"/>
  <c r="BW1110" i="4" s="1"/>
  <c r="BW1111" i="4" s="1"/>
  <c r="BW985" i="4" s="1"/>
  <c r="BW955" i="4"/>
  <c r="BW938" i="4"/>
  <c r="BX79" i="4"/>
  <c r="BW947" i="4"/>
  <c r="BW936" i="4"/>
  <c r="BW946" i="4"/>
  <c r="BW939" i="4"/>
  <c r="BW948" i="4"/>
  <c r="BW951" i="4"/>
  <c r="BW952" i="4"/>
  <c r="BW895" i="4"/>
  <c r="BW973" i="4" s="1"/>
  <c r="BW296" i="4" s="1"/>
  <c r="BW937" i="4"/>
  <c r="BW953" i="4"/>
  <c r="BW954" i="4"/>
  <c r="BW743" i="4"/>
  <c r="BW744" i="4"/>
  <c r="BW745" i="4"/>
  <c r="BT177" i="4"/>
  <c r="BT267" i="4"/>
  <c r="BT281" i="4" s="1"/>
  <c r="BS260" i="4"/>
  <c r="CI299" i="3"/>
  <c r="CI186" i="4" s="1"/>
  <c r="CI195" i="4" s="1"/>
  <c r="CI16" i="4"/>
  <c r="CH15" i="66"/>
  <c r="CH1036" i="4"/>
  <c r="CH153" i="4"/>
  <c r="CH154" i="4" s="1"/>
  <c r="CH34" i="4"/>
  <c r="CH41" i="4" s="1"/>
  <c r="CH48" i="4" s="1"/>
  <c r="CI184" i="3"/>
  <c r="CI121" i="4" s="1"/>
  <c r="CI216" i="3"/>
  <c r="CI133" i="4" s="1"/>
  <c r="CI301" i="3"/>
  <c r="CI188" i="4" s="1"/>
  <c r="CI197" i="4" s="1"/>
  <c r="CI242" i="3"/>
  <c r="CI147" i="4" s="1"/>
  <c r="CI152" i="4" s="1"/>
  <c r="CI1447" i="4"/>
  <c r="CH54" i="4"/>
  <c r="CH65" i="4" s="1"/>
  <c r="CH721" i="4"/>
  <c r="CH718" i="4"/>
  <c r="CH717" i="4"/>
  <c r="CH722" i="4"/>
  <c r="CI186" i="3"/>
  <c r="CI123" i="4" s="1"/>
  <c r="CI128" i="4" s="1"/>
  <c r="CI129" i="4" s="1"/>
  <c r="CI300" i="3"/>
  <c r="CI187" i="4" s="1"/>
  <c r="CI196" i="4" s="1"/>
  <c r="CI357" i="3"/>
  <c r="CI243" i="4" s="1"/>
  <c r="CI248" i="4" s="1"/>
  <c r="CI249" i="4" s="1"/>
  <c r="CI329" i="3"/>
  <c r="CI218" i="4" s="1"/>
  <c r="CI330" i="3"/>
  <c r="CI219" i="4" s="1"/>
  <c r="CI224" i="4" s="1"/>
  <c r="CI241" i="3"/>
  <c r="CI297" i="3"/>
  <c r="CI184" i="4" s="1"/>
  <c r="CI193" i="4" s="1"/>
  <c r="CI298" i="3"/>
  <c r="CI185" i="4" s="1"/>
  <c r="CI194" i="4" s="1"/>
  <c r="CI331" i="3"/>
  <c r="CI220" i="4" s="1"/>
  <c r="CI225" i="4" s="1"/>
  <c r="CI226" i="4" s="1"/>
  <c r="CI218" i="3"/>
  <c r="CI240" i="3"/>
  <c r="CI145" i="4" s="1"/>
  <c r="CI355" i="3"/>
  <c r="CI296" i="3"/>
  <c r="CI183" i="4" s="1"/>
  <c r="CI356" i="3"/>
  <c r="CI242" i="4" s="1"/>
  <c r="CI247" i="4" s="1"/>
  <c r="CI185" i="3"/>
  <c r="CI122" i="4" s="1"/>
  <c r="CI127" i="4" s="1"/>
  <c r="CI217" i="3"/>
  <c r="CI134" i="4" s="1"/>
  <c r="CI139" i="4" s="1"/>
  <c r="CH9" i="62"/>
  <c r="CH9" i="4"/>
  <c r="CH688" i="4"/>
  <c r="CH1041" i="4"/>
  <c r="CH34" i="66"/>
  <c r="CH287" i="4"/>
  <c r="CH324" i="4" s="1"/>
  <c r="CH250" i="4"/>
  <c r="CH76" i="4"/>
  <c r="CH77" i="4" s="1"/>
  <c r="CH199" i="4"/>
  <c r="CI8" i="64"/>
  <c r="CI28" i="4"/>
  <c r="CI30" i="4"/>
  <c r="CI8" i="11"/>
  <c r="CI1183" i="4"/>
  <c r="CI1409" i="4"/>
  <c r="CI1184" i="4"/>
  <c r="CI314" i="4"/>
  <c r="CI29" i="4"/>
  <c r="CI1158" i="4"/>
  <c r="CI1159" i="4" s="1"/>
  <c r="CI1160" i="4"/>
  <c r="CJ7" i="3"/>
  <c r="CI8" i="66"/>
  <c r="CI8" i="62"/>
  <c r="CI54" i="62" s="1"/>
  <c r="CI8" i="4"/>
  <c r="CI1156" i="4"/>
  <c r="CH83" i="4"/>
  <c r="CH84" i="4" s="1"/>
  <c r="CH9" i="3"/>
  <c r="CH60" i="62"/>
  <c r="CH731" i="4"/>
  <c r="CH732" i="4"/>
  <c r="CH24" i="4"/>
  <c r="CH88" i="4" s="1"/>
  <c r="CH1260" i="4" s="1"/>
  <c r="CH227" i="4"/>
  <c r="CH540" i="4"/>
  <c r="CH542" i="4" s="1"/>
  <c r="CH78" i="4"/>
  <c r="CH9" i="64"/>
  <c r="CH22" i="4"/>
  <c r="CI21" i="4"/>
  <c r="CH130" i="4"/>
  <c r="CH9" i="11"/>
  <c r="CH142" i="4"/>
  <c r="CI15" i="4"/>
  <c r="CI6" i="4"/>
  <c r="CG737" i="4"/>
  <c r="CG736" i="4"/>
  <c r="CI75" i="4" l="1"/>
  <c r="CI82" i="4"/>
  <c r="BV956" i="4"/>
  <c r="BW746" i="4"/>
  <c r="BU267" i="4"/>
  <c r="BU281" i="4" s="1"/>
  <c r="BU177" i="4"/>
  <c r="BW754" i="4"/>
  <c r="BT260" i="4"/>
  <c r="BU258" i="4"/>
  <c r="BU271" i="4"/>
  <c r="BU285" i="4" s="1"/>
  <c r="BS1318" i="4"/>
  <c r="BS33" i="66"/>
  <c r="BS32" i="66" s="1"/>
  <c r="BS1291" i="4"/>
  <c r="BS65" i="62"/>
  <c r="BS1118" i="4"/>
  <c r="BS81" i="11"/>
  <c r="BS82" i="11" s="1"/>
  <c r="BS1387" i="4" s="1"/>
  <c r="BU270" i="4"/>
  <c r="BU284" i="4" s="1"/>
  <c r="BU235" i="4"/>
  <c r="BU212" i="4"/>
  <c r="BU268" i="4"/>
  <c r="BU282" i="4" s="1"/>
  <c r="BU265" i="4"/>
  <c r="BU163" i="4"/>
  <c r="BW940" i="4"/>
  <c r="BW942" i="4"/>
  <c r="BW943" i="4"/>
  <c r="BW941" i="4"/>
  <c r="BV173" i="4"/>
  <c r="BV209" i="4"/>
  <c r="BW85" i="4"/>
  <c r="BV169" i="4"/>
  <c r="BV233" i="4"/>
  <c r="BV204" i="4"/>
  <c r="BV206" i="4"/>
  <c r="BV159" i="4"/>
  <c r="BV207" i="4"/>
  <c r="BV269" i="4" s="1"/>
  <c r="BV283" i="4" s="1"/>
  <c r="BV232" i="4"/>
  <c r="BV166" i="4"/>
  <c r="BV175" i="4"/>
  <c r="BV254" i="4"/>
  <c r="BV255" i="4"/>
  <c r="BV176" i="4"/>
  <c r="BV231" i="4"/>
  <c r="BV161" i="4"/>
  <c r="BV211" i="4"/>
  <c r="BV208" i="4"/>
  <c r="BV162" i="4"/>
  <c r="BV210" i="4"/>
  <c r="BV205" i="4"/>
  <c r="BV256" i="4"/>
  <c r="BV174" i="4"/>
  <c r="BV257" i="4"/>
  <c r="BV234" i="4"/>
  <c r="BV167" i="4"/>
  <c r="BV168" i="4"/>
  <c r="BV160" i="4"/>
  <c r="BX1109" i="4"/>
  <c r="BX1110" i="4" s="1"/>
  <c r="BX1111" i="4" s="1"/>
  <c r="BX985" i="4" s="1"/>
  <c r="BX953" i="4"/>
  <c r="BX895" i="4"/>
  <c r="BX973" i="4" s="1"/>
  <c r="BX296" i="4" s="1"/>
  <c r="BX951" i="4"/>
  <c r="BX952" i="4"/>
  <c r="BX936" i="4"/>
  <c r="BX946" i="4"/>
  <c r="BX947" i="4"/>
  <c r="BX948" i="4"/>
  <c r="BX955" i="4"/>
  <c r="BX938" i="4"/>
  <c r="BY79" i="4"/>
  <c r="BX937" i="4"/>
  <c r="BX939" i="4"/>
  <c r="BX954" i="4"/>
  <c r="BX744" i="4"/>
  <c r="BX743" i="4"/>
  <c r="BX745" i="4"/>
  <c r="BT334" i="4"/>
  <c r="BT1037" i="4" s="1"/>
  <c r="BT276" i="4"/>
  <c r="BT279" i="4"/>
  <c r="BT289" i="4" s="1"/>
  <c r="BU170" i="4"/>
  <c r="BU266" i="4"/>
  <c r="BU280" i="4" s="1"/>
  <c r="CH53" i="62"/>
  <c r="CH1173" i="4"/>
  <c r="CH1177" i="4" s="1"/>
  <c r="CH1494" i="4" s="1"/>
  <c r="CI58" i="4"/>
  <c r="CG56" i="4"/>
  <c r="CH55" i="4"/>
  <c r="CI135" i="4"/>
  <c r="CI140" i="4" s="1"/>
  <c r="CI141" i="4" s="1"/>
  <c r="CI146" i="4"/>
  <c r="CI151" i="4" s="1"/>
  <c r="CI241" i="4"/>
  <c r="CI37" i="4" s="1"/>
  <c r="CI44" i="4" s="1"/>
  <c r="CI51" i="4" s="1"/>
  <c r="CI57" i="4"/>
  <c r="CI9" i="4" s="1"/>
  <c r="CH53" i="4"/>
  <c r="CI1129" i="4"/>
  <c r="CH736" i="4"/>
  <c r="CJ7" i="4"/>
  <c r="CJ6" i="3"/>
  <c r="CJ7" i="62"/>
  <c r="CJ6" i="62" s="1"/>
  <c r="CJ7" i="11"/>
  <c r="CJ6" i="11" s="1"/>
  <c r="CJ8" i="3"/>
  <c r="CJ7" i="66"/>
  <c r="CJ6" i="66" s="1"/>
  <c r="CJ86" i="64"/>
  <c r="CJ87" i="64" s="1"/>
  <c r="CJ7" i="64"/>
  <c r="CJ6" i="64" s="1"/>
  <c r="CJ28" i="64" s="1"/>
  <c r="CJ30" i="64" s="1"/>
  <c r="CJ53" i="64" s="1"/>
  <c r="CI18" i="4"/>
  <c r="CI198" i="4"/>
  <c r="CI138" i="4"/>
  <c r="CI126" i="4"/>
  <c r="CI130" i="4" s="1"/>
  <c r="CI32" i="4"/>
  <c r="CI39" i="4" s="1"/>
  <c r="CI46" i="4" s="1"/>
  <c r="CI1157" i="4"/>
  <c r="CI60" i="4"/>
  <c r="CI27" i="66"/>
  <c r="CH61" i="4"/>
  <c r="CH318" i="4" s="1"/>
  <c r="CH328" i="4" s="1"/>
  <c r="CI1151" i="4"/>
  <c r="CI1263" i="4"/>
  <c r="CI28" i="66"/>
  <c r="CI66" i="4"/>
  <c r="CI295" i="4"/>
  <c r="CI303" i="4" s="1"/>
  <c r="CI192" i="4"/>
  <c r="CI35" i="4"/>
  <c r="CI42" i="4" s="1"/>
  <c r="CI49" i="4" s="1"/>
  <c r="CI17" i="4"/>
  <c r="CI19" i="4"/>
  <c r="CI20" i="4" s="1"/>
  <c r="CI223" i="4"/>
  <c r="CI227" i="4" s="1"/>
  <c r="CI36" i="4"/>
  <c r="CI43" i="4" s="1"/>
  <c r="CI50" i="4" s="1"/>
  <c r="CI713" i="4" s="1"/>
  <c r="CI529" i="4"/>
  <c r="CI70" i="4"/>
  <c r="CI68" i="4"/>
  <c r="CH63" i="4"/>
  <c r="CI530" i="4"/>
  <c r="CI54" i="11"/>
  <c r="CI62" i="4"/>
  <c r="CI528" i="4" s="1"/>
  <c r="CI824" i="4"/>
  <c r="CI67" i="4"/>
  <c r="CI1042" i="4" s="1"/>
  <c r="CI543" i="4"/>
  <c r="CH690" i="4"/>
  <c r="CH544" i="4"/>
  <c r="CI273" i="4"/>
  <c r="CI1243" i="4"/>
  <c r="CI275" i="4"/>
  <c r="CI288" i="4" s="1"/>
  <c r="CI329" i="4" s="1"/>
  <c r="CI414" i="4" s="1"/>
  <c r="CI415" i="4" s="1"/>
  <c r="CJ413" i="4" s="1"/>
  <c r="CI1242" i="4"/>
  <c r="CI274" i="4"/>
  <c r="CI335" i="4" s="1"/>
  <c r="CI150" i="4"/>
  <c r="CH200" i="4"/>
  <c r="CH737" i="4"/>
  <c r="CG738" i="4"/>
  <c r="CI540" i="4" l="1"/>
  <c r="CI246" i="4"/>
  <c r="CI250" i="4" s="1"/>
  <c r="BX754" i="4"/>
  <c r="BW956" i="4"/>
  <c r="BU260" i="4"/>
  <c r="BV270" i="4"/>
  <c r="BV284" i="4" s="1"/>
  <c r="BV235" i="4"/>
  <c r="BV163" i="4"/>
  <c r="BV265" i="4"/>
  <c r="BU334" i="4"/>
  <c r="BU1037" i="4" s="1"/>
  <c r="BU276" i="4"/>
  <c r="BU279" i="4"/>
  <c r="BU289" i="4" s="1"/>
  <c r="BV212" i="4"/>
  <c r="BV268" i="4"/>
  <c r="BV282" i="4" s="1"/>
  <c r="BX940" i="4"/>
  <c r="BX942" i="4"/>
  <c r="BX941" i="4"/>
  <c r="BX943" i="4"/>
  <c r="BV271" i="4"/>
  <c r="BV285" i="4" s="1"/>
  <c r="BV258" i="4"/>
  <c r="BV177" i="4"/>
  <c r="BV267" i="4"/>
  <c r="BT1291" i="4"/>
  <c r="BT81" i="11"/>
  <c r="BT82" i="11" s="1"/>
  <c r="BT1387" i="4" s="1"/>
  <c r="BT1318" i="4"/>
  <c r="BT65" i="62"/>
  <c r="BT1118" i="4"/>
  <c r="BT33" i="66"/>
  <c r="BT32" i="66" s="1"/>
  <c r="BX746" i="4"/>
  <c r="BY1109" i="4"/>
  <c r="BY1110" i="4" s="1"/>
  <c r="BY1111" i="4" s="1"/>
  <c r="BY985" i="4" s="1"/>
  <c r="BY952" i="4"/>
  <c r="BY948" i="4"/>
  <c r="BY955" i="4"/>
  <c r="BY937" i="4"/>
  <c r="BY936" i="4"/>
  <c r="BY938" i="4"/>
  <c r="BY895" i="4"/>
  <c r="BY973" i="4" s="1"/>
  <c r="BY296" i="4" s="1"/>
  <c r="BY947" i="4"/>
  <c r="BY953" i="4"/>
  <c r="BY939" i="4"/>
  <c r="BY954" i="4"/>
  <c r="BY946" i="4"/>
  <c r="BY951" i="4"/>
  <c r="BZ79" i="4"/>
  <c r="BY744" i="4"/>
  <c r="BY743" i="4"/>
  <c r="BY745" i="4"/>
  <c r="BV266" i="4"/>
  <c r="BV280" i="4" s="1"/>
  <c r="BV170" i="4"/>
  <c r="BW210" i="4"/>
  <c r="BW208" i="4"/>
  <c r="BW176" i="4"/>
  <c r="BW232" i="4"/>
  <c r="BW173" i="4"/>
  <c r="BW206" i="4"/>
  <c r="BW209" i="4"/>
  <c r="BW234" i="4"/>
  <c r="BW205" i="4"/>
  <c r="BW175" i="4"/>
  <c r="BW159" i="4"/>
  <c r="BW257" i="4"/>
  <c r="BW174" i="4"/>
  <c r="BW162" i="4"/>
  <c r="BW255" i="4"/>
  <c r="BW168" i="4"/>
  <c r="BW256" i="4"/>
  <c r="BW169" i="4"/>
  <c r="BW166" i="4"/>
  <c r="BW160" i="4"/>
  <c r="BW231" i="4"/>
  <c r="BW204" i="4"/>
  <c r="BX85" i="4"/>
  <c r="BW167" i="4"/>
  <c r="BW207" i="4"/>
  <c r="BW269" i="4" s="1"/>
  <c r="BW283" i="4" s="1"/>
  <c r="BW254" i="4"/>
  <c r="BW233" i="4"/>
  <c r="BW161" i="4"/>
  <c r="BW211" i="4"/>
  <c r="CI15" i="66"/>
  <c r="CJ301" i="3"/>
  <c r="CJ188" i="4" s="1"/>
  <c r="CJ197" i="4" s="1"/>
  <c r="CJ16" i="4"/>
  <c r="CI1036" i="4"/>
  <c r="CI34" i="4"/>
  <c r="CI41" i="4" s="1"/>
  <c r="CI48" i="4" s="1"/>
  <c r="CJ186" i="3"/>
  <c r="CJ123" i="4" s="1"/>
  <c r="CJ128" i="4" s="1"/>
  <c r="CJ129" i="4" s="1"/>
  <c r="CJ356" i="3"/>
  <c r="CJ242" i="4" s="1"/>
  <c r="CJ247" i="4" s="1"/>
  <c r="CJ329" i="3"/>
  <c r="CJ218" i="4" s="1"/>
  <c r="CI54" i="4"/>
  <c r="CH56" i="4" s="1"/>
  <c r="CJ216" i="3"/>
  <c r="CJ133" i="4" s="1"/>
  <c r="CJ184" i="3"/>
  <c r="CJ121" i="4" s="1"/>
  <c r="CJ299" i="3"/>
  <c r="CJ186" i="4" s="1"/>
  <c r="CJ195" i="4" s="1"/>
  <c r="CJ1447" i="4"/>
  <c r="CJ242" i="3"/>
  <c r="CJ147" i="4" s="1"/>
  <c r="CJ152" i="4" s="1"/>
  <c r="CJ300" i="3"/>
  <c r="CJ331" i="3"/>
  <c r="CJ220" i="4" s="1"/>
  <c r="CJ225" i="4" s="1"/>
  <c r="CJ226" i="4" s="1"/>
  <c r="CJ185" i="3"/>
  <c r="CJ122" i="4" s="1"/>
  <c r="CJ127" i="4" s="1"/>
  <c r="CJ218" i="3"/>
  <c r="CJ135" i="4" s="1"/>
  <c r="CJ140" i="4" s="1"/>
  <c r="CJ141" i="4" s="1"/>
  <c r="CJ330" i="3"/>
  <c r="CJ219" i="4" s="1"/>
  <c r="CJ224" i="4" s="1"/>
  <c r="CI33" i="4"/>
  <c r="CI40" i="4" s="1"/>
  <c r="CI47" i="4" s="1"/>
  <c r="CJ297" i="3"/>
  <c r="CJ184" i="4" s="1"/>
  <c r="CJ193" i="4" s="1"/>
  <c r="CJ357" i="3"/>
  <c r="CJ243" i="4" s="1"/>
  <c r="CJ248" i="4" s="1"/>
  <c r="CJ249" i="4" s="1"/>
  <c r="CJ240" i="3"/>
  <c r="CJ145" i="4" s="1"/>
  <c r="CI142" i="4"/>
  <c r="CJ296" i="3"/>
  <c r="CJ183" i="4" s="1"/>
  <c r="CJ298" i="3"/>
  <c r="CJ185" i="4" s="1"/>
  <c r="CJ194" i="4" s="1"/>
  <c r="CJ241" i="3"/>
  <c r="CJ146" i="4" s="1"/>
  <c r="CJ151" i="4" s="1"/>
  <c r="CJ217" i="3"/>
  <c r="CJ355" i="3"/>
  <c r="CJ241" i="4" s="1"/>
  <c r="CI153" i="4"/>
  <c r="CI154" i="4" s="1"/>
  <c r="CI24" i="4"/>
  <c r="CI88" i="4" s="1"/>
  <c r="CI1260" i="4" s="1"/>
  <c r="CI542" i="4"/>
  <c r="CI544" i="4" s="1"/>
  <c r="CI287" i="4"/>
  <c r="CI324" i="4" s="1"/>
  <c r="CI34" i="66"/>
  <c r="CI83" i="4"/>
  <c r="CI84" i="4" s="1"/>
  <c r="CJ6" i="4"/>
  <c r="CJ15" i="4"/>
  <c r="CI76" i="4"/>
  <c r="CI77" i="4" s="1"/>
  <c r="CI642" i="3"/>
  <c r="CI199" i="4"/>
  <c r="CI9" i="3"/>
  <c r="CI9" i="64"/>
  <c r="CI9" i="62"/>
  <c r="CI9" i="66"/>
  <c r="CI60" i="62"/>
  <c r="CI9" i="11"/>
  <c r="CJ8" i="4"/>
  <c r="CJ8" i="11"/>
  <c r="CJ314" i="4"/>
  <c r="CJ1156" i="4"/>
  <c r="CJ28" i="4"/>
  <c r="CJ8" i="64"/>
  <c r="CJ1409" i="4"/>
  <c r="CK7" i="3"/>
  <c r="CJ30" i="4"/>
  <c r="CJ1184" i="4"/>
  <c r="CJ8" i="62"/>
  <c r="CJ54" i="62" s="1"/>
  <c r="CJ29" i="4"/>
  <c r="CJ1160" i="4"/>
  <c r="CJ1158" i="4"/>
  <c r="CJ1159" i="4" s="1"/>
  <c r="CJ8" i="66"/>
  <c r="CJ1183" i="4"/>
  <c r="CI731" i="4"/>
  <c r="CI714" i="4"/>
  <c r="CI732" i="4"/>
  <c r="CI78" i="4"/>
  <c r="CG739" i="4"/>
  <c r="CI22" i="4"/>
  <c r="CJ21" i="4"/>
  <c r="CH738" i="4"/>
  <c r="CJ82" i="4" l="1"/>
  <c r="CJ75" i="4"/>
  <c r="BY746" i="4"/>
  <c r="BX956" i="4"/>
  <c r="BY943" i="4"/>
  <c r="BY941" i="4"/>
  <c r="BY940" i="4"/>
  <c r="BY942" i="4"/>
  <c r="BX159" i="4"/>
  <c r="BX211" i="4"/>
  <c r="BX257" i="4"/>
  <c r="BX167" i="4"/>
  <c r="BX255" i="4"/>
  <c r="BX207" i="4"/>
  <c r="BX269" i="4" s="1"/>
  <c r="BX283" i="4" s="1"/>
  <c r="BX173" i="4"/>
  <c r="BX209" i="4"/>
  <c r="BX176" i="4"/>
  <c r="BX162" i="4"/>
  <c r="BX231" i="4"/>
  <c r="BX254" i="4"/>
  <c r="BX161" i="4"/>
  <c r="BX169" i="4"/>
  <c r="BX206" i="4"/>
  <c r="BX208" i="4"/>
  <c r="BY85" i="4"/>
  <c r="BX210" i="4"/>
  <c r="BX233" i="4"/>
  <c r="BX174" i="4"/>
  <c r="BX168" i="4"/>
  <c r="BX166" i="4"/>
  <c r="BX160" i="4"/>
  <c r="BX205" i="4"/>
  <c r="BX175" i="4"/>
  <c r="BX232" i="4"/>
  <c r="BX204" i="4"/>
  <c r="BX234" i="4"/>
  <c r="BX256" i="4"/>
  <c r="BV334" i="4"/>
  <c r="BV1037" i="4" s="1"/>
  <c r="BV276" i="4"/>
  <c r="BV279" i="4"/>
  <c r="BW212" i="4"/>
  <c r="BW268" i="4"/>
  <c r="BW282" i="4" s="1"/>
  <c r="BV260" i="4"/>
  <c r="BW235" i="4"/>
  <c r="BW270" i="4"/>
  <c r="BW284" i="4" s="1"/>
  <c r="BW267" i="4"/>
  <c r="BW281" i="4" s="1"/>
  <c r="BW177" i="4"/>
  <c r="BU1291" i="4"/>
  <c r="BU1118" i="4"/>
  <c r="BU33" i="66"/>
  <c r="BU32" i="66" s="1"/>
  <c r="BU1318" i="4"/>
  <c r="BU81" i="11"/>
  <c r="BU82" i="11" s="1"/>
  <c r="BU1387" i="4" s="1"/>
  <c r="BU65" i="62"/>
  <c r="BY754" i="4"/>
  <c r="BV281" i="4"/>
  <c r="BW266" i="4"/>
  <c r="BW280" i="4" s="1"/>
  <c r="BW170" i="4"/>
  <c r="BW265" i="4"/>
  <c r="BW163" i="4"/>
  <c r="BW258" i="4"/>
  <c r="BW271" i="4"/>
  <c r="BW285" i="4" s="1"/>
  <c r="BZ1109" i="4"/>
  <c r="BZ1110" i="4" s="1"/>
  <c r="BZ1111" i="4" s="1"/>
  <c r="BZ985" i="4" s="1"/>
  <c r="BZ953" i="4"/>
  <c r="BZ937" i="4"/>
  <c r="CA79" i="4"/>
  <c r="BZ955" i="4"/>
  <c r="BZ951" i="4"/>
  <c r="BZ952" i="4"/>
  <c r="BZ947" i="4"/>
  <c r="BZ954" i="4"/>
  <c r="BZ948" i="4"/>
  <c r="BZ946" i="4"/>
  <c r="BZ938" i="4"/>
  <c r="BZ895" i="4"/>
  <c r="BZ973" i="4" s="1"/>
  <c r="BZ296" i="4" s="1"/>
  <c r="BZ936" i="4"/>
  <c r="BZ939" i="4"/>
  <c r="BZ743" i="4"/>
  <c r="BZ744" i="4"/>
  <c r="BZ745" i="4"/>
  <c r="CI1173" i="4"/>
  <c r="CI1177" i="4" s="1"/>
  <c r="CI1494" i="4" s="1"/>
  <c r="CI53" i="62"/>
  <c r="CI65" i="4"/>
  <c r="CI55" i="4"/>
  <c r="CI721" i="4"/>
  <c r="CI717" i="4"/>
  <c r="CI722" i="4"/>
  <c r="CI718" i="4"/>
  <c r="CJ58" i="4"/>
  <c r="CJ187" i="4"/>
  <c r="CJ196" i="4" s="1"/>
  <c r="CJ134" i="4"/>
  <c r="CJ139" i="4" s="1"/>
  <c r="CJ57" i="4"/>
  <c r="CI53" i="4"/>
  <c r="CJ1129" i="4"/>
  <c r="CI690" i="4"/>
  <c r="CK86" i="64"/>
  <c r="CK87" i="64" s="1"/>
  <c r="CK7" i="62"/>
  <c r="CK6" i="62" s="1"/>
  <c r="CK6" i="3"/>
  <c r="CK7" i="11"/>
  <c r="CK6" i="11" s="1"/>
  <c r="CK7" i="66"/>
  <c r="CK6" i="66" s="1"/>
  <c r="CK7" i="64"/>
  <c r="CK6" i="64" s="1"/>
  <c r="CK28" i="64" s="1"/>
  <c r="CK30" i="64" s="1"/>
  <c r="CK53" i="64" s="1"/>
  <c r="CK8" i="3"/>
  <c r="CK7" i="4"/>
  <c r="CJ273" i="4"/>
  <c r="CJ1243" i="4"/>
  <c r="CJ274" i="4"/>
  <c r="CJ335" i="4" s="1"/>
  <c r="CJ1242" i="4"/>
  <c r="CJ275" i="4"/>
  <c r="CJ288" i="4" s="1"/>
  <c r="CJ329" i="4" s="1"/>
  <c r="CJ414" i="4" s="1"/>
  <c r="CJ415" i="4" s="1"/>
  <c r="CK413" i="4" s="1"/>
  <c r="CJ192" i="4"/>
  <c r="CJ138" i="4"/>
  <c r="CI1041" i="4"/>
  <c r="CI688" i="4"/>
  <c r="CJ18" i="4"/>
  <c r="CJ37" i="4"/>
  <c r="CJ44" i="4" s="1"/>
  <c r="CJ51" i="4" s="1"/>
  <c r="CJ246" i="4"/>
  <c r="CJ250" i="4" s="1"/>
  <c r="CJ1151" i="4"/>
  <c r="CJ28" i="66"/>
  <c r="CJ27" i="66"/>
  <c r="CI61" i="4"/>
  <c r="CI318" i="4" s="1"/>
  <c r="CI328" i="4" s="1"/>
  <c r="CJ1263" i="4"/>
  <c r="CJ295" i="4"/>
  <c r="CJ303" i="4" s="1"/>
  <c r="CJ60" i="4"/>
  <c r="CJ66" i="4"/>
  <c r="CJ198" i="4"/>
  <c r="CJ150" i="4"/>
  <c r="CJ34" i="4"/>
  <c r="CJ41" i="4" s="1"/>
  <c r="CJ48" i="4" s="1"/>
  <c r="CJ1157" i="4"/>
  <c r="CJ19" i="4"/>
  <c r="CJ20" i="4" s="1"/>
  <c r="CJ17" i="4"/>
  <c r="CJ36" i="4"/>
  <c r="CJ43" i="4" s="1"/>
  <c r="CJ50" i="4" s="1"/>
  <c r="CJ713" i="4" s="1"/>
  <c r="CJ223" i="4"/>
  <c r="CJ227" i="4" s="1"/>
  <c r="CJ126" i="4"/>
  <c r="CJ130" i="4" s="1"/>
  <c r="CJ32" i="4"/>
  <c r="CJ39" i="4" s="1"/>
  <c r="CJ46" i="4" s="1"/>
  <c r="CJ70" i="4"/>
  <c r="CI63" i="4"/>
  <c r="CI1389" i="4" s="1"/>
  <c r="CJ54" i="11"/>
  <c r="CJ62" i="4"/>
  <c r="CJ528" i="4" s="1"/>
  <c r="CJ530" i="4"/>
  <c r="CJ529" i="4"/>
  <c r="CJ68" i="4"/>
  <c r="CJ67" i="4"/>
  <c r="CJ1042" i="4" s="1"/>
  <c r="CJ543" i="4"/>
  <c r="CJ824" i="4"/>
  <c r="CI200" i="4"/>
  <c r="CH739" i="4"/>
  <c r="CJ33" i="4" l="1"/>
  <c r="CJ40" i="4" s="1"/>
  <c r="CJ47" i="4" s="1"/>
  <c r="BY956" i="4"/>
  <c r="BW260" i="4"/>
  <c r="BW1291" i="4" s="1"/>
  <c r="BV289" i="4"/>
  <c r="BZ940" i="4"/>
  <c r="BZ943" i="4"/>
  <c r="BZ941" i="4"/>
  <c r="BZ942" i="4"/>
  <c r="BY204" i="4"/>
  <c r="BY169" i="4"/>
  <c r="BY256" i="4"/>
  <c r="BY205" i="4"/>
  <c r="BY173" i="4"/>
  <c r="BY209" i="4"/>
  <c r="BY257" i="4"/>
  <c r="BY231" i="4"/>
  <c r="BY167" i="4"/>
  <c r="BY175" i="4"/>
  <c r="BY233" i="4"/>
  <c r="BY210" i="4"/>
  <c r="BY232" i="4"/>
  <c r="BY168" i="4"/>
  <c r="BY161" i="4"/>
  <c r="BY207" i="4"/>
  <c r="BY269" i="4" s="1"/>
  <c r="BY283" i="4" s="1"/>
  <c r="BY160" i="4"/>
  <c r="BY166" i="4"/>
  <c r="BY254" i="4"/>
  <c r="BY255" i="4"/>
  <c r="BZ85" i="4"/>
  <c r="BY174" i="4"/>
  <c r="BY176" i="4"/>
  <c r="BY159" i="4"/>
  <c r="BY211" i="4"/>
  <c r="BY234" i="4"/>
  <c r="BY208" i="4"/>
  <c r="BY206" i="4"/>
  <c r="BY162" i="4"/>
  <c r="BX265" i="4"/>
  <c r="BX163" i="4"/>
  <c r="BX267" i="4"/>
  <c r="BX281" i="4" s="1"/>
  <c r="BX177" i="4"/>
  <c r="CA1109" i="4"/>
  <c r="CA1110" i="4" s="1"/>
  <c r="CA1111" i="4" s="1"/>
  <c r="CA985" i="4" s="1"/>
  <c r="CA937" i="4"/>
  <c r="CA939" i="4"/>
  <c r="CA936" i="4"/>
  <c r="CA953" i="4"/>
  <c r="CA954" i="4"/>
  <c r="CA952" i="4"/>
  <c r="CA946" i="4"/>
  <c r="CA895" i="4"/>
  <c r="CA973" i="4" s="1"/>
  <c r="CA296" i="4" s="1"/>
  <c r="CA951" i="4"/>
  <c r="CA948" i="4"/>
  <c r="CA938" i="4"/>
  <c r="CA955" i="4"/>
  <c r="CA947" i="4"/>
  <c r="CB79" i="4"/>
  <c r="CA744" i="4"/>
  <c r="CA743" i="4"/>
  <c r="CA745" i="4"/>
  <c r="BW334" i="4"/>
  <c r="BW1037" i="4" s="1"/>
  <c r="AA16" i="72" s="1"/>
  <c r="BW276" i="4"/>
  <c r="BW279" i="4"/>
  <c r="BW289" i="4" s="1"/>
  <c r="BX266" i="4"/>
  <c r="BX280" i="4" s="1"/>
  <c r="BX170" i="4"/>
  <c r="BV81" i="11"/>
  <c r="BV82" i="11" s="1"/>
  <c r="BV1387" i="4" s="1"/>
  <c r="BV1318" i="4"/>
  <c r="BV1118" i="4"/>
  <c r="BV33" i="66"/>
  <c r="BV32" i="66" s="1"/>
  <c r="BV65" i="62"/>
  <c r="BV1291" i="4"/>
  <c r="BX271" i="4"/>
  <c r="BX285" i="4" s="1"/>
  <c r="BX258" i="4"/>
  <c r="BZ754" i="4"/>
  <c r="BZ746" i="4"/>
  <c r="BX268" i="4"/>
  <c r="BX282" i="4" s="1"/>
  <c r="BX212" i="4"/>
  <c r="BX235" i="4"/>
  <c r="BX270" i="4"/>
  <c r="BX284" i="4" s="1"/>
  <c r="CJ24" i="4"/>
  <c r="CK301" i="3"/>
  <c r="CK188" i="4" s="1"/>
  <c r="CK197" i="4" s="1"/>
  <c r="CK16" i="4"/>
  <c r="CJ15" i="66"/>
  <c r="CJ1036" i="4"/>
  <c r="CJ35" i="4"/>
  <c r="CJ42" i="4" s="1"/>
  <c r="CJ49" i="4" s="1"/>
  <c r="CJ54" i="4"/>
  <c r="CJ53" i="62" s="1"/>
  <c r="CJ142" i="4"/>
  <c r="CK356" i="3"/>
  <c r="CK242" i="4" s="1"/>
  <c r="CK247" i="4" s="1"/>
  <c r="CK186" i="3"/>
  <c r="CK123" i="4" s="1"/>
  <c r="CK128" i="4" s="1"/>
  <c r="CK129" i="4" s="1"/>
  <c r="CK329" i="3"/>
  <c r="CK218" i="4" s="1"/>
  <c r="CK300" i="3"/>
  <c r="CK187" i="4" s="1"/>
  <c r="CK196" i="4" s="1"/>
  <c r="CK218" i="3"/>
  <c r="CK242" i="3"/>
  <c r="CK147" i="4" s="1"/>
  <c r="CK152" i="4" s="1"/>
  <c r="CK184" i="3"/>
  <c r="CK357" i="3"/>
  <c r="CK243" i="4" s="1"/>
  <c r="CK248" i="4" s="1"/>
  <c r="CK249" i="4" s="1"/>
  <c r="CK330" i="3"/>
  <c r="CK219" i="4" s="1"/>
  <c r="CK224" i="4" s="1"/>
  <c r="CK216" i="3"/>
  <c r="CK133" i="4" s="1"/>
  <c r="CK217" i="3"/>
  <c r="CK134" i="4" s="1"/>
  <c r="CK139" i="4" s="1"/>
  <c r="CK296" i="3"/>
  <c r="CK183" i="4" s="1"/>
  <c r="CK185" i="3"/>
  <c r="CK122" i="4" s="1"/>
  <c r="CK127" i="4" s="1"/>
  <c r="CK299" i="3"/>
  <c r="CK186" i="4" s="1"/>
  <c r="CK195" i="4" s="1"/>
  <c r="CK298" i="3"/>
  <c r="CK297" i="3"/>
  <c r="CK184" i="4" s="1"/>
  <c r="CK193" i="4" s="1"/>
  <c r="CK240" i="3"/>
  <c r="CK145" i="4" s="1"/>
  <c r="CK331" i="3"/>
  <c r="CK220" i="4" s="1"/>
  <c r="CK225" i="4" s="1"/>
  <c r="CK226" i="4" s="1"/>
  <c r="CK355" i="3"/>
  <c r="CK241" i="4" s="1"/>
  <c r="CK241" i="3"/>
  <c r="CK146" i="4" s="1"/>
  <c r="CK151" i="4" s="1"/>
  <c r="CK1447" i="4"/>
  <c r="CJ153" i="4"/>
  <c r="CJ154" i="4" s="1"/>
  <c r="CJ540" i="4"/>
  <c r="CJ542" i="4" s="1"/>
  <c r="CI737" i="4"/>
  <c r="CJ732" i="4"/>
  <c r="CJ731" i="4"/>
  <c r="CJ714" i="4"/>
  <c r="CJ642" i="3"/>
  <c r="CJ76" i="4"/>
  <c r="CJ77" i="4" s="1"/>
  <c r="CJ199" i="4"/>
  <c r="CJ287" i="4"/>
  <c r="CJ324" i="4" s="1"/>
  <c r="CJ34" i="66"/>
  <c r="CI736" i="4"/>
  <c r="CJ60" i="62"/>
  <c r="CJ9" i="64"/>
  <c r="CJ9" i="4"/>
  <c r="CJ9" i="66"/>
  <c r="CJ9" i="3"/>
  <c r="CJ9" i="62"/>
  <c r="CJ9" i="11"/>
  <c r="CJ83" i="4"/>
  <c r="CJ84" i="4" s="1"/>
  <c r="CK6" i="4"/>
  <c r="CK15" i="4"/>
  <c r="CJ78" i="4"/>
  <c r="CK30" i="4"/>
  <c r="CK8" i="66"/>
  <c r="CK8" i="4"/>
  <c r="CK1183" i="4"/>
  <c r="CK8" i="64"/>
  <c r="CK1409" i="4"/>
  <c r="CK29" i="4"/>
  <c r="CK8" i="11"/>
  <c r="CK28" i="4"/>
  <c r="CL7" i="3"/>
  <c r="CK314" i="4"/>
  <c r="CK8" i="62"/>
  <c r="CK54" i="62" s="1"/>
  <c r="CK1160" i="4"/>
  <c r="CK1184" i="4"/>
  <c r="CK1158" i="4"/>
  <c r="CK1159" i="4" s="1"/>
  <c r="CK1156" i="4"/>
  <c r="CJ22" i="4"/>
  <c r="CK21" i="4"/>
  <c r="CK75" i="4" l="1"/>
  <c r="CK82" i="4"/>
  <c r="CJ88" i="4"/>
  <c r="BW1318" i="4"/>
  <c r="BW33" i="66"/>
  <c r="BW32" i="66" s="1"/>
  <c r="BW81" i="11"/>
  <c r="BW82" i="11" s="1"/>
  <c r="BW1387" i="4" s="1"/>
  <c r="BW1118" i="4"/>
  <c r="BW65" i="62"/>
  <c r="BZ956" i="4"/>
  <c r="CA746" i="4"/>
  <c r="CA754" i="4"/>
  <c r="BY170" i="4"/>
  <c r="BY266" i="4"/>
  <c r="BY280" i="4" s="1"/>
  <c r="BY163" i="4"/>
  <c r="BY265" i="4"/>
  <c r="BY235" i="4"/>
  <c r="BY270" i="4"/>
  <c r="BY284" i="4" s="1"/>
  <c r="CB1109" i="4"/>
  <c r="CB1110" i="4" s="1"/>
  <c r="CB1111" i="4" s="1"/>
  <c r="CB985" i="4" s="1"/>
  <c r="CB951" i="4"/>
  <c r="CB948" i="4"/>
  <c r="CB952" i="4"/>
  <c r="CB939" i="4"/>
  <c r="CB947" i="4"/>
  <c r="CB953" i="4"/>
  <c r="CC79" i="4"/>
  <c r="CB895" i="4"/>
  <c r="CB973" i="4" s="1"/>
  <c r="CB296" i="4" s="1"/>
  <c r="CB937" i="4"/>
  <c r="CB936" i="4"/>
  <c r="CB954" i="4"/>
  <c r="CB955" i="4"/>
  <c r="CB946" i="4"/>
  <c r="CB938" i="4"/>
  <c r="CB743" i="4"/>
  <c r="CB744" i="4"/>
  <c r="CB745" i="4"/>
  <c r="BX260" i="4"/>
  <c r="BX276" i="4"/>
  <c r="BX334" i="4"/>
  <c r="BX1037" i="4" s="1"/>
  <c r="BX279" i="4"/>
  <c r="BX289" i="4" s="1"/>
  <c r="BZ159" i="4"/>
  <c r="CA85" i="4"/>
  <c r="BZ254" i="4"/>
  <c r="BZ160" i="4"/>
  <c r="BZ175" i="4"/>
  <c r="BZ173" i="4"/>
  <c r="BZ210" i="4"/>
  <c r="BZ205" i="4"/>
  <c r="BZ208" i="4"/>
  <c r="BZ162" i="4"/>
  <c r="BZ209" i="4"/>
  <c r="BZ257" i="4"/>
  <c r="BZ211" i="4"/>
  <c r="BZ206" i="4"/>
  <c r="BZ255" i="4"/>
  <c r="BZ232" i="4"/>
  <c r="BZ166" i="4"/>
  <c r="BZ204" i="4"/>
  <c r="BZ233" i="4"/>
  <c r="BZ256" i="4"/>
  <c r="BZ167" i="4"/>
  <c r="BZ231" i="4"/>
  <c r="BZ176" i="4"/>
  <c r="BZ161" i="4"/>
  <c r="BZ168" i="4"/>
  <c r="BZ174" i="4"/>
  <c r="BZ207" i="4"/>
  <c r="BZ269" i="4" s="1"/>
  <c r="BZ283" i="4" s="1"/>
  <c r="BZ234" i="4"/>
  <c r="BZ169" i="4"/>
  <c r="BY177" i="4"/>
  <c r="BY267" i="4"/>
  <c r="BY212" i="4"/>
  <c r="BY268" i="4"/>
  <c r="BY282" i="4" s="1"/>
  <c r="CA943" i="4"/>
  <c r="CA942" i="4"/>
  <c r="CA941" i="4"/>
  <c r="CA940" i="4"/>
  <c r="BY271" i="4"/>
  <c r="BY285" i="4" s="1"/>
  <c r="BY258" i="4"/>
  <c r="CJ55" i="4"/>
  <c r="CI56" i="4"/>
  <c r="CJ65" i="4"/>
  <c r="CJ718" i="4"/>
  <c r="CJ717" i="4"/>
  <c r="CJ722" i="4"/>
  <c r="CJ721" i="4"/>
  <c r="CK58" i="4"/>
  <c r="CK135" i="4"/>
  <c r="CK140" i="4" s="1"/>
  <c r="CK141" i="4" s="1"/>
  <c r="CK121" i="4"/>
  <c r="CK32" i="4" s="1"/>
  <c r="CK39" i="4" s="1"/>
  <c r="CK46" i="4" s="1"/>
  <c r="CK185" i="4"/>
  <c r="CK194" i="4" s="1"/>
  <c r="CK198" i="4" s="1"/>
  <c r="CK57" i="4"/>
  <c r="CJ53" i="4"/>
  <c r="CK1129" i="4"/>
  <c r="CK192" i="4"/>
  <c r="CK223" i="4"/>
  <c r="CK227" i="4" s="1"/>
  <c r="CK36" i="4"/>
  <c r="CK43" i="4" s="1"/>
  <c r="CK50" i="4" s="1"/>
  <c r="CK713" i="4" s="1"/>
  <c r="CK18" i="4"/>
  <c r="CK246" i="4"/>
  <c r="CK250" i="4" s="1"/>
  <c r="CK37" i="4"/>
  <c r="CK44" i="4" s="1"/>
  <c r="CK51" i="4" s="1"/>
  <c r="CK19" i="4"/>
  <c r="CK20" i="4" s="1"/>
  <c r="CK17" i="4"/>
  <c r="CK1157" i="4"/>
  <c r="CJ200" i="4"/>
  <c r="CJ63" i="4"/>
  <c r="CJ1389" i="4" s="1"/>
  <c r="CK530" i="4"/>
  <c r="CK824" i="4"/>
  <c r="CK70" i="4"/>
  <c r="CK68" i="4"/>
  <c r="CK543" i="4"/>
  <c r="CK62" i="4"/>
  <c r="CK528" i="4" s="1"/>
  <c r="CK54" i="11"/>
  <c r="CK529" i="4"/>
  <c r="CK67" i="4"/>
  <c r="CK1042" i="4" s="1"/>
  <c r="CJ544" i="4"/>
  <c r="CJ690" i="4"/>
  <c r="CK295" i="4"/>
  <c r="CK303" i="4" s="1"/>
  <c r="CK60" i="4"/>
  <c r="CK1263" i="4"/>
  <c r="CK28" i="66"/>
  <c r="CJ61" i="4"/>
  <c r="CJ318" i="4" s="1"/>
  <c r="CJ328" i="4" s="1"/>
  <c r="CK1151" i="4"/>
  <c r="CK66" i="4"/>
  <c r="CK27" i="66"/>
  <c r="CK1243" i="4"/>
  <c r="CK1242" i="4"/>
  <c r="CK274" i="4"/>
  <c r="CK335" i="4" s="1"/>
  <c r="CK273" i="4"/>
  <c r="CK275" i="4"/>
  <c r="CK288" i="4" s="1"/>
  <c r="CK329" i="4" s="1"/>
  <c r="CK414" i="4" s="1"/>
  <c r="CK415" i="4" s="1"/>
  <c r="CL413" i="4" s="1"/>
  <c r="CI738" i="4"/>
  <c r="CL7" i="66"/>
  <c r="CL6" i="66" s="1"/>
  <c r="CL7" i="62"/>
  <c r="CL6" i="62" s="1"/>
  <c r="CL7" i="4"/>
  <c r="CL7" i="11"/>
  <c r="CL6" i="11" s="1"/>
  <c r="CL7" i="64"/>
  <c r="CL6" i="64" s="1"/>
  <c r="CL28" i="64" s="1"/>
  <c r="CL30" i="64" s="1"/>
  <c r="CL53" i="64" s="1"/>
  <c r="CL8" i="3"/>
  <c r="CL16" i="4" s="1"/>
  <c r="CL6" i="3"/>
  <c r="CL86" i="64"/>
  <c r="CL87" i="64" s="1"/>
  <c r="CK138" i="4"/>
  <c r="CK34" i="4"/>
  <c r="CK41" i="4" s="1"/>
  <c r="CK48" i="4" s="1"/>
  <c r="CK150" i="4"/>
  <c r="CJ1041" i="4"/>
  <c r="CJ688" i="4"/>
  <c r="CJ1173" i="4" l="1"/>
  <c r="CJ1177" i="4" s="1"/>
  <c r="CJ1494" i="4" s="1"/>
  <c r="CJ1260" i="4"/>
  <c r="CK142" i="4"/>
  <c r="CK35" i="4"/>
  <c r="CK42" i="4" s="1"/>
  <c r="CK49" i="4" s="1"/>
  <c r="CK33" i="4"/>
  <c r="CK40" i="4" s="1"/>
  <c r="CK47" i="4" s="1"/>
  <c r="CA956" i="4"/>
  <c r="BZ235" i="4"/>
  <c r="BZ270" i="4"/>
  <c r="BZ284" i="4" s="1"/>
  <c r="BY281" i="4"/>
  <c r="BX81" i="11"/>
  <c r="BX82" i="11" s="1"/>
  <c r="BX1387" i="4" s="1"/>
  <c r="BX1118" i="4"/>
  <c r="BX1291" i="4"/>
  <c r="BX1318" i="4"/>
  <c r="BX65" i="62"/>
  <c r="BX33" i="66"/>
  <c r="BX32" i="66" s="1"/>
  <c r="BY276" i="4"/>
  <c r="BY334" i="4"/>
  <c r="BY1037" i="4" s="1"/>
  <c r="BY279" i="4"/>
  <c r="CB943" i="4"/>
  <c r="CB940" i="4"/>
  <c r="CB941" i="4"/>
  <c r="CB942" i="4"/>
  <c r="BZ267" i="4"/>
  <c r="BZ281" i="4" s="1"/>
  <c r="BZ177" i="4"/>
  <c r="BZ271" i="4"/>
  <c r="BZ285" i="4" s="1"/>
  <c r="BZ258" i="4"/>
  <c r="BY260" i="4"/>
  <c r="BZ212" i="4"/>
  <c r="BZ268" i="4"/>
  <c r="BZ282" i="4" s="1"/>
  <c r="CA208" i="4"/>
  <c r="CA234" i="4"/>
  <c r="CA174" i="4"/>
  <c r="CB85" i="4"/>
  <c r="CA233" i="4"/>
  <c r="CA168" i="4"/>
  <c r="CA207" i="4"/>
  <c r="CA269" i="4" s="1"/>
  <c r="CA283" i="4" s="1"/>
  <c r="CA159" i="4"/>
  <c r="CA173" i="4"/>
  <c r="CA169" i="4"/>
  <c r="CA254" i="4"/>
  <c r="CA176" i="4"/>
  <c r="CA231" i="4"/>
  <c r="CA162" i="4"/>
  <c r="CA209" i="4"/>
  <c r="CA211" i="4"/>
  <c r="CA166" i="4"/>
  <c r="CA232" i="4"/>
  <c r="CA204" i="4"/>
  <c r="CA206" i="4"/>
  <c r="CA255" i="4"/>
  <c r="CA161" i="4"/>
  <c r="CA167" i="4"/>
  <c r="CA256" i="4"/>
  <c r="CA205" i="4"/>
  <c r="CA175" i="4"/>
  <c r="CA257" i="4"/>
  <c r="CA210" i="4"/>
  <c r="CA160" i="4"/>
  <c r="CB754" i="4"/>
  <c r="CB746" i="4"/>
  <c r="BZ266" i="4"/>
  <c r="BZ280" i="4" s="1"/>
  <c r="BZ170" i="4"/>
  <c r="BZ163" i="4"/>
  <c r="BZ265" i="4"/>
  <c r="CC1109" i="4"/>
  <c r="CC1110" i="4" s="1"/>
  <c r="CC1111" i="4" s="1"/>
  <c r="CC985" i="4" s="1"/>
  <c r="CC953" i="4"/>
  <c r="CC936" i="4"/>
  <c r="CC955" i="4"/>
  <c r="CC948" i="4"/>
  <c r="CC937" i="4"/>
  <c r="CC946" i="4"/>
  <c r="CC938" i="4"/>
  <c r="CC947" i="4"/>
  <c r="CC895" i="4"/>
  <c r="CC973" i="4" s="1"/>
  <c r="CC296" i="4" s="1"/>
  <c r="CD79" i="4"/>
  <c r="CC939" i="4"/>
  <c r="CC954" i="4"/>
  <c r="CC952" i="4"/>
  <c r="CC951" i="4"/>
  <c r="CC744" i="4"/>
  <c r="CC745" i="4"/>
  <c r="CC743" i="4"/>
  <c r="CK540" i="4"/>
  <c r="CK542" i="4" s="1"/>
  <c r="CK15" i="66"/>
  <c r="CK1036" i="4"/>
  <c r="CL298" i="3"/>
  <c r="CL185" i="4" s="1"/>
  <c r="CL194" i="4" s="1"/>
  <c r="CL301" i="3"/>
  <c r="CL188" i="4" s="1"/>
  <c r="CL197" i="4" s="1"/>
  <c r="CK126" i="4"/>
  <c r="CK130" i="4" s="1"/>
  <c r="CL185" i="3"/>
  <c r="CL122" i="4" s="1"/>
  <c r="CL127" i="4" s="1"/>
  <c r="CL357" i="3"/>
  <c r="CL243" i="4" s="1"/>
  <c r="CL248" i="4" s="1"/>
  <c r="CL249" i="4" s="1"/>
  <c r="CL329" i="3"/>
  <c r="CL218" i="4" s="1"/>
  <c r="CK54" i="4"/>
  <c r="CK55" i="4" s="1"/>
  <c r="CL297" i="3"/>
  <c r="CL184" i="4" s="1"/>
  <c r="CL193" i="4" s="1"/>
  <c r="CL331" i="3"/>
  <c r="CL220" i="4" s="1"/>
  <c r="CL225" i="4" s="1"/>
  <c r="CL226" i="4" s="1"/>
  <c r="CL296" i="3"/>
  <c r="CL183" i="4" s="1"/>
  <c r="CL216" i="3"/>
  <c r="CL186" i="3"/>
  <c r="CL123" i="4" s="1"/>
  <c r="CL128" i="4" s="1"/>
  <c r="CL129" i="4" s="1"/>
  <c r="CL241" i="3"/>
  <c r="CL330" i="3"/>
  <c r="CL219" i="4" s="1"/>
  <c r="CL224" i="4" s="1"/>
  <c r="CL300" i="3"/>
  <c r="CL187" i="4" s="1"/>
  <c r="CL196" i="4" s="1"/>
  <c r="CL218" i="3"/>
  <c r="CL135" i="4" s="1"/>
  <c r="CL140" i="4" s="1"/>
  <c r="CL141" i="4" s="1"/>
  <c r="CL240" i="3"/>
  <c r="CL145" i="4" s="1"/>
  <c r="CL217" i="3"/>
  <c r="CL134" i="4" s="1"/>
  <c r="CL139" i="4" s="1"/>
  <c r="CL242" i="3"/>
  <c r="CL147" i="4" s="1"/>
  <c r="CL152" i="4" s="1"/>
  <c r="CL355" i="3"/>
  <c r="CL241" i="4" s="1"/>
  <c r="CL299" i="3"/>
  <c r="CL186" i="4" s="1"/>
  <c r="CL195" i="4" s="1"/>
  <c r="CL356" i="3"/>
  <c r="CL242" i="4" s="1"/>
  <c r="CL247" i="4" s="1"/>
  <c r="CL1447" i="4"/>
  <c r="CL184" i="3"/>
  <c r="CL121" i="4" s="1"/>
  <c r="CJ737" i="4"/>
  <c r="CJ736" i="4"/>
  <c r="CK153" i="4"/>
  <c r="CK154" i="4" s="1"/>
  <c r="CL1160" i="4"/>
  <c r="CL8" i="64"/>
  <c r="CL28" i="4"/>
  <c r="CL1156" i="4"/>
  <c r="CL8" i="66"/>
  <c r="CL1183" i="4"/>
  <c r="CL314" i="4"/>
  <c r="CL29" i="4"/>
  <c r="CL8" i="4"/>
  <c r="CL1184" i="4"/>
  <c r="CL8" i="11"/>
  <c r="CL1158" i="4"/>
  <c r="CL1159" i="4" s="1"/>
  <c r="CL30" i="4"/>
  <c r="CL1409" i="4"/>
  <c r="CL8" i="62"/>
  <c r="CK78" i="4"/>
  <c r="CK76" i="4"/>
  <c r="CK77" i="4" s="1"/>
  <c r="CM7" i="3"/>
  <c r="CI739" i="4"/>
  <c r="CK732" i="4"/>
  <c r="CK714" i="4"/>
  <c r="CK731" i="4"/>
  <c r="CK642" i="3"/>
  <c r="CK24" i="4"/>
  <c r="CK88" i="4" s="1"/>
  <c r="CK1260" i="4" s="1"/>
  <c r="CL21" i="4"/>
  <c r="CK22" i="4"/>
  <c r="CL15" i="4"/>
  <c r="CL6" i="4"/>
  <c r="CK199" i="4"/>
  <c r="CK287" i="4"/>
  <c r="CK324" i="4" s="1"/>
  <c r="CK34" i="66"/>
  <c r="CK60" i="62"/>
  <c r="CK9" i="4"/>
  <c r="CK9" i="66"/>
  <c r="CK9" i="11"/>
  <c r="CK9" i="62"/>
  <c r="CK9" i="3"/>
  <c r="CK9" i="64"/>
  <c r="CK83" i="4"/>
  <c r="CK84" i="4" s="1"/>
  <c r="CL75" i="4" l="1"/>
  <c r="CL82" i="4"/>
  <c r="BY289" i="4"/>
  <c r="CB956" i="4"/>
  <c r="CC754" i="4"/>
  <c r="CB256" i="4"/>
  <c r="CB231" i="4"/>
  <c r="CB204" i="4"/>
  <c r="CC85" i="4"/>
  <c r="CB234" i="4"/>
  <c r="CB209" i="4"/>
  <c r="CB205" i="4"/>
  <c r="CB166" i="4"/>
  <c r="CB257" i="4"/>
  <c r="CB254" i="4"/>
  <c r="CB206" i="4"/>
  <c r="CB211" i="4"/>
  <c r="CB208" i="4"/>
  <c r="CB255" i="4"/>
  <c r="CB168" i="4"/>
  <c r="CB232" i="4"/>
  <c r="CB210" i="4"/>
  <c r="CB167" i="4"/>
  <c r="CB161" i="4"/>
  <c r="CB162" i="4"/>
  <c r="CB207" i="4"/>
  <c r="CB269" i="4" s="1"/>
  <c r="CB283" i="4" s="1"/>
  <c r="CB174" i="4"/>
  <c r="CB173" i="4"/>
  <c r="CB175" i="4"/>
  <c r="CB233" i="4"/>
  <c r="CB160" i="4"/>
  <c r="CB169" i="4"/>
  <c r="CB159" i="4"/>
  <c r="CB176" i="4"/>
  <c r="BY33" i="66"/>
  <c r="BY32" i="66" s="1"/>
  <c r="BY1291" i="4"/>
  <c r="BY1318" i="4"/>
  <c r="BY81" i="11"/>
  <c r="BY82" i="11" s="1"/>
  <c r="BY1387" i="4" s="1"/>
  <c r="BY65" i="62"/>
  <c r="BY1118" i="4"/>
  <c r="CC941" i="4"/>
  <c r="CC942" i="4"/>
  <c r="CC940" i="4"/>
  <c r="CC943" i="4"/>
  <c r="CA268" i="4"/>
  <c r="CA282" i="4" s="1"/>
  <c r="CA212" i="4"/>
  <c r="CA266" i="4"/>
  <c r="CA280" i="4" s="1"/>
  <c r="CA170" i="4"/>
  <c r="CA267" i="4"/>
  <c r="CA281" i="4" s="1"/>
  <c r="CA177" i="4"/>
  <c r="CA265" i="4"/>
  <c r="CA163" i="4"/>
  <c r="CA271" i="4"/>
  <c r="CA285" i="4" s="1"/>
  <c r="CA258" i="4"/>
  <c r="BZ334" i="4"/>
  <c r="BZ1037" i="4" s="1"/>
  <c r="BZ276" i="4"/>
  <c r="BZ279" i="4"/>
  <c r="BZ289" i="4" s="1"/>
  <c r="CD1109" i="4"/>
  <c r="CD1110" i="4" s="1"/>
  <c r="CD1111" i="4" s="1"/>
  <c r="CD985" i="4" s="1"/>
  <c r="CD948" i="4"/>
  <c r="CD951" i="4"/>
  <c r="CD947" i="4"/>
  <c r="CD938" i="4"/>
  <c r="CD937" i="4"/>
  <c r="CD946" i="4"/>
  <c r="CE79" i="4"/>
  <c r="CD954" i="4"/>
  <c r="CD953" i="4"/>
  <c r="CD955" i="4"/>
  <c r="CD952" i="4"/>
  <c r="CD936" i="4"/>
  <c r="CD895" i="4"/>
  <c r="CD973" i="4" s="1"/>
  <c r="CD296" i="4" s="1"/>
  <c r="CD939" i="4"/>
  <c r="CD744" i="4"/>
  <c r="CD743" i="4"/>
  <c r="CD745" i="4"/>
  <c r="CC746" i="4"/>
  <c r="BZ260" i="4"/>
  <c r="CA270" i="4"/>
  <c r="CA284" i="4" s="1"/>
  <c r="CA235" i="4"/>
  <c r="CK1173" i="4"/>
  <c r="CK1177" i="4" s="1"/>
  <c r="CK1494" i="4" s="1"/>
  <c r="CJ738" i="4"/>
  <c r="CJ739" i="4" s="1"/>
  <c r="CL58" i="4"/>
  <c r="CK53" i="62"/>
  <c r="CK65" i="4"/>
  <c r="CJ56" i="4"/>
  <c r="CK718" i="4"/>
  <c r="CK722" i="4"/>
  <c r="CK717" i="4"/>
  <c r="CK721" i="4"/>
  <c r="CL133" i="4"/>
  <c r="CL33" i="4" s="1"/>
  <c r="CL40" i="4" s="1"/>
  <c r="CL47" i="4" s="1"/>
  <c r="CL146" i="4"/>
  <c r="CL151" i="4" s="1"/>
  <c r="CL1129" i="4"/>
  <c r="CK53" i="4"/>
  <c r="CL57" i="4"/>
  <c r="CK690" i="4"/>
  <c r="CK544" i="4"/>
  <c r="CL19" i="4"/>
  <c r="CL20" i="4" s="1"/>
  <c r="CL17" i="4"/>
  <c r="CL198" i="4"/>
  <c r="CK200" i="4"/>
  <c r="CL126" i="4"/>
  <c r="CL130" i="4" s="1"/>
  <c r="CL32" i="4"/>
  <c r="CL39" i="4" s="1"/>
  <c r="CL46" i="4" s="1"/>
  <c r="CL192" i="4"/>
  <c r="CL35" i="4"/>
  <c r="CL42" i="4" s="1"/>
  <c r="CL49" i="4" s="1"/>
  <c r="CK1041" i="4"/>
  <c r="CK688" i="4"/>
  <c r="CM6" i="3"/>
  <c r="CM7" i="62"/>
  <c r="CM6" i="62" s="1"/>
  <c r="CM8" i="3"/>
  <c r="CM16" i="4" s="1"/>
  <c r="CM7" i="11"/>
  <c r="CM6" i="11" s="1"/>
  <c r="CM86" i="64"/>
  <c r="CM87" i="64" s="1"/>
  <c r="CM7" i="66"/>
  <c r="CM6" i="66" s="1"/>
  <c r="CM7" i="64"/>
  <c r="CM6" i="64" s="1"/>
  <c r="CM28" i="64" s="1"/>
  <c r="CM30" i="64" s="1"/>
  <c r="CM53" i="64" s="1"/>
  <c r="I53" i="64" s="1"/>
  <c r="I19" i="64" s="1"/>
  <c r="CM7" i="4"/>
  <c r="CL28" i="66"/>
  <c r="CL295" i="4"/>
  <c r="CL303" i="4" s="1"/>
  <c r="CL27" i="66"/>
  <c r="CK61" i="4"/>
  <c r="CK318" i="4" s="1"/>
  <c r="CK328" i="4" s="1"/>
  <c r="CL1151" i="4"/>
  <c r="CL1263" i="4"/>
  <c r="CL66" i="4"/>
  <c r="CL60" i="4"/>
  <c r="CL150" i="4"/>
  <c r="CL246" i="4"/>
  <c r="CL250" i="4" s="1"/>
  <c r="CL37" i="4"/>
  <c r="CL44" i="4" s="1"/>
  <c r="CL51" i="4" s="1"/>
  <c r="CL543" i="4"/>
  <c r="CL530" i="4"/>
  <c r="CL67" i="4"/>
  <c r="CL1042" i="4" s="1"/>
  <c r="CL824" i="4"/>
  <c r="CL62" i="4"/>
  <c r="CL528" i="4" s="1"/>
  <c r="CL68" i="4"/>
  <c r="CL70" i="4"/>
  <c r="CL529" i="4"/>
  <c r="CK63" i="4"/>
  <c r="CK1389" i="4" s="1"/>
  <c r="CL54" i="11"/>
  <c r="CL223" i="4"/>
  <c r="CL227" i="4" s="1"/>
  <c r="CL36" i="4"/>
  <c r="CL43" i="4" s="1"/>
  <c r="CL50" i="4" s="1"/>
  <c r="CL713" i="4" s="1"/>
  <c r="CL1157" i="4"/>
  <c r="CL1243" i="4"/>
  <c r="CL273" i="4"/>
  <c r="CL275" i="4"/>
  <c r="CL288" i="4" s="1"/>
  <c r="CL329" i="4" s="1"/>
  <c r="CL414" i="4" s="1"/>
  <c r="CL415" i="4" s="1"/>
  <c r="CM413" i="4" s="1"/>
  <c r="CL1242" i="4"/>
  <c r="CL274" i="4"/>
  <c r="CL335" i="4" s="1"/>
  <c r="CL18" i="4"/>
  <c r="CL54" i="62"/>
  <c r="CD754" i="4" l="1"/>
  <c r="CC956" i="4"/>
  <c r="CB212" i="4"/>
  <c r="CB268" i="4"/>
  <c r="CB282" i="4" s="1"/>
  <c r="CB265" i="4"/>
  <c r="CB163" i="4"/>
  <c r="CD746" i="4"/>
  <c r="CB271" i="4"/>
  <c r="CB285" i="4" s="1"/>
  <c r="CB258" i="4"/>
  <c r="CB270" i="4"/>
  <c r="CB284" i="4" s="1"/>
  <c r="CB235" i="4"/>
  <c r="CE1109" i="4"/>
  <c r="CE1110" i="4" s="1"/>
  <c r="CE1111" i="4" s="1"/>
  <c r="CE985" i="4" s="1"/>
  <c r="CE953" i="4"/>
  <c r="CE955" i="4"/>
  <c r="CE954" i="4"/>
  <c r="CE951" i="4"/>
  <c r="CE936" i="4"/>
  <c r="CE937" i="4"/>
  <c r="CE947" i="4"/>
  <c r="CE948" i="4"/>
  <c r="CE939" i="4"/>
  <c r="CF79" i="4"/>
  <c r="CE938" i="4"/>
  <c r="CE946" i="4"/>
  <c r="CE895" i="4"/>
  <c r="CE973" i="4" s="1"/>
  <c r="CE296" i="4" s="1"/>
  <c r="CE952" i="4"/>
  <c r="CE744" i="4"/>
  <c r="CE743" i="4"/>
  <c r="CE745" i="4"/>
  <c r="BZ81" i="11"/>
  <c r="BZ82" i="11" s="1"/>
  <c r="BZ1387" i="4" s="1"/>
  <c r="BZ33" i="66"/>
  <c r="BZ32" i="66" s="1"/>
  <c r="BZ1318" i="4"/>
  <c r="BZ1118" i="4"/>
  <c r="BZ65" i="62"/>
  <c r="BZ1291" i="4"/>
  <c r="CB170" i="4"/>
  <c r="CB266" i="4"/>
  <c r="CB280" i="4" s="1"/>
  <c r="CB177" i="4"/>
  <c r="CB267" i="4"/>
  <c r="CA276" i="4"/>
  <c r="CA334" i="4"/>
  <c r="CA1037" i="4" s="1"/>
  <c r="AB16" i="72" s="1"/>
  <c r="CA279" i="4"/>
  <c r="CA289" i="4" s="1"/>
  <c r="CD942" i="4"/>
  <c r="CD943" i="4"/>
  <c r="CD940" i="4"/>
  <c r="CD941" i="4"/>
  <c r="CC166" i="4"/>
  <c r="CC159" i="4"/>
  <c r="CC257" i="4"/>
  <c r="CC256" i="4"/>
  <c r="CC207" i="4"/>
  <c r="CC269" i="4" s="1"/>
  <c r="CC283" i="4" s="1"/>
  <c r="CC162" i="4"/>
  <c r="CC254" i="4"/>
  <c r="CD85" i="4"/>
  <c r="CC209" i="4"/>
  <c r="CC255" i="4"/>
  <c r="CC232" i="4"/>
  <c r="CC174" i="4"/>
  <c r="CC205" i="4"/>
  <c r="CC175" i="4"/>
  <c r="CC173" i="4"/>
  <c r="CC161" i="4"/>
  <c r="CC169" i="4"/>
  <c r="CC211" i="4"/>
  <c r="CC206" i="4"/>
  <c r="CC208" i="4"/>
  <c r="CC231" i="4"/>
  <c r="CC167" i="4"/>
  <c r="CC168" i="4"/>
  <c r="CC210" i="4"/>
  <c r="CC204" i="4"/>
  <c r="CC160" i="4"/>
  <c r="CC176" i="4"/>
  <c r="CC233" i="4"/>
  <c r="CC234" i="4"/>
  <c r="CA260" i="4"/>
  <c r="CL138" i="4"/>
  <c r="CL142" i="4" s="1"/>
  <c r="CL1036" i="4"/>
  <c r="CL15" i="66"/>
  <c r="CL540" i="4"/>
  <c r="CL542" i="4" s="1"/>
  <c r="CM241" i="3"/>
  <c r="CM146" i="4" s="1"/>
  <c r="CM151" i="4" s="1"/>
  <c r="CM301" i="3"/>
  <c r="CM188" i="4" s="1"/>
  <c r="CM197" i="4" s="1"/>
  <c r="CL34" i="4"/>
  <c r="CL41" i="4" s="1"/>
  <c r="CL48" i="4" s="1"/>
  <c r="CL54" i="4"/>
  <c r="CL65" i="4" s="1"/>
  <c r="CM331" i="3"/>
  <c r="CM220" i="4" s="1"/>
  <c r="CM225" i="4" s="1"/>
  <c r="CM226" i="4" s="1"/>
  <c r="CM216" i="3"/>
  <c r="CM133" i="4" s="1"/>
  <c r="CM356" i="3"/>
  <c r="CM242" i="4" s="1"/>
  <c r="CM247" i="4" s="1"/>
  <c r="CM186" i="3"/>
  <c r="CM123" i="4" s="1"/>
  <c r="CM128" i="4" s="1"/>
  <c r="CM129" i="4" s="1"/>
  <c r="CL153" i="4"/>
  <c r="CL154" i="4" s="1"/>
  <c r="CM355" i="3"/>
  <c r="CM241" i="4" s="1"/>
  <c r="CM296" i="3"/>
  <c r="CM217" i="3"/>
  <c r="CM134" i="4" s="1"/>
  <c r="CM139" i="4" s="1"/>
  <c r="CM297" i="3"/>
  <c r="CM184" i="4" s="1"/>
  <c r="CM193" i="4" s="1"/>
  <c r="CM218" i="3"/>
  <c r="CM135" i="4" s="1"/>
  <c r="CM140" i="4" s="1"/>
  <c r="CM141" i="4" s="1"/>
  <c r="CM298" i="3"/>
  <c r="CM185" i="4" s="1"/>
  <c r="CM194" i="4" s="1"/>
  <c r="CM185" i="3"/>
  <c r="CM122" i="4" s="1"/>
  <c r="CM127" i="4" s="1"/>
  <c r="CM357" i="3"/>
  <c r="CM329" i="3"/>
  <c r="CM218" i="4" s="1"/>
  <c r="CM240" i="3"/>
  <c r="CM145" i="4" s="1"/>
  <c r="CM330" i="3"/>
  <c r="CM219" i="4" s="1"/>
  <c r="CM224" i="4" s="1"/>
  <c r="CM1447" i="4"/>
  <c r="CM242" i="3"/>
  <c r="CM147" i="4" s="1"/>
  <c r="CM152" i="4" s="1"/>
  <c r="CM300" i="3"/>
  <c r="CM187" i="4" s="1"/>
  <c r="CM196" i="4" s="1"/>
  <c r="CM299" i="3"/>
  <c r="CM186" i="4" s="1"/>
  <c r="CM195" i="4" s="1"/>
  <c r="CM184" i="3"/>
  <c r="CK737" i="4"/>
  <c r="CL642" i="3"/>
  <c r="CL78" i="4"/>
  <c r="CL76" i="4"/>
  <c r="CL77" i="4" s="1"/>
  <c r="CL9" i="3"/>
  <c r="CL60" i="62"/>
  <c r="CL9" i="62"/>
  <c r="CL9" i="11"/>
  <c r="CL9" i="64"/>
  <c r="CL9" i="66"/>
  <c r="CL9" i="4"/>
  <c r="CL83" i="4"/>
  <c r="CL84" i="4" s="1"/>
  <c r="CL199" i="4"/>
  <c r="CL24" i="4"/>
  <c r="CL88" i="4" s="1"/>
  <c r="CL1260" i="4" s="1"/>
  <c r="CM1156" i="4"/>
  <c r="CM8" i="62"/>
  <c r="CM1160" i="4"/>
  <c r="CM1158" i="4"/>
  <c r="CM1159" i="4" s="1"/>
  <c r="CM8" i="4"/>
  <c r="CM1184" i="4"/>
  <c r="CM8" i="66"/>
  <c r="CM29" i="4"/>
  <c r="CM8" i="64"/>
  <c r="CM8" i="11"/>
  <c r="CM30" i="4"/>
  <c r="CM529" i="4" s="1"/>
  <c r="CM28" i="4"/>
  <c r="CM1409" i="4"/>
  <c r="CM1183" i="4"/>
  <c r="CL22" i="4"/>
  <c r="CM21" i="4"/>
  <c r="CL34" i="66"/>
  <c r="CL287" i="4"/>
  <c r="CL324" i="4" s="1"/>
  <c r="CN7" i="3"/>
  <c r="CM314" i="4"/>
  <c r="CL714" i="4"/>
  <c r="CL732" i="4"/>
  <c r="CL731" i="4"/>
  <c r="CK736" i="4"/>
  <c r="CM15" i="4"/>
  <c r="CM6" i="4"/>
  <c r="CL55" i="4" l="1"/>
  <c r="CM75" i="4"/>
  <c r="CM82" i="4"/>
  <c r="CD956" i="4"/>
  <c r="CE746" i="4"/>
  <c r="CC267" i="4"/>
  <c r="CC281" i="4" s="1"/>
  <c r="CC177" i="4"/>
  <c r="CC258" i="4"/>
  <c r="CC271" i="4"/>
  <c r="CC285" i="4" s="1"/>
  <c r="CA65" i="62"/>
  <c r="CA1318" i="4"/>
  <c r="CA33" i="66"/>
  <c r="CA32" i="66" s="1"/>
  <c r="CA81" i="11"/>
  <c r="CA82" i="11" s="1"/>
  <c r="CA1387" i="4" s="1"/>
  <c r="CA1291" i="4"/>
  <c r="CA1118" i="4"/>
  <c r="CB281" i="4"/>
  <c r="CF1109" i="4"/>
  <c r="CF1110" i="4" s="1"/>
  <c r="CF1111" i="4" s="1"/>
  <c r="CF985" i="4" s="1"/>
  <c r="CF939" i="4"/>
  <c r="CF937" i="4"/>
  <c r="CF936" i="4"/>
  <c r="CF955" i="4"/>
  <c r="CF954" i="4"/>
  <c r="CF948" i="4"/>
  <c r="CG79" i="4"/>
  <c r="CF953" i="4"/>
  <c r="CF952" i="4"/>
  <c r="CF951" i="4"/>
  <c r="CF946" i="4"/>
  <c r="CF938" i="4"/>
  <c r="CF895" i="4"/>
  <c r="CF973" i="4" s="1"/>
  <c r="CF296" i="4" s="1"/>
  <c r="CF947" i="4"/>
  <c r="CF743" i="4"/>
  <c r="CF744" i="4"/>
  <c r="CF745" i="4"/>
  <c r="CD166" i="4"/>
  <c r="CD210" i="4"/>
  <c r="CD167" i="4"/>
  <c r="CD175" i="4"/>
  <c r="CD160" i="4"/>
  <c r="CD208" i="4"/>
  <c r="CD205" i="4"/>
  <c r="CD207" i="4"/>
  <c r="CD269" i="4" s="1"/>
  <c r="CD283" i="4" s="1"/>
  <c r="CD211" i="4"/>
  <c r="CD234" i="4"/>
  <c r="CD174" i="4"/>
  <c r="CD169" i="4"/>
  <c r="CD168" i="4"/>
  <c r="CD233" i="4"/>
  <c r="CD231" i="4"/>
  <c r="CD162" i="4"/>
  <c r="CD159" i="4"/>
  <c r="CD255" i="4"/>
  <c r="CE85" i="4"/>
  <c r="CD204" i="4"/>
  <c r="CD173" i="4"/>
  <c r="CD209" i="4"/>
  <c r="CD254" i="4"/>
  <c r="CD232" i="4"/>
  <c r="CD257" i="4"/>
  <c r="CD161" i="4"/>
  <c r="CD256" i="4"/>
  <c r="CD176" i="4"/>
  <c r="CD206" i="4"/>
  <c r="CC235" i="4"/>
  <c r="CC270" i="4"/>
  <c r="CC284" i="4" s="1"/>
  <c r="CB260" i="4"/>
  <c r="CE754" i="4"/>
  <c r="CB334" i="4"/>
  <c r="CB1037" i="4" s="1"/>
  <c r="CB276" i="4"/>
  <c r="CB279" i="4"/>
  <c r="CC265" i="4"/>
  <c r="CC163" i="4"/>
  <c r="CC268" i="4"/>
  <c r="CC282" i="4" s="1"/>
  <c r="CC212" i="4"/>
  <c r="CC266" i="4"/>
  <c r="CC280" i="4" s="1"/>
  <c r="CC170" i="4"/>
  <c r="CE942" i="4"/>
  <c r="CE941" i="4"/>
  <c r="CE940" i="4"/>
  <c r="CE943" i="4"/>
  <c r="CL1173" i="4"/>
  <c r="CL1177" i="4" s="1"/>
  <c r="CL1494" i="4" s="1"/>
  <c r="CK56" i="4"/>
  <c r="CL53" i="62"/>
  <c r="CL717" i="4"/>
  <c r="CL722" i="4"/>
  <c r="CL721" i="4"/>
  <c r="CL718" i="4"/>
  <c r="CM58" i="4"/>
  <c r="CM243" i="4"/>
  <c r="CM248" i="4" s="1"/>
  <c r="CM249" i="4" s="1"/>
  <c r="CM183" i="4"/>
  <c r="CM192" i="4" s="1"/>
  <c r="CM121" i="4"/>
  <c r="CM32" i="4" s="1"/>
  <c r="CM39" i="4" s="1"/>
  <c r="CM46" i="4" s="1"/>
  <c r="CM1129" i="4"/>
  <c r="CL53" i="4"/>
  <c r="CM57" i="4"/>
  <c r="CM9" i="62" s="1"/>
  <c r="CM67" i="4"/>
  <c r="CM66" i="4"/>
  <c r="CM1157" i="4"/>
  <c r="CM36" i="4"/>
  <c r="CM43" i="4" s="1"/>
  <c r="CM50" i="4" s="1"/>
  <c r="CM713" i="4" s="1"/>
  <c r="CM223" i="4"/>
  <c r="CM227" i="4" s="1"/>
  <c r="CM33" i="4"/>
  <c r="CM40" i="4" s="1"/>
  <c r="CM47" i="4" s="1"/>
  <c r="CM138" i="4"/>
  <c r="CM198" i="4"/>
  <c r="CM18" i="4"/>
  <c r="CL200" i="4"/>
  <c r="CL690" i="4"/>
  <c r="CL544" i="4"/>
  <c r="CM68" i="4"/>
  <c r="CN7" i="66"/>
  <c r="CN6" i="66" s="1"/>
  <c r="CN7" i="62"/>
  <c r="CN6" i="62" s="1"/>
  <c r="CN7" i="64"/>
  <c r="CN6" i="64" s="1"/>
  <c r="CN28" i="64" s="1"/>
  <c r="CN30" i="64" s="1"/>
  <c r="CN53" i="64" s="1"/>
  <c r="CN86" i="64"/>
  <c r="CN87" i="64" s="1"/>
  <c r="CN8" i="3"/>
  <c r="CN16" i="4" s="1"/>
  <c r="CN7" i="4"/>
  <c r="CN7" i="11"/>
  <c r="CN6" i="11" s="1"/>
  <c r="CN6" i="3"/>
  <c r="CM1151" i="4"/>
  <c r="CM60" i="4"/>
  <c r="CM28" i="66"/>
  <c r="CM295" i="4"/>
  <c r="CM303" i="4" s="1"/>
  <c r="CM27" i="66"/>
  <c r="CM1263" i="4"/>
  <c r="CL61" i="4"/>
  <c r="CL318" i="4" s="1"/>
  <c r="CL328" i="4" s="1"/>
  <c r="CM17" i="4"/>
  <c r="CM19" i="4"/>
  <c r="CM20" i="4" s="1"/>
  <c r="CM54" i="62"/>
  <c r="CK738" i="4"/>
  <c r="CM54" i="11"/>
  <c r="CM70" i="4"/>
  <c r="CM62" i="4"/>
  <c r="CM528" i="4" s="1"/>
  <c r="CL63" i="4"/>
  <c r="CM824" i="4"/>
  <c r="CM530" i="4"/>
  <c r="CM543" i="4"/>
  <c r="CL688" i="4"/>
  <c r="CL1041" i="4"/>
  <c r="CM1242" i="4"/>
  <c r="CM275" i="4"/>
  <c r="CM274" i="4"/>
  <c r="CM273" i="4"/>
  <c r="CM1243" i="4"/>
  <c r="CM246" i="4"/>
  <c r="CM150" i="4"/>
  <c r="CM153" i="4" s="1"/>
  <c r="CM34" i="4"/>
  <c r="CM41" i="4" s="1"/>
  <c r="CM48" i="4" s="1"/>
  <c r="CM35" i="4" l="1"/>
  <c r="CM42" i="4" s="1"/>
  <c r="CM49" i="4" s="1"/>
  <c r="CB289" i="4"/>
  <c r="CE956" i="4"/>
  <c r="CF754" i="4"/>
  <c r="CD271" i="4"/>
  <c r="CD285" i="4" s="1"/>
  <c r="CD258" i="4"/>
  <c r="CF746" i="4"/>
  <c r="CG1109" i="4"/>
  <c r="CG1110" i="4" s="1"/>
  <c r="CG1111" i="4" s="1"/>
  <c r="CG985" i="4" s="1"/>
  <c r="CG937" i="4"/>
  <c r="CG946" i="4"/>
  <c r="CG936" i="4"/>
  <c r="CG947" i="4"/>
  <c r="CG952" i="4"/>
  <c r="CG939" i="4"/>
  <c r="CG948" i="4"/>
  <c r="CG955" i="4"/>
  <c r="CG895" i="4"/>
  <c r="CG973" i="4" s="1"/>
  <c r="CG296" i="4" s="1"/>
  <c r="CG954" i="4"/>
  <c r="CG953" i="4"/>
  <c r="CG938" i="4"/>
  <c r="CG951" i="4"/>
  <c r="CH79" i="4"/>
  <c r="CG743" i="4"/>
  <c r="CG744" i="4"/>
  <c r="CG745" i="4"/>
  <c r="CD270" i="4"/>
  <c r="CD284" i="4" s="1"/>
  <c r="CD235" i="4"/>
  <c r="CD267" i="4"/>
  <c r="CD281" i="4" s="1"/>
  <c r="CD177" i="4"/>
  <c r="CD268" i="4"/>
  <c r="CD282" i="4" s="1"/>
  <c r="CD212" i="4"/>
  <c r="CB1291" i="4"/>
  <c r="CB1318" i="4"/>
  <c r="CB81" i="11"/>
  <c r="CB82" i="11" s="1"/>
  <c r="CB1387" i="4" s="1"/>
  <c r="CB33" i="66"/>
  <c r="CB32" i="66" s="1"/>
  <c r="CB65" i="62"/>
  <c r="CB1118" i="4"/>
  <c r="CE209" i="4"/>
  <c r="CE169" i="4"/>
  <c r="CE233" i="4"/>
  <c r="CE210" i="4"/>
  <c r="CE231" i="4"/>
  <c r="CE173" i="4"/>
  <c r="CE204" i="4"/>
  <c r="CE207" i="4"/>
  <c r="CE269" i="4" s="1"/>
  <c r="CE283" i="4" s="1"/>
  <c r="CE232" i="4"/>
  <c r="CE254" i="4"/>
  <c r="CE234" i="4"/>
  <c r="CE255" i="4"/>
  <c r="CE211" i="4"/>
  <c r="CE167" i="4"/>
  <c r="CE175" i="4"/>
  <c r="CF85" i="4"/>
  <c r="CE160" i="4"/>
  <c r="CE257" i="4"/>
  <c r="CE168" i="4"/>
  <c r="CE206" i="4"/>
  <c r="CE174" i="4"/>
  <c r="CE162" i="4"/>
  <c r="CE205" i="4"/>
  <c r="CE166" i="4"/>
  <c r="CE176" i="4"/>
  <c r="CE208" i="4"/>
  <c r="CE161" i="4"/>
  <c r="CE256" i="4"/>
  <c r="CE159" i="4"/>
  <c r="CC260" i="4"/>
  <c r="CF940" i="4"/>
  <c r="CF941" i="4"/>
  <c r="CF942" i="4"/>
  <c r="CF943" i="4"/>
  <c r="CC334" i="4"/>
  <c r="CC1037" i="4" s="1"/>
  <c r="CC276" i="4"/>
  <c r="CC279" i="4"/>
  <c r="CC289" i="4" s="1"/>
  <c r="CD163" i="4"/>
  <c r="CD265" i="4"/>
  <c r="CD170" i="4"/>
  <c r="CD266" i="4"/>
  <c r="CD280" i="4" s="1"/>
  <c r="CM15" i="66"/>
  <c r="CM9" i="4"/>
  <c r="I274" i="4"/>
  <c r="CM335" i="4"/>
  <c r="CN241" i="3"/>
  <c r="CN146" i="4" s="1"/>
  <c r="CN151" i="4" s="1"/>
  <c r="CN301" i="3"/>
  <c r="CN188" i="4" s="1"/>
  <c r="CN197" i="4" s="1"/>
  <c r="CM9" i="66"/>
  <c r="CM54" i="4"/>
  <c r="CL56" i="4" s="1"/>
  <c r="CN217" i="3"/>
  <c r="CN134" i="4" s="1"/>
  <c r="CN139" i="4" s="1"/>
  <c r="CN185" i="3"/>
  <c r="CN122" i="4" s="1"/>
  <c r="CN127" i="4" s="1"/>
  <c r="CM37" i="4"/>
  <c r="CM44" i="4" s="1"/>
  <c r="CM51" i="4" s="1"/>
  <c r="CM24" i="4"/>
  <c r="CM88" i="4" s="1"/>
  <c r="CM1260" i="4" s="1"/>
  <c r="CN330" i="3"/>
  <c r="CN216" i="3"/>
  <c r="CN133" i="4" s="1"/>
  <c r="CN186" i="3"/>
  <c r="CN123" i="4" s="1"/>
  <c r="CN128" i="4" s="1"/>
  <c r="CN129" i="4" s="1"/>
  <c r="CN357" i="3"/>
  <c r="CN243" i="4" s="1"/>
  <c r="CN248" i="4" s="1"/>
  <c r="CN249" i="4" s="1"/>
  <c r="CN242" i="3"/>
  <c r="CN147" i="4" s="1"/>
  <c r="CN152" i="4" s="1"/>
  <c r="CN355" i="3"/>
  <c r="CN241" i="4" s="1"/>
  <c r="CM126" i="4"/>
  <c r="CM130" i="4" s="1"/>
  <c r="CN299" i="3"/>
  <c r="CN184" i="3"/>
  <c r="CN121" i="4" s="1"/>
  <c r="CN329" i="3"/>
  <c r="CN218" i="4" s="1"/>
  <c r="CN218" i="3"/>
  <c r="CN135" i="4" s="1"/>
  <c r="CN140" i="4" s="1"/>
  <c r="CN141" i="4" s="1"/>
  <c r="CN331" i="3"/>
  <c r="CN220" i="4" s="1"/>
  <c r="CN225" i="4" s="1"/>
  <c r="CN226" i="4" s="1"/>
  <c r="CN356" i="3"/>
  <c r="CN242" i="4" s="1"/>
  <c r="CN247" i="4" s="1"/>
  <c r="CN296" i="3"/>
  <c r="CN183" i="4" s="1"/>
  <c r="CN297" i="3"/>
  <c r="CN298" i="3"/>
  <c r="CN240" i="3"/>
  <c r="CN1447" i="4"/>
  <c r="CN300" i="3"/>
  <c r="CN187" i="4" s="1"/>
  <c r="CN196" i="4" s="1"/>
  <c r="CM540" i="4"/>
  <c r="CM542" i="4" s="1"/>
  <c r="CM690" i="4" s="1"/>
  <c r="CM9" i="11"/>
  <c r="CM9" i="64"/>
  <c r="CM642" i="3"/>
  <c r="CM688" i="4" s="1"/>
  <c r="CM1042" i="4"/>
  <c r="CM76" i="4"/>
  <c r="CM77" i="4" s="1"/>
  <c r="CL737" i="4"/>
  <c r="CM9" i="3"/>
  <c r="CN6" i="4"/>
  <c r="CN15" i="4"/>
  <c r="I273" i="4"/>
  <c r="CM34" i="66"/>
  <c r="CM287" i="4"/>
  <c r="CM324" i="4" s="1"/>
  <c r="CM22" i="4"/>
  <c r="CN21" i="4"/>
  <c r="CN1183" i="4"/>
  <c r="CN8" i="11"/>
  <c r="CN29" i="4"/>
  <c r="CN8" i="4"/>
  <c r="CN30" i="4"/>
  <c r="CN529" i="4" s="1"/>
  <c r="CN1409" i="4"/>
  <c r="CN219" i="4"/>
  <c r="CN224" i="4" s="1"/>
  <c r="CN1156" i="4"/>
  <c r="CN8" i="64"/>
  <c r="CN1184" i="4"/>
  <c r="CN1160" i="4"/>
  <c r="CN1158" i="4"/>
  <c r="CN1159" i="4" s="1"/>
  <c r="CN28" i="4"/>
  <c r="CN8" i="62"/>
  <c r="CN8" i="66"/>
  <c r="I275" i="4"/>
  <c r="CM288" i="4"/>
  <c r="CM329" i="4" s="1"/>
  <c r="CM414" i="4" s="1"/>
  <c r="CM415" i="4" s="1"/>
  <c r="CN413" i="4" s="1"/>
  <c r="CM142" i="4"/>
  <c r="CM78" i="4"/>
  <c r="CM154" i="4"/>
  <c r="CO7" i="3"/>
  <c r="CN314" i="4"/>
  <c r="CM714" i="4"/>
  <c r="CM731" i="4"/>
  <c r="CM732" i="4"/>
  <c r="CM250" i="4"/>
  <c r="CK739" i="4"/>
  <c r="CM83" i="4"/>
  <c r="CM84" i="4" s="1"/>
  <c r="CM199" i="4"/>
  <c r="CM200" i="4" s="1"/>
  <c r="CM60" i="62"/>
  <c r="CL736" i="4"/>
  <c r="I1035" i="4"/>
  <c r="I994" i="4"/>
  <c r="CN82" i="4" l="1"/>
  <c r="CN75" i="4"/>
  <c r="CG754" i="4"/>
  <c r="CF956" i="4"/>
  <c r="CC33" i="66"/>
  <c r="CC32" i="66" s="1"/>
  <c r="CC1291" i="4"/>
  <c r="CC1318" i="4"/>
  <c r="CC65" i="62"/>
  <c r="CC1118" i="4"/>
  <c r="CC81" i="11"/>
  <c r="CC82" i="11" s="1"/>
  <c r="CC1387" i="4" s="1"/>
  <c r="CE258" i="4"/>
  <c r="CE271" i="4"/>
  <c r="CE285" i="4" s="1"/>
  <c r="CG943" i="4"/>
  <c r="CG940" i="4"/>
  <c r="CG942" i="4"/>
  <c r="CG941" i="4"/>
  <c r="CE266" i="4"/>
  <c r="CE280" i="4" s="1"/>
  <c r="CE170" i="4"/>
  <c r="CF166" i="4"/>
  <c r="CF169" i="4"/>
  <c r="CF208" i="4"/>
  <c r="CF255" i="4"/>
  <c r="CF162" i="4"/>
  <c r="CF257" i="4"/>
  <c r="CF160" i="4"/>
  <c r="CF211" i="4"/>
  <c r="CF232" i="4"/>
  <c r="CF231" i="4"/>
  <c r="CF168" i="4"/>
  <c r="CF209" i="4"/>
  <c r="CF159" i="4"/>
  <c r="CF174" i="4"/>
  <c r="CF205" i="4"/>
  <c r="CF173" i="4"/>
  <c r="CF176" i="4"/>
  <c r="CF254" i="4"/>
  <c r="CF207" i="4"/>
  <c r="CF269" i="4" s="1"/>
  <c r="CF283" i="4" s="1"/>
  <c r="CF206" i="4"/>
  <c r="CG85" i="4"/>
  <c r="CF234" i="4"/>
  <c r="CF204" i="4"/>
  <c r="CF256" i="4"/>
  <c r="CF175" i="4"/>
  <c r="CF167" i="4"/>
  <c r="CF161" i="4"/>
  <c r="CF233" i="4"/>
  <c r="CF210" i="4"/>
  <c r="CD334" i="4"/>
  <c r="CD1037" i="4" s="1"/>
  <c r="CD276" i="4"/>
  <c r="CD279" i="4"/>
  <c r="CD289" i="4" s="1"/>
  <c r="CE212" i="4"/>
  <c r="CE268" i="4"/>
  <c r="CE282" i="4" s="1"/>
  <c r="CG746" i="4"/>
  <c r="CD260" i="4"/>
  <c r="CE177" i="4"/>
  <c r="CE267" i="4"/>
  <c r="CE281" i="4" s="1"/>
  <c r="CH1109" i="4"/>
  <c r="CH1110" i="4" s="1"/>
  <c r="CH1111" i="4" s="1"/>
  <c r="CH985" i="4" s="1"/>
  <c r="CH895" i="4"/>
  <c r="CH973" i="4" s="1"/>
  <c r="CH296" i="4" s="1"/>
  <c r="CI79" i="4"/>
  <c r="CH938" i="4"/>
  <c r="CH953" i="4"/>
  <c r="CH948" i="4"/>
  <c r="CH939" i="4"/>
  <c r="CH947" i="4"/>
  <c r="CH954" i="4"/>
  <c r="CH951" i="4"/>
  <c r="CH937" i="4"/>
  <c r="CH946" i="4"/>
  <c r="CH955" i="4"/>
  <c r="CH936" i="4"/>
  <c r="CH952" i="4"/>
  <c r="CH744" i="4"/>
  <c r="CH743" i="4"/>
  <c r="CH745" i="4"/>
  <c r="CE265" i="4"/>
  <c r="CE163" i="4"/>
  <c r="CE235" i="4"/>
  <c r="CE270" i="4"/>
  <c r="CE284" i="4" s="1"/>
  <c r="CM1173" i="4"/>
  <c r="CM1177" i="4" s="1"/>
  <c r="CM1494" i="4" s="1"/>
  <c r="CM1036" i="4"/>
  <c r="CM55" i="4"/>
  <c r="CM65" i="4"/>
  <c r="CM53" i="62"/>
  <c r="CN58" i="4"/>
  <c r="CM721" i="4"/>
  <c r="CM722" i="4"/>
  <c r="CM718" i="4"/>
  <c r="CM717" i="4"/>
  <c r="CN145" i="4"/>
  <c r="CN34" i="4" s="1"/>
  <c r="CN41" i="4" s="1"/>
  <c r="CN48" i="4" s="1"/>
  <c r="CN184" i="4"/>
  <c r="CN193" i="4" s="1"/>
  <c r="CN185" i="4"/>
  <c r="CN194" i="4" s="1"/>
  <c r="CN198" i="4" s="1"/>
  <c r="CN186" i="4"/>
  <c r="CN195" i="4" s="1"/>
  <c r="CN57" i="4"/>
  <c r="CN1129" i="4"/>
  <c r="CM53" i="4"/>
  <c r="CM544" i="4"/>
  <c r="CM1041" i="4"/>
  <c r="CN36" i="4"/>
  <c r="CN43" i="4" s="1"/>
  <c r="CN50" i="4" s="1"/>
  <c r="CN713" i="4" s="1"/>
  <c r="CN223" i="4"/>
  <c r="CN33" i="4"/>
  <c r="CN40" i="4" s="1"/>
  <c r="CN47" i="4" s="1"/>
  <c r="CN138" i="4"/>
  <c r="CN19" i="4"/>
  <c r="CN20" i="4" s="1"/>
  <c r="CN17" i="4"/>
  <c r="CO7" i="11"/>
  <c r="CO6" i="11" s="1"/>
  <c r="CO7" i="64"/>
  <c r="CO6" i="64" s="1"/>
  <c r="CO28" i="64" s="1"/>
  <c r="CO30" i="64" s="1"/>
  <c r="CO53" i="64" s="1"/>
  <c r="CO8" i="3"/>
  <c r="CO7" i="4"/>
  <c r="CO86" i="64"/>
  <c r="CO87" i="64" s="1"/>
  <c r="CO6" i="3"/>
  <c r="CO7" i="66"/>
  <c r="CO6" i="66" s="1"/>
  <c r="CO7" i="62"/>
  <c r="CO6" i="62" s="1"/>
  <c r="CN54" i="62"/>
  <c r="CN1157" i="4"/>
  <c r="CN1263" i="4"/>
  <c r="CN27" i="66"/>
  <c r="CN1151" i="4"/>
  <c r="CN9" i="66"/>
  <c r="CN60" i="4"/>
  <c r="CN66" i="4"/>
  <c r="CN28" i="66"/>
  <c r="CN295" i="4"/>
  <c r="CN303" i="4" s="1"/>
  <c r="CM61" i="4"/>
  <c r="CM318" i="4" s="1"/>
  <c r="CM328" i="4" s="1"/>
  <c r="CN18" i="4"/>
  <c r="CN32" i="4"/>
  <c r="CN39" i="4" s="1"/>
  <c r="CN46" i="4" s="1"/>
  <c r="CN126" i="4"/>
  <c r="CN192" i="4"/>
  <c r="CL738" i="4"/>
  <c r="CN1242" i="4"/>
  <c r="CN1243" i="4"/>
  <c r="CN274" i="4"/>
  <c r="CN335" i="4" s="1"/>
  <c r="CN273" i="4"/>
  <c r="CN275" i="4"/>
  <c r="CN288" i="4" s="1"/>
  <c r="CN329" i="4" s="1"/>
  <c r="CN414" i="4" s="1"/>
  <c r="CN415" i="4" s="1"/>
  <c r="CO413" i="4" s="1"/>
  <c r="CN37" i="4"/>
  <c r="CN44" i="4" s="1"/>
  <c r="CN51" i="4" s="1"/>
  <c r="CN246" i="4"/>
  <c r="CN824" i="4"/>
  <c r="CN62" i="4"/>
  <c r="CN528" i="4" s="1"/>
  <c r="CN54" i="11"/>
  <c r="CN70" i="4"/>
  <c r="CM63" i="4"/>
  <c r="CM1389" i="4" s="1"/>
  <c r="CN530" i="4"/>
  <c r="CN543" i="4"/>
  <c r="CN68" i="4"/>
  <c r="CN67" i="4"/>
  <c r="CN1042" i="4" s="1"/>
  <c r="CO16" i="4" l="1"/>
  <c r="G16" i="4" s="1"/>
  <c r="N9" i="72"/>
  <c r="P9" i="72"/>
  <c r="O9" i="72"/>
  <c r="M9" i="72"/>
  <c r="Q9" i="72"/>
  <c r="R9" i="72"/>
  <c r="S9" i="72"/>
  <c r="U9" i="72"/>
  <c r="T9" i="72"/>
  <c r="W9" i="72"/>
  <c r="V9" i="72"/>
  <c r="Y9" i="72"/>
  <c r="X9" i="72"/>
  <c r="Z9" i="72"/>
  <c r="AA9" i="72"/>
  <c r="AB9" i="72"/>
  <c r="AC9" i="72"/>
  <c r="AD9" i="72"/>
  <c r="AE9" i="72"/>
  <c r="AF9" i="72"/>
  <c r="AG9" i="72"/>
  <c r="AH9" i="72"/>
  <c r="AI9" i="72"/>
  <c r="AK9" i="72"/>
  <c r="AJ9" i="72"/>
  <c r="AL9" i="72"/>
  <c r="AM9" i="72"/>
  <c r="AN9" i="72"/>
  <c r="AO9" i="72"/>
  <c r="AP9" i="72"/>
  <c r="AR9" i="72"/>
  <c r="AU9" i="72"/>
  <c r="AS9" i="72"/>
  <c r="AQ9" i="72"/>
  <c r="AT9" i="72"/>
  <c r="AV9" i="72"/>
  <c r="AW9" i="72"/>
  <c r="AX9" i="72"/>
  <c r="AY9" i="72"/>
  <c r="AZ9" i="72"/>
  <c r="BA9" i="72"/>
  <c r="BB9" i="72"/>
  <c r="BC9" i="72"/>
  <c r="BD9" i="72"/>
  <c r="BG9" i="72"/>
  <c r="BF9" i="72"/>
  <c r="BE9" i="72"/>
  <c r="BI9" i="72"/>
  <c r="BH9" i="72"/>
  <c r="BK9" i="72"/>
  <c r="BJ9" i="72"/>
  <c r="BL9" i="72"/>
  <c r="BM9" i="72"/>
  <c r="BN9" i="72"/>
  <c r="BO9" i="72"/>
  <c r="BP9" i="72"/>
  <c r="BQ9" i="72"/>
  <c r="BS9" i="72"/>
  <c r="BR9" i="72"/>
  <c r="BV9" i="72"/>
  <c r="BT9" i="72"/>
  <c r="BU9" i="72"/>
  <c r="BW9" i="72"/>
  <c r="BY9" i="72"/>
  <c r="BX9" i="72"/>
  <c r="BZ9" i="72"/>
  <c r="CA9" i="72"/>
  <c r="CB9" i="72"/>
  <c r="CC9" i="72"/>
  <c r="CD9" i="72"/>
  <c r="CE9" i="72"/>
  <c r="CF9" i="72"/>
  <c r="CG9" i="72"/>
  <c r="CK9" i="72"/>
  <c r="CI9" i="72"/>
  <c r="CH9" i="72"/>
  <c r="CJ9" i="72"/>
  <c r="CM9" i="72"/>
  <c r="CN9" i="72"/>
  <c r="CL9" i="72"/>
  <c r="CO9" i="72"/>
  <c r="CG956" i="4"/>
  <c r="CF266" i="4"/>
  <c r="CF280" i="4" s="1"/>
  <c r="CF170" i="4"/>
  <c r="CH754" i="4"/>
  <c r="CH746" i="4"/>
  <c r="CF177" i="4"/>
  <c r="CF267" i="4"/>
  <c r="CF281" i="4" s="1"/>
  <c r="CF268" i="4"/>
  <c r="CF282" i="4" s="1"/>
  <c r="CF212" i="4"/>
  <c r="CE260" i="4"/>
  <c r="CH940" i="4"/>
  <c r="CH941" i="4"/>
  <c r="CH942" i="4"/>
  <c r="CH943" i="4"/>
  <c r="CG166" i="4"/>
  <c r="CG206" i="4"/>
  <c r="CG174" i="4"/>
  <c r="CG160" i="4"/>
  <c r="CH85" i="4"/>
  <c r="CG232" i="4"/>
  <c r="CG209" i="4"/>
  <c r="CG254" i="4"/>
  <c r="CG231" i="4"/>
  <c r="CG169" i="4"/>
  <c r="CG205" i="4"/>
  <c r="CG256" i="4"/>
  <c r="CG210" i="4"/>
  <c r="CG211" i="4"/>
  <c r="CG233" i="4"/>
  <c r="CG161" i="4"/>
  <c r="CG173" i="4"/>
  <c r="CG162" i="4"/>
  <c r="CG159" i="4"/>
  <c r="CG175" i="4"/>
  <c r="CG167" i="4"/>
  <c r="CG208" i="4"/>
  <c r="CG168" i="4"/>
  <c r="CG257" i="4"/>
  <c r="CG234" i="4"/>
  <c r="CG204" i="4"/>
  <c r="CG176" i="4"/>
  <c r="CG207" i="4"/>
  <c r="CG269" i="4" s="1"/>
  <c r="CG283" i="4" s="1"/>
  <c r="CG255" i="4"/>
  <c r="CF265" i="4"/>
  <c r="CF163" i="4"/>
  <c r="CD1318" i="4"/>
  <c r="CD33" i="66"/>
  <c r="CD32" i="66" s="1"/>
  <c r="CD81" i="11"/>
  <c r="CD82" i="11" s="1"/>
  <c r="CD1387" i="4" s="1"/>
  <c r="CD1118" i="4"/>
  <c r="CD1291" i="4"/>
  <c r="CD65" i="62"/>
  <c r="CE334" i="4"/>
  <c r="CE1037" i="4" s="1"/>
  <c r="CE276" i="4"/>
  <c r="CE279" i="4"/>
  <c r="CE289" i="4" s="1"/>
  <c r="CI1109" i="4"/>
  <c r="CI1110" i="4" s="1"/>
  <c r="CI1111" i="4" s="1"/>
  <c r="CI985" i="4" s="1"/>
  <c r="CI947" i="4"/>
  <c r="CI948" i="4"/>
  <c r="CI951" i="4"/>
  <c r="CI946" i="4"/>
  <c r="CJ79" i="4"/>
  <c r="CI953" i="4"/>
  <c r="CI938" i="4"/>
  <c r="CI936" i="4"/>
  <c r="CI952" i="4"/>
  <c r="CI954" i="4"/>
  <c r="CI955" i="4"/>
  <c r="CI895" i="4"/>
  <c r="CI973" i="4" s="1"/>
  <c r="CI296" i="4" s="1"/>
  <c r="CI939" i="4"/>
  <c r="CI937" i="4"/>
  <c r="CI743" i="4"/>
  <c r="CI744" i="4"/>
  <c r="CI745" i="4"/>
  <c r="CF258" i="4"/>
  <c r="CF271" i="4"/>
  <c r="CF285" i="4" s="1"/>
  <c r="CF235" i="4"/>
  <c r="CF270" i="4"/>
  <c r="CF284" i="4" s="1"/>
  <c r="CN150" i="4"/>
  <c r="CN153" i="4" s="1"/>
  <c r="CN154" i="4" s="1"/>
  <c r="CN540" i="4"/>
  <c r="CN542" i="4" s="1"/>
  <c r="CN544" i="4" s="1"/>
  <c r="CN15" i="66"/>
  <c r="AH28" i="67"/>
  <c r="AG28" i="67"/>
  <c r="AJ28" i="67"/>
  <c r="AI28" i="67"/>
  <c r="AK28" i="67"/>
  <c r="AL28" i="67"/>
  <c r="AN28" i="67"/>
  <c r="AM28" i="67"/>
  <c r="AP28" i="67"/>
  <c r="AO28" i="67"/>
  <c r="AR28" i="67"/>
  <c r="AQ28" i="67"/>
  <c r="AS28" i="67"/>
  <c r="AT28" i="67"/>
  <c r="AV28" i="67"/>
  <c r="AU28" i="67"/>
  <c r="AY28" i="67"/>
  <c r="AW28" i="67"/>
  <c r="AX28" i="67"/>
  <c r="AZ28" i="67"/>
  <c r="BA28" i="67"/>
  <c r="BB28" i="67"/>
  <c r="BD28" i="67"/>
  <c r="BC28" i="67"/>
  <c r="BE28" i="67"/>
  <c r="BF28" i="67"/>
  <c r="BL28" i="67"/>
  <c r="BH28" i="67"/>
  <c r="BG28" i="67"/>
  <c r="BI28" i="67"/>
  <c r="BJ28" i="67"/>
  <c r="BK28" i="67"/>
  <c r="BM28" i="67"/>
  <c r="BN28" i="67"/>
  <c r="BO28" i="67"/>
  <c r="BQ28" i="67"/>
  <c r="BP28" i="67"/>
  <c r="BS28" i="67"/>
  <c r="BR28" i="67"/>
  <c r="BT28" i="67"/>
  <c r="BU28" i="67"/>
  <c r="BW28" i="67"/>
  <c r="BV28" i="67"/>
  <c r="BY28" i="67"/>
  <c r="BX28" i="67"/>
  <c r="BZ28" i="67"/>
  <c r="CA28" i="67"/>
  <c r="CC28" i="67"/>
  <c r="CB28" i="67"/>
  <c r="CE28" i="67"/>
  <c r="CD28" i="67"/>
  <c r="CF28" i="67"/>
  <c r="CH28" i="67"/>
  <c r="CG28" i="67"/>
  <c r="CL28" i="67"/>
  <c r="CJ28" i="67"/>
  <c r="CI28" i="67"/>
  <c r="CK28" i="67"/>
  <c r="CN28" i="67"/>
  <c r="CM28" i="67"/>
  <c r="CO28" i="67"/>
  <c r="CN1036" i="4"/>
  <c r="CN35" i="4"/>
  <c r="CN42" i="4" s="1"/>
  <c r="CN49" i="4" s="1"/>
  <c r="CO241" i="3"/>
  <c r="I241" i="3" s="1"/>
  <c r="CO301" i="3"/>
  <c r="CN54" i="4"/>
  <c r="CN55" i="4" s="1"/>
  <c r="CO217" i="3"/>
  <c r="I217" i="3" s="1"/>
  <c r="CO355" i="3"/>
  <c r="I355" i="3" s="1"/>
  <c r="CO186" i="3"/>
  <c r="I186" i="3" s="1"/>
  <c r="CO242" i="3"/>
  <c r="I242" i="3" s="1"/>
  <c r="CO356" i="3"/>
  <c r="I356" i="3" s="1"/>
  <c r="CO329" i="3"/>
  <c r="I329" i="3" s="1"/>
  <c r="CO331" i="3"/>
  <c r="I331" i="3" s="1"/>
  <c r="CO300" i="3"/>
  <c r="I300" i="3" s="1"/>
  <c r="CO298" i="3"/>
  <c r="I298" i="3" s="1"/>
  <c r="CO330" i="3"/>
  <c r="I330" i="3" s="1"/>
  <c r="CO216" i="3"/>
  <c r="I216" i="3" s="1"/>
  <c r="CO357" i="3"/>
  <c r="I357" i="3" s="1"/>
  <c r="CO299" i="3"/>
  <c r="I299" i="3" s="1"/>
  <c r="CO296" i="3"/>
  <c r="I296" i="3" s="1"/>
  <c r="CO218" i="3"/>
  <c r="I218" i="3" s="1"/>
  <c r="CO184" i="3"/>
  <c r="I184" i="3" s="1"/>
  <c r="CO1447" i="4"/>
  <c r="CO185" i="3"/>
  <c r="I185" i="3" s="1"/>
  <c r="CO297" i="3"/>
  <c r="I297" i="3" s="1"/>
  <c r="CO240" i="3"/>
  <c r="I240" i="3" s="1"/>
  <c r="L9" i="67"/>
  <c r="AE9" i="67"/>
  <c r="AG21" i="67"/>
  <c r="AG35" i="67"/>
  <c r="AG31" i="67"/>
  <c r="AG9" i="67"/>
  <c r="AG27" i="67"/>
  <c r="AG19" i="67"/>
  <c r="AG20" i="67"/>
  <c r="AG18" i="67"/>
  <c r="AG26" i="67"/>
  <c r="M9" i="67"/>
  <c r="AI21" i="67"/>
  <c r="AG14" i="67"/>
  <c r="AG34" i="67"/>
  <c r="AG15" i="67"/>
  <c r="AH19" i="67"/>
  <c r="AH35" i="67"/>
  <c r="AH31" i="67"/>
  <c r="AI20" i="67"/>
  <c r="AH20" i="67"/>
  <c r="AK31" i="67"/>
  <c r="AI9" i="67"/>
  <c r="AI14" i="67"/>
  <c r="AI27" i="67"/>
  <c r="AI15" i="67"/>
  <c r="AH21" i="67"/>
  <c r="AI35" i="67"/>
  <c r="AH9" i="67"/>
  <c r="AH26" i="67"/>
  <c r="AH18" i="67"/>
  <c r="AI18" i="67"/>
  <c r="AH14" i="67"/>
  <c r="AI26" i="67"/>
  <c r="AI34" i="67"/>
  <c r="AI19" i="67"/>
  <c r="AH34" i="67"/>
  <c r="AH27" i="67"/>
  <c r="AI31" i="67"/>
  <c r="AH15" i="67"/>
  <c r="AJ27" i="67"/>
  <c r="AJ9" i="67"/>
  <c r="AK35" i="67"/>
  <c r="AJ35" i="67"/>
  <c r="AK14" i="67"/>
  <c r="AJ15" i="67"/>
  <c r="AK15" i="67"/>
  <c r="AJ14" i="67"/>
  <c r="AM26" i="67"/>
  <c r="AK34" i="67"/>
  <c r="AK9" i="67"/>
  <c r="AK19" i="67"/>
  <c r="AK21" i="67"/>
  <c r="AK20" i="67"/>
  <c r="AJ31" i="67"/>
  <c r="AJ18" i="67"/>
  <c r="AK27" i="67"/>
  <c r="AJ19" i="67"/>
  <c r="AJ21" i="67"/>
  <c r="AJ26" i="67"/>
  <c r="AK18" i="67"/>
  <c r="AJ34" i="67"/>
  <c r="AK26" i="67"/>
  <c r="AJ20" i="67"/>
  <c r="AL27" i="67"/>
  <c r="AL26" i="67"/>
  <c r="AL19" i="67"/>
  <c r="AO31" i="67"/>
  <c r="AM14" i="67"/>
  <c r="AM9" i="67"/>
  <c r="AM27" i="67"/>
  <c r="AL31" i="67"/>
  <c r="AM18" i="67"/>
  <c r="AL35" i="67"/>
  <c r="AM15" i="67"/>
  <c r="AL14" i="67"/>
  <c r="AL20" i="67"/>
  <c r="AL21" i="67"/>
  <c r="AL18" i="67"/>
  <c r="AM31" i="67"/>
  <c r="AM34" i="67"/>
  <c r="AL15" i="67"/>
  <c r="AM35" i="67"/>
  <c r="AL34" i="67"/>
  <c r="AM20" i="67"/>
  <c r="AM19" i="67"/>
  <c r="AL9" i="67"/>
  <c r="AM21" i="67"/>
  <c r="AN35" i="67"/>
  <c r="AN18" i="67"/>
  <c r="AN31" i="67"/>
  <c r="AO19" i="67"/>
  <c r="AN21" i="67"/>
  <c r="AN9" i="67"/>
  <c r="AO21" i="67"/>
  <c r="AN34" i="67"/>
  <c r="AO34" i="67"/>
  <c r="N9" i="67"/>
  <c r="AO14" i="67"/>
  <c r="AN15" i="67"/>
  <c r="AN19" i="67"/>
  <c r="AN20" i="67"/>
  <c r="AO35" i="67"/>
  <c r="AN27" i="67"/>
  <c r="AO9" i="67"/>
  <c r="AN14" i="67"/>
  <c r="AO18" i="67"/>
  <c r="AO15" i="67"/>
  <c r="AQ35" i="67"/>
  <c r="AO27" i="67"/>
  <c r="AO26" i="67"/>
  <c r="AN26" i="67"/>
  <c r="AO20" i="67"/>
  <c r="AU9" i="67"/>
  <c r="AP14" i="67"/>
  <c r="AQ14" i="67"/>
  <c r="AP21" i="67"/>
  <c r="AQ31" i="67"/>
  <c r="AQ34" i="67"/>
  <c r="AQ26" i="67"/>
  <c r="AP19" i="67"/>
  <c r="AQ20" i="67"/>
  <c r="AS20" i="67"/>
  <c r="AP26" i="67"/>
  <c r="AQ21" i="67"/>
  <c r="AP9" i="67"/>
  <c r="AP31" i="67"/>
  <c r="AQ9" i="67"/>
  <c r="AP34" i="67"/>
  <c r="AQ19" i="67"/>
  <c r="AQ27" i="67"/>
  <c r="AP35" i="67"/>
  <c r="AQ18" i="67"/>
  <c r="AP27" i="67"/>
  <c r="AQ15" i="67"/>
  <c r="AP15" i="67"/>
  <c r="AP18" i="67"/>
  <c r="AP20" i="67"/>
  <c r="AR9" i="67"/>
  <c r="AR26" i="67"/>
  <c r="AS26" i="67"/>
  <c r="AR14" i="67"/>
  <c r="AS27" i="67"/>
  <c r="AS31" i="67"/>
  <c r="AS34" i="67"/>
  <c r="AR27" i="67"/>
  <c r="AR19" i="67"/>
  <c r="AR35" i="67"/>
  <c r="AS14" i="67"/>
  <c r="AR21" i="67"/>
  <c r="AR15" i="67"/>
  <c r="AR31" i="67"/>
  <c r="AS35" i="67"/>
  <c r="AS18" i="67"/>
  <c r="AR20" i="67"/>
  <c r="AR18" i="67"/>
  <c r="AS19" i="67"/>
  <c r="AS15" i="67"/>
  <c r="AS21" i="67"/>
  <c r="AR34" i="67"/>
  <c r="AS9" i="67"/>
  <c r="AT26" i="67"/>
  <c r="AT20" i="67"/>
  <c r="AT27" i="67"/>
  <c r="AU21" i="67"/>
  <c r="AU26" i="67"/>
  <c r="AT14" i="67"/>
  <c r="AT21" i="67"/>
  <c r="AU14" i="67"/>
  <c r="AT18" i="67"/>
  <c r="AT19" i="67"/>
  <c r="AU15" i="67"/>
  <c r="AU20" i="67"/>
  <c r="AT34" i="67"/>
  <c r="AU35" i="67"/>
  <c r="AU18" i="67"/>
  <c r="AT9" i="67"/>
  <c r="AU31" i="67"/>
  <c r="AU19" i="67"/>
  <c r="AT35" i="67"/>
  <c r="AT31" i="67"/>
  <c r="AU34" i="67"/>
  <c r="AT15" i="67"/>
  <c r="AU27" i="67"/>
  <c r="AZ9" i="67"/>
  <c r="AV9" i="67"/>
  <c r="AV20" i="67"/>
  <c r="AV27" i="67"/>
  <c r="AV14" i="67"/>
  <c r="AV19" i="67"/>
  <c r="AV34" i="67"/>
  <c r="AV18" i="67"/>
  <c r="AV15" i="67"/>
  <c r="AV31" i="67"/>
  <c r="AV26" i="67"/>
  <c r="AV35" i="67"/>
  <c r="AV21" i="67"/>
  <c r="AX35" i="67"/>
  <c r="AX31" i="67"/>
  <c r="AX34" i="67"/>
  <c r="AX27" i="67"/>
  <c r="O9" i="67"/>
  <c r="AW27" i="67"/>
  <c r="AX14" i="67"/>
  <c r="AW20" i="67"/>
  <c r="AW15" i="67"/>
  <c r="AX9" i="67"/>
  <c r="AX19" i="67"/>
  <c r="AX26" i="67"/>
  <c r="AW19" i="67"/>
  <c r="AW35" i="67"/>
  <c r="AW31" i="67"/>
  <c r="AX15" i="67"/>
  <c r="AW9" i="67"/>
  <c r="AX21" i="67"/>
  <c r="AX20" i="67"/>
  <c r="AW21" i="67"/>
  <c r="AW34" i="67"/>
  <c r="AW18" i="67"/>
  <c r="AX18" i="67"/>
  <c r="AW14" i="67"/>
  <c r="AW26" i="67"/>
  <c r="AY21" i="67"/>
  <c r="AY14" i="67"/>
  <c r="AZ21" i="67"/>
  <c r="AZ27" i="67"/>
  <c r="AZ18" i="67"/>
  <c r="AY26" i="67"/>
  <c r="AZ19" i="67"/>
  <c r="AY18" i="67"/>
  <c r="AY35" i="67"/>
  <c r="AZ35" i="67"/>
  <c r="AY34" i="67"/>
  <c r="AY9" i="67"/>
  <c r="AZ14" i="67"/>
  <c r="AZ26" i="67"/>
  <c r="AY31" i="67"/>
  <c r="AY27" i="67"/>
  <c r="AY15" i="67"/>
  <c r="AZ15" i="67"/>
  <c r="AZ20" i="67"/>
  <c r="AZ31" i="67"/>
  <c r="AY20" i="67"/>
  <c r="AY19" i="67"/>
  <c r="AZ34" i="67"/>
  <c r="BA26" i="67"/>
  <c r="BA15" i="67"/>
  <c r="BA34" i="67"/>
  <c r="BA31" i="67"/>
  <c r="BA27" i="67"/>
  <c r="BC9" i="67"/>
  <c r="BA19" i="67"/>
  <c r="BA9" i="67"/>
  <c r="BA18" i="67"/>
  <c r="BA35" i="67"/>
  <c r="BA14" i="67"/>
  <c r="BA21" i="67"/>
  <c r="BA20" i="67"/>
  <c r="BB34" i="67"/>
  <c r="BB19" i="67"/>
  <c r="BC21" i="67"/>
  <c r="BB18" i="67"/>
  <c r="BB20" i="67"/>
  <c r="BB27" i="67"/>
  <c r="BC35" i="67"/>
  <c r="BC31" i="67"/>
  <c r="BB31" i="67"/>
  <c r="BC14" i="67"/>
  <c r="BC20" i="67"/>
  <c r="BC15" i="67"/>
  <c r="BB21" i="67"/>
  <c r="BC19" i="67"/>
  <c r="BB9" i="67"/>
  <c r="BB26" i="67"/>
  <c r="BC26" i="67"/>
  <c r="BE18" i="67"/>
  <c r="BC18" i="67"/>
  <c r="BB15" i="67"/>
  <c r="BB14" i="67"/>
  <c r="BC27" i="67"/>
  <c r="BC34" i="67"/>
  <c r="BB35" i="67"/>
  <c r="BI26" i="67"/>
  <c r="BG19" i="67"/>
  <c r="BE31" i="67"/>
  <c r="BD9" i="67"/>
  <c r="BD14" i="67"/>
  <c r="BD34" i="67"/>
  <c r="BD18" i="67"/>
  <c r="BD21" i="67"/>
  <c r="BE20" i="67"/>
  <c r="BE15" i="67"/>
  <c r="BD27" i="67"/>
  <c r="BE27" i="67"/>
  <c r="BD15" i="67"/>
  <c r="BE21" i="67"/>
  <c r="BE35" i="67"/>
  <c r="BE9" i="67"/>
  <c r="BD35" i="67"/>
  <c r="BD20" i="67"/>
  <c r="P9" i="67"/>
  <c r="BD31" i="67"/>
  <c r="BE26" i="67"/>
  <c r="BE19" i="67"/>
  <c r="BD26" i="67"/>
  <c r="BE14" i="67"/>
  <c r="BE34" i="67"/>
  <c r="BD19" i="67"/>
  <c r="BF14" i="67"/>
  <c r="BF20" i="67"/>
  <c r="BG26" i="67"/>
  <c r="BG14" i="67"/>
  <c r="BG34" i="67"/>
  <c r="BG9" i="67"/>
  <c r="BG35" i="67"/>
  <c r="BG31" i="67"/>
  <c r="BF26" i="67"/>
  <c r="BG21" i="67"/>
  <c r="BF15" i="67"/>
  <c r="BF19" i="67"/>
  <c r="BG18" i="67"/>
  <c r="BF31" i="67"/>
  <c r="BF27" i="67"/>
  <c r="BF9" i="67"/>
  <c r="BG20" i="67"/>
  <c r="BF34" i="67"/>
  <c r="BF18" i="67"/>
  <c r="BG15" i="67"/>
  <c r="BF21" i="67"/>
  <c r="BG27" i="67"/>
  <c r="BF35" i="67"/>
  <c r="BI9" i="67"/>
  <c r="BI35" i="67"/>
  <c r="BI15" i="67"/>
  <c r="BI20" i="67"/>
  <c r="BH35" i="67"/>
  <c r="BH27" i="67"/>
  <c r="BH31" i="67"/>
  <c r="BI27" i="67"/>
  <c r="BH26" i="67"/>
  <c r="BH14" i="67"/>
  <c r="BI34" i="67"/>
  <c r="BI14" i="67"/>
  <c r="BH18" i="67"/>
  <c r="BH19" i="67"/>
  <c r="BI21" i="67"/>
  <c r="BH21" i="67"/>
  <c r="BI18" i="67"/>
  <c r="BH9" i="67"/>
  <c r="BH34" i="67"/>
  <c r="BI19" i="67"/>
  <c r="BH15" i="67"/>
  <c r="BI31" i="67"/>
  <c r="BH20" i="67"/>
  <c r="BJ15" i="67"/>
  <c r="BL19" i="67"/>
  <c r="BJ9" i="67"/>
  <c r="BJ18" i="67"/>
  <c r="BJ26" i="67"/>
  <c r="BJ19" i="67"/>
  <c r="BJ35" i="67"/>
  <c r="BJ31" i="67"/>
  <c r="BJ21" i="67"/>
  <c r="BJ20" i="67"/>
  <c r="BJ14" i="67"/>
  <c r="BJ34" i="67"/>
  <c r="BJ27" i="67"/>
  <c r="BL27" i="67"/>
  <c r="BK19" i="67"/>
  <c r="BL18" i="67"/>
  <c r="BK34" i="67"/>
  <c r="BL35" i="67"/>
  <c r="BL20" i="67"/>
  <c r="BN20" i="67"/>
  <c r="BK35" i="67"/>
  <c r="BK14" i="67"/>
  <c r="BK9" i="67"/>
  <c r="BK18" i="67"/>
  <c r="BK26" i="67"/>
  <c r="Q9" i="67"/>
  <c r="BL34" i="67"/>
  <c r="BL14" i="67"/>
  <c r="BK15" i="67"/>
  <c r="BK20" i="67"/>
  <c r="BK21" i="67"/>
  <c r="BK27" i="67"/>
  <c r="BL15" i="67"/>
  <c r="BK31" i="67"/>
  <c r="BL9" i="67"/>
  <c r="BL21" i="67"/>
  <c r="BL31" i="67"/>
  <c r="BL26" i="67"/>
  <c r="BM34" i="67"/>
  <c r="BN18" i="67"/>
  <c r="BM19" i="67"/>
  <c r="BM31" i="67"/>
  <c r="BM27" i="67"/>
  <c r="BM26" i="67"/>
  <c r="BM20" i="67"/>
  <c r="BM18" i="67"/>
  <c r="BM21" i="67"/>
  <c r="BN34" i="67"/>
  <c r="BM15" i="67"/>
  <c r="BM9" i="67"/>
  <c r="BN19" i="67"/>
  <c r="BP26" i="67"/>
  <c r="BM35" i="67"/>
  <c r="BN27" i="67"/>
  <c r="BN9" i="67"/>
  <c r="BN35" i="67"/>
  <c r="BM14" i="67"/>
  <c r="BN14" i="67"/>
  <c r="BN31" i="67"/>
  <c r="BN21" i="67"/>
  <c r="BN15" i="67"/>
  <c r="BN26" i="67"/>
  <c r="BP14" i="67"/>
  <c r="BP35" i="67"/>
  <c r="BO21" i="67"/>
  <c r="BO26" i="67"/>
  <c r="BP18" i="67"/>
  <c r="BP15" i="67"/>
  <c r="BO27" i="67"/>
  <c r="BO14" i="67"/>
  <c r="BP21" i="67"/>
  <c r="BR26" i="67"/>
  <c r="BP9" i="67"/>
  <c r="BP20" i="67"/>
  <c r="BO34" i="67"/>
  <c r="BO18" i="67"/>
  <c r="BO35" i="67"/>
  <c r="BO20" i="67"/>
  <c r="BP31" i="67"/>
  <c r="BO15" i="67"/>
  <c r="BO31" i="67"/>
  <c r="BP34" i="67"/>
  <c r="BO19" i="67"/>
  <c r="BO9" i="67"/>
  <c r="BP19" i="67"/>
  <c r="BQ27" i="67"/>
  <c r="BR18" i="67"/>
  <c r="R9" i="67"/>
  <c r="BR9" i="67"/>
  <c r="BQ14" i="67"/>
  <c r="BQ19" i="67"/>
  <c r="BT34" i="67"/>
  <c r="BR14" i="67"/>
  <c r="BQ9" i="67"/>
  <c r="BQ21" i="67"/>
  <c r="BP27" i="67"/>
  <c r="BR19" i="67"/>
  <c r="BR20" i="67"/>
  <c r="BQ35" i="67"/>
  <c r="BR27" i="67"/>
  <c r="BR21" i="67"/>
  <c r="BQ18" i="67"/>
  <c r="BQ34" i="67"/>
  <c r="BQ20" i="67"/>
  <c r="BR35" i="67"/>
  <c r="BQ26" i="67"/>
  <c r="BQ31" i="67"/>
  <c r="BR34" i="67"/>
  <c r="BQ15" i="67"/>
  <c r="BT27" i="67"/>
  <c r="BR15" i="67"/>
  <c r="BS26" i="67"/>
  <c r="BT31" i="67"/>
  <c r="BV35" i="67"/>
  <c r="BR31" i="67"/>
  <c r="BS9" i="67"/>
  <c r="BS18" i="67"/>
  <c r="BS21" i="67"/>
  <c r="BS35" i="67"/>
  <c r="BT9" i="67"/>
  <c r="BS19" i="67"/>
  <c r="BS27" i="67"/>
  <c r="BT20" i="67"/>
  <c r="BS15" i="67"/>
  <c r="BT19" i="67"/>
  <c r="BT15" i="67"/>
  <c r="BT21" i="67"/>
  <c r="BS31" i="67"/>
  <c r="BS14" i="67"/>
  <c r="BT35" i="67"/>
  <c r="BS34" i="67"/>
  <c r="BT26" i="67"/>
  <c r="BS20" i="67"/>
  <c r="BU20" i="67"/>
  <c r="BU21" i="67"/>
  <c r="BV21" i="67"/>
  <c r="BU14" i="67"/>
  <c r="BV27" i="67"/>
  <c r="BU15" i="67"/>
  <c r="BU9" i="67"/>
  <c r="BV34" i="67"/>
  <c r="BU31" i="67"/>
  <c r="BV9" i="67"/>
  <c r="BV19" i="67"/>
  <c r="BV26" i="67"/>
  <c r="BU26" i="67"/>
  <c r="BV31" i="67"/>
  <c r="BV15" i="67"/>
  <c r="BT14" i="67"/>
  <c r="BV20" i="67"/>
  <c r="BX21" i="67"/>
  <c r="BU35" i="67"/>
  <c r="BV14" i="67"/>
  <c r="BU27" i="67"/>
  <c r="BU34" i="67"/>
  <c r="BV18" i="67"/>
  <c r="BU18" i="67"/>
  <c r="BT18" i="67"/>
  <c r="BU19" i="67"/>
  <c r="BW20" i="67"/>
  <c r="BW26" i="67"/>
  <c r="BX20" i="67"/>
  <c r="BX26" i="67"/>
  <c r="BX14" i="67"/>
  <c r="BX35" i="67"/>
  <c r="BX19" i="67"/>
  <c r="BX18" i="67"/>
  <c r="BW35" i="67"/>
  <c r="BX15" i="67"/>
  <c r="BW19" i="67"/>
  <c r="BX27" i="67"/>
  <c r="BW21" i="67"/>
  <c r="BX34" i="67"/>
  <c r="BW31" i="67"/>
  <c r="BZ26" i="67"/>
  <c r="BX9" i="67"/>
  <c r="BW14" i="67"/>
  <c r="BW34" i="67"/>
  <c r="BX31" i="67"/>
  <c r="BW27" i="67"/>
  <c r="BW15" i="67"/>
  <c r="BW18" i="67"/>
  <c r="BW9" i="67"/>
  <c r="CB18" i="67"/>
  <c r="BY19" i="67"/>
  <c r="BZ21" i="67"/>
  <c r="BY21" i="67"/>
  <c r="BZ14" i="67"/>
  <c r="BY9" i="67"/>
  <c r="BY34" i="67"/>
  <c r="BY14" i="67"/>
  <c r="BZ19" i="67"/>
  <c r="BY31" i="67"/>
  <c r="BY26" i="67"/>
  <c r="BZ9" i="67"/>
  <c r="BY27" i="67"/>
  <c r="BY20" i="67"/>
  <c r="S9" i="67"/>
  <c r="BZ20" i="67"/>
  <c r="BY35" i="67"/>
  <c r="BZ18" i="67"/>
  <c r="BZ35" i="67"/>
  <c r="BZ34" i="67"/>
  <c r="BZ27" i="67"/>
  <c r="BZ15" i="67"/>
  <c r="BZ31" i="67"/>
  <c r="BY15" i="67"/>
  <c r="BY18" i="67"/>
  <c r="CA21" i="67"/>
  <c r="CB26" i="67"/>
  <c r="CA35" i="67"/>
  <c r="CA15" i="67"/>
  <c r="CA14" i="67"/>
  <c r="CB27" i="67"/>
  <c r="CB21" i="67"/>
  <c r="CB14" i="67"/>
  <c r="CB15" i="67"/>
  <c r="CB20" i="67"/>
  <c r="CA18" i="67"/>
  <c r="CA9" i="67"/>
  <c r="CB9" i="67"/>
  <c r="CA34" i="67"/>
  <c r="CA20" i="67"/>
  <c r="CB31" i="67"/>
  <c r="CB35" i="67"/>
  <c r="CA27" i="67"/>
  <c r="CB19" i="67"/>
  <c r="CA19" i="67"/>
  <c r="CB34" i="67"/>
  <c r="CA31" i="67"/>
  <c r="CA26" i="67"/>
  <c r="CC21" i="67"/>
  <c r="CD9" i="67"/>
  <c r="CC15" i="67"/>
  <c r="CD18" i="67"/>
  <c r="CD21" i="67"/>
  <c r="CC14" i="67"/>
  <c r="CC19" i="67"/>
  <c r="CD31" i="67"/>
  <c r="CD14" i="67"/>
  <c r="CC9" i="67"/>
  <c r="CC26" i="67"/>
  <c r="CD27" i="67"/>
  <c r="CD15" i="67"/>
  <c r="CC31" i="67"/>
  <c r="CC27" i="67"/>
  <c r="CD26" i="67"/>
  <c r="CC18" i="67"/>
  <c r="CD19" i="67"/>
  <c r="CC20" i="67"/>
  <c r="CC34" i="67"/>
  <c r="CD20" i="67"/>
  <c r="CD34" i="67"/>
  <c r="CC35" i="67"/>
  <c r="CD35" i="67"/>
  <c r="CG27" i="67"/>
  <c r="CE19" i="67"/>
  <c r="CE14" i="67"/>
  <c r="CE15" i="67"/>
  <c r="CE9" i="67"/>
  <c r="CE27" i="67"/>
  <c r="CE26" i="67"/>
  <c r="CE34" i="67"/>
  <c r="CE18" i="67"/>
  <c r="CE31" i="67"/>
  <c r="CE21" i="67"/>
  <c r="CE35" i="67"/>
  <c r="CE20" i="67"/>
  <c r="CF31" i="67"/>
  <c r="CG21" i="67"/>
  <c r="CG15" i="67"/>
  <c r="CF35" i="67"/>
  <c r="CF19" i="67"/>
  <c r="CF9" i="67"/>
  <c r="CG9" i="67"/>
  <c r="CG35" i="67"/>
  <c r="CF21" i="67"/>
  <c r="CG19" i="67"/>
  <c r="CG34" i="67"/>
  <c r="CG18" i="67"/>
  <c r="CF26" i="67"/>
  <c r="CF34" i="67"/>
  <c r="CF18" i="67"/>
  <c r="CG31" i="67"/>
  <c r="CF27" i="67"/>
  <c r="CI18" i="67"/>
  <c r="CF15" i="67"/>
  <c r="CF14" i="67"/>
  <c r="T9" i="67"/>
  <c r="CG26" i="67"/>
  <c r="CF20" i="67"/>
  <c r="CG20" i="67"/>
  <c r="CG14" i="67"/>
  <c r="CK31" i="67"/>
  <c r="CH14" i="67"/>
  <c r="CI31" i="67"/>
  <c r="CI35" i="67"/>
  <c r="CH9" i="67"/>
  <c r="CI27" i="67"/>
  <c r="CI21" i="67"/>
  <c r="CH34" i="67"/>
  <c r="CH15" i="67"/>
  <c r="CI15" i="67"/>
  <c r="CI34" i="67"/>
  <c r="CH21" i="67"/>
  <c r="CH19" i="67"/>
  <c r="CH18" i="67"/>
  <c r="CH26" i="67"/>
  <c r="CI9" i="67"/>
  <c r="CH20" i="67"/>
  <c r="CI26" i="67"/>
  <c r="CI19" i="67"/>
  <c r="CH35" i="67"/>
  <c r="CH31" i="67"/>
  <c r="CH27" i="67"/>
  <c r="CI14" i="67"/>
  <c r="CI20" i="67"/>
  <c r="CJ31" i="67"/>
  <c r="CK21" i="67"/>
  <c r="CK34" i="67"/>
  <c r="CK18" i="67"/>
  <c r="CK20" i="67"/>
  <c r="CJ18" i="67"/>
  <c r="CJ34" i="67"/>
  <c r="CJ35" i="67"/>
  <c r="CJ27" i="67"/>
  <c r="CJ21" i="67"/>
  <c r="CK35" i="67"/>
  <c r="CJ14" i="67"/>
  <c r="CJ9" i="67"/>
  <c r="CJ19" i="67"/>
  <c r="CK14" i="67"/>
  <c r="CJ26" i="67"/>
  <c r="CK15" i="67"/>
  <c r="CK9" i="67"/>
  <c r="CK26" i="67"/>
  <c r="CK19" i="67"/>
  <c r="CJ15" i="67"/>
  <c r="CJ20" i="67"/>
  <c r="CK27" i="67"/>
  <c r="CM14" i="67"/>
  <c r="CM27" i="67"/>
  <c r="CM21" i="67"/>
  <c r="CL20" i="67"/>
  <c r="CM15" i="67"/>
  <c r="CL31" i="67"/>
  <c r="CM34" i="67"/>
  <c r="CM26" i="67"/>
  <c r="CL14" i="67"/>
  <c r="CL21" i="67"/>
  <c r="CM35" i="67"/>
  <c r="CL35" i="67"/>
  <c r="CM19" i="67"/>
  <c r="CM20" i="67"/>
  <c r="CL18" i="67"/>
  <c r="CL26" i="67"/>
  <c r="CL15" i="67"/>
  <c r="CL34" i="67"/>
  <c r="CM18" i="67"/>
  <c r="CL9" i="67"/>
  <c r="CL19" i="67"/>
  <c r="CL27" i="67"/>
  <c r="CN20" i="67"/>
  <c r="CM9" i="67"/>
  <c r="CN34" i="67"/>
  <c r="CN26" i="67"/>
  <c r="CN31" i="67"/>
  <c r="CN18" i="67"/>
  <c r="CN35" i="67"/>
  <c r="CN27" i="67"/>
  <c r="CM31" i="67"/>
  <c r="CN19" i="67"/>
  <c r="CN14" i="67"/>
  <c r="CN21" i="67"/>
  <c r="CO15" i="67"/>
  <c r="CO9" i="67"/>
  <c r="U9" i="67"/>
  <c r="CO20" i="67"/>
  <c r="CO19" i="67"/>
  <c r="CO31" i="67"/>
  <c r="CO34" i="67"/>
  <c r="CN15" i="67"/>
  <c r="CO26" i="67"/>
  <c r="CO35" i="67"/>
  <c r="CO14" i="67"/>
  <c r="CN9" i="67"/>
  <c r="CO18" i="67"/>
  <c r="CO27" i="67"/>
  <c r="CO21" i="67"/>
  <c r="V9" i="67"/>
  <c r="W9" i="67"/>
  <c r="X9" i="67"/>
  <c r="Y9" i="67"/>
  <c r="Z9" i="67"/>
  <c r="AA9" i="67"/>
  <c r="AB9" i="67"/>
  <c r="AC9" i="67"/>
  <c r="AD9" i="67"/>
  <c r="CN9" i="3"/>
  <c r="CN9" i="64"/>
  <c r="CN9" i="62"/>
  <c r="CN76" i="4"/>
  <c r="CN77" i="4" s="1"/>
  <c r="CN9" i="11"/>
  <c r="CM736" i="4"/>
  <c r="CN9" i="4"/>
  <c r="CM737" i="4"/>
  <c r="J139" i="15"/>
  <c r="L157" i="15"/>
  <c r="K159" i="15"/>
  <c r="H157" i="15"/>
  <c r="I158" i="15"/>
  <c r="L139" i="15"/>
  <c r="J159" i="15"/>
  <c r="M159" i="15"/>
  <c r="K158" i="15"/>
  <c r="H159" i="15"/>
  <c r="H158" i="15"/>
  <c r="J157" i="15"/>
  <c r="I157" i="15"/>
  <c r="J158" i="15"/>
  <c r="K139" i="15"/>
  <c r="M158" i="15"/>
  <c r="M139" i="15"/>
  <c r="K157" i="15"/>
  <c r="I159" i="15"/>
  <c r="L158" i="15"/>
  <c r="L159" i="15"/>
  <c r="H139" i="15"/>
  <c r="M157" i="15"/>
  <c r="I139" i="15"/>
  <c r="CN78" i="4"/>
  <c r="CN24" i="4"/>
  <c r="CN88" i="4" s="1"/>
  <c r="CN1260" i="4" s="1"/>
  <c r="CN250" i="4"/>
  <c r="CN22" i="4"/>
  <c r="CO21" i="4"/>
  <c r="G21" i="4" s="1"/>
  <c r="CO6" i="4"/>
  <c r="CO15" i="4"/>
  <c r="CN142" i="4"/>
  <c r="CN199" i="4"/>
  <c r="AG1527" i="4"/>
  <c r="AI1527" i="4"/>
  <c r="AH1527" i="4"/>
  <c r="AK1527" i="4"/>
  <c r="AJ1527" i="4"/>
  <c r="AM1527" i="4"/>
  <c r="AL1527" i="4"/>
  <c r="AN1527" i="4"/>
  <c r="AO1527" i="4"/>
  <c r="AU1527" i="4"/>
  <c r="AP1527" i="4"/>
  <c r="AQ1527" i="4"/>
  <c r="AR1527" i="4"/>
  <c r="AS1527" i="4"/>
  <c r="AT1527" i="4"/>
  <c r="AV1527" i="4"/>
  <c r="AX1527" i="4"/>
  <c r="AW1527" i="4"/>
  <c r="BA1527" i="4"/>
  <c r="AY1527" i="4"/>
  <c r="AZ1527" i="4"/>
  <c r="BC1527" i="4"/>
  <c r="BB1527" i="4"/>
  <c r="BD1527" i="4"/>
  <c r="BE1527" i="4"/>
  <c r="BG1527" i="4"/>
  <c r="BF1527" i="4"/>
  <c r="BI1527" i="4"/>
  <c r="BJ1527" i="4"/>
  <c r="BH1527" i="4"/>
  <c r="BL1527" i="4"/>
  <c r="BN1527" i="4"/>
  <c r="BK1527" i="4"/>
  <c r="BM1527" i="4"/>
  <c r="BP1527" i="4"/>
  <c r="BO1527" i="4"/>
  <c r="BR1527" i="4"/>
  <c r="BQ1527" i="4"/>
  <c r="BT1527" i="4"/>
  <c r="BS1527" i="4"/>
  <c r="BU1527" i="4"/>
  <c r="BX1527" i="4"/>
  <c r="BV1527" i="4"/>
  <c r="BW1527" i="4"/>
  <c r="BY1527" i="4"/>
  <c r="CA1527" i="4"/>
  <c r="BZ1527" i="4"/>
  <c r="CG1527" i="4"/>
  <c r="CE1527" i="4"/>
  <c r="CD1527" i="4"/>
  <c r="CC1527" i="4"/>
  <c r="CB1527" i="4"/>
  <c r="CF1527" i="4"/>
  <c r="CI1527" i="4"/>
  <c r="CH1527" i="4"/>
  <c r="CK1527" i="4"/>
  <c r="CJ1527" i="4"/>
  <c r="CL1527" i="4"/>
  <c r="CM1527" i="4"/>
  <c r="CO1527" i="4"/>
  <c r="CN1527" i="4"/>
  <c r="AO1525" i="4"/>
  <c r="CC1525" i="4"/>
  <c r="AT1525" i="4"/>
  <c r="CO1158" i="4"/>
  <c r="AZ1525" i="4"/>
  <c r="BX1525" i="4"/>
  <c r="BJ1525" i="4"/>
  <c r="BF1525" i="4"/>
  <c r="BZ1525" i="4"/>
  <c r="AV1525" i="4"/>
  <c r="CK1525" i="4"/>
  <c r="CO1183" i="4"/>
  <c r="G1183" i="4" s="1"/>
  <c r="BW1525" i="4"/>
  <c r="CO1156" i="4"/>
  <c r="G1156" i="4" s="1"/>
  <c r="CI1525" i="4"/>
  <c r="AG1525" i="4"/>
  <c r="BS1525" i="4"/>
  <c r="CA1525" i="4"/>
  <c r="CJ1525" i="4"/>
  <c r="AR1525" i="4"/>
  <c r="BY1525" i="4"/>
  <c r="BC1525" i="4"/>
  <c r="AP1525" i="4"/>
  <c r="BD1525" i="4"/>
  <c r="BG1525" i="4"/>
  <c r="AY1525" i="4"/>
  <c r="BI1525" i="4"/>
  <c r="CB1525" i="4"/>
  <c r="BL1525" i="4"/>
  <c r="CN1525" i="4"/>
  <c r="AI1525" i="4"/>
  <c r="AX1525" i="4"/>
  <c r="BV1525" i="4"/>
  <c r="BO1525" i="4"/>
  <c r="CO28" i="4"/>
  <c r="G28" i="4" s="1"/>
  <c r="CO1409" i="4"/>
  <c r="BR1525" i="4"/>
  <c r="CO1525" i="4"/>
  <c r="BH1525" i="4"/>
  <c r="CO1160" i="4"/>
  <c r="G1160" i="4" s="1"/>
  <c r="CH1525" i="4"/>
  <c r="BA1525" i="4"/>
  <c r="CO1184" i="4"/>
  <c r="G1184" i="4" s="1"/>
  <c r="AJ1525" i="4"/>
  <c r="BB1525" i="4"/>
  <c r="BM1525" i="4"/>
  <c r="CO8" i="4"/>
  <c r="AM1525" i="4"/>
  <c r="AS1525" i="4"/>
  <c r="BP1525" i="4"/>
  <c r="BU1525" i="4"/>
  <c r="CO8" i="11"/>
  <c r="AH1525" i="4"/>
  <c r="BE1525" i="4"/>
  <c r="AN1525" i="4"/>
  <c r="CO8" i="62"/>
  <c r="AW1525" i="4"/>
  <c r="AU1525" i="4"/>
  <c r="AL1525" i="4"/>
  <c r="CO30" i="4"/>
  <c r="G30" i="4" s="1"/>
  <c r="BN1525" i="4"/>
  <c r="CE1525" i="4"/>
  <c r="BK1525" i="4"/>
  <c r="CL1525" i="4"/>
  <c r="CD1525" i="4"/>
  <c r="BT1525" i="4"/>
  <c r="CG1525" i="4"/>
  <c r="AK1525" i="4"/>
  <c r="CO8" i="66"/>
  <c r="CM1525" i="4"/>
  <c r="AQ1525" i="4"/>
  <c r="CF1525" i="4"/>
  <c r="CO8" i="64"/>
  <c r="BQ1525" i="4"/>
  <c r="CO29" i="4"/>
  <c r="CN642" i="3"/>
  <c r="CN227" i="4"/>
  <c r="CN130" i="4"/>
  <c r="CN53" i="62"/>
  <c r="CO314" i="4"/>
  <c r="G314" i="4" s="1"/>
  <c r="CN731" i="4"/>
  <c r="CN714" i="4"/>
  <c r="CN732" i="4"/>
  <c r="CN34" i="66"/>
  <c r="CN287" i="4"/>
  <c r="CN324" i="4" s="1"/>
  <c r="CL739" i="4"/>
  <c r="CN83" i="4"/>
  <c r="CN84" i="4" s="1"/>
  <c r="CN60" i="62"/>
  <c r="CN65" i="4"/>
  <c r="L13" i="72" l="1"/>
  <c r="AI14" i="72"/>
  <c r="AH14" i="72"/>
  <c r="AG14" i="72"/>
  <c r="AM15" i="72"/>
  <c r="AJ14" i="72"/>
  <c r="AL15" i="72"/>
  <c r="AP15" i="72"/>
  <c r="AM16" i="72"/>
  <c r="AL18" i="72"/>
  <c r="AL19" i="72" s="1"/>
  <c r="AM14" i="72"/>
  <c r="AM18" i="72"/>
  <c r="AM19" i="72" s="1"/>
  <c r="AK14" i="72"/>
  <c r="AL14" i="72"/>
  <c r="AL16" i="72"/>
  <c r="AN15" i="72"/>
  <c r="AO14" i="72"/>
  <c r="AN14" i="72"/>
  <c r="AO16" i="72"/>
  <c r="AO15" i="72"/>
  <c r="AP18" i="72"/>
  <c r="AP19" i="72" s="1"/>
  <c r="AO18" i="72"/>
  <c r="AO19" i="72" s="1"/>
  <c r="AN16" i="72"/>
  <c r="AP14" i="72"/>
  <c r="AR16" i="72"/>
  <c r="AP16" i="72"/>
  <c r="AN18" i="72"/>
  <c r="AN19" i="72" s="1"/>
  <c r="AR18" i="72"/>
  <c r="AR19" i="72" s="1"/>
  <c r="AQ18" i="72"/>
  <c r="AQ19" i="72" s="1"/>
  <c r="AV16" i="72"/>
  <c r="AR14" i="72"/>
  <c r="AQ15" i="72"/>
  <c r="AQ14" i="72"/>
  <c r="AR15" i="72"/>
  <c r="AQ16" i="72"/>
  <c r="AT18" i="72"/>
  <c r="AT19" i="72" s="1"/>
  <c r="AS16" i="72"/>
  <c r="AT14" i="72"/>
  <c r="AS15" i="72"/>
  <c r="AS18" i="72"/>
  <c r="AS19" i="72" s="1"/>
  <c r="AS14" i="72"/>
  <c r="AT16" i="72"/>
  <c r="AT15" i="72"/>
  <c r="AV18" i="72"/>
  <c r="AV19" i="72" s="1"/>
  <c r="AU15" i="72"/>
  <c r="AV14" i="72"/>
  <c r="AV15" i="72"/>
  <c r="AU14" i="72"/>
  <c r="AU18" i="72"/>
  <c r="AU19" i="72" s="1"/>
  <c r="AU16" i="72"/>
  <c r="AY16" i="72"/>
  <c r="AW18" i="72"/>
  <c r="AW19" i="72" s="1"/>
  <c r="AW15" i="72"/>
  <c r="AW16" i="72"/>
  <c r="AW14" i="72"/>
  <c r="AY14" i="72"/>
  <c r="AX16" i="72"/>
  <c r="AX15" i="72"/>
  <c r="AY15" i="72"/>
  <c r="AX18" i="72"/>
  <c r="AX19" i="72" s="1"/>
  <c r="AY18" i="72"/>
  <c r="AY19" i="72" s="1"/>
  <c r="AX14" i="72"/>
  <c r="BD14" i="72"/>
  <c r="AZ14" i="72"/>
  <c r="AZ18" i="72"/>
  <c r="AZ19" i="72" s="1"/>
  <c r="BB15" i="72"/>
  <c r="AZ15" i="72"/>
  <c r="AZ16" i="72"/>
  <c r="BB18" i="72"/>
  <c r="BB19" i="72" s="1"/>
  <c r="BA15" i="72"/>
  <c r="BB16" i="72"/>
  <c r="BA18" i="72"/>
  <c r="BA19" i="72" s="1"/>
  <c r="BA16" i="72"/>
  <c r="BA14" i="72"/>
  <c r="BB14" i="72"/>
  <c r="BD16" i="72"/>
  <c r="BD15" i="72"/>
  <c r="BC18" i="72"/>
  <c r="BC19" i="72" s="1"/>
  <c r="BC14" i="72"/>
  <c r="BC15" i="72"/>
  <c r="BD18" i="72"/>
  <c r="BD19" i="72" s="1"/>
  <c r="BC16" i="72"/>
  <c r="BG18" i="72"/>
  <c r="BG19" i="72" s="1"/>
  <c r="BE16" i="72"/>
  <c r="BE15" i="72"/>
  <c r="BF15" i="72"/>
  <c r="BE18" i="72"/>
  <c r="BE19" i="72" s="1"/>
  <c r="BE14" i="72"/>
  <c r="BG15" i="72"/>
  <c r="BF18" i="72"/>
  <c r="BF19" i="72" s="1"/>
  <c r="BG16" i="72"/>
  <c r="BG14" i="72"/>
  <c r="BH16" i="72"/>
  <c r="BH14" i="72"/>
  <c r="BH15" i="72"/>
  <c r="BH18" i="72"/>
  <c r="BH19" i="72" s="1"/>
  <c r="BF14" i="72"/>
  <c r="BF16" i="72"/>
  <c r="BI18" i="72"/>
  <c r="BI19" i="72" s="1"/>
  <c r="BI15" i="72"/>
  <c r="BI16" i="72"/>
  <c r="BJ18" i="72"/>
  <c r="BJ19" i="72" s="1"/>
  <c r="BI14" i="72"/>
  <c r="BK16" i="72"/>
  <c r="BK14" i="72"/>
  <c r="BJ16" i="72"/>
  <c r="BL14" i="72"/>
  <c r="BK18" i="72"/>
  <c r="BK19" i="72" s="1"/>
  <c r="BJ15" i="72"/>
  <c r="BJ14" i="72"/>
  <c r="BK15" i="72"/>
  <c r="BL18" i="72"/>
  <c r="BL19" i="72" s="1"/>
  <c r="BM16" i="72"/>
  <c r="BL16" i="72"/>
  <c r="BM18" i="72"/>
  <c r="BM19" i="72" s="1"/>
  <c r="BL15" i="72"/>
  <c r="BM15" i="72"/>
  <c r="BM14" i="72"/>
  <c r="BN16" i="72"/>
  <c r="BN15" i="72"/>
  <c r="BO16" i="72"/>
  <c r="BO14" i="72"/>
  <c r="BN14" i="72"/>
  <c r="BO18" i="72"/>
  <c r="BO19" i="72" s="1"/>
  <c r="BO15" i="72"/>
  <c r="BN18" i="72"/>
  <c r="BN19" i="72" s="1"/>
  <c r="BQ14" i="72"/>
  <c r="BP18" i="72"/>
  <c r="BP19" i="72" s="1"/>
  <c r="BP14" i="72"/>
  <c r="BQ16" i="72"/>
  <c r="BP15" i="72"/>
  <c r="BQ15" i="72"/>
  <c r="BP16" i="72"/>
  <c r="BQ18" i="72"/>
  <c r="BQ19" i="72" s="1"/>
  <c r="BS16" i="72"/>
  <c r="BS14" i="72"/>
  <c r="BR18" i="72"/>
  <c r="BR19" i="72" s="1"/>
  <c r="BS18" i="72"/>
  <c r="BS19" i="72" s="1"/>
  <c r="BR16" i="72"/>
  <c r="BS15" i="72"/>
  <c r="BR14" i="72"/>
  <c r="BR15" i="72"/>
  <c r="BU18" i="72"/>
  <c r="BU19" i="72" s="1"/>
  <c r="BU16" i="72"/>
  <c r="BU14" i="72"/>
  <c r="BU15" i="72"/>
  <c r="BT15" i="72"/>
  <c r="BT14" i="72"/>
  <c r="BT16" i="72"/>
  <c r="BT18" i="72"/>
  <c r="BT19" i="72" s="1"/>
  <c r="BV14" i="72"/>
  <c r="BW15" i="72"/>
  <c r="BV15" i="72"/>
  <c r="BW16" i="72"/>
  <c r="BV18" i="72"/>
  <c r="BV19" i="72" s="1"/>
  <c r="BV16" i="72"/>
  <c r="BW14" i="72"/>
  <c r="BW18" i="72"/>
  <c r="BW19" i="72" s="1"/>
  <c r="CA16" i="72"/>
  <c r="BX16" i="72"/>
  <c r="BY14" i="72"/>
  <c r="BY16" i="72"/>
  <c r="BY18" i="72"/>
  <c r="BY19" i="72" s="1"/>
  <c r="BX14" i="72"/>
  <c r="BX15" i="72"/>
  <c r="BY15" i="72"/>
  <c r="BX18" i="72"/>
  <c r="BX19" i="72" s="1"/>
  <c r="BZ16" i="72"/>
  <c r="BZ14" i="72"/>
  <c r="BZ15" i="72"/>
  <c r="BZ18" i="72"/>
  <c r="BZ19" i="72" s="1"/>
  <c r="CA15" i="72"/>
  <c r="CA14" i="72"/>
  <c r="CA18" i="72"/>
  <c r="CA19" i="72" s="1"/>
  <c r="CB14" i="72"/>
  <c r="CE16" i="72"/>
  <c r="CC15" i="72"/>
  <c r="CC16" i="72"/>
  <c r="CB18" i="72"/>
  <c r="CB19" i="72" s="1"/>
  <c r="CC18" i="72"/>
  <c r="CC19" i="72" s="1"/>
  <c r="CC14" i="72"/>
  <c r="CB16" i="72"/>
  <c r="CD14" i="72"/>
  <c r="CD16" i="72"/>
  <c r="CD18" i="72"/>
  <c r="CD19" i="72" s="1"/>
  <c r="CB15" i="72"/>
  <c r="CF14" i="72"/>
  <c r="CE14" i="72"/>
  <c r="CE15" i="72"/>
  <c r="CF18" i="72"/>
  <c r="CF19" i="72" s="1"/>
  <c r="CF16" i="72"/>
  <c r="CD15" i="72"/>
  <c r="CE18" i="72"/>
  <c r="CE19" i="72" s="1"/>
  <c r="CL15" i="72"/>
  <c r="CH16" i="72"/>
  <c r="CG14" i="72"/>
  <c r="CH18" i="72"/>
  <c r="CH19" i="72" s="1"/>
  <c r="CG16" i="72"/>
  <c r="CJ15" i="72"/>
  <c r="CG15" i="72"/>
  <c r="CG18" i="72"/>
  <c r="CG19" i="72" s="1"/>
  <c r="CF15" i="72"/>
  <c r="CH14" i="72"/>
  <c r="CH15" i="72"/>
  <c r="CJ16" i="72"/>
  <c r="CI18" i="72"/>
  <c r="CI19" i="72" s="1"/>
  <c r="CI15" i="72"/>
  <c r="CI16" i="72"/>
  <c r="CJ18" i="72"/>
  <c r="CJ19" i="72" s="1"/>
  <c r="CI14" i="72"/>
  <c r="CJ14" i="72"/>
  <c r="CM18" i="72"/>
  <c r="CM19" i="72" s="1"/>
  <c r="CK18" i="72"/>
  <c r="CK19" i="72" s="1"/>
  <c r="CL18" i="72"/>
  <c r="CL19" i="72" s="1"/>
  <c r="CK15" i="72"/>
  <c r="CL14" i="72"/>
  <c r="CL16" i="72"/>
  <c r="CK16" i="72"/>
  <c r="CK14" i="72"/>
  <c r="CN18" i="72"/>
  <c r="CN19" i="72" s="1"/>
  <c r="CO18" i="72"/>
  <c r="CO19" i="72" s="1"/>
  <c r="AG20" i="72"/>
  <c r="AH13" i="72"/>
  <c r="AH20" i="72"/>
  <c r="AG13" i="72"/>
  <c r="AI20" i="72"/>
  <c r="AI13" i="72"/>
  <c r="AJ20" i="72"/>
  <c r="AK20" i="72"/>
  <c r="AJ13" i="72"/>
  <c r="AL13" i="72"/>
  <c r="AM20" i="72"/>
  <c r="AM13" i="72"/>
  <c r="AK13" i="72"/>
  <c r="AL20" i="72"/>
  <c r="AP13" i="72"/>
  <c r="AN20" i="72"/>
  <c r="AO13" i="72"/>
  <c r="AO20" i="72"/>
  <c r="AN13" i="72"/>
  <c r="AP20" i="72"/>
  <c r="AQ13" i="72"/>
  <c r="AQ20" i="72"/>
  <c r="AR20" i="72"/>
  <c r="AT13" i="72"/>
  <c r="AS13" i="72"/>
  <c r="AS20" i="72"/>
  <c r="AR13" i="72"/>
  <c r="AU13" i="72"/>
  <c r="AT20" i="72"/>
  <c r="AW20" i="72"/>
  <c r="AV20" i="72"/>
  <c r="AW13" i="72"/>
  <c r="AV13" i="72"/>
  <c r="AU20" i="72"/>
  <c r="AX13" i="72"/>
  <c r="AX20" i="72"/>
  <c r="AY20" i="72"/>
  <c r="AY13" i="72"/>
  <c r="AZ13" i="72"/>
  <c r="BB13" i="72"/>
  <c r="AZ20" i="72"/>
  <c r="BA20" i="72"/>
  <c r="BA13" i="72"/>
  <c r="BD20" i="72"/>
  <c r="BC13" i="72"/>
  <c r="BB20" i="72"/>
  <c r="BC20" i="72"/>
  <c r="BD13" i="72"/>
  <c r="BE20" i="72"/>
  <c r="BE13" i="72"/>
  <c r="BG13" i="72"/>
  <c r="BF20" i="72"/>
  <c r="BH13" i="72"/>
  <c r="BH20" i="72"/>
  <c r="BF13" i="72"/>
  <c r="BG20" i="72"/>
  <c r="BI20" i="72"/>
  <c r="BI13" i="72"/>
  <c r="BK20" i="72"/>
  <c r="BJ20" i="72"/>
  <c r="BL20" i="72"/>
  <c r="BK13" i="72"/>
  <c r="BL13" i="72"/>
  <c r="BM20" i="72"/>
  <c r="BM13" i="72"/>
  <c r="BJ13" i="72"/>
  <c r="BN13" i="72"/>
  <c r="BO20" i="72"/>
  <c r="BO13" i="72"/>
  <c r="BN20" i="72"/>
  <c r="BQ13" i="72"/>
  <c r="BP13" i="72"/>
  <c r="BQ20" i="72"/>
  <c r="BP20" i="72"/>
  <c r="BR20" i="72"/>
  <c r="BS20" i="72"/>
  <c r="BS13" i="72"/>
  <c r="BR13" i="72"/>
  <c r="BT13" i="72"/>
  <c r="BT20" i="72"/>
  <c r="BU20" i="72"/>
  <c r="BU13" i="72"/>
  <c r="BV13" i="72"/>
  <c r="BV20" i="72"/>
  <c r="BW13" i="72"/>
  <c r="BW20" i="72"/>
  <c r="BX20" i="72"/>
  <c r="BY13" i="72"/>
  <c r="BX13" i="72"/>
  <c r="BY20" i="72"/>
  <c r="BZ20" i="72"/>
  <c r="CA20" i="72"/>
  <c r="CA13" i="72"/>
  <c r="BZ13" i="72"/>
  <c r="CC20" i="72"/>
  <c r="CC13" i="72"/>
  <c r="CB13" i="72"/>
  <c r="CB20" i="72"/>
  <c r="CD13" i="72"/>
  <c r="CE13" i="72"/>
  <c r="CE20" i="72"/>
  <c r="CD20" i="72"/>
  <c r="CF13" i="72"/>
  <c r="CF20" i="72"/>
  <c r="CH20" i="72"/>
  <c r="CG13" i="72"/>
  <c r="CH13" i="72"/>
  <c r="CG20" i="72"/>
  <c r="CJ20" i="72"/>
  <c r="CI20" i="72"/>
  <c r="CI13" i="72"/>
  <c r="CK20" i="72"/>
  <c r="CL13" i="72"/>
  <c r="CJ13" i="72"/>
  <c r="CL20" i="72"/>
  <c r="CK13" i="72"/>
  <c r="CM13" i="72"/>
  <c r="CM20" i="72"/>
  <c r="CO20" i="72"/>
  <c r="CN13" i="72"/>
  <c r="CN20" i="72"/>
  <c r="CO13" i="72"/>
  <c r="CO75" i="4"/>
  <c r="CO82" i="4"/>
  <c r="CH956" i="4"/>
  <c r="CF260" i="4"/>
  <c r="CE1291" i="4"/>
  <c r="CE33" i="66"/>
  <c r="CE32" i="66" s="1"/>
  <c r="CE1118" i="4"/>
  <c r="CE81" i="11"/>
  <c r="CE82" i="11" s="1"/>
  <c r="CE1387" i="4" s="1"/>
  <c r="CE1318" i="4"/>
  <c r="CE65" i="62"/>
  <c r="CF276" i="4"/>
  <c r="CF334" i="4"/>
  <c r="CF1037" i="4" s="1"/>
  <c r="CF279" i="4"/>
  <c r="CF289" i="4" s="1"/>
  <c r="CH210" i="4"/>
  <c r="CH211" i="4"/>
  <c r="CH207" i="4"/>
  <c r="CH269" i="4" s="1"/>
  <c r="CH283" i="4" s="1"/>
  <c r="CH232" i="4"/>
  <c r="CH231" i="4"/>
  <c r="CH208" i="4"/>
  <c r="CH255" i="4"/>
  <c r="CH166" i="4"/>
  <c r="CH257" i="4"/>
  <c r="CI85" i="4"/>
  <c r="CH175" i="4"/>
  <c r="CH174" i="4"/>
  <c r="CH204" i="4"/>
  <c r="CH162" i="4"/>
  <c r="CH256" i="4"/>
  <c r="CH233" i="4"/>
  <c r="CH254" i="4"/>
  <c r="CH169" i="4"/>
  <c r="CH168" i="4"/>
  <c r="CH234" i="4"/>
  <c r="CH173" i="4"/>
  <c r="CH161" i="4"/>
  <c r="CH159" i="4"/>
  <c r="CH160" i="4"/>
  <c r="CH206" i="4"/>
  <c r="CH167" i="4"/>
  <c r="CH205" i="4"/>
  <c r="CH209" i="4"/>
  <c r="CH176" i="4"/>
  <c r="CJ1109" i="4"/>
  <c r="CJ1110" i="4" s="1"/>
  <c r="CJ1111" i="4" s="1"/>
  <c r="CJ985" i="4" s="1"/>
  <c r="CJ954" i="4"/>
  <c r="CJ938" i="4"/>
  <c r="CJ951" i="4"/>
  <c r="CJ937" i="4"/>
  <c r="CJ939" i="4"/>
  <c r="CJ952" i="4"/>
  <c r="CJ936" i="4"/>
  <c r="CJ946" i="4"/>
  <c r="CJ895" i="4"/>
  <c r="CJ973" i="4" s="1"/>
  <c r="CJ296" i="4" s="1"/>
  <c r="CJ953" i="4"/>
  <c r="CK79" i="4"/>
  <c r="CJ955" i="4"/>
  <c r="CJ948" i="4"/>
  <c r="CJ947" i="4"/>
  <c r="CJ743" i="4"/>
  <c r="CJ744" i="4"/>
  <c r="CJ745" i="4"/>
  <c r="CG163" i="4"/>
  <c r="CG265" i="4"/>
  <c r="CI754" i="4"/>
  <c r="CI746" i="4"/>
  <c r="CI940" i="4"/>
  <c r="CI941" i="4"/>
  <c r="CI943" i="4"/>
  <c r="CI942" i="4"/>
  <c r="CG268" i="4"/>
  <c r="CG282" i="4" s="1"/>
  <c r="CG212" i="4"/>
  <c r="CG177" i="4"/>
  <c r="CG267" i="4"/>
  <c r="CG281" i="4" s="1"/>
  <c r="CG235" i="4"/>
  <c r="CG270" i="4"/>
  <c r="CG284" i="4" s="1"/>
  <c r="CG266" i="4"/>
  <c r="CG280" i="4" s="1"/>
  <c r="CG170" i="4"/>
  <c r="CG258" i="4"/>
  <c r="CG271" i="4"/>
  <c r="CG285" i="4" s="1"/>
  <c r="CN1173" i="4"/>
  <c r="CN1177" i="4" s="1"/>
  <c r="CN1494" i="4" s="1"/>
  <c r="CM56" i="4"/>
  <c r="I301" i="3"/>
  <c r="CO188" i="4"/>
  <c r="CO197" i="4" s="1"/>
  <c r="CN722" i="4"/>
  <c r="CN721" i="4"/>
  <c r="CN718" i="4"/>
  <c r="CN717" i="4"/>
  <c r="CO58" i="4"/>
  <c r="G58" i="4" s="1"/>
  <c r="G29" i="4"/>
  <c r="CO1159" i="4"/>
  <c r="G1159" i="4" s="1"/>
  <c r="G1158" i="4"/>
  <c r="CO53" i="4"/>
  <c r="CN53" i="4"/>
  <c r="CO66" i="4"/>
  <c r="G66" i="4" s="1"/>
  <c r="CO57" i="4"/>
  <c r="CO9" i="62" s="1"/>
  <c r="CN690" i="4"/>
  <c r="CO133" i="4"/>
  <c r="CO138" i="4" s="1"/>
  <c r="CO183" i="4"/>
  <c r="CO192" i="4" s="1"/>
  <c r="CO122" i="4"/>
  <c r="CO127" i="4" s="1"/>
  <c r="I127" i="4" s="1"/>
  <c r="CO241" i="4"/>
  <c r="CO246" i="4" s="1"/>
  <c r="CO220" i="4"/>
  <c r="CO225" i="4" s="1"/>
  <c r="I225" i="4" s="1"/>
  <c r="CO218" i="4"/>
  <c r="CO223" i="4" s="1"/>
  <c r="CO145" i="4"/>
  <c r="CO150" i="4" s="1"/>
  <c r="CO242" i="4"/>
  <c r="CO247" i="4" s="1"/>
  <c r="I247" i="4" s="1"/>
  <c r="CO146" i="4"/>
  <c r="CO151" i="4" s="1"/>
  <c r="I151" i="4" s="1"/>
  <c r="CO147" i="4"/>
  <c r="CO152" i="4" s="1"/>
  <c r="I152" i="4" s="1"/>
  <c r="CO184" i="4"/>
  <c r="CO193" i="4" s="1"/>
  <c r="I193" i="4" s="1"/>
  <c r="CO134" i="4"/>
  <c r="CO139" i="4" s="1"/>
  <c r="I139" i="4" s="1"/>
  <c r="CO219" i="4"/>
  <c r="CO224" i="4" s="1"/>
  <c r="I224" i="4" s="1"/>
  <c r="CO121" i="4"/>
  <c r="CO126" i="4" s="1"/>
  <c r="CO1129" i="4"/>
  <c r="CO187" i="4"/>
  <c r="CO196" i="4" s="1"/>
  <c r="I196" i="4" s="1"/>
  <c r="CO186" i="4"/>
  <c r="CO195" i="4" s="1"/>
  <c r="I195" i="4" s="1"/>
  <c r="CO185" i="4"/>
  <c r="CO194" i="4" s="1"/>
  <c r="I194" i="4" s="1"/>
  <c r="CO135" i="4"/>
  <c r="CO140" i="4" s="1"/>
  <c r="CO141" i="4" s="1"/>
  <c r="CO243" i="4"/>
  <c r="CO248" i="4" s="1"/>
  <c r="CO249" i="4" s="1"/>
  <c r="CO123" i="4"/>
  <c r="CO128" i="4" s="1"/>
  <c r="CO129" i="4" s="1"/>
  <c r="AO54" i="67"/>
  <c r="BO53" i="67"/>
  <c r="BQ47" i="67"/>
  <c r="AW54" i="67"/>
  <c r="Q81" i="67"/>
  <c r="Q82" i="67" s="1"/>
  <c r="AG69" i="67"/>
  <c r="CI54" i="67"/>
  <c r="AK75" i="67"/>
  <c r="BU53" i="67"/>
  <c r="AO88" i="67"/>
  <c r="CH50" i="67"/>
  <c r="AT44" i="67"/>
  <c r="CH88" i="67"/>
  <c r="AM77" i="67"/>
  <c r="AH44" i="67"/>
  <c r="BV72" i="67"/>
  <c r="AM45" i="67"/>
  <c r="CI51" i="67"/>
  <c r="BH75" i="67"/>
  <c r="BN85" i="67"/>
  <c r="CJ44" i="67"/>
  <c r="BV73" i="67"/>
  <c r="BB77" i="67"/>
  <c r="CL50" i="67"/>
  <c r="BG71" i="67"/>
  <c r="AO45" i="67"/>
  <c r="CG54" i="67"/>
  <c r="CF74" i="67"/>
  <c r="AN77" i="67"/>
  <c r="CO90" i="67"/>
  <c r="T81" i="67"/>
  <c r="T82" i="67" s="1"/>
  <c r="AX51" i="67"/>
  <c r="CO56" i="67"/>
  <c r="AL87" i="67"/>
  <c r="CH76" i="67"/>
  <c r="CC50" i="67"/>
  <c r="BA44" i="67"/>
  <c r="BW70" i="67"/>
  <c r="AM89" i="67"/>
  <c r="BZ53" i="67"/>
  <c r="BJ76" i="67"/>
  <c r="CF85" i="67"/>
  <c r="CH47" i="67"/>
  <c r="BV86" i="67"/>
  <c r="CJ75" i="67"/>
  <c r="CD86" i="67"/>
  <c r="BS71" i="67"/>
  <c r="BJ72" i="67"/>
  <c r="BP51" i="67"/>
  <c r="BX72" i="67"/>
  <c r="AR47" i="67"/>
  <c r="BT87" i="67"/>
  <c r="BY51" i="67"/>
  <c r="BB56" i="67"/>
  <c r="AW53" i="67"/>
  <c r="BX87" i="67"/>
  <c r="BB90" i="67"/>
  <c r="BJ56" i="67"/>
  <c r="CE51" i="67"/>
  <c r="BZ81" i="67"/>
  <c r="BZ82" i="67" s="1"/>
  <c r="S81" i="67"/>
  <c r="S82" i="67" s="1"/>
  <c r="BO88" i="67"/>
  <c r="AM71" i="67"/>
  <c r="CO50" i="67"/>
  <c r="BS88" i="67"/>
  <c r="AT51" i="67"/>
  <c r="BQ71" i="67"/>
  <c r="BS85" i="67"/>
  <c r="CF75" i="67"/>
  <c r="BZ56" i="67"/>
  <c r="BC88" i="67"/>
  <c r="BM56" i="67"/>
  <c r="AK58" i="67"/>
  <c r="CO70" i="67"/>
  <c r="BB74" i="67"/>
  <c r="BT54" i="67"/>
  <c r="BK50" i="67"/>
  <c r="AI87" i="67"/>
  <c r="AH81" i="67"/>
  <c r="AH82" i="67" s="1"/>
  <c r="BV53" i="67"/>
  <c r="AS45" i="67"/>
  <c r="CM90" i="67"/>
  <c r="BL54" i="67"/>
  <c r="BC47" i="67"/>
  <c r="BL72" i="67"/>
  <c r="AP81" i="67"/>
  <c r="AP82" i="67" s="1"/>
  <c r="CF50" i="67"/>
  <c r="BC90" i="67"/>
  <c r="AO70" i="67"/>
  <c r="AV44" i="67"/>
  <c r="CJ81" i="67"/>
  <c r="CJ82" i="67" s="1"/>
  <c r="BS54" i="67"/>
  <c r="CO72" i="67"/>
  <c r="BO72" i="67"/>
  <c r="AU76" i="67"/>
  <c r="CA53" i="67"/>
  <c r="BY69" i="67"/>
  <c r="AS58" i="67"/>
  <c r="BP45" i="67"/>
  <c r="AR90" i="67"/>
  <c r="BP73" i="67"/>
  <c r="CJ45" i="67"/>
  <c r="CH90" i="67"/>
  <c r="CA87" i="67"/>
  <c r="CL74" i="67"/>
  <c r="BU58" i="67"/>
  <c r="BH69" i="67"/>
  <c r="BL50" i="67"/>
  <c r="AR56" i="67"/>
  <c r="BM72" i="67"/>
  <c r="CN90" i="67"/>
  <c r="AY54" i="67"/>
  <c r="BH87" i="67"/>
  <c r="CM74" i="67"/>
  <c r="BM51" i="67"/>
  <c r="BL90" i="67"/>
  <c r="BH74" i="67"/>
  <c r="BV58" i="67"/>
  <c r="BS89" i="67"/>
  <c r="BO58" i="67"/>
  <c r="AJ73" i="67"/>
  <c r="CA72" i="67"/>
  <c r="BP90" i="67"/>
  <c r="CC72" i="67"/>
  <c r="BS53" i="67"/>
  <c r="AT69" i="67"/>
  <c r="AK54" i="67"/>
  <c r="BS75" i="67"/>
  <c r="BF58" i="67"/>
  <c r="CH69" i="67"/>
  <c r="AM81" i="67"/>
  <c r="AM82" i="67" s="1"/>
  <c r="CI87" i="67"/>
  <c r="CK54" i="67"/>
  <c r="BG58" i="67"/>
  <c r="CA70" i="67"/>
  <c r="AR76" i="67"/>
  <c r="AG90" i="67"/>
  <c r="BN88" i="67"/>
  <c r="AO51" i="67"/>
  <c r="BW89" i="67"/>
  <c r="CI53" i="67"/>
  <c r="AH76" i="67"/>
  <c r="BR53" i="67"/>
  <c r="CD81" i="67"/>
  <c r="CD82" i="67" s="1"/>
  <c r="BM90" i="67"/>
  <c r="CK58" i="67"/>
  <c r="BZ69" i="67"/>
  <c r="BS86" i="67"/>
  <c r="AV72" i="67"/>
  <c r="CO71" i="67"/>
  <c r="CO85" i="67"/>
  <c r="CH71" i="67"/>
  <c r="CK45" i="67"/>
  <c r="BY50" i="67"/>
  <c r="BN72" i="67"/>
  <c r="CO58" i="67"/>
  <c r="AJ75" i="67"/>
  <c r="BV45" i="67"/>
  <c r="CF77" i="67"/>
  <c r="BU87" i="67"/>
  <c r="AY90" i="67"/>
  <c r="AL56" i="67"/>
  <c r="CG71" i="67"/>
  <c r="BX81" i="67"/>
  <c r="BX82" i="67" s="1"/>
  <c r="BJ81" i="67"/>
  <c r="BJ82" i="67" s="1"/>
  <c r="AM76" i="67"/>
  <c r="BE77" i="67"/>
  <c r="CI70" i="67"/>
  <c r="BJ77" i="67"/>
  <c r="BP88" i="67"/>
  <c r="BU70" i="67"/>
  <c r="CH72" i="67"/>
  <c r="BE70" i="67"/>
  <c r="AS85" i="67"/>
  <c r="AX75" i="67"/>
  <c r="AO76" i="67"/>
  <c r="BV44" i="67"/>
  <c r="BQ88" i="67"/>
  <c r="AT90" i="67"/>
  <c r="AV81" i="67"/>
  <c r="AV82" i="67" s="1"/>
  <c r="AO72" i="67"/>
  <c r="CE85" i="67"/>
  <c r="BM87" i="67"/>
  <c r="AJ88" i="67"/>
  <c r="BJ75" i="67"/>
  <c r="CM70" i="67"/>
  <c r="AX90" i="67"/>
  <c r="BE74" i="67"/>
  <c r="AT50" i="67"/>
  <c r="CB70" i="67"/>
  <c r="AT89" i="67"/>
  <c r="CI58" i="67"/>
  <c r="AR85" i="67"/>
  <c r="AI89" i="67"/>
  <c r="BZ71" i="67"/>
  <c r="BK87" i="67"/>
  <c r="BT74" i="67"/>
  <c r="CG88" i="67"/>
  <c r="BZ90" i="67"/>
  <c r="CK81" i="67"/>
  <c r="CK82" i="67" s="1"/>
  <c r="AP58" i="67"/>
  <c r="BC69" i="67"/>
  <c r="BE47" i="67"/>
  <c r="AB81" i="67"/>
  <c r="AB82" i="67" s="1"/>
  <c r="BO89" i="67"/>
  <c r="BX76" i="67"/>
  <c r="BJ86" i="67"/>
  <c r="BM74" i="67"/>
  <c r="BA72" i="67"/>
  <c r="AQ53" i="67"/>
  <c r="BK69" i="67"/>
  <c r="CC85" i="67"/>
  <c r="BD89" i="67"/>
  <c r="AG76" i="67"/>
  <c r="AL81" i="67"/>
  <c r="AL82" i="67" s="1"/>
  <c r="AI75" i="67"/>
  <c r="BG54" i="67"/>
  <c r="AQ75" i="67"/>
  <c r="CN69" i="67"/>
  <c r="CL72" i="67"/>
  <c r="AY76" i="67"/>
  <c r="CH45" i="67"/>
  <c r="AI56" i="67"/>
  <c r="AH47" i="67"/>
  <c r="BT81" i="67"/>
  <c r="BT82" i="67" s="1"/>
  <c r="BW51" i="67"/>
  <c r="CB72" i="67"/>
  <c r="CM71" i="67"/>
  <c r="BI81" i="67"/>
  <c r="BI82" i="67" s="1"/>
  <c r="AU72" i="67"/>
  <c r="BA51" i="67"/>
  <c r="AU71" i="67"/>
  <c r="CE72" i="67"/>
  <c r="BD54" i="67"/>
  <c r="CL76" i="67"/>
  <c r="BB44" i="67"/>
  <c r="BR47" i="67"/>
  <c r="AH69" i="67"/>
  <c r="CF44" i="67"/>
  <c r="BU85" i="67"/>
  <c r="CB74" i="67"/>
  <c r="AZ81" i="67"/>
  <c r="AZ82" i="67" s="1"/>
  <c r="BJ58" i="67"/>
  <c r="BR73" i="67"/>
  <c r="CC76" i="67"/>
  <c r="BQ74" i="67"/>
  <c r="BI51" i="67"/>
  <c r="AT86" i="67"/>
  <c r="CK50" i="67"/>
  <c r="CA88" i="67"/>
  <c r="CO69" i="67"/>
  <c r="CJ89" i="67"/>
  <c r="BD74" i="67"/>
  <c r="AO47" i="67"/>
  <c r="BQ81" i="67"/>
  <c r="BQ82" i="67" s="1"/>
  <c r="CN89" i="67"/>
  <c r="AU54" i="67"/>
  <c r="CK89" i="67"/>
  <c r="AW70" i="67"/>
  <c r="BY88" i="67"/>
  <c r="CO88" i="67"/>
  <c r="BM54" i="67"/>
  <c r="AI70" i="67"/>
  <c r="BI54" i="67"/>
  <c r="BO77" i="67"/>
  <c r="BC50" i="67"/>
  <c r="AY88" i="67"/>
  <c r="AM90" i="67"/>
  <c r="AK85" i="67"/>
  <c r="BB69" i="67"/>
  <c r="BN47" i="67"/>
  <c r="CB88" i="67"/>
  <c r="BT50" i="67"/>
  <c r="AW58" i="67"/>
  <c r="BG88" i="67"/>
  <c r="AW75" i="67"/>
  <c r="AR72" i="67"/>
  <c r="BX90" i="67"/>
  <c r="AN89" i="67"/>
  <c r="BJ85" i="67"/>
  <c r="CG90" i="67"/>
  <c r="CD89" i="67"/>
  <c r="BR77" i="67"/>
  <c r="CM69" i="67"/>
  <c r="AZ50" i="67"/>
  <c r="BM70" i="67"/>
  <c r="BB88" i="67"/>
  <c r="BS73" i="67"/>
  <c r="CI86" i="67"/>
  <c r="BD87" i="67"/>
  <c r="AN69" i="67"/>
  <c r="AN71" i="67"/>
  <c r="CI81" i="67"/>
  <c r="CI82" i="67" s="1"/>
  <c r="CA75" i="67"/>
  <c r="AT74" i="67"/>
  <c r="BH45" i="67"/>
  <c r="BA71" i="67"/>
  <c r="AS56" i="67"/>
  <c r="BI56" i="67"/>
  <c r="AK71" i="67"/>
  <c r="BP75" i="67"/>
  <c r="CJ85" i="67"/>
  <c r="CC45" i="67"/>
  <c r="BT75" i="67"/>
  <c r="BW85" i="67"/>
  <c r="BS58" i="67"/>
  <c r="BX58" i="67"/>
  <c r="BI47" i="67"/>
  <c r="BJ90" i="67"/>
  <c r="AX88" i="67"/>
  <c r="AP69" i="67"/>
  <c r="BR81" i="67"/>
  <c r="BR82" i="67" s="1"/>
  <c r="CI74" i="67"/>
  <c r="CC87" i="67"/>
  <c r="BA85" i="67"/>
  <c r="BJ50" i="67"/>
  <c r="CM73" i="67"/>
  <c r="CO86" i="67"/>
  <c r="CK70" i="67"/>
  <c r="AH86" i="67"/>
  <c r="U81" i="67"/>
  <c r="U82" i="67" s="1"/>
  <c r="BI89" i="67"/>
  <c r="CE74" i="67"/>
  <c r="AS70" i="67"/>
  <c r="BB86" i="67"/>
  <c r="BF53" i="67"/>
  <c r="AM73" i="67"/>
  <c r="AY44" i="67"/>
  <c r="BA73" i="67"/>
  <c r="BC72" i="67"/>
  <c r="AX77" i="67"/>
  <c r="BO71" i="67"/>
  <c r="AQ87" i="67"/>
  <c r="AR70" i="67"/>
  <c r="AZ88" i="67"/>
  <c r="CF72" i="67"/>
  <c r="BO74" i="67"/>
  <c r="BE56" i="67"/>
  <c r="BO90" i="67"/>
  <c r="BE81" i="67"/>
  <c r="BE82" i="67" s="1"/>
  <c r="Y81" i="67"/>
  <c r="Y82" i="67" s="1"/>
  <c r="CI77" i="67"/>
  <c r="BB71" i="67"/>
  <c r="AT76" i="67"/>
  <c r="CE69" i="67"/>
  <c r="CG73" i="67"/>
  <c r="BM77" i="67"/>
  <c r="CJ72" i="67"/>
  <c r="CC88" i="67"/>
  <c r="AH77" i="67"/>
  <c r="AS51" i="67"/>
  <c r="BR51" i="67"/>
  <c r="AX58" i="67"/>
  <c r="AK86" i="67"/>
  <c r="BY70" i="67"/>
  <c r="CK56" i="67"/>
  <c r="CJ70" i="67"/>
  <c r="CC86" i="67"/>
  <c r="BQ76" i="67"/>
  <c r="BT45" i="67"/>
  <c r="BP71" i="67"/>
  <c r="CB75" i="67"/>
  <c r="BS51" i="67"/>
  <c r="BE71" i="67"/>
  <c r="CA74" i="67"/>
  <c r="BX53" i="67"/>
  <c r="CC73" i="67"/>
  <c r="BB75" i="67"/>
  <c r="BX86" i="67"/>
  <c r="BP74" i="67"/>
  <c r="BY87" i="67"/>
  <c r="BF85" i="67"/>
  <c r="AZ44" i="67"/>
  <c r="AG45" i="67"/>
  <c r="AR81" i="67"/>
  <c r="AR82" i="67" s="1"/>
  <c r="BN81" i="67"/>
  <c r="BN82" i="67" s="1"/>
  <c r="CE86" i="67"/>
  <c r="BK90" i="67"/>
  <c r="BV87" i="67"/>
  <c r="BI77" i="67"/>
  <c r="CI72" i="67"/>
  <c r="BY71" i="67"/>
  <c r="AP74" i="67"/>
  <c r="CO45" i="67"/>
  <c r="AW85" i="67"/>
  <c r="BF90" i="67"/>
  <c r="CI73" i="67"/>
  <c r="AS86" i="67"/>
  <c r="AW45" i="67"/>
  <c r="AP89" i="67"/>
  <c r="CF87" i="67"/>
  <c r="CH77" i="67"/>
  <c r="AX56" i="67"/>
  <c r="BJ71" i="67"/>
  <c r="BF88" i="67"/>
  <c r="AK69" i="67"/>
  <c r="AG88" i="67"/>
  <c r="AN74" i="67"/>
  <c r="AQ90" i="67"/>
  <c r="BN45" i="67"/>
  <c r="BT69" i="67"/>
  <c r="AG75" i="67"/>
  <c r="BQ69" i="67"/>
  <c r="BN73" i="67"/>
  <c r="CA89" i="67"/>
  <c r="BI74" i="67"/>
  <c r="AK88" i="67"/>
  <c r="CC77" i="67"/>
  <c r="AJ53" i="67"/>
  <c r="BB73" i="67"/>
  <c r="BB54" i="67"/>
  <c r="BJ74" i="67"/>
  <c r="BX77" i="67"/>
  <c r="BO81" i="67"/>
  <c r="BO82" i="67" s="1"/>
  <c r="AO73" i="67"/>
  <c r="CD50" i="67"/>
  <c r="CD90" i="67"/>
  <c r="BR54" i="67"/>
  <c r="CK71" i="67"/>
  <c r="AI77" i="67"/>
  <c r="BQ54" i="67"/>
  <c r="BZ76" i="67"/>
  <c r="BN56" i="67"/>
  <c r="CI44" i="67"/>
  <c r="CO87" i="67"/>
  <c r="CD69" i="67"/>
  <c r="CG81" i="67"/>
  <c r="CG82" i="67" s="1"/>
  <c r="BK47" i="67"/>
  <c r="AO58" i="67"/>
  <c r="CJ73" i="67"/>
  <c r="BA50" i="67"/>
  <c r="CH58" i="67"/>
  <c r="BO75" i="67"/>
  <c r="CC56" i="67"/>
  <c r="AU88" i="67"/>
  <c r="CN44" i="67"/>
  <c r="CK86" i="67"/>
  <c r="BQ50" i="67"/>
  <c r="AS44" i="67"/>
  <c r="CK47" i="67"/>
  <c r="BH50" i="67"/>
  <c r="CF58" i="67"/>
  <c r="AI85" i="67"/>
  <c r="AI72" i="67"/>
  <c r="W81" i="67"/>
  <c r="W82" i="67" s="1"/>
  <c r="BT76" i="67"/>
  <c r="BK81" i="67"/>
  <c r="BK82" i="67" s="1"/>
  <c r="AN76" i="67"/>
  <c r="BT58" i="67"/>
  <c r="BV75" i="67"/>
  <c r="BX70" i="67"/>
  <c r="AV88" i="67"/>
  <c r="CM85" i="67"/>
  <c r="BJ69" i="67"/>
  <c r="BW58" i="67"/>
  <c r="BI53" i="67"/>
  <c r="AN54" i="67"/>
  <c r="AU69" i="67"/>
  <c r="AW71" i="67"/>
  <c r="BU81" i="67"/>
  <c r="BU82" i="67" s="1"/>
  <c r="AV58" i="67"/>
  <c r="AX87" i="67"/>
  <c r="BD73" i="67"/>
  <c r="AN50" i="67"/>
  <c r="BV88" i="67"/>
  <c r="CL71" i="67"/>
  <c r="AS89" i="67"/>
  <c r="CN45" i="67"/>
  <c r="CN58" i="67"/>
  <c r="AW51" i="67"/>
  <c r="AG54" i="67"/>
  <c r="AH54" i="67"/>
  <c r="AQ71" i="67"/>
  <c r="BE44" i="67"/>
  <c r="AY58" i="67"/>
  <c r="BQ90" i="67"/>
  <c r="BC86" i="67"/>
  <c r="AN81" i="67"/>
  <c r="AN82" i="67" s="1"/>
  <c r="CI75" i="67"/>
  <c r="BC53" i="67"/>
  <c r="BU45" i="67"/>
  <c r="CJ56" i="67"/>
  <c r="AZ45" i="67"/>
  <c r="BM69" i="67"/>
  <c r="AG89" i="67"/>
  <c r="CG75" i="67"/>
  <c r="CI85" i="67"/>
  <c r="BM75" i="67"/>
  <c r="CL58" i="67"/>
  <c r="BD76" i="67"/>
  <c r="BB81" i="67"/>
  <c r="BB82" i="67" s="1"/>
  <c r="BV89" i="67"/>
  <c r="AO50" i="67"/>
  <c r="BH70" i="67"/>
  <c r="CK75" i="67"/>
  <c r="AP87" i="67"/>
  <c r="CG87" i="67"/>
  <c r="BF72" i="67"/>
  <c r="AS53" i="67"/>
  <c r="BY56" i="67"/>
  <c r="CH56" i="67"/>
  <c r="BE58" i="67"/>
  <c r="AN53" i="67"/>
  <c r="AP71" i="67"/>
  <c r="CE89" i="67"/>
  <c r="BL56" i="67"/>
  <c r="CE56" i="67"/>
  <c r="BN74" i="67"/>
  <c r="CL69" i="67"/>
  <c r="AM86" i="67"/>
  <c r="AS47" i="67"/>
  <c r="CA69" i="67"/>
  <c r="AH87" i="67"/>
  <c r="BY74" i="67"/>
  <c r="BA53" i="67"/>
  <c r="BF70" i="67"/>
  <c r="AO89" i="67"/>
  <c r="AU45" i="67"/>
  <c r="BD90" i="67"/>
  <c r="BD81" i="67"/>
  <c r="BD82" i="67" s="1"/>
  <c r="AJ47" i="67"/>
  <c r="AO81" i="67"/>
  <c r="AO82" i="67" s="1"/>
  <c r="BE87" i="67"/>
  <c r="BR71" i="67"/>
  <c r="BX69" i="67"/>
  <c r="BY77" i="67"/>
  <c r="BW88" i="67"/>
  <c r="BA56" i="67"/>
  <c r="AS81" i="67"/>
  <c r="AS82" i="67" s="1"/>
  <c r="BW72" i="67"/>
  <c r="BS72" i="67"/>
  <c r="BZ85" i="67"/>
  <c r="BS77" i="67"/>
  <c r="CA58" i="67"/>
  <c r="CF89" i="67"/>
  <c r="AL72" i="67"/>
  <c r="BA47" i="67"/>
  <c r="BW54" i="67"/>
  <c r="BO73" i="67"/>
  <c r="BX75" i="67"/>
  <c r="AK44" i="67"/>
  <c r="CM81" i="67"/>
  <c r="CK69" i="67"/>
  <c r="CM77" i="67"/>
  <c r="BD86" i="67"/>
  <c r="BQ75" i="67"/>
  <c r="BZ47" i="67"/>
  <c r="BC87" i="67"/>
  <c r="BF81" i="67"/>
  <c r="BF82" i="67" s="1"/>
  <c r="AW90" i="67"/>
  <c r="AW56" i="67"/>
  <c r="AJ51" i="67"/>
  <c r="BF75" i="67"/>
  <c r="AR88" i="67"/>
  <c r="CI45" i="67"/>
  <c r="BQ51" i="67"/>
  <c r="BC85" i="67"/>
  <c r="BC56" i="67"/>
  <c r="BT71" i="67"/>
  <c r="AG53" i="67"/>
  <c r="BY58" i="67"/>
  <c r="BJ54" i="67"/>
  <c r="BK74" i="67"/>
  <c r="CN86" i="67"/>
  <c r="BB47" i="67"/>
  <c r="AT54" i="67"/>
  <c r="BT72" i="67"/>
  <c r="AL58" i="67"/>
  <c r="CE76" i="67"/>
  <c r="AM74" i="67"/>
  <c r="AR86" i="67"/>
  <c r="CE77" i="67"/>
  <c r="BL73" i="67"/>
  <c r="CE71" i="67"/>
  <c r="BA45" i="67"/>
  <c r="BI58" i="67"/>
  <c r="CN85" i="67"/>
  <c r="AP70" i="67"/>
  <c r="BG51" i="67"/>
  <c r="AJ90" i="67"/>
  <c r="CK76" i="67"/>
  <c r="AX89" i="67"/>
  <c r="BD71" i="67"/>
  <c r="BB85" i="67"/>
  <c r="BD69" i="67"/>
  <c r="N81" i="67"/>
  <c r="N82" i="67" s="1"/>
  <c r="AS50" i="67"/>
  <c r="BG86" i="67"/>
  <c r="AQ44" i="67"/>
  <c r="BP87" i="67"/>
  <c r="BO45" i="67"/>
  <c r="AL44" i="67"/>
  <c r="BO76" i="67"/>
  <c r="BH76" i="67"/>
  <c r="AP54" i="67"/>
  <c r="AQ51" i="67"/>
  <c r="BJ70" i="67"/>
  <c r="BN89" i="67"/>
  <c r="BF71" i="67"/>
  <c r="AW89" i="67"/>
  <c r="BM85" i="67"/>
  <c r="AH45" i="67"/>
  <c r="AK90" i="67"/>
  <c r="AV75" i="67"/>
  <c r="AO86" i="67"/>
  <c r="AQ81" i="67"/>
  <c r="AQ82" i="67" s="1"/>
  <c r="AK74" i="67"/>
  <c r="BF51" i="67"/>
  <c r="BR90" i="67"/>
  <c r="CG77" i="67"/>
  <c r="BR69" i="67"/>
  <c r="AK70" i="67"/>
  <c r="CK87" i="67"/>
  <c r="AP76" i="67"/>
  <c r="CH73" i="67"/>
  <c r="BB50" i="67"/>
  <c r="BC54" i="67"/>
  <c r="CF86" i="67"/>
  <c r="AY81" i="67"/>
  <c r="AY82" i="67" s="1"/>
  <c r="BI75" i="67"/>
  <c r="BH77" i="67"/>
  <c r="CM87" i="67"/>
  <c r="AQ88" i="67"/>
  <c r="BQ53" i="67"/>
  <c r="BK70" i="67"/>
  <c r="CC71" i="67"/>
  <c r="AZ58" i="67"/>
  <c r="AM88" i="67"/>
  <c r="BE45" i="67"/>
  <c r="AW74" i="67"/>
  <c r="BH81" i="67"/>
  <c r="BH82" i="67" s="1"/>
  <c r="AG87" i="67"/>
  <c r="BN77" i="67"/>
  <c r="AU75" i="67"/>
  <c r="BO85" i="67"/>
  <c r="CM58" i="67"/>
  <c r="BP53" i="67"/>
  <c r="AR73" i="67"/>
  <c r="AY86" i="67"/>
  <c r="BL86" i="67"/>
  <c r="CF88" i="67"/>
  <c r="AV73" i="67"/>
  <c r="BI90" i="67"/>
  <c r="BA86" i="67"/>
  <c r="BB58" i="67"/>
  <c r="CB86" i="67"/>
  <c r="AH58" i="67"/>
  <c r="CG89" i="67"/>
  <c r="BT85" i="67"/>
  <c r="AZ89" i="67"/>
  <c r="AG74" i="67"/>
  <c r="AO87" i="67"/>
  <c r="AO74" i="67"/>
  <c r="AV90" i="67"/>
  <c r="BC44" i="67"/>
  <c r="BG47" i="67"/>
  <c r="AQ58" i="67"/>
  <c r="BZ86" i="67"/>
  <c r="AL90" i="67"/>
  <c r="AA81" i="67"/>
  <c r="AA82" i="67" s="1"/>
  <c r="CC75" i="67"/>
  <c r="CL89" i="67"/>
  <c r="BG44" i="67"/>
  <c r="BJ87" i="67"/>
  <c r="AO53" i="67"/>
  <c r="AR89" i="67"/>
  <c r="CA86" i="67"/>
  <c r="AV45" i="67"/>
  <c r="AW73" i="67"/>
  <c r="BG70" i="67"/>
  <c r="BN53" i="67"/>
  <c r="AH72" i="67"/>
  <c r="X81" i="67"/>
  <c r="X82" i="67" s="1"/>
  <c r="CA85" i="67"/>
  <c r="BT73" i="67"/>
  <c r="CA81" i="67"/>
  <c r="CA82" i="67" s="1"/>
  <c r="CE47" i="67"/>
  <c r="AJ87" i="67"/>
  <c r="CL70" i="67"/>
  <c r="O81" i="67"/>
  <c r="O82" i="67" s="1"/>
  <c r="BZ75" i="67"/>
  <c r="AW88" i="67"/>
  <c r="BY72" i="67"/>
  <c r="AP45" i="67"/>
  <c r="AL75" i="67"/>
  <c r="BH51" i="67"/>
  <c r="AN58" i="67"/>
  <c r="CA76" i="67"/>
  <c r="CB51" i="67"/>
  <c r="BB72" i="67"/>
  <c r="BN70" i="67"/>
  <c r="AZ47" i="67"/>
  <c r="AY70" i="67"/>
  <c r="CH81" i="67"/>
  <c r="CH82" i="67" s="1"/>
  <c r="CD56" i="67"/>
  <c r="BN76" i="67"/>
  <c r="AR45" i="67"/>
  <c r="BR86" i="67"/>
  <c r="BE76" i="67"/>
  <c r="CB69" i="67"/>
  <c r="BY81" i="67"/>
  <c r="BY82" i="67" s="1"/>
  <c r="BO47" i="67"/>
  <c r="CI88" i="67"/>
  <c r="CD88" i="67"/>
  <c r="AY73" i="67"/>
  <c r="BP77" i="67"/>
  <c r="AS72" i="67"/>
  <c r="BV74" i="67"/>
  <c r="CG85" i="67"/>
  <c r="AI86" i="67"/>
  <c r="BX45" i="67"/>
  <c r="CF69" i="67"/>
  <c r="BW90" i="67"/>
  <c r="CD76" i="67"/>
  <c r="CG45" i="67"/>
  <c r="CH87" i="67"/>
  <c r="CJ86" i="67"/>
  <c r="AS77" i="67"/>
  <c r="AX50" i="67"/>
  <c r="AZ85" i="67"/>
  <c r="CL86" i="67"/>
  <c r="CA90" i="67"/>
  <c r="BG77" i="67"/>
  <c r="CK77" i="67"/>
  <c r="CJ69" i="67"/>
  <c r="AW87" i="67"/>
  <c r="AG70" i="67"/>
  <c r="AO85" i="67"/>
  <c r="BV71" i="67"/>
  <c r="BR50" i="67"/>
  <c r="AJ81" i="67"/>
  <c r="AJ82" i="67" s="1"/>
  <c r="CB45" i="67"/>
  <c r="BF74" i="67"/>
  <c r="BF77" i="67"/>
  <c r="BZ89" i="67"/>
  <c r="AG85" i="67"/>
  <c r="CK73" i="67"/>
  <c r="AP86" i="67"/>
  <c r="BZ73" i="67"/>
  <c r="AS88" i="67"/>
  <c r="AQ45" i="67"/>
  <c r="BE51" i="67"/>
  <c r="BL87" i="67"/>
  <c r="AN72" i="67"/>
  <c r="BS47" i="67"/>
  <c r="CL81" i="67"/>
  <c r="CL82" i="67" s="1"/>
  <c r="CA73" i="67"/>
  <c r="CE81" i="67"/>
  <c r="CE82" i="67" s="1"/>
  <c r="AY77" i="67"/>
  <c r="BU54" i="67"/>
  <c r="BW74" i="67"/>
  <c r="AM51" i="67"/>
  <c r="BP89" i="67"/>
  <c r="BI86" i="67"/>
  <c r="CN77" i="67"/>
  <c r="BK86" i="67"/>
  <c r="AQ77" i="67"/>
  <c r="CO75" i="67"/>
  <c r="AG81" i="67"/>
  <c r="AG82" i="67" s="1"/>
  <c r="BQ58" i="67"/>
  <c r="BV90" i="67"/>
  <c r="BJ44" i="67"/>
  <c r="BL76" i="67"/>
  <c r="BF69" i="67"/>
  <c r="BP86" i="67"/>
  <c r="CG76" i="67"/>
  <c r="AX71" i="67"/>
  <c r="CK85" i="67"/>
  <c r="BR74" i="67"/>
  <c r="AJ45" i="67"/>
  <c r="BL71" i="67"/>
  <c r="AQ50" i="67"/>
  <c r="AY71" i="67"/>
  <c r="BR87" i="67"/>
  <c r="AY89" i="67"/>
  <c r="CL44" i="67"/>
  <c r="AT72" i="67"/>
  <c r="BG50" i="67"/>
  <c r="CN54" i="67"/>
  <c r="BD44" i="67"/>
  <c r="BF50" i="67"/>
  <c r="CK72" i="67"/>
  <c r="BC51" i="67"/>
  <c r="CC74" i="67"/>
  <c r="AK76" i="67"/>
  <c r="CF51" i="67"/>
  <c r="BM45" i="67"/>
  <c r="BQ87" i="67"/>
  <c r="BY89" i="67"/>
  <c r="AZ75" i="67"/>
  <c r="BZ54" i="67"/>
  <c r="AR77" i="67"/>
  <c r="AX44" i="67"/>
  <c r="BT44" i="67"/>
  <c r="BS45" i="67"/>
  <c r="AS71" i="67"/>
  <c r="BQ73" i="67"/>
  <c r="AU89" i="67"/>
  <c r="AM85" i="67"/>
  <c r="BC71" i="67"/>
  <c r="AR87" i="67"/>
  <c r="CF70" i="67"/>
  <c r="CB53" i="67"/>
  <c r="CM86" i="67"/>
  <c r="AW44" i="67"/>
  <c r="CD85" i="67"/>
  <c r="BU47" i="67"/>
  <c r="AQ54" i="67"/>
  <c r="BZ72" i="67"/>
  <c r="CE53" i="67"/>
  <c r="AU51" i="67"/>
  <c r="CN87" i="67"/>
  <c r="AH51" i="67"/>
  <c r="AP50" i="67"/>
  <c r="BS56" i="67"/>
  <c r="BE72" i="67"/>
  <c r="R81" i="67"/>
  <c r="R82" i="67" s="1"/>
  <c r="CM56" i="67"/>
  <c r="BX51" i="67"/>
  <c r="BX88" i="67"/>
  <c r="AU90" i="67"/>
  <c r="BU89" i="67"/>
  <c r="BL53" i="67"/>
  <c r="CD71" i="67"/>
  <c r="CB87" i="67"/>
  <c r="AG50" i="67"/>
  <c r="AK87" i="67"/>
  <c r="AN44" i="67"/>
  <c r="AW77" i="67"/>
  <c r="CO53" i="67"/>
  <c r="AJ70" i="67"/>
  <c r="AL50" i="67"/>
  <c r="AK45" i="67"/>
  <c r="CC53" i="67"/>
  <c r="CA47" i="67"/>
  <c r="BX50" i="67"/>
  <c r="BD56" i="67"/>
  <c r="BR85" i="67"/>
  <c r="AX76" i="67"/>
  <c r="CB71" i="67"/>
  <c r="CL77" i="67"/>
  <c r="AI44" i="67"/>
  <c r="CB77" i="67"/>
  <c r="BT56" i="67"/>
  <c r="BL75" i="67"/>
  <c r="AK56" i="67"/>
  <c r="CD75" i="67"/>
  <c r="CA44" i="67"/>
  <c r="AW72" i="67"/>
  <c r="BQ72" i="67"/>
  <c r="BQ70" i="67"/>
  <c r="BQ86" i="67"/>
  <c r="AI47" i="67"/>
  <c r="BW75" i="67"/>
  <c r="CM88" i="67"/>
  <c r="AX73" i="67"/>
  <c r="BD72" i="67"/>
  <c r="BU77" i="67"/>
  <c r="BL85" i="67"/>
  <c r="BU74" i="67"/>
  <c r="AX86" i="67"/>
  <c r="CO54" i="67"/>
  <c r="BK71" i="67"/>
  <c r="BC70" i="67"/>
  <c r="CC47" i="67"/>
  <c r="BN90" i="67"/>
  <c r="CD70" i="67"/>
  <c r="CN56" i="67"/>
  <c r="BB76" i="67"/>
  <c r="CA50" i="67"/>
  <c r="BW81" i="67"/>
  <c r="BW82" i="67" s="1"/>
  <c r="BF44" i="67"/>
  <c r="AQ86" i="67"/>
  <c r="BV56" i="67"/>
  <c r="CC70" i="67"/>
  <c r="CG69" i="67"/>
  <c r="BU44" i="67"/>
  <c r="AJ54" i="67"/>
  <c r="AU87" i="67"/>
  <c r="AH88" i="67"/>
  <c r="AH75" i="67"/>
  <c r="CN70" i="67"/>
  <c r="CL90" i="67"/>
  <c r="BL89" i="67"/>
  <c r="AJ69" i="67"/>
  <c r="AV89" i="67"/>
  <c r="CM45" i="67"/>
  <c r="BO54" i="67"/>
  <c r="BD75" i="67"/>
  <c r="BI72" i="67"/>
  <c r="AT75" i="67"/>
  <c r="CH74" i="67"/>
  <c r="AV50" i="67"/>
  <c r="BS81" i="67"/>
  <c r="BS82" i="67" s="1"/>
  <c r="BK76" i="67"/>
  <c r="AM56" i="67"/>
  <c r="BB45" i="67"/>
  <c r="AI81" i="67"/>
  <c r="AI82" i="67" s="1"/>
  <c r="BD70" i="67"/>
  <c r="BU72" i="67"/>
  <c r="BO51" i="67"/>
  <c r="BC74" i="67"/>
  <c r="BB51" i="67"/>
  <c r="BW50" i="67"/>
  <c r="BL77" i="67"/>
  <c r="BI70" i="67"/>
  <c r="BI50" i="67"/>
  <c r="AZ69" i="67"/>
  <c r="AM87" i="67"/>
  <c r="CL75" i="67"/>
  <c r="BH56" i="67"/>
  <c r="AX72" i="67"/>
  <c r="AY69" i="67"/>
  <c r="BC75" i="67"/>
  <c r="AU70" i="67"/>
  <c r="AN45" i="67"/>
  <c r="AL51" i="67"/>
  <c r="CE75" i="67"/>
  <c r="BQ85" i="67"/>
  <c r="AJ76" i="67"/>
  <c r="BN58" i="67"/>
  <c r="BY45" i="67"/>
  <c r="CK74" i="67"/>
  <c r="AR51" i="67"/>
  <c r="CJ54" i="67"/>
  <c r="CA71" i="67"/>
  <c r="AY50" i="67"/>
  <c r="BW86" i="67"/>
  <c r="BF89" i="67"/>
  <c r="BA70" i="67"/>
  <c r="AQ70" i="67"/>
  <c r="AI50" i="67"/>
  <c r="CH86" i="67"/>
  <c r="CL51" i="67"/>
  <c r="CB89" i="67"/>
  <c r="CM47" i="67"/>
  <c r="BM86" i="67"/>
  <c r="AW81" i="67"/>
  <c r="AW82" i="67" s="1"/>
  <c r="BK88" i="67"/>
  <c r="AY85" i="67"/>
  <c r="AT53" i="67"/>
  <c r="AX53" i="67"/>
  <c r="AV85" i="67"/>
  <c r="BE54" i="67"/>
  <c r="BE86" i="67"/>
  <c r="BW77" i="67"/>
  <c r="BN87" i="67"/>
  <c r="BE75" i="67"/>
  <c r="AW47" i="67"/>
  <c r="BI71" i="67"/>
  <c r="AU85" i="67"/>
  <c r="CB73" i="67"/>
  <c r="AL88" i="67"/>
  <c r="CN75" i="67"/>
  <c r="BR75" i="67"/>
  <c r="AH50" i="67"/>
  <c r="AX81" i="67"/>
  <c r="AX82" i="67" s="1"/>
  <c r="AM70" i="67"/>
  <c r="CK44" i="67"/>
  <c r="BJ53" i="67"/>
  <c r="BM73" i="67"/>
  <c r="BD53" i="67"/>
  <c r="BD85" i="67"/>
  <c r="BX85" i="67"/>
  <c r="AI76" i="67"/>
  <c r="BL58" i="67"/>
  <c r="BH47" i="67"/>
  <c r="CN51" i="67"/>
  <c r="BH72" i="67"/>
  <c r="AN88" i="67"/>
  <c r="AU53" i="67"/>
  <c r="BR72" i="67"/>
  <c r="AZ76" i="67"/>
  <c r="AN86" i="67"/>
  <c r="BV77" i="67"/>
  <c r="BJ47" i="67"/>
  <c r="BI73" i="67"/>
  <c r="BW76" i="67"/>
  <c r="BO44" i="67"/>
  <c r="CE87" i="67"/>
  <c r="BP85" i="67"/>
  <c r="BI76" i="67"/>
  <c r="BO87" i="67"/>
  <c r="AU86" i="67"/>
  <c r="CI90" i="67"/>
  <c r="BK53" i="67"/>
  <c r="AX47" i="67"/>
  <c r="BV85" i="67"/>
  <c r="CN47" i="67"/>
  <c r="CD54" i="67"/>
  <c r="BG90" i="67"/>
  <c r="AK53" i="67"/>
  <c r="BG76" i="67"/>
  <c r="BE90" i="67"/>
  <c r="BQ56" i="67"/>
  <c r="CC90" i="67"/>
  <c r="AM72" i="67"/>
  <c r="AL73" i="67"/>
  <c r="BF76" i="67"/>
  <c r="CD47" i="67"/>
  <c r="BP76" i="67"/>
  <c r="BM76" i="67"/>
  <c r="AV70" i="67"/>
  <c r="AZ74" i="67"/>
  <c r="CL73" i="67"/>
  <c r="BF87" i="67"/>
  <c r="BA77" i="67"/>
  <c r="AY74" i="67"/>
  <c r="BE73" i="67"/>
  <c r="CO81" i="67"/>
  <c r="BQ77" i="67"/>
  <c r="AV86" i="67"/>
  <c r="BL81" i="67"/>
  <c r="BL82" i="67" s="1"/>
  <c r="BL88" i="67"/>
  <c r="BC89" i="67"/>
  <c r="AI90" i="67"/>
  <c r="BT77" i="67"/>
  <c r="BL74" i="67"/>
  <c r="CH70" i="67"/>
  <c r="BH73" i="67"/>
  <c r="BB87" i="67"/>
  <c r="AH70" i="67"/>
  <c r="BH89" i="67"/>
  <c r="BN44" i="67"/>
  <c r="BF45" i="67"/>
  <c r="CD51" i="67"/>
  <c r="AL47" i="67"/>
  <c r="BR56" i="67"/>
  <c r="CJ71" i="67"/>
  <c r="AP44" i="67"/>
  <c r="BO86" i="67"/>
  <c r="CB50" i="67"/>
  <c r="CD74" i="67"/>
  <c r="AJ89" i="67"/>
  <c r="BX56" i="67"/>
  <c r="AT73" i="67"/>
  <c r="AV51" i="67"/>
  <c r="BZ45" i="67"/>
  <c r="AM53" i="67"/>
  <c r="BD45" i="67"/>
  <c r="AV77" i="67"/>
  <c r="CO47" i="67"/>
  <c r="AZ87" i="67"/>
  <c r="AO75" i="67"/>
  <c r="CI71" i="67"/>
  <c r="BF73" i="67"/>
  <c r="BP58" i="67"/>
  <c r="BH86" i="67"/>
  <c r="AK72" i="67"/>
  <c r="CA45" i="67"/>
  <c r="CF54" i="67"/>
  <c r="BM88" i="67"/>
  <c r="AR71" i="67"/>
  <c r="BU73" i="67"/>
  <c r="AU77" i="67"/>
  <c r="BM47" i="67"/>
  <c r="BA81" i="67"/>
  <c r="BA82" i="67" s="1"/>
  <c r="BA89" i="67"/>
  <c r="AQ72" i="67"/>
  <c r="AX85" i="67"/>
  <c r="AZ56" i="67"/>
  <c r="BI88" i="67"/>
  <c r="AL69" i="67"/>
  <c r="BM89" i="67"/>
  <c r="CE58" i="67"/>
  <c r="CI50" i="67"/>
  <c r="BW87" i="67"/>
  <c r="BN75" i="67"/>
  <c r="CE45" i="67"/>
  <c r="AH90" i="67"/>
  <c r="AO77" i="67"/>
  <c r="BG87" i="67"/>
  <c r="BI85" i="67"/>
  <c r="CK88" i="67"/>
  <c r="BZ88" i="67"/>
  <c r="AN85" i="67"/>
  <c r="AT71" i="67"/>
  <c r="AP56" i="67"/>
  <c r="BY85" i="67"/>
  <c r="BA69" i="67"/>
  <c r="CJ88" i="67"/>
  <c r="BV47" i="67"/>
  <c r="BY90" i="67"/>
  <c r="CC58" i="67"/>
  <c r="BC76" i="67"/>
  <c r="CI69" i="67"/>
  <c r="AT81" i="67"/>
  <c r="AT82" i="67" s="1"/>
  <c r="CF90" i="67"/>
  <c r="CL45" i="67"/>
  <c r="BS69" i="67"/>
  <c r="BU86" i="67"/>
  <c r="BS90" i="67"/>
  <c r="CO89" i="67"/>
  <c r="CM51" i="67"/>
  <c r="CE54" i="67"/>
  <c r="CM89" i="67"/>
  <c r="AT87" i="67"/>
  <c r="BZ74" i="67"/>
  <c r="BU90" i="67"/>
  <c r="AV47" i="67"/>
  <c r="AG73" i="67"/>
  <c r="BZ77" i="67"/>
  <c r="AS75" i="67"/>
  <c r="AQ74" i="67"/>
  <c r="CJ74" i="67"/>
  <c r="AH89" i="67"/>
  <c r="BO50" i="67"/>
  <c r="CL88" i="67"/>
  <c r="CN76" i="67"/>
  <c r="AU50" i="67"/>
  <c r="AH74" i="67"/>
  <c r="BR70" i="67"/>
  <c r="CD87" i="67"/>
  <c r="AT58" i="67"/>
  <c r="BK77" i="67"/>
  <c r="BK45" i="67"/>
  <c r="CN71" i="67"/>
  <c r="BG69" i="67"/>
  <c r="BP44" i="67"/>
  <c r="CF71" i="67"/>
  <c r="BX44" i="67"/>
  <c r="CE90" i="67"/>
  <c r="CH51" i="67"/>
  <c r="BE53" i="67"/>
  <c r="BD50" i="67"/>
  <c r="CH54" i="67"/>
  <c r="BW56" i="67"/>
  <c r="BB53" i="67"/>
  <c r="AL77" i="67"/>
  <c r="BU50" i="67"/>
  <c r="BK72" i="67"/>
  <c r="AO90" i="67"/>
  <c r="AL86" i="67"/>
  <c r="AP75" i="67"/>
  <c r="AN51" i="67"/>
  <c r="BH88" i="67"/>
  <c r="CM75" i="67"/>
  <c r="BZ58" i="67"/>
  <c r="BG74" i="67"/>
  <c r="AZ53" i="67"/>
  <c r="BR89" i="67"/>
  <c r="CJ87" i="67"/>
  <c r="AP88" i="67"/>
  <c r="AP85" i="67"/>
  <c r="AN70" i="67"/>
  <c r="BK73" i="67"/>
  <c r="BP47" i="67"/>
  <c r="CA54" i="67"/>
  <c r="AJ77" i="67"/>
  <c r="BP72" i="67"/>
  <c r="BG75" i="67"/>
  <c r="BE88" i="67"/>
  <c r="CL85" i="67"/>
  <c r="BS76" i="67"/>
  <c r="BT70" i="67"/>
  <c r="CD73" i="67"/>
  <c r="BZ70" i="67"/>
  <c r="AQ73" i="67"/>
  <c r="AQ89" i="67"/>
  <c r="CN81" i="67"/>
  <c r="CN88" i="67"/>
  <c r="AP77" i="67"/>
  <c r="BS87" i="67"/>
  <c r="CN53" i="67"/>
  <c r="AZ77" i="67"/>
  <c r="BF47" i="67"/>
  <c r="AY75" i="67"/>
  <c r="AW50" i="67"/>
  <c r="CK53" i="67"/>
  <c r="CB90" i="67"/>
  <c r="AZ71" i="67"/>
  <c r="BL70" i="67"/>
  <c r="AQ56" i="67"/>
  <c r="AR74" i="67"/>
  <c r="AU56" i="67"/>
  <c r="AW86" i="67"/>
  <c r="CF81" i="67"/>
  <c r="CF82" i="67" s="1"/>
  <c r="CO77" i="67"/>
  <c r="CB56" i="67"/>
  <c r="AX74" i="67"/>
  <c r="CN74" i="67"/>
  <c r="AM75" i="67"/>
  <c r="AR58" i="67"/>
  <c r="AU47" i="67"/>
  <c r="AZ70" i="67"/>
  <c r="BV81" i="67"/>
  <c r="BV82" i="67" s="1"/>
  <c r="CC54" i="67"/>
  <c r="BV69" i="67"/>
  <c r="CB81" i="67"/>
  <c r="CB82" i="67" s="1"/>
  <c r="AI45" i="67"/>
  <c r="BJ88" i="67"/>
  <c r="BV50" i="67"/>
  <c r="BU88" i="67"/>
  <c r="CC81" i="67"/>
  <c r="CC82" i="67" s="1"/>
  <c r="AY72" i="67"/>
  <c r="CJ53" i="67"/>
  <c r="BQ89" i="67"/>
  <c r="BP81" i="67"/>
  <c r="BP82" i="67" s="1"/>
  <c r="AP72" i="67"/>
  <c r="BH85" i="67"/>
  <c r="CE88" i="67"/>
  <c r="BT89" i="67"/>
  <c r="P81" i="67"/>
  <c r="P82" i="67" s="1"/>
  <c r="BV76" i="67"/>
  <c r="BX89" i="67"/>
  <c r="BP56" i="67"/>
  <c r="BT51" i="67"/>
  <c r="AN87" i="67"/>
  <c r="AR53" i="67"/>
  <c r="BJ89" i="67"/>
  <c r="AV74" i="67"/>
  <c r="AW69" i="67"/>
  <c r="BG81" i="67"/>
  <c r="BG82" i="67" s="1"/>
  <c r="Z81" i="67"/>
  <c r="Z82" i="67" s="1"/>
  <c r="BN71" i="67"/>
  <c r="AP47" i="67"/>
  <c r="BK54" i="67"/>
  <c r="BE85" i="67"/>
  <c r="CF73" i="67"/>
  <c r="BL69" i="67"/>
  <c r="CF76" i="67"/>
  <c r="BH90" i="67"/>
  <c r="CM76" i="67"/>
  <c r="BA88" i="67"/>
  <c r="BI87" i="67"/>
  <c r="AT56" i="67"/>
  <c r="AT85" i="67"/>
  <c r="BW73" i="67"/>
  <c r="AP51" i="67"/>
  <c r="BT88" i="67"/>
  <c r="AJ86" i="67"/>
  <c r="BB89" i="67"/>
  <c r="BU51" i="67"/>
  <c r="BP54" i="67"/>
  <c r="AO44" i="67"/>
  <c r="BC81" i="67"/>
  <c r="BC82" i="67" s="1"/>
  <c r="BA90" i="67"/>
  <c r="CH89" i="67"/>
  <c r="BT53" i="67"/>
  <c r="BP69" i="67"/>
  <c r="BK85" i="67"/>
  <c r="CH53" i="67"/>
  <c r="BS74" i="67"/>
  <c r="AZ90" i="67"/>
  <c r="AM44" i="67"/>
  <c r="BG72" i="67"/>
  <c r="AG86" i="67"/>
  <c r="BI44" i="67"/>
  <c r="BM44" i="67"/>
  <c r="CB85" i="67"/>
  <c r="BK51" i="67"/>
  <c r="CC89" i="67"/>
  <c r="CB76" i="67"/>
  <c r="CO44" i="67"/>
  <c r="CJ47" i="67"/>
  <c r="BN86" i="67"/>
  <c r="BU75" i="67"/>
  <c r="BX73" i="67"/>
  <c r="BY76" i="67"/>
  <c r="BS70" i="67"/>
  <c r="BH44" i="67"/>
  <c r="AK89" i="67"/>
  <c r="CF53" i="67"/>
  <c r="BO69" i="67"/>
  <c r="BT90" i="67"/>
  <c r="AI69" i="67"/>
  <c r="BF56" i="67"/>
  <c r="CO74" i="67"/>
  <c r="CF45" i="67"/>
  <c r="BI69" i="67"/>
  <c r="AH71" i="67"/>
  <c r="BW71" i="67"/>
  <c r="BO70" i="67"/>
  <c r="AZ54" i="67"/>
  <c r="AZ73" i="67"/>
  <c r="CL47" i="67"/>
  <c r="CK90" i="67"/>
  <c r="BG89" i="67"/>
  <c r="BD88" i="67"/>
  <c r="BD58" i="67"/>
  <c r="BW45" i="67"/>
  <c r="AS87" i="67"/>
  <c r="BJ45" i="67"/>
  <c r="AG71" i="67"/>
  <c r="BA74" i="67"/>
  <c r="CG86" i="67"/>
  <c r="AL76" i="67"/>
  <c r="AP90" i="67"/>
  <c r="AS90" i="67"/>
  <c r="BZ87" i="67"/>
  <c r="BM58" i="67"/>
  <c r="CE70" i="67"/>
  <c r="CJ50" i="67"/>
  <c r="CJ51" i="67"/>
  <c r="AP73" i="67"/>
  <c r="AQ76" i="67"/>
  <c r="AL70" i="67"/>
  <c r="AR75" i="67"/>
  <c r="CG58" i="67"/>
  <c r="AT70" i="67"/>
  <c r="BK89" i="67"/>
  <c r="AH73" i="67"/>
  <c r="AI53" i="67"/>
  <c r="AO71" i="67"/>
  <c r="BD47" i="67"/>
  <c r="BK75" i="67"/>
  <c r="AK51" i="67"/>
  <c r="CJ90" i="67"/>
  <c r="AY51" i="67"/>
  <c r="AO69" i="67"/>
  <c r="BZ51" i="67"/>
  <c r="AS74" i="67"/>
  <c r="BX47" i="67"/>
  <c r="BL47" i="67"/>
  <c r="AQ85" i="67"/>
  <c r="BA76" i="67"/>
  <c r="AL53" i="67"/>
  <c r="AV54" i="67"/>
  <c r="BP70" i="67"/>
  <c r="AG72" i="67"/>
  <c r="BV54" i="67"/>
  <c r="AW76" i="67"/>
  <c r="AR50" i="67"/>
  <c r="AG58" i="67"/>
  <c r="CG53" i="67"/>
  <c r="CN50" i="67"/>
  <c r="CH44" i="67"/>
  <c r="AR54" i="67"/>
  <c r="BI45" i="67"/>
  <c r="CG50" i="67"/>
  <c r="AV71" i="67"/>
  <c r="CG47" i="67"/>
  <c r="BG53" i="67"/>
  <c r="BC77" i="67"/>
  <c r="BC45" i="67"/>
  <c r="BL45" i="67"/>
  <c r="AI71" i="67"/>
  <c r="CE50" i="67"/>
  <c r="BU69" i="67"/>
  <c r="BM71" i="67"/>
  <c r="AI74" i="67"/>
  <c r="AR69" i="67"/>
  <c r="BG45" i="67"/>
  <c r="BS50" i="67"/>
  <c r="AY87" i="67"/>
  <c r="AI51" i="67"/>
  <c r="BR44" i="67"/>
  <c r="BA58" i="67"/>
  <c r="AP53" i="67"/>
  <c r="CO51" i="67"/>
  <c r="BN50" i="67"/>
  <c r="CG44" i="67"/>
  <c r="CD53" i="67"/>
  <c r="BS44" i="67"/>
  <c r="AK50" i="67"/>
  <c r="CI89" i="67"/>
  <c r="CA51" i="67"/>
  <c r="CD45" i="67"/>
  <c r="AS69" i="67"/>
  <c r="AU74" i="67"/>
  <c r="CM50" i="67"/>
  <c r="BM81" i="67"/>
  <c r="BM82" i="67" s="1"/>
  <c r="BY73" i="67"/>
  <c r="AL74" i="67"/>
  <c r="AL54" i="67"/>
  <c r="CD58" i="67"/>
  <c r="CI56" i="67"/>
  <c r="CF56" i="67"/>
  <c r="BY47" i="67"/>
  <c r="BZ44" i="67"/>
  <c r="AI58" i="67"/>
  <c r="CJ77" i="67"/>
  <c r="BW44" i="67"/>
  <c r="AK47" i="67"/>
  <c r="BF54" i="67"/>
  <c r="CG51" i="67"/>
  <c r="BU56" i="67"/>
  <c r="CL53" i="67"/>
  <c r="AV56" i="67"/>
  <c r="AK77" i="67"/>
  <c r="BM53" i="67"/>
  <c r="CE44" i="67"/>
  <c r="BU76" i="67"/>
  <c r="AI88" i="67"/>
  <c r="CN73" i="67"/>
  <c r="AZ86" i="67"/>
  <c r="CA77" i="67"/>
  <c r="CJ76" i="67"/>
  <c r="BK44" i="67"/>
  <c r="CD72" i="67"/>
  <c r="BW47" i="67"/>
  <c r="CH75" i="67"/>
  <c r="AZ51" i="67"/>
  <c r="BK58" i="67"/>
  <c r="AQ69" i="67"/>
  <c r="AL45" i="67"/>
  <c r="CI47" i="67"/>
  <c r="AM50" i="67"/>
  <c r="BJ51" i="67"/>
  <c r="BE69" i="67"/>
  <c r="BW53" i="67"/>
  <c r="AJ58" i="67"/>
  <c r="BU71" i="67"/>
  <c r="AG51" i="67"/>
  <c r="AJ74" i="67"/>
  <c r="AL89" i="67"/>
  <c r="AX54" i="67"/>
  <c r="BH53" i="67"/>
  <c r="CA56" i="67"/>
  <c r="AX69" i="67"/>
  <c r="AN47" i="67"/>
  <c r="AN56" i="67"/>
  <c r="AG47" i="67"/>
  <c r="BB70" i="67"/>
  <c r="BG73" i="67"/>
  <c r="AG44" i="67"/>
  <c r="BZ50" i="67"/>
  <c r="AU58" i="67"/>
  <c r="AV76" i="67"/>
  <c r="CM54" i="67"/>
  <c r="AI54" i="67"/>
  <c r="AJ71" i="67"/>
  <c r="AG56" i="67"/>
  <c r="AS76" i="67"/>
  <c r="BW69" i="67"/>
  <c r="BC58" i="67"/>
  <c r="BA54" i="67"/>
  <c r="CG74" i="67"/>
  <c r="CC51" i="67"/>
  <c r="AX45" i="67"/>
  <c r="AT88" i="67"/>
  <c r="AU73" i="67"/>
  <c r="BD51" i="67"/>
  <c r="BY54" i="67"/>
  <c r="AN75" i="67"/>
  <c r="AN73" i="67"/>
  <c r="BQ44" i="67"/>
  <c r="AR44" i="67"/>
  <c r="AQ47" i="67"/>
  <c r="BE50" i="67"/>
  <c r="BR88" i="67"/>
  <c r="BA75" i="67"/>
  <c r="AS73" i="67"/>
  <c r="BV70" i="67"/>
  <c r="AJ85" i="67"/>
  <c r="AT45" i="67"/>
  <c r="CB54" i="67"/>
  <c r="CO73" i="67"/>
  <c r="CG70" i="67"/>
  <c r="AV87" i="67"/>
  <c r="AY53" i="67"/>
  <c r="BH58" i="67"/>
  <c r="AH85" i="67"/>
  <c r="BH71" i="67"/>
  <c r="AK81" i="67"/>
  <c r="AK82" i="67" s="1"/>
  <c r="AM54" i="67"/>
  <c r="CF47" i="67"/>
  <c r="AY47" i="67"/>
  <c r="CM72" i="67"/>
  <c r="AJ50" i="67"/>
  <c r="CG72" i="67"/>
  <c r="BX71" i="67"/>
  <c r="BO56" i="67"/>
  <c r="CO76" i="67"/>
  <c r="BY86" i="67"/>
  <c r="CG56" i="67"/>
  <c r="BG56" i="67"/>
  <c r="BR58" i="67"/>
  <c r="BT86" i="67"/>
  <c r="AJ72" i="67"/>
  <c r="CH85" i="67"/>
  <c r="CN72" i="67"/>
  <c r="AV53" i="67"/>
  <c r="AC81" i="67"/>
  <c r="AC82" i="67" s="1"/>
  <c r="AN90" i="67"/>
  <c r="CL54" i="67"/>
  <c r="BR45" i="67"/>
  <c r="AL71" i="67"/>
  <c r="AH56" i="67"/>
  <c r="BY53" i="67"/>
  <c r="AY56" i="67"/>
  <c r="AJ44" i="67"/>
  <c r="BG85" i="67"/>
  <c r="BR76" i="67"/>
  <c r="BX54" i="67"/>
  <c r="CD77" i="67"/>
  <c r="CB58" i="67"/>
  <c r="V81" i="67"/>
  <c r="V82" i="67" s="1"/>
  <c r="BN54" i="67"/>
  <c r="BN69" i="67"/>
  <c r="CB44" i="67"/>
  <c r="CI76" i="67"/>
  <c r="AX70" i="67"/>
  <c r="BL44" i="67"/>
  <c r="BL51" i="67"/>
  <c r="BJ73" i="67"/>
  <c r="AI73" i="67"/>
  <c r="CE73" i="67"/>
  <c r="CC69" i="67"/>
  <c r="AO56" i="67"/>
  <c r="AE54" i="67"/>
  <c r="AZ72" i="67"/>
  <c r="CJ58" i="67"/>
  <c r="AY45" i="67"/>
  <c r="AM47" i="67"/>
  <c r="CM53" i="67"/>
  <c r="AT77" i="67"/>
  <c r="BY44" i="67"/>
  <c r="AV69" i="67"/>
  <c r="BT47" i="67"/>
  <c r="CB47" i="67"/>
  <c r="BA87" i="67"/>
  <c r="CD44" i="67"/>
  <c r="AG77" i="67"/>
  <c r="AU81" i="67"/>
  <c r="AU82" i="67" s="1"/>
  <c r="AM58" i="67"/>
  <c r="BV51" i="67"/>
  <c r="CL56" i="67"/>
  <c r="BX74" i="67"/>
  <c r="BD77" i="67"/>
  <c r="CL87" i="67"/>
  <c r="AU44" i="67"/>
  <c r="AJ56" i="67"/>
  <c r="AM69" i="67"/>
  <c r="BF86" i="67"/>
  <c r="BE89" i="67"/>
  <c r="AS54" i="67"/>
  <c r="AL85" i="67"/>
  <c r="AT47" i="67"/>
  <c r="BP50" i="67"/>
  <c r="BM50" i="67"/>
  <c r="BQ45" i="67"/>
  <c r="BC73" i="67"/>
  <c r="BH54" i="67"/>
  <c r="AK73" i="67"/>
  <c r="CC44" i="67"/>
  <c r="AH53" i="67"/>
  <c r="CK51" i="67"/>
  <c r="BY75" i="67"/>
  <c r="BK56" i="67"/>
  <c r="CM44" i="67"/>
  <c r="BN51" i="67"/>
  <c r="L54" i="67"/>
  <c r="M54" i="67"/>
  <c r="M81" i="67"/>
  <c r="M82" i="67" s="1"/>
  <c r="L81" i="67"/>
  <c r="Z54" i="67"/>
  <c r="CO67" i="4"/>
  <c r="CO68" i="4"/>
  <c r="G68" i="4" s="1"/>
  <c r="CO529" i="4"/>
  <c r="CM738" i="4"/>
  <c r="CO1242" i="4"/>
  <c r="CO274" i="4"/>
  <c r="CO335" i="4" s="1"/>
  <c r="CO275" i="4"/>
  <c r="CO288" i="4" s="1"/>
  <c r="CO329" i="4" s="1"/>
  <c r="I314" i="4"/>
  <c r="CO273" i="4"/>
  <c r="CO1243" i="4"/>
  <c r="I1243" i="4" s="1"/>
  <c r="CO1157" i="4"/>
  <c r="G1157" i="4" s="1"/>
  <c r="G157" i="15"/>
  <c r="CN688" i="4"/>
  <c r="CN1041" i="4"/>
  <c r="CO54" i="62"/>
  <c r="AQ1185" i="4"/>
  <c r="X1185" i="4"/>
  <c r="CB1185" i="4"/>
  <c r="CB1168" i="4" s="1"/>
  <c r="AZ1185" i="4"/>
  <c r="CG1185" i="4"/>
  <c r="CG1168" i="4" s="1"/>
  <c r="AK1185" i="4"/>
  <c r="CH1185" i="4"/>
  <c r="CH1168" i="4" s="1"/>
  <c r="BY1185" i="4"/>
  <c r="BY1168" i="4" s="1"/>
  <c r="BM1185" i="4"/>
  <c r="CE1185" i="4"/>
  <c r="CE1168" i="4" s="1"/>
  <c r="BD1185" i="4"/>
  <c r="AB1185" i="4"/>
  <c r="BS1185" i="4"/>
  <c r="BO1185" i="4"/>
  <c r="BP1185" i="4"/>
  <c r="CF1185" i="4"/>
  <c r="CF1168" i="4" s="1"/>
  <c r="AF1185" i="4"/>
  <c r="AL1185" i="4"/>
  <c r="AD1185" i="4"/>
  <c r="CO1185" i="4"/>
  <c r="CO1168" i="4" s="1"/>
  <c r="AS1185" i="4"/>
  <c r="AN1185" i="4"/>
  <c r="BX1185" i="4"/>
  <c r="CL1185" i="4"/>
  <c r="CL1168" i="4" s="1"/>
  <c r="AR1185" i="4"/>
  <c r="M1185" i="4"/>
  <c r="M1168" i="4" s="1"/>
  <c r="AJ1185" i="4"/>
  <c r="V1185" i="4"/>
  <c r="BL1185" i="4"/>
  <c r="AW1185" i="4"/>
  <c r="AT1185" i="4"/>
  <c r="U1185" i="4"/>
  <c r="BA1185" i="4"/>
  <c r="P1185" i="4"/>
  <c r="P1168" i="4" s="1"/>
  <c r="CA1185" i="4"/>
  <c r="CA1168" i="4" s="1"/>
  <c r="AI1185" i="4"/>
  <c r="CD1185" i="4"/>
  <c r="CD1168" i="4" s="1"/>
  <c r="AA1185" i="4"/>
  <c r="BC1185" i="4"/>
  <c r="CC1185" i="4"/>
  <c r="CC1168" i="4" s="1"/>
  <c r="AP1185" i="4"/>
  <c r="S1185" i="4"/>
  <c r="Q1185" i="4"/>
  <c r="AY1185" i="4"/>
  <c r="CI1185" i="4"/>
  <c r="CI1168" i="4" s="1"/>
  <c r="BJ1185" i="4"/>
  <c r="O1185" i="4"/>
  <c r="O1168" i="4" s="1"/>
  <c r="BZ1185" i="4"/>
  <c r="BZ1168" i="4" s="1"/>
  <c r="AV1185" i="4"/>
  <c r="BT1185" i="4"/>
  <c r="AO1185" i="4"/>
  <c r="BK1185" i="4"/>
  <c r="CM1185" i="4"/>
  <c r="CM1168" i="4" s="1"/>
  <c r="BU1185" i="4"/>
  <c r="AM1185" i="4"/>
  <c r="BF1185" i="4"/>
  <c r="BB1185" i="4"/>
  <c r="N1185" i="4"/>
  <c r="N1168" i="4" s="1"/>
  <c r="CN1185" i="4"/>
  <c r="CN1168" i="4" s="1"/>
  <c r="BW1185" i="4"/>
  <c r="AU1185" i="4"/>
  <c r="BH1185" i="4"/>
  <c r="AE1185" i="4"/>
  <c r="BE1185" i="4"/>
  <c r="AH1185" i="4"/>
  <c r="W1185" i="4"/>
  <c r="AC1185" i="4"/>
  <c r="Z1185" i="4"/>
  <c r="CJ1185" i="4"/>
  <c r="CJ1168" i="4" s="1"/>
  <c r="BG1185" i="4"/>
  <c r="R1185" i="4"/>
  <c r="BR1185" i="4"/>
  <c r="BV1185" i="4"/>
  <c r="BN1185" i="4"/>
  <c r="Y1185" i="4"/>
  <c r="L1185" i="4"/>
  <c r="AG1185" i="4"/>
  <c r="T1185" i="4"/>
  <c r="AX1185" i="4"/>
  <c r="CK1185" i="4"/>
  <c r="CK1168" i="4" s="1"/>
  <c r="BQ1185" i="4"/>
  <c r="BI1185" i="4"/>
  <c r="AQ1526" i="4"/>
  <c r="CI33" i="62"/>
  <c r="BM1526" i="4"/>
  <c r="BV1526" i="4"/>
  <c r="BU32" i="62"/>
  <c r="BE32" i="62"/>
  <c r="BL1393" i="4"/>
  <c r="BG33" i="62"/>
  <c r="BE33" i="62"/>
  <c r="CN1430" i="4"/>
  <c r="BR33" i="62"/>
  <c r="AY33" i="62"/>
  <c r="BS32" i="62"/>
  <c r="CF32" i="62"/>
  <c r="BP1393" i="4"/>
  <c r="BZ1393" i="4"/>
  <c r="BV1393" i="4"/>
  <c r="CH33" i="62"/>
  <c r="BS1526" i="4"/>
  <c r="CN1393" i="4"/>
  <c r="CC1526" i="4"/>
  <c r="CC1430" i="4"/>
  <c r="BP32" i="62"/>
  <c r="BM1430" i="4"/>
  <c r="CO1526" i="4"/>
  <c r="BX32" i="62"/>
  <c r="CB32" i="62"/>
  <c r="AZ1526" i="4"/>
  <c r="BX33" i="62"/>
  <c r="BU1526" i="4"/>
  <c r="CO1430" i="4"/>
  <c r="BF1430" i="4"/>
  <c r="BZ32" i="62"/>
  <c r="BQ1393" i="4"/>
  <c r="CG32" i="62"/>
  <c r="CO32" i="62"/>
  <c r="CJ1393" i="4"/>
  <c r="CO1393" i="4"/>
  <c r="CF1430" i="4"/>
  <c r="CK1393" i="4"/>
  <c r="AN32" i="62"/>
  <c r="BM1393" i="4"/>
  <c r="BW1526" i="4"/>
  <c r="BA33" i="62"/>
  <c r="AK33" i="62"/>
  <c r="AJ1526" i="4"/>
  <c r="BW33" i="62"/>
  <c r="BU1430" i="4"/>
  <c r="AT1526" i="4"/>
  <c r="AM33" i="62"/>
  <c r="AJ32" i="62"/>
  <c r="AL1526" i="4"/>
  <c r="BQ32" i="62"/>
  <c r="AT1393" i="4"/>
  <c r="AW32" i="62"/>
  <c r="AZ33" i="62"/>
  <c r="BL1430" i="4"/>
  <c r="BA32" i="62"/>
  <c r="AQ1430" i="4"/>
  <c r="AY1393" i="4"/>
  <c r="BC1430" i="4"/>
  <c r="AV32" i="62"/>
  <c r="BO1430" i="4"/>
  <c r="BR1526" i="4"/>
  <c r="AW1393" i="4"/>
  <c r="BH32" i="62"/>
  <c r="BN1430" i="4"/>
  <c r="CI32" i="62"/>
  <c r="CD1526" i="4"/>
  <c r="CG1526" i="4"/>
  <c r="AW1430" i="4"/>
  <c r="BE1430" i="4"/>
  <c r="BT1430" i="4"/>
  <c r="CA1526" i="4"/>
  <c r="AG1526" i="4"/>
  <c r="BI1526" i="4"/>
  <c r="CN1526" i="4"/>
  <c r="AH1393" i="4"/>
  <c r="AO1430" i="4"/>
  <c r="BG1393" i="4"/>
  <c r="BY33" i="62"/>
  <c r="BB1393" i="4"/>
  <c r="BZ1430" i="4"/>
  <c r="AR1430" i="4"/>
  <c r="BJ1393" i="4"/>
  <c r="CL1430" i="4"/>
  <c r="BT32" i="62"/>
  <c r="CD32" i="62"/>
  <c r="AI1430" i="4"/>
  <c r="CK32" i="62"/>
  <c r="AS1393" i="4"/>
  <c r="AO1526" i="4"/>
  <c r="AG1393" i="4"/>
  <c r="AM1526" i="4"/>
  <c r="CG1393" i="4"/>
  <c r="AH1526" i="4"/>
  <c r="BD1430" i="4"/>
  <c r="AR33" i="62"/>
  <c r="AJ33" i="62"/>
  <c r="AS32" i="62"/>
  <c r="AP33" i="62"/>
  <c r="AP1393" i="4"/>
  <c r="BI1393" i="4"/>
  <c r="BE1393" i="4"/>
  <c r="CM33" i="62"/>
  <c r="BK1526" i="4"/>
  <c r="AN1430" i="4"/>
  <c r="AX1430" i="4"/>
  <c r="CH1393" i="4"/>
  <c r="CH1526" i="4"/>
  <c r="AG32" i="62"/>
  <c r="AQ1393" i="4"/>
  <c r="CH32" i="62"/>
  <c r="BJ1430" i="4"/>
  <c r="CJ32" i="62"/>
  <c r="AM1430" i="4"/>
  <c r="CG1430" i="4"/>
  <c r="AV1393" i="4"/>
  <c r="AV1430" i="4"/>
  <c r="AL33" i="62"/>
  <c r="CA32" i="62"/>
  <c r="BZ33" i="62"/>
  <c r="BS1430" i="4"/>
  <c r="AT33" i="62"/>
  <c r="BA1430" i="4"/>
  <c r="BH1430" i="4"/>
  <c r="AU1526" i="4"/>
  <c r="CE1393" i="4"/>
  <c r="BL32" i="62"/>
  <c r="CD1430" i="4"/>
  <c r="AV33" i="62"/>
  <c r="BG1526" i="4"/>
  <c r="AJ1393" i="4"/>
  <c r="AN33" i="62"/>
  <c r="BS33" i="62"/>
  <c r="CE1526" i="4"/>
  <c r="CK33" i="62"/>
  <c r="CM1393" i="4"/>
  <c r="AI1526" i="4"/>
  <c r="BF1526" i="4"/>
  <c r="BV32" i="62"/>
  <c r="CM32" i="62"/>
  <c r="AK32" i="62"/>
  <c r="AP1526" i="4"/>
  <c r="BC1526" i="4"/>
  <c r="AI33" i="62"/>
  <c r="CA33" i="62"/>
  <c r="BT33" i="62"/>
  <c r="CI1526" i="4"/>
  <c r="BS1393" i="4"/>
  <c r="BO33" i="62"/>
  <c r="BB32" i="62"/>
  <c r="BC33" i="62"/>
  <c r="CD33" i="62"/>
  <c r="BK1430" i="4"/>
  <c r="BN1526" i="4"/>
  <c r="AU1393" i="4"/>
  <c r="BD1393" i="4"/>
  <c r="BR32" i="62"/>
  <c r="AH32" i="62"/>
  <c r="AX1393" i="4"/>
  <c r="CM1430" i="4"/>
  <c r="AQ32" i="62"/>
  <c r="BW1393" i="4"/>
  <c r="AY1526" i="4"/>
  <c r="BC1393" i="4"/>
  <c r="AR1526" i="4"/>
  <c r="CN33" i="62"/>
  <c r="BP1430" i="4"/>
  <c r="BL1526" i="4"/>
  <c r="AL1393" i="4"/>
  <c r="AU33" i="62"/>
  <c r="BP1526" i="4"/>
  <c r="AQ33" i="62"/>
  <c r="CB33" i="62"/>
  <c r="AO33" i="62"/>
  <c r="AP1430" i="4"/>
  <c r="CI1430" i="4"/>
  <c r="CC1393" i="4"/>
  <c r="AV1526" i="4"/>
  <c r="AK1393" i="4"/>
  <c r="BT1526" i="4"/>
  <c r="AK1526" i="4"/>
  <c r="BX1526" i="4"/>
  <c r="BD32" i="62"/>
  <c r="BP33" i="62"/>
  <c r="CF1393" i="4"/>
  <c r="AK1430" i="4"/>
  <c r="AP32" i="62"/>
  <c r="CH1430" i="4"/>
  <c r="CC33" i="62"/>
  <c r="AR32" i="62"/>
  <c r="AG1430" i="4"/>
  <c r="CC32" i="62"/>
  <c r="AO1393" i="4"/>
  <c r="BE1526" i="4"/>
  <c r="BL33" i="62"/>
  <c r="CD1393" i="4"/>
  <c r="AJ1430" i="4"/>
  <c r="AR1393" i="4"/>
  <c r="BQ1430" i="4"/>
  <c r="BF1393" i="4"/>
  <c r="BG1430" i="4"/>
  <c r="BB1430" i="4"/>
  <c r="AT1430" i="4"/>
  <c r="BK1393" i="4"/>
  <c r="BR1393" i="4"/>
  <c r="BB1526" i="4"/>
  <c r="BY1430" i="4"/>
  <c r="AL32" i="62"/>
  <c r="BK33" i="62"/>
  <c r="BO1393" i="4"/>
  <c r="CB1430" i="4"/>
  <c r="CA1430" i="4"/>
  <c r="CO18" i="4"/>
  <c r="AM1393" i="4"/>
  <c r="AW33" i="62"/>
  <c r="AN1393" i="4"/>
  <c r="BU1393" i="4"/>
  <c r="CB1393" i="4"/>
  <c r="BX1393" i="4"/>
  <c r="AZ1393" i="4"/>
  <c r="BY32" i="62"/>
  <c r="AI1393" i="4"/>
  <c r="AX1526" i="4"/>
  <c r="BK32" i="62"/>
  <c r="AM32" i="62"/>
  <c r="CF33" i="62"/>
  <c r="AH1430" i="4"/>
  <c r="AN1526" i="4"/>
  <c r="AZ32" i="62"/>
  <c r="BV1430" i="4"/>
  <c r="CE33" i="62"/>
  <c r="AH33" i="62"/>
  <c r="BC32" i="62"/>
  <c r="BV33" i="62"/>
  <c r="CL1526" i="4"/>
  <c r="AS33" i="62"/>
  <c r="CJ1430" i="4"/>
  <c r="BJ33" i="62"/>
  <c r="BA1393" i="4"/>
  <c r="AY32" i="62"/>
  <c r="BG32" i="62"/>
  <c r="BN32" i="62"/>
  <c r="CL32" i="62"/>
  <c r="BD1526" i="4"/>
  <c r="BW1430" i="4"/>
  <c r="BY1393" i="4"/>
  <c r="AX33" i="62"/>
  <c r="CE32" i="62"/>
  <c r="CJ33" i="62"/>
  <c r="AI32" i="62"/>
  <c r="BN33" i="62"/>
  <c r="CL1393" i="4"/>
  <c r="BX1430" i="4"/>
  <c r="BM32" i="62"/>
  <c r="CE1430" i="4"/>
  <c r="AS1430" i="4"/>
  <c r="AX32" i="62"/>
  <c r="BQ1526" i="4"/>
  <c r="AL1430" i="4"/>
  <c r="AZ1430" i="4"/>
  <c r="CL33" i="62"/>
  <c r="AW1526" i="4"/>
  <c r="BT1393" i="4"/>
  <c r="AG33" i="62"/>
  <c r="BB33" i="62"/>
  <c r="AS1526" i="4"/>
  <c r="BD33" i="62"/>
  <c r="AU32" i="62"/>
  <c r="CB1526" i="4"/>
  <c r="BH1526" i="4"/>
  <c r="BR1430" i="4"/>
  <c r="BU33" i="62"/>
  <c r="AT32" i="62"/>
  <c r="CF1526" i="4"/>
  <c r="BY1526" i="4"/>
  <c r="BM33" i="62"/>
  <c r="BH1393" i="4"/>
  <c r="BO32" i="62"/>
  <c r="BA1526" i="4"/>
  <c r="BH33" i="62"/>
  <c r="BJ1526" i="4"/>
  <c r="BI1430" i="4"/>
  <c r="BW32" i="62"/>
  <c r="BQ33" i="62"/>
  <c r="CO33" i="62"/>
  <c r="CM1526" i="4"/>
  <c r="CG33" i="62"/>
  <c r="BI33" i="62"/>
  <c r="CK1430" i="4"/>
  <c r="BJ32" i="62"/>
  <c r="AO32" i="62"/>
  <c r="BF33" i="62"/>
  <c r="CK1526" i="4"/>
  <c r="BI32" i="62"/>
  <c r="CJ1526" i="4"/>
  <c r="CA1393" i="4"/>
  <c r="BF32" i="62"/>
  <c r="BN1393" i="4"/>
  <c r="BO1526" i="4"/>
  <c r="CN32" i="62"/>
  <c r="CI1393" i="4"/>
  <c r="AY1430" i="4"/>
  <c r="BZ1526" i="4"/>
  <c r="AU1430" i="4"/>
  <c r="G158" i="15"/>
  <c r="CO17" i="4"/>
  <c r="CO19" i="4"/>
  <c r="CO20" i="4" s="1"/>
  <c r="G20" i="4" s="1"/>
  <c r="AH42" i="13"/>
  <c r="AH25" i="13"/>
  <c r="AI41" i="13"/>
  <c r="AI25" i="13"/>
  <c r="AJ40" i="13"/>
  <c r="AI45" i="13"/>
  <c r="AJ23" i="13"/>
  <c r="AH38" i="13"/>
  <c r="AG38" i="13"/>
  <c r="AJ39" i="13"/>
  <c r="AG40" i="13"/>
  <c r="AK47" i="13"/>
  <c r="AG45" i="13"/>
  <c r="AH24" i="13"/>
  <c r="AG13" i="13"/>
  <c r="AI38" i="13"/>
  <c r="AJ13" i="13"/>
  <c r="AK39" i="13"/>
  <c r="AJ47" i="13"/>
  <c r="AI47" i="13"/>
  <c r="AG23" i="13"/>
  <c r="AH47" i="13"/>
  <c r="AG47" i="13"/>
  <c r="AH15" i="13"/>
  <c r="AG12" i="13"/>
  <c r="AJ24" i="13"/>
  <c r="AI15" i="13"/>
  <c r="AG42" i="13"/>
  <c r="AK42" i="13"/>
  <c r="AK24" i="13"/>
  <c r="AJ38" i="13"/>
  <c r="AK38" i="13"/>
  <c r="AK15" i="13"/>
  <c r="AH12" i="13"/>
  <c r="AJ25" i="13"/>
  <c r="AI24" i="13"/>
  <c r="AI23" i="13"/>
  <c r="AI42" i="13"/>
  <c r="AI40" i="13"/>
  <c r="AI14" i="13"/>
  <c r="AH23" i="13"/>
  <c r="AK14" i="13"/>
  <c r="AK45" i="13"/>
  <c r="AJ42" i="13"/>
  <c r="AG15" i="13"/>
  <c r="AG14" i="13"/>
  <c r="AJ14" i="13"/>
  <c r="AI12" i="13"/>
  <c r="AH41" i="13"/>
  <c r="AH14" i="13"/>
  <c r="AK13" i="13"/>
  <c r="AH40" i="13"/>
  <c r="AH39" i="13"/>
  <c r="AK12" i="13"/>
  <c r="AK40" i="13"/>
  <c r="AH13" i="13"/>
  <c r="AK23" i="13"/>
  <c r="AG39" i="13"/>
  <c r="AG41" i="13"/>
  <c r="AJ12" i="13"/>
  <c r="AI13" i="13"/>
  <c r="AI39" i="13"/>
  <c r="AK25" i="13"/>
  <c r="AG24" i="13"/>
  <c r="AJ45" i="13"/>
  <c r="AK41" i="13"/>
  <c r="AJ15" i="13"/>
  <c r="AJ41" i="13"/>
  <c r="AH45" i="13"/>
  <c r="AG25" i="13"/>
  <c r="G159" i="15"/>
  <c r="CN61" i="4"/>
  <c r="I29" i="4"/>
  <c r="CO61" i="4"/>
  <c r="CO28" i="66"/>
  <c r="CO1263" i="4"/>
  <c r="I1263" i="4" s="1"/>
  <c r="CO295" i="4"/>
  <c r="CO27" i="66"/>
  <c r="CO1151" i="4"/>
  <c r="CO60" i="4"/>
  <c r="I28" i="4"/>
  <c r="I30" i="4"/>
  <c r="CO62" i="4"/>
  <c r="G62" i="4" s="1"/>
  <c r="CO543" i="4"/>
  <c r="CO530" i="4"/>
  <c r="CO63" i="4"/>
  <c r="CO70" i="4"/>
  <c r="G70" i="4" s="1"/>
  <c r="CN63" i="4"/>
  <c r="CN1389" i="4" s="1"/>
  <c r="CO824" i="4"/>
  <c r="CO54" i="11"/>
  <c r="CN200" i="4"/>
  <c r="G139" i="15"/>
  <c r="I128" i="4" l="1"/>
  <c r="AF54" i="67"/>
  <c r="CO226" i="4"/>
  <c r="I226" i="4" s="1"/>
  <c r="CO24" i="4"/>
  <c r="CO88" i="4" s="1"/>
  <c r="CI956" i="4"/>
  <c r="CJ754" i="4"/>
  <c r="CF1118" i="4"/>
  <c r="CF33" i="66"/>
  <c r="CF32" i="66" s="1"/>
  <c r="CF1291" i="4"/>
  <c r="CF81" i="11"/>
  <c r="CF82" i="11" s="1"/>
  <c r="CF1387" i="4" s="1"/>
  <c r="CF65" i="62"/>
  <c r="CF1318" i="4"/>
  <c r="CK1109" i="4"/>
  <c r="CK1110" i="4" s="1"/>
  <c r="CK1111" i="4" s="1"/>
  <c r="CK985" i="4" s="1"/>
  <c r="CK939" i="4"/>
  <c r="CK936" i="4"/>
  <c r="CK953" i="4"/>
  <c r="CK895" i="4"/>
  <c r="CK973" i="4" s="1"/>
  <c r="CK296" i="4" s="1"/>
  <c r="CK955" i="4"/>
  <c r="CK952" i="4"/>
  <c r="CL79" i="4"/>
  <c r="CK937" i="4"/>
  <c r="CK954" i="4"/>
  <c r="CK948" i="4"/>
  <c r="CK946" i="4"/>
  <c r="CK951" i="4"/>
  <c r="CK938" i="4"/>
  <c r="CK947" i="4"/>
  <c r="CK744" i="4"/>
  <c r="CK743" i="4"/>
  <c r="CK745" i="4"/>
  <c r="CI210" i="4"/>
  <c r="CI204" i="4"/>
  <c r="CI166" i="4"/>
  <c r="CI207" i="4"/>
  <c r="CI269" i="4" s="1"/>
  <c r="CI283" i="4" s="1"/>
  <c r="CI162" i="4"/>
  <c r="CI169" i="4"/>
  <c r="CJ85" i="4"/>
  <c r="CI208" i="4"/>
  <c r="CI174" i="4"/>
  <c r="CI161" i="4"/>
  <c r="CI175" i="4"/>
  <c r="CI159" i="4"/>
  <c r="CI257" i="4"/>
  <c r="CI234" i="4"/>
  <c r="CI233" i="4"/>
  <c r="CI231" i="4"/>
  <c r="CI205" i="4"/>
  <c r="CI209" i="4"/>
  <c r="CI173" i="4"/>
  <c r="CI167" i="4"/>
  <c r="CI232" i="4"/>
  <c r="CI254" i="4"/>
  <c r="CI256" i="4"/>
  <c r="CI168" i="4"/>
  <c r="CI206" i="4"/>
  <c r="CI211" i="4"/>
  <c r="CI160" i="4"/>
  <c r="CI176" i="4"/>
  <c r="CI255" i="4"/>
  <c r="CH271" i="4"/>
  <c r="CH285" i="4" s="1"/>
  <c r="CH258" i="4"/>
  <c r="CJ746" i="4"/>
  <c r="CH170" i="4"/>
  <c r="CH266" i="4"/>
  <c r="CH280" i="4" s="1"/>
  <c r="CH265" i="4"/>
  <c r="CH163" i="4"/>
  <c r="CG334" i="4"/>
  <c r="CG1037" i="4" s="1"/>
  <c r="CG276" i="4"/>
  <c r="CG279" i="4"/>
  <c r="CG289" i="4" s="1"/>
  <c r="CJ943" i="4"/>
  <c r="CJ941" i="4"/>
  <c r="CJ942" i="4"/>
  <c r="CJ940" i="4"/>
  <c r="CG260" i="4"/>
  <c r="CH267" i="4"/>
  <c r="CH281" i="4" s="1"/>
  <c r="CH177" i="4"/>
  <c r="CH212" i="4"/>
  <c r="CH268" i="4"/>
  <c r="CH282" i="4" s="1"/>
  <c r="CH270" i="4"/>
  <c r="CH284" i="4" s="1"/>
  <c r="CH235" i="4"/>
  <c r="CO1173" i="4"/>
  <c r="CO1177" i="4" s="1"/>
  <c r="CO1494" i="4" s="1"/>
  <c r="CO15" i="66"/>
  <c r="I15" i="66" s="1"/>
  <c r="CO1036" i="4"/>
  <c r="I1036" i="4" s="1"/>
  <c r="I335" i="4"/>
  <c r="I140" i="4"/>
  <c r="CO32" i="4"/>
  <c r="G32" i="4" s="1"/>
  <c r="CO540" i="4"/>
  <c r="CO198" i="4"/>
  <c r="I198" i="4" s="1"/>
  <c r="CO34" i="4"/>
  <c r="G34" i="4" s="1"/>
  <c r="CM82" i="67"/>
  <c r="I58" i="4"/>
  <c r="CO318" i="4"/>
  <c r="G61" i="4"/>
  <c r="G63" i="4"/>
  <c r="I60" i="4"/>
  <c r="G60" i="4"/>
  <c r="CO33" i="4"/>
  <c r="G33" i="4" s="1"/>
  <c r="CO54" i="4"/>
  <c r="G54" i="4" s="1"/>
  <c r="G57" i="4"/>
  <c r="CO1042" i="4"/>
  <c r="G67" i="4"/>
  <c r="I824" i="4"/>
  <c r="G824" i="4"/>
  <c r="G53" i="4"/>
  <c r="G1185" i="4"/>
  <c r="CO35" i="4"/>
  <c r="G35" i="4" s="1"/>
  <c r="I248" i="4"/>
  <c r="CO37" i="4"/>
  <c r="CO36" i="4"/>
  <c r="G36" i="4" s="1"/>
  <c r="CO153" i="4"/>
  <c r="CO154" i="4" s="1"/>
  <c r="I154" i="4" s="1"/>
  <c r="I155" i="4" s="1"/>
  <c r="CO78" i="4"/>
  <c r="CO76" i="4"/>
  <c r="CO77" i="4" s="1"/>
  <c r="CO9" i="11"/>
  <c r="CO22" i="4"/>
  <c r="G22" i="4" s="1"/>
  <c r="CN737" i="4"/>
  <c r="CO642" i="3"/>
  <c r="CO688" i="4" s="1"/>
  <c r="I54" i="11"/>
  <c r="N54" i="67"/>
  <c r="O54" i="67"/>
  <c r="P54" i="67"/>
  <c r="Q54" i="67"/>
  <c r="R54" i="67"/>
  <c r="S54" i="67"/>
  <c r="T54" i="67"/>
  <c r="U54" i="67"/>
  <c r="V54" i="67"/>
  <c r="W54" i="67"/>
  <c r="X54" i="67"/>
  <c r="Y54" i="67"/>
  <c r="AA54" i="67"/>
  <c r="AB54" i="67"/>
  <c r="AC54" i="67"/>
  <c r="AD54" i="67"/>
  <c r="CO9" i="64"/>
  <c r="CO9" i="3"/>
  <c r="CO9" i="66"/>
  <c r="CM739" i="4"/>
  <c r="I197" i="4"/>
  <c r="I295" i="4"/>
  <c r="CO303" i="4"/>
  <c r="CM1534" i="4"/>
  <c r="CM1529" i="4"/>
  <c r="BH1534" i="4"/>
  <c r="BH1529" i="4"/>
  <c r="AW1534" i="4"/>
  <c r="AW1529" i="4"/>
  <c r="BC1529" i="4"/>
  <c r="BC1534" i="4"/>
  <c r="AT1529" i="4"/>
  <c r="AT1534" i="4"/>
  <c r="L1168" i="4"/>
  <c r="I249" i="4"/>
  <c r="CO528" i="4"/>
  <c r="I62" i="4"/>
  <c r="CK1529" i="4"/>
  <c r="CK1534" i="4"/>
  <c r="CB1529" i="4"/>
  <c r="CB1534" i="4"/>
  <c r="BB1529" i="4"/>
  <c r="BB1534" i="4"/>
  <c r="BX1534" i="4"/>
  <c r="BX1529" i="4"/>
  <c r="AP1534" i="4"/>
  <c r="AP1529" i="4"/>
  <c r="CE1529" i="4"/>
  <c r="CE1534" i="4"/>
  <c r="AH1534" i="4"/>
  <c r="AH1529" i="4"/>
  <c r="BR1529" i="4"/>
  <c r="BR1534" i="4"/>
  <c r="CO1534" i="4"/>
  <c r="CO1529" i="4"/>
  <c r="AQ1529" i="4"/>
  <c r="AQ1534" i="4"/>
  <c r="I192" i="4"/>
  <c r="I329" i="4"/>
  <c r="CO414" i="4"/>
  <c r="AJ18" i="13"/>
  <c r="AJ17" i="13"/>
  <c r="AI43" i="13"/>
  <c r="AI49" i="13" s="1"/>
  <c r="AG43" i="13"/>
  <c r="AG49" i="13" s="1"/>
  <c r="BD1534" i="4"/>
  <c r="BD1529" i="4"/>
  <c r="AN1534" i="4"/>
  <c r="AN1529" i="4"/>
  <c r="AK1534" i="4"/>
  <c r="AK1529" i="4"/>
  <c r="AR1529" i="4"/>
  <c r="AR1534" i="4"/>
  <c r="AU1529" i="4"/>
  <c r="AU1534" i="4"/>
  <c r="I53" i="4"/>
  <c r="AI17" i="13"/>
  <c r="AI18" i="13"/>
  <c r="AH17" i="13"/>
  <c r="AH18" i="13"/>
  <c r="BO1534" i="4"/>
  <c r="BO1529" i="4"/>
  <c r="BY1529" i="4"/>
  <c r="BY1534" i="4"/>
  <c r="CL1534" i="4"/>
  <c r="CL1529" i="4"/>
  <c r="BT1529" i="4"/>
  <c r="BT1534" i="4"/>
  <c r="CH1534" i="4"/>
  <c r="CH1529" i="4"/>
  <c r="AM1529" i="4"/>
  <c r="AM1534" i="4"/>
  <c r="CG1529" i="4"/>
  <c r="CG1534" i="4"/>
  <c r="AJ1529" i="4"/>
  <c r="AJ1534" i="4"/>
  <c r="CO83" i="4"/>
  <c r="CO84" i="4" s="1"/>
  <c r="I1242" i="4"/>
  <c r="I63" i="4"/>
  <c r="I141" i="4"/>
  <c r="CO60" i="62"/>
  <c r="I57" i="4"/>
  <c r="CO9" i="4"/>
  <c r="CN736" i="4"/>
  <c r="AK17" i="13"/>
  <c r="AK18" i="13"/>
  <c r="AH43" i="13"/>
  <c r="AH49" i="13" s="1"/>
  <c r="CF1534" i="4"/>
  <c r="CF1529" i="4"/>
  <c r="AS1529" i="4"/>
  <c r="AS1534" i="4"/>
  <c r="BQ1529" i="4"/>
  <c r="BQ1534" i="4"/>
  <c r="BP1534" i="4"/>
  <c r="BP1529" i="4"/>
  <c r="AY1529" i="4"/>
  <c r="AY1534" i="4"/>
  <c r="CI1534" i="4"/>
  <c r="CI1529" i="4"/>
  <c r="CN1529" i="4"/>
  <c r="CN1534" i="4"/>
  <c r="CD1534" i="4"/>
  <c r="CD1529" i="4"/>
  <c r="BU1529" i="4"/>
  <c r="BU1534" i="4"/>
  <c r="I223" i="4"/>
  <c r="AG17" i="13"/>
  <c r="AG18" i="13"/>
  <c r="BJ1529" i="4"/>
  <c r="BJ1534" i="4"/>
  <c r="BE1529" i="4"/>
  <c r="BE1534" i="4"/>
  <c r="AV1534" i="4"/>
  <c r="AV1529" i="4"/>
  <c r="BN1534" i="4"/>
  <c r="BN1529" i="4"/>
  <c r="BF1534" i="4"/>
  <c r="BF1529" i="4"/>
  <c r="BG1534" i="4"/>
  <c r="BG1529" i="4"/>
  <c r="AO1534" i="4"/>
  <c r="AO1529" i="4"/>
  <c r="BI1534" i="4"/>
  <c r="BI1529" i="4"/>
  <c r="AL1534" i="4"/>
  <c r="AL1529" i="4"/>
  <c r="CC1529" i="4"/>
  <c r="CC1534" i="4"/>
  <c r="I129" i="4"/>
  <c r="CO130" i="4"/>
  <c r="I130" i="4" s="1"/>
  <c r="I126" i="4"/>
  <c r="CN318" i="4"/>
  <c r="I61" i="4"/>
  <c r="AK43" i="13"/>
  <c r="AK49" i="13" s="1"/>
  <c r="AI1529" i="4"/>
  <c r="AI1534" i="4"/>
  <c r="AG1534" i="4"/>
  <c r="AG1529" i="4"/>
  <c r="BW1534" i="4"/>
  <c r="BW1529" i="4"/>
  <c r="AZ1529" i="4"/>
  <c r="AZ1534" i="4"/>
  <c r="BV1529" i="4"/>
  <c r="BV1534" i="4"/>
  <c r="I138" i="4"/>
  <c r="CO142" i="4"/>
  <c r="I142" i="4" s="1"/>
  <c r="AJ43" i="13"/>
  <c r="AJ49" i="13" s="1"/>
  <c r="BZ1534" i="4"/>
  <c r="BZ1529" i="4"/>
  <c r="CJ1534" i="4"/>
  <c r="CJ1529" i="4"/>
  <c r="BA1529" i="4"/>
  <c r="BA1534" i="4"/>
  <c r="AX1534" i="4"/>
  <c r="AX1529" i="4"/>
  <c r="BL1534" i="4"/>
  <c r="BL1529" i="4"/>
  <c r="BK1534" i="4"/>
  <c r="BK1529" i="4"/>
  <c r="CA1529" i="4"/>
  <c r="CA1534" i="4"/>
  <c r="BS1529" i="4"/>
  <c r="BS1534" i="4"/>
  <c r="BM1534" i="4"/>
  <c r="BM1529" i="4"/>
  <c r="CO250" i="4"/>
  <c r="I250" i="4" s="1"/>
  <c r="I251" i="4" s="1"/>
  <c r="I246" i="4"/>
  <c r="I150" i="4"/>
  <c r="CO34" i="66"/>
  <c r="I34" i="66" s="1"/>
  <c r="CO287" i="4"/>
  <c r="CO324" i="4" s="1"/>
  <c r="CO1260" i="4" l="1"/>
  <c r="E1376" i="4"/>
  <c r="AF9" i="67"/>
  <c r="L9" i="72"/>
  <c r="CO227" i="4"/>
  <c r="I227" i="4" s="1"/>
  <c r="I228" i="4" s="1"/>
  <c r="CO41" i="4"/>
  <c r="G41" i="4" s="1"/>
  <c r="I32" i="4"/>
  <c r="CO39" i="4"/>
  <c r="G39" i="4" s="1"/>
  <c r="CO199" i="4"/>
  <c r="CO200" i="4" s="1"/>
  <c r="I200" i="4" s="1"/>
  <c r="I201" i="4" s="1"/>
  <c r="CJ956" i="4"/>
  <c r="CJ209" i="4"/>
  <c r="CJ205" i="4"/>
  <c r="CJ257" i="4"/>
  <c r="CJ173" i="4"/>
  <c r="CJ206" i="4"/>
  <c r="CK85" i="4"/>
  <c r="CJ210" i="4"/>
  <c r="CJ174" i="4"/>
  <c r="CJ255" i="4"/>
  <c r="CJ232" i="4"/>
  <c r="CJ231" i="4"/>
  <c r="CJ256" i="4"/>
  <c r="CJ167" i="4"/>
  <c r="CJ207" i="4"/>
  <c r="CJ269" i="4" s="1"/>
  <c r="CJ283" i="4" s="1"/>
  <c r="CJ208" i="4"/>
  <c r="CJ159" i="4"/>
  <c r="CJ233" i="4"/>
  <c r="CJ169" i="4"/>
  <c r="CJ204" i="4"/>
  <c r="CJ166" i="4"/>
  <c r="CJ234" i="4"/>
  <c r="CJ175" i="4"/>
  <c r="CJ161" i="4"/>
  <c r="CJ160" i="4"/>
  <c r="CJ162" i="4"/>
  <c r="CJ176" i="4"/>
  <c r="CJ211" i="4"/>
  <c r="CJ254" i="4"/>
  <c r="CJ168" i="4"/>
  <c r="CK754" i="4"/>
  <c r="CK746" i="4"/>
  <c r="CI258" i="4"/>
  <c r="CI271" i="4"/>
  <c r="CI285" i="4" s="1"/>
  <c r="CL1109" i="4"/>
  <c r="CL1110" i="4" s="1"/>
  <c r="CL1111" i="4" s="1"/>
  <c r="CL985" i="4" s="1"/>
  <c r="CL954" i="4"/>
  <c r="CL937" i="4"/>
  <c r="CM79" i="4"/>
  <c r="CL948" i="4"/>
  <c r="CL939" i="4"/>
  <c r="CL895" i="4"/>
  <c r="CL973" i="4" s="1"/>
  <c r="CL296" i="4" s="1"/>
  <c r="CL947" i="4"/>
  <c r="CL952" i="4"/>
  <c r="CL936" i="4"/>
  <c r="CL938" i="4"/>
  <c r="CL955" i="4"/>
  <c r="CL953" i="4"/>
  <c r="CL951" i="4"/>
  <c r="CL946" i="4"/>
  <c r="CL743" i="4"/>
  <c r="CL744" i="4"/>
  <c r="CL745" i="4"/>
  <c r="CH260" i="4"/>
  <c r="CI265" i="4"/>
  <c r="CI163" i="4"/>
  <c r="CH334" i="4"/>
  <c r="CH1037" i="4" s="1"/>
  <c r="CH276" i="4"/>
  <c r="CH279" i="4"/>
  <c r="CH289" i="4" s="1"/>
  <c r="CI177" i="4"/>
  <c r="CI267" i="4"/>
  <c r="CI281" i="4" s="1"/>
  <c r="CI170" i="4"/>
  <c r="CI266" i="4"/>
  <c r="CI280" i="4" s="1"/>
  <c r="CI268" i="4"/>
  <c r="CI282" i="4" s="1"/>
  <c r="CI212" i="4"/>
  <c r="CG81" i="11"/>
  <c r="CG82" i="11" s="1"/>
  <c r="CG1387" i="4" s="1"/>
  <c r="CG1318" i="4"/>
  <c r="CG33" i="66"/>
  <c r="CG32" i="66" s="1"/>
  <c r="CG1118" i="4"/>
  <c r="CG1291" i="4"/>
  <c r="CG65" i="62"/>
  <c r="CI235" i="4"/>
  <c r="CI270" i="4"/>
  <c r="CI284" i="4" s="1"/>
  <c r="CK941" i="4"/>
  <c r="CK940" i="4"/>
  <c r="CK943" i="4"/>
  <c r="CK942" i="4"/>
  <c r="I34" i="4"/>
  <c r="I33" i="4"/>
  <c r="I36" i="4"/>
  <c r="CO43" i="4"/>
  <c r="G43" i="4" s="1"/>
  <c r="CO542" i="4"/>
  <c r="CO690" i="4" s="1"/>
  <c r="CO42" i="4"/>
  <c r="G42" i="4" s="1"/>
  <c r="CO1041" i="4"/>
  <c r="CO40" i="4"/>
  <c r="G40" i="4" s="1"/>
  <c r="I54" i="4"/>
  <c r="I131" i="4"/>
  <c r="E789" i="4"/>
  <c r="CO53" i="62"/>
  <c r="CO65" i="4"/>
  <c r="G65" i="4" s="1"/>
  <c r="I143" i="4"/>
  <c r="E790" i="4"/>
  <c r="CO44" i="4"/>
  <c r="G44" i="4" s="1"/>
  <c r="G37" i="4"/>
  <c r="CO55" i="4"/>
  <c r="I35" i="4"/>
  <c r="CN56" i="4"/>
  <c r="CO56" i="4"/>
  <c r="G318" i="4"/>
  <c r="I153" i="4"/>
  <c r="E791" i="4"/>
  <c r="I37" i="4"/>
  <c r="AJ19" i="13"/>
  <c r="I54" i="67"/>
  <c r="AG19" i="13"/>
  <c r="I41" i="4"/>
  <c r="CO48" i="4"/>
  <c r="AH19" i="13"/>
  <c r="AK19" i="13"/>
  <c r="CN738" i="4"/>
  <c r="AI19" i="13"/>
  <c r="E1377" i="4"/>
  <c r="CN328" i="4"/>
  <c r="CO328" i="4" s="1"/>
  <c r="I328" i="4" s="1"/>
  <c r="I318" i="4"/>
  <c r="CO415" i="4"/>
  <c r="I414" i="4"/>
  <c r="CO46" i="4" l="1"/>
  <c r="I39" i="4"/>
  <c r="I199" i="4"/>
  <c r="CO47" i="4"/>
  <c r="CO51" i="4"/>
  <c r="I51" i="4" s="1"/>
  <c r="I44" i="4"/>
  <c r="CK956" i="4"/>
  <c r="CL746" i="4"/>
  <c r="CL754" i="4"/>
  <c r="CL940" i="4"/>
  <c r="CL943" i="4"/>
  <c r="CL942" i="4"/>
  <c r="CL941" i="4"/>
  <c r="CJ268" i="4"/>
  <c r="CJ282" i="4" s="1"/>
  <c r="CJ212" i="4"/>
  <c r="CJ235" i="4"/>
  <c r="CJ270" i="4"/>
  <c r="CJ284" i="4" s="1"/>
  <c r="CI260" i="4"/>
  <c r="AD81" i="67" s="1"/>
  <c r="AD82" i="67" s="1"/>
  <c r="CJ265" i="4"/>
  <c r="CJ163" i="4"/>
  <c r="CI334" i="4"/>
  <c r="CI1037" i="4" s="1"/>
  <c r="CI276" i="4"/>
  <c r="CI279" i="4"/>
  <c r="CI289" i="4" s="1"/>
  <c r="CH81" i="11"/>
  <c r="CH82" i="11" s="1"/>
  <c r="CH1387" i="4" s="1"/>
  <c r="CH1291" i="4"/>
  <c r="CH1118" i="4"/>
  <c r="CH65" i="62"/>
  <c r="CH33" i="66"/>
  <c r="CH32" i="66" s="1"/>
  <c r="CH1318" i="4"/>
  <c r="CK173" i="4"/>
  <c r="CK256" i="4"/>
  <c r="CK175" i="4"/>
  <c r="CK257" i="4"/>
  <c r="CK169" i="4"/>
  <c r="CK205" i="4"/>
  <c r="CK167" i="4"/>
  <c r="CK160" i="4"/>
  <c r="CK209" i="4"/>
  <c r="CK174" i="4"/>
  <c r="CK207" i="4"/>
  <c r="CK269" i="4" s="1"/>
  <c r="CK283" i="4" s="1"/>
  <c r="CK231" i="4"/>
  <c r="CK254" i="4"/>
  <c r="CL85" i="4"/>
  <c r="CK161" i="4"/>
  <c r="CK166" i="4"/>
  <c r="CK206" i="4"/>
  <c r="CK176" i="4"/>
  <c r="CK210" i="4"/>
  <c r="CK162" i="4"/>
  <c r="CK255" i="4"/>
  <c r="CK211" i="4"/>
  <c r="CK232" i="4"/>
  <c r="CK204" i="4"/>
  <c r="CK159" i="4"/>
  <c r="CK168" i="4"/>
  <c r="CK234" i="4"/>
  <c r="CK233" i="4"/>
  <c r="CK208" i="4"/>
  <c r="CM1109" i="4"/>
  <c r="CM1110" i="4" s="1"/>
  <c r="CM1111" i="4" s="1"/>
  <c r="CM952" i="4"/>
  <c r="CM954" i="4"/>
  <c r="CM939" i="4"/>
  <c r="CM955" i="4"/>
  <c r="CM948" i="4"/>
  <c r="CM946" i="4"/>
  <c r="CM951" i="4"/>
  <c r="CM895" i="4"/>
  <c r="CM973" i="4" s="1"/>
  <c r="CM296" i="4" s="1"/>
  <c r="CM953" i="4"/>
  <c r="CM947" i="4"/>
  <c r="CM938" i="4"/>
  <c r="CM937" i="4"/>
  <c r="CM936" i="4"/>
  <c r="CN79" i="4"/>
  <c r="CM744" i="4"/>
  <c r="CM743" i="4"/>
  <c r="CM745" i="4"/>
  <c r="CJ271" i="4"/>
  <c r="CJ258" i="4"/>
  <c r="CJ266" i="4"/>
  <c r="CJ170" i="4"/>
  <c r="CJ267" i="4"/>
  <c r="CJ177" i="4"/>
  <c r="CO50" i="4"/>
  <c r="G50" i="4" s="1"/>
  <c r="I40" i="4"/>
  <c r="I43" i="4"/>
  <c r="CO544" i="4"/>
  <c r="I42" i="4"/>
  <c r="CO49" i="4"/>
  <c r="G49" i="4" s="1"/>
  <c r="I56" i="4"/>
  <c r="I48" i="4"/>
  <c r="G48" i="4"/>
  <c r="G56" i="4"/>
  <c r="I47" i="4"/>
  <c r="G47" i="4"/>
  <c r="I46" i="4"/>
  <c r="G46" i="4"/>
  <c r="G55" i="4"/>
  <c r="I55" i="4"/>
  <c r="CN739" i="4"/>
  <c r="G51" i="4" l="1"/>
  <c r="CL956" i="4"/>
  <c r="CM746" i="4"/>
  <c r="CO713" i="4"/>
  <c r="CO731" i="4" s="1"/>
  <c r="I50" i="4"/>
  <c r="CJ285" i="4"/>
  <c r="CM754" i="4"/>
  <c r="CK265" i="4"/>
  <c r="CK163" i="4"/>
  <c r="CK267" i="4"/>
  <c r="CK281" i="4" s="1"/>
  <c r="CK177" i="4"/>
  <c r="CJ276" i="4"/>
  <c r="CJ334" i="4"/>
  <c r="CJ1037" i="4" s="1"/>
  <c r="CK212" i="4"/>
  <c r="CK268" i="4"/>
  <c r="CK282" i="4" s="1"/>
  <c r="CK266" i="4"/>
  <c r="CK280" i="4" s="1"/>
  <c r="CK170" i="4"/>
  <c r="CI1318" i="4"/>
  <c r="CI1118" i="4"/>
  <c r="CI1291" i="4"/>
  <c r="CI33" i="66"/>
  <c r="CI32" i="66" s="1"/>
  <c r="CI65" i="62"/>
  <c r="CI81" i="11"/>
  <c r="CI82" i="11" s="1"/>
  <c r="CI1387" i="4" s="1"/>
  <c r="CM985" i="4"/>
  <c r="CL207" i="4"/>
  <c r="CL174" i="4"/>
  <c r="CL206" i="4"/>
  <c r="CL173" i="4"/>
  <c r="CM85" i="4"/>
  <c r="CL256" i="4"/>
  <c r="CL162" i="4"/>
  <c r="CL231" i="4"/>
  <c r="CL254" i="4"/>
  <c r="CL232" i="4"/>
  <c r="CL166" i="4"/>
  <c r="CL210" i="4"/>
  <c r="CL204" i="4"/>
  <c r="CL159" i="4"/>
  <c r="CL209" i="4"/>
  <c r="CL208" i="4"/>
  <c r="CL234" i="4"/>
  <c r="CL167" i="4"/>
  <c r="CL161" i="4"/>
  <c r="CL175" i="4"/>
  <c r="CL176" i="4"/>
  <c r="CL160" i="4"/>
  <c r="CL168" i="4"/>
  <c r="CL257" i="4"/>
  <c r="CL211" i="4"/>
  <c r="CL169" i="4"/>
  <c r="CL255" i="4"/>
  <c r="CL205" i="4"/>
  <c r="CL233" i="4"/>
  <c r="CJ281" i="4"/>
  <c r="CN1109" i="4"/>
  <c r="CN1110" i="4" s="1"/>
  <c r="CN1111" i="4" s="1"/>
  <c r="CN985" i="4" s="1"/>
  <c r="CN938" i="4"/>
  <c r="CN946" i="4"/>
  <c r="CN895" i="4"/>
  <c r="CN973" i="4" s="1"/>
  <c r="CN296" i="4" s="1"/>
  <c r="CN936" i="4"/>
  <c r="CN939" i="4"/>
  <c r="CN951" i="4"/>
  <c r="CN955" i="4"/>
  <c r="CN952" i="4"/>
  <c r="CN954" i="4"/>
  <c r="CN948" i="4"/>
  <c r="CO79" i="4"/>
  <c r="CO895" i="4" s="1"/>
  <c r="CO973" i="4" s="1"/>
  <c r="CN947" i="4"/>
  <c r="CN937" i="4"/>
  <c r="CN953" i="4"/>
  <c r="CN743" i="4"/>
  <c r="CN744" i="4"/>
  <c r="CN745" i="4"/>
  <c r="CK258" i="4"/>
  <c r="CK271" i="4"/>
  <c r="CK285" i="4" s="1"/>
  <c r="CM940" i="4"/>
  <c r="CM943" i="4"/>
  <c r="CM941" i="4"/>
  <c r="CM942" i="4"/>
  <c r="CK270" i="4"/>
  <c r="CK284" i="4" s="1"/>
  <c r="CK235" i="4"/>
  <c r="CJ279" i="4"/>
  <c r="CJ280" i="4"/>
  <c r="CJ260" i="4"/>
  <c r="I49" i="4"/>
  <c r="BQ795" i="4"/>
  <c r="CO714" i="4" l="1"/>
  <c r="CO721" i="4" s="1"/>
  <c r="CO732" i="4"/>
  <c r="CM956" i="4"/>
  <c r="CN754" i="4"/>
  <c r="CN746" i="4"/>
  <c r="CL265" i="4"/>
  <c r="CL163" i="4"/>
  <c r="CL212" i="4"/>
  <c r="CL268" i="4"/>
  <c r="CM210" i="4"/>
  <c r="CM209" i="4"/>
  <c r="CM206" i="4"/>
  <c r="CM255" i="4"/>
  <c r="CM168" i="4"/>
  <c r="CM167" i="4"/>
  <c r="CM159" i="4"/>
  <c r="CM207" i="4"/>
  <c r="CM269" i="4" s="1"/>
  <c r="CM233" i="4"/>
  <c r="CM257" i="4"/>
  <c r="CM234" i="4"/>
  <c r="CM175" i="4"/>
  <c r="CM161" i="4"/>
  <c r="CM169" i="4"/>
  <c r="CM204" i="4"/>
  <c r="CM162" i="4"/>
  <c r="CM256" i="4"/>
  <c r="CM231" i="4"/>
  <c r="CM160" i="4"/>
  <c r="CM173" i="4"/>
  <c r="CM176" i="4"/>
  <c r="CM208" i="4"/>
  <c r="CM166" i="4"/>
  <c r="CM174" i="4"/>
  <c r="CN85" i="4"/>
  <c r="CM254" i="4"/>
  <c r="CM211" i="4"/>
  <c r="CM205" i="4"/>
  <c r="CM232" i="4"/>
  <c r="CN940" i="4"/>
  <c r="CN943" i="4"/>
  <c r="CN942" i="4"/>
  <c r="CN941" i="4"/>
  <c r="CL177" i="4"/>
  <c r="CL267" i="4"/>
  <c r="CJ289" i="4"/>
  <c r="CO1109" i="4"/>
  <c r="CO1110" i="4" s="1"/>
  <c r="CO1111" i="4" s="1"/>
  <c r="CO947" i="4"/>
  <c r="I947" i="4" s="1"/>
  <c r="CO954" i="4"/>
  <c r="I954" i="4" s="1"/>
  <c r="CO938" i="4"/>
  <c r="I938" i="4" s="1"/>
  <c r="CO939" i="4"/>
  <c r="I939" i="4" s="1"/>
  <c r="CO937" i="4"/>
  <c r="I937" i="4" s="1"/>
  <c r="CO953" i="4"/>
  <c r="I953" i="4" s="1"/>
  <c r="CO952" i="4"/>
  <c r="I952" i="4" s="1"/>
  <c r="CO936" i="4"/>
  <c r="CO955" i="4"/>
  <c r="I955" i="4" s="1"/>
  <c r="CO948" i="4"/>
  <c r="I948" i="4" s="1"/>
  <c r="CO951" i="4"/>
  <c r="I951" i="4" s="1"/>
  <c r="CO946" i="4"/>
  <c r="I946" i="4" s="1"/>
  <c r="CL266" i="4"/>
  <c r="CL170" i="4"/>
  <c r="CK260" i="4"/>
  <c r="CL258" i="4"/>
  <c r="CL271" i="4"/>
  <c r="CL269" i="4"/>
  <c r="CK276" i="4"/>
  <c r="CK334" i="4"/>
  <c r="CK1037" i="4" s="1"/>
  <c r="CK279" i="4"/>
  <c r="CK289" i="4" s="1"/>
  <c r="CJ1291" i="4"/>
  <c r="CJ1318" i="4"/>
  <c r="CJ1118" i="4"/>
  <c r="CJ65" i="62"/>
  <c r="CJ33" i="66"/>
  <c r="CJ32" i="66" s="1"/>
  <c r="CJ81" i="11"/>
  <c r="CJ82" i="11" s="1"/>
  <c r="CJ1387" i="4" s="1"/>
  <c r="CL270" i="4"/>
  <c r="CL235" i="4"/>
  <c r="I895" i="4"/>
  <c r="CO296" i="4"/>
  <c r="I973" i="4"/>
  <c r="BV795" i="4"/>
  <c r="BZ795" i="4"/>
  <c r="AZ795" i="4"/>
  <c r="Y795" i="4"/>
  <c r="BC795" i="4"/>
  <c r="AK795" i="4"/>
  <c r="BP795" i="4"/>
  <c r="CG795" i="4"/>
  <c r="BH795" i="4"/>
  <c r="CL795" i="4"/>
  <c r="BF795" i="4"/>
  <c r="CN795" i="4"/>
  <c r="AV795" i="4"/>
  <c r="S795" i="4"/>
  <c r="CI795" i="4"/>
  <c r="L795" i="4"/>
  <c r="AP795" i="4"/>
  <c r="BA795" i="4"/>
  <c r="AT795" i="4"/>
  <c r="BR795" i="4"/>
  <c r="CA795" i="4"/>
  <c r="AA795" i="4"/>
  <c r="AM795" i="4"/>
  <c r="BD795" i="4"/>
  <c r="AG795" i="4"/>
  <c r="M795" i="4"/>
  <c r="BX795" i="4"/>
  <c r="BJ795" i="4"/>
  <c r="BG795" i="4"/>
  <c r="CJ795" i="4"/>
  <c r="AC795" i="4"/>
  <c r="AJ795" i="4"/>
  <c r="BW795" i="4"/>
  <c r="CB795" i="4"/>
  <c r="AQ795" i="4"/>
  <c r="BK795" i="4"/>
  <c r="Q795" i="4"/>
  <c r="BI795" i="4"/>
  <c r="CC795" i="4"/>
  <c r="BY795" i="4"/>
  <c r="AF795" i="4"/>
  <c r="BU795" i="4"/>
  <c r="AE795" i="4"/>
  <c r="CO795" i="4"/>
  <c r="AR795" i="4"/>
  <c r="AS795" i="4"/>
  <c r="BS795" i="4"/>
  <c r="AW795" i="4"/>
  <c r="V795" i="4"/>
  <c r="BT795" i="4"/>
  <c r="AY795" i="4"/>
  <c r="AD795" i="4"/>
  <c r="AU795" i="4"/>
  <c r="AB795" i="4"/>
  <c r="AX795" i="4"/>
  <c r="AH795" i="4"/>
  <c r="BN795" i="4"/>
  <c r="P795" i="4"/>
  <c r="O795" i="4"/>
  <c r="R795" i="4"/>
  <c r="AL795" i="4"/>
  <c r="CH795" i="4"/>
  <c r="BO795" i="4"/>
  <c r="X795" i="4"/>
  <c r="N795" i="4"/>
  <c r="CF795" i="4"/>
  <c r="AO795" i="4"/>
  <c r="CE795" i="4"/>
  <c r="CM795" i="4"/>
  <c r="T795" i="4"/>
  <c r="U795" i="4"/>
  <c r="Z795" i="4"/>
  <c r="CK795" i="4"/>
  <c r="AI795" i="4"/>
  <c r="BL795" i="4"/>
  <c r="AN795" i="4"/>
  <c r="BB795" i="4"/>
  <c r="CD795" i="4"/>
  <c r="BE795" i="4"/>
  <c r="BM795" i="4"/>
  <c r="W795" i="4"/>
  <c r="CO82" i="67"/>
  <c r="BY793" i="4"/>
  <c r="BT793" i="4"/>
  <c r="CO793" i="4"/>
  <c r="L793" i="4"/>
  <c r="AW793" i="4"/>
  <c r="BA793" i="4"/>
  <c r="AT793" i="4"/>
  <c r="BV793" i="4"/>
  <c r="AM793" i="4"/>
  <c r="AB793" i="4"/>
  <c r="BO793" i="4"/>
  <c r="BH793" i="4"/>
  <c r="AL793" i="4"/>
  <c r="U793" i="4"/>
  <c r="AG793" i="4"/>
  <c r="AK793" i="4"/>
  <c r="AP793" i="4"/>
  <c r="CL793" i="4"/>
  <c r="AX793" i="4"/>
  <c r="BS793" i="4"/>
  <c r="AI793" i="4"/>
  <c r="CM793" i="4"/>
  <c r="AS793" i="4"/>
  <c r="BB793" i="4"/>
  <c r="T793" i="4"/>
  <c r="AC793" i="4"/>
  <c r="Z793" i="4"/>
  <c r="BU793" i="4"/>
  <c r="CB793" i="4"/>
  <c r="O793" i="4"/>
  <c r="W793" i="4"/>
  <c r="BE793" i="4"/>
  <c r="CJ793" i="4"/>
  <c r="AA793" i="4"/>
  <c r="BD793" i="4"/>
  <c r="R793" i="4"/>
  <c r="CD793" i="4"/>
  <c r="BL793" i="4"/>
  <c r="BI793" i="4"/>
  <c r="P793" i="4"/>
  <c r="S793" i="4"/>
  <c r="BN793" i="4"/>
  <c r="AY793" i="4"/>
  <c r="AQ793" i="4"/>
  <c r="CG793" i="4"/>
  <c r="AU793" i="4"/>
  <c r="Y793" i="4"/>
  <c r="CK793" i="4"/>
  <c r="BQ793" i="4"/>
  <c r="BZ793" i="4"/>
  <c r="M793" i="4"/>
  <c r="CH793" i="4"/>
  <c r="CF793" i="4"/>
  <c r="BW793" i="4"/>
  <c r="AO793" i="4"/>
  <c r="AR793" i="4"/>
  <c r="AV793" i="4"/>
  <c r="AH793" i="4"/>
  <c r="CA793" i="4"/>
  <c r="AZ793" i="4"/>
  <c r="CC793" i="4"/>
  <c r="V793" i="4"/>
  <c r="BJ793" i="4"/>
  <c r="X793" i="4"/>
  <c r="BP793" i="4"/>
  <c r="CI793" i="4"/>
  <c r="BM793" i="4"/>
  <c r="AJ793" i="4"/>
  <c r="Q793" i="4"/>
  <c r="BG793" i="4"/>
  <c r="BK793" i="4"/>
  <c r="AE793" i="4"/>
  <c r="N793" i="4"/>
  <c r="BC793" i="4"/>
  <c r="AD793" i="4"/>
  <c r="BF793" i="4"/>
  <c r="AN793" i="4"/>
  <c r="CN793" i="4"/>
  <c r="CE793" i="4"/>
  <c r="BX793" i="4"/>
  <c r="AF793" i="4"/>
  <c r="BR793" i="4"/>
  <c r="AO794" i="4"/>
  <c r="CH794" i="4"/>
  <c r="CJ794" i="4"/>
  <c r="CC794" i="4"/>
  <c r="O794" i="4"/>
  <c r="U794" i="4"/>
  <c r="CA794" i="4"/>
  <c r="X794" i="4"/>
  <c r="BP794" i="4"/>
  <c r="N794" i="4"/>
  <c r="AD794" i="4"/>
  <c r="CD794" i="4"/>
  <c r="AH794" i="4"/>
  <c r="BY794" i="4"/>
  <c r="CM794" i="4"/>
  <c r="BB794" i="4"/>
  <c r="CF794" i="4"/>
  <c r="BK794" i="4"/>
  <c r="L794" i="4"/>
  <c r="R794" i="4"/>
  <c r="BA794" i="4"/>
  <c r="AZ794" i="4"/>
  <c r="BR794" i="4"/>
  <c r="BO794" i="4"/>
  <c r="AX794" i="4"/>
  <c r="AY794" i="4"/>
  <c r="CL794" i="4"/>
  <c r="BX794" i="4"/>
  <c r="AI794" i="4"/>
  <c r="AB794" i="4"/>
  <c r="AS794" i="4"/>
  <c r="P794" i="4"/>
  <c r="AJ794" i="4"/>
  <c r="BH794" i="4"/>
  <c r="AC794" i="4"/>
  <c r="BZ794" i="4"/>
  <c r="BG794" i="4"/>
  <c r="BL794" i="4"/>
  <c r="T794" i="4"/>
  <c r="AQ794" i="4"/>
  <c r="V794" i="4"/>
  <c r="BN794" i="4"/>
  <c r="AM794" i="4"/>
  <c r="CN794" i="4"/>
  <c r="BS794" i="4"/>
  <c r="BC794" i="4"/>
  <c r="AU794" i="4"/>
  <c r="Z794" i="4"/>
  <c r="BE794" i="4"/>
  <c r="BD794" i="4"/>
  <c r="AA794" i="4"/>
  <c r="BJ794" i="4"/>
  <c r="BU794" i="4"/>
  <c r="CK794" i="4"/>
  <c r="AV794" i="4"/>
  <c r="BQ794" i="4"/>
  <c r="CO794" i="4"/>
  <c r="BT794" i="4"/>
  <c r="Y794" i="4"/>
  <c r="BI794" i="4"/>
  <c r="CE794" i="4"/>
  <c r="AN794" i="4"/>
  <c r="AE794" i="4"/>
  <c r="BM794" i="4"/>
  <c r="AR794" i="4"/>
  <c r="S794" i="4"/>
  <c r="BF794" i="4"/>
  <c r="W794" i="4"/>
  <c r="M794" i="4"/>
  <c r="CG794" i="4"/>
  <c r="AL794" i="4"/>
  <c r="AT794" i="4"/>
  <c r="BW794" i="4"/>
  <c r="CI794" i="4"/>
  <c r="Q794" i="4"/>
  <c r="AP794" i="4"/>
  <c r="AW794" i="4"/>
  <c r="AF794" i="4"/>
  <c r="AG794" i="4"/>
  <c r="AK794" i="4"/>
  <c r="BV794" i="4"/>
  <c r="CB794" i="4"/>
  <c r="CO722" i="4" l="1"/>
  <c r="CO737" i="4" s="1"/>
  <c r="CO744" i="4" s="1"/>
  <c r="I744" i="4" s="1"/>
  <c r="CO718" i="4"/>
  <c r="CO717" i="4"/>
  <c r="CN956" i="4"/>
  <c r="CL285" i="4"/>
  <c r="I986" i="4"/>
  <c r="CO985" i="4"/>
  <c r="I985" i="4" s="1"/>
  <c r="CL276" i="4"/>
  <c r="CL334" i="4"/>
  <c r="CL279" i="4"/>
  <c r="CK33" i="66"/>
  <c r="CK32" i="66" s="1"/>
  <c r="CK1291" i="4"/>
  <c r="CK1318" i="4"/>
  <c r="CK81" i="11"/>
  <c r="CK82" i="11" s="1"/>
  <c r="CK1387" i="4" s="1"/>
  <c r="CK1118" i="4"/>
  <c r="CK65" i="62"/>
  <c r="CL280" i="4"/>
  <c r="CM267" i="4"/>
  <c r="CM177" i="4"/>
  <c r="CL284" i="4"/>
  <c r="CM271" i="4"/>
  <c r="CM258" i="4"/>
  <c r="CM270" i="4"/>
  <c r="CM235" i="4"/>
  <c r="CL281" i="4"/>
  <c r="CN231" i="4"/>
  <c r="CN255" i="4"/>
  <c r="CN174" i="4"/>
  <c r="CN234" i="4"/>
  <c r="CN209" i="4"/>
  <c r="CO85" i="4"/>
  <c r="H350" i="3" s="1"/>
  <c r="H351" i="3" s="1"/>
  <c r="CN233" i="4"/>
  <c r="CN167" i="4"/>
  <c r="CN204" i="4"/>
  <c r="CN159" i="4"/>
  <c r="CN206" i="4"/>
  <c r="CN160" i="4"/>
  <c r="CN210" i="4"/>
  <c r="CN176" i="4"/>
  <c r="CN232" i="4"/>
  <c r="CN254" i="4"/>
  <c r="CN175" i="4"/>
  <c r="CN162" i="4"/>
  <c r="CN173" i="4"/>
  <c r="CN205" i="4"/>
  <c r="CN161" i="4"/>
  <c r="CN211" i="4"/>
  <c r="CN207" i="4"/>
  <c r="CN256" i="4"/>
  <c r="CN208" i="4"/>
  <c r="CN168" i="4"/>
  <c r="CN257" i="4"/>
  <c r="CN169" i="4"/>
  <c r="CN166" i="4"/>
  <c r="CM283" i="4"/>
  <c r="CM266" i="4"/>
  <c r="CM170" i="4"/>
  <c r="CM212" i="4"/>
  <c r="CM268" i="4"/>
  <c r="CM265" i="4"/>
  <c r="CM163" i="4"/>
  <c r="CL282" i="4"/>
  <c r="CL283" i="4"/>
  <c r="I936" i="4"/>
  <c r="CO943" i="4"/>
  <c r="I943" i="4" s="1"/>
  <c r="CO941" i="4"/>
  <c r="I941" i="4" s="1"/>
  <c r="CO940" i="4"/>
  <c r="CO942" i="4"/>
  <c r="I942" i="4" s="1"/>
  <c r="I1111" i="4"/>
  <c r="CL260" i="4"/>
  <c r="I795" i="4"/>
  <c r="G91" i="15" s="1"/>
  <c r="I1129" i="4"/>
  <c r="CO736" i="4"/>
  <c r="I736" i="4" s="1"/>
  <c r="I794" i="4"/>
  <c r="G90" i="15" s="1"/>
  <c r="BX796" i="4"/>
  <c r="AE796" i="4"/>
  <c r="X796" i="4"/>
  <c r="AR796" i="4"/>
  <c r="CK796" i="4"/>
  <c r="P796" i="4"/>
  <c r="BE796" i="4"/>
  <c r="BB796" i="4"/>
  <c r="AK796" i="4"/>
  <c r="BV796" i="4"/>
  <c r="CE796" i="4"/>
  <c r="BK796" i="4"/>
  <c r="BJ796" i="4"/>
  <c r="AO796" i="4"/>
  <c r="Y796" i="4"/>
  <c r="BI796" i="4"/>
  <c r="W796" i="4"/>
  <c r="AS796" i="4"/>
  <c r="AG796" i="4"/>
  <c r="AT796" i="4"/>
  <c r="CN796" i="4"/>
  <c r="BG796" i="4"/>
  <c r="V796" i="4"/>
  <c r="BW796" i="4"/>
  <c r="AU796" i="4"/>
  <c r="BL796" i="4"/>
  <c r="O796" i="4"/>
  <c r="CM796" i="4"/>
  <c r="U796" i="4"/>
  <c r="BA796" i="4"/>
  <c r="AN796" i="4"/>
  <c r="Q796" i="4"/>
  <c r="CC796" i="4"/>
  <c r="CF796" i="4"/>
  <c r="CG796" i="4"/>
  <c r="CD796" i="4"/>
  <c r="CB796" i="4"/>
  <c r="AI796" i="4"/>
  <c r="AL796" i="4"/>
  <c r="AW796" i="4"/>
  <c r="BF796" i="4"/>
  <c r="AJ796" i="4"/>
  <c r="AZ796" i="4"/>
  <c r="CH796" i="4"/>
  <c r="AQ796" i="4"/>
  <c r="R796" i="4"/>
  <c r="BU796" i="4"/>
  <c r="BS796" i="4"/>
  <c r="BH796" i="4"/>
  <c r="I793" i="4"/>
  <c r="G89" i="15" s="1"/>
  <c r="L796" i="4"/>
  <c r="AD796" i="4"/>
  <c r="BM796" i="4"/>
  <c r="CA796" i="4"/>
  <c r="M796" i="4"/>
  <c r="AY796" i="4"/>
  <c r="BD796" i="4"/>
  <c r="Z796" i="4"/>
  <c r="AX796" i="4"/>
  <c r="BO796" i="4"/>
  <c r="CO796" i="4"/>
  <c r="BR796" i="4"/>
  <c r="BC796" i="4"/>
  <c r="CI796" i="4"/>
  <c r="AH796" i="4"/>
  <c r="BZ796" i="4"/>
  <c r="BN796" i="4"/>
  <c r="AA796" i="4"/>
  <c r="AC796" i="4"/>
  <c r="CL796" i="4"/>
  <c r="AB796" i="4"/>
  <c r="BT796" i="4"/>
  <c r="AF796" i="4"/>
  <c r="N796" i="4"/>
  <c r="BP796" i="4"/>
  <c r="AV796" i="4"/>
  <c r="BQ796" i="4"/>
  <c r="S796" i="4"/>
  <c r="CJ796" i="4"/>
  <c r="T796" i="4"/>
  <c r="AP796" i="4"/>
  <c r="AM796" i="4"/>
  <c r="BY796" i="4"/>
  <c r="I324" i="4"/>
  <c r="H349" i="3" l="1"/>
  <c r="H211" i="3"/>
  <c r="H212" i="3" s="1"/>
  <c r="H179" i="3"/>
  <c r="H180" i="3" s="1"/>
  <c r="H177" i="3"/>
  <c r="H233" i="3"/>
  <c r="H324" i="3"/>
  <c r="H325" i="3" s="1"/>
  <c r="H322" i="3"/>
  <c r="H323" i="3"/>
  <c r="H235" i="3"/>
  <c r="H286" i="3"/>
  <c r="H234" i="3"/>
  <c r="H178" i="3"/>
  <c r="H288" i="3"/>
  <c r="H209" i="3"/>
  <c r="H285" i="3"/>
  <c r="H287" i="3"/>
  <c r="H291" i="3" s="1"/>
  <c r="H289" i="3"/>
  <c r="H348" i="3"/>
  <c r="I940" i="4"/>
  <c r="CO956" i="4"/>
  <c r="I956" i="4" s="1"/>
  <c r="G86" i="15" s="1"/>
  <c r="CN266" i="4"/>
  <c r="CN280" i="4" s="1"/>
  <c r="CN170" i="4"/>
  <c r="CM285" i="4"/>
  <c r="CM280" i="4"/>
  <c r="CM281" i="4"/>
  <c r="CN267" i="4"/>
  <c r="CN177" i="4"/>
  <c r="CN163" i="4"/>
  <c r="CN265" i="4"/>
  <c r="CM279" i="4"/>
  <c r="CM260" i="4"/>
  <c r="CN212" i="4"/>
  <c r="CN268" i="4"/>
  <c r="CN270" i="4"/>
  <c r="CN235" i="4"/>
  <c r="CL289" i="4"/>
  <c r="CM334" i="4"/>
  <c r="CM1037" i="4" s="1"/>
  <c r="CM276" i="4"/>
  <c r="CN271" i="4"/>
  <c r="CN258" i="4"/>
  <c r="CL1037" i="4"/>
  <c r="CL81" i="11"/>
  <c r="CL1291" i="4"/>
  <c r="CL33" i="66"/>
  <c r="CL1118" i="4"/>
  <c r="CL1318" i="4"/>
  <c r="CL65" i="62"/>
  <c r="CM282" i="4"/>
  <c r="CN269" i="4"/>
  <c r="CM284" i="4"/>
  <c r="H290" i="3"/>
  <c r="CO255" i="4"/>
  <c r="I255" i="4" s="1"/>
  <c r="CO159" i="4"/>
  <c r="CO160" i="4"/>
  <c r="I160" i="4" s="1"/>
  <c r="CO257" i="4"/>
  <c r="I257" i="4" s="1"/>
  <c r="CO167" i="4"/>
  <c r="I167" i="4" s="1"/>
  <c r="CO204" i="4"/>
  <c r="I204" i="4" s="1"/>
  <c r="CO232" i="4"/>
  <c r="I232" i="4" s="1"/>
  <c r="CO176" i="4"/>
  <c r="I176" i="4" s="1"/>
  <c r="CO168" i="4"/>
  <c r="I168" i="4" s="1"/>
  <c r="CO209" i="4"/>
  <c r="I209" i="4" s="1"/>
  <c r="CO206" i="4"/>
  <c r="I206" i="4" s="1"/>
  <c r="CO208" i="4"/>
  <c r="I208" i="4" s="1"/>
  <c r="CO174" i="4"/>
  <c r="I174" i="4" s="1"/>
  <c r="CO169" i="4"/>
  <c r="I169" i="4" s="1"/>
  <c r="CO173" i="4"/>
  <c r="CO231" i="4"/>
  <c r="CO166" i="4"/>
  <c r="CO234" i="4"/>
  <c r="I234" i="4" s="1"/>
  <c r="CO211" i="4"/>
  <c r="I211" i="4" s="1"/>
  <c r="CO205" i="4"/>
  <c r="I205" i="4" s="1"/>
  <c r="CO207" i="4"/>
  <c r="CO269" i="4" s="1"/>
  <c r="CO254" i="4"/>
  <c r="CO162" i="4"/>
  <c r="I162" i="4" s="1"/>
  <c r="CO175" i="4"/>
  <c r="I175" i="4" s="1"/>
  <c r="CO233" i="4"/>
  <c r="I233" i="4" s="1"/>
  <c r="CO210" i="4"/>
  <c r="I210" i="4" s="1"/>
  <c r="CO256" i="4"/>
  <c r="I256" i="4" s="1"/>
  <c r="CO161" i="4"/>
  <c r="I161" i="4" s="1"/>
  <c r="H210" i="3"/>
  <c r="CO743" i="4"/>
  <c r="I743" i="4" s="1"/>
  <c r="CO738" i="4"/>
  <c r="CO739" i="4" s="1"/>
  <c r="I739" i="4" s="1"/>
  <c r="I737" i="4"/>
  <c r="I796" i="4"/>
  <c r="AE16" i="72" l="1"/>
  <c r="H352" i="3"/>
  <c r="H181" i="3"/>
  <c r="H213" i="3"/>
  <c r="H326" i="3"/>
  <c r="H236" i="3"/>
  <c r="H237" i="3" s="1"/>
  <c r="H292" i="3"/>
  <c r="H293" i="3" s="1"/>
  <c r="I207" i="4"/>
  <c r="CN284" i="4"/>
  <c r="CN283" i="4"/>
  <c r="I269" i="4"/>
  <c r="CO283" i="4"/>
  <c r="CN282" i="4"/>
  <c r="CN276" i="4"/>
  <c r="CN334" i="4"/>
  <c r="CN279" i="4"/>
  <c r="CN285" i="4"/>
  <c r="CL32" i="66"/>
  <c r="CN260" i="4"/>
  <c r="I159" i="4"/>
  <c r="CO265" i="4"/>
  <c r="BQ310" i="4" s="1"/>
  <c r="CO163" i="4"/>
  <c r="CN281" i="4"/>
  <c r="I166" i="4"/>
  <c r="CO170" i="4"/>
  <c r="I170" i="4" s="1"/>
  <c r="CO266" i="4"/>
  <c r="AL311" i="4" s="1"/>
  <c r="CL82" i="11"/>
  <c r="CM81" i="11"/>
  <c r="CM82" i="11" s="1"/>
  <c r="CM1387" i="4" s="1"/>
  <c r="CM1118" i="4"/>
  <c r="CM1291" i="4"/>
  <c r="CM65" i="62"/>
  <c r="CM33" i="66"/>
  <c r="CM32" i="66" s="1"/>
  <c r="CM1318" i="4"/>
  <c r="CM289" i="4"/>
  <c r="CO270" i="4"/>
  <c r="BQ315" i="4" s="1"/>
  <c r="CO235" i="4"/>
  <c r="I235" i="4" s="1"/>
  <c r="I173" i="4"/>
  <c r="CO177" i="4"/>
  <c r="I177" i="4" s="1"/>
  <c r="CO267" i="4"/>
  <c r="V312" i="4" s="1"/>
  <c r="I231" i="4"/>
  <c r="I254" i="4"/>
  <c r="CO258" i="4"/>
  <c r="I258" i="4" s="1"/>
  <c r="CO271" i="4"/>
  <c r="CM316" i="4" s="1"/>
  <c r="CO212" i="4"/>
  <c r="I212" i="4" s="1"/>
  <c r="CO268" i="4"/>
  <c r="CH313" i="4" s="1"/>
  <c r="CO745" i="4"/>
  <c r="CO754" i="4" s="1"/>
  <c r="I738" i="4"/>
  <c r="AJ310" i="4" l="1"/>
  <c r="AO311" i="4"/>
  <c r="AK310" i="4"/>
  <c r="CI310" i="4"/>
  <c r="I265" i="4"/>
  <c r="AB310" i="4"/>
  <c r="W310" i="4"/>
  <c r="BA315" i="4"/>
  <c r="AA315" i="4"/>
  <c r="CK315" i="4"/>
  <c r="H360" i="3"/>
  <c r="CM311" i="4"/>
  <c r="BP310" i="4"/>
  <c r="BG315" i="4"/>
  <c r="CB311" i="4"/>
  <c r="Z310" i="4"/>
  <c r="AE316" i="4"/>
  <c r="CL312" i="4"/>
  <c r="BS315" i="4"/>
  <c r="CF315" i="4"/>
  <c r="Y315" i="4"/>
  <c r="BW310" i="4"/>
  <c r="L310" i="4"/>
  <c r="L320" i="4" s="1"/>
  <c r="BZ310" i="4"/>
  <c r="BA310" i="4"/>
  <c r="BY315" i="4"/>
  <c r="AP315" i="4"/>
  <c r="BK315" i="4"/>
  <c r="AO315" i="4"/>
  <c r="BW315" i="4"/>
  <c r="BC316" i="4"/>
  <c r="BL310" i="4"/>
  <c r="AZ311" i="4"/>
  <c r="CJ315" i="4"/>
  <c r="CF311" i="4"/>
  <c r="L315" i="4"/>
  <c r="L326" i="4" s="1"/>
  <c r="BU311" i="4"/>
  <c r="CK313" i="4"/>
  <c r="AX315" i="4"/>
  <c r="T311" i="4"/>
  <c r="CO279" i="4"/>
  <c r="CE315" i="4"/>
  <c r="CB315" i="4"/>
  <c r="R316" i="4"/>
  <c r="CG316" i="4"/>
  <c r="AV310" i="4"/>
  <c r="I259" i="4"/>
  <c r="G67" i="15"/>
  <c r="AG316" i="4"/>
  <c r="G66" i="15"/>
  <c r="I236" i="4"/>
  <c r="AA313" i="4"/>
  <c r="AE315" i="4"/>
  <c r="G70" i="15"/>
  <c r="I171" i="4"/>
  <c r="L316" i="4"/>
  <c r="T313" i="4"/>
  <c r="CC312" i="4"/>
  <c r="CI312" i="4"/>
  <c r="Z312" i="4"/>
  <c r="AW312" i="4"/>
  <c r="T312" i="4"/>
  <c r="BT312" i="4"/>
  <c r="BJ312" i="4"/>
  <c r="AY312" i="4"/>
  <c r="BF312" i="4"/>
  <c r="BI312" i="4"/>
  <c r="U315" i="4"/>
  <c r="BM316" i="4"/>
  <c r="Z313" i="4"/>
  <c r="CD315" i="4"/>
  <c r="AJ315" i="4"/>
  <c r="AH315" i="4"/>
  <c r="BV313" i="4"/>
  <c r="CC313" i="4"/>
  <c r="CD313" i="4"/>
  <c r="BK313" i="4"/>
  <c r="BE313" i="4"/>
  <c r="CA313" i="4"/>
  <c r="M313" i="4"/>
  <c r="P313" i="4"/>
  <c r="CM313" i="4"/>
  <c r="BS316" i="4"/>
  <c r="W316" i="4"/>
  <c r="CD316" i="4"/>
  <c r="CN315" i="4"/>
  <c r="CO315" i="4"/>
  <c r="BP315" i="4"/>
  <c r="CO284" i="4"/>
  <c r="Z315" i="4"/>
  <c r="BJ315" i="4"/>
  <c r="AT315" i="4"/>
  <c r="AU315" i="4"/>
  <c r="AF315" i="4"/>
  <c r="X315" i="4"/>
  <c r="R315" i="4"/>
  <c r="CL315" i="4"/>
  <c r="BE315" i="4"/>
  <c r="CC315" i="4"/>
  <c r="AV315" i="4"/>
  <c r="AL315" i="4"/>
  <c r="AN315" i="4"/>
  <c r="BD315" i="4"/>
  <c r="AR315" i="4"/>
  <c r="AS315" i="4"/>
  <c r="M315" i="4"/>
  <c r="BZ315" i="4"/>
  <c r="Q315" i="4"/>
  <c r="BB315" i="4"/>
  <c r="CG315" i="4"/>
  <c r="CI315" i="4"/>
  <c r="BL315" i="4"/>
  <c r="AM315" i="4"/>
  <c r="S315" i="4"/>
  <c r="I270" i="4"/>
  <c r="AD315" i="4"/>
  <c r="BI315" i="4"/>
  <c r="O315" i="4"/>
  <c r="AZ315" i="4"/>
  <c r="AG315" i="4"/>
  <c r="AB315" i="4"/>
  <c r="BT315" i="4"/>
  <c r="N315" i="4"/>
  <c r="W315" i="4"/>
  <c r="BH315" i="4"/>
  <c r="BF315" i="4"/>
  <c r="BI316" i="4"/>
  <c r="BR315" i="4"/>
  <c r="AQ312" i="4"/>
  <c r="AT312" i="4"/>
  <c r="BL312" i="4"/>
  <c r="AI312" i="4"/>
  <c r="BM312" i="4"/>
  <c r="AU312" i="4"/>
  <c r="AL312" i="4"/>
  <c r="BZ312" i="4"/>
  <c r="BR312" i="4"/>
  <c r="CF312" i="4"/>
  <c r="BV311" i="4"/>
  <c r="T315" i="4"/>
  <c r="AW313" i="4"/>
  <c r="BY310" i="4"/>
  <c r="BA316" i="4"/>
  <c r="V313" i="4"/>
  <c r="BJ313" i="4"/>
  <c r="BI313" i="4"/>
  <c r="BT313" i="4"/>
  <c r="R313" i="4"/>
  <c r="Y313" i="4"/>
  <c r="Q313" i="4"/>
  <c r="AB313" i="4"/>
  <c r="AM310" i="4"/>
  <c r="AV316" i="4"/>
  <c r="BZ311" i="4"/>
  <c r="CO312" i="4"/>
  <c r="CN312" i="4"/>
  <c r="BK316" i="4"/>
  <c r="AK316" i="4"/>
  <c r="AN316" i="4"/>
  <c r="AZ316" i="4"/>
  <c r="N312" i="4"/>
  <c r="AM312" i="4"/>
  <c r="O312" i="4"/>
  <c r="Y312" i="4"/>
  <c r="AS312" i="4"/>
  <c r="BA312" i="4"/>
  <c r="BD312" i="4"/>
  <c r="CK312" i="4"/>
  <c r="CH312" i="4"/>
  <c r="AR312" i="4"/>
  <c r="CM312" i="4"/>
  <c r="I163" i="4"/>
  <c r="CO260" i="4"/>
  <c r="Q316" i="4"/>
  <c r="CH315" i="4"/>
  <c r="BY311" i="4"/>
  <c r="S316" i="4"/>
  <c r="BU316" i="4"/>
  <c r="CF313" i="4"/>
  <c r="BR313" i="4"/>
  <c r="AJ313" i="4"/>
  <c r="O313" i="4"/>
  <c r="BU313" i="4"/>
  <c r="I268" i="4"/>
  <c r="BX313" i="4"/>
  <c r="X313" i="4"/>
  <c r="V315" i="4"/>
  <c r="AS316" i="4"/>
  <c r="BU315" i="4"/>
  <c r="G71" i="15"/>
  <c r="I178" i="4"/>
  <c r="AS313" i="4"/>
  <c r="BX315" i="4"/>
  <c r="W312" i="4"/>
  <c r="AF312" i="4"/>
  <c r="BN312" i="4"/>
  <c r="BC312" i="4"/>
  <c r="CG312" i="4"/>
  <c r="AC312" i="4"/>
  <c r="S312" i="4"/>
  <c r="AN312" i="4"/>
  <c r="AZ312" i="4"/>
  <c r="BW312" i="4"/>
  <c r="CA315" i="4"/>
  <c r="BB310" i="4"/>
  <c r="CO334" i="4"/>
  <c r="CO1037" i="4" s="1"/>
  <c r="CN310" i="4"/>
  <c r="CO310" i="4"/>
  <c r="CO276" i="4"/>
  <c r="I276" i="4" s="1"/>
  <c r="AG310" i="4"/>
  <c r="AC310" i="4"/>
  <c r="BS310" i="4"/>
  <c r="AW310" i="4"/>
  <c r="AO310" i="4"/>
  <c r="AD310" i="4"/>
  <c r="BE310" i="4"/>
  <c r="Y310" i="4"/>
  <c r="AS310" i="4"/>
  <c r="AU310" i="4"/>
  <c r="CH310" i="4"/>
  <c r="AR310" i="4"/>
  <c r="S310" i="4"/>
  <c r="AL310" i="4"/>
  <c r="AZ310" i="4"/>
  <c r="R310" i="4"/>
  <c r="AA310" i="4"/>
  <c r="AN310" i="4"/>
  <c r="X310" i="4"/>
  <c r="CK310" i="4"/>
  <c r="AP310" i="4"/>
  <c r="P310" i="4"/>
  <c r="BC310" i="4"/>
  <c r="BG310" i="4"/>
  <c r="CD310" i="4"/>
  <c r="BV310" i="4"/>
  <c r="CC310" i="4"/>
  <c r="BT310" i="4"/>
  <c r="BF310" i="4"/>
  <c r="BK310" i="4"/>
  <c r="CL310" i="4"/>
  <c r="CJ310" i="4"/>
  <c r="CE310" i="4"/>
  <c r="CF310" i="4"/>
  <c r="BR310" i="4"/>
  <c r="BJ310" i="4"/>
  <c r="N310" i="4"/>
  <c r="AQ310" i="4"/>
  <c r="CG310" i="4"/>
  <c r="T310" i="4"/>
  <c r="AE310" i="4"/>
  <c r="AY310" i="4"/>
  <c r="AT310" i="4"/>
  <c r="AF310" i="4"/>
  <c r="BH310" i="4"/>
  <c r="AI310" i="4"/>
  <c r="Q310" i="4"/>
  <c r="U310" i="4"/>
  <c r="O310" i="4"/>
  <c r="BN310" i="4"/>
  <c r="V310" i="4"/>
  <c r="AX310" i="4"/>
  <c r="BI310" i="4"/>
  <c r="AH310" i="4"/>
  <c r="CB310" i="4"/>
  <c r="CA310" i="4"/>
  <c r="BM310" i="4"/>
  <c r="CE316" i="4"/>
  <c r="CN82" i="67"/>
  <c r="CN33" i="66"/>
  <c r="CN32" i="66" s="1"/>
  <c r="CN1291" i="4"/>
  <c r="CN1118" i="4"/>
  <c r="CN65" i="62"/>
  <c r="CN81" i="11"/>
  <c r="CN1318" i="4"/>
  <c r="BC315" i="4"/>
  <c r="BO310" i="4"/>
  <c r="AD316" i="4"/>
  <c r="BH313" i="4"/>
  <c r="BD313" i="4"/>
  <c r="W313" i="4"/>
  <c r="CI313" i="4"/>
  <c r="BM313" i="4"/>
  <c r="AI313" i="4"/>
  <c r="BL313" i="4"/>
  <c r="AC313" i="4"/>
  <c r="AK313" i="4"/>
  <c r="I271" i="4"/>
  <c r="AC315" i="4"/>
  <c r="BT316" i="4"/>
  <c r="CC316" i="4"/>
  <c r="BV315" i="4"/>
  <c r="CL1387" i="4"/>
  <c r="CL316" i="4"/>
  <c r="AI315" i="4"/>
  <c r="AP312" i="4"/>
  <c r="U312" i="4"/>
  <c r="Q312" i="4"/>
  <c r="I267" i="4"/>
  <c r="P312" i="4"/>
  <c r="CO281" i="4"/>
  <c r="X312" i="4"/>
  <c r="AJ312" i="4"/>
  <c r="BO312" i="4"/>
  <c r="BQ312" i="4"/>
  <c r="X316" i="4"/>
  <c r="BN315" i="4"/>
  <c r="AH316" i="4"/>
  <c r="BK311" i="4"/>
  <c r="BX316" i="4"/>
  <c r="CN289" i="4"/>
  <c r="BS313" i="4"/>
  <c r="AN313" i="4"/>
  <c r="AE313" i="4"/>
  <c r="BZ313" i="4"/>
  <c r="BN313" i="4"/>
  <c r="BP313" i="4"/>
  <c r="BQ313" i="4"/>
  <c r="BA313" i="4"/>
  <c r="BV316" i="4"/>
  <c r="AL316" i="4"/>
  <c r="CN313" i="4"/>
  <c r="CO313" i="4"/>
  <c r="CL313" i="4"/>
  <c r="AQ313" i="4"/>
  <c r="AQ316" i="4"/>
  <c r="N313" i="4"/>
  <c r="BO315" i="4"/>
  <c r="BY312" i="4"/>
  <c r="L312" i="4"/>
  <c r="BB312" i="4"/>
  <c r="AD312" i="4"/>
  <c r="BH312" i="4"/>
  <c r="CA312" i="4"/>
  <c r="BS312" i="4"/>
  <c r="AA312" i="4"/>
  <c r="BX312" i="4"/>
  <c r="BE312" i="4"/>
  <c r="P315" i="4"/>
  <c r="L311" i="4"/>
  <c r="AW315" i="4"/>
  <c r="M310" i="4"/>
  <c r="AW316" i="4"/>
  <c r="CM310" i="4"/>
  <c r="CB313" i="4"/>
  <c r="BC313" i="4"/>
  <c r="BB313" i="4"/>
  <c r="AL313" i="4"/>
  <c r="CJ313" i="4"/>
  <c r="U313" i="4"/>
  <c r="AR313" i="4"/>
  <c r="L313" i="4"/>
  <c r="CO282" i="4"/>
  <c r="AY315" i="4"/>
  <c r="AK315" i="4"/>
  <c r="CM315" i="4"/>
  <c r="G65" i="15"/>
  <c r="I213" i="4"/>
  <c r="AT316" i="4"/>
  <c r="M312" i="4"/>
  <c r="BK312" i="4"/>
  <c r="BV312" i="4"/>
  <c r="AG312" i="4"/>
  <c r="BU312" i="4"/>
  <c r="AK312" i="4"/>
  <c r="R312" i="4"/>
  <c r="AX312" i="4"/>
  <c r="AE312" i="4"/>
  <c r="AJ316" i="4"/>
  <c r="AD313" i="4"/>
  <c r="BD310" i="4"/>
  <c r="CA316" i="4"/>
  <c r="CN1037" i="4"/>
  <c r="AM313" i="4"/>
  <c r="BG313" i="4"/>
  <c r="AX313" i="4"/>
  <c r="AO313" i="4"/>
  <c r="AF313" i="4"/>
  <c r="AH313" i="4"/>
  <c r="AU313" i="4"/>
  <c r="AY313" i="4"/>
  <c r="S313" i="4"/>
  <c r="BM315" i="4"/>
  <c r="BU310" i="4"/>
  <c r="CO316" i="4"/>
  <c r="CN316" i="4"/>
  <c r="CH316" i="4"/>
  <c r="BZ316" i="4"/>
  <c r="AC316" i="4"/>
  <c r="AU316" i="4"/>
  <c r="CI316" i="4"/>
  <c r="BB316" i="4"/>
  <c r="O316" i="4"/>
  <c r="P316" i="4"/>
  <c r="BY316" i="4"/>
  <c r="AF316" i="4"/>
  <c r="CK316" i="4"/>
  <c r="BD316" i="4"/>
  <c r="AB316" i="4"/>
  <c r="BG316" i="4"/>
  <c r="BQ316" i="4"/>
  <c r="BF316" i="4"/>
  <c r="AO316" i="4"/>
  <c r="CO285" i="4"/>
  <c r="T316" i="4"/>
  <c r="BL316" i="4"/>
  <c r="BW316" i="4"/>
  <c r="BH316" i="4"/>
  <c r="CJ316" i="4"/>
  <c r="AP316" i="4"/>
  <c r="AA316" i="4"/>
  <c r="CF316" i="4"/>
  <c r="V316" i="4"/>
  <c r="Y316" i="4"/>
  <c r="AI316" i="4"/>
  <c r="BR316" i="4"/>
  <c r="BP316" i="4"/>
  <c r="AM316" i="4"/>
  <c r="CB316" i="4"/>
  <c r="BO316" i="4"/>
  <c r="AR316" i="4"/>
  <c r="AX316" i="4"/>
  <c r="Z316" i="4"/>
  <c r="BJ316" i="4"/>
  <c r="N316" i="4"/>
  <c r="AT313" i="4"/>
  <c r="U316" i="4"/>
  <c r="BN316" i="4"/>
  <c r="CN311" i="4"/>
  <c r="CO311" i="4"/>
  <c r="CL311" i="4"/>
  <c r="Y311" i="4"/>
  <c r="CK311" i="4"/>
  <c r="AK311" i="4"/>
  <c r="CA311" i="4"/>
  <c r="BM311" i="4"/>
  <c r="V311" i="4"/>
  <c r="AE311" i="4"/>
  <c r="N311" i="4"/>
  <c r="AY311" i="4"/>
  <c r="BO311" i="4"/>
  <c r="AR311" i="4"/>
  <c r="BR311" i="4"/>
  <c r="AG311" i="4"/>
  <c r="AA311" i="4"/>
  <c r="M311" i="4"/>
  <c r="S311" i="4"/>
  <c r="CO280" i="4"/>
  <c r="AS311" i="4"/>
  <c r="O311" i="4"/>
  <c r="AC311" i="4"/>
  <c r="BB311" i="4"/>
  <c r="AW311" i="4"/>
  <c r="AV311" i="4"/>
  <c r="BJ311" i="4"/>
  <c r="AH311" i="4"/>
  <c r="BH311" i="4"/>
  <c r="BG311" i="4"/>
  <c r="BF311" i="4"/>
  <c r="AT311" i="4"/>
  <c r="AP311" i="4"/>
  <c r="AU311" i="4"/>
  <c r="AJ311" i="4"/>
  <c r="AD311" i="4"/>
  <c r="CG311" i="4"/>
  <c r="BP311" i="4"/>
  <c r="CC311" i="4"/>
  <c r="BW311" i="4"/>
  <c r="BN311" i="4"/>
  <c r="AB311" i="4"/>
  <c r="Q311" i="4"/>
  <c r="AM311" i="4"/>
  <c r="BT311" i="4"/>
  <c r="BX311" i="4"/>
  <c r="AN311" i="4"/>
  <c r="AF311" i="4"/>
  <c r="BS311" i="4"/>
  <c r="BC311" i="4"/>
  <c r="CI311" i="4"/>
  <c r="AQ311" i="4"/>
  <c r="R311" i="4"/>
  <c r="Z311" i="4"/>
  <c r="W311" i="4"/>
  <c r="CD311" i="4"/>
  <c r="BD311" i="4"/>
  <c r="AI311" i="4"/>
  <c r="BQ311" i="4"/>
  <c r="BL311" i="4"/>
  <c r="P311" i="4"/>
  <c r="CE311" i="4"/>
  <c r="BI311" i="4"/>
  <c r="X311" i="4"/>
  <c r="CH311" i="4"/>
  <c r="CJ311" i="4"/>
  <c r="BE311" i="4"/>
  <c r="U311" i="4"/>
  <c r="BA311" i="4"/>
  <c r="AX311" i="4"/>
  <c r="BE316" i="4"/>
  <c r="CB312" i="4"/>
  <c r="CD312" i="4"/>
  <c r="BG312" i="4"/>
  <c r="AO312" i="4"/>
  <c r="BP312" i="4"/>
  <c r="CE312" i="4"/>
  <c r="CJ312" i="4"/>
  <c r="AB312" i="4"/>
  <c r="AV312" i="4"/>
  <c r="AH312" i="4"/>
  <c r="AQ315" i="4"/>
  <c r="M316" i="4"/>
  <c r="AP313" i="4"/>
  <c r="CE313" i="4"/>
  <c r="BO313" i="4"/>
  <c r="BW313" i="4"/>
  <c r="AV313" i="4"/>
  <c r="BF313" i="4"/>
  <c r="AG313" i="4"/>
  <c r="BY313" i="4"/>
  <c r="AZ313" i="4"/>
  <c r="I266" i="4"/>
  <c r="BX310" i="4"/>
  <c r="AY316" i="4"/>
  <c r="CG313" i="4"/>
  <c r="CO746" i="4"/>
  <c r="I746" i="4" s="1"/>
  <c r="G78" i="15" s="1"/>
  <c r="I745" i="4"/>
  <c r="AI304" i="4"/>
  <c r="BU304" i="4"/>
  <c r="M304" i="4"/>
  <c r="CB304" i="4"/>
  <c r="AC304" i="4"/>
  <c r="BF304" i="4"/>
  <c r="AW304" i="4"/>
  <c r="AN304" i="4"/>
  <c r="V304" i="4"/>
  <c r="X304" i="4"/>
  <c r="AZ304" i="4"/>
  <c r="BJ304" i="4"/>
  <c r="L304" i="4"/>
  <c r="AH304" i="4"/>
  <c r="R304" i="4"/>
  <c r="AD304" i="4"/>
  <c r="BT304" i="4"/>
  <c r="BA304" i="4"/>
  <c r="AY304" i="4"/>
  <c r="BY304" i="4"/>
  <c r="AG304" i="4"/>
  <c r="W304" i="4"/>
  <c r="CF304" i="4"/>
  <c r="BN304" i="4"/>
  <c r="U304" i="4"/>
  <c r="BZ304" i="4"/>
  <c r="CD304" i="4"/>
  <c r="AR304" i="4"/>
  <c r="CG304" i="4"/>
  <c r="AO304" i="4"/>
  <c r="AK304" i="4"/>
  <c r="AU304" i="4"/>
  <c r="CC304" i="4"/>
  <c r="T304" i="4"/>
  <c r="CM304" i="4"/>
  <c r="CE304" i="4"/>
  <c r="AT304" i="4"/>
  <c r="BQ304" i="4"/>
  <c r="CA304" i="4"/>
  <c r="BC304" i="4"/>
  <c r="BE304" i="4"/>
  <c r="AB304" i="4"/>
  <c r="CL304" i="4"/>
  <c r="AJ304" i="4"/>
  <c r="N304" i="4"/>
  <c r="CJ304" i="4"/>
  <c r="P304" i="4"/>
  <c r="AM304" i="4"/>
  <c r="CH304" i="4"/>
  <c r="BO304" i="4"/>
  <c r="BW304" i="4"/>
  <c r="AP304" i="4"/>
  <c r="AE304" i="4"/>
  <c r="AQ304" i="4"/>
  <c r="BS304" i="4"/>
  <c r="AF304" i="4"/>
  <c r="CI304" i="4"/>
  <c r="BD304" i="4"/>
  <c r="BK304" i="4"/>
  <c r="CN304" i="4"/>
  <c r="Y304" i="4"/>
  <c r="Z304" i="4"/>
  <c r="AX304" i="4"/>
  <c r="BV304" i="4"/>
  <c r="Q304" i="4"/>
  <c r="BI304" i="4"/>
  <c r="CK304" i="4"/>
  <c r="BX304" i="4"/>
  <c r="AA304" i="4"/>
  <c r="BP304" i="4"/>
  <c r="AV304" i="4"/>
  <c r="BR304" i="4"/>
  <c r="AS304" i="4"/>
  <c r="BH304" i="4"/>
  <c r="BL304" i="4"/>
  <c r="BM304" i="4"/>
  <c r="BB304" i="4"/>
  <c r="O304" i="4"/>
  <c r="S304" i="4"/>
  <c r="BG304" i="4"/>
  <c r="AL304" i="4"/>
  <c r="I754" i="4"/>
  <c r="AF16" i="72" l="1"/>
  <c r="U16" i="72"/>
  <c r="V16" i="72"/>
  <c r="W16" i="72"/>
  <c r="X16" i="72"/>
  <c r="Y16" i="72"/>
  <c r="Z16" i="72"/>
  <c r="AC16" i="72"/>
  <c r="AD16" i="72"/>
  <c r="M16" i="72"/>
  <c r="N16" i="72"/>
  <c r="O16" i="72"/>
  <c r="P16" i="72"/>
  <c r="Q16" i="72"/>
  <c r="R16" i="72"/>
  <c r="AF81" i="67"/>
  <c r="AF82" i="67" s="1"/>
  <c r="I260" i="4"/>
  <c r="AE81" i="67"/>
  <c r="AE82" i="67" s="1"/>
  <c r="I334" i="4"/>
  <c r="CO289" i="4"/>
  <c r="E980" i="4"/>
  <c r="AW983" i="4" s="1"/>
  <c r="AW991" i="4" s="1"/>
  <c r="AW42" i="66" s="1"/>
  <c r="I310" i="4"/>
  <c r="I315" i="4"/>
  <c r="G315" i="4"/>
  <c r="I1037" i="4"/>
  <c r="CO65" i="62"/>
  <c r="CO1318" i="4"/>
  <c r="I1318" i="4" s="1"/>
  <c r="CO81" i="11"/>
  <c r="CO82" i="11" s="1"/>
  <c r="CO1387" i="4" s="1"/>
  <c r="CO1291" i="4"/>
  <c r="I1291" i="4" s="1"/>
  <c r="CO33" i="66"/>
  <c r="CO1118" i="4"/>
  <c r="I1118" i="4" s="1"/>
  <c r="I1117" i="4" s="1"/>
  <c r="L321" i="4"/>
  <c r="I311" i="4"/>
  <c r="G311" i="4"/>
  <c r="I164" i="4"/>
  <c r="G69" i="15"/>
  <c r="G73" i="15" s="1"/>
  <c r="M326" i="4"/>
  <c r="N326" i="4" s="1"/>
  <c r="G310" i="4"/>
  <c r="L322" i="4"/>
  <c r="G312" i="4"/>
  <c r="I312" i="4"/>
  <c r="M320" i="4"/>
  <c r="N320" i="4" s="1"/>
  <c r="G313" i="4"/>
  <c r="L325" i="4"/>
  <c r="L323" i="4"/>
  <c r="I313" i="4"/>
  <c r="CN82" i="11"/>
  <c r="L327" i="4"/>
  <c r="I316" i="4"/>
  <c r="G316" i="4"/>
  <c r="AX46" i="67"/>
  <c r="CF46" i="67"/>
  <c r="AR46" i="67"/>
  <c r="BR46" i="67"/>
  <c r="BD46" i="67"/>
  <c r="BM46" i="67"/>
  <c r="CJ46" i="67"/>
  <c r="BW46" i="67"/>
  <c r="AZ46" i="67"/>
  <c r="BU46" i="67"/>
  <c r="BQ46" i="67"/>
  <c r="BN46" i="67"/>
  <c r="CA46" i="67"/>
  <c r="AI46" i="67"/>
  <c r="AW46" i="67"/>
  <c r="BF46" i="67"/>
  <c r="BA46" i="67"/>
  <c r="AP46" i="67"/>
  <c r="CL46" i="67"/>
  <c r="BJ46" i="67"/>
  <c r="CC46" i="67"/>
  <c r="AS46" i="67"/>
  <c r="AY46" i="67"/>
  <c r="CH46" i="67"/>
  <c r="BG46" i="67"/>
  <c r="BO46" i="67"/>
  <c r="AG46" i="67"/>
  <c r="BC46" i="67"/>
  <c r="BI46" i="67"/>
  <c r="AN46" i="67"/>
  <c r="CG46" i="67"/>
  <c r="BY46" i="67"/>
  <c r="BS46" i="67"/>
  <c r="CD46" i="67"/>
  <c r="BL46" i="67"/>
  <c r="BV46" i="67"/>
  <c r="AJ46" i="67"/>
  <c r="CI46" i="67"/>
  <c r="BP46" i="67"/>
  <c r="AV46" i="67"/>
  <c r="AQ46" i="67"/>
  <c r="AU46" i="67"/>
  <c r="BT46" i="67"/>
  <c r="AO46" i="67"/>
  <c r="CM46" i="67"/>
  <c r="CB46" i="67"/>
  <c r="CE46" i="67"/>
  <c r="BE46" i="67"/>
  <c r="AL46" i="67"/>
  <c r="BK46" i="67"/>
  <c r="AM46" i="67"/>
  <c r="BH46" i="67"/>
  <c r="CK46" i="67"/>
  <c r="AT46" i="67"/>
  <c r="BZ46" i="67"/>
  <c r="CN46" i="67"/>
  <c r="AH46" i="67"/>
  <c r="BB46" i="67"/>
  <c r="AK46" i="67"/>
  <c r="BX46" i="67"/>
  <c r="I1116" i="4" l="1"/>
  <c r="V983" i="4"/>
  <c r="V991" i="4" s="1"/>
  <c r="V42" i="66" s="1"/>
  <c r="O983" i="4"/>
  <c r="O991" i="4" s="1"/>
  <c r="O42" i="66" s="1"/>
  <c r="M983" i="4"/>
  <c r="M991" i="4" s="1"/>
  <c r="M42" i="66" s="1"/>
  <c r="AT983" i="4"/>
  <c r="AT991" i="4" s="1"/>
  <c r="AT42" i="66" s="1"/>
  <c r="CB983" i="4"/>
  <c r="CB991" i="4" s="1"/>
  <c r="CB42" i="66" s="1"/>
  <c r="I81" i="11"/>
  <c r="L423" i="4"/>
  <c r="L425" i="4" s="1"/>
  <c r="L426" i="4" s="1"/>
  <c r="L427" i="4" s="1"/>
  <c r="L428" i="4" s="1"/>
  <c r="M422" i="4" s="1"/>
  <c r="CA983" i="4"/>
  <c r="CA991" i="4" s="1"/>
  <c r="CA42" i="66" s="1"/>
  <c r="P983" i="4"/>
  <c r="P991" i="4" s="1"/>
  <c r="P42" i="66" s="1"/>
  <c r="S983" i="4"/>
  <c r="S991" i="4" s="1"/>
  <c r="S42" i="66" s="1"/>
  <c r="T983" i="4"/>
  <c r="T991" i="4" s="1"/>
  <c r="T42" i="66" s="1"/>
  <c r="X983" i="4"/>
  <c r="X991" i="4" s="1"/>
  <c r="X42" i="66" s="1"/>
  <c r="CJ983" i="4"/>
  <c r="CJ991" i="4" s="1"/>
  <c r="CJ42" i="66" s="1"/>
  <c r="BR983" i="4"/>
  <c r="BR991" i="4" s="1"/>
  <c r="BR42" i="66" s="1"/>
  <c r="AK983" i="4"/>
  <c r="AK991" i="4" s="1"/>
  <c r="AK42" i="66" s="1"/>
  <c r="AM983" i="4"/>
  <c r="AM991" i="4" s="1"/>
  <c r="AM42" i="66" s="1"/>
  <c r="AN983" i="4"/>
  <c r="AN991" i="4" s="1"/>
  <c r="AN42" i="66" s="1"/>
  <c r="AC983" i="4"/>
  <c r="AC991" i="4" s="1"/>
  <c r="AC42" i="66" s="1"/>
  <c r="CF983" i="4"/>
  <c r="CF991" i="4" s="1"/>
  <c r="CF42" i="66" s="1"/>
  <c r="U983" i="4"/>
  <c r="U991" i="4" s="1"/>
  <c r="U42" i="66" s="1"/>
  <c r="BB983" i="4"/>
  <c r="BB991" i="4" s="1"/>
  <c r="BB42" i="66" s="1"/>
  <c r="BT983" i="4"/>
  <c r="BT991" i="4" s="1"/>
  <c r="BT42" i="66" s="1"/>
  <c r="CM983" i="4"/>
  <c r="CM991" i="4" s="1"/>
  <c r="CM42" i="66" s="1"/>
  <c r="CD983" i="4"/>
  <c r="CD991" i="4" s="1"/>
  <c r="CD42" i="66" s="1"/>
  <c r="AJ983" i="4"/>
  <c r="AJ991" i="4" s="1"/>
  <c r="AJ42" i="66" s="1"/>
  <c r="W983" i="4"/>
  <c r="W991" i="4" s="1"/>
  <c r="W42" i="66" s="1"/>
  <c r="BV983" i="4"/>
  <c r="BV991" i="4" s="1"/>
  <c r="BV42" i="66" s="1"/>
  <c r="CE983" i="4"/>
  <c r="CE991" i="4" s="1"/>
  <c r="CE42" i="66" s="1"/>
  <c r="BS983" i="4"/>
  <c r="BS991" i="4" s="1"/>
  <c r="BS42" i="66" s="1"/>
  <c r="AQ983" i="4"/>
  <c r="AQ991" i="4" s="1"/>
  <c r="AQ42" i="66" s="1"/>
  <c r="CO983" i="4"/>
  <c r="CO991" i="4" s="1"/>
  <c r="CO42" i="66" s="1"/>
  <c r="BO983" i="4"/>
  <c r="BO991" i="4" s="1"/>
  <c r="BO42" i="66" s="1"/>
  <c r="AG983" i="4"/>
  <c r="AG991" i="4" s="1"/>
  <c r="AG42" i="66" s="1"/>
  <c r="L983" i="4"/>
  <c r="L991" i="4" s="1"/>
  <c r="L42" i="66" s="1"/>
  <c r="BG983" i="4"/>
  <c r="BG991" i="4" s="1"/>
  <c r="BG42" i="66" s="1"/>
  <c r="CK983" i="4"/>
  <c r="CK991" i="4" s="1"/>
  <c r="CK42" i="66" s="1"/>
  <c r="N983" i="4"/>
  <c r="N991" i="4" s="1"/>
  <c r="N42" i="66" s="1"/>
  <c r="Z983" i="4"/>
  <c r="Z991" i="4" s="1"/>
  <c r="Z42" i="66" s="1"/>
  <c r="BM983" i="4"/>
  <c r="BM991" i="4" s="1"/>
  <c r="BM42" i="66" s="1"/>
  <c r="BA983" i="4"/>
  <c r="BA991" i="4" s="1"/>
  <c r="BA42" i="66" s="1"/>
  <c r="AO983" i="4"/>
  <c r="AO991" i="4" s="1"/>
  <c r="AO42" i="66" s="1"/>
  <c r="BC983" i="4"/>
  <c r="BC991" i="4" s="1"/>
  <c r="BC42" i="66" s="1"/>
  <c r="BI983" i="4"/>
  <c r="BI991" i="4" s="1"/>
  <c r="BI42" i="66" s="1"/>
  <c r="Q983" i="4"/>
  <c r="Q991" i="4" s="1"/>
  <c r="Q42" i="66" s="1"/>
  <c r="R983" i="4"/>
  <c r="R991" i="4" s="1"/>
  <c r="R42" i="66" s="1"/>
  <c r="AF983" i="4"/>
  <c r="AF991" i="4" s="1"/>
  <c r="AF42" i="66" s="1"/>
  <c r="AL983" i="4"/>
  <c r="AL991" i="4" s="1"/>
  <c r="AL42" i="66" s="1"/>
  <c r="AD983" i="4"/>
  <c r="AD991" i="4" s="1"/>
  <c r="AD42" i="66" s="1"/>
  <c r="CN983" i="4"/>
  <c r="CN991" i="4" s="1"/>
  <c r="CN42" i="66" s="1"/>
  <c r="BY983" i="4"/>
  <c r="BY991" i="4" s="1"/>
  <c r="BY42" i="66" s="1"/>
  <c r="AH983" i="4"/>
  <c r="AH991" i="4" s="1"/>
  <c r="AH42" i="66" s="1"/>
  <c r="BF983" i="4"/>
  <c r="BF991" i="4" s="1"/>
  <c r="BF42" i="66" s="1"/>
  <c r="BL983" i="4"/>
  <c r="BL991" i="4" s="1"/>
  <c r="BL42" i="66" s="1"/>
  <c r="BN983" i="4"/>
  <c r="BN991" i="4" s="1"/>
  <c r="BN42" i="66" s="1"/>
  <c r="AB983" i="4"/>
  <c r="AB991" i="4" s="1"/>
  <c r="AB42" i="66" s="1"/>
  <c r="CC983" i="4"/>
  <c r="CC991" i="4" s="1"/>
  <c r="CC42" i="66" s="1"/>
  <c r="CL983" i="4"/>
  <c r="CL991" i="4" s="1"/>
  <c r="CL42" i="66" s="1"/>
  <c r="BJ983" i="4"/>
  <c r="BJ991" i="4" s="1"/>
  <c r="BJ42" i="66" s="1"/>
  <c r="BP983" i="4"/>
  <c r="BP991" i="4" s="1"/>
  <c r="BP42" i="66" s="1"/>
  <c r="AA983" i="4"/>
  <c r="AA991" i="4" s="1"/>
  <c r="AA42" i="66" s="1"/>
  <c r="AE983" i="4"/>
  <c r="AE991" i="4" s="1"/>
  <c r="AE42" i="66" s="1"/>
  <c r="AS983" i="4"/>
  <c r="AS991" i="4" s="1"/>
  <c r="AS42" i="66" s="1"/>
  <c r="BX983" i="4"/>
  <c r="BX991" i="4" s="1"/>
  <c r="BX42" i="66" s="1"/>
  <c r="BW983" i="4"/>
  <c r="BW991" i="4" s="1"/>
  <c r="BW42" i="66" s="1"/>
  <c r="BD983" i="4"/>
  <c r="BD991" i="4" s="1"/>
  <c r="BD42" i="66" s="1"/>
  <c r="BH983" i="4"/>
  <c r="BH991" i="4" s="1"/>
  <c r="BH42" i="66" s="1"/>
  <c r="M424" i="4"/>
  <c r="AY983" i="4"/>
  <c r="AY991" i="4" s="1"/>
  <c r="AY42" i="66" s="1"/>
  <c r="AU983" i="4"/>
  <c r="AU991" i="4" s="1"/>
  <c r="AU42" i="66" s="1"/>
  <c r="BQ983" i="4"/>
  <c r="BQ991" i="4" s="1"/>
  <c r="BQ42" i="66" s="1"/>
  <c r="CI983" i="4"/>
  <c r="CI991" i="4" s="1"/>
  <c r="CI42" i="66" s="1"/>
  <c r="CG983" i="4"/>
  <c r="CG991" i="4" s="1"/>
  <c r="CG42" i="66" s="1"/>
  <c r="AV983" i="4"/>
  <c r="AV991" i="4" s="1"/>
  <c r="AV42" i="66" s="1"/>
  <c r="AX983" i="4"/>
  <c r="AX991" i="4" s="1"/>
  <c r="AX42" i="66" s="1"/>
  <c r="Y983" i="4"/>
  <c r="Y991" i="4" s="1"/>
  <c r="Y42" i="66" s="1"/>
  <c r="CH983" i="4"/>
  <c r="CH991" i="4" s="1"/>
  <c r="CH42" i="66" s="1"/>
  <c r="BU983" i="4"/>
  <c r="BU991" i="4" s="1"/>
  <c r="BU42" i="66" s="1"/>
  <c r="BZ983" i="4"/>
  <c r="BZ991" i="4" s="1"/>
  <c r="BZ42" i="66" s="1"/>
  <c r="AP983" i="4"/>
  <c r="AP991" i="4" s="1"/>
  <c r="AP42" i="66" s="1"/>
  <c r="BE983" i="4"/>
  <c r="BE991" i="4" s="1"/>
  <c r="BE42" i="66" s="1"/>
  <c r="L355" i="4"/>
  <c r="L356" i="4" s="1"/>
  <c r="L357" i="4" s="1"/>
  <c r="L358" i="4" s="1"/>
  <c r="L359" i="4" s="1"/>
  <c r="M354" i="4" s="1"/>
  <c r="AZ983" i="4"/>
  <c r="AZ991" i="4" s="1"/>
  <c r="AZ42" i="66" s="1"/>
  <c r="BK983" i="4"/>
  <c r="BK991" i="4" s="1"/>
  <c r="BK42" i="66" s="1"/>
  <c r="AI983" i="4"/>
  <c r="AI991" i="4" s="1"/>
  <c r="AI42" i="66" s="1"/>
  <c r="AR983" i="4"/>
  <c r="AR991" i="4" s="1"/>
  <c r="AR42" i="66" s="1"/>
  <c r="O326" i="4"/>
  <c r="P326" i="4" s="1"/>
  <c r="CO32" i="66"/>
  <c r="I32" i="66" s="1"/>
  <c r="I33" i="66"/>
  <c r="CN1387" i="4"/>
  <c r="I1387" i="4" s="1"/>
  <c r="I82" i="11"/>
  <c r="L365" i="4"/>
  <c r="L366" i="4" s="1"/>
  <c r="L367" i="4" s="1"/>
  <c r="L368" i="4" s="1"/>
  <c r="L369" i="4" s="1"/>
  <c r="M364" i="4" s="1"/>
  <c r="M323" i="4"/>
  <c r="M435" i="4"/>
  <c r="L434" i="4"/>
  <c r="L436" i="4" s="1"/>
  <c r="L437" i="4" s="1"/>
  <c r="L438" i="4" s="1"/>
  <c r="L439" i="4" s="1"/>
  <c r="M433" i="4" s="1"/>
  <c r="M322" i="4"/>
  <c r="N322" i="4" s="1"/>
  <c r="O322" i="4" s="1"/>
  <c r="M325" i="4"/>
  <c r="M446" i="4"/>
  <c r="L375" i="4"/>
  <c r="L376" i="4" s="1"/>
  <c r="L377" i="4" s="1"/>
  <c r="L378" i="4" s="1"/>
  <c r="L379" i="4" s="1"/>
  <c r="M374" i="4" s="1"/>
  <c r="L445" i="4"/>
  <c r="L447" i="4" s="1"/>
  <c r="L448" i="4" s="1"/>
  <c r="L449" i="4" s="1"/>
  <c r="L450" i="4" s="1"/>
  <c r="M444" i="4" s="1"/>
  <c r="O320" i="4"/>
  <c r="P320" i="4" s="1"/>
  <c r="M327" i="4"/>
  <c r="N327" i="4" s="1"/>
  <c r="M321" i="4"/>
  <c r="CO304" i="4"/>
  <c r="I296" i="4"/>
  <c r="I983" i="4" l="1"/>
  <c r="N424" i="4"/>
  <c r="N321" i="4"/>
  <c r="O321" i="4" s="1"/>
  <c r="M423" i="4"/>
  <c r="M425" i="4" s="1"/>
  <c r="M426" i="4" s="1"/>
  <c r="M427" i="4" s="1"/>
  <c r="M428" i="4" s="1"/>
  <c r="N422" i="4" s="1"/>
  <c r="Q326" i="4"/>
  <c r="R326" i="4" s="1"/>
  <c r="N325" i="4"/>
  <c r="O325" i="4" s="1"/>
  <c r="O327" i="4"/>
  <c r="N323" i="4"/>
  <c r="O323" i="4" s="1"/>
  <c r="P323" i="4" s="1"/>
  <c r="Q320" i="4"/>
  <c r="R320" i="4" s="1"/>
  <c r="S320" i="4" s="1"/>
  <c r="M355" i="4"/>
  <c r="M356" i="4" s="1"/>
  <c r="M357" i="4" s="1"/>
  <c r="M358" i="4" s="1"/>
  <c r="M359" i="4" s="1"/>
  <c r="N354" i="4" s="1"/>
  <c r="N446" i="4"/>
  <c r="M375" i="4"/>
  <c r="M376" i="4" s="1"/>
  <c r="M377" i="4" s="1"/>
  <c r="M378" i="4" s="1"/>
  <c r="M379" i="4" s="1"/>
  <c r="N374" i="4" s="1"/>
  <c r="M445" i="4"/>
  <c r="M447" i="4" s="1"/>
  <c r="M448" i="4" s="1"/>
  <c r="M449" i="4" s="1"/>
  <c r="M450" i="4" s="1"/>
  <c r="N444" i="4" s="1"/>
  <c r="P322" i="4"/>
  <c r="N435" i="4"/>
  <c r="M365" i="4"/>
  <c r="M366" i="4" s="1"/>
  <c r="M367" i="4" s="1"/>
  <c r="M368" i="4" s="1"/>
  <c r="M369" i="4" s="1"/>
  <c r="N364" i="4" s="1"/>
  <c r="M434" i="4"/>
  <c r="M436" i="4" s="1"/>
  <c r="M437" i="4" s="1"/>
  <c r="M438" i="4" s="1"/>
  <c r="M439" i="4" s="1"/>
  <c r="N433" i="4" s="1"/>
  <c r="CO46" i="67"/>
  <c r="S326" i="4" l="1"/>
  <c r="T326" i="4" s="1"/>
  <c r="N355" i="4"/>
  <c r="N356" i="4" s="1"/>
  <c r="N357" i="4" s="1"/>
  <c r="N358" i="4" s="1"/>
  <c r="N359" i="4" s="1"/>
  <c r="O354" i="4" s="1"/>
  <c r="O424" i="4"/>
  <c r="O423" i="4" s="1"/>
  <c r="N423" i="4"/>
  <c r="N425" i="4" s="1"/>
  <c r="N426" i="4" s="1"/>
  <c r="N427" i="4" s="1"/>
  <c r="N428" i="4" s="1"/>
  <c r="O422" i="4" s="1"/>
  <c r="P321" i="4"/>
  <c r="Q321" i="4" s="1"/>
  <c r="R321" i="4" s="1"/>
  <c r="P424" i="4"/>
  <c r="O355" i="4"/>
  <c r="O446" i="4"/>
  <c r="O445" i="4" s="1"/>
  <c r="N445" i="4"/>
  <c r="N447" i="4" s="1"/>
  <c r="N448" i="4" s="1"/>
  <c r="N449" i="4" s="1"/>
  <c r="N450" i="4" s="1"/>
  <c r="O444" i="4" s="1"/>
  <c r="N375" i="4"/>
  <c r="N376" i="4" s="1"/>
  <c r="N377" i="4" s="1"/>
  <c r="N378" i="4" s="1"/>
  <c r="N379" i="4" s="1"/>
  <c r="O374" i="4" s="1"/>
  <c r="P325" i="4"/>
  <c r="P375" i="4" s="1"/>
  <c r="P446" i="4"/>
  <c r="O375" i="4"/>
  <c r="T320" i="4"/>
  <c r="U320" i="4" s="1"/>
  <c r="V320" i="4" s="1"/>
  <c r="P435" i="4"/>
  <c r="O365" i="4"/>
  <c r="P327" i="4"/>
  <c r="P365" i="4" s="1"/>
  <c r="Q322" i="4"/>
  <c r="O435" i="4"/>
  <c r="O434" i="4" s="1"/>
  <c r="N434" i="4"/>
  <c r="N436" i="4" s="1"/>
  <c r="N437" i="4" s="1"/>
  <c r="N438" i="4" s="1"/>
  <c r="N439" i="4" s="1"/>
  <c r="O433" i="4" s="1"/>
  <c r="N365" i="4"/>
  <c r="N366" i="4" s="1"/>
  <c r="N367" i="4" s="1"/>
  <c r="N368" i="4" s="1"/>
  <c r="N369" i="4" s="1"/>
  <c r="O364" i="4" s="1"/>
  <c r="Q323" i="4"/>
  <c r="R424" i="4" l="1"/>
  <c r="Q424" i="4"/>
  <c r="Q423" i="4" s="1"/>
  <c r="P423" i="4"/>
  <c r="S321" i="4"/>
  <c r="T321" i="4" s="1"/>
  <c r="P355" i="4"/>
  <c r="O356" i="4"/>
  <c r="O357" i="4" s="1"/>
  <c r="O358" i="4" s="1"/>
  <c r="O359" i="4" s="1"/>
  <c r="P354" i="4" s="1"/>
  <c r="Q325" i="4"/>
  <c r="Q375" i="4" s="1"/>
  <c r="Q446" i="4"/>
  <c r="O425" i="4"/>
  <c r="O426" i="4" s="1"/>
  <c r="O427" i="4" s="1"/>
  <c r="O428" i="4" s="1"/>
  <c r="P422" i="4" s="1"/>
  <c r="O436" i="4"/>
  <c r="O437" i="4" s="1"/>
  <c r="O438" i="4" s="1"/>
  <c r="O439" i="4" s="1"/>
  <c r="P433" i="4" s="1"/>
  <c r="O447" i="4"/>
  <c r="O448" i="4" s="1"/>
  <c r="O449" i="4" s="1"/>
  <c r="O450" i="4" s="1"/>
  <c r="P444" i="4" s="1"/>
  <c r="R322" i="4"/>
  <c r="S424" i="4" s="1"/>
  <c r="Q355" i="4"/>
  <c r="O376" i="4"/>
  <c r="O377" i="4" s="1"/>
  <c r="O378" i="4" s="1"/>
  <c r="O379" i="4" s="1"/>
  <c r="P374" i="4" s="1"/>
  <c r="P445" i="4"/>
  <c r="W320" i="4"/>
  <c r="X320" i="4" s="1"/>
  <c r="Y320" i="4" s="1"/>
  <c r="Q327" i="4"/>
  <c r="Q365" i="4" s="1"/>
  <c r="P434" i="4"/>
  <c r="O366" i="4"/>
  <c r="O367" i="4" s="1"/>
  <c r="O368" i="4" s="1"/>
  <c r="O369" i="4" s="1"/>
  <c r="P364" i="4" s="1"/>
  <c r="Q435" i="4"/>
  <c r="R323" i="4"/>
  <c r="L82" i="67"/>
  <c r="I82" i="67" s="1"/>
  <c r="I81" i="67"/>
  <c r="U326" i="4"/>
  <c r="U321" i="4" l="1"/>
  <c r="V321" i="4" s="1"/>
  <c r="P376" i="4"/>
  <c r="P377" i="4" s="1"/>
  <c r="P378" i="4" s="1"/>
  <c r="P379" i="4" s="1"/>
  <c r="Q374" i="4" s="1"/>
  <c r="Q445" i="4"/>
  <c r="P356" i="4"/>
  <c r="Q356" i="4" s="1"/>
  <c r="R446" i="4"/>
  <c r="R423" i="4"/>
  <c r="R355" i="4"/>
  <c r="R325" i="4"/>
  <c r="S325" i="4" s="1"/>
  <c r="T446" i="4" s="1"/>
  <c r="P436" i="4"/>
  <c r="P437" i="4" s="1"/>
  <c r="P438" i="4" s="1"/>
  <c r="P439" i="4" s="1"/>
  <c r="Q433" i="4" s="1"/>
  <c r="Q434" i="4"/>
  <c r="R327" i="4"/>
  <c r="S327" i="4" s="1"/>
  <c r="T327" i="4" s="1"/>
  <c r="P425" i="4"/>
  <c r="P426" i="4" s="1"/>
  <c r="P427" i="4" s="1"/>
  <c r="P428" i="4" s="1"/>
  <c r="Q422" i="4" s="1"/>
  <c r="S322" i="4"/>
  <c r="T322" i="4" s="1"/>
  <c r="P447" i="4"/>
  <c r="P448" i="4" s="1"/>
  <c r="P449" i="4" s="1"/>
  <c r="P450" i="4" s="1"/>
  <c r="Q444" i="4" s="1"/>
  <c r="S323" i="4"/>
  <c r="P366" i="4"/>
  <c r="P367" i="4" s="1"/>
  <c r="P368" i="4" s="1"/>
  <c r="P369" i="4" s="1"/>
  <c r="Q364" i="4" s="1"/>
  <c r="R435" i="4"/>
  <c r="Z320" i="4"/>
  <c r="V326" i="4"/>
  <c r="P357" i="4" l="1"/>
  <c r="P358" i="4" s="1"/>
  <c r="P359" i="4" s="1"/>
  <c r="Q354" i="4" s="1"/>
  <c r="Q376" i="4"/>
  <c r="Q377" i="4" s="1"/>
  <c r="Q378" i="4" s="1"/>
  <c r="Q379" i="4" s="1"/>
  <c r="R374" i="4" s="1"/>
  <c r="T325" i="4"/>
  <c r="U325" i="4" s="1"/>
  <c r="V446" i="4" s="1"/>
  <c r="S446" i="4"/>
  <c r="S445" i="4" s="1"/>
  <c r="R375" i="4"/>
  <c r="R445" i="4"/>
  <c r="S375" i="4"/>
  <c r="R365" i="4"/>
  <c r="S355" i="4"/>
  <c r="Q436" i="4"/>
  <c r="Q437" i="4" s="1"/>
  <c r="Q438" i="4" s="1"/>
  <c r="Q439" i="4" s="1"/>
  <c r="R433" i="4" s="1"/>
  <c r="R434" i="4"/>
  <c r="S435" i="4"/>
  <c r="S434" i="4" s="1"/>
  <c r="U327" i="4"/>
  <c r="V327" i="4" s="1"/>
  <c r="W327" i="4" s="1"/>
  <c r="X327" i="4" s="1"/>
  <c r="Y327" i="4" s="1"/>
  <c r="Z327" i="4" s="1"/>
  <c r="AA327" i="4" s="1"/>
  <c r="AB327" i="4" s="1"/>
  <c r="AC327" i="4" s="1"/>
  <c r="AD327" i="4" s="1"/>
  <c r="AE327" i="4" s="1"/>
  <c r="AF327" i="4" s="1"/>
  <c r="AG327" i="4" s="1"/>
  <c r="AH327" i="4" s="1"/>
  <c r="AI327" i="4" s="1"/>
  <c r="AJ327" i="4" s="1"/>
  <c r="AK327" i="4" s="1"/>
  <c r="AL327" i="4" s="1"/>
  <c r="AM327" i="4" s="1"/>
  <c r="AN327" i="4" s="1"/>
  <c r="AO327" i="4" s="1"/>
  <c r="AP327" i="4" s="1"/>
  <c r="AQ327" i="4" s="1"/>
  <c r="AR327" i="4" s="1"/>
  <c r="AS327" i="4" s="1"/>
  <c r="AT327" i="4" s="1"/>
  <c r="AU327" i="4" s="1"/>
  <c r="AV327" i="4" s="1"/>
  <c r="AW327" i="4" s="1"/>
  <c r="AX327" i="4" s="1"/>
  <c r="AY327" i="4" s="1"/>
  <c r="AZ327" i="4" s="1"/>
  <c r="BA327" i="4" s="1"/>
  <c r="BB327" i="4" s="1"/>
  <c r="BC327" i="4" s="1"/>
  <c r="BD327" i="4" s="1"/>
  <c r="BE327" i="4" s="1"/>
  <c r="BF327" i="4" s="1"/>
  <c r="BG327" i="4" s="1"/>
  <c r="BH327" i="4" s="1"/>
  <c r="BI327" i="4" s="1"/>
  <c r="BJ327" i="4" s="1"/>
  <c r="BK327" i="4" s="1"/>
  <c r="BL327" i="4" s="1"/>
  <c r="BM327" i="4" s="1"/>
  <c r="BN327" i="4" s="1"/>
  <c r="BO327" i="4" s="1"/>
  <c r="BP327" i="4" s="1"/>
  <c r="BQ327" i="4" s="1"/>
  <c r="BR327" i="4" s="1"/>
  <c r="BS327" i="4" s="1"/>
  <c r="BT327" i="4" s="1"/>
  <c r="BU327" i="4" s="1"/>
  <c r="BV327" i="4" s="1"/>
  <c r="BW327" i="4" s="1"/>
  <c r="BX327" i="4" s="1"/>
  <c r="BY327" i="4" s="1"/>
  <c r="BZ327" i="4" s="1"/>
  <c r="CA327" i="4" s="1"/>
  <c r="CB327" i="4" s="1"/>
  <c r="CC327" i="4" s="1"/>
  <c r="CD327" i="4" s="1"/>
  <c r="CE327" i="4" s="1"/>
  <c r="CF327" i="4" s="1"/>
  <c r="CG327" i="4" s="1"/>
  <c r="CH327" i="4" s="1"/>
  <c r="CI327" i="4" s="1"/>
  <c r="CJ327" i="4" s="1"/>
  <c r="CK327" i="4" s="1"/>
  <c r="CL327" i="4" s="1"/>
  <c r="CM327" i="4" s="1"/>
  <c r="CN327" i="4" s="1"/>
  <c r="CO327" i="4" s="1"/>
  <c r="I327" i="4" s="1"/>
  <c r="T424" i="4"/>
  <c r="T423" i="4" s="1"/>
  <c r="Q447" i="4"/>
  <c r="Q448" i="4" s="1"/>
  <c r="Q449" i="4" s="1"/>
  <c r="Q450" i="4" s="1"/>
  <c r="R444" i="4" s="1"/>
  <c r="Q425" i="4"/>
  <c r="S423" i="4"/>
  <c r="R356" i="4"/>
  <c r="T323" i="4"/>
  <c r="U323" i="4" s="1"/>
  <c r="Q366" i="4"/>
  <c r="Q367" i="4" s="1"/>
  <c r="Q368" i="4" s="1"/>
  <c r="Q369" i="4" s="1"/>
  <c r="R364" i="4" s="1"/>
  <c r="T435" i="4"/>
  <c r="S365" i="4"/>
  <c r="U424" i="4"/>
  <c r="U322" i="4"/>
  <c r="T355" i="4"/>
  <c r="AA320" i="4"/>
  <c r="W321" i="4"/>
  <c r="W326" i="4"/>
  <c r="Q357" i="4" l="1"/>
  <c r="Q358" i="4" s="1"/>
  <c r="Q359" i="4" s="1"/>
  <c r="R354" i="4" s="1"/>
  <c r="R376" i="4"/>
  <c r="R377" i="4" s="1"/>
  <c r="R378" i="4" s="1"/>
  <c r="R379" i="4" s="1"/>
  <c r="S374" i="4" s="1"/>
  <c r="T375" i="4"/>
  <c r="T445" i="4"/>
  <c r="U375" i="4"/>
  <c r="V325" i="4"/>
  <c r="V375" i="4" s="1"/>
  <c r="U446" i="4"/>
  <c r="U445" i="4" s="1"/>
  <c r="R436" i="4"/>
  <c r="R437" i="4" s="1"/>
  <c r="R438" i="4" s="1"/>
  <c r="R439" i="4" s="1"/>
  <c r="S433" i="4" s="1"/>
  <c r="U435" i="4"/>
  <c r="U434" i="4" s="1"/>
  <c r="T434" i="4"/>
  <c r="T365" i="4"/>
  <c r="R447" i="4"/>
  <c r="R448" i="4" s="1"/>
  <c r="R449" i="4" s="1"/>
  <c r="R450" i="4" s="1"/>
  <c r="S444" i="4" s="1"/>
  <c r="R366" i="4"/>
  <c r="R367" i="4" s="1"/>
  <c r="R368" i="4" s="1"/>
  <c r="R369" i="4" s="1"/>
  <c r="Q426" i="4"/>
  <c r="Q427" i="4" s="1"/>
  <c r="Q428" i="4" s="1"/>
  <c r="R422" i="4" s="1"/>
  <c r="R425" i="4"/>
  <c r="S356" i="4"/>
  <c r="V435" i="4"/>
  <c r="V323" i="4"/>
  <c r="W435" i="4" s="1"/>
  <c r="U365" i="4"/>
  <c r="V322" i="4"/>
  <c r="V424" i="4"/>
  <c r="U423" i="4"/>
  <c r="U355" i="4"/>
  <c r="AB320" i="4"/>
  <c r="X321" i="4"/>
  <c r="X326" i="4"/>
  <c r="R357" i="4" l="1"/>
  <c r="R358" i="4" s="1"/>
  <c r="R359" i="4" s="1"/>
  <c r="S354" i="4" s="1"/>
  <c r="S376" i="4"/>
  <c r="S377" i="4" s="1"/>
  <c r="S378" i="4" s="1"/>
  <c r="S379" i="4" s="1"/>
  <c r="T374" i="4" s="1"/>
  <c r="W446" i="4"/>
  <c r="W325" i="4"/>
  <c r="X325" i="4" s="1"/>
  <c r="X375" i="4" s="1"/>
  <c r="V445" i="4"/>
  <c r="S436" i="4"/>
  <c r="S437" i="4" s="1"/>
  <c r="S438" i="4" s="1"/>
  <c r="S439" i="4" s="1"/>
  <c r="T433" i="4" s="1"/>
  <c r="R426" i="4"/>
  <c r="R427" i="4" s="1"/>
  <c r="R428" i="4" s="1"/>
  <c r="S422" i="4" s="1"/>
  <c r="S366" i="4"/>
  <c r="T366" i="4" s="1"/>
  <c r="U366" i="4" s="1"/>
  <c r="T356" i="4"/>
  <c r="U356" i="4" s="1"/>
  <c r="V365" i="4"/>
  <c r="W323" i="4"/>
  <c r="X323" i="4" s="1"/>
  <c r="V434" i="4"/>
  <c r="S425" i="4"/>
  <c r="S447" i="4"/>
  <c r="W322" i="4"/>
  <c r="W424" i="4"/>
  <c r="V423" i="4"/>
  <c r="V355" i="4"/>
  <c r="AC320" i="4"/>
  <c r="Y321" i="4"/>
  <c r="Y326" i="4"/>
  <c r="S364" i="4"/>
  <c r="T376" i="4" l="1"/>
  <c r="T377" i="4" s="1"/>
  <c r="T378" i="4" s="1"/>
  <c r="T379" i="4" s="1"/>
  <c r="U374" i="4" s="1"/>
  <c r="S357" i="4"/>
  <c r="S358" i="4" s="1"/>
  <c r="S359" i="4" s="1"/>
  <c r="T354" i="4" s="1"/>
  <c r="W375" i="4"/>
  <c r="X446" i="4"/>
  <c r="X445" i="4" s="1"/>
  <c r="Y446" i="4"/>
  <c r="W445" i="4"/>
  <c r="Y325" i="4"/>
  <c r="Z325" i="4" s="1"/>
  <c r="Z375" i="4" s="1"/>
  <c r="V366" i="4"/>
  <c r="T436" i="4"/>
  <c r="U436" i="4" s="1"/>
  <c r="V436" i="4" s="1"/>
  <c r="S367" i="4"/>
  <c r="S368" i="4" s="1"/>
  <c r="S369" i="4" s="1"/>
  <c r="W365" i="4"/>
  <c r="X435" i="4"/>
  <c r="X434" i="4" s="1"/>
  <c r="W434" i="4"/>
  <c r="V356" i="4"/>
  <c r="S448" i="4"/>
  <c r="S449" i="4" s="1"/>
  <c r="S450" i="4" s="1"/>
  <c r="T444" i="4" s="1"/>
  <c r="T447" i="4"/>
  <c r="S426" i="4"/>
  <c r="S427" i="4" s="1"/>
  <c r="S428" i="4" s="1"/>
  <c r="T422" i="4" s="1"/>
  <c r="T425" i="4"/>
  <c r="X365" i="4"/>
  <c r="Y323" i="4"/>
  <c r="Y435" i="4"/>
  <c r="X322" i="4"/>
  <c r="X424" i="4"/>
  <c r="W355" i="4"/>
  <c r="W423" i="4"/>
  <c r="AD320" i="4"/>
  <c r="Z326" i="4"/>
  <c r="Z321" i="4"/>
  <c r="U376" i="4" l="1"/>
  <c r="U377" i="4" s="1"/>
  <c r="U378" i="4" s="1"/>
  <c r="U379" i="4" s="1"/>
  <c r="V374" i="4" s="1"/>
  <c r="T357" i="4"/>
  <c r="T358" i="4" s="1"/>
  <c r="T359" i="4" s="1"/>
  <c r="U354" i="4" s="1"/>
  <c r="Y445" i="4"/>
  <c r="Y375" i="4"/>
  <c r="Z446" i="4"/>
  <c r="Z445" i="4" s="1"/>
  <c r="AA446" i="4"/>
  <c r="AA325" i="4"/>
  <c r="AB446" i="4" s="1"/>
  <c r="T437" i="4"/>
  <c r="T438" i="4" s="1"/>
  <c r="T439" i="4" s="1"/>
  <c r="U433" i="4" s="1"/>
  <c r="W366" i="4"/>
  <c r="X366" i="4" s="1"/>
  <c r="W356" i="4"/>
  <c r="T426" i="4"/>
  <c r="T427" i="4" s="1"/>
  <c r="T428" i="4" s="1"/>
  <c r="U422" i="4" s="1"/>
  <c r="U425" i="4"/>
  <c r="W436" i="4"/>
  <c r="T448" i="4"/>
  <c r="T449" i="4" s="1"/>
  <c r="T450" i="4" s="1"/>
  <c r="U444" i="4" s="1"/>
  <c r="U447" i="4"/>
  <c r="Y322" i="4"/>
  <c r="X423" i="4"/>
  <c r="X355" i="4"/>
  <c r="Y424" i="4"/>
  <c r="Z323" i="4"/>
  <c r="Y434" i="4"/>
  <c r="Z435" i="4"/>
  <c r="Y365" i="4"/>
  <c r="AE320" i="4"/>
  <c r="AA326" i="4"/>
  <c r="AA321" i="4"/>
  <c r="T367" i="4"/>
  <c r="T364" i="4"/>
  <c r="V376" i="4" l="1"/>
  <c r="V377" i="4" s="1"/>
  <c r="V378" i="4" s="1"/>
  <c r="V379" i="4" s="1"/>
  <c r="W374" i="4" s="1"/>
  <c r="U357" i="4"/>
  <c r="U358" i="4" s="1"/>
  <c r="U359" i="4" s="1"/>
  <c r="V354" i="4" s="1"/>
  <c r="AA375" i="4"/>
  <c r="AB325" i="4"/>
  <c r="AC325" i="4" s="1"/>
  <c r="AD446" i="4" s="1"/>
  <c r="AA445" i="4"/>
  <c r="X356" i="4"/>
  <c r="U437" i="4"/>
  <c r="U438" i="4" s="1"/>
  <c r="U439" i="4" s="1"/>
  <c r="V433" i="4" s="1"/>
  <c r="U448" i="4"/>
  <c r="U449" i="4" s="1"/>
  <c r="U450" i="4" s="1"/>
  <c r="V444" i="4" s="1"/>
  <c r="V447" i="4"/>
  <c r="X436" i="4"/>
  <c r="U426" i="4"/>
  <c r="U427" i="4" s="1"/>
  <c r="U428" i="4" s="1"/>
  <c r="V422" i="4" s="1"/>
  <c r="V425" i="4"/>
  <c r="Y366" i="4"/>
  <c r="AA435" i="4"/>
  <c r="Z365" i="4"/>
  <c r="Z424" i="4"/>
  <c r="Y355" i="4"/>
  <c r="Y423" i="4"/>
  <c r="AA323" i="4"/>
  <c r="Z322" i="4"/>
  <c r="Z434" i="4"/>
  <c r="AF320" i="4"/>
  <c r="AG320" i="4" s="1"/>
  <c r="AB321" i="4"/>
  <c r="AB326" i="4"/>
  <c r="T368" i="4"/>
  <c r="T369" i="4" s="1"/>
  <c r="AB445" i="4" l="1"/>
  <c r="W376" i="4"/>
  <c r="X376" i="4" s="1"/>
  <c r="Y376" i="4" s="1"/>
  <c r="AB375" i="4"/>
  <c r="AC375" i="4"/>
  <c r="V357" i="4"/>
  <c r="V358" i="4" s="1"/>
  <c r="V359" i="4" s="1"/>
  <c r="W354" i="4" s="1"/>
  <c r="AD325" i="4"/>
  <c r="AD375" i="4" s="1"/>
  <c r="AC446" i="4"/>
  <c r="AC445" i="4" s="1"/>
  <c r="Y356" i="4"/>
  <c r="V437" i="4"/>
  <c r="V438" i="4" s="1"/>
  <c r="V439" i="4" s="1"/>
  <c r="W433" i="4" s="1"/>
  <c r="Z366" i="4"/>
  <c r="Y436" i="4"/>
  <c r="V426" i="4"/>
  <c r="V427" i="4" s="1"/>
  <c r="V428" i="4" s="1"/>
  <c r="W422" i="4" s="1"/>
  <c r="W425" i="4"/>
  <c r="V448" i="4"/>
  <c r="V449" i="4" s="1"/>
  <c r="V450" i="4" s="1"/>
  <c r="W444" i="4" s="1"/>
  <c r="W447" i="4"/>
  <c r="AA322" i="4"/>
  <c r="AB322" i="4" s="1"/>
  <c r="Z423" i="4"/>
  <c r="AA424" i="4"/>
  <c r="Z355" i="4"/>
  <c r="AB435" i="4"/>
  <c r="AA365" i="4"/>
  <c r="AA434" i="4"/>
  <c r="AB323" i="4"/>
  <c r="AC323" i="4" s="1"/>
  <c r="AH320" i="4"/>
  <c r="AC321" i="4"/>
  <c r="AC326" i="4"/>
  <c r="U367" i="4"/>
  <c r="U364" i="4"/>
  <c r="W377" i="4" l="1"/>
  <c r="W378" i="4" s="1"/>
  <c r="W379" i="4" s="1"/>
  <c r="X374" i="4" s="1"/>
  <c r="AE446" i="4"/>
  <c r="W357" i="4"/>
  <c r="W358" i="4" s="1"/>
  <c r="W359" i="4" s="1"/>
  <c r="X354" i="4" s="1"/>
  <c r="AD445" i="4"/>
  <c r="AE325" i="4"/>
  <c r="AF325" i="4" s="1"/>
  <c r="AG446" i="4" s="1"/>
  <c r="Z356" i="4"/>
  <c r="W437" i="4"/>
  <c r="W438" i="4" s="1"/>
  <c r="W439" i="4" s="1"/>
  <c r="X433" i="4" s="1"/>
  <c r="Z436" i="4"/>
  <c r="AA366" i="4"/>
  <c r="W448" i="4"/>
  <c r="W449" i="4" s="1"/>
  <c r="W450" i="4" s="1"/>
  <c r="X444" i="4" s="1"/>
  <c r="X447" i="4"/>
  <c r="W426" i="4"/>
  <c r="W427" i="4" s="1"/>
  <c r="W428" i="4" s="1"/>
  <c r="X422" i="4" s="1"/>
  <c r="X425" i="4"/>
  <c r="AC322" i="4"/>
  <c r="AD322" i="4" s="1"/>
  <c r="AC424" i="4"/>
  <c r="AB355" i="4"/>
  <c r="AD435" i="4"/>
  <c r="AC365" i="4"/>
  <c r="AB424" i="4"/>
  <c r="AB423" i="4" s="1"/>
  <c r="AA423" i="4"/>
  <c r="AA355" i="4"/>
  <c r="Z376" i="4"/>
  <c r="AC435" i="4"/>
  <c r="AC434" i="4" s="1"/>
  <c r="AB365" i="4"/>
  <c r="AB434" i="4"/>
  <c r="AD323" i="4"/>
  <c r="AI320" i="4"/>
  <c r="AD326" i="4"/>
  <c r="AD321" i="4"/>
  <c r="U368" i="4"/>
  <c r="U369" i="4" s="1"/>
  <c r="X377" i="4" l="1"/>
  <c r="X378" i="4" s="1"/>
  <c r="X379" i="4" s="1"/>
  <c r="Y374" i="4" s="1"/>
  <c r="AC423" i="4"/>
  <c r="AF446" i="4"/>
  <c r="AF445" i="4" s="1"/>
  <c r="X357" i="4"/>
  <c r="X358" i="4" s="1"/>
  <c r="X359" i="4" s="1"/>
  <c r="Y354" i="4" s="1"/>
  <c r="AF375" i="4"/>
  <c r="AG325" i="4"/>
  <c r="AH325" i="4" s="1"/>
  <c r="AI446" i="4" s="1"/>
  <c r="AE375" i="4"/>
  <c r="AE445" i="4"/>
  <c r="AA356" i="4"/>
  <c r="AB356" i="4" s="1"/>
  <c r="X437" i="4"/>
  <c r="X438" i="4" s="1"/>
  <c r="X439" i="4" s="1"/>
  <c r="Y433" i="4" s="1"/>
  <c r="AD424" i="4"/>
  <c r="AD423" i="4" s="1"/>
  <c r="AB366" i="4"/>
  <c r="AC366" i="4" s="1"/>
  <c r="AA436" i="4"/>
  <c r="X426" i="4"/>
  <c r="X427" i="4" s="1"/>
  <c r="X428" i="4" s="1"/>
  <c r="Y422" i="4" s="1"/>
  <c r="Y425" i="4"/>
  <c r="X448" i="4"/>
  <c r="X449" i="4" s="1"/>
  <c r="X450" i="4" s="1"/>
  <c r="Y444" i="4" s="1"/>
  <c r="Y447" i="4"/>
  <c r="AC355" i="4"/>
  <c r="AA376" i="4"/>
  <c r="AE322" i="4"/>
  <c r="AF322" i="4" s="1"/>
  <c r="AG322" i="4" s="1"/>
  <c r="AE323" i="4"/>
  <c r="AF323" i="4" s="1"/>
  <c r="AG435" i="4" s="1"/>
  <c r="AE435" i="4"/>
  <c r="AD434" i="4"/>
  <c r="AD365" i="4"/>
  <c r="AE424" i="4"/>
  <c r="AJ320" i="4"/>
  <c r="AE321" i="4"/>
  <c r="AD355" i="4"/>
  <c r="AE326" i="4"/>
  <c r="V367" i="4"/>
  <c r="V364" i="4"/>
  <c r="Y377" i="4" l="1"/>
  <c r="Y378" i="4" s="1"/>
  <c r="Y379" i="4" s="1"/>
  <c r="Z374" i="4" s="1"/>
  <c r="Y357" i="4"/>
  <c r="Y358" i="4" s="1"/>
  <c r="Y359" i="4" s="1"/>
  <c r="Z354" i="4" s="1"/>
  <c r="AG445" i="4"/>
  <c r="AH446" i="4"/>
  <c r="AH445" i="4" s="1"/>
  <c r="AG375" i="4"/>
  <c r="AH375" i="4"/>
  <c r="AI325" i="4"/>
  <c r="AJ446" i="4" s="1"/>
  <c r="Y437" i="4"/>
  <c r="Y438" i="4" s="1"/>
  <c r="Y439" i="4" s="1"/>
  <c r="Z433" i="4" s="1"/>
  <c r="AC356" i="4"/>
  <c r="AD356" i="4" s="1"/>
  <c r="AB436" i="4"/>
  <c r="Y448" i="4"/>
  <c r="Y449" i="4" s="1"/>
  <c r="Y450" i="4" s="1"/>
  <c r="Z444" i="4" s="1"/>
  <c r="Z447" i="4"/>
  <c r="Y426" i="4"/>
  <c r="Y427" i="4" s="1"/>
  <c r="Y428" i="4" s="1"/>
  <c r="Z422" i="4" s="1"/>
  <c r="Z425" i="4"/>
  <c r="AE434" i="4"/>
  <c r="AF435" i="4"/>
  <c r="AF434" i="4" s="1"/>
  <c r="AE365" i="4"/>
  <c r="AG323" i="4"/>
  <c r="AG434" i="4" s="1"/>
  <c r="AH322" i="4"/>
  <c r="AI322" i="4" s="1"/>
  <c r="AJ322" i="4" s="1"/>
  <c r="AF365" i="4"/>
  <c r="AD366" i="4"/>
  <c r="AB376" i="4"/>
  <c r="AF424" i="4"/>
  <c r="AK320" i="4"/>
  <c r="AF321" i="4"/>
  <c r="AE423" i="4"/>
  <c r="AE355" i="4"/>
  <c r="AF326" i="4"/>
  <c r="V368" i="4"/>
  <c r="V369" i="4" s="1"/>
  <c r="Z377" i="4" l="1"/>
  <c r="Z378" i="4" s="1"/>
  <c r="Z379" i="4" s="1"/>
  <c r="AA374" i="4" s="1"/>
  <c r="Z357" i="4"/>
  <c r="Z358" i="4" s="1"/>
  <c r="Z359" i="4" s="1"/>
  <c r="AA354" i="4" s="1"/>
  <c r="AI445" i="4"/>
  <c r="AJ325" i="4"/>
  <c r="AJ445" i="4" s="1"/>
  <c r="AI375" i="4"/>
  <c r="Z437" i="4"/>
  <c r="Z438" i="4" s="1"/>
  <c r="Z439" i="4" s="1"/>
  <c r="AA433" i="4" s="1"/>
  <c r="AC436" i="4"/>
  <c r="Z448" i="4"/>
  <c r="Z449" i="4" s="1"/>
  <c r="Z450" i="4" s="1"/>
  <c r="AA444" i="4" s="1"/>
  <c r="AA447" i="4"/>
  <c r="Z426" i="4"/>
  <c r="Z427" i="4" s="1"/>
  <c r="Z428" i="4" s="1"/>
  <c r="AA422" i="4" s="1"/>
  <c r="AA425" i="4"/>
  <c r="AG365" i="4"/>
  <c r="AH323" i="4"/>
  <c r="AI323" i="4" s="1"/>
  <c r="AH435" i="4"/>
  <c r="AC376" i="4"/>
  <c r="AK322" i="4"/>
  <c r="AE366" i="4"/>
  <c r="AF366" i="4" s="1"/>
  <c r="AG424" i="4"/>
  <c r="AL320" i="4"/>
  <c r="AE356" i="4"/>
  <c r="AG321" i="4"/>
  <c r="AF423" i="4"/>
  <c r="AF355" i="4"/>
  <c r="AG326" i="4"/>
  <c r="AH326" i="4" s="1"/>
  <c r="W367" i="4"/>
  <c r="W364" i="4"/>
  <c r="AA377" i="4" l="1"/>
  <c r="AA378" i="4" s="1"/>
  <c r="AA379" i="4" s="1"/>
  <c r="AB374" i="4" s="1"/>
  <c r="AJ375" i="4"/>
  <c r="AK325" i="4"/>
  <c r="AK375" i="4" s="1"/>
  <c r="AA357" i="4"/>
  <c r="AA358" i="4" s="1"/>
  <c r="AA359" i="4" s="1"/>
  <c r="AB357" i="4" s="1"/>
  <c r="AB358" i="4" s="1"/>
  <c r="AB359" i="4" s="1"/>
  <c r="AK446" i="4"/>
  <c r="AA437" i="4"/>
  <c r="AA438" i="4" s="1"/>
  <c r="AA439" i="4" s="1"/>
  <c r="AB433" i="4" s="1"/>
  <c r="AD436" i="4"/>
  <c r="AH365" i="4"/>
  <c r="AI435" i="4"/>
  <c r="AI434" i="4" s="1"/>
  <c r="AH434" i="4"/>
  <c r="AA426" i="4"/>
  <c r="AA427" i="4" s="1"/>
  <c r="AA428" i="4" s="1"/>
  <c r="AB422" i="4" s="1"/>
  <c r="AB425" i="4"/>
  <c r="AA448" i="4"/>
  <c r="AA449" i="4" s="1"/>
  <c r="AA450" i="4" s="1"/>
  <c r="AB444" i="4" s="1"/>
  <c r="AB447" i="4"/>
  <c r="AG366" i="4"/>
  <c r="AD376" i="4"/>
  <c r="AL322" i="4"/>
  <c r="AH424" i="4"/>
  <c r="AJ323" i="4"/>
  <c r="AK323" i="4" s="1"/>
  <c r="AJ435" i="4"/>
  <c r="AI365" i="4"/>
  <c r="AM320" i="4"/>
  <c r="AI326" i="4"/>
  <c r="AJ326" i="4" s="1"/>
  <c r="AH321" i="4"/>
  <c r="AI424" i="4" s="1"/>
  <c r="AG355" i="4"/>
  <c r="AG423" i="4"/>
  <c r="AF356" i="4"/>
  <c r="W368" i="4"/>
  <c r="W369" i="4" s="1"/>
  <c r="AB377" i="4" l="1"/>
  <c r="AB378" i="4" s="1"/>
  <c r="AB379" i="4" s="1"/>
  <c r="AC374" i="4" s="1"/>
  <c r="AL325" i="4"/>
  <c r="AM325" i="4" s="1"/>
  <c r="AN446" i="4" s="1"/>
  <c r="AL446" i="4"/>
  <c r="AK445" i="4"/>
  <c r="AB354" i="4"/>
  <c r="AC354" i="4"/>
  <c r="AC357" i="4"/>
  <c r="AC358" i="4" s="1"/>
  <c r="AC359" i="4" s="1"/>
  <c r="AB437" i="4"/>
  <c r="AB438" i="4" s="1"/>
  <c r="AB439" i="4" s="1"/>
  <c r="AC433" i="4" s="1"/>
  <c r="AH366" i="4"/>
  <c r="AI366" i="4" s="1"/>
  <c r="AE436" i="4"/>
  <c r="AC447" i="4"/>
  <c r="AB448" i="4"/>
  <c r="AB449" i="4" s="1"/>
  <c r="AB450" i="4" s="1"/>
  <c r="AC444" i="4" s="1"/>
  <c r="AB426" i="4"/>
  <c r="AB427" i="4" s="1"/>
  <c r="AB428" i="4" s="1"/>
  <c r="AC422" i="4" s="1"/>
  <c r="AC425" i="4"/>
  <c r="AE376" i="4"/>
  <c r="AM322" i="4"/>
  <c r="AN322" i="4" s="1"/>
  <c r="AJ434" i="4"/>
  <c r="AL435" i="4"/>
  <c r="AK365" i="4"/>
  <c r="AL323" i="4"/>
  <c r="AN320" i="4"/>
  <c r="AK435" i="4"/>
  <c r="AK434" i="4" s="1"/>
  <c r="AJ365" i="4"/>
  <c r="AG356" i="4"/>
  <c r="AI321" i="4"/>
  <c r="AJ424" i="4" s="1"/>
  <c r="AH355" i="4"/>
  <c r="AH423" i="4"/>
  <c r="AK326" i="4"/>
  <c r="X367" i="4"/>
  <c r="X364" i="4"/>
  <c r="AC377" i="4" l="1"/>
  <c r="AC378" i="4" s="1"/>
  <c r="AC379" i="4" s="1"/>
  <c r="AD374" i="4" s="1"/>
  <c r="AM375" i="4"/>
  <c r="AL445" i="4"/>
  <c r="AN325" i="4"/>
  <c r="AO325" i="4" s="1"/>
  <c r="AL375" i="4"/>
  <c r="AM446" i="4"/>
  <c r="AM445" i="4" s="1"/>
  <c r="AD354" i="4"/>
  <c r="AD357" i="4"/>
  <c r="AD358" i="4" s="1"/>
  <c r="AD359" i="4" s="1"/>
  <c r="AC437" i="4"/>
  <c r="AC438" i="4" s="1"/>
  <c r="AC439" i="4" s="1"/>
  <c r="AD433" i="4" s="1"/>
  <c r="AF436" i="4"/>
  <c r="AJ366" i="4"/>
  <c r="AK366" i="4" s="1"/>
  <c r="AC426" i="4"/>
  <c r="AC427" i="4" s="1"/>
  <c r="AC428" i="4" s="1"/>
  <c r="AD422" i="4" s="1"/>
  <c r="AD425" i="4"/>
  <c r="AD447" i="4"/>
  <c r="AC448" i="4"/>
  <c r="AC449" i="4" s="1"/>
  <c r="AC450" i="4" s="1"/>
  <c r="AD444" i="4" s="1"/>
  <c r="AF376" i="4"/>
  <c r="AO322" i="4"/>
  <c r="AP322" i="4" s="1"/>
  <c r="AM435" i="4"/>
  <c r="AL365" i="4"/>
  <c r="AM323" i="4"/>
  <c r="AL434" i="4"/>
  <c r="AO320" i="4"/>
  <c r="AJ321" i="4"/>
  <c r="AK424" i="4" s="1"/>
  <c r="AI423" i="4"/>
  <c r="AI355" i="4"/>
  <c r="AH356" i="4"/>
  <c r="AL326" i="4"/>
  <c r="X368" i="4"/>
  <c r="X369" i="4" s="1"/>
  <c r="AD377" i="4" l="1"/>
  <c r="AD378" i="4" s="1"/>
  <c r="AD379" i="4" s="1"/>
  <c r="AE374" i="4" s="1"/>
  <c r="AO446" i="4"/>
  <c r="AO445" i="4" s="1"/>
  <c r="AN375" i="4"/>
  <c r="AN445" i="4"/>
  <c r="AE354" i="4"/>
  <c r="AE357" i="4"/>
  <c r="AE358" i="4" s="1"/>
  <c r="AE359" i="4" s="1"/>
  <c r="AD437" i="4"/>
  <c r="AD438" i="4" s="1"/>
  <c r="AD439" i="4" s="1"/>
  <c r="AE433" i="4" s="1"/>
  <c r="AG436" i="4"/>
  <c r="AD448" i="4"/>
  <c r="AD449" i="4" s="1"/>
  <c r="AD450" i="4" s="1"/>
  <c r="AE444" i="4" s="1"/>
  <c r="AE447" i="4"/>
  <c r="AD426" i="4"/>
  <c r="AD427" i="4" s="1"/>
  <c r="AD428" i="4" s="1"/>
  <c r="AE422" i="4" s="1"/>
  <c r="AE425" i="4"/>
  <c r="AG376" i="4"/>
  <c r="AQ322" i="4"/>
  <c r="AR322" i="4" s="1"/>
  <c r="AP446" i="4"/>
  <c r="AO375" i="4"/>
  <c r="AP325" i="4"/>
  <c r="AN435" i="4"/>
  <c r="AM365" i="4"/>
  <c r="AN323" i="4"/>
  <c r="AO323" i="4" s="1"/>
  <c r="AP323" i="4" s="1"/>
  <c r="AL366" i="4"/>
  <c r="AM434" i="4"/>
  <c r="AP320" i="4"/>
  <c r="AK321" i="4"/>
  <c r="AL424" i="4" s="1"/>
  <c r="AJ355" i="4"/>
  <c r="AJ423" i="4"/>
  <c r="AM326" i="4"/>
  <c r="AI356" i="4"/>
  <c r="Y367" i="4"/>
  <c r="Y364" i="4"/>
  <c r="AE377" i="4" l="1"/>
  <c r="AE378" i="4" s="1"/>
  <c r="AE379" i="4" s="1"/>
  <c r="AF374" i="4" s="1"/>
  <c r="AF354" i="4"/>
  <c r="AF357" i="4"/>
  <c r="AF358" i="4" s="1"/>
  <c r="AF359" i="4" s="1"/>
  <c r="AE437" i="4"/>
  <c r="AE438" i="4" s="1"/>
  <c r="AE439" i="4" s="1"/>
  <c r="AF433" i="4" s="1"/>
  <c r="AH436" i="4"/>
  <c r="AE426" i="4"/>
  <c r="AE427" i="4" s="1"/>
  <c r="AE428" i="4" s="1"/>
  <c r="AF422" i="4" s="1"/>
  <c r="AF425" i="4"/>
  <c r="AF447" i="4"/>
  <c r="AE448" i="4"/>
  <c r="AE449" i="4" s="1"/>
  <c r="AE450" i="4" s="1"/>
  <c r="AF444" i="4" s="1"/>
  <c r="AS322" i="4"/>
  <c r="AT322" i="4" s="1"/>
  <c r="AH376" i="4"/>
  <c r="AQ446" i="4"/>
  <c r="AQ325" i="4"/>
  <c r="AP375" i="4"/>
  <c r="AP445" i="4"/>
  <c r="AQ323" i="4"/>
  <c r="AR323" i="4" s="1"/>
  <c r="AQ435" i="4"/>
  <c r="AP365" i="4"/>
  <c r="AQ320" i="4"/>
  <c r="AP435" i="4"/>
  <c r="AP434" i="4" s="1"/>
  <c r="AO365" i="4"/>
  <c r="AO435" i="4"/>
  <c r="AO434" i="4" s="1"/>
  <c r="AN365" i="4"/>
  <c r="AM366" i="4"/>
  <c r="AN434" i="4"/>
  <c r="AN326" i="4"/>
  <c r="AJ356" i="4"/>
  <c r="AL321" i="4"/>
  <c r="AM424" i="4" s="1"/>
  <c r="AK355" i="4"/>
  <c r="AK423" i="4"/>
  <c r="Y368" i="4"/>
  <c r="Y369" i="4" s="1"/>
  <c r="AF377" i="4" l="1"/>
  <c r="AF378" i="4" s="1"/>
  <c r="AF379" i="4" s="1"/>
  <c r="AG374" i="4" s="1"/>
  <c r="AG354" i="4"/>
  <c r="AG357" i="4"/>
  <c r="AG358" i="4" s="1"/>
  <c r="AG359" i="4" s="1"/>
  <c r="AF437" i="4"/>
  <c r="AF438" i="4" s="1"/>
  <c r="AF439" i="4" s="1"/>
  <c r="AG433" i="4" s="1"/>
  <c r="AI436" i="4"/>
  <c r="AG447" i="4"/>
  <c r="AF448" i="4"/>
  <c r="AF449" i="4" s="1"/>
  <c r="AF450" i="4" s="1"/>
  <c r="AG444" i="4" s="1"/>
  <c r="AF426" i="4"/>
  <c r="AF427" i="4" s="1"/>
  <c r="AF428" i="4" s="1"/>
  <c r="AG422" i="4" s="1"/>
  <c r="AG425" i="4"/>
  <c r="AI376" i="4"/>
  <c r="AQ434" i="4"/>
  <c r="AR446" i="4"/>
  <c r="AQ445" i="4"/>
  <c r="AR325" i="4"/>
  <c r="AQ375" i="4"/>
  <c r="AS435" i="4"/>
  <c r="AR365" i="4"/>
  <c r="AN366" i="4"/>
  <c r="AO366" i="4" s="1"/>
  <c r="AP366" i="4" s="1"/>
  <c r="AS323" i="4"/>
  <c r="AR320" i="4"/>
  <c r="AR435" i="4"/>
  <c r="AR434" i="4" s="1"/>
  <c r="AQ365" i="4"/>
  <c r="AM321" i="4"/>
  <c r="AN424" i="4" s="1"/>
  <c r="AL355" i="4"/>
  <c r="AL423" i="4"/>
  <c r="AO326" i="4"/>
  <c r="AK356" i="4"/>
  <c r="Z367" i="4"/>
  <c r="Z364" i="4"/>
  <c r="AU322" i="4"/>
  <c r="AG377" i="4" l="1"/>
  <c r="AG378" i="4" s="1"/>
  <c r="AG379" i="4" s="1"/>
  <c r="AH374" i="4" s="1"/>
  <c r="AH354" i="4"/>
  <c r="AH357" i="4"/>
  <c r="AH358" i="4" s="1"/>
  <c r="AH359" i="4" s="1"/>
  <c r="AG437" i="4"/>
  <c r="AG438" i="4" s="1"/>
  <c r="AG439" i="4" s="1"/>
  <c r="AH433" i="4" s="1"/>
  <c r="AJ436" i="4"/>
  <c r="AG426" i="4"/>
  <c r="AG427" i="4" s="1"/>
  <c r="AG428" i="4" s="1"/>
  <c r="AH422" i="4" s="1"/>
  <c r="AH425" i="4"/>
  <c r="AH447" i="4"/>
  <c r="AG448" i="4"/>
  <c r="AG449" i="4" s="1"/>
  <c r="AG450" i="4" s="1"/>
  <c r="AH444" i="4" s="1"/>
  <c r="AJ376" i="4"/>
  <c r="AS446" i="4"/>
  <c r="AR375" i="4"/>
  <c r="AR445" i="4"/>
  <c r="AS325" i="4"/>
  <c r="AT435" i="4"/>
  <c r="AT323" i="4"/>
  <c r="AS365" i="4"/>
  <c r="AS320" i="4"/>
  <c r="AQ366" i="4"/>
  <c r="AR366" i="4" s="1"/>
  <c r="AS434" i="4"/>
  <c r="AP326" i="4"/>
  <c r="AL356" i="4"/>
  <c r="AN321" i="4"/>
  <c r="AO424" i="4" s="1"/>
  <c r="AM355" i="4"/>
  <c r="AM423" i="4"/>
  <c r="Z368" i="4"/>
  <c r="Z369" i="4" s="1"/>
  <c r="AV322" i="4"/>
  <c r="AH377" i="4" l="1"/>
  <c r="AH378" i="4" s="1"/>
  <c r="AH379" i="4" s="1"/>
  <c r="AI374" i="4" s="1"/>
  <c r="AI354" i="4"/>
  <c r="AI357" i="4"/>
  <c r="AI358" i="4" s="1"/>
  <c r="AI359" i="4" s="1"/>
  <c r="AH437" i="4"/>
  <c r="AH438" i="4" s="1"/>
  <c r="AH439" i="4" s="1"/>
  <c r="AI433" i="4" s="1"/>
  <c r="AK436" i="4"/>
  <c r="AH448" i="4"/>
  <c r="AH449" i="4" s="1"/>
  <c r="AH450" i="4" s="1"/>
  <c r="AI444" i="4" s="1"/>
  <c r="AI447" i="4"/>
  <c r="AH426" i="4"/>
  <c r="AH427" i="4" s="1"/>
  <c r="AH428" i="4" s="1"/>
  <c r="AI422" i="4" s="1"/>
  <c r="AI425" i="4"/>
  <c r="AK376" i="4"/>
  <c r="AT446" i="4"/>
  <c r="AT325" i="4"/>
  <c r="AS375" i="4"/>
  <c r="AS445" i="4"/>
  <c r="AT320" i="4"/>
  <c r="AS366" i="4"/>
  <c r="AU435" i="4"/>
  <c r="AU323" i="4"/>
  <c r="AT365" i="4"/>
  <c r="AT434" i="4"/>
  <c r="AO321" i="4"/>
  <c r="AP424" i="4" s="1"/>
  <c r="AN355" i="4"/>
  <c r="AN423" i="4"/>
  <c r="AQ326" i="4"/>
  <c r="AM356" i="4"/>
  <c r="AA367" i="4"/>
  <c r="AA364" i="4"/>
  <c r="AW322" i="4"/>
  <c r="AI377" i="4" l="1"/>
  <c r="AI378" i="4" s="1"/>
  <c r="AI379" i="4" s="1"/>
  <c r="AJ374" i="4" s="1"/>
  <c r="AJ354" i="4"/>
  <c r="AJ357" i="4"/>
  <c r="AJ358" i="4" s="1"/>
  <c r="AJ359" i="4" s="1"/>
  <c r="AI437" i="4"/>
  <c r="AI438" i="4" s="1"/>
  <c r="AI439" i="4" s="1"/>
  <c r="AJ433" i="4" s="1"/>
  <c r="AL436" i="4"/>
  <c r="AI426" i="4"/>
  <c r="AI427" i="4" s="1"/>
  <c r="AI428" i="4" s="1"/>
  <c r="AJ422" i="4" s="1"/>
  <c r="AJ425" i="4"/>
  <c r="AI448" i="4"/>
  <c r="AI449" i="4" s="1"/>
  <c r="AI450" i="4" s="1"/>
  <c r="AJ444" i="4" s="1"/>
  <c r="AJ447" i="4"/>
  <c r="AL376" i="4"/>
  <c r="AU446" i="4"/>
  <c r="AT375" i="4"/>
  <c r="AU325" i="4"/>
  <c r="AT445" i="4"/>
  <c r="AU434" i="4"/>
  <c r="AV435" i="4"/>
  <c r="AU365" i="4"/>
  <c r="AV323" i="4"/>
  <c r="AW323" i="4" s="1"/>
  <c r="AU320" i="4"/>
  <c r="AT366" i="4"/>
  <c r="AN356" i="4"/>
  <c r="AR326" i="4"/>
  <c r="AS326" i="4" s="1"/>
  <c r="AT326" i="4" s="1"/>
  <c r="AP321" i="4"/>
  <c r="AQ424" i="4" s="1"/>
  <c r="AO423" i="4"/>
  <c r="AO355" i="4"/>
  <c r="AA368" i="4"/>
  <c r="AA369" i="4" s="1"/>
  <c r="AX322" i="4"/>
  <c r="AJ377" i="4" l="1"/>
  <c r="AJ378" i="4" s="1"/>
  <c r="AJ379" i="4" s="1"/>
  <c r="AK374" i="4" s="1"/>
  <c r="AK354" i="4"/>
  <c r="AK357" i="4"/>
  <c r="AK358" i="4" s="1"/>
  <c r="AK359" i="4" s="1"/>
  <c r="AJ437" i="4"/>
  <c r="AJ438" i="4" s="1"/>
  <c r="AJ439" i="4" s="1"/>
  <c r="AK433" i="4" s="1"/>
  <c r="AM436" i="4"/>
  <c r="AJ448" i="4"/>
  <c r="AJ449" i="4" s="1"/>
  <c r="AJ450" i="4" s="1"/>
  <c r="AK444" i="4" s="1"/>
  <c r="AK447" i="4"/>
  <c r="AJ426" i="4"/>
  <c r="AJ427" i="4" s="1"/>
  <c r="AJ428" i="4" s="1"/>
  <c r="AK422" i="4" s="1"/>
  <c r="AK425" i="4"/>
  <c r="AM376" i="4"/>
  <c r="AV446" i="4"/>
  <c r="AU445" i="4"/>
  <c r="AU375" i="4"/>
  <c r="AV325" i="4"/>
  <c r="AU366" i="4"/>
  <c r="AX435" i="4"/>
  <c r="AW365" i="4"/>
  <c r="AX323" i="4"/>
  <c r="AY435" i="4" s="1"/>
  <c r="AV320" i="4"/>
  <c r="AW320" i="4" s="1"/>
  <c r="AX320" i="4" s="1"/>
  <c r="AW435" i="4"/>
  <c r="AW434" i="4" s="1"/>
  <c r="AV365" i="4"/>
  <c r="AV434" i="4"/>
  <c r="AU326" i="4"/>
  <c r="AV326" i="4" s="1"/>
  <c r="AO356" i="4"/>
  <c r="AQ321" i="4"/>
  <c r="AR424" i="4" s="1"/>
  <c r="AP423" i="4"/>
  <c r="AP355" i="4"/>
  <c r="AB367" i="4"/>
  <c r="AB364" i="4"/>
  <c r="AY322" i="4"/>
  <c r="AK377" i="4" l="1"/>
  <c r="AK378" i="4" s="1"/>
  <c r="AK379" i="4" s="1"/>
  <c r="AL374" i="4" s="1"/>
  <c r="AL354" i="4"/>
  <c r="AL357" i="4"/>
  <c r="AL358" i="4" s="1"/>
  <c r="AL359" i="4" s="1"/>
  <c r="AK437" i="4"/>
  <c r="AK438" i="4" s="1"/>
  <c r="AK439" i="4" s="1"/>
  <c r="AL433" i="4" s="1"/>
  <c r="AN436" i="4"/>
  <c r="AK426" i="4"/>
  <c r="AK427" i="4" s="1"/>
  <c r="AK428" i="4" s="1"/>
  <c r="AL422" i="4" s="1"/>
  <c r="AL425" i="4"/>
  <c r="AK448" i="4"/>
  <c r="AK449" i="4" s="1"/>
  <c r="AK450" i="4" s="1"/>
  <c r="AL444" i="4" s="1"/>
  <c r="AL447" i="4"/>
  <c r="AY323" i="4"/>
  <c r="AZ323" i="4" s="1"/>
  <c r="BA435" i="4" s="1"/>
  <c r="AX365" i="4"/>
  <c r="AN376" i="4"/>
  <c r="AW446" i="4"/>
  <c r="AV375" i="4"/>
  <c r="AV445" i="4"/>
  <c r="AW325" i="4"/>
  <c r="AV366" i="4"/>
  <c r="AW366" i="4" s="1"/>
  <c r="AX434" i="4"/>
  <c r="AY320" i="4"/>
  <c r="AP356" i="4"/>
  <c r="AR321" i="4"/>
  <c r="AS424" i="4" s="1"/>
  <c r="AQ423" i="4"/>
  <c r="AQ355" i="4"/>
  <c r="AW326" i="4"/>
  <c r="AB368" i="4"/>
  <c r="AB369" i="4" s="1"/>
  <c r="AZ322" i="4"/>
  <c r="AL377" i="4" l="1"/>
  <c r="AL378" i="4" s="1"/>
  <c r="AL379" i="4" s="1"/>
  <c r="AM374" i="4" s="1"/>
  <c r="AM354" i="4"/>
  <c r="AM357" i="4"/>
  <c r="AM358" i="4" s="1"/>
  <c r="AM359" i="4" s="1"/>
  <c r="AL437" i="4"/>
  <c r="AL438" i="4" s="1"/>
  <c r="AL439" i="4" s="1"/>
  <c r="AM433" i="4" s="1"/>
  <c r="AO436" i="4"/>
  <c r="AY365" i="4"/>
  <c r="AX366" i="4"/>
  <c r="AY434" i="4"/>
  <c r="AZ435" i="4"/>
  <c r="AZ434" i="4" s="1"/>
  <c r="AL448" i="4"/>
  <c r="AL449" i="4" s="1"/>
  <c r="AL450" i="4" s="1"/>
  <c r="AM444" i="4" s="1"/>
  <c r="AM447" i="4"/>
  <c r="AL426" i="4"/>
  <c r="AL427" i="4" s="1"/>
  <c r="AL428" i="4" s="1"/>
  <c r="AM422" i="4" s="1"/>
  <c r="AM425" i="4"/>
  <c r="AO376" i="4"/>
  <c r="AX446" i="4"/>
  <c r="AW445" i="4"/>
  <c r="AW375" i="4"/>
  <c r="AX325" i="4"/>
  <c r="AZ365" i="4"/>
  <c r="BA323" i="4"/>
  <c r="BB435" i="4" s="1"/>
  <c r="AZ320" i="4"/>
  <c r="BA320" i="4" s="1"/>
  <c r="AX326" i="4"/>
  <c r="AY326" i="4" s="1"/>
  <c r="AZ326" i="4" s="1"/>
  <c r="AQ356" i="4"/>
  <c r="AS321" i="4"/>
  <c r="AT424" i="4" s="1"/>
  <c r="AR355" i="4"/>
  <c r="AR423" i="4"/>
  <c r="AC367" i="4"/>
  <c r="AC364" i="4"/>
  <c r="BA322" i="4"/>
  <c r="AM377" i="4" l="1"/>
  <c r="AM378" i="4" s="1"/>
  <c r="AM379" i="4" s="1"/>
  <c r="AN374" i="4" s="1"/>
  <c r="AN354" i="4"/>
  <c r="AN357" i="4"/>
  <c r="AN358" i="4" s="1"/>
  <c r="AN359" i="4" s="1"/>
  <c r="AM437" i="4"/>
  <c r="AM438" i="4" s="1"/>
  <c r="AM439" i="4" s="1"/>
  <c r="AN433" i="4" s="1"/>
  <c r="AY366" i="4"/>
  <c r="AZ366" i="4" s="1"/>
  <c r="AP436" i="4"/>
  <c r="AM426" i="4"/>
  <c r="AM427" i="4" s="1"/>
  <c r="AM428" i="4" s="1"/>
  <c r="AN422" i="4" s="1"/>
  <c r="AN425" i="4"/>
  <c r="AM448" i="4"/>
  <c r="AM449" i="4" s="1"/>
  <c r="AM450" i="4" s="1"/>
  <c r="AN444" i="4" s="1"/>
  <c r="AN447" i="4"/>
  <c r="AP376" i="4"/>
  <c r="BB323" i="4"/>
  <c r="BC435" i="4" s="1"/>
  <c r="BA365" i="4"/>
  <c r="BA434" i="4"/>
  <c r="AY446" i="4"/>
  <c r="AX445" i="4"/>
  <c r="AX375" i="4"/>
  <c r="AY325" i="4"/>
  <c r="BB320" i="4"/>
  <c r="AT321" i="4"/>
  <c r="AU424" i="4" s="1"/>
  <c r="AS355" i="4"/>
  <c r="AS423" i="4"/>
  <c r="BA326" i="4"/>
  <c r="AR356" i="4"/>
  <c r="AC368" i="4"/>
  <c r="AC369" i="4" s="1"/>
  <c r="BB322" i="4"/>
  <c r="AN377" i="4" l="1"/>
  <c r="AN378" i="4" s="1"/>
  <c r="AN379" i="4" s="1"/>
  <c r="AO374" i="4" s="1"/>
  <c r="AO354" i="4"/>
  <c r="AO357" i="4"/>
  <c r="AO358" i="4" s="1"/>
  <c r="AO359" i="4" s="1"/>
  <c r="AN437" i="4"/>
  <c r="AN438" i="4" s="1"/>
  <c r="AN439" i="4" s="1"/>
  <c r="AO433" i="4" s="1"/>
  <c r="AQ436" i="4"/>
  <c r="BC323" i="4"/>
  <c r="BD435" i="4" s="1"/>
  <c r="AN448" i="4"/>
  <c r="AN449" i="4" s="1"/>
  <c r="AN450" i="4" s="1"/>
  <c r="AO444" i="4" s="1"/>
  <c r="AO447" i="4"/>
  <c r="AN426" i="4"/>
  <c r="AN427" i="4" s="1"/>
  <c r="AN428" i="4" s="1"/>
  <c r="AO422" i="4" s="1"/>
  <c r="AO425" i="4"/>
  <c r="BB434" i="4"/>
  <c r="BB365" i="4"/>
  <c r="AQ376" i="4"/>
  <c r="BA366" i="4"/>
  <c r="AY445" i="4"/>
  <c r="AY375" i="4"/>
  <c r="AZ325" i="4"/>
  <c r="AZ446" i="4"/>
  <c r="BC320" i="4"/>
  <c r="BB326" i="4"/>
  <c r="AS356" i="4"/>
  <c r="AU321" i="4"/>
  <c r="AV424" i="4" s="1"/>
  <c r="AT355" i="4"/>
  <c r="AT423" i="4"/>
  <c r="AD367" i="4"/>
  <c r="AD364" i="4"/>
  <c r="BC322" i="4"/>
  <c r="AO377" i="4" l="1"/>
  <c r="AO378" i="4" s="1"/>
  <c r="AO379" i="4" s="1"/>
  <c r="AP374" i="4" s="1"/>
  <c r="BC434" i="4"/>
  <c r="AP354" i="4"/>
  <c r="AP357" i="4"/>
  <c r="AP358" i="4" s="1"/>
  <c r="AP359" i="4" s="1"/>
  <c r="AO437" i="4"/>
  <c r="AO438" i="4" s="1"/>
  <c r="AO439" i="4" s="1"/>
  <c r="AP433" i="4" s="1"/>
  <c r="BD323" i="4"/>
  <c r="BE435" i="4" s="1"/>
  <c r="AR436" i="4"/>
  <c r="BC365" i="4"/>
  <c r="AO426" i="4"/>
  <c r="AO427" i="4" s="1"/>
  <c r="AO428" i="4" s="1"/>
  <c r="AP422" i="4" s="1"/>
  <c r="AP425" i="4"/>
  <c r="AP447" i="4"/>
  <c r="AO448" i="4"/>
  <c r="AO449" i="4" s="1"/>
  <c r="AO450" i="4" s="1"/>
  <c r="AP444" i="4" s="1"/>
  <c r="AR376" i="4"/>
  <c r="BB366" i="4"/>
  <c r="BA446" i="4"/>
  <c r="AZ445" i="4"/>
  <c r="AZ375" i="4"/>
  <c r="BA325" i="4"/>
  <c r="BD320" i="4"/>
  <c r="AT356" i="4"/>
  <c r="AV321" i="4"/>
  <c r="AW424" i="4" s="1"/>
  <c r="AU355" i="4"/>
  <c r="AU423" i="4"/>
  <c r="BC326" i="4"/>
  <c r="AD368" i="4"/>
  <c r="AD369" i="4" s="1"/>
  <c r="BD322" i="4"/>
  <c r="AP377" i="4" l="1"/>
  <c r="AP378" i="4" s="1"/>
  <c r="AP379" i="4" s="1"/>
  <c r="AQ374" i="4" s="1"/>
  <c r="BE323" i="4"/>
  <c r="BF435" i="4" s="1"/>
  <c r="BD434" i="4"/>
  <c r="BD365" i="4"/>
  <c r="AQ354" i="4"/>
  <c r="AQ357" i="4"/>
  <c r="AQ358" i="4" s="1"/>
  <c r="AQ359" i="4" s="1"/>
  <c r="AP437" i="4"/>
  <c r="AP438" i="4" s="1"/>
  <c r="AP439" i="4" s="1"/>
  <c r="AQ433" i="4" s="1"/>
  <c r="AS436" i="4"/>
  <c r="BC366" i="4"/>
  <c r="AP448" i="4"/>
  <c r="AP449" i="4" s="1"/>
  <c r="AP450" i="4" s="1"/>
  <c r="AQ444" i="4" s="1"/>
  <c r="AQ447" i="4"/>
  <c r="AP426" i="4"/>
  <c r="AP427" i="4" s="1"/>
  <c r="AP428" i="4" s="1"/>
  <c r="AQ422" i="4" s="1"/>
  <c r="AQ425" i="4"/>
  <c r="AS376" i="4"/>
  <c r="BA375" i="4"/>
  <c r="BA445" i="4"/>
  <c r="BB446" i="4"/>
  <c r="BB325" i="4"/>
  <c r="BC325" i="4" s="1"/>
  <c r="BE320" i="4"/>
  <c r="BF320" i="4" s="1"/>
  <c r="AU356" i="4"/>
  <c r="AW321" i="4"/>
  <c r="AX424" i="4" s="1"/>
  <c r="AV355" i="4"/>
  <c r="AV423" i="4"/>
  <c r="BD326" i="4"/>
  <c r="AE367" i="4"/>
  <c r="AE364" i="4"/>
  <c r="BE322" i="4"/>
  <c r="AQ377" i="4" l="1"/>
  <c r="AQ378" i="4" s="1"/>
  <c r="AQ379" i="4" s="1"/>
  <c r="AR374" i="4" s="1"/>
  <c r="BE434" i="4"/>
  <c r="BE365" i="4"/>
  <c r="BF323" i="4"/>
  <c r="BG435" i="4" s="1"/>
  <c r="BD366" i="4"/>
  <c r="AR354" i="4"/>
  <c r="AR357" i="4"/>
  <c r="AR358" i="4" s="1"/>
  <c r="AR359" i="4" s="1"/>
  <c r="AQ437" i="4"/>
  <c r="AQ438" i="4" s="1"/>
  <c r="AQ439" i="4" s="1"/>
  <c r="AR433" i="4" s="1"/>
  <c r="AT436" i="4"/>
  <c r="AQ426" i="4"/>
  <c r="AQ427" i="4" s="1"/>
  <c r="AQ428" i="4" s="1"/>
  <c r="AR422" i="4" s="1"/>
  <c r="AR425" i="4"/>
  <c r="AR447" i="4"/>
  <c r="AQ448" i="4"/>
  <c r="AQ449" i="4" s="1"/>
  <c r="AQ450" i="4" s="1"/>
  <c r="AR444" i="4" s="1"/>
  <c r="AT376" i="4"/>
  <c r="BC446" i="4"/>
  <c r="BC445" i="4" s="1"/>
  <c r="BB445" i="4"/>
  <c r="BB375" i="4"/>
  <c r="BD325" i="4"/>
  <c r="BD446" i="4"/>
  <c r="BC375" i="4"/>
  <c r="BG320" i="4"/>
  <c r="AV356" i="4"/>
  <c r="AX321" i="4"/>
  <c r="AY424" i="4" s="1"/>
  <c r="AW355" i="4"/>
  <c r="AW423" i="4"/>
  <c r="BE326" i="4"/>
  <c r="AE368" i="4"/>
  <c r="AE369" i="4" s="1"/>
  <c r="BF322" i="4"/>
  <c r="AR377" i="4" l="1"/>
  <c r="AR378" i="4" s="1"/>
  <c r="AR379" i="4" s="1"/>
  <c r="BG323" i="4"/>
  <c r="BH435" i="4" s="1"/>
  <c r="BF365" i="4"/>
  <c r="BF434" i="4"/>
  <c r="BE366" i="4"/>
  <c r="AS354" i="4"/>
  <c r="AS357" i="4"/>
  <c r="AS358" i="4" s="1"/>
  <c r="AS359" i="4" s="1"/>
  <c r="AR437" i="4"/>
  <c r="AR438" i="4" s="1"/>
  <c r="AR439" i="4" s="1"/>
  <c r="AS433" i="4" s="1"/>
  <c r="AU436" i="4"/>
  <c r="AR448" i="4"/>
  <c r="AR449" i="4" s="1"/>
  <c r="AR450" i="4" s="1"/>
  <c r="AS444" i="4" s="1"/>
  <c r="AS447" i="4"/>
  <c r="AR426" i="4"/>
  <c r="AR427" i="4" s="1"/>
  <c r="AR428" i="4" s="1"/>
  <c r="AS422" i="4" s="1"/>
  <c r="AS425" i="4"/>
  <c r="AU376" i="4"/>
  <c r="BE446" i="4"/>
  <c r="BD445" i="4"/>
  <c r="BD375" i="4"/>
  <c r="BE325" i="4"/>
  <c r="BF325" i="4" s="1"/>
  <c r="BH320" i="4"/>
  <c r="BI320" i="4" s="1"/>
  <c r="BF326" i="4"/>
  <c r="AW356" i="4"/>
  <c r="AY321" i="4"/>
  <c r="AZ424" i="4" s="1"/>
  <c r="AX355" i="4"/>
  <c r="AX423" i="4"/>
  <c r="AF367" i="4"/>
  <c r="AF364" i="4"/>
  <c r="BG322" i="4"/>
  <c r="AS374" i="4" l="1"/>
  <c r="AS377" i="4"/>
  <c r="AS378" i="4" s="1"/>
  <c r="AS379" i="4" s="1"/>
  <c r="BH323" i="4"/>
  <c r="BI435" i="4" s="1"/>
  <c r="BG365" i="4"/>
  <c r="BG434" i="4"/>
  <c r="BF366" i="4"/>
  <c r="AT354" i="4"/>
  <c r="AT357" i="4"/>
  <c r="AT358" i="4" s="1"/>
  <c r="AT359" i="4" s="1"/>
  <c r="AS437" i="4"/>
  <c r="AS438" i="4" s="1"/>
  <c r="AS439" i="4" s="1"/>
  <c r="AT433" i="4" s="1"/>
  <c r="AV436" i="4"/>
  <c r="AS426" i="4"/>
  <c r="AS427" i="4" s="1"/>
  <c r="AS428" i="4" s="1"/>
  <c r="AT422" i="4" s="1"/>
  <c r="AT425" i="4"/>
  <c r="AS448" i="4"/>
  <c r="AS449" i="4" s="1"/>
  <c r="AS450" i="4" s="1"/>
  <c r="AT444" i="4" s="1"/>
  <c r="AT447" i="4"/>
  <c r="AV376" i="4"/>
  <c r="BF375" i="4"/>
  <c r="BG446" i="4"/>
  <c r="BF446" i="4"/>
  <c r="BF445" i="4" s="1"/>
  <c r="BE375" i="4"/>
  <c r="BE445" i="4"/>
  <c r="BG325" i="4"/>
  <c r="BJ320" i="4"/>
  <c r="BK320" i="4" s="1"/>
  <c r="BL320" i="4" s="1"/>
  <c r="AX356" i="4"/>
  <c r="AZ321" i="4"/>
  <c r="BA424" i="4" s="1"/>
  <c r="AY423" i="4"/>
  <c r="AY355" i="4"/>
  <c r="BG326" i="4"/>
  <c r="AF368" i="4"/>
  <c r="AF369" i="4" s="1"/>
  <c r="BH322" i="4"/>
  <c r="AT374" i="4" l="1"/>
  <c r="AT377" i="4"/>
  <c r="AT378" i="4" s="1"/>
  <c r="AT379" i="4" s="1"/>
  <c r="BI323" i="4"/>
  <c r="BJ435" i="4" s="1"/>
  <c r="BH434" i="4"/>
  <c r="BH365" i="4"/>
  <c r="BG366" i="4"/>
  <c r="AU354" i="4"/>
  <c r="AU357" i="4"/>
  <c r="AU358" i="4" s="1"/>
  <c r="AU359" i="4" s="1"/>
  <c r="AT437" i="4"/>
  <c r="AT438" i="4" s="1"/>
  <c r="AT439" i="4" s="1"/>
  <c r="AU433" i="4" s="1"/>
  <c r="AW436" i="4"/>
  <c r="AU447" i="4"/>
  <c r="AT448" i="4"/>
  <c r="AT449" i="4" s="1"/>
  <c r="AT450" i="4" s="1"/>
  <c r="AU444" i="4" s="1"/>
  <c r="AT426" i="4"/>
  <c r="AT427" i="4" s="1"/>
  <c r="AT428" i="4" s="1"/>
  <c r="AU422" i="4" s="1"/>
  <c r="AU425" i="4"/>
  <c r="AW376" i="4"/>
  <c r="BH325" i="4"/>
  <c r="BI325" i="4" s="1"/>
  <c r="BG445" i="4"/>
  <c r="BH446" i="4"/>
  <c r="BG375" i="4"/>
  <c r="BM320" i="4"/>
  <c r="BN320" i="4" s="1"/>
  <c r="AG33" i="67"/>
  <c r="BH326" i="4"/>
  <c r="BI326" i="4" s="1"/>
  <c r="AY356" i="4"/>
  <c r="BA321" i="4"/>
  <c r="BB424" i="4" s="1"/>
  <c r="AZ423" i="4"/>
  <c r="AZ355" i="4"/>
  <c r="AG367" i="4"/>
  <c r="AG364" i="4"/>
  <c r="BI322" i="4"/>
  <c r="BI434" i="4" l="1"/>
  <c r="BI365" i="4"/>
  <c r="AU374" i="4"/>
  <c r="AU377" i="4"/>
  <c r="AU378" i="4" s="1"/>
  <c r="AU379" i="4" s="1"/>
  <c r="BJ323" i="4"/>
  <c r="BK435" i="4" s="1"/>
  <c r="BH366" i="4"/>
  <c r="AV354" i="4"/>
  <c r="AV357" i="4"/>
  <c r="AV358" i="4" s="1"/>
  <c r="AV359" i="4" s="1"/>
  <c r="AU437" i="4"/>
  <c r="AU438" i="4" s="1"/>
  <c r="AU439" i="4" s="1"/>
  <c r="AV433" i="4" s="1"/>
  <c r="AX436" i="4"/>
  <c r="AU426" i="4"/>
  <c r="AU427" i="4" s="1"/>
  <c r="AU428" i="4" s="1"/>
  <c r="AV422" i="4" s="1"/>
  <c r="AV425" i="4"/>
  <c r="AV447" i="4"/>
  <c r="AU448" i="4"/>
  <c r="AU449" i="4" s="1"/>
  <c r="AU450" i="4" s="1"/>
  <c r="AV444" i="4" s="1"/>
  <c r="AX376" i="4"/>
  <c r="BH445" i="4"/>
  <c r="BJ446" i="4"/>
  <c r="BI375" i="4"/>
  <c r="BI446" i="4"/>
  <c r="BI445" i="4" s="1"/>
  <c r="BH375" i="4"/>
  <c r="BJ325" i="4"/>
  <c r="BO320" i="4"/>
  <c r="BJ326" i="4"/>
  <c r="BK326" i="4" s="1"/>
  <c r="AZ356" i="4"/>
  <c r="BB321" i="4"/>
  <c r="BC424" i="4" s="1"/>
  <c r="BA423" i="4"/>
  <c r="BA355" i="4"/>
  <c r="AG368" i="4"/>
  <c r="AG369" i="4" s="1"/>
  <c r="BJ322" i="4"/>
  <c r="BJ365" i="4" l="1"/>
  <c r="BK323" i="4"/>
  <c r="BL435" i="4" s="1"/>
  <c r="BJ434" i="4"/>
  <c r="BI366" i="4"/>
  <c r="AV374" i="4"/>
  <c r="AV377" i="4"/>
  <c r="AV378" i="4" s="1"/>
  <c r="AV379" i="4" s="1"/>
  <c r="AW354" i="4"/>
  <c r="AW357" i="4"/>
  <c r="AW358" i="4" s="1"/>
  <c r="AW359" i="4" s="1"/>
  <c r="AX354" i="4" s="1"/>
  <c r="AV437" i="4"/>
  <c r="AV438" i="4" s="1"/>
  <c r="AV439" i="4" s="1"/>
  <c r="AW433" i="4" s="1"/>
  <c r="AY436" i="4"/>
  <c r="AV448" i="4"/>
  <c r="AV449" i="4" s="1"/>
  <c r="AV450" i="4" s="1"/>
  <c r="AW444" i="4" s="1"/>
  <c r="AW447" i="4"/>
  <c r="AV426" i="4"/>
  <c r="AV427" i="4" s="1"/>
  <c r="AV428" i="4" s="1"/>
  <c r="AW422" i="4" s="1"/>
  <c r="AW425" i="4"/>
  <c r="AY376" i="4"/>
  <c r="BJ375" i="4"/>
  <c r="BK325" i="4"/>
  <c r="BL325" i="4" s="1"/>
  <c r="BK446" i="4"/>
  <c r="BJ445" i="4"/>
  <c r="BP320" i="4"/>
  <c r="AH33" i="67"/>
  <c r="BL326" i="4"/>
  <c r="BM326" i="4" s="1"/>
  <c r="BN326" i="4" s="1"/>
  <c r="BO326" i="4" s="1"/>
  <c r="BA356" i="4"/>
  <c r="BC321" i="4"/>
  <c r="BD424" i="4" s="1"/>
  <c r="BB355" i="4"/>
  <c r="BB423" i="4"/>
  <c r="AH367" i="4"/>
  <c r="AH364" i="4"/>
  <c r="BK322" i="4"/>
  <c r="BK365" i="4" l="1"/>
  <c r="BJ366" i="4"/>
  <c r="BK434" i="4"/>
  <c r="BL323" i="4"/>
  <c r="BM435" i="4" s="1"/>
  <c r="AW374" i="4"/>
  <c r="AW377" i="4"/>
  <c r="AW378" i="4" s="1"/>
  <c r="AW379" i="4" s="1"/>
  <c r="AX357" i="4"/>
  <c r="AX358" i="4" s="1"/>
  <c r="AX359" i="4" s="1"/>
  <c r="AW437" i="4"/>
  <c r="AW438" i="4" s="1"/>
  <c r="AW439" i="4" s="1"/>
  <c r="AX433" i="4" s="1"/>
  <c r="AZ436" i="4"/>
  <c r="AW426" i="4"/>
  <c r="AW427" i="4" s="1"/>
  <c r="AW428" i="4" s="1"/>
  <c r="AX422" i="4" s="1"/>
  <c r="AX425" i="4"/>
  <c r="AW448" i="4"/>
  <c r="AW449" i="4" s="1"/>
  <c r="AW450" i="4" s="1"/>
  <c r="AX444" i="4" s="1"/>
  <c r="AX447" i="4"/>
  <c r="AZ376" i="4"/>
  <c r="BL375" i="4"/>
  <c r="BM446" i="4"/>
  <c r="BL446" i="4"/>
  <c r="BL445" i="4" s="1"/>
  <c r="BK375" i="4"/>
  <c r="BM325" i="4"/>
  <c r="BK445" i="4"/>
  <c r="BQ320" i="4"/>
  <c r="BB356" i="4"/>
  <c r="BD321" i="4"/>
  <c r="BE424" i="4" s="1"/>
  <c r="BC423" i="4"/>
  <c r="BC355" i="4"/>
  <c r="AH368" i="4"/>
  <c r="AH369" i="4" s="1"/>
  <c r="BL322" i="4"/>
  <c r="BP326" i="4"/>
  <c r="BK366" i="4" l="1"/>
  <c r="BL365" i="4"/>
  <c r="BM323" i="4"/>
  <c r="BN435" i="4" s="1"/>
  <c r="BL434" i="4"/>
  <c r="AX374" i="4"/>
  <c r="AX377" i="4"/>
  <c r="AX378" i="4" s="1"/>
  <c r="AX379" i="4" s="1"/>
  <c r="AX437" i="4"/>
  <c r="AX438" i="4" s="1"/>
  <c r="AX439" i="4" s="1"/>
  <c r="AY433" i="4" s="1"/>
  <c r="BA436" i="4"/>
  <c r="AY447" i="4"/>
  <c r="AX448" i="4"/>
  <c r="AX449" i="4" s="1"/>
  <c r="AX450" i="4" s="1"/>
  <c r="AY444" i="4" s="1"/>
  <c r="AX426" i="4"/>
  <c r="AX427" i="4" s="1"/>
  <c r="AX428" i="4" s="1"/>
  <c r="AY422" i="4" s="1"/>
  <c r="AY425" i="4"/>
  <c r="BA376" i="4"/>
  <c r="AY354" i="4"/>
  <c r="AY357" i="4"/>
  <c r="BM375" i="4"/>
  <c r="BN446" i="4"/>
  <c r="BM445" i="4"/>
  <c r="BN325" i="4"/>
  <c r="BR320" i="4"/>
  <c r="AI33" i="67"/>
  <c r="BE321" i="4"/>
  <c r="BF424" i="4" s="1"/>
  <c r="BD423" i="4"/>
  <c r="BD355" i="4"/>
  <c r="BC356" i="4"/>
  <c r="AI367" i="4"/>
  <c r="AI364" i="4"/>
  <c r="BM322" i="4"/>
  <c r="BQ326" i="4"/>
  <c r="BM434" i="4" l="1"/>
  <c r="BL366" i="4"/>
  <c r="BN323" i="4"/>
  <c r="BO435" i="4" s="1"/>
  <c r="BM365" i="4"/>
  <c r="AY374" i="4"/>
  <c r="AY377" i="4"/>
  <c r="AY378" i="4" s="1"/>
  <c r="AY379" i="4" s="1"/>
  <c r="AY437" i="4"/>
  <c r="AY438" i="4" s="1"/>
  <c r="AY439" i="4" s="1"/>
  <c r="AZ433" i="4" s="1"/>
  <c r="BB436" i="4"/>
  <c r="AY426" i="4"/>
  <c r="AY427" i="4" s="1"/>
  <c r="AY428" i="4" s="1"/>
  <c r="AZ422" i="4" s="1"/>
  <c r="AZ425" i="4"/>
  <c r="AY448" i="4"/>
  <c r="AY449" i="4" s="1"/>
  <c r="AY450" i="4" s="1"/>
  <c r="AZ444" i="4" s="1"/>
  <c r="AZ447" i="4"/>
  <c r="BB376" i="4"/>
  <c r="AY358" i="4"/>
  <c r="AY359" i="4" s="1"/>
  <c r="BN445" i="4"/>
  <c r="BN375" i="4"/>
  <c r="BO446" i="4"/>
  <c r="BO325" i="4"/>
  <c r="BP325" i="4" s="1"/>
  <c r="BS320" i="4"/>
  <c r="BD356" i="4"/>
  <c r="BF321" i="4"/>
  <c r="BG424" i="4" s="1"/>
  <c r="BE355" i="4"/>
  <c r="BE423" i="4"/>
  <c r="AI368" i="4"/>
  <c r="AI369" i="4" s="1"/>
  <c r="BN322" i="4"/>
  <c r="BR326" i="4"/>
  <c r="BO323" i="4" l="1"/>
  <c r="BP435" i="4" s="1"/>
  <c r="BM366" i="4"/>
  <c r="BN434" i="4"/>
  <c r="BN365" i="4"/>
  <c r="AZ374" i="4"/>
  <c r="AZ377" i="4"/>
  <c r="AZ378" i="4" s="1"/>
  <c r="AZ379" i="4" s="1"/>
  <c r="AZ437" i="4"/>
  <c r="AZ438" i="4" s="1"/>
  <c r="AZ439" i="4" s="1"/>
  <c r="BA433" i="4" s="1"/>
  <c r="BC436" i="4"/>
  <c r="AZ448" i="4"/>
  <c r="AZ449" i="4" s="1"/>
  <c r="AZ450" i="4" s="1"/>
  <c r="BA444" i="4" s="1"/>
  <c r="BA447" i="4"/>
  <c r="AZ426" i="4"/>
  <c r="AZ427" i="4" s="1"/>
  <c r="AZ428" i="4" s="1"/>
  <c r="BA422" i="4" s="1"/>
  <c r="BA425" i="4"/>
  <c r="BC376" i="4"/>
  <c r="AZ354" i="4"/>
  <c r="AZ357" i="4"/>
  <c r="BQ446" i="4"/>
  <c r="BP375" i="4"/>
  <c r="BP446" i="4"/>
  <c r="BP445" i="4" s="1"/>
  <c r="BO445" i="4"/>
  <c r="BQ325" i="4"/>
  <c r="BO375" i="4"/>
  <c r="BT320" i="4"/>
  <c r="AJ33" i="67"/>
  <c r="BE356" i="4"/>
  <c r="BG321" i="4"/>
  <c r="BH424" i="4" s="1"/>
  <c r="BF423" i="4"/>
  <c r="BF355" i="4"/>
  <c r="AJ367" i="4"/>
  <c r="AJ364" i="4"/>
  <c r="BO322" i="4"/>
  <c r="BS326" i="4"/>
  <c r="BP323" i="4" l="1"/>
  <c r="BQ435" i="4" s="1"/>
  <c r="BO365" i="4"/>
  <c r="BO434" i="4"/>
  <c r="BN366" i="4"/>
  <c r="BA374" i="4"/>
  <c r="BA377" i="4"/>
  <c r="BA378" i="4" s="1"/>
  <c r="BA379" i="4" s="1"/>
  <c r="BA437" i="4"/>
  <c r="BA438" i="4" s="1"/>
  <c r="BA439" i="4" s="1"/>
  <c r="BB433" i="4" s="1"/>
  <c r="BD436" i="4"/>
  <c r="BA426" i="4"/>
  <c r="BA427" i="4" s="1"/>
  <c r="BA428" i="4" s="1"/>
  <c r="BB422" i="4" s="1"/>
  <c r="BB425" i="4"/>
  <c r="BA448" i="4"/>
  <c r="BA449" i="4" s="1"/>
  <c r="BA450" i="4" s="1"/>
  <c r="BB444" i="4" s="1"/>
  <c r="BB447" i="4"/>
  <c r="BD376" i="4"/>
  <c r="BQ445" i="4"/>
  <c r="AZ358" i="4"/>
  <c r="AZ359" i="4" s="1"/>
  <c r="BR446" i="4"/>
  <c r="BQ375" i="4"/>
  <c r="BR325" i="4"/>
  <c r="BU320" i="4"/>
  <c r="AG61" i="67"/>
  <c r="AG63" i="67" s="1"/>
  <c r="AG48" i="67"/>
  <c r="BF356" i="4"/>
  <c r="BH321" i="4"/>
  <c r="BI424" i="4" s="1"/>
  <c r="BG423" i="4"/>
  <c r="BG355" i="4"/>
  <c r="AJ368" i="4"/>
  <c r="AJ369" i="4" s="1"/>
  <c r="BP322" i="4"/>
  <c r="BT326" i="4"/>
  <c r="BQ323" i="4" l="1"/>
  <c r="BR435" i="4" s="1"/>
  <c r="BP434" i="4"/>
  <c r="BP365" i="4"/>
  <c r="BO366" i="4"/>
  <c r="BB374" i="4"/>
  <c r="BB377" i="4"/>
  <c r="BB378" i="4" s="1"/>
  <c r="BB379" i="4" s="1"/>
  <c r="BB437" i="4"/>
  <c r="BB438" i="4" s="1"/>
  <c r="BB439" i="4" s="1"/>
  <c r="BC433" i="4" s="1"/>
  <c r="BE436" i="4"/>
  <c r="BC447" i="4"/>
  <c r="BB448" i="4"/>
  <c r="BB449" i="4" s="1"/>
  <c r="BB450" i="4" s="1"/>
  <c r="BC444" i="4" s="1"/>
  <c r="BB426" i="4"/>
  <c r="BB427" i="4" s="1"/>
  <c r="BB428" i="4" s="1"/>
  <c r="BC422" i="4" s="1"/>
  <c r="BC425" i="4"/>
  <c r="BE376" i="4"/>
  <c r="BA354" i="4"/>
  <c r="BA357" i="4"/>
  <c r="BR445" i="4"/>
  <c r="BS446" i="4"/>
  <c r="BR375" i="4"/>
  <c r="BS325" i="4"/>
  <c r="BV320" i="4"/>
  <c r="AK33" i="67"/>
  <c r="BG356" i="4"/>
  <c r="BI321" i="4"/>
  <c r="BJ424" i="4" s="1"/>
  <c r="BH355" i="4"/>
  <c r="BH423" i="4"/>
  <c r="AK367" i="4"/>
  <c r="AK364" i="4"/>
  <c r="BQ322" i="4"/>
  <c r="BU326" i="4"/>
  <c r="BQ434" i="4" l="1"/>
  <c r="BR323" i="4"/>
  <c r="BS435" i="4" s="1"/>
  <c r="BQ365" i="4"/>
  <c r="BP366" i="4"/>
  <c r="BC374" i="4"/>
  <c r="BC377" i="4"/>
  <c r="BC378" i="4" s="1"/>
  <c r="BC379" i="4" s="1"/>
  <c r="BC437" i="4"/>
  <c r="BC438" i="4" s="1"/>
  <c r="BC439" i="4" s="1"/>
  <c r="BD433" i="4" s="1"/>
  <c r="BS445" i="4"/>
  <c r="BF436" i="4"/>
  <c r="BC426" i="4"/>
  <c r="BC427" i="4" s="1"/>
  <c r="BC428" i="4" s="1"/>
  <c r="BD422" i="4" s="1"/>
  <c r="BD425" i="4"/>
  <c r="BD447" i="4"/>
  <c r="BC448" i="4"/>
  <c r="BC449" i="4" s="1"/>
  <c r="BC450" i="4" s="1"/>
  <c r="BD444" i="4" s="1"/>
  <c r="BF376" i="4"/>
  <c r="BA358" i="4"/>
  <c r="BA359" i="4" s="1"/>
  <c r="BT446" i="4"/>
  <c r="BS375" i="4"/>
  <c r="BT325" i="4"/>
  <c r="BW320" i="4"/>
  <c r="AH61" i="67"/>
  <c r="AH63" i="67" s="1"/>
  <c r="AH48" i="67"/>
  <c r="BH356" i="4"/>
  <c r="BJ321" i="4"/>
  <c r="BK424" i="4" s="1"/>
  <c r="BI355" i="4"/>
  <c r="BI423" i="4"/>
  <c r="AK368" i="4"/>
  <c r="AK369" i="4" s="1"/>
  <c r="BR322" i="4"/>
  <c r="BV326" i="4"/>
  <c r="BS323" i="4" l="1"/>
  <c r="BT435" i="4" s="1"/>
  <c r="BR434" i="4"/>
  <c r="BR365" i="4"/>
  <c r="BQ366" i="4"/>
  <c r="BD374" i="4"/>
  <c r="BD377" i="4"/>
  <c r="BD378" i="4" s="1"/>
  <c r="BD379" i="4" s="1"/>
  <c r="BD437" i="4"/>
  <c r="BD438" i="4" s="1"/>
  <c r="BD439" i="4" s="1"/>
  <c r="BE433" i="4" s="1"/>
  <c r="BG436" i="4"/>
  <c r="BD448" i="4"/>
  <c r="BD449" i="4" s="1"/>
  <c r="BD450" i="4" s="1"/>
  <c r="BE444" i="4" s="1"/>
  <c r="BE447" i="4"/>
  <c r="BD426" i="4"/>
  <c r="BD427" i="4" s="1"/>
  <c r="BD428" i="4" s="1"/>
  <c r="BE422" i="4" s="1"/>
  <c r="BE425" i="4"/>
  <c r="BG376" i="4"/>
  <c r="BB354" i="4"/>
  <c r="BB357" i="4"/>
  <c r="BT445" i="4"/>
  <c r="BU446" i="4"/>
  <c r="BU325" i="4"/>
  <c r="BT375" i="4"/>
  <c r="BX320" i="4"/>
  <c r="AL33" i="67"/>
  <c r="BK321" i="4"/>
  <c r="BL424" i="4" s="1"/>
  <c r="BJ423" i="4"/>
  <c r="BJ355" i="4"/>
  <c r="BI356" i="4"/>
  <c r="AL367" i="4"/>
  <c r="AL364" i="4"/>
  <c r="BS322" i="4"/>
  <c r="BW326" i="4"/>
  <c r="BS434" i="4" l="1"/>
  <c r="BT323" i="4"/>
  <c r="BU435" i="4" s="1"/>
  <c r="BS365" i="4"/>
  <c r="BR366" i="4"/>
  <c r="BE374" i="4"/>
  <c r="BE377" i="4"/>
  <c r="BE378" i="4" s="1"/>
  <c r="BE379" i="4" s="1"/>
  <c r="BE437" i="4"/>
  <c r="BE438" i="4" s="1"/>
  <c r="BE439" i="4" s="1"/>
  <c r="BF433" i="4" s="1"/>
  <c r="BH436" i="4"/>
  <c r="BE426" i="4"/>
  <c r="BE427" i="4" s="1"/>
  <c r="BE428" i="4" s="1"/>
  <c r="BF422" i="4" s="1"/>
  <c r="BF425" i="4"/>
  <c r="BF447" i="4"/>
  <c r="BE448" i="4"/>
  <c r="BE449" i="4" s="1"/>
  <c r="BE450" i="4" s="1"/>
  <c r="BF444" i="4" s="1"/>
  <c r="BH376" i="4"/>
  <c r="BB358" i="4"/>
  <c r="BB359" i="4" s="1"/>
  <c r="BU445" i="4"/>
  <c r="BV446" i="4"/>
  <c r="BV325" i="4"/>
  <c r="BU375" i="4"/>
  <c r="BY320" i="4"/>
  <c r="AI61" i="67"/>
  <c r="AI63" i="67" s="1"/>
  <c r="AI48" i="67"/>
  <c r="BJ356" i="4"/>
  <c r="BL321" i="4"/>
  <c r="BM424" i="4" s="1"/>
  <c r="BK423" i="4"/>
  <c r="BK355" i="4"/>
  <c r="AL368" i="4"/>
  <c r="AL369" i="4" s="1"/>
  <c r="BT322" i="4"/>
  <c r="BX326" i="4"/>
  <c r="BU323" i="4" l="1"/>
  <c r="BV435" i="4" s="1"/>
  <c r="BT434" i="4"/>
  <c r="BT365" i="4"/>
  <c r="BS366" i="4"/>
  <c r="BF374" i="4"/>
  <c r="BF377" i="4"/>
  <c r="BF378" i="4" s="1"/>
  <c r="BF379" i="4" s="1"/>
  <c r="BF437" i="4"/>
  <c r="BF438" i="4" s="1"/>
  <c r="BF439" i="4" s="1"/>
  <c r="BG433" i="4" s="1"/>
  <c r="BI436" i="4"/>
  <c r="BG447" i="4"/>
  <c r="BF448" i="4"/>
  <c r="BF449" i="4" s="1"/>
  <c r="BF450" i="4" s="1"/>
  <c r="BG444" i="4" s="1"/>
  <c r="BF426" i="4"/>
  <c r="BF427" i="4" s="1"/>
  <c r="BF428" i="4" s="1"/>
  <c r="BG422" i="4" s="1"/>
  <c r="BG425" i="4"/>
  <c r="BI376" i="4"/>
  <c r="BV445" i="4"/>
  <c r="BC354" i="4"/>
  <c r="BC357" i="4"/>
  <c r="BW446" i="4"/>
  <c r="BW325" i="4"/>
  <c r="BV375" i="4"/>
  <c r="BZ320" i="4"/>
  <c r="AM33" i="67"/>
  <c r="BM321" i="4"/>
  <c r="BN424" i="4" s="1"/>
  <c r="BL355" i="4"/>
  <c r="BL423" i="4"/>
  <c r="BK356" i="4"/>
  <c r="AM367" i="4"/>
  <c r="AM364" i="4"/>
  <c r="BU322" i="4"/>
  <c r="BY326" i="4"/>
  <c r="BV323" i="4" l="1"/>
  <c r="BW435" i="4" s="1"/>
  <c r="BU365" i="4"/>
  <c r="BU434" i="4"/>
  <c r="BT366" i="4"/>
  <c r="BG374" i="4"/>
  <c r="BG377" i="4"/>
  <c r="BG378" i="4" s="1"/>
  <c r="BG379" i="4" s="1"/>
  <c r="BG437" i="4"/>
  <c r="BG438" i="4" s="1"/>
  <c r="BG439" i="4" s="1"/>
  <c r="BH433" i="4" s="1"/>
  <c r="BJ436" i="4"/>
  <c r="BG426" i="4"/>
  <c r="BG427" i="4" s="1"/>
  <c r="BG428" i="4" s="1"/>
  <c r="BH422" i="4" s="1"/>
  <c r="BH425" i="4"/>
  <c r="BH447" i="4"/>
  <c r="BG448" i="4"/>
  <c r="BG449" i="4" s="1"/>
  <c r="BG450" i="4" s="1"/>
  <c r="BH444" i="4" s="1"/>
  <c r="BJ376" i="4"/>
  <c r="BC358" i="4"/>
  <c r="BC359" i="4" s="1"/>
  <c r="BW445" i="4"/>
  <c r="BX446" i="4"/>
  <c r="BX325" i="4"/>
  <c r="BW375" i="4"/>
  <c r="CA320" i="4"/>
  <c r="AJ61" i="67"/>
  <c r="AJ63" i="67" s="1"/>
  <c r="AJ48" i="67"/>
  <c r="BL356" i="4"/>
  <c r="BN321" i="4"/>
  <c r="BO424" i="4" s="1"/>
  <c r="BM423" i="4"/>
  <c r="BM355" i="4"/>
  <c r="AM368" i="4"/>
  <c r="AM369" i="4" s="1"/>
  <c r="BV322" i="4"/>
  <c r="BZ326" i="4"/>
  <c r="BW323" i="4" l="1"/>
  <c r="BX435" i="4" s="1"/>
  <c r="BV365" i="4"/>
  <c r="BV434" i="4"/>
  <c r="BU366" i="4"/>
  <c r="BH374" i="4"/>
  <c r="BH377" i="4"/>
  <c r="BH378" i="4" s="1"/>
  <c r="BH379" i="4" s="1"/>
  <c r="BH437" i="4"/>
  <c r="BH438" i="4" s="1"/>
  <c r="BH439" i="4" s="1"/>
  <c r="BI433" i="4" s="1"/>
  <c r="BK436" i="4"/>
  <c r="BI447" i="4"/>
  <c r="BH448" i="4"/>
  <c r="BH449" i="4" s="1"/>
  <c r="BH450" i="4" s="1"/>
  <c r="BI444" i="4" s="1"/>
  <c r="BH426" i="4"/>
  <c r="BH427" i="4" s="1"/>
  <c r="BH428" i="4" s="1"/>
  <c r="BI422" i="4" s="1"/>
  <c r="BI425" i="4"/>
  <c r="BK376" i="4"/>
  <c r="BD354" i="4"/>
  <c r="BD357" i="4"/>
  <c r="BX445" i="4"/>
  <c r="BY446" i="4"/>
  <c r="BY325" i="4"/>
  <c r="BX375" i="4"/>
  <c r="CB320" i="4"/>
  <c r="AN33" i="67"/>
  <c r="BO321" i="4"/>
  <c r="BP424" i="4" s="1"/>
  <c r="BN355" i="4"/>
  <c r="BN423" i="4"/>
  <c r="BM356" i="4"/>
  <c r="AN367" i="4"/>
  <c r="AN364" i="4"/>
  <c r="BW322" i="4"/>
  <c r="CA326" i="4"/>
  <c r="BW365" i="4" l="1"/>
  <c r="BW434" i="4"/>
  <c r="BX323" i="4"/>
  <c r="BY435" i="4" s="1"/>
  <c r="BV366" i="4"/>
  <c r="BI374" i="4"/>
  <c r="BI377" i="4"/>
  <c r="BI378" i="4" s="1"/>
  <c r="BI379" i="4" s="1"/>
  <c r="BI437" i="4"/>
  <c r="BI438" i="4" s="1"/>
  <c r="BI439" i="4" s="1"/>
  <c r="BJ433" i="4" s="1"/>
  <c r="BL436" i="4"/>
  <c r="BI426" i="4"/>
  <c r="BI427" i="4" s="1"/>
  <c r="BI428" i="4" s="1"/>
  <c r="BJ422" i="4" s="1"/>
  <c r="BJ425" i="4"/>
  <c r="BI448" i="4"/>
  <c r="BI449" i="4" s="1"/>
  <c r="BI450" i="4" s="1"/>
  <c r="BJ444" i="4" s="1"/>
  <c r="BJ447" i="4"/>
  <c r="BL376" i="4"/>
  <c r="BY445" i="4"/>
  <c r="BD358" i="4"/>
  <c r="BD359" i="4" s="1"/>
  <c r="BZ446" i="4"/>
  <c r="BY375" i="4"/>
  <c r="BZ325" i="4"/>
  <c r="CC320" i="4"/>
  <c r="AK61" i="67"/>
  <c r="AK63" i="67" s="1"/>
  <c r="AK48" i="67"/>
  <c r="BN356" i="4"/>
  <c r="BP321" i="4"/>
  <c r="BQ424" i="4" s="1"/>
  <c r="BO355" i="4"/>
  <c r="BO423" i="4"/>
  <c r="AN368" i="4"/>
  <c r="AN369" i="4" s="1"/>
  <c r="BX322" i="4"/>
  <c r="CB326" i="4"/>
  <c r="BY323" i="4" l="1"/>
  <c r="BZ435" i="4" s="1"/>
  <c r="BX434" i="4"/>
  <c r="BX365" i="4"/>
  <c r="BW366" i="4"/>
  <c r="BJ374" i="4"/>
  <c r="BJ377" i="4"/>
  <c r="BJ378" i="4" s="1"/>
  <c r="BJ379" i="4" s="1"/>
  <c r="BJ437" i="4"/>
  <c r="BJ438" i="4" s="1"/>
  <c r="BJ439" i="4" s="1"/>
  <c r="BK433" i="4" s="1"/>
  <c r="BM436" i="4"/>
  <c r="BK447" i="4"/>
  <c r="BJ448" i="4"/>
  <c r="BJ449" i="4" s="1"/>
  <c r="BJ450" i="4" s="1"/>
  <c r="BK444" i="4" s="1"/>
  <c r="BJ426" i="4"/>
  <c r="BJ427" i="4" s="1"/>
  <c r="BJ428" i="4" s="1"/>
  <c r="BK422" i="4" s="1"/>
  <c r="BK425" i="4"/>
  <c r="BM376" i="4"/>
  <c r="BZ445" i="4"/>
  <c r="BE354" i="4"/>
  <c r="BE357" i="4"/>
  <c r="CA446" i="4"/>
  <c r="CA325" i="4"/>
  <c r="BZ375" i="4"/>
  <c r="CD320" i="4"/>
  <c r="AO33" i="67"/>
  <c r="BQ321" i="4"/>
  <c r="BR424" i="4" s="1"/>
  <c r="BP355" i="4"/>
  <c r="BP423" i="4"/>
  <c r="BO356" i="4"/>
  <c r="AO367" i="4"/>
  <c r="AO364" i="4"/>
  <c r="BY322" i="4"/>
  <c r="CC326" i="4"/>
  <c r="BZ323" i="4" l="1"/>
  <c r="CA435" i="4" s="1"/>
  <c r="BY365" i="4"/>
  <c r="BY434" i="4"/>
  <c r="BX366" i="4"/>
  <c r="BK374" i="4"/>
  <c r="BK377" i="4"/>
  <c r="BK378" i="4" s="1"/>
  <c r="BK379" i="4" s="1"/>
  <c r="BK437" i="4"/>
  <c r="BK438" i="4" s="1"/>
  <c r="BK439" i="4" s="1"/>
  <c r="BL433" i="4" s="1"/>
  <c r="BN436" i="4"/>
  <c r="BK426" i="4"/>
  <c r="BK427" i="4" s="1"/>
  <c r="BK428" i="4" s="1"/>
  <c r="BL422" i="4" s="1"/>
  <c r="BL425" i="4"/>
  <c r="BL447" i="4"/>
  <c r="BK448" i="4"/>
  <c r="BK449" i="4" s="1"/>
  <c r="BK450" i="4" s="1"/>
  <c r="BL444" i="4" s="1"/>
  <c r="BN376" i="4"/>
  <c r="BE358" i="4"/>
  <c r="BE359" i="4" s="1"/>
  <c r="CA445" i="4"/>
  <c r="CB446" i="4"/>
  <c r="CB325" i="4"/>
  <c r="CA375" i="4"/>
  <c r="CE320" i="4"/>
  <c r="AL61" i="67"/>
  <c r="AL63" i="67" s="1"/>
  <c r="AL48" i="67"/>
  <c r="BP356" i="4"/>
  <c r="BR321" i="4"/>
  <c r="BS424" i="4" s="1"/>
  <c r="BQ355" i="4"/>
  <c r="BQ423" i="4"/>
  <c r="AO368" i="4"/>
  <c r="AO369" i="4" s="1"/>
  <c r="BZ322" i="4"/>
  <c r="CD326" i="4"/>
  <c r="CA323" i="4" l="1"/>
  <c r="CB435" i="4" s="1"/>
  <c r="BZ365" i="4"/>
  <c r="BZ434" i="4"/>
  <c r="BY366" i="4"/>
  <c r="BL374" i="4"/>
  <c r="BL377" i="4"/>
  <c r="BL378" i="4" s="1"/>
  <c r="BL379" i="4" s="1"/>
  <c r="BL437" i="4"/>
  <c r="BL438" i="4" s="1"/>
  <c r="BL439" i="4" s="1"/>
  <c r="BM433" i="4" s="1"/>
  <c r="BO436" i="4"/>
  <c r="BM447" i="4"/>
  <c r="BL448" i="4"/>
  <c r="BL449" i="4" s="1"/>
  <c r="BL450" i="4" s="1"/>
  <c r="BM444" i="4" s="1"/>
  <c r="BL426" i="4"/>
  <c r="BL427" i="4" s="1"/>
  <c r="BL428" i="4" s="1"/>
  <c r="BM422" i="4" s="1"/>
  <c r="BM425" i="4"/>
  <c r="BO376" i="4"/>
  <c r="CB445" i="4"/>
  <c r="BF354" i="4"/>
  <c r="BF357" i="4"/>
  <c r="CC446" i="4"/>
  <c r="CB375" i="4"/>
  <c r="CC325" i="4"/>
  <c r="CF320" i="4"/>
  <c r="AP33" i="67"/>
  <c r="BS321" i="4"/>
  <c r="BT424" i="4" s="1"/>
  <c r="BR355" i="4"/>
  <c r="BR423" i="4"/>
  <c r="BQ356" i="4"/>
  <c r="AP367" i="4"/>
  <c r="AP364" i="4"/>
  <c r="CA322" i="4"/>
  <c r="CE326" i="4"/>
  <c r="CB323" i="4" l="1"/>
  <c r="CC435" i="4" s="1"/>
  <c r="CA434" i="4"/>
  <c r="CA365" i="4"/>
  <c r="BZ366" i="4"/>
  <c r="BM374" i="4"/>
  <c r="BM377" i="4"/>
  <c r="BM378" i="4" s="1"/>
  <c r="BM379" i="4" s="1"/>
  <c r="BM437" i="4"/>
  <c r="BM438" i="4" s="1"/>
  <c r="BM439" i="4" s="1"/>
  <c r="BN433" i="4" s="1"/>
  <c r="BP436" i="4"/>
  <c r="BM426" i="4"/>
  <c r="BM427" i="4" s="1"/>
  <c r="BM428" i="4" s="1"/>
  <c r="BN422" i="4" s="1"/>
  <c r="BN425" i="4"/>
  <c r="BM448" i="4"/>
  <c r="BM449" i="4" s="1"/>
  <c r="BM450" i="4" s="1"/>
  <c r="BN444" i="4" s="1"/>
  <c r="BN447" i="4"/>
  <c r="BP376" i="4"/>
  <c r="CC445" i="4"/>
  <c r="BF358" i="4"/>
  <c r="BF359" i="4" s="1"/>
  <c r="CD446" i="4"/>
  <c r="CD325" i="4"/>
  <c r="CC375" i="4"/>
  <c r="CG320" i="4"/>
  <c r="AM61" i="67"/>
  <c r="AM63" i="67" s="1"/>
  <c r="AM48" i="67"/>
  <c r="BR356" i="4"/>
  <c r="BT321" i="4"/>
  <c r="BU424" i="4" s="1"/>
  <c r="BS355" i="4"/>
  <c r="BS423" i="4"/>
  <c r="AP368" i="4"/>
  <c r="AP369" i="4" s="1"/>
  <c r="CB322" i="4"/>
  <c r="CF326" i="4"/>
  <c r="CC323" i="4" l="1"/>
  <c r="CD435" i="4" s="1"/>
  <c r="CB365" i="4"/>
  <c r="CB434" i="4"/>
  <c r="CA366" i="4"/>
  <c r="BN374" i="4"/>
  <c r="BN377" i="4"/>
  <c r="BN378" i="4" s="1"/>
  <c r="BN379" i="4" s="1"/>
  <c r="BN437" i="4"/>
  <c r="BN438" i="4" s="1"/>
  <c r="BN439" i="4" s="1"/>
  <c r="BO433" i="4" s="1"/>
  <c r="BQ436" i="4"/>
  <c r="BO447" i="4"/>
  <c r="BN448" i="4"/>
  <c r="BN449" i="4" s="1"/>
  <c r="BN450" i="4" s="1"/>
  <c r="BO444" i="4" s="1"/>
  <c r="BN426" i="4"/>
  <c r="BN427" i="4" s="1"/>
  <c r="BN428" i="4" s="1"/>
  <c r="BO422" i="4" s="1"/>
  <c r="BO425" i="4"/>
  <c r="CD445" i="4"/>
  <c r="BQ376" i="4"/>
  <c r="BG354" i="4"/>
  <c r="BG357" i="4"/>
  <c r="CE446" i="4"/>
  <c r="CD375" i="4"/>
  <c r="CE325" i="4"/>
  <c r="CH320" i="4"/>
  <c r="AQ33" i="67"/>
  <c r="BS356" i="4"/>
  <c r="BU321" i="4"/>
  <c r="BV424" i="4" s="1"/>
  <c r="BT423" i="4"/>
  <c r="BT355" i="4"/>
  <c r="AQ367" i="4"/>
  <c r="AQ364" i="4"/>
  <c r="CC322" i="4"/>
  <c r="CG326" i="4"/>
  <c r="CC434" i="4" l="1"/>
  <c r="CC365" i="4"/>
  <c r="CB366" i="4"/>
  <c r="CD323" i="4"/>
  <c r="CE435" i="4" s="1"/>
  <c r="BO374" i="4"/>
  <c r="BO377" i="4"/>
  <c r="BO378" i="4" s="1"/>
  <c r="BO379" i="4" s="1"/>
  <c r="BO437" i="4"/>
  <c r="BO438" i="4" s="1"/>
  <c r="BO439" i="4" s="1"/>
  <c r="BP433" i="4" s="1"/>
  <c r="CE445" i="4"/>
  <c r="BR436" i="4"/>
  <c r="BO426" i="4"/>
  <c r="BO427" i="4" s="1"/>
  <c r="BO428" i="4" s="1"/>
  <c r="BP422" i="4" s="1"/>
  <c r="BP425" i="4"/>
  <c r="BO448" i="4"/>
  <c r="BO449" i="4" s="1"/>
  <c r="BO450" i="4" s="1"/>
  <c r="BP444" i="4" s="1"/>
  <c r="BP447" i="4"/>
  <c r="BR376" i="4"/>
  <c r="BG358" i="4"/>
  <c r="BG359" i="4" s="1"/>
  <c r="CF446" i="4"/>
  <c r="CE375" i="4"/>
  <c r="CF325" i="4"/>
  <c r="CI320" i="4"/>
  <c r="AN61" i="67"/>
  <c r="AN63" i="67" s="1"/>
  <c r="AN48" i="67"/>
  <c r="BV321" i="4"/>
  <c r="BW424" i="4" s="1"/>
  <c r="BU355" i="4"/>
  <c r="BU423" i="4"/>
  <c r="BT356" i="4"/>
  <c r="AQ368" i="4"/>
  <c r="AQ369" i="4" s="1"/>
  <c r="CD322" i="4"/>
  <c r="CH326" i="4"/>
  <c r="CC366" i="4" l="1"/>
  <c r="CE323" i="4"/>
  <c r="CF435" i="4" s="1"/>
  <c r="CD434" i="4"/>
  <c r="CD365" i="4"/>
  <c r="BP374" i="4"/>
  <c r="BP377" i="4"/>
  <c r="BP378" i="4" s="1"/>
  <c r="BP379" i="4" s="1"/>
  <c r="BP437" i="4"/>
  <c r="BP438" i="4" s="1"/>
  <c r="BP439" i="4" s="1"/>
  <c r="BQ433" i="4" s="1"/>
  <c r="BS436" i="4"/>
  <c r="BP448" i="4"/>
  <c r="BP449" i="4" s="1"/>
  <c r="BP450" i="4" s="1"/>
  <c r="BQ444" i="4" s="1"/>
  <c r="BQ447" i="4"/>
  <c r="BP426" i="4"/>
  <c r="BP427" i="4" s="1"/>
  <c r="BP428" i="4" s="1"/>
  <c r="BQ422" i="4" s="1"/>
  <c r="BQ425" i="4"/>
  <c r="BS376" i="4"/>
  <c r="CF445" i="4"/>
  <c r="BH354" i="4"/>
  <c r="BH357" i="4"/>
  <c r="CG446" i="4"/>
  <c r="CG325" i="4"/>
  <c r="CF375" i="4"/>
  <c r="CJ320" i="4"/>
  <c r="AR33" i="67"/>
  <c r="BU356" i="4"/>
  <c r="BW321" i="4"/>
  <c r="BX424" i="4" s="1"/>
  <c r="BV423" i="4"/>
  <c r="BV355" i="4"/>
  <c r="AR367" i="4"/>
  <c r="AR364" i="4"/>
  <c r="CE322" i="4"/>
  <c r="CI326" i="4"/>
  <c r="CF323" i="4" l="1"/>
  <c r="CG435" i="4" s="1"/>
  <c r="CD366" i="4"/>
  <c r="CE434" i="4"/>
  <c r="CE365" i="4"/>
  <c r="BQ374" i="4"/>
  <c r="BQ377" i="4"/>
  <c r="BQ378" i="4" s="1"/>
  <c r="BQ379" i="4" s="1"/>
  <c r="BQ437" i="4"/>
  <c r="BQ438" i="4" s="1"/>
  <c r="BQ439" i="4" s="1"/>
  <c r="BR433" i="4" s="1"/>
  <c r="BT436" i="4"/>
  <c r="BQ426" i="4"/>
  <c r="BQ427" i="4" s="1"/>
  <c r="BQ428" i="4" s="1"/>
  <c r="BR422" i="4" s="1"/>
  <c r="BR425" i="4"/>
  <c r="BR447" i="4"/>
  <c r="BQ448" i="4"/>
  <c r="BQ449" i="4" s="1"/>
  <c r="BQ450" i="4" s="1"/>
  <c r="BR444" i="4" s="1"/>
  <c r="BT376" i="4"/>
  <c r="CG445" i="4"/>
  <c r="BH358" i="4"/>
  <c r="BH359" i="4" s="1"/>
  <c r="CH446" i="4"/>
  <c r="CG375" i="4"/>
  <c r="CH325" i="4"/>
  <c r="CK320" i="4"/>
  <c r="AO61" i="67"/>
  <c r="AO63" i="67" s="1"/>
  <c r="AO48" i="67"/>
  <c r="BX321" i="4"/>
  <c r="BY424" i="4" s="1"/>
  <c r="BW423" i="4"/>
  <c r="BW355" i="4"/>
  <c r="BV356" i="4"/>
  <c r="AR368" i="4"/>
  <c r="AR369" i="4" s="1"/>
  <c r="CF322" i="4"/>
  <c r="CJ326" i="4"/>
  <c r="CF365" i="4" l="1"/>
  <c r="CG323" i="4"/>
  <c r="CH435" i="4" s="1"/>
  <c r="CF434" i="4"/>
  <c r="CE366" i="4"/>
  <c r="BR374" i="4"/>
  <c r="BR377" i="4"/>
  <c r="BR378" i="4" s="1"/>
  <c r="BR379" i="4" s="1"/>
  <c r="BR437" i="4"/>
  <c r="BR438" i="4" s="1"/>
  <c r="BR439" i="4" s="1"/>
  <c r="BS433" i="4" s="1"/>
  <c r="BU436" i="4"/>
  <c r="BS447" i="4"/>
  <c r="BR448" i="4"/>
  <c r="BR449" i="4" s="1"/>
  <c r="BR450" i="4" s="1"/>
  <c r="BS444" i="4" s="1"/>
  <c r="BR426" i="4"/>
  <c r="BR427" i="4" s="1"/>
  <c r="BR428" i="4" s="1"/>
  <c r="BS422" i="4" s="1"/>
  <c r="BS425" i="4"/>
  <c r="CH445" i="4"/>
  <c r="BU376" i="4"/>
  <c r="BI354" i="4"/>
  <c r="BI357" i="4"/>
  <c r="CI446" i="4"/>
  <c r="CH375" i="4"/>
  <c r="CI325" i="4"/>
  <c r="CL320" i="4"/>
  <c r="AS33" i="67"/>
  <c r="BW356" i="4"/>
  <c r="BY321" i="4"/>
  <c r="BZ424" i="4" s="1"/>
  <c r="BX355" i="4"/>
  <c r="BX423" i="4"/>
  <c r="AS367" i="4"/>
  <c r="AS364" i="4"/>
  <c r="CG322" i="4"/>
  <c r="CK326" i="4"/>
  <c r="CH323" i="4" l="1"/>
  <c r="CI435" i="4" s="1"/>
  <c r="CG365" i="4"/>
  <c r="CF366" i="4"/>
  <c r="CG434" i="4"/>
  <c r="BS374" i="4"/>
  <c r="BS377" i="4"/>
  <c r="BS378" i="4" s="1"/>
  <c r="BS379" i="4" s="1"/>
  <c r="BS437" i="4"/>
  <c r="BS438" i="4" s="1"/>
  <c r="BS439" i="4" s="1"/>
  <c r="BT433" i="4" s="1"/>
  <c r="BV436" i="4"/>
  <c r="BS426" i="4"/>
  <c r="BS427" i="4" s="1"/>
  <c r="BS428" i="4" s="1"/>
  <c r="BT422" i="4" s="1"/>
  <c r="BT425" i="4"/>
  <c r="BT447" i="4"/>
  <c r="BS448" i="4"/>
  <c r="BS449" i="4" s="1"/>
  <c r="BS450" i="4" s="1"/>
  <c r="BT444" i="4" s="1"/>
  <c r="BV376" i="4"/>
  <c r="BI358" i="4"/>
  <c r="BI359" i="4" s="1"/>
  <c r="CI445" i="4"/>
  <c r="CJ446" i="4"/>
  <c r="CI375" i="4"/>
  <c r="CJ325" i="4"/>
  <c r="CM320" i="4"/>
  <c r="AP61" i="67"/>
  <c r="AP63" i="67" s="1"/>
  <c r="AP48" i="67"/>
  <c r="BX356" i="4"/>
  <c r="BZ321" i="4"/>
  <c r="CA424" i="4" s="1"/>
  <c r="BY355" i="4"/>
  <c r="BY423" i="4"/>
  <c r="AS368" i="4"/>
  <c r="AS369" i="4" s="1"/>
  <c r="CH322" i="4"/>
  <c r="CL326" i="4"/>
  <c r="CH365" i="4" l="1"/>
  <c r="CH434" i="4"/>
  <c r="CI323" i="4"/>
  <c r="CJ435" i="4" s="1"/>
  <c r="CG366" i="4"/>
  <c r="BT374" i="4"/>
  <c r="BT377" i="4"/>
  <c r="BT378" i="4" s="1"/>
  <c r="BT379" i="4" s="1"/>
  <c r="BT437" i="4"/>
  <c r="BT438" i="4" s="1"/>
  <c r="BT439" i="4" s="1"/>
  <c r="BU433" i="4" s="1"/>
  <c r="BW436" i="4"/>
  <c r="BU447" i="4"/>
  <c r="BT448" i="4"/>
  <c r="BT449" i="4" s="1"/>
  <c r="BT450" i="4" s="1"/>
  <c r="BU444" i="4" s="1"/>
  <c r="BT426" i="4"/>
  <c r="BT427" i="4" s="1"/>
  <c r="BT428" i="4" s="1"/>
  <c r="BU422" i="4" s="1"/>
  <c r="BU425" i="4"/>
  <c r="BW376" i="4"/>
  <c r="BJ354" i="4"/>
  <c r="BJ357" i="4"/>
  <c r="CJ445" i="4"/>
  <c r="CK446" i="4"/>
  <c r="CJ375" i="4"/>
  <c r="CK325" i="4"/>
  <c r="CN320" i="4"/>
  <c r="AT33" i="67"/>
  <c r="BY356" i="4"/>
  <c r="CA321" i="4"/>
  <c r="CB424" i="4" s="1"/>
  <c r="BZ355" i="4"/>
  <c r="BZ423" i="4"/>
  <c r="AT367" i="4"/>
  <c r="AT364" i="4"/>
  <c r="CI322" i="4"/>
  <c r="CM326" i="4"/>
  <c r="CI434" i="4" l="1"/>
  <c r="CI365" i="4"/>
  <c r="CH366" i="4"/>
  <c r="CJ323" i="4"/>
  <c r="CK435" i="4" s="1"/>
  <c r="BU374" i="4"/>
  <c r="BU377" i="4"/>
  <c r="BU378" i="4" s="1"/>
  <c r="BU379" i="4" s="1"/>
  <c r="BU437" i="4"/>
  <c r="BU438" i="4" s="1"/>
  <c r="BU439" i="4" s="1"/>
  <c r="BV433" i="4" s="1"/>
  <c r="CK445" i="4"/>
  <c r="BX436" i="4"/>
  <c r="BU426" i="4"/>
  <c r="BU427" i="4" s="1"/>
  <c r="BU428" i="4" s="1"/>
  <c r="BV422" i="4" s="1"/>
  <c r="BV425" i="4"/>
  <c r="BV447" i="4"/>
  <c r="BU448" i="4"/>
  <c r="BU449" i="4" s="1"/>
  <c r="BU450" i="4" s="1"/>
  <c r="BV444" i="4" s="1"/>
  <c r="BX376" i="4"/>
  <c r="BJ358" i="4"/>
  <c r="BJ359" i="4" s="1"/>
  <c r="CL446" i="4"/>
  <c r="CL325" i="4"/>
  <c r="CK375" i="4"/>
  <c r="CO320" i="4"/>
  <c r="AQ61" i="67"/>
  <c r="AQ63" i="67" s="1"/>
  <c r="AQ48" i="67"/>
  <c r="CB321" i="4"/>
  <c r="CC424" i="4" s="1"/>
  <c r="CA355" i="4"/>
  <c r="CA423" i="4"/>
  <c r="BZ356" i="4"/>
  <c r="AT368" i="4"/>
  <c r="AT369" i="4" s="1"/>
  <c r="CJ322" i="4"/>
  <c r="CN326" i="4"/>
  <c r="CJ365" i="4" l="1"/>
  <c r="CK323" i="4"/>
  <c r="CL435" i="4" s="1"/>
  <c r="CI366" i="4"/>
  <c r="CJ434" i="4"/>
  <c r="BV374" i="4"/>
  <c r="BV377" i="4"/>
  <c r="BV378" i="4" s="1"/>
  <c r="BV379" i="4" s="1"/>
  <c r="BV437" i="4"/>
  <c r="BV438" i="4" s="1"/>
  <c r="BV439" i="4" s="1"/>
  <c r="BW433" i="4" s="1"/>
  <c r="BY436" i="4"/>
  <c r="BV448" i="4"/>
  <c r="BV449" i="4" s="1"/>
  <c r="BV450" i="4" s="1"/>
  <c r="BW444" i="4" s="1"/>
  <c r="BW447" i="4"/>
  <c r="BV426" i="4"/>
  <c r="BV427" i="4" s="1"/>
  <c r="BV428" i="4" s="1"/>
  <c r="BW422" i="4" s="1"/>
  <c r="BW425" i="4"/>
  <c r="BY376" i="4"/>
  <c r="BK354" i="4"/>
  <c r="BK357" i="4"/>
  <c r="CM446" i="4"/>
  <c r="CL375" i="4"/>
  <c r="CM325" i="4"/>
  <c r="CL445" i="4"/>
  <c r="AU33" i="67"/>
  <c r="CA356" i="4"/>
  <c r="CC321" i="4"/>
  <c r="CD424" i="4" s="1"/>
  <c r="CB355" i="4"/>
  <c r="CB423" i="4"/>
  <c r="AU367" i="4"/>
  <c r="AU364" i="4"/>
  <c r="CK322" i="4"/>
  <c r="CO326" i="4"/>
  <c r="CL323" i="4" l="1"/>
  <c r="CM435" i="4" s="1"/>
  <c r="CK365" i="4"/>
  <c r="CK434" i="4"/>
  <c r="CJ366" i="4"/>
  <c r="BW374" i="4"/>
  <c r="BW377" i="4"/>
  <c r="BW378" i="4" s="1"/>
  <c r="BW379" i="4" s="1"/>
  <c r="BW437" i="4"/>
  <c r="BW438" i="4" s="1"/>
  <c r="BW439" i="4" s="1"/>
  <c r="BX433" i="4" s="1"/>
  <c r="BZ436" i="4"/>
  <c r="BW426" i="4"/>
  <c r="BW427" i="4" s="1"/>
  <c r="BW428" i="4" s="1"/>
  <c r="BX422" i="4" s="1"/>
  <c r="BX425" i="4"/>
  <c r="BX447" i="4"/>
  <c r="BW448" i="4"/>
  <c r="BW449" i="4" s="1"/>
  <c r="BW450" i="4" s="1"/>
  <c r="BX444" i="4" s="1"/>
  <c r="CM445" i="4"/>
  <c r="BZ376" i="4"/>
  <c r="BK358" i="4"/>
  <c r="BK359" i="4" s="1"/>
  <c r="CN446" i="4"/>
  <c r="CM375" i="4"/>
  <c r="CN325" i="4"/>
  <c r="AR61" i="67"/>
  <c r="AR63" i="67" s="1"/>
  <c r="AR48" i="67"/>
  <c r="CB356" i="4"/>
  <c r="CD321" i="4"/>
  <c r="CE424" i="4" s="1"/>
  <c r="CC423" i="4"/>
  <c r="CC355" i="4"/>
  <c r="AU368" i="4"/>
  <c r="AU369" i="4" s="1"/>
  <c r="CL322" i="4"/>
  <c r="I326" i="4"/>
  <c r="CM323" i="4" l="1"/>
  <c r="CN435" i="4" s="1"/>
  <c r="CL365" i="4"/>
  <c r="CL434" i="4"/>
  <c r="CK366" i="4"/>
  <c r="BX374" i="4"/>
  <c r="BX377" i="4"/>
  <c r="BX378" i="4" s="1"/>
  <c r="BX379" i="4" s="1"/>
  <c r="BX437" i="4"/>
  <c r="BX438" i="4" s="1"/>
  <c r="BX439" i="4" s="1"/>
  <c r="BY433" i="4" s="1"/>
  <c r="CA436" i="4"/>
  <c r="BY447" i="4"/>
  <c r="BX448" i="4"/>
  <c r="BX449" i="4" s="1"/>
  <c r="BX450" i="4" s="1"/>
  <c r="BY444" i="4" s="1"/>
  <c r="BX426" i="4"/>
  <c r="BX427" i="4" s="1"/>
  <c r="BX428" i="4" s="1"/>
  <c r="BY422" i="4" s="1"/>
  <c r="BY425" i="4"/>
  <c r="CA376" i="4"/>
  <c r="CN445" i="4"/>
  <c r="BL354" i="4"/>
  <c r="BL357" i="4"/>
  <c r="CO446" i="4"/>
  <c r="CO325" i="4"/>
  <c r="I325" i="4" s="1"/>
  <c r="CN375" i="4"/>
  <c r="AV33" i="67"/>
  <c r="CC356" i="4"/>
  <c r="CE321" i="4"/>
  <c r="CF424" i="4" s="1"/>
  <c r="CD423" i="4"/>
  <c r="CD355" i="4"/>
  <c r="AV367" i="4"/>
  <c r="AV364" i="4"/>
  <c r="CM322" i="4"/>
  <c r="CN323" i="4" l="1"/>
  <c r="CO435" i="4" s="1"/>
  <c r="CM365" i="4"/>
  <c r="CM434" i="4"/>
  <c r="CL366" i="4"/>
  <c r="BY374" i="4"/>
  <c r="BY377" i="4"/>
  <c r="BY378" i="4" s="1"/>
  <c r="BY379" i="4" s="1"/>
  <c r="BY437" i="4"/>
  <c r="BY438" i="4" s="1"/>
  <c r="BY439" i="4" s="1"/>
  <c r="BZ433" i="4" s="1"/>
  <c r="CB436" i="4"/>
  <c r="BY426" i="4"/>
  <c r="BY427" i="4" s="1"/>
  <c r="BY428" i="4" s="1"/>
  <c r="BZ422" i="4" s="1"/>
  <c r="BZ425" i="4"/>
  <c r="BZ447" i="4"/>
  <c r="BY448" i="4"/>
  <c r="BY449" i="4" s="1"/>
  <c r="BY450" i="4" s="1"/>
  <c r="BZ444" i="4" s="1"/>
  <c r="CB376" i="4"/>
  <c r="BL358" i="4"/>
  <c r="BL359" i="4" s="1"/>
  <c r="CO445" i="4"/>
  <c r="CO375" i="4"/>
  <c r="E343" i="4"/>
  <c r="AS61" i="67"/>
  <c r="AS63" i="67" s="1"/>
  <c r="AS48" i="67"/>
  <c r="CD356" i="4"/>
  <c r="CF321" i="4"/>
  <c r="CG424" i="4" s="1"/>
  <c r="CE423" i="4"/>
  <c r="CE355" i="4"/>
  <c r="AV368" i="4"/>
  <c r="AV369" i="4" s="1"/>
  <c r="CN322" i="4"/>
  <c r="CO323" i="4" l="1"/>
  <c r="I323" i="4" s="1"/>
  <c r="CN434" i="4"/>
  <c r="CN365" i="4"/>
  <c r="CM366" i="4"/>
  <c r="BZ374" i="4"/>
  <c r="BZ377" i="4"/>
  <c r="BZ378" i="4" s="1"/>
  <c r="BZ379" i="4" s="1"/>
  <c r="BZ437" i="4"/>
  <c r="BZ438" i="4" s="1"/>
  <c r="BZ439" i="4" s="1"/>
  <c r="CA433" i="4" s="1"/>
  <c r="CC436" i="4"/>
  <c r="BZ448" i="4"/>
  <c r="BZ449" i="4" s="1"/>
  <c r="BZ450" i="4" s="1"/>
  <c r="CA444" i="4" s="1"/>
  <c r="CA447" i="4"/>
  <c r="BZ426" i="4"/>
  <c r="BZ427" i="4" s="1"/>
  <c r="BZ428" i="4" s="1"/>
  <c r="CA422" i="4" s="1"/>
  <c r="CA425" i="4"/>
  <c r="CC376" i="4"/>
  <c r="BM354" i="4"/>
  <c r="BM357" i="4"/>
  <c r="AW33" i="67"/>
  <c r="CE356" i="4"/>
  <c r="CG321" i="4"/>
  <c r="CH424" i="4" s="1"/>
  <c r="CF355" i="4"/>
  <c r="CF423" i="4"/>
  <c r="AW367" i="4"/>
  <c r="AW364" i="4"/>
  <c r="CO322" i="4"/>
  <c r="E342" i="4" l="1"/>
  <c r="CO434" i="4"/>
  <c r="CO365" i="4"/>
  <c r="CN366" i="4"/>
  <c r="CA374" i="4"/>
  <c r="CA377" i="4"/>
  <c r="CA378" i="4" s="1"/>
  <c r="CA379" i="4" s="1"/>
  <c r="CA437" i="4"/>
  <c r="CA438" i="4" s="1"/>
  <c r="CA439" i="4" s="1"/>
  <c r="CB433" i="4" s="1"/>
  <c r="CD436" i="4"/>
  <c r="CA426" i="4"/>
  <c r="CA427" i="4" s="1"/>
  <c r="CA428" i="4" s="1"/>
  <c r="CB422" i="4" s="1"/>
  <c r="CB425" i="4"/>
  <c r="CB447" i="4"/>
  <c r="CA448" i="4"/>
  <c r="CA449" i="4" s="1"/>
  <c r="CA450" i="4" s="1"/>
  <c r="CB444" i="4" s="1"/>
  <c r="CD376" i="4"/>
  <c r="BM358" i="4"/>
  <c r="BM359" i="4" s="1"/>
  <c r="AT61" i="67"/>
  <c r="AT63" i="67" s="1"/>
  <c r="AT48" i="67"/>
  <c r="CF356" i="4"/>
  <c r="CH321" i="4"/>
  <c r="CI424" i="4" s="1"/>
  <c r="CG423" i="4"/>
  <c r="CG355" i="4"/>
  <c r="AW368" i="4"/>
  <c r="AW369" i="4" s="1"/>
  <c r="CO366" i="4" l="1"/>
  <c r="CB374" i="4"/>
  <c r="CB377" i="4"/>
  <c r="CB378" i="4" s="1"/>
  <c r="CB379" i="4" s="1"/>
  <c r="CB437" i="4"/>
  <c r="CB438" i="4" s="1"/>
  <c r="CB439" i="4" s="1"/>
  <c r="CC433" i="4" s="1"/>
  <c r="CE436" i="4"/>
  <c r="CC447" i="4"/>
  <c r="CB448" i="4"/>
  <c r="CB449" i="4" s="1"/>
  <c r="CB450" i="4" s="1"/>
  <c r="CC444" i="4" s="1"/>
  <c r="CB426" i="4"/>
  <c r="CB427" i="4" s="1"/>
  <c r="CB428" i="4" s="1"/>
  <c r="CC422" i="4" s="1"/>
  <c r="CC425" i="4"/>
  <c r="CE376" i="4"/>
  <c r="BN354" i="4"/>
  <c r="BN357" i="4"/>
  <c r="AX33" i="67"/>
  <c r="CI321" i="4"/>
  <c r="CJ424" i="4" s="1"/>
  <c r="CH355" i="4"/>
  <c r="CH423" i="4"/>
  <c r="CG356" i="4"/>
  <c r="AX367" i="4"/>
  <c r="AX364" i="4"/>
  <c r="CC374" i="4" l="1"/>
  <c r="CC377" i="4"/>
  <c r="CC378" i="4" s="1"/>
  <c r="CC379" i="4" s="1"/>
  <c r="CC437" i="4"/>
  <c r="CC438" i="4" s="1"/>
  <c r="CC439" i="4" s="1"/>
  <c r="CD433" i="4" s="1"/>
  <c r="CF436" i="4"/>
  <c r="CC426" i="4"/>
  <c r="CC427" i="4" s="1"/>
  <c r="CC428" i="4" s="1"/>
  <c r="CD422" i="4" s="1"/>
  <c r="CD425" i="4"/>
  <c r="CC448" i="4"/>
  <c r="CC449" i="4" s="1"/>
  <c r="CC450" i="4" s="1"/>
  <c r="CD444" i="4" s="1"/>
  <c r="CD447" i="4"/>
  <c r="CF376" i="4"/>
  <c r="BN358" i="4"/>
  <c r="BN359" i="4" s="1"/>
  <c r="AU61" i="67"/>
  <c r="AU63" i="67" s="1"/>
  <c r="AU48" i="67"/>
  <c r="CH356" i="4"/>
  <c r="CJ321" i="4"/>
  <c r="CK424" i="4" s="1"/>
  <c r="CI423" i="4"/>
  <c r="CI355" i="4"/>
  <c r="AX368" i="4"/>
  <c r="AX369" i="4" s="1"/>
  <c r="CD374" i="4" l="1"/>
  <c r="CD377" i="4"/>
  <c r="CD378" i="4" s="1"/>
  <c r="CD379" i="4" s="1"/>
  <c r="CD437" i="4"/>
  <c r="CD438" i="4" s="1"/>
  <c r="CD439" i="4" s="1"/>
  <c r="CE433" i="4" s="1"/>
  <c r="CG436" i="4"/>
  <c r="CD448" i="4"/>
  <c r="CD449" i="4" s="1"/>
  <c r="CD450" i="4" s="1"/>
  <c r="CE444" i="4" s="1"/>
  <c r="CE447" i="4"/>
  <c r="CD426" i="4"/>
  <c r="CD427" i="4" s="1"/>
  <c r="CD428" i="4" s="1"/>
  <c r="CE422" i="4" s="1"/>
  <c r="CE425" i="4"/>
  <c r="CG376" i="4"/>
  <c r="BO354" i="4"/>
  <c r="BO357" i="4"/>
  <c r="AY33" i="67"/>
  <c r="CI356" i="4"/>
  <c r="CK321" i="4"/>
  <c r="CL424" i="4" s="1"/>
  <c r="CJ355" i="4"/>
  <c r="CJ423" i="4"/>
  <c r="AY367" i="4"/>
  <c r="AY364" i="4"/>
  <c r="CE374" i="4" l="1"/>
  <c r="CE377" i="4"/>
  <c r="CE378" i="4" s="1"/>
  <c r="CE379" i="4" s="1"/>
  <c r="CE437" i="4"/>
  <c r="CE438" i="4" s="1"/>
  <c r="CE439" i="4" s="1"/>
  <c r="CF433" i="4" s="1"/>
  <c r="CH436" i="4"/>
  <c r="CE426" i="4"/>
  <c r="CE427" i="4" s="1"/>
  <c r="CE428" i="4" s="1"/>
  <c r="CF422" i="4" s="1"/>
  <c r="CF425" i="4"/>
  <c r="CE448" i="4"/>
  <c r="CE449" i="4" s="1"/>
  <c r="CE450" i="4" s="1"/>
  <c r="CF444" i="4" s="1"/>
  <c r="CF447" i="4"/>
  <c r="CH376" i="4"/>
  <c r="BO358" i="4"/>
  <c r="BO359" i="4" s="1"/>
  <c r="AV61" i="67"/>
  <c r="AV63" i="67" s="1"/>
  <c r="AV48" i="67"/>
  <c r="CJ356" i="4"/>
  <c r="CL321" i="4"/>
  <c r="CM424" i="4" s="1"/>
  <c r="CK355" i="4"/>
  <c r="CK423" i="4"/>
  <c r="AY368" i="4"/>
  <c r="AY369" i="4" s="1"/>
  <c r="CF374" i="4" l="1"/>
  <c r="CF377" i="4"/>
  <c r="CF378" i="4" s="1"/>
  <c r="CF379" i="4" s="1"/>
  <c r="CF437" i="4"/>
  <c r="CF438" i="4" s="1"/>
  <c r="CF439" i="4" s="1"/>
  <c r="CG433" i="4" s="1"/>
  <c r="CI436" i="4"/>
  <c r="CF448" i="4"/>
  <c r="CF449" i="4" s="1"/>
  <c r="CF450" i="4" s="1"/>
  <c r="CG444" i="4" s="1"/>
  <c r="CG447" i="4"/>
  <c r="CF426" i="4"/>
  <c r="CF427" i="4" s="1"/>
  <c r="CF428" i="4" s="1"/>
  <c r="CG422" i="4" s="1"/>
  <c r="CG425" i="4"/>
  <c r="CI376" i="4"/>
  <c r="BP354" i="4"/>
  <c r="BP357" i="4"/>
  <c r="AZ33" i="67"/>
  <c r="CM321" i="4"/>
  <c r="CN424" i="4" s="1"/>
  <c r="CL355" i="4"/>
  <c r="CL423" i="4"/>
  <c r="CK356" i="4"/>
  <c r="AZ367" i="4"/>
  <c r="AZ364" i="4"/>
  <c r="CQ1056" i="4" l="1"/>
  <c r="CG374" i="4"/>
  <c r="CG377" i="4"/>
  <c r="CG378" i="4" s="1"/>
  <c r="CG379" i="4" s="1"/>
  <c r="CG437" i="4"/>
  <c r="CG438" i="4" s="1"/>
  <c r="CG439" i="4" s="1"/>
  <c r="CH433" i="4" s="1"/>
  <c r="CJ436" i="4"/>
  <c r="CG426" i="4"/>
  <c r="CG427" i="4" s="1"/>
  <c r="CG428" i="4" s="1"/>
  <c r="CH422" i="4" s="1"/>
  <c r="CH425" i="4"/>
  <c r="CG448" i="4"/>
  <c r="CG449" i="4" s="1"/>
  <c r="CG450" i="4" s="1"/>
  <c r="CH444" i="4" s="1"/>
  <c r="CH447" i="4"/>
  <c r="CJ376" i="4"/>
  <c r="BP358" i="4"/>
  <c r="BP359" i="4" s="1"/>
  <c r="AW61" i="67"/>
  <c r="AW63" i="67" s="1"/>
  <c r="AW48" i="67"/>
  <c r="CL356" i="4"/>
  <c r="CN321" i="4"/>
  <c r="CO424" i="4" s="1"/>
  <c r="CM355" i="4"/>
  <c r="CM423" i="4"/>
  <c r="AZ368" i="4"/>
  <c r="AZ369" i="4" s="1"/>
  <c r="CS1058" i="4" l="1"/>
  <c r="CH374" i="4"/>
  <c r="CH377" i="4"/>
  <c r="CH378" i="4" s="1"/>
  <c r="CH379" i="4" s="1"/>
  <c r="CH437" i="4"/>
  <c r="CH438" i="4" s="1"/>
  <c r="CH439" i="4" s="1"/>
  <c r="CI433" i="4" s="1"/>
  <c r="CK436" i="4"/>
  <c r="CI447" i="4"/>
  <c r="CH448" i="4"/>
  <c r="CH449" i="4" s="1"/>
  <c r="CH450" i="4" s="1"/>
  <c r="CI444" i="4" s="1"/>
  <c r="CH426" i="4"/>
  <c r="CH427" i="4" s="1"/>
  <c r="CH428" i="4" s="1"/>
  <c r="CI422" i="4" s="1"/>
  <c r="CI425" i="4"/>
  <c r="CK376" i="4"/>
  <c r="BQ354" i="4"/>
  <c r="BQ357" i="4"/>
  <c r="BA33" i="67"/>
  <c r="CM356" i="4"/>
  <c r="CO321" i="4"/>
  <c r="E341" i="4" s="1"/>
  <c r="CN423" i="4"/>
  <c r="CN355" i="4"/>
  <c r="BA367" i="4"/>
  <c r="BA364" i="4"/>
  <c r="CI374" i="4" l="1"/>
  <c r="CI377" i="4"/>
  <c r="CI378" i="4" s="1"/>
  <c r="CI379" i="4" s="1"/>
  <c r="CI437" i="4"/>
  <c r="CI438" i="4" s="1"/>
  <c r="CI439" i="4" s="1"/>
  <c r="CJ433" i="4" s="1"/>
  <c r="CL436" i="4"/>
  <c r="CI426" i="4"/>
  <c r="CI427" i="4" s="1"/>
  <c r="CI428" i="4" s="1"/>
  <c r="CJ422" i="4" s="1"/>
  <c r="CJ425" i="4"/>
  <c r="CI448" i="4"/>
  <c r="CI449" i="4" s="1"/>
  <c r="CI450" i="4" s="1"/>
  <c r="CJ444" i="4" s="1"/>
  <c r="CJ447" i="4"/>
  <c r="CL376" i="4"/>
  <c r="BQ358" i="4"/>
  <c r="BQ359" i="4" s="1"/>
  <c r="AX61" i="67"/>
  <c r="AX63" i="67" s="1"/>
  <c r="AX48" i="67"/>
  <c r="E346" i="4"/>
  <c r="L468" i="4" s="1"/>
  <c r="E347" i="4"/>
  <c r="L479" i="4" s="1"/>
  <c r="E345" i="4"/>
  <c r="L457" i="4" s="1"/>
  <c r="CN356" i="4"/>
  <c r="CO355" i="4"/>
  <c r="CO423" i="4"/>
  <c r="BA368" i="4"/>
  <c r="BA369" i="4" s="1"/>
  <c r="CJ374" i="4" l="1"/>
  <c r="CJ377" i="4"/>
  <c r="CJ378" i="4" s="1"/>
  <c r="CJ379" i="4" s="1"/>
  <c r="CJ437" i="4"/>
  <c r="CJ438" i="4" s="1"/>
  <c r="CJ439" i="4" s="1"/>
  <c r="CK433" i="4" s="1"/>
  <c r="CM436" i="4"/>
  <c r="CK447" i="4"/>
  <c r="CJ448" i="4"/>
  <c r="CJ449" i="4" s="1"/>
  <c r="CJ450" i="4" s="1"/>
  <c r="CK444" i="4" s="1"/>
  <c r="CJ426" i="4"/>
  <c r="CJ427" i="4" s="1"/>
  <c r="CJ428" i="4" s="1"/>
  <c r="CK422" i="4" s="1"/>
  <c r="CK425" i="4"/>
  <c r="CM376" i="4"/>
  <c r="BR354" i="4"/>
  <c r="BR357" i="4"/>
  <c r="BB33" i="67"/>
  <c r="CO356" i="4"/>
  <c r="BB367" i="4"/>
  <c r="BB364" i="4"/>
  <c r="CK374" i="4" l="1"/>
  <c r="CK377" i="4"/>
  <c r="CK378" i="4" s="1"/>
  <c r="CK379" i="4" s="1"/>
  <c r="CK437" i="4"/>
  <c r="CK438" i="4" s="1"/>
  <c r="CK439" i="4" s="1"/>
  <c r="CL433" i="4" s="1"/>
  <c r="CN436" i="4"/>
  <c r="CK426" i="4"/>
  <c r="CK427" i="4" s="1"/>
  <c r="CK428" i="4" s="1"/>
  <c r="CL422" i="4" s="1"/>
  <c r="CL425" i="4"/>
  <c r="CL447" i="4"/>
  <c r="CK448" i="4"/>
  <c r="CK449" i="4" s="1"/>
  <c r="CK450" i="4" s="1"/>
  <c r="CL444" i="4" s="1"/>
  <c r="CN376" i="4"/>
  <c r="BR358" i="4"/>
  <c r="BR359" i="4" s="1"/>
  <c r="AY61" i="67"/>
  <c r="AY63" i="67" s="1"/>
  <c r="AY48" i="67"/>
  <c r="BB368" i="4"/>
  <c r="BB369" i="4" s="1"/>
  <c r="AF19" i="67" l="1"/>
  <c r="CL374" i="4"/>
  <c r="CL377" i="4"/>
  <c r="CL378" i="4" s="1"/>
  <c r="CL379" i="4" s="1"/>
  <c r="CL437" i="4"/>
  <c r="CL438" i="4" s="1"/>
  <c r="CL439" i="4" s="1"/>
  <c r="CM433" i="4" s="1"/>
  <c r="CO436" i="4"/>
  <c r="CM447" i="4"/>
  <c r="CL448" i="4"/>
  <c r="CL449" i="4" s="1"/>
  <c r="CL450" i="4" s="1"/>
  <c r="CM444" i="4" s="1"/>
  <c r="CL426" i="4"/>
  <c r="CL427" i="4" s="1"/>
  <c r="CL428" i="4" s="1"/>
  <c r="CM422" i="4" s="1"/>
  <c r="CM425" i="4"/>
  <c r="CO376" i="4"/>
  <c r="BS354" i="4"/>
  <c r="BS357" i="4"/>
  <c r="BC33" i="67"/>
  <c r="BC367" i="4"/>
  <c r="BC364" i="4"/>
  <c r="CM374" i="4" l="1"/>
  <c r="CM377" i="4"/>
  <c r="CM378" i="4" s="1"/>
  <c r="CM379" i="4" s="1"/>
  <c r="CM437" i="4"/>
  <c r="CM438" i="4" s="1"/>
  <c r="CM439" i="4" s="1"/>
  <c r="CN433" i="4" s="1"/>
  <c r="CM426" i="4"/>
  <c r="CM427" i="4" s="1"/>
  <c r="CM428" i="4" s="1"/>
  <c r="CN422" i="4" s="1"/>
  <c r="CN425" i="4"/>
  <c r="CN447" i="4"/>
  <c r="CM448" i="4"/>
  <c r="CM449" i="4" s="1"/>
  <c r="CM450" i="4" s="1"/>
  <c r="CN444" i="4" s="1"/>
  <c r="BS358" i="4"/>
  <c r="BS359" i="4" s="1"/>
  <c r="AZ61" i="67"/>
  <c r="AZ63" i="67" s="1"/>
  <c r="AZ48" i="67"/>
  <c r="BC368" i="4"/>
  <c r="BC369" i="4" s="1"/>
  <c r="CN374" i="4" l="1"/>
  <c r="CN377" i="4"/>
  <c r="CN378" i="4" s="1"/>
  <c r="CN379" i="4" s="1"/>
  <c r="CN437" i="4"/>
  <c r="CN438" i="4" s="1"/>
  <c r="CN439" i="4" s="1"/>
  <c r="CO433" i="4" s="1"/>
  <c r="CO447" i="4"/>
  <c r="CN448" i="4"/>
  <c r="CN449" i="4" s="1"/>
  <c r="CN450" i="4" s="1"/>
  <c r="CO444" i="4" s="1"/>
  <c r="CN426" i="4"/>
  <c r="CN427" i="4" s="1"/>
  <c r="CN428" i="4" s="1"/>
  <c r="CO422" i="4" s="1"/>
  <c r="CO425" i="4"/>
  <c r="BT354" i="4"/>
  <c r="BT357" i="4"/>
  <c r="BD33" i="67"/>
  <c r="BD367" i="4"/>
  <c r="BD364" i="4"/>
  <c r="CO374" i="4" l="1"/>
  <c r="CO377" i="4"/>
  <c r="CO378" i="4" s="1"/>
  <c r="CO379" i="4" s="1"/>
  <c r="CO437" i="4"/>
  <c r="CO438" i="4" s="1"/>
  <c r="CO439" i="4" s="1"/>
  <c r="CO426" i="4"/>
  <c r="CO427" i="4" s="1"/>
  <c r="CO428" i="4" s="1"/>
  <c r="CO448" i="4"/>
  <c r="CO449" i="4" s="1"/>
  <c r="CO450" i="4" s="1"/>
  <c r="BT358" i="4"/>
  <c r="BT359" i="4" s="1"/>
  <c r="BA61" i="67"/>
  <c r="BA63" i="67" s="1"/>
  <c r="BA48" i="67"/>
  <c r="BD368" i="4"/>
  <c r="BD369" i="4" s="1"/>
  <c r="BU354" i="4" l="1"/>
  <c r="BU357" i="4"/>
  <c r="BE33" i="67"/>
  <c r="BE367" i="4"/>
  <c r="BE364" i="4"/>
  <c r="BU358" i="4" l="1"/>
  <c r="BU359" i="4" s="1"/>
  <c r="BB61" i="67"/>
  <c r="BB63" i="67" s="1"/>
  <c r="BB48" i="67"/>
  <c r="BE368" i="4"/>
  <c r="BE369" i="4" s="1"/>
  <c r="BV354" i="4" l="1"/>
  <c r="BV357" i="4"/>
  <c r="BF33" i="67"/>
  <c r="BF367" i="4"/>
  <c r="BF364" i="4"/>
  <c r="BV358" i="4" l="1"/>
  <c r="BV359" i="4" s="1"/>
  <c r="BC61" i="67"/>
  <c r="BC63" i="67" s="1"/>
  <c r="BC48" i="67"/>
  <c r="BF368" i="4"/>
  <c r="BF369" i="4" s="1"/>
  <c r="BW354" i="4" l="1"/>
  <c r="BW357" i="4"/>
  <c r="BG33" i="67"/>
  <c r="BG367" i="4"/>
  <c r="BG364" i="4"/>
  <c r="BW358" i="4" l="1"/>
  <c r="BW359" i="4" s="1"/>
  <c r="BD61" i="67"/>
  <c r="BD63" i="67" s="1"/>
  <c r="BD48" i="67"/>
  <c r="BG368" i="4"/>
  <c r="BG369" i="4" s="1"/>
  <c r="BX354" i="4" l="1"/>
  <c r="BX357" i="4"/>
  <c r="BH33" i="67"/>
  <c r="BH367" i="4"/>
  <c r="BH364" i="4"/>
  <c r="BX358" i="4" l="1"/>
  <c r="BX359" i="4" s="1"/>
  <c r="BE61" i="67"/>
  <c r="BE63" i="67" s="1"/>
  <c r="BE48" i="67"/>
  <c r="BH368" i="4"/>
  <c r="BH369" i="4" s="1"/>
  <c r="BY354" i="4" l="1"/>
  <c r="BY357" i="4"/>
  <c r="BI33" i="67"/>
  <c r="BI367" i="4"/>
  <c r="BI364" i="4"/>
  <c r="BY358" i="4" l="1"/>
  <c r="BY359" i="4" s="1"/>
  <c r="BF61" i="67"/>
  <c r="BF63" i="67" s="1"/>
  <c r="BF48" i="67"/>
  <c r="BI368" i="4"/>
  <c r="BI369" i="4" s="1"/>
  <c r="BZ354" i="4" l="1"/>
  <c r="BZ357" i="4"/>
  <c r="BJ33" i="67"/>
  <c r="BJ367" i="4"/>
  <c r="BJ364" i="4"/>
  <c r="BZ358" i="4" l="1"/>
  <c r="BZ359" i="4" s="1"/>
  <c r="BG61" i="67"/>
  <c r="BG63" i="67" s="1"/>
  <c r="BG48" i="67"/>
  <c r="BJ368" i="4"/>
  <c r="BJ369" i="4" s="1"/>
  <c r="CA354" i="4" l="1"/>
  <c r="CA357" i="4"/>
  <c r="BK33" i="67"/>
  <c r="BK367" i="4"/>
  <c r="BK364" i="4"/>
  <c r="CA358" i="4" l="1"/>
  <c r="CA359" i="4" s="1"/>
  <c r="BH61" i="67"/>
  <c r="BH63" i="67" s="1"/>
  <c r="BH48" i="67"/>
  <c r="BK368" i="4"/>
  <c r="BK369" i="4" s="1"/>
  <c r="CB354" i="4" l="1"/>
  <c r="CB357" i="4"/>
  <c r="BL33" i="67"/>
  <c r="BL367" i="4"/>
  <c r="BL364" i="4"/>
  <c r="CB358" i="4" l="1"/>
  <c r="CB359" i="4" s="1"/>
  <c r="BI61" i="67"/>
  <c r="BI63" i="67" s="1"/>
  <c r="BI48" i="67"/>
  <c r="BL368" i="4"/>
  <c r="BL369" i="4" s="1"/>
  <c r="CC354" i="4" l="1"/>
  <c r="CC357" i="4"/>
  <c r="BM33" i="67"/>
  <c r="BM367" i="4"/>
  <c r="BM364" i="4"/>
  <c r="CC358" i="4" l="1"/>
  <c r="CC359" i="4" s="1"/>
  <c r="BJ61" i="67"/>
  <c r="BJ63" i="67" s="1"/>
  <c r="BJ48" i="67"/>
  <c r="BM368" i="4"/>
  <c r="BM369" i="4" s="1"/>
  <c r="CD354" i="4" l="1"/>
  <c r="CD357" i="4"/>
  <c r="BN33" i="67"/>
  <c r="BN367" i="4"/>
  <c r="BN364" i="4"/>
  <c r="CD358" i="4" l="1"/>
  <c r="CD359" i="4" s="1"/>
  <c r="BK61" i="67"/>
  <c r="BK63" i="67" s="1"/>
  <c r="BK48" i="67"/>
  <c r="BN368" i="4"/>
  <c r="BN369" i="4" s="1"/>
  <c r="CE354" i="4" l="1"/>
  <c r="CE357" i="4"/>
  <c r="BO33" i="67"/>
  <c r="BO367" i="4"/>
  <c r="BO364" i="4"/>
  <c r="CE358" i="4" l="1"/>
  <c r="CE359" i="4" s="1"/>
  <c r="BL61" i="67"/>
  <c r="BL63" i="67" s="1"/>
  <c r="BL48" i="67"/>
  <c r="BO368" i="4"/>
  <c r="BO369" i="4" s="1"/>
  <c r="CF354" i="4" l="1"/>
  <c r="CF357" i="4"/>
  <c r="BP33" i="67"/>
  <c r="BP367" i="4"/>
  <c r="BP364" i="4"/>
  <c r="CF358" i="4" l="1"/>
  <c r="CF359" i="4" s="1"/>
  <c r="BM61" i="67"/>
  <c r="BM63" i="67" s="1"/>
  <c r="BM48" i="67"/>
  <c r="BP368" i="4"/>
  <c r="BP369" i="4" s="1"/>
  <c r="CG354" i="4" l="1"/>
  <c r="CG357" i="4"/>
  <c r="BQ33" i="67"/>
  <c r="BQ367" i="4"/>
  <c r="BQ364" i="4"/>
  <c r="CG358" i="4" l="1"/>
  <c r="CG359" i="4" s="1"/>
  <c r="BN61" i="67"/>
  <c r="BN63" i="67" s="1"/>
  <c r="BN48" i="67"/>
  <c r="BQ368" i="4"/>
  <c r="BQ369" i="4" s="1"/>
  <c r="CH354" i="4" l="1"/>
  <c r="CH357" i="4"/>
  <c r="BR33" i="67"/>
  <c r="BR367" i="4"/>
  <c r="BR364" i="4"/>
  <c r="CH358" i="4" l="1"/>
  <c r="CH359" i="4" s="1"/>
  <c r="BO61" i="67"/>
  <c r="BO63" i="67" s="1"/>
  <c r="BO48" i="67"/>
  <c r="BR368" i="4"/>
  <c r="BR369" i="4" s="1"/>
  <c r="CI354" i="4" l="1"/>
  <c r="CI357" i="4"/>
  <c r="BS33" i="67"/>
  <c r="BS367" i="4"/>
  <c r="BS364" i="4"/>
  <c r="CI358" i="4" l="1"/>
  <c r="CI359" i="4" s="1"/>
  <c r="BP61" i="67"/>
  <c r="BP63" i="67" s="1"/>
  <c r="BP48" i="67"/>
  <c r="BS368" i="4"/>
  <c r="BS369" i="4" s="1"/>
  <c r="CJ354" i="4" l="1"/>
  <c r="CJ357" i="4"/>
  <c r="BT33" i="67"/>
  <c r="BT367" i="4"/>
  <c r="BT364" i="4"/>
  <c r="CJ358" i="4" l="1"/>
  <c r="CJ359" i="4" s="1"/>
  <c r="BQ61" i="67"/>
  <c r="BQ63" i="67" s="1"/>
  <c r="BQ48" i="67"/>
  <c r="BT368" i="4"/>
  <c r="BT369" i="4" s="1"/>
  <c r="CK354" i="4" l="1"/>
  <c r="CK357" i="4"/>
  <c r="BU33" i="67"/>
  <c r="BU367" i="4"/>
  <c r="BU364" i="4"/>
  <c r="CK358" i="4" l="1"/>
  <c r="CK359" i="4" s="1"/>
  <c r="BR61" i="67"/>
  <c r="BR63" i="67" s="1"/>
  <c r="BR48" i="67"/>
  <c r="BU368" i="4"/>
  <c r="BU369" i="4" s="1"/>
  <c r="CL354" i="4" l="1"/>
  <c r="CL357" i="4"/>
  <c r="BV33" i="67"/>
  <c r="BV367" i="4"/>
  <c r="BV364" i="4"/>
  <c r="CL358" i="4" l="1"/>
  <c r="CL359" i="4" s="1"/>
  <c r="BS61" i="67"/>
  <c r="BS63" i="67" s="1"/>
  <c r="BS48" i="67"/>
  <c r="BV368" i="4"/>
  <c r="BV369" i="4" s="1"/>
  <c r="CM354" i="4" l="1"/>
  <c r="CM357" i="4"/>
  <c r="BW33" i="67"/>
  <c r="BW367" i="4"/>
  <c r="BW364" i="4"/>
  <c r="CM358" i="4" l="1"/>
  <c r="CM359" i="4" s="1"/>
  <c r="BT61" i="67"/>
  <c r="BT63" i="67" s="1"/>
  <c r="BT48" i="67"/>
  <c r="BW368" i="4"/>
  <c r="BW369" i="4" s="1"/>
  <c r="CN354" i="4" l="1"/>
  <c r="CN357" i="4"/>
  <c r="BX33" i="67"/>
  <c r="BX367" i="4"/>
  <c r="BX364" i="4"/>
  <c r="CN358" i="4" l="1"/>
  <c r="CN359" i="4" s="1"/>
  <c r="BU61" i="67"/>
  <c r="BU63" i="67" s="1"/>
  <c r="BU48" i="67"/>
  <c r="BX368" i="4"/>
  <c r="BX369" i="4" s="1"/>
  <c r="CO354" i="4" l="1"/>
  <c r="CO357" i="4"/>
  <c r="BY33" i="67"/>
  <c r="BY367" i="4"/>
  <c r="BY364" i="4"/>
  <c r="CO358" i="4" l="1"/>
  <c r="CO359" i="4" s="1"/>
  <c r="BV61" i="67"/>
  <c r="BV63" i="67" s="1"/>
  <c r="BV48" i="67"/>
  <c r="BY368" i="4"/>
  <c r="BY369" i="4" s="1"/>
  <c r="BZ33" i="67" l="1"/>
  <c r="BZ367" i="4"/>
  <c r="BZ364" i="4"/>
  <c r="BW61" i="67" l="1"/>
  <c r="BW63" i="67" s="1"/>
  <c r="BW48" i="67"/>
  <c r="BZ368" i="4"/>
  <c r="BZ369" i="4" s="1"/>
  <c r="CA33" i="67" l="1"/>
  <c r="CA367" i="4"/>
  <c r="CA364" i="4"/>
  <c r="BX61" i="67" l="1"/>
  <c r="BX63" i="67" s="1"/>
  <c r="BX48" i="67"/>
  <c r="CA368" i="4"/>
  <c r="CA369" i="4" s="1"/>
  <c r="CB33" i="67" l="1"/>
  <c r="CB367" i="4"/>
  <c r="CB364" i="4"/>
  <c r="BY61" i="67" l="1"/>
  <c r="BY63" i="67" s="1"/>
  <c r="BY48" i="67"/>
  <c r="CB368" i="4"/>
  <c r="CB369" i="4" s="1"/>
  <c r="CC33" i="67" l="1"/>
  <c r="CC367" i="4"/>
  <c r="CC364" i="4"/>
  <c r="BZ61" i="67" l="1"/>
  <c r="BZ63" i="67" s="1"/>
  <c r="BZ48" i="67"/>
  <c r="CC368" i="4"/>
  <c r="CC369" i="4" s="1"/>
  <c r="CD33" i="67" l="1"/>
  <c r="CD367" i="4"/>
  <c r="CD364" i="4"/>
  <c r="CA61" i="67" l="1"/>
  <c r="CA63" i="67" s="1"/>
  <c r="CA48" i="67"/>
  <c r="CD368" i="4"/>
  <c r="CD369" i="4" s="1"/>
  <c r="CE33" i="67" l="1"/>
  <c r="CE367" i="4"/>
  <c r="CE364" i="4"/>
  <c r="CB61" i="67" l="1"/>
  <c r="CB63" i="67" s="1"/>
  <c r="CB48" i="67"/>
  <c r="CE368" i="4"/>
  <c r="CE369" i="4" s="1"/>
  <c r="CF33" i="67" l="1"/>
  <c r="CF367" i="4"/>
  <c r="CF364" i="4"/>
  <c r="CC61" i="67" l="1"/>
  <c r="CC63" i="67" s="1"/>
  <c r="CC48" i="67"/>
  <c r="CF368" i="4"/>
  <c r="CF369" i="4" s="1"/>
  <c r="CG33" i="67" l="1"/>
  <c r="CG367" i="4"/>
  <c r="CG364" i="4"/>
  <c r="CD61" i="67" l="1"/>
  <c r="CD63" i="67" s="1"/>
  <c r="CD48" i="67"/>
  <c r="CG368" i="4"/>
  <c r="CG369" i="4" s="1"/>
  <c r="CH33" i="67" l="1"/>
  <c r="CH367" i="4"/>
  <c r="CH364" i="4"/>
  <c r="CE61" i="67" l="1"/>
  <c r="CE63" i="67" s="1"/>
  <c r="CE48" i="67"/>
  <c r="CH368" i="4"/>
  <c r="CH369" i="4" s="1"/>
  <c r="CI33" i="67" l="1"/>
  <c r="CI367" i="4"/>
  <c r="CI364" i="4"/>
  <c r="CF61" i="67" l="1"/>
  <c r="CF63" i="67" s="1"/>
  <c r="CF48" i="67"/>
  <c r="CI368" i="4"/>
  <c r="CI369" i="4" s="1"/>
  <c r="CJ33" i="67" l="1"/>
  <c r="CJ367" i="4"/>
  <c r="CJ364" i="4"/>
  <c r="CG61" i="67" l="1"/>
  <c r="CG63" i="67" s="1"/>
  <c r="CG48" i="67"/>
  <c r="CJ368" i="4"/>
  <c r="CJ369" i="4" s="1"/>
  <c r="CK33" i="67" l="1"/>
  <c r="CK367" i="4"/>
  <c r="CK364" i="4"/>
  <c r="CH61" i="67" l="1"/>
  <c r="CH63" i="67" s="1"/>
  <c r="CH48" i="67"/>
  <c r="CK368" i="4"/>
  <c r="CK369" i="4" s="1"/>
  <c r="CL33" i="67" l="1"/>
  <c r="CL367" i="4"/>
  <c r="CL364" i="4"/>
  <c r="AF18" i="67" l="1"/>
  <c r="CI61" i="67"/>
  <c r="CI63" i="67" s="1"/>
  <c r="CI48" i="67"/>
  <c r="CL368" i="4"/>
  <c r="CL369" i="4" s="1"/>
  <c r="CM33" i="67" l="1"/>
  <c r="CM367" i="4"/>
  <c r="CM364" i="4"/>
  <c r="CJ61" i="67" l="1"/>
  <c r="CJ63" i="67" s="1"/>
  <c r="CJ48" i="67"/>
  <c r="CM368" i="4"/>
  <c r="CM369" i="4" s="1"/>
  <c r="CN367" i="4" l="1"/>
  <c r="CN364" i="4"/>
  <c r="AF34" i="67" l="1"/>
  <c r="CK61" i="67"/>
  <c r="CK63" i="67" s="1"/>
  <c r="CK48" i="67"/>
  <c r="CN33" i="67"/>
  <c r="CN368" i="4"/>
  <c r="CN369" i="4" s="1"/>
  <c r="CO33" i="67" l="1"/>
  <c r="CO367" i="4"/>
  <c r="CO364" i="4"/>
  <c r="CL61" i="67" l="1"/>
  <c r="CL63" i="67" s="1"/>
  <c r="CL48" i="67"/>
  <c r="CO368" i="4"/>
  <c r="CO369" i="4" s="1"/>
  <c r="CM61" i="67" l="1"/>
  <c r="CM63" i="67" s="1"/>
  <c r="CM48" i="67"/>
  <c r="CN61" i="67" l="1"/>
  <c r="CN63" i="67" s="1"/>
  <c r="CN48" i="67"/>
  <c r="CO61" i="67" l="1"/>
  <c r="CO63" i="67" s="1"/>
  <c r="CO48" i="67"/>
  <c r="AF20" i="67" l="1"/>
  <c r="AF35" i="67"/>
  <c r="AF33" i="67" s="1"/>
  <c r="I322" i="4" l="1"/>
  <c r="I446" i="4" l="1"/>
  <c r="I375" i="4" l="1"/>
  <c r="I445" i="4"/>
  <c r="I320" i="4" l="1"/>
  <c r="I435" i="4"/>
  <c r="I321" i="4"/>
  <c r="I355" i="4" l="1"/>
  <c r="I423" i="4"/>
  <c r="I424" i="4"/>
  <c r="I434" i="4" l="1"/>
  <c r="I365" i="4"/>
  <c r="I377" i="4" l="1"/>
  <c r="I448" i="4" l="1"/>
  <c r="I437" i="4"/>
  <c r="I357" i="4" l="1"/>
  <c r="I367" i="4" l="1"/>
  <c r="I426" i="4"/>
  <c r="I65" i="62" l="1"/>
  <c r="AG49" i="67" l="1"/>
  <c r="AG52" i="67" l="1"/>
  <c r="AG62" i="67" l="1"/>
  <c r="AG64" i="67" s="1"/>
  <c r="AG55" i="67"/>
  <c r="AG57" i="67" s="1"/>
  <c r="AG13" i="67" l="1"/>
  <c r="AH49" i="67" l="1"/>
  <c r="AG78" i="67" l="1"/>
  <c r="AH52" i="67" l="1"/>
  <c r="AG91" i="67" l="1"/>
  <c r="AG93" i="67" s="1"/>
  <c r="AG59" i="67"/>
  <c r="AG96" i="67" l="1"/>
  <c r="AG17" i="67"/>
  <c r="AG23" i="67" s="1"/>
  <c r="AH62" i="67" l="1"/>
  <c r="AH64" i="67" s="1"/>
  <c r="AH55" i="67"/>
  <c r="AH57" i="67" s="1"/>
  <c r="AH13" i="67" l="1"/>
  <c r="AH30" i="67" l="1"/>
  <c r="AI49" i="67" l="1"/>
  <c r="AH78" i="67" l="1"/>
  <c r="AI52" i="67" l="1"/>
  <c r="AH91" i="67" l="1"/>
  <c r="AH93" i="67" s="1"/>
  <c r="AH59" i="67"/>
  <c r="AH96" i="67" l="1"/>
  <c r="AH17" i="67"/>
  <c r="AH23" i="67" s="1"/>
  <c r="AI62" i="67" l="1"/>
  <c r="AI64" i="67" s="1"/>
  <c r="AI55" i="67"/>
  <c r="AI57" i="67" s="1"/>
  <c r="AI13" i="67" l="1"/>
  <c r="AJ49" i="67" l="1"/>
  <c r="AI78" i="67" l="1"/>
  <c r="AJ52" i="67" l="1"/>
  <c r="AI91" i="67" l="1"/>
  <c r="AI93" i="67" s="1"/>
  <c r="AI59" i="67"/>
  <c r="AI96" i="67" l="1"/>
  <c r="AI17" i="67"/>
  <c r="AI23" i="67" s="1"/>
  <c r="AJ62" i="67" l="1"/>
  <c r="AJ64" i="67" s="1"/>
  <c r="AJ55" i="67"/>
  <c r="AJ57" i="67" s="1"/>
  <c r="AJ13" i="67" l="1"/>
  <c r="AK49" i="67" l="1"/>
  <c r="AJ78" i="67" l="1"/>
  <c r="AK52" i="67" l="1"/>
  <c r="AJ91" i="67" l="1"/>
  <c r="AJ93" i="67" s="1"/>
  <c r="AJ59" i="67"/>
  <c r="AJ96" i="67" l="1"/>
  <c r="AJ17" i="67"/>
  <c r="AJ23" i="67" s="1"/>
  <c r="AK62" i="67" l="1"/>
  <c r="AK64" i="67" s="1"/>
  <c r="AK55" i="67"/>
  <c r="AK57" i="67" s="1"/>
  <c r="AK13" i="67" l="1"/>
  <c r="AL49" i="67" l="1"/>
  <c r="AK78" i="67" l="1"/>
  <c r="AL52" i="67" l="1"/>
  <c r="AK91" i="67" l="1"/>
  <c r="AK93" i="67" s="1"/>
  <c r="AK59" i="67"/>
  <c r="AK96" i="67" l="1"/>
  <c r="AK17" i="67"/>
  <c r="AK23" i="67" s="1"/>
  <c r="AL62" i="67" l="1"/>
  <c r="AL64" i="67" s="1"/>
  <c r="AL55" i="67"/>
  <c r="AL57" i="67" s="1"/>
  <c r="AL13" i="67" l="1"/>
  <c r="AL30" i="67" l="1"/>
  <c r="AM49" i="67" l="1"/>
  <c r="AL78" i="67" l="1"/>
  <c r="AM52" i="67" l="1"/>
  <c r="AL91" i="67" l="1"/>
  <c r="AL93" i="67" s="1"/>
  <c r="AL59" i="67"/>
  <c r="AL96" i="67" l="1"/>
  <c r="AL17" i="67"/>
  <c r="AL23" i="67" s="1"/>
  <c r="AM62" i="67" l="1"/>
  <c r="AM64" i="67" s="1"/>
  <c r="AM55" i="67"/>
  <c r="AM57" i="67" l="1"/>
  <c r="AM13" i="67"/>
  <c r="AN49" i="67" l="1"/>
  <c r="AM78" i="67" l="1"/>
  <c r="AN52" i="67" l="1"/>
  <c r="AM91" i="67" l="1"/>
  <c r="AM93" i="67" s="1"/>
  <c r="AM59" i="67"/>
  <c r="AM96" i="67" l="1"/>
  <c r="AM17" i="67"/>
  <c r="AM23" i="67" s="1"/>
  <c r="AN62" i="67" l="1"/>
  <c r="AN64" i="67" s="1"/>
  <c r="AN55" i="67"/>
  <c r="AN57" i="67" s="1"/>
  <c r="AN13" i="67" l="1"/>
  <c r="AO49" i="67" l="1"/>
  <c r="AN78" i="67" l="1"/>
  <c r="AO52" i="67" l="1"/>
  <c r="AN91" i="67" l="1"/>
  <c r="AN93" i="67" s="1"/>
  <c r="AN59" i="67"/>
  <c r="AN96" i="67" l="1"/>
  <c r="AN17" i="67"/>
  <c r="AN23" i="67" s="1"/>
  <c r="AO62" i="67" l="1"/>
  <c r="AO64" i="67" s="1"/>
  <c r="AO55" i="67"/>
  <c r="AO57" i="67" s="1"/>
  <c r="AO13" i="67" l="1"/>
  <c r="AP49" i="67" l="1"/>
  <c r="AO78" i="67" l="1"/>
  <c r="AP52" i="67" l="1"/>
  <c r="AO91" i="67" l="1"/>
  <c r="AO93" i="67" s="1"/>
  <c r="AO59" i="67"/>
  <c r="AO96" i="67" l="1"/>
  <c r="AO17" i="67"/>
  <c r="AO23" i="67" s="1"/>
  <c r="AP62" i="67" l="1"/>
  <c r="AP64" i="67" s="1"/>
  <c r="AP55" i="67"/>
  <c r="AP57" i="67" s="1"/>
  <c r="AP13" i="67" l="1"/>
  <c r="AP30" i="67" l="1"/>
  <c r="AQ49" i="67" l="1"/>
  <c r="AP78" i="67" l="1"/>
  <c r="AQ52" i="67" l="1"/>
  <c r="AP91" i="67" l="1"/>
  <c r="AP93" i="67" s="1"/>
  <c r="AP59" i="67"/>
  <c r="AP96" i="67" l="1"/>
  <c r="AP17" i="67"/>
  <c r="AP23" i="67" s="1"/>
  <c r="AQ62" i="67" l="1"/>
  <c r="AQ64" i="67" s="1"/>
  <c r="AQ55" i="67"/>
  <c r="AQ13" i="67" l="1"/>
  <c r="AQ57" i="67"/>
  <c r="AR49" i="67" l="1"/>
  <c r="AQ78" i="67" l="1"/>
  <c r="AR52" i="67" l="1"/>
  <c r="AQ91" i="67" l="1"/>
  <c r="AQ93" i="67" s="1"/>
  <c r="AQ59" i="67"/>
  <c r="AQ96" i="67" l="1"/>
  <c r="AQ17" i="67"/>
  <c r="AQ23" i="67" s="1"/>
  <c r="AR62" i="67" l="1"/>
  <c r="AR64" i="67" s="1"/>
  <c r="AR55" i="67"/>
  <c r="AR57" i="67" s="1"/>
  <c r="AR13" i="67" l="1"/>
  <c r="AS49" i="67" l="1"/>
  <c r="AR78" i="67" l="1"/>
  <c r="AS52" i="67" l="1"/>
  <c r="AR91" i="67" l="1"/>
  <c r="AR93" i="67" s="1"/>
  <c r="AR59" i="67"/>
  <c r="AR96" i="67" l="1"/>
  <c r="AR17" i="67"/>
  <c r="AR23" i="67" s="1"/>
  <c r="AS62" i="67" l="1"/>
  <c r="AS64" i="67" s="1"/>
  <c r="AS55" i="67"/>
  <c r="AS57" i="67" s="1"/>
  <c r="AS13" i="67" l="1"/>
  <c r="AT49" i="67" l="1"/>
  <c r="AS78" i="67" l="1"/>
  <c r="AT52" i="67" l="1"/>
  <c r="AS91" i="67" l="1"/>
  <c r="AS93" i="67" s="1"/>
  <c r="AS59" i="67"/>
  <c r="AS96" i="67" l="1"/>
  <c r="AS17" i="67"/>
  <c r="AS23" i="67" s="1"/>
  <c r="AT62" i="67" l="1"/>
  <c r="AT64" i="67" s="1"/>
  <c r="AT55" i="67"/>
  <c r="AT13" i="67" l="1"/>
  <c r="AT57" i="67"/>
  <c r="AT30" i="67" l="1"/>
  <c r="AU49" i="67" l="1"/>
  <c r="AT78" i="67" l="1"/>
  <c r="AU52" i="67" l="1"/>
  <c r="AT91" i="67" l="1"/>
  <c r="AT93" i="67" s="1"/>
  <c r="AT59" i="67"/>
  <c r="AT96" i="67" l="1"/>
  <c r="AT17" i="67"/>
  <c r="AT23" i="67" s="1"/>
  <c r="AU62" i="67" l="1"/>
  <c r="AU64" i="67" s="1"/>
  <c r="AU55" i="67"/>
  <c r="AU57" i="67" s="1"/>
  <c r="AU13" i="67" l="1"/>
  <c r="AV49" i="67" l="1"/>
  <c r="AU78" i="67" l="1"/>
  <c r="AV52" i="67" l="1"/>
  <c r="AU91" i="67" l="1"/>
  <c r="AU93" i="67" s="1"/>
  <c r="AU59" i="67"/>
  <c r="AU96" i="67" l="1"/>
  <c r="AU17" i="67"/>
  <c r="AU23" i="67" s="1"/>
  <c r="AV62" i="67" l="1"/>
  <c r="AV64" i="67" s="1"/>
  <c r="AV55" i="67"/>
  <c r="AV57" i="67" s="1"/>
  <c r="AV13" i="67" l="1"/>
  <c r="AW49" i="67" l="1"/>
  <c r="AV78" i="67" l="1"/>
  <c r="AW52" i="67" l="1"/>
  <c r="AV91" i="67" l="1"/>
  <c r="AV93" i="67" s="1"/>
  <c r="AV59" i="67"/>
  <c r="AV96" i="67" l="1"/>
  <c r="AV17" i="67"/>
  <c r="AV23" i="67" s="1"/>
  <c r="AW62" i="67" l="1"/>
  <c r="AW64" i="67" s="1"/>
  <c r="AW55" i="67"/>
  <c r="AW57" i="67" s="1"/>
  <c r="AW13" i="67" l="1"/>
  <c r="AX49" i="67" l="1"/>
  <c r="AW78" i="67" l="1"/>
  <c r="AX52" i="67" l="1"/>
  <c r="AW91" i="67" l="1"/>
  <c r="AW93" i="67" s="1"/>
  <c r="AW59" i="67"/>
  <c r="AW96" i="67" l="1"/>
  <c r="AW17" i="67"/>
  <c r="AW23" i="67" s="1"/>
  <c r="AX62" i="67" l="1"/>
  <c r="AX64" i="67" s="1"/>
  <c r="AX55" i="67"/>
  <c r="AX57" i="67" s="1"/>
  <c r="AX13" i="67" l="1"/>
  <c r="AX30" i="67" l="1"/>
  <c r="AY49" i="67" l="1"/>
  <c r="AX78" i="67" l="1"/>
  <c r="AY52" i="67" l="1"/>
  <c r="AX91" i="67" l="1"/>
  <c r="AX93" i="67" s="1"/>
  <c r="AX59" i="67"/>
  <c r="AX96" i="67" l="1"/>
  <c r="AX17" i="67"/>
  <c r="AX23" i="67" s="1"/>
  <c r="AY62" i="67" l="1"/>
  <c r="AY64" i="67" s="1"/>
  <c r="AY55" i="67"/>
  <c r="AY57" i="67" s="1"/>
  <c r="AY13" i="67" l="1"/>
  <c r="AZ49" i="67" l="1"/>
  <c r="AY78" i="67" l="1"/>
  <c r="AZ52" i="67" l="1"/>
  <c r="AY91" i="67" l="1"/>
  <c r="AY93" i="67" s="1"/>
  <c r="AY59" i="67"/>
  <c r="AY96" i="67" l="1"/>
  <c r="AY17" i="67"/>
  <c r="AY23" i="67" s="1"/>
  <c r="AZ62" i="67" l="1"/>
  <c r="AZ64" i="67" s="1"/>
  <c r="AZ55" i="67"/>
  <c r="AZ57" i="67" s="1"/>
  <c r="AZ13" i="67" l="1"/>
  <c r="BA49" i="67" l="1"/>
  <c r="AZ78" i="67" l="1"/>
  <c r="BA52" i="67" l="1"/>
  <c r="AZ91" i="67" l="1"/>
  <c r="AZ93" i="67" s="1"/>
  <c r="AZ59" i="67"/>
  <c r="AZ96" i="67" l="1"/>
  <c r="AZ17" i="67"/>
  <c r="AZ23" i="67" s="1"/>
  <c r="BA62" i="67" l="1"/>
  <c r="BA64" i="67" s="1"/>
  <c r="BA55" i="67"/>
  <c r="BA57" i="67" s="1"/>
  <c r="BA13" i="67" l="1"/>
  <c r="BB49" i="67" l="1"/>
  <c r="BA78" i="67" l="1"/>
  <c r="BB52" i="67" l="1"/>
  <c r="BA91" i="67" l="1"/>
  <c r="BA93" i="67" s="1"/>
  <c r="BA59" i="67"/>
  <c r="BA96" i="67" l="1"/>
  <c r="BA17" i="67"/>
  <c r="BA23" i="67" s="1"/>
  <c r="BB62" i="67" l="1"/>
  <c r="BB64" i="67" s="1"/>
  <c r="BB55" i="67"/>
  <c r="BB57" i="67" s="1"/>
  <c r="BB13" i="67" l="1"/>
  <c r="BB30" i="67" l="1"/>
  <c r="BC49" i="67" l="1"/>
  <c r="BB78" i="67" l="1"/>
  <c r="BC52" i="67" l="1"/>
  <c r="BB91" i="67" l="1"/>
  <c r="BB93" i="67" s="1"/>
  <c r="BB59" i="67"/>
  <c r="BB96" i="67" l="1"/>
  <c r="BB17" i="67"/>
  <c r="BB23" i="67" s="1"/>
  <c r="BC62" i="67" l="1"/>
  <c r="BC64" i="67" s="1"/>
  <c r="BC55" i="67"/>
  <c r="BC57" i="67" s="1"/>
  <c r="BC13" i="67" l="1"/>
  <c r="BD49" i="67" l="1"/>
  <c r="BC78" i="67" l="1"/>
  <c r="BD52" i="67" l="1"/>
  <c r="BC91" i="67" l="1"/>
  <c r="BC93" i="67" s="1"/>
  <c r="BC59" i="67"/>
  <c r="BC96" i="67" l="1"/>
  <c r="BC17" i="67"/>
  <c r="BC23" i="67" s="1"/>
  <c r="BD62" i="67" l="1"/>
  <c r="BD64" i="67" s="1"/>
  <c r="BD55" i="67"/>
  <c r="BD57" i="67" s="1"/>
  <c r="BD13" i="67" l="1"/>
  <c r="BE49" i="67" l="1"/>
  <c r="BD78" i="67" l="1"/>
  <c r="BE52" i="67" l="1"/>
  <c r="BD91" i="67" l="1"/>
  <c r="BD93" i="67" s="1"/>
  <c r="BD59" i="67"/>
  <c r="BD96" i="67" l="1"/>
  <c r="BD17" i="67"/>
  <c r="BD23" i="67" s="1"/>
  <c r="BE62" i="67" l="1"/>
  <c r="BE64" i="67" s="1"/>
  <c r="BE55" i="67"/>
  <c r="BE57" i="67" s="1"/>
  <c r="BE13" i="67" l="1"/>
  <c r="BF49" i="67" l="1"/>
  <c r="BE78" i="67" l="1"/>
  <c r="BF52" i="67" l="1"/>
  <c r="BE91" i="67" l="1"/>
  <c r="BE93" i="67" s="1"/>
  <c r="BE59" i="67"/>
  <c r="BE96" i="67" l="1"/>
  <c r="BE17" i="67"/>
  <c r="BE23" i="67" s="1"/>
  <c r="BF62" i="67" l="1"/>
  <c r="BF64" i="67" s="1"/>
  <c r="BF55" i="67"/>
  <c r="BF57" i="67" s="1"/>
  <c r="BF13" i="67" l="1"/>
  <c r="BF30" i="67" l="1"/>
  <c r="BG49" i="67" l="1"/>
  <c r="BF78" i="67" l="1"/>
  <c r="BG52" i="67" l="1"/>
  <c r="BF91" i="67" l="1"/>
  <c r="BF93" i="67" s="1"/>
  <c r="BF59" i="67"/>
  <c r="BF96" i="67" l="1"/>
  <c r="BF17" i="67"/>
  <c r="BF23" i="67" s="1"/>
  <c r="BG62" i="67" l="1"/>
  <c r="BG64" i="67" s="1"/>
  <c r="BG55" i="67"/>
  <c r="BG57" i="67" s="1"/>
  <c r="BG13" i="67" l="1"/>
  <c r="BH49" i="67" l="1"/>
  <c r="BG78" i="67" l="1"/>
  <c r="BH52" i="67" l="1"/>
  <c r="BG91" i="67" l="1"/>
  <c r="BG93" i="67" s="1"/>
  <c r="BG59" i="67"/>
  <c r="BG96" i="67" l="1"/>
  <c r="BG17" i="67"/>
  <c r="BG23" i="67" s="1"/>
  <c r="BH62" i="67" l="1"/>
  <c r="BH64" i="67" s="1"/>
  <c r="BH55" i="67"/>
  <c r="BH57" i="67" s="1"/>
  <c r="BH13" i="67" l="1"/>
  <c r="BI49" i="67" l="1"/>
  <c r="BH78" i="67" l="1"/>
  <c r="BI52" i="67" l="1"/>
  <c r="BH91" i="67" l="1"/>
  <c r="BH93" i="67" s="1"/>
  <c r="BH59" i="67"/>
  <c r="BH96" i="67" l="1"/>
  <c r="BH17" i="67"/>
  <c r="BH23" i="67" s="1"/>
  <c r="BI62" i="67" l="1"/>
  <c r="BI64" i="67" s="1"/>
  <c r="BI55" i="67"/>
  <c r="BI57" i="67" s="1"/>
  <c r="BI13" i="67" l="1"/>
  <c r="BJ49" i="67" l="1"/>
  <c r="BI78" i="67" l="1"/>
  <c r="BJ52" i="67" l="1"/>
  <c r="BI91" i="67" l="1"/>
  <c r="BI93" i="67" s="1"/>
  <c r="BI59" i="67"/>
  <c r="BI96" i="67" l="1"/>
  <c r="BI17" i="67"/>
  <c r="BI23" i="67" s="1"/>
  <c r="BJ62" i="67" l="1"/>
  <c r="BJ64" i="67" s="1"/>
  <c r="BJ55" i="67"/>
  <c r="BJ57" i="67" s="1"/>
  <c r="BJ13" i="67" l="1"/>
  <c r="BJ30" i="67" l="1"/>
  <c r="BK49" i="67" l="1"/>
  <c r="BJ78" i="67" l="1"/>
  <c r="BK52" i="67" l="1"/>
  <c r="BJ91" i="67" l="1"/>
  <c r="BJ93" i="67" s="1"/>
  <c r="BJ59" i="67"/>
  <c r="BJ96" i="67" l="1"/>
  <c r="BJ17" i="67"/>
  <c r="BJ23" i="67" s="1"/>
  <c r="BK62" i="67" l="1"/>
  <c r="BK64" i="67" s="1"/>
  <c r="BK55" i="67"/>
  <c r="BK57" i="67" s="1"/>
  <c r="BK13" i="67" l="1"/>
  <c r="BL49" i="67" l="1"/>
  <c r="BK78" i="67" l="1"/>
  <c r="BL52" i="67" l="1"/>
  <c r="BK91" i="67" l="1"/>
  <c r="BK93" i="67" s="1"/>
  <c r="BK59" i="67"/>
  <c r="BK96" i="67" l="1"/>
  <c r="BK17" i="67"/>
  <c r="BK23" i="67" s="1"/>
  <c r="BL62" i="67" l="1"/>
  <c r="BL64" i="67" s="1"/>
  <c r="BL55" i="67"/>
  <c r="BL57" i="67" s="1"/>
  <c r="BL13" i="67" l="1"/>
  <c r="BM49" i="67" l="1"/>
  <c r="BL78" i="67" l="1"/>
  <c r="BM52" i="67" l="1"/>
  <c r="BL91" i="67" l="1"/>
  <c r="BL93" i="67" s="1"/>
  <c r="BL59" i="67"/>
  <c r="BL96" i="67" l="1"/>
  <c r="BL17" i="67"/>
  <c r="BL23" i="67" s="1"/>
  <c r="BM62" i="67" l="1"/>
  <c r="BM64" i="67" s="1"/>
  <c r="BM55" i="67"/>
  <c r="BM57" i="67" s="1"/>
  <c r="BM13" i="67" l="1"/>
  <c r="BN49" i="67" l="1"/>
  <c r="BM78" i="67" l="1"/>
  <c r="BN52" i="67" l="1"/>
  <c r="BM91" i="67" l="1"/>
  <c r="BM93" i="67" s="1"/>
  <c r="BM59" i="67"/>
  <c r="BM96" i="67" l="1"/>
  <c r="BM17" i="67"/>
  <c r="BM23" i="67" s="1"/>
  <c r="BN62" i="67" l="1"/>
  <c r="BN64" i="67" s="1"/>
  <c r="BN55" i="67"/>
  <c r="BN57" i="67" s="1"/>
  <c r="BN13" i="67" l="1"/>
  <c r="BN30" i="67" l="1"/>
  <c r="BO49" i="67" l="1"/>
  <c r="BN78" i="67" l="1"/>
  <c r="BO52" i="67" l="1"/>
  <c r="BN91" i="67" l="1"/>
  <c r="BN93" i="67" s="1"/>
  <c r="BN59" i="67"/>
  <c r="BN96" i="67" l="1"/>
  <c r="BN17" i="67"/>
  <c r="BN23" i="67" s="1"/>
  <c r="BO62" i="67" l="1"/>
  <c r="BO64" i="67" s="1"/>
  <c r="BO55" i="67"/>
  <c r="BO57" i="67" s="1"/>
  <c r="BO13" i="67" l="1"/>
  <c r="BP49" i="67" l="1"/>
  <c r="BO78" i="67" l="1"/>
  <c r="BP52" i="67" l="1"/>
  <c r="BO91" i="67" l="1"/>
  <c r="BO93" i="67" s="1"/>
  <c r="BO59" i="67"/>
  <c r="BO96" i="67" l="1"/>
  <c r="BO17" i="67"/>
  <c r="BO23" i="67" s="1"/>
  <c r="BP62" i="67" l="1"/>
  <c r="BP64" i="67" s="1"/>
  <c r="BP55" i="67"/>
  <c r="BP57" i="67" s="1"/>
  <c r="BP13" i="67" l="1"/>
  <c r="BQ49" i="67" l="1"/>
  <c r="BP78" i="67" l="1"/>
  <c r="BQ52" i="67" l="1"/>
  <c r="BP91" i="67" l="1"/>
  <c r="BP93" i="67" s="1"/>
  <c r="BP59" i="67"/>
  <c r="BP96" i="67" l="1"/>
  <c r="BP17" i="67"/>
  <c r="BP23" i="67" s="1"/>
  <c r="BQ62" i="67" l="1"/>
  <c r="BQ64" i="67" s="1"/>
  <c r="BQ55" i="67"/>
  <c r="BQ57" i="67" s="1"/>
  <c r="BQ13" i="67" l="1"/>
  <c r="BR49" i="67" l="1"/>
  <c r="BQ78" i="67" l="1"/>
  <c r="BR52" i="67" l="1"/>
  <c r="BQ91" i="67" l="1"/>
  <c r="BQ93" i="67" s="1"/>
  <c r="BQ59" i="67"/>
  <c r="BQ96" i="67" l="1"/>
  <c r="BQ17" i="67"/>
  <c r="BQ23" i="67" s="1"/>
  <c r="BR62" i="67" l="1"/>
  <c r="BR64" i="67" s="1"/>
  <c r="BR55" i="67"/>
  <c r="BR57" i="67" s="1"/>
  <c r="BR13" i="67" l="1"/>
  <c r="BR30" i="67" l="1"/>
  <c r="BS49" i="67" l="1"/>
  <c r="BR78" i="67" l="1"/>
  <c r="BS52" i="67" l="1"/>
  <c r="BR91" i="67" l="1"/>
  <c r="BR93" i="67" s="1"/>
  <c r="BR59" i="67"/>
  <c r="BR96" i="67" l="1"/>
  <c r="BR17" i="67"/>
  <c r="BR23" i="67" s="1"/>
  <c r="BS62" i="67" l="1"/>
  <c r="BS64" i="67" s="1"/>
  <c r="BS55" i="67"/>
  <c r="BS57" i="67" s="1"/>
  <c r="BS13" i="67" l="1"/>
  <c r="BT49" i="67" l="1"/>
  <c r="BS78" i="67" l="1"/>
  <c r="BT52" i="67" l="1"/>
  <c r="BS91" i="67" l="1"/>
  <c r="BS93" i="67" s="1"/>
  <c r="BS59" i="67"/>
  <c r="BS96" i="67" l="1"/>
  <c r="BS17" i="67"/>
  <c r="BS23" i="67" s="1"/>
  <c r="BT62" i="67" l="1"/>
  <c r="BT64" i="67" s="1"/>
  <c r="BT55" i="67"/>
  <c r="BT57" i="67" s="1"/>
  <c r="BT13" i="67" l="1"/>
  <c r="BU49" i="67" l="1"/>
  <c r="BT78" i="67" l="1"/>
  <c r="BU52" i="67" l="1"/>
  <c r="BT91" i="67" l="1"/>
  <c r="BT93" i="67" s="1"/>
  <c r="BT59" i="67"/>
  <c r="BT96" i="67" l="1"/>
  <c r="BT17" i="67"/>
  <c r="BT23" i="67" s="1"/>
  <c r="BU62" i="67" l="1"/>
  <c r="BU64" i="67" s="1"/>
  <c r="BU55" i="67"/>
  <c r="BU57" i="67" s="1"/>
  <c r="BU13" i="67" l="1"/>
  <c r="BV49" i="67" l="1"/>
  <c r="BU78" i="67" l="1"/>
  <c r="BV52" i="67" l="1"/>
  <c r="BU91" i="67" l="1"/>
  <c r="BU93" i="67" s="1"/>
  <c r="BU59" i="67"/>
  <c r="BU96" i="67" l="1"/>
  <c r="BU17" i="67"/>
  <c r="BU23" i="67" s="1"/>
  <c r="BV62" i="67" l="1"/>
  <c r="BV64" i="67" s="1"/>
  <c r="BV55" i="67"/>
  <c r="BV57" i="67" s="1"/>
  <c r="BV13" i="67" l="1"/>
  <c r="BV30" i="67" l="1"/>
  <c r="BW49" i="67" l="1"/>
  <c r="BV78" i="67" l="1"/>
  <c r="BW52" i="67" l="1"/>
  <c r="BV91" i="67" l="1"/>
  <c r="BV93" i="67" s="1"/>
  <c r="BV59" i="67"/>
  <c r="BV96" i="67" l="1"/>
  <c r="BV17" i="67"/>
  <c r="BV23" i="67" s="1"/>
  <c r="BW62" i="67" l="1"/>
  <c r="BW64" i="67" s="1"/>
  <c r="BW55" i="67"/>
  <c r="BW57" i="67" s="1"/>
  <c r="BW13" i="67" l="1"/>
  <c r="BX49" i="67" l="1"/>
  <c r="BW78" i="67" l="1"/>
  <c r="BX52" i="67" l="1"/>
  <c r="BW91" i="67" l="1"/>
  <c r="BW93" i="67" s="1"/>
  <c r="BW59" i="67"/>
  <c r="BW96" i="67" l="1"/>
  <c r="BW17" i="67"/>
  <c r="BW23" i="67" s="1"/>
  <c r="BX62" i="67" l="1"/>
  <c r="BX64" i="67" s="1"/>
  <c r="BX55" i="67"/>
  <c r="BX57" i="67" s="1"/>
  <c r="BX13" i="67" l="1"/>
  <c r="BY49" i="67" l="1"/>
  <c r="BX78" i="67" l="1"/>
  <c r="BY52" i="67" l="1"/>
  <c r="BX91" i="67" l="1"/>
  <c r="BX93" i="67" s="1"/>
  <c r="BX59" i="67"/>
  <c r="BX96" i="67" l="1"/>
  <c r="BX17" i="67"/>
  <c r="BX23" i="67" s="1"/>
  <c r="BY62" i="67" l="1"/>
  <c r="BY64" i="67" s="1"/>
  <c r="BY55" i="67"/>
  <c r="BY57" i="67" s="1"/>
  <c r="BY13" i="67" l="1"/>
  <c r="BZ49" i="67" l="1"/>
  <c r="BY78" i="67" l="1"/>
  <c r="BZ52" i="67" l="1"/>
  <c r="BY91" i="67" l="1"/>
  <c r="BY93" i="67" s="1"/>
  <c r="BY59" i="67"/>
  <c r="BY96" i="67" l="1"/>
  <c r="BY17" i="67"/>
  <c r="BY23" i="67" s="1"/>
  <c r="BZ62" i="67" l="1"/>
  <c r="BZ64" i="67" s="1"/>
  <c r="BZ55" i="67"/>
  <c r="BZ57" i="67" s="1"/>
  <c r="BZ13" i="67" l="1"/>
  <c r="BZ30" i="67" l="1"/>
  <c r="CA49" i="67" l="1"/>
  <c r="BZ78" i="67" l="1"/>
  <c r="CA52" i="67" l="1"/>
  <c r="BZ91" i="67" l="1"/>
  <c r="BZ93" i="67" s="1"/>
  <c r="BZ59" i="67"/>
  <c r="BZ96" i="67" l="1"/>
  <c r="BZ17" i="67"/>
  <c r="BZ23" i="67" s="1"/>
  <c r="CA62" i="67" l="1"/>
  <c r="CA64" i="67" s="1"/>
  <c r="CA55" i="67"/>
  <c r="CA13" i="67" l="1"/>
  <c r="CA57" i="67"/>
  <c r="CB49" i="67" l="1"/>
  <c r="CA78" i="67" l="1"/>
  <c r="CB52" i="67" l="1"/>
  <c r="CA91" i="67" l="1"/>
  <c r="CA93" i="67" s="1"/>
  <c r="CA59" i="67"/>
  <c r="CA96" i="67" l="1"/>
  <c r="CA17" i="67"/>
  <c r="CA23" i="67" s="1"/>
  <c r="CB62" i="67" l="1"/>
  <c r="CB64" i="67" s="1"/>
  <c r="CB55" i="67"/>
  <c r="CB57" i="67" s="1"/>
  <c r="CB13" i="67" l="1"/>
  <c r="CC49" i="67" l="1"/>
  <c r="CB78" i="67" l="1"/>
  <c r="CC52" i="67" l="1"/>
  <c r="CB91" i="67" l="1"/>
  <c r="CB93" i="67" s="1"/>
  <c r="CB59" i="67"/>
  <c r="CB96" i="67" l="1"/>
  <c r="CB17" i="67"/>
  <c r="CB23" i="67" s="1"/>
  <c r="CC62" i="67" l="1"/>
  <c r="CC64" i="67" s="1"/>
  <c r="CC55" i="67"/>
  <c r="CC57" i="67" s="1"/>
  <c r="CC13" i="67" l="1"/>
  <c r="CD49" i="67" l="1"/>
  <c r="CC78" i="67" l="1"/>
  <c r="CD52" i="67" l="1"/>
  <c r="CC91" i="67" l="1"/>
  <c r="CC93" i="67" s="1"/>
  <c r="CC59" i="67"/>
  <c r="CC96" i="67" l="1"/>
  <c r="CC17" i="67"/>
  <c r="CC23" i="67" s="1"/>
  <c r="CD62" i="67" l="1"/>
  <c r="CD64" i="67" s="1"/>
  <c r="CD55" i="67"/>
  <c r="CD57" i="67" s="1"/>
  <c r="CD13" i="67" l="1"/>
  <c r="CD30" i="67" l="1"/>
  <c r="CE49" i="67" l="1"/>
  <c r="CD78" i="67" l="1"/>
  <c r="CE52" i="67" l="1"/>
  <c r="CD91" i="67" l="1"/>
  <c r="CD93" i="67" s="1"/>
  <c r="CD59" i="67"/>
  <c r="CD96" i="67" l="1"/>
  <c r="CD17" i="67"/>
  <c r="CD23" i="67" s="1"/>
  <c r="CE62" i="67" l="1"/>
  <c r="CE64" i="67" s="1"/>
  <c r="CE55" i="67"/>
  <c r="CE57" i="67" s="1"/>
  <c r="CE13" i="67" l="1"/>
  <c r="CF49" i="67" l="1"/>
  <c r="CE78" i="67" l="1"/>
  <c r="CF52" i="67" l="1"/>
  <c r="CE91" i="67" l="1"/>
  <c r="CE93" i="67" s="1"/>
  <c r="CE59" i="67"/>
  <c r="CE96" i="67" l="1"/>
  <c r="CE17" i="67"/>
  <c r="CE23" i="67" s="1"/>
  <c r="CF62" i="67" l="1"/>
  <c r="CF64" i="67" s="1"/>
  <c r="CF55" i="67"/>
  <c r="CF57" i="67" s="1"/>
  <c r="CF13" i="67" l="1"/>
  <c r="CG49" i="67" l="1"/>
  <c r="CF78" i="67" l="1"/>
  <c r="CG52" i="67" l="1"/>
  <c r="CF91" i="67" l="1"/>
  <c r="CF93" i="67" s="1"/>
  <c r="CF59" i="67"/>
  <c r="CF96" i="67" l="1"/>
  <c r="CF17" i="67"/>
  <c r="CF23" i="67" s="1"/>
  <c r="CG62" i="67" l="1"/>
  <c r="CG64" i="67" s="1"/>
  <c r="CG55" i="67"/>
  <c r="CG57" i="67" s="1"/>
  <c r="CG13" i="67" l="1"/>
  <c r="CH49" i="67" l="1"/>
  <c r="CG78" i="67" l="1"/>
  <c r="CH52" i="67" l="1"/>
  <c r="CG91" i="67" l="1"/>
  <c r="CG93" i="67" s="1"/>
  <c r="CG59" i="67"/>
  <c r="CG96" i="67" l="1"/>
  <c r="CG17" i="67"/>
  <c r="CG23" i="67" s="1"/>
  <c r="CH62" i="67" l="1"/>
  <c r="CH64" i="67" s="1"/>
  <c r="CH55" i="67"/>
  <c r="CH57" i="67" s="1"/>
  <c r="CH13" i="67" l="1"/>
  <c r="CH30" i="67" l="1"/>
  <c r="CI49" i="67" l="1"/>
  <c r="CH78" i="67" l="1"/>
  <c r="CI52" i="67" l="1"/>
  <c r="CH91" i="67" l="1"/>
  <c r="CH93" i="67" s="1"/>
  <c r="CH59" i="67"/>
  <c r="CH96" i="67" l="1"/>
  <c r="CH17" i="67"/>
  <c r="CH23" i="67" s="1"/>
  <c r="CI62" i="67" l="1"/>
  <c r="CI64" i="67" s="1"/>
  <c r="CI55" i="67"/>
  <c r="CI57" i="67" s="1"/>
  <c r="CJ49" i="67" l="1"/>
  <c r="CJ52" i="67" l="1"/>
  <c r="CI91" i="67" l="1"/>
  <c r="CI59" i="67"/>
  <c r="CI17" i="67" l="1"/>
  <c r="CJ62" i="67" l="1"/>
  <c r="CJ64" i="67" s="1"/>
  <c r="CJ55" i="67"/>
  <c r="CJ57" i="67" s="1"/>
  <c r="CK49" i="67" l="1"/>
  <c r="CK52" i="67" l="1"/>
  <c r="CJ91" i="67" l="1"/>
  <c r="CJ59" i="67"/>
  <c r="CJ17" i="67" l="1"/>
  <c r="CK62" i="67" l="1"/>
  <c r="CK64" i="67" s="1"/>
  <c r="CK55" i="67"/>
  <c r="CK57" i="67" s="1"/>
  <c r="CL49" i="67" l="1"/>
  <c r="CL52" i="67" l="1"/>
  <c r="CK91" i="67" l="1"/>
  <c r="CK59" i="67"/>
  <c r="CK17" i="67" l="1"/>
  <c r="CL62" i="67" l="1"/>
  <c r="CL64" i="67" s="1"/>
  <c r="CL55" i="67"/>
  <c r="CL57" i="67" s="1"/>
  <c r="CM49" i="67" l="1"/>
  <c r="CM52" i="67" l="1"/>
  <c r="CL91" i="67" l="1"/>
  <c r="CL59" i="67"/>
  <c r="CL17" i="67" l="1"/>
  <c r="CM62" i="67" l="1"/>
  <c r="CM64" i="67" s="1"/>
  <c r="CM55" i="67"/>
  <c r="CM57" i="67" s="1"/>
  <c r="CN49" i="67" l="1"/>
  <c r="CN52" i="67" l="1"/>
  <c r="CM91" i="67" l="1"/>
  <c r="CM59" i="67"/>
  <c r="CM17" i="67" l="1"/>
  <c r="CN62" i="67" l="1"/>
  <c r="CN64" i="67" s="1"/>
  <c r="CN55" i="67"/>
  <c r="CN57" i="67" s="1"/>
  <c r="CO52" i="67" l="1"/>
  <c r="CO49" i="67"/>
  <c r="CN91" i="67" l="1"/>
  <c r="CN59" i="67"/>
  <c r="CN17" i="67" l="1"/>
  <c r="CO62" i="67" l="1"/>
  <c r="CO64" i="67" s="1"/>
  <c r="CO55" i="67"/>
  <c r="CO13" i="67" l="1"/>
  <c r="CO57" i="67" l="1"/>
  <c r="CO78" i="67" l="1"/>
  <c r="CO59" i="67" l="1"/>
  <c r="CO91" i="67"/>
  <c r="CO93" i="67" s="1"/>
  <c r="CO96" i="67" l="1"/>
  <c r="CO17" i="67" l="1"/>
  <c r="CO23" i="67" s="1"/>
  <c r="AL97" i="67" l="1"/>
  <c r="AL99" i="67" l="1"/>
  <c r="AM97" i="67"/>
  <c r="AN97" i="67" l="1"/>
  <c r="AM99" i="67"/>
  <c r="AO97" i="67" l="1"/>
  <c r="AN99" i="67"/>
  <c r="AP97" i="67" l="1"/>
  <c r="AO99" i="67"/>
  <c r="AQ97" i="67" l="1"/>
  <c r="AP99" i="67"/>
  <c r="AQ99" i="67" l="1"/>
  <c r="AR97" i="67"/>
  <c r="AS97" i="67" l="1"/>
  <c r="AR99" i="67"/>
  <c r="AS99" i="67" l="1"/>
  <c r="AT97" i="67"/>
  <c r="AU97" i="67" l="1"/>
  <c r="AT99" i="67"/>
  <c r="AV97" i="67" l="1"/>
  <c r="AU99" i="67"/>
  <c r="AV99" i="67" l="1"/>
  <c r="AW97" i="67"/>
  <c r="AX97" i="67" l="1"/>
  <c r="AW99" i="67"/>
  <c r="AY97" i="67" l="1"/>
  <c r="AX99" i="67"/>
  <c r="AY99" i="67" l="1"/>
  <c r="AZ97" i="67"/>
  <c r="BA97" i="67" l="1"/>
  <c r="AZ99" i="67"/>
  <c r="BA99" i="67" l="1"/>
  <c r="BB97" i="67"/>
  <c r="BB99" i="67" l="1"/>
  <c r="BC97" i="67"/>
  <c r="BD97" i="67" l="1"/>
  <c r="BC99" i="67"/>
  <c r="BE97" i="67" l="1"/>
  <c r="BD99" i="67"/>
  <c r="BF97" i="67" l="1"/>
  <c r="BE99" i="67"/>
  <c r="BG97" i="67" l="1"/>
  <c r="BF99" i="67"/>
  <c r="BG99" i="67" l="1"/>
  <c r="BH97" i="67"/>
  <c r="BI97" i="67" l="1"/>
  <c r="BH99" i="67"/>
  <c r="BI99" i="67" l="1"/>
  <c r="BJ97" i="67"/>
  <c r="BK97" i="67" l="1"/>
  <c r="BJ99" i="67"/>
  <c r="BK99" i="67" l="1"/>
  <c r="BL97" i="67"/>
  <c r="BL99" i="67" l="1"/>
  <c r="BM97" i="67"/>
  <c r="BM99" i="67" l="1"/>
  <c r="BN97" i="67"/>
  <c r="BO97" i="67" l="1"/>
  <c r="BN99" i="67"/>
  <c r="BO99" i="67" l="1"/>
  <c r="BP97" i="67"/>
  <c r="BP99" i="67" l="1"/>
  <c r="BQ97" i="67"/>
  <c r="BQ99" i="67" l="1"/>
  <c r="BR97" i="67"/>
  <c r="BS97" i="67" l="1"/>
  <c r="BR99" i="67"/>
  <c r="BT97" i="67" l="1"/>
  <c r="BS99" i="67"/>
  <c r="BU97" i="67" l="1"/>
  <c r="BT99" i="67"/>
  <c r="BV97" i="67" l="1"/>
  <c r="BU99" i="67"/>
  <c r="BW97" i="67" l="1"/>
  <c r="BV99" i="67"/>
  <c r="BX97" i="67" l="1"/>
  <c r="BW99" i="67"/>
  <c r="BY97" i="67" l="1"/>
  <c r="BX99" i="67"/>
  <c r="BZ97" i="67" l="1"/>
  <c r="BY99" i="67"/>
  <c r="CA97" i="67" l="1"/>
  <c r="BZ99" i="67"/>
  <c r="CA99" i="67" l="1"/>
  <c r="CB97" i="67"/>
  <c r="CC97" i="67" l="1"/>
  <c r="CB99" i="67"/>
  <c r="CD97" i="67" l="1"/>
  <c r="CC99" i="67"/>
  <c r="CE97" i="67" l="1"/>
  <c r="CD99" i="67"/>
  <c r="CE99" i="67" l="1"/>
  <c r="CF97" i="67"/>
  <c r="CG97" i="67" l="1"/>
  <c r="CF99" i="67"/>
  <c r="CH97" i="67" l="1"/>
  <c r="CG99" i="67"/>
  <c r="CH99" i="67" l="1"/>
  <c r="CO97" i="67" l="1"/>
  <c r="CO99" i="67" l="1"/>
  <c r="CN78" i="67"/>
  <c r="CN93" i="67" s="1"/>
  <c r="CN96" i="67" s="1"/>
  <c r="CN97" i="67" s="1"/>
  <c r="CN99" i="67" s="1"/>
  <c r="CM78" i="67"/>
  <c r="CM93" i="67" s="1"/>
  <c r="CM96" i="67" s="1"/>
  <c r="CM97" i="67" s="1"/>
  <c r="CM99" i="67" s="1"/>
  <c r="CL78" i="67"/>
  <c r="CL93" i="67" s="1"/>
  <c r="CL96" i="67" s="1"/>
  <c r="CL97" i="67" s="1"/>
  <c r="CL99" i="67" s="1"/>
  <c r="CK78" i="67"/>
  <c r="CK93" i="67" s="1"/>
  <c r="CK96" i="67" s="1"/>
  <c r="CK97" i="67" s="1"/>
  <c r="CK99" i="67" s="1"/>
  <c r="CJ78" i="67"/>
  <c r="CJ93" i="67" s="1"/>
  <c r="CJ96" i="67" s="1"/>
  <c r="CJ97" i="67" s="1"/>
  <c r="CJ99" i="67" s="1"/>
  <c r="CI78" i="67"/>
  <c r="CI93" i="67" s="1"/>
  <c r="CI96" i="67" s="1"/>
  <c r="CI97" i="67" s="1"/>
  <c r="CI99" i="67" s="1"/>
  <c r="CO30" i="67"/>
  <c r="CN13" i="67"/>
  <c r="CN23" i="67" s="1"/>
  <c r="CN30" i="67"/>
  <c r="CM13" i="67"/>
  <c r="CM23" i="67" s="1"/>
  <c r="CM30" i="67"/>
  <c r="CL13" i="67"/>
  <c r="CL23" i="67" s="1"/>
  <c r="CL30" i="67"/>
  <c r="CK13" i="67"/>
  <c r="CK23" i="67" s="1"/>
  <c r="CK30" i="67"/>
  <c r="CJ13" i="67"/>
  <c r="CJ23" i="67" s="1"/>
  <c r="CJ30" i="67"/>
  <c r="CI13" i="67"/>
  <c r="CI23" i="67" s="1"/>
  <c r="CI30" i="67"/>
  <c r="CG30" i="67"/>
  <c r="CF30" i="67"/>
  <c r="CE30" i="67"/>
  <c r="CC30" i="67"/>
  <c r="CB30" i="67"/>
  <c r="CA30" i="67"/>
  <c r="BY30" i="67"/>
  <c r="BX30" i="67"/>
  <c r="BW30" i="67"/>
  <c r="BU30" i="67"/>
  <c r="BT30" i="67"/>
  <c r="BS30" i="67"/>
  <c r="BQ30" i="67"/>
  <c r="BP30" i="67"/>
  <c r="BO30" i="67"/>
  <c r="BM30" i="67"/>
  <c r="BL30" i="67"/>
  <c r="BK30" i="67"/>
  <c r="BI30" i="67"/>
  <c r="BH30" i="67"/>
  <c r="BG30" i="67"/>
  <c r="BE30" i="67"/>
  <c r="BD30" i="67"/>
  <c r="BC30" i="67"/>
  <c r="BA30" i="67"/>
  <c r="AZ30" i="67"/>
  <c r="AY30" i="67"/>
  <c r="AW30" i="67"/>
  <c r="AV30" i="67"/>
  <c r="AU30" i="67"/>
  <c r="AS30" i="67"/>
  <c r="AR30" i="67"/>
  <c r="AQ30" i="67"/>
  <c r="AO30" i="67"/>
  <c r="AN30" i="67"/>
  <c r="AM30" i="67"/>
  <c r="AK30" i="67"/>
  <c r="AJ30" i="67"/>
  <c r="AI30" i="67"/>
  <c r="AG30" i="67"/>
  <c r="I1133" i="4"/>
  <c r="L1140" i="4" s="1"/>
  <c r="P1140" i="4" l="1"/>
  <c r="X1140" i="4"/>
  <c r="AF1140" i="4"/>
  <c r="AN1140" i="4"/>
  <c r="AV1140" i="4"/>
  <c r="BD1140" i="4"/>
  <c r="BL1140" i="4"/>
  <c r="BT1140" i="4"/>
  <c r="CB1140" i="4"/>
  <c r="CJ1140" i="4"/>
  <c r="Q1140" i="4"/>
  <c r="Y1140" i="4"/>
  <c r="AG1140" i="4"/>
  <c r="AO1140" i="4"/>
  <c r="AW1140" i="4"/>
  <c r="BE1140" i="4"/>
  <c r="BM1140" i="4"/>
  <c r="BU1140" i="4"/>
  <c r="CC1140" i="4"/>
  <c r="CK1140" i="4"/>
  <c r="R1140" i="4"/>
  <c r="Z1140" i="4"/>
  <c r="AH1140" i="4"/>
  <c r="AP1140" i="4"/>
  <c r="AX1140" i="4"/>
  <c r="BF1140" i="4"/>
  <c r="BN1140" i="4"/>
  <c r="BV1140" i="4"/>
  <c r="CD1140" i="4"/>
  <c r="CL1140" i="4"/>
  <c r="S1140" i="4"/>
  <c r="AA1140" i="4"/>
  <c r="AI1140" i="4"/>
  <c r="AQ1140" i="4"/>
  <c r="AY1140" i="4"/>
  <c r="BG1140" i="4"/>
  <c r="BP1140" i="4"/>
  <c r="BW1140" i="4"/>
  <c r="CE1140" i="4"/>
  <c r="CM1140" i="4"/>
  <c r="T1140" i="4"/>
  <c r="AB1140" i="4"/>
  <c r="AJ1140" i="4"/>
  <c r="AR1140" i="4"/>
  <c r="AZ1140" i="4"/>
  <c r="BH1140" i="4"/>
  <c r="BO1140" i="4"/>
  <c r="BX1140" i="4"/>
  <c r="CF1140" i="4"/>
  <c r="CN1140" i="4"/>
  <c r="M1140" i="4"/>
  <c r="U1140" i="4"/>
  <c r="AC1140" i="4"/>
  <c r="AK1140" i="4"/>
  <c r="AS1140" i="4"/>
  <c r="BA1140" i="4"/>
  <c r="BI1140" i="4"/>
  <c r="BQ1140" i="4"/>
  <c r="BY1140" i="4"/>
  <c r="CG1140" i="4"/>
  <c r="CO1140" i="4"/>
  <c r="N1140" i="4"/>
  <c r="V1140" i="4"/>
  <c r="AD1140" i="4"/>
  <c r="AL1140" i="4"/>
  <c r="AT1140" i="4"/>
  <c r="BB1140" i="4"/>
  <c r="BJ1140" i="4"/>
  <c r="BR1140" i="4"/>
  <c r="BZ1140" i="4"/>
  <c r="CH1140" i="4"/>
  <c r="O1140" i="4"/>
  <c r="W1140" i="4"/>
  <c r="AE1140" i="4"/>
  <c r="AM1140" i="4"/>
  <c r="AU1140" i="4"/>
  <c r="BC1140" i="4"/>
  <c r="BK1140" i="4"/>
  <c r="BS1140" i="4"/>
  <c r="CA1140" i="4"/>
  <c r="CI1140" i="4"/>
  <c r="L1138" i="4" l="1"/>
  <c r="L1139" i="4" s="1"/>
  <c r="L1143" i="4" s="1"/>
  <c r="M1138" i="4" l="1"/>
  <c r="M1139" i="4" s="1"/>
  <c r="M1143" i="4" s="1"/>
  <c r="M1152" i="4" s="1"/>
  <c r="L1152" i="4"/>
  <c r="N1138" i="4" l="1"/>
  <c r="N1139" i="4" s="1"/>
  <c r="N1143" i="4" s="1"/>
  <c r="N1152" i="4" s="1"/>
  <c r="O1138" i="4" l="1"/>
  <c r="O1139" i="4" s="1"/>
  <c r="P1138" i="4" l="1"/>
  <c r="P1139" i="4" s="1"/>
  <c r="P1143" i="4" s="1"/>
  <c r="P1152" i="4" s="1"/>
  <c r="O1143" i="4"/>
  <c r="Q1138" i="4" l="1"/>
  <c r="Q1139" i="4" s="1"/>
  <c r="Q1143" i="4" s="1"/>
  <c r="Q1152" i="4" s="1"/>
  <c r="O1152" i="4"/>
  <c r="R1138" i="4" l="1"/>
  <c r="R1139" i="4" s="1"/>
  <c r="R1143" i="4" s="1"/>
  <c r="R1152" i="4" s="1"/>
  <c r="S1138" i="4" l="1"/>
  <c r="T1138" i="4" s="1"/>
  <c r="T1139" i="4" s="1"/>
  <c r="T1143" i="4" s="1"/>
  <c r="T1152" i="4" s="1"/>
  <c r="U1138" i="4" l="1"/>
  <c r="U1139" i="4" s="1"/>
  <c r="U1143" i="4" s="1"/>
  <c r="U1152" i="4" s="1"/>
  <c r="S1139" i="4"/>
  <c r="S1143" i="4" s="1"/>
  <c r="S1152" i="4" s="1"/>
  <c r="V1138" i="4" l="1"/>
  <c r="W1138" i="4" s="1"/>
  <c r="L495" i="4"/>
  <c r="V1139" i="4" l="1"/>
  <c r="V1143" i="4" s="1"/>
  <c r="V1152" i="4" s="1"/>
  <c r="W1139" i="4"/>
  <c r="W1143" i="4" s="1"/>
  <c r="W1152" i="4" s="1"/>
  <c r="X1138" i="4"/>
  <c r="L1072" i="4"/>
  <c r="X1139" i="4" l="1"/>
  <c r="X1143" i="4" s="1"/>
  <c r="X1152" i="4" s="1"/>
  <c r="Y1138" i="4"/>
  <c r="Y1139" i="4" l="1"/>
  <c r="Y1143" i="4" s="1"/>
  <c r="Y1152" i="4" s="1"/>
  <c r="Z1138" i="4"/>
  <c r="Z1139" i="4" l="1"/>
  <c r="Z1143" i="4" s="1"/>
  <c r="Z1152" i="4" s="1"/>
  <c r="AA1138" i="4"/>
  <c r="AA1139" i="4" l="1"/>
  <c r="AA1143" i="4" s="1"/>
  <c r="AA1152" i="4" s="1"/>
  <c r="AB1138" i="4"/>
  <c r="AB1139" i="4" l="1"/>
  <c r="AB1143" i="4" s="1"/>
  <c r="AB1152" i="4" s="1"/>
  <c r="AC1138" i="4"/>
  <c r="AD1138" i="4" l="1"/>
  <c r="AC1139" i="4"/>
  <c r="AC1143" i="4" s="1"/>
  <c r="AC1152" i="4" s="1"/>
  <c r="AE1138" i="4" l="1"/>
  <c r="AD1139" i="4"/>
  <c r="AD1143" i="4" s="1"/>
  <c r="AD1152" i="4" s="1"/>
  <c r="AE1139" i="4" l="1"/>
  <c r="AE1143" i="4" s="1"/>
  <c r="AE1152" i="4" s="1"/>
  <c r="AF1138" i="4"/>
  <c r="AG1138" i="4" l="1"/>
  <c r="AF1139" i="4"/>
  <c r="AF1143" i="4" s="1"/>
  <c r="AF1152" i="4" s="1"/>
  <c r="AG1139" i="4" l="1"/>
  <c r="AG1143" i="4" s="1"/>
  <c r="AG1152" i="4" s="1"/>
  <c r="AH1138" i="4"/>
  <c r="AH1139" i="4" l="1"/>
  <c r="AH1143" i="4" s="1"/>
  <c r="AH1152" i="4" s="1"/>
  <c r="AI1138" i="4"/>
  <c r="AI1139" i="4" l="1"/>
  <c r="AI1143" i="4" s="1"/>
  <c r="AI1152" i="4" s="1"/>
  <c r="AJ1138" i="4"/>
  <c r="AJ1139" i="4" l="1"/>
  <c r="AJ1143" i="4" s="1"/>
  <c r="AJ1152" i="4" s="1"/>
  <c r="AK1138" i="4"/>
  <c r="AK1139" i="4" s="1"/>
  <c r="AK1143" i="4" s="1"/>
  <c r="AK1152" i="4" s="1"/>
  <c r="AG25" i="67"/>
  <c r="AG37" i="67" s="1"/>
  <c r="AG39" i="67" s="1"/>
  <c r="AL1138" i="4" l="1"/>
  <c r="AL1139" i="4" s="1"/>
  <c r="AL1143" i="4" s="1"/>
  <c r="AL1152" i="4" s="1"/>
  <c r="AH25" i="67"/>
  <c r="AH37" i="67" s="1"/>
  <c r="AH39" i="67" s="1"/>
  <c r="AH40" i="67" s="1"/>
  <c r="AM1138" i="4" l="1"/>
  <c r="AM1139" i="4" s="1"/>
  <c r="AM1143" i="4" s="1"/>
  <c r="AM1152" i="4" s="1"/>
  <c r="AI25" i="67"/>
  <c r="AI37" i="67" s="1"/>
  <c r="AI39" i="67" s="1"/>
  <c r="AI40" i="67" s="1"/>
  <c r="AN1138" i="4" l="1"/>
  <c r="AN1139" i="4" s="1"/>
  <c r="AN1143" i="4" s="1"/>
  <c r="AN1152" i="4" s="1"/>
  <c r="AJ25" i="67"/>
  <c r="AJ37" i="67" s="1"/>
  <c r="AJ39" i="67" s="1"/>
  <c r="AJ40" i="67" s="1"/>
  <c r="AO1138" i="4" l="1"/>
  <c r="AO1139" i="4" s="1"/>
  <c r="AO1143" i="4" s="1"/>
  <c r="AO1152" i="4" s="1"/>
  <c r="AK25" i="67"/>
  <c r="AK37" i="67" s="1"/>
  <c r="AK39" i="67" s="1"/>
  <c r="AK40" i="67" s="1"/>
  <c r="AP1138" i="4" l="1"/>
  <c r="AP1139" i="4" s="1"/>
  <c r="AP1143" i="4" s="1"/>
  <c r="AP1152" i="4" s="1"/>
  <c r="AL25" i="67"/>
  <c r="AL37" i="67" s="1"/>
  <c r="AL39" i="67" s="1"/>
  <c r="AL40" i="67" s="1"/>
  <c r="AQ1138" i="4" l="1"/>
  <c r="AQ1139" i="4" s="1"/>
  <c r="AQ1143" i="4" s="1"/>
  <c r="AQ1152" i="4" s="1"/>
  <c r="AM25" i="67"/>
  <c r="AM37" i="67" s="1"/>
  <c r="AM39" i="67" s="1"/>
  <c r="AM40" i="67" s="1"/>
  <c r="AR1138" i="4" l="1"/>
  <c r="AR1139" i="4" s="1"/>
  <c r="AR1143" i="4" s="1"/>
  <c r="AR1152" i="4" s="1"/>
  <c r="AN25" i="67"/>
  <c r="AN37" i="67" s="1"/>
  <c r="AN39" i="67" s="1"/>
  <c r="AN40" i="67" s="1"/>
  <c r="AS1138" i="4" l="1"/>
  <c r="AS1139" i="4" s="1"/>
  <c r="AS1143" i="4" s="1"/>
  <c r="AS1152" i="4" s="1"/>
  <c r="AO25" i="67"/>
  <c r="AO37" i="67" s="1"/>
  <c r="AO39" i="67" s="1"/>
  <c r="AO40" i="67" s="1"/>
  <c r="AT1138" i="4" l="1"/>
  <c r="AT1139" i="4" s="1"/>
  <c r="AT1143" i="4" s="1"/>
  <c r="AT1152" i="4" s="1"/>
  <c r="AP25" i="67"/>
  <c r="AP37" i="67" s="1"/>
  <c r="AP39" i="67" s="1"/>
  <c r="AP40" i="67" s="1"/>
  <c r="AU1138" i="4" l="1"/>
  <c r="AU1139" i="4" s="1"/>
  <c r="AU1143" i="4" s="1"/>
  <c r="AU1152" i="4" s="1"/>
  <c r="AQ25" i="67"/>
  <c r="AQ37" i="67" s="1"/>
  <c r="AQ39" i="67" s="1"/>
  <c r="AQ40" i="67" s="1"/>
  <c r="AV1138" i="4" l="1"/>
  <c r="AV1139" i="4" s="1"/>
  <c r="AV1143" i="4" s="1"/>
  <c r="AV1152" i="4" s="1"/>
  <c r="AR25" i="67"/>
  <c r="AR37" i="67" s="1"/>
  <c r="AR39" i="67" s="1"/>
  <c r="AR40" i="67" s="1"/>
  <c r="AW1138" i="4" l="1"/>
  <c r="AW1139" i="4" s="1"/>
  <c r="AW1143" i="4" s="1"/>
  <c r="AW1152" i="4" s="1"/>
  <c r="AS25" i="67"/>
  <c r="AS37" i="67" s="1"/>
  <c r="AS39" i="67" s="1"/>
  <c r="AS40" i="67" s="1"/>
  <c r="AX1138" i="4" l="1"/>
  <c r="AX1139" i="4" s="1"/>
  <c r="AX1143" i="4" s="1"/>
  <c r="AX1152" i="4" s="1"/>
  <c r="AT25" i="67"/>
  <c r="AT37" i="67" s="1"/>
  <c r="AT39" i="67" s="1"/>
  <c r="AT40" i="67" s="1"/>
  <c r="AY1138" i="4" l="1"/>
  <c r="AY1139" i="4" s="1"/>
  <c r="AY1143" i="4" s="1"/>
  <c r="AY1152" i="4" s="1"/>
  <c r="AU25" i="67"/>
  <c r="AU37" i="67" s="1"/>
  <c r="AU39" i="67" s="1"/>
  <c r="AU40" i="67" s="1"/>
  <c r="AZ1138" i="4" l="1"/>
  <c r="AZ1139" i="4" s="1"/>
  <c r="AZ1143" i="4" s="1"/>
  <c r="AZ1152" i="4" s="1"/>
  <c r="AV25" i="67"/>
  <c r="AV37" i="67" s="1"/>
  <c r="AV39" i="67" s="1"/>
  <c r="AV40" i="67" s="1"/>
  <c r="BA1138" i="4" l="1"/>
  <c r="BA1139" i="4" s="1"/>
  <c r="BA1143" i="4" s="1"/>
  <c r="BA1152" i="4" s="1"/>
  <c r="AW25" i="67"/>
  <c r="AW37" i="67" s="1"/>
  <c r="AW39" i="67" s="1"/>
  <c r="AW40" i="67" s="1"/>
  <c r="BB1138" i="4" l="1"/>
  <c r="BB1139" i="4" s="1"/>
  <c r="BB1143" i="4" s="1"/>
  <c r="BB1152" i="4" s="1"/>
  <c r="AX25" i="67"/>
  <c r="AX37" i="67" s="1"/>
  <c r="AX39" i="67" s="1"/>
  <c r="AX40" i="67" s="1"/>
  <c r="BC1138" i="4" l="1"/>
  <c r="BC1139" i="4" s="1"/>
  <c r="BC1143" i="4" s="1"/>
  <c r="BC1152" i="4" s="1"/>
  <c r="AY25" i="67"/>
  <c r="AY37" i="67" s="1"/>
  <c r="AY39" i="67" s="1"/>
  <c r="AY40" i="67" s="1"/>
  <c r="BD1138" i="4" l="1"/>
  <c r="BD1139" i="4" s="1"/>
  <c r="BD1143" i="4" s="1"/>
  <c r="BD1152" i="4" s="1"/>
  <c r="AZ25" i="67"/>
  <c r="AZ37" i="67" s="1"/>
  <c r="AZ39" i="67" s="1"/>
  <c r="AZ40" i="67" s="1"/>
  <c r="BE1138" i="4" l="1"/>
  <c r="BA25" i="67"/>
  <c r="BA37" i="67" s="1"/>
  <c r="BA39" i="67" s="1"/>
  <c r="BA40" i="67" s="1"/>
  <c r="BE1139" i="4" l="1"/>
  <c r="BE1143" i="4" s="1"/>
  <c r="BE1152" i="4" s="1"/>
  <c r="BF1138" i="4"/>
  <c r="BB25" i="67"/>
  <c r="BB37" i="67" s="1"/>
  <c r="BB39" i="67" s="1"/>
  <c r="BB40" i="67" s="1"/>
  <c r="BG1138" i="4" l="1"/>
  <c r="BF1139" i="4"/>
  <c r="BF1143" i="4" s="1"/>
  <c r="BF1152" i="4" s="1"/>
  <c r="BC25" i="67"/>
  <c r="BC37" i="67" s="1"/>
  <c r="BC39" i="67" s="1"/>
  <c r="BC40" i="67" s="1"/>
  <c r="BH1138" i="4" l="1"/>
  <c r="BG1139" i="4"/>
  <c r="BG1143" i="4" s="1"/>
  <c r="BG1152" i="4" s="1"/>
  <c r="BD25" i="67"/>
  <c r="BD37" i="67" s="1"/>
  <c r="BD39" i="67" s="1"/>
  <c r="BD40" i="67" s="1"/>
  <c r="BH1139" i="4" l="1"/>
  <c r="BH1143" i="4" s="1"/>
  <c r="BH1152" i="4" s="1"/>
  <c r="BI1138" i="4"/>
  <c r="BE25" i="67"/>
  <c r="BE37" i="67" s="1"/>
  <c r="BE39" i="67" s="1"/>
  <c r="BE40" i="67" s="1"/>
  <c r="BJ1138" i="4" l="1"/>
  <c r="BI1139" i="4"/>
  <c r="BI1143" i="4" s="1"/>
  <c r="BI1152" i="4" s="1"/>
  <c r="BF25" i="67"/>
  <c r="BF37" i="67" s="1"/>
  <c r="BF39" i="67" s="1"/>
  <c r="BF40" i="67" s="1"/>
  <c r="BK1138" i="4" l="1"/>
  <c r="BJ1139" i="4"/>
  <c r="BJ1143" i="4" s="1"/>
  <c r="BJ1152" i="4" s="1"/>
  <c r="BG25" i="67"/>
  <c r="BG37" i="67" s="1"/>
  <c r="BG39" i="67" s="1"/>
  <c r="BG40" i="67" s="1"/>
  <c r="BK1139" i="4" l="1"/>
  <c r="BK1143" i="4" s="1"/>
  <c r="BK1152" i="4" s="1"/>
  <c r="BL1138" i="4"/>
  <c r="BH25" i="67"/>
  <c r="BH37" i="67" s="1"/>
  <c r="BH39" i="67" s="1"/>
  <c r="BH40" i="67" s="1"/>
  <c r="BM1138" i="4" l="1"/>
  <c r="BL1139" i="4"/>
  <c r="BL1143" i="4" s="1"/>
  <c r="BL1152" i="4" s="1"/>
  <c r="BI25" i="67"/>
  <c r="BI37" i="67" s="1"/>
  <c r="BI39" i="67" s="1"/>
  <c r="BI40" i="67" s="1"/>
  <c r="BN1138" i="4" l="1"/>
  <c r="BM1139" i="4"/>
  <c r="BM1143" i="4" s="1"/>
  <c r="BM1152" i="4" s="1"/>
  <c r="BJ25" i="67"/>
  <c r="BJ37" i="67" s="1"/>
  <c r="BJ39" i="67" s="1"/>
  <c r="BJ40" i="67" s="1"/>
  <c r="BN1139" i="4" l="1"/>
  <c r="BN1143" i="4" s="1"/>
  <c r="BN1152" i="4" s="1"/>
  <c r="BO1138" i="4"/>
  <c r="BK25" i="67"/>
  <c r="BK37" i="67" s="1"/>
  <c r="BK39" i="67" s="1"/>
  <c r="BK40" i="67" s="1"/>
  <c r="BO1139" i="4" l="1"/>
  <c r="BO1143" i="4" s="1"/>
  <c r="BO1152" i="4" s="1"/>
  <c r="BP1138" i="4"/>
  <c r="BL25" i="67"/>
  <c r="BL37" i="67" s="1"/>
  <c r="BL39" i="67" s="1"/>
  <c r="BL40" i="67" s="1"/>
  <c r="BP1139" i="4" l="1"/>
  <c r="BP1143" i="4" s="1"/>
  <c r="BP1152" i="4" s="1"/>
  <c r="BQ1138" i="4"/>
  <c r="BM25" i="67"/>
  <c r="BM37" i="67" s="1"/>
  <c r="BM39" i="67" s="1"/>
  <c r="BM40" i="67" s="1"/>
  <c r="BQ1139" i="4" l="1"/>
  <c r="BQ1143" i="4" s="1"/>
  <c r="BQ1152" i="4" s="1"/>
  <c r="BR1138" i="4"/>
  <c r="BN25" i="67"/>
  <c r="BN37" i="67" s="1"/>
  <c r="BN39" i="67" s="1"/>
  <c r="BN40" i="67" s="1"/>
  <c r="BS1138" i="4" l="1"/>
  <c r="BR1139" i="4"/>
  <c r="BR1143" i="4" s="1"/>
  <c r="BR1152" i="4" s="1"/>
  <c r="BO25" i="67"/>
  <c r="BO37" i="67" s="1"/>
  <c r="BO39" i="67" s="1"/>
  <c r="BO40" i="67" s="1"/>
  <c r="BS1139" i="4" l="1"/>
  <c r="BS1143" i="4" s="1"/>
  <c r="BS1152" i="4" s="1"/>
  <c r="BT1138" i="4"/>
  <c r="BP25" i="67"/>
  <c r="BP37" i="67" s="1"/>
  <c r="BP39" i="67" s="1"/>
  <c r="BP40" i="67" s="1"/>
  <c r="BT1139" i="4" l="1"/>
  <c r="BT1143" i="4" s="1"/>
  <c r="BT1152" i="4" s="1"/>
  <c r="BU1138" i="4"/>
  <c r="BQ25" i="67"/>
  <c r="BQ37" i="67" s="1"/>
  <c r="BQ39" i="67" s="1"/>
  <c r="BQ40" i="67" s="1"/>
  <c r="BV1138" i="4" l="1"/>
  <c r="BU1139" i="4"/>
  <c r="BU1143" i="4" s="1"/>
  <c r="BU1152" i="4" s="1"/>
  <c r="BR25" i="67"/>
  <c r="BR37" i="67" s="1"/>
  <c r="BR39" i="67" s="1"/>
  <c r="BR40" i="67" s="1"/>
  <c r="BV1139" i="4" l="1"/>
  <c r="BV1143" i="4" s="1"/>
  <c r="BV1152" i="4" s="1"/>
  <c r="BW1138" i="4"/>
  <c r="BS25" i="67"/>
  <c r="BS37" i="67" s="1"/>
  <c r="BS39" i="67" s="1"/>
  <c r="BS40" i="67" s="1"/>
  <c r="BW1139" i="4" l="1"/>
  <c r="BW1143" i="4" s="1"/>
  <c r="BW1152" i="4" s="1"/>
  <c r="BX1138" i="4"/>
  <c r="BT25" i="67"/>
  <c r="BT37" i="67" s="1"/>
  <c r="BT39" i="67" s="1"/>
  <c r="BT40" i="67" s="1"/>
  <c r="BX1139" i="4" l="1"/>
  <c r="BX1143" i="4" s="1"/>
  <c r="BX1152" i="4" s="1"/>
  <c r="BY1138" i="4"/>
  <c r="BU25" i="67"/>
  <c r="BU37" i="67" s="1"/>
  <c r="BU39" i="67" s="1"/>
  <c r="BU40" i="67" s="1"/>
  <c r="BY1139" i="4" l="1"/>
  <c r="BY1143" i="4" s="1"/>
  <c r="BY1152" i="4" s="1"/>
  <c r="BZ1138" i="4"/>
  <c r="BV25" i="67"/>
  <c r="BV37" i="67" s="1"/>
  <c r="BV39" i="67" s="1"/>
  <c r="BV40" i="67" s="1"/>
  <c r="BZ1139" i="4" l="1"/>
  <c r="BZ1143" i="4" s="1"/>
  <c r="BZ1152" i="4" s="1"/>
  <c r="CA1138" i="4"/>
  <c r="BW25" i="67"/>
  <c r="BW37" i="67" s="1"/>
  <c r="BW39" i="67" s="1"/>
  <c r="BW40" i="67" s="1"/>
  <c r="CB1138" i="4" l="1"/>
  <c r="CA1139" i="4"/>
  <c r="CA1143" i="4" s="1"/>
  <c r="CA1152" i="4" s="1"/>
  <c r="BX25" i="67"/>
  <c r="BX37" i="67" s="1"/>
  <c r="BX39" i="67" s="1"/>
  <c r="BX40" i="67" s="1"/>
  <c r="CB1139" i="4" l="1"/>
  <c r="CB1143" i="4" s="1"/>
  <c r="CB1152" i="4" s="1"/>
  <c r="CC1138" i="4"/>
  <c r="BY25" i="67"/>
  <c r="BY37" i="67" s="1"/>
  <c r="BY39" i="67" s="1"/>
  <c r="BY40" i="67" s="1"/>
  <c r="CC1139" i="4" l="1"/>
  <c r="CC1143" i="4" s="1"/>
  <c r="CC1152" i="4" s="1"/>
  <c r="CD1138" i="4"/>
  <c r="BZ25" i="67"/>
  <c r="BZ37" i="67" s="1"/>
  <c r="BZ39" i="67" s="1"/>
  <c r="BZ40" i="67" s="1"/>
  <c r="CD1139" i="4" l="1"/>
  <c r="CD1143" i="4" s="1"/>
  <c r="CD1152" i="4" s="1"/>
  <c r="CE1138" i="4"/>
  <c r="CA25" i="67"/>
  <c r="CA37" i="67" s="1"/>
  <c r="CA39" i="67" s="1"/>
  <c r="CA40" i="67" s="1"/>
  <c r="CE1139" i="4" l="1"/>
  <c r="CE1143" i="4" s="1"/>
  <c r="CE1152" i="4" s="1"/>
  <c r="CF1138" i="4"/>
  <c r="CB25" i="67"/>
  <c r="CB37" i="67" s="1"/>
  <c r="CB39" i="67" s="1"/>
  <c r="CB40" i="67" s="1"/>
  <c r="CG1138" i="4" l="1"/>
  <c r="CF1139" i="4"/>
  <c r="CF1143" i="4" s="1"/>
  <c r="CF1152" i="4" s="1"/>
  <c r="CC25" i="67"/>
  <c r="CC37" i="67" s="1"/>
  <c r="CC39" i="67" s="1"/>
  <c r="CC40" i="67" s="1"/>
  <c r="CH1138" i="4" l="1"/>
  <c r="CG1139" i="4"/>
  <c r="CG1143" i="4" s="1"/>
  <c r="CG1152" i="4" s="1"/>
  <c r="CD25" i="67"/>
  <c r="CD37" i="67" s="1"/>
  <c r="CD39" i="67" s="1"/>
  <c r="CD40" i="67" s="1"/>
  <c r="CI1138" i="4" l="1"/>
  <c r="CH1139" i="4"/>
  <c r="CH1143" i="4" s="1"/>
  <c r="CH1152" i="4" s="1"/>
  <c r="CE25" i="67"/>
  <c r="CE37" i="67" s="1"/>
  <c r="CE39" i="67" s="1"/>
  <c r="CE40" i="67" s="1"/>
  <c r="CI1139" i="4" l="1"/>
  <c r="CI1143" i="4" s="1"/>
  <c r="CI1152" i="4" s="1"/>
  <c r="CJ1138" i="4"/>
  <c r="CF25" i="67"/>
  <c r="CF37" i="67" s="1"/>
  <c r="CF39" i="67" s="1"/>
  <c r="CF40" i="67" s="1"/>
  <c r="CJ1139" i="4" l="1"/>
  <c r="CJ1143" i="4" s="1"/>
  <c r="CJ1152" i="4" s="1"/>
  <c r="CK1138" i="4"/>
  <c r="CG25" i="67"/>
  <c r="CG37" i="67" s="1"/>
  <c r="CG39" i="67" s="1"/>
  <c r="CG40" i="67" s="1"/>
  <c r="CL1138" i="4" l="1"/>
  <c r="CK1139" i="4"/>
  <c r="CK1143" i="4" s="1"/>
  <c r="CK1152" i="4" s="1"/>
  <c r="CH25" i="67"/>
  <c r="CH37" i="67" s="1"/>
  <c r="CH39" i="67" s="1"/>
  <c r="CH40" i="67" s="1"/>
  <c r="CM1138" i="4" l="1"/>
  <c r="CL1139" i="4"/>
  <c r="CL1143" i="4" s="1"/>
  <c r="CL1152" i="4" s="1"/>
  <c r="CI25" i="67"/>
  <c r="CI37" i="67" s="1"/>
  <c r="CI39" i="67" s="1"/>
  <c r="CI40" i="67" s="1"/>
  <c r="CM1139" i="4" l="1"/>
  <c r="CM1143" i="4" s="1"/>
  <c r="CM1152" i="4" s="1"/>
  <c r="CN1138" i="4"/>
  <c r="CJ25" i="67"/>
  <c r="CJ37" i="67" s="1"/>
  <c r="CJ39" i="67" s="1"/>
  <c r="CJ40" i="67" s="1"/>
  <c r="CO1138" i="4" l="1"/>
  <c r="CN1139" i="4"/>
  <c r="CN1143" i="4" s="1"/>
  <c r="CN1152" i="4" s="1"/>
  <c r="CK25" i="67"/>
  <c r="CK37" i="67" s="1"/>
  <c r="CK39" i="67" s="1"/>
  <c r="CK40" i="67" s="1"/>
  <c r="CO1139" i="4" l="1"/>
  <c r="I1138" i="4"/>
  <c r="CL25" i="67"/>
  <c r="CL37" i="67" s="1"/>
  <c r="CL39" i="67" s="1"/>
  <c r="CL40" i="67" s="1"/>
  <c r="I1139" i="4" l="1"/>
  <c r="CO1143" i="4"/>
  <c r="CM25" i="67"/>
  <c r="CM37" i="67" s="1"/>
  <c r="CM39" i="67" s="1"/>
  <c r="CM40" i="67" s="1"/>
  <c r="CO1152" i="4" l="1"/>
  <c r="I1152" i="4" s="1"/>
  <c r="I1143" i="4"/>
  <c r="E1201" i="4" s="1"/>
  <c r="L1163" i="4" s="1"/>
  <c r="L1202" i="4" s="1"/>
  <c r="CN25" i="67"/>
  <c r="CN37" i="67" s="1"/>
  <c r="CN39" i="67" s="1"/>
  <c r="CN40" i="67" s="1"/>
  <c r="CO25" i="67"/>
  <c r="CO37" i="67" s="1"/>
  <c r="CO39" i="67" s="1"/>
  <c r="L1213" i="4" l="1"/>
  <c r="L1206" i="4"/>
  <c r="L1224" i="4" s="1"/>
  <c r="L1226" i="4" s="1"/>
  <c r="L1178" i="4"/>
  <c r="L1180" i="4" s="1"/>
  <c r="L1169" i="4" s="1"/>
  <c r="L1170" i="4" s="1"/>
  <c r="L1188" i="4" s="1"/>
  <c r="CO40" i="67"/>
  <c r="L298" i="4"/>
  <c r="L306" i="4" s="1"/>
  <c r="L1076" i="4" l="1"/>
  <c r="L1310" i="4"/>
  <c r="L18" i="66"/>
  <c r="L87" i="11"/>
  <c r="L72" i="11"/>
  <c r="L50" i="11"/>
  <c r="L37" i="66"/>
  <c r="L1326" i="4"/>
  <c r="L1336" i="4"/>
  <c r="L1122" i="4"/>
  <c r="L1179" i="4"/>
  <c r="L1181" i="4" s="1"/>
  <c r="L1190" i="4" s="1"/>
  <c r="L1221" i="4" s="1"/>
  <c r="L1189" i="4"/>
  <c r="L1218" i="4" s="1"/>
  <c r="L1219" i="4" s="1"/>
  <c r="L294" i="4" s="1"/>
  <c r="L302" i="4" s="1"/>
  <c r="L297" i="4"/>
  <c r="L305" i="4" s="1"/>
  <c r="L330" i="4" s="1"/>
  <c r="L1295" i="4"/>
  <c r="L49" i="11" l="1"/>
  <c r="L331" i="4"/>
  <c r="L385" i="4" s="1"/>
  <c r="L1074" i="4"/>
  <c r="L1220" i="4"/>
  <c r="L1197" i="4"/>
  <c r="L307" i="4"/>
  <c r="L299" i="4"/>
  <c r="L73" i="11"/>
  <c r="L1325" i="4"/>
  <c r="L1301" i="4"/>
  <c r="L1121" i="4"/>
  <c r="L1144" i="4" s="1"/>
  <c r="L467" i="4"/>
  <c r="L478" i="4"/>
  <c r="L456" i="4"/>
  <c r="M457" i="4"/>
  <c r="M479" i="4"/>
  <c r="M468" i="4"/>
  <c r="L53" i="11" l="1"/>
  <c r="L52" i="11" s="1"/>
  <c r="L332" i="4"/>
  <c r="L14" i="11" s="1"/>
  <c r="L395" i="4"/>
  <c r="L500" i="4" s="1"/>
  <c r="L405" i="4"/>
  <c r="L406" i="4" s="1"/>
  <c r="L1235" i="4"/>
  <c r="L1251" i="4" s="1"/>
  <c r="L1145" i="4"/>
  <c r="L1234" i="4"/>
  <c r="L458" i="4"/>
  <c r="L480" i="4"/>
  <c r="L386" i="4"/>
  <c r="L469" i="4"/>
  <c r="M495" i="4"/>
  <c r="L396" i="4" l="1"/>
  <c r="L397" i="4" s="1"/>
  <c r="L489" i="4"/>
  <c r="L1241" i="4"/>
  <c r="L1236" i="4"/>
  <c r="L470" i="4"/>
  <c r="L481" i="4"/>
  <c r="M1072" i="4"/>
  <c r="L459" i="4"/>
  <c r="L387" i="4"/>
  <c r="L407" i="4"/>
  <c r="L1244" i="4" l="1"/>
  <c r="L1245" i="4" s="1"/>
  <c r="L1308" i="4"/>
  <c r="L85" i="11"/>
  <c r="L1337" i="4"/>
  <c r="L42" i="62"/>
  <c r="L501" i="4"/>
  <c r="L502" i="4" s="1"/>
  <c r="L1101" i="4" s="1"/>
  <c r="L1103" i="4" s="1"/>
  <c r="L1104" i="4" s="1"/>
  <c r="L1105" i="4" s="1"/>
  <c r="L398" i="4"/>
  <c r="L399" i="4" s="1"/>
  <c r="M394" i="4" s="1"/>
  <c r="L482" i="4"/>
  <c r="L483" i="4" s="1"/>
  <c r="M477" i="4" s="1"/>
  <c r="L388" i="4"/>
  <c r="L389" i="4" s="1"/>
  <c r="M384" i="4" s="1"/>
  <c r="L490" i="4"/>
  <c r="L460" i="4"/>
  <c r="L461" i="4" s="1"/>
  <c r="M455" i="4" s="1"/>
  <c r="L494" i="4"/>
  <c r="L408" i="4"/>
  <c r="L409" i="4" s="1"/>
  <c r="M404" i="4" s="1"/>
  <c r="L471" i="4"/>
  <c r="L472" i="4" s="1"/>
  <c r="M466" i="4" s="1"/>
  <c r="L43" i="62" l="1"/>
  <c r="L23" i="62" s="1"/>
  <c r="L16" i="66" s="1"/>
  <c r="L14" i="66" s="1"/>
  <c r="L13" i="66" s="1"/>
  <c r="L52" i="62"/>
  <c r="L26" i="11"/>
  <c r="M1240" i="4"/>
  <c r="M499" i="4"/>
  <c r="M1100" i="4" s="1"/>
  <c r="L51" i="11"/>
  <c r="L64" i="62"/>
  <c r="L491" i="4"/>
  <c r="L1071" i="4"/>
  <c r="L62" i="64"/>
  <c r="L984" i="4"/>
  <c r="L28" i="66" l="1"/>
  <c r="L27" i="66" s="1"/>
  <c r="L988" i="4"/>
  <c r="L15" i="11"/>
  <c r="L13" i="11" s="1"/>
  <c r="M488" i="4"/>
  <c r="L78" i="64"/>
  <c r="L70" i="64"/>
  <c r="L1120" i="4" l="1"/>
  <c r="L1294" i="4"/>
  <c r="L992" i="4"/>
  <c r="L71" i="11"/>
  <c r="L1320" i="4"/>
  <c r="L1073" i="4" l="1"/>
  <c r="L47" i="11"/>
  <c r="M298" i="4" l="1"/>
  <c r="M306" i="4" l="1"/>
  <c r="N298" i="4" l="1"/>
  <c r="H169" i="15" l="1"/>
  <c r="N306" i="4"/>
  <c r="O298" i="4" l="1"/>
  <c r="O306" i="4" l="1"/>
  <c r="P298" i="4" l="1"/>
  <c r="Q298" i="4" l="1"/>
  <c r="Q306" i="4" s="1"/>
  <c r="P306" i="4"/>
  <c r="R298" i="4" l="1"/>
  <c r="R306" i="4" s="1"/>
  <c r="I169" i="15" l="1"/>
  <c r="S298" i="4" l="1"/>
  <c r="S306" i="4" s="1"/>
  <c r="L1164" i="4" l="1"/>
  <c r="T298" i="4"/>
  <c r="T306" i="4" s="1"/>
  <c r="L1165" i="4" l="1"/>
  <c r="L1214" i="4"/>
  <c r="U298" i="4" l="1"/>
  <c r="U306" i="4" s="1"/>
  <c r="L1481" i="4"/>
  <c r="L1483" i="4" s="1"/>
  <c r="L88" i="11"/>
  <c r="L1324" i="4"/>
  <c r="L38" i="66"/>
  <c r="L1302" i="4"/>
  <c r="L1215" i="4"/>
  <c r="M1207" i="4"/>
  <c r="M1162" i="4"/>
  <c r="L31" i="11" l="1"/>
  <c r="L1489" i="4"/>
  <c r="M1225" i="4"/>
  <c r="M1163" i="4"/>
  <c r="L1515" i="4"/>
  <c r="L1505" i="4"/>
  <c r="M1212" i="4"/>
  <c r="M1202" i="4" l="1"/>
  <c r="M1206" i="4"/>
  <c r="M1213" i="4"/>
  <c r="M1178" i="4"/>
  <c r="L30" i="11"/>
  <c r="L45" i="62"/>
  <c r="M1492" i="4"/>
  <c r="V298" i="4"/>
  <c r="V306" i="4" s="1"/>
  <c r="M1224" i="4" l="1"/>
  <c r="M1180" i="4"/>
  <c r="M1179" i="4"/>
  <c r="M1189" i="4"/>
  <c r="J169" i="15"/>
  <c r="M1336" i="4"/>
  <c r="M18" i="66"/>
  <c r="M87" i="11"/>
  <c r="M1310" i="4"/>
  <c r="M1181" i="4" l="1"/>
  <c r="M1169" i="4"/>
  <c r="M1218" i="4"/>
  <c r="M1226" i="4"/>
  <c r="W298" i="4"/>
  <c r="W306" i="4" s="1"/>
  <c r="M1197" i="4" l="1"/>
  <c r="M1190" i="4"/>
  <c r="M1076" i="4"/>
  <c r="M37" i="66"/>
  <c r="M297" i="4"/>
  <c r="M1326" i="4"/>
  <c r="M1122" i="4"/>
  <c r="M72" i="11"/>
  <c r="M50" i="11"/>
  <c r="M1295" i="4"/>
  <c r="M1170" i="4"/>
  <c r="M1220" i="4"/>
  <c r="M1074" i="4"/>
  <c r="M1219" i="4"/>
  <c r="X298" i="4" l="1"/>
  <c r="X306" i="4" s="1"/>
  <c r="M294" i="4"/>
  <c r="M53" i="11"/>
  <c r="M305" i="4"/>
  <c r="M330" i="4" s="1"/>
  <c r="M1221" i="4"/>
  <c r="M1188" i="4"/>
  <c r="M49" i="11"/>
  <c r="L1423" i="4" l="1"/>
  <c r="M456" i="4"/>
  <c r="M478" i="4"/>
  <c r="N479" i="4"/>
  <c r="N468" i="4"/>
  <c r="M467" i="4"/>
  <c r="N457" i="4"/>
  <c r="M299" i="4"/>
  <c r="M302" i="4"/>
  <c r="M52" i="11"/>
  <c r="M1301" i="4"/>
  <c r="M1325" i="4"/>
  <c r="M73" i="11"/>
  <c r="M1121" i="4"/>
  <c r="M469" i="4" l="1"/>
  <c r="M1144" i="4"/>
  <c r="M307" i="4"/>
  <c r="M331" i="4"/>
  <c r="M480" i="4"/>
  <c r="Y298" i="4"/>
  <c r="Y306" i="4" s="1"/>
  <c r="N495" i="4"/>
  <c r="M458" i="4"/>
  <c r="M332" i="4" l="1"/>
  <c r="M14" i="11" s="1"/>
  <c r="M459" i="4"/>
  <c r="N1072" i="4"/>
  <c r="M470" i="4"/>
  <c r="M395" i="4"/>
  <c r="M385" i="4"/>
  <c r="M405" i="4"/>
  <c r="M1235" i="4"/>
  <c r="M1145" i="4"/>
  <c r="M1234" i="4"/>
  <c r="M481" i="4"/>
  <c r="L1424" i="4" l="1"/>
  <c r="M500" i="4"/>
  <c r="M1236" i="4"/>
  <c r="M1241" i="4"/>
  <c r="M471" i="4"/>
  <c r="M472" i="4" s="1"/>
  <c r="N466" i="4" s="1"/>
  <c r="M482" i="4"/>
  <c r="M483" i="4" s="1"/>
  <c r="N477" i="4" s="1"/>
  <c r="M1251" i="4"/>
  <c r="M406" i="4"/>
  <c r="Z298" i="4"/>
  <c r="Z306" i="4" s="1"/>
  <c r="M489" i="4"/>
  <c r="M386" i="4"/>
  <c r="M494" i="4"/>
  <c r="M460" i="4"/>
  <c r="M461" i="4" s="1"/>
  <c r="N455" i="4" s="1"/>
  <c r="M396" i="4"/>
  <c r="M1422" i="4" l="1"/>
  <c r="M1071" i="4"/>
  <c r="M387" i="4"/>
  <c r="M397" i="4"/>
  <c r="K169" i="15"/>
  <c r="M85" i="11"/>
  <c r="M1308" i="4"/>
  <c r="M1337" i="4"/>
  <c r="M42" i="62"/>
  <c r="M1244" i="4"/>
  <c r="M407" i="4"/>
  <c r="M501" i="4" l="1"/>
  <c r="M502" i="4" s="1"/>
  <c r="M1101" i="4" s="1"/>
  <c r="M1103" i="4" s="1"/>
  <c r="M1104" i="4" s="1"/>
  <c r="M1105" i="4" s="1"/>
  <c r="M408" i="4"/>
  <c r="M409" i="4" s="1"/>
  <c r="N404" i="4" s="1"/>
  <c r="M398" i="4"/>
  <c r="M399" i="4" s="1"/>
  <c r="N394" i="4" s="1"/>
  <c r="M388" i="4"/>
  <c r="M389" i="4" s="1"/>
  <c r="N384" i="4" s="1"/>
  <c r="M490" i="4"/>
  <c r="M1245" i="4"/>
  <c r="AA298" i="4"/>
  <c r="AA306" i="4" s="1"/>
  <c r="M52" i="62"/>
  <c r="M43" i="62"/>
  <c r="M984" i="4" l="1"/>
  <c r="M988" i="4" s="1"/>
  <c r="M62" i="64"/>
  <c r="M70" i="64" s="1"/>
  <c r="N499" i="4"/>
  <c r="N1100" i="4" s="1"/>
  <c r="M23" i="62"/>
  <c r="M16" i="66" s="1"/>
  <c r="M26" i="11"/>
  <c r="N1240" i="4"/>
  <c r="M51" i="11"/>
  <c r="M64" i="62"/>
  <c r="M491" i="4"/>
  <c r="M1120" i="4" l="1"/>
  <c r="M1294" i="4"/>
  <c r="M71" i="11"/>
  <c r="M992" i="4"/>
  <c r="M1320" i="4"/>
  <c r="M78" i="64"/>
  <c r="AB298" i="4"/>
  <c r="AB306" i="4" s="1"/>
  <c r="M15" i="11"/>
  <c r="M13" i="11" s="1"/>
  <c r="N488" i="4"/>
  <c r="M1073" i="4" l="1"/>
  <c r="M47" i="11"/>
  <c r="AC298" i="4" l="1"/>
  <c r="AC306" i="4" s="1"/>
  <c r="AD298" i="4" l="1"/>
  <c r="AD306" i="4" s="1"/>
  <c r="L169" i="15" l="1"/>
  <c r="AE298" i="4" l="1"/>
  <c r="AE306" i="4" s="1"/>
  <c r="AF298" i="4" l="1"/>
  <c r="AF306" i="4" s="1"/>
  <c r="AG298" i="4" l="1"/>
  <c r="AG306" i="4" s="1"/>
  <c r="AH298" i="4" l="1"/>
  <c r="AH306" i="4" s="1"/>
  <c r="M1164" i="4"/>
  <c r="M169" i="15" l="1"/>
  <c r="G169" i="15" s="1"/>
  <c r="M1214" i="4"/>
  <c r="M1165" i="4"/>
  <c r="AI298" i="4" l="1"/>
  <c r="AI306" i="4" s="1"/>
  <c r="N1162" i="4"/>
  <c r="N1207" i="4"/>
  <c r="M88" i="11"/>
  <c r="M1324" i="4"/>
  <c r="M38" i="66"/>
  <c r="M1302" i="4"/>
  <c r="M1481" i="4"/>
  <c r="M1483" i="4" s="1"/>
  <c r="M1215" i="4"/>
  <c r="M31" i="11" l="1"/>
  <c r="M1489" i="4"/>
  <c r="N1225" i="4"/>
  <c r="M1505" i="4"/>
  <c r="M1515" i="4"/>
  <c r="N1212" i="4"/>
  <c r="N1163" i="4"/>
  <c r="N1492" i="4" l="1"/>
  <c r="AJ298" i="4"/>
  <c r="AJ306" i="4" s="1"/>
  <c r="N1206" i="4"/>
  <c r="N1213" i="4"/>
  <c r="N1202" i="4"/>
  <c r="N1178" i="4"/>
  <c r="M45" i="62"/>
  <c r="M30" i="11"/>
  <c r="N18" i="66" l="1"/>
  <c r="N1336" i="4"/>
  <c r="N87" i="11"/>
  <c r="N1310" i="4"/>
  <c r="N1224" i="4"/>
  <c r="N1189" i="4"/>
  <c r="N1180" i="4"/>
  <c r="N1179" i="4"/>
  <c r="AK298" i="4" l="1"/>
  <c r="AK306" i="4" s="1"/>
  <c r="N1226" i="4"/>
  <c r="N1181" i="4"/>
  <c r="N1169" i="4"/>
  <c r="N1218" i="4"/>
  <c r="N1197" i="4" l="1"/>
  <c r="N1190" i="4"/>
  <c r="N1076" i="4"/>
  <c r="N1326" i="4"/>
  <c r="N297" i="4"/>
  <c r="N37" i="66"/>
  <c r="N50" i="11"/>
  <c r="N72" i="11"/>
  <c r="N1122" i="4"/>
  <c r="N1295" i="4"/>
  <c r="N1170" i="4"/>
  <c r="N1220" i="4"/>
  <c r="N1074" i="4"/>
  <c r="N1219" i="4"/>
  <c r="N53" i="11" l="1"/>
  <c r="AL298" i="4"/>
  <c r="AL306" i="4" s="1"/>
  <c r="N1221" i="4"/>
  <c r="N49" i="11"/>
  <c r="N294" i="4"/>
  <c r="N1188" i="4"/>
  <c r="N305" i="4"/>
  <c r="N330" i="4" s="1"/>
  <c r="M1423" i="4" l="1"/>
  <c r="N52" i="11"/>
  <c r="N1121" i="4"/>
  <c r="N1301" i="4"/>
  <c r="N73" i="11"/>
  <c r="N1325" i="4"/>
  <c r="N478" i="4"/>
  <c r="N467" i="4"/>
  <c r="N456" i="4"/>
  <c r="O479" i="4"/>
  <c r="O468" i="4"/>
  <c r="O457" i="4"/>
  <c r="N299" i="4"/>
  <c r="N302" i="4"/>
  <c r="M1490" i="4" l="1"/>
  <c r="N1144" i="4"/>
  <c r="N331" i="4"/>
  <c r="N307" i="4"/>
  <c r="N458" i="4"/>
  <c r="N469" i="4"/>
  <c r="O495" i="4"/>
  <c r="N480" i="4"/>
  <c r="AM298" i="4"/>
  <c r="AM306" i="4" s="1"/>
  <c r="M1499" i="4" l="1"/>
  <c r="M1495" i="4"/>
  <c r="N470" i="4"/>
  <c r="N1235" i="4"/>
  <c r="N1145" i="4"/>
  <c r="N1234" i="4"/>
  <c r="O1072" i="4"/>
  <c r="N459" i="4"/>
  <c r="N332" i="4"/>
  <c r="N405" i="4"/>
  <c r="N385" i="4"/>
  <c r="N395" i="4"/>
  <c r="N481" i="4"/>
  <c r="M1424" i="4" l="1"/>
  <c r="N500" i="4"/>
  <c r="N482" i="4"/>
  <c r="N483" i="4" s="1"/>
  <c r="O477" i="4" s="1"/>
  <c r="N396" i="4"/>
  <c r="N489" i="4"/>
  <c r="N386" i="4"/>
  <c r="N1236" i="4"/>
  <c r="N1241" i="4"/>
  <c r="N1422" i="4" s="1"/>
  <c r="N14" i="11"/>
  <c r="AN298" i="4"/>
  <c r="AN306" i="4" s="1"/>
  <c r="N406" i="4"/>
  <c r="N1251" i="4"/>
  <c r="N460" i="4"/>
  <c r="N461" i="4" s="1"/>
  <c r="O455" i="4" s="1"/>
  <c r="N494" i="4"/>
  <c r="N471" i="4"/>
  <c r="N472" i="4" s="1"/>
  <c r="O466" i="4" s="1"/>
  <c r="N1071" i="4" l="1"/>
  <c r="N407" i="4"/>
  <c r="N397" i="4"/>
  <c r="N1244" i="4"/>
  <c r="N1308" i="4"/>
  <c r="N42" i="62"/>
  <c r="N1337" i="4"/>
  <c r="N85" i="11"/>
  <c r="N387" i="4"/>
  <c r="N501" i="4" l="1"/>
  <c r="N502" i="4" s="1"/>
  <c r="N490" i="4"/>
  <c r="N388" i="4"/>
  <c r="N389" i="4" s="1"/>
  <c r="O384" i="4" s="1"/>
  <c r="N1245" i="4"/>
  <c r="N408" i="4"/>
  <c r="N409" i="4" s="1"/>
  <c r="O404" i="4" s="1"/>
  <c r="AO298" i="4"/>
  <c r="AO306" i="4" s="1"/>
  <c r="N398" i="4"/>
  <c r="N399" i="4" s="1"/>
  <c r="O394" i="4" s="1"/>
  <c r="N52" i="62"/>
  <c r="N43" i="62"/>
  <c r="N1101" i="4" l="1"/>
  <c r="N1103" i="4" s="1"/>
  <c r="N1104" i="4" s="1"/>
  <c r="N1105" i="4" s="1"/>
  <c r="O499" i="4"/>
  <c r="O1100" i="4" s="1"/>
  <c r="N23" i="62"/>
  <c r="N16" i="66" s="1"/>
  <c r="N64" i="62"/>
  <c r="N51" i="11"/>
  <c r="N491" i="4"/>
  <c r="N26" i="11"/>
  <c r="O1240" i="4"/>
  <c r="N62" i="64" l="1"/>
  <c r="N984" i="4"/>
  <c r="N988" i="4" s="1"/>
  <c r="N15" i="11"/>
  <c r="N13" i="11" s="1"/>
  <c r="O488" i="4"/>
  <c r="AP298" i="4"/>
  <c r="AP306" i="4" s="1"/>
  <c r="N1120" i="4" l="1"/>
  <c r="N1320" i="4"/>
  <c r="N992" i="4"/>
  <c r="N71" i="11"/>
  <c r="N1294" i="4"/>
  <c r="N70" i="64"/>
  <c r="N78" i="64"/>
  <c r="N14" i="66"/>
  <c r="N47" i="11" l="1"/>
  <c r="N1073" i="4"/>
  <c r="N13" i="66"/>
  <c r="AQ298" i="4"/>
  <c r="AQ306" i="4" s="1"/>
  <c r="AR298" i="4" l="1"/>
  <c r="AR306" i="4" s="1"/>
  <c r="AS298" i="4" l="1"/>
  <c r="AS306" i="4" s="1"/>
  <c r="AT298" i="4" l="1"/>
  <c r="AT306" i="4" s="1"/>
  <c r="AU298" i="4" l="1"/>
  <c r="AU306" i="4" s="1"/>
  <c r="AV298" i="4" l="1"/>
  <c r="AV306" i="4" s="1"/>
  <c r="N1164" i="4"/>
  <c r="N1214" i="4" l="1"/>
  <c r="N1165" i="4"/>
  <c r="AW298" i="4" l="1"/>
  <c r="AW306" i="4" s="1"/>
  <c r="N88" i="11"/>
  <c r="N38" i="66"/>
  <c r="N1302" i="4"/>
  <c r="N1481" i="4"/>
  <c r="N1483" i="4" s="1"/>
  <c r="N1324" i="4"/>
  <c r="N1215" i="4"/>
  <c r="O1162" i="4"/>
  <c r="O1207" i="4"/>
  <c r="N31" i="11" l="1"/>
  <c r="N1489" i="4"/>
  <c r="N1505" i="4"/>
  <c r="N1515" i="4"/>
  <c r="O1212" i="4"/>
  <c r="O1225" i="4"/>
  <c r="O1163" i="4"/>
  <c r="O1492" i="4" l="1"/>
  <c r="AX298" i="4"/>
  <c r="AX306" i="4" s="1"/>
  <c r="N45" i="62"/>
  <c r="N30" i="11"/>
  <c r="O1206" i="4"/>
  <c r="O1213" i="4"/>
  <c r="L87" i="67" s="1"/>
  <c r="O1202" i="4"/>
  <c r="O1178" i="4"/>
  <c r="O1180" i="4" l="1"/>
  <c r="O1189" i="4"/>
  <c r="O1179" i="4"/>
  <c r="O1310" i="4"/>
  <c r="O87" i="11"/>
  <c r="O1336" i="4"/>
  <c r="O18" i="66"/>
  <c r="H143" i="15" s="1"/>
  <c r="O1224" i="4"/>
  <c r="AY298" i="4" l="1"/>
  <c r="AY306" i="4" s="1"/>
  <c r="O1226" i="4"/>
  <c r="O1181" i="4"/>
  <c r="O1218" i="4"/>
  <c r="O1169" i="4"/>
  <c r="L72" i="67" l="1"/>
  <c r="O1219" i="4"/>
  <c r="O1074" i="4"/>
  <c r="O1220" i="4"/>
  <c r="L53" i="67" s="1"/>
  <c r="L52" i="67" s="1"/>
  <c r="O1295" i="4"/>
  <c r="O297" i="4"/>
  <c r="O1076" i="4"/>
  <c r="O72" i="11"/>
  <c r="O1326" i="4"/>
  <c r="O1122" i="4"/>
  <c r="O37" i="66"/>
  <c r="H163" i="15" s="1"/>
  <c r="O50" i="11"/>
  <c r="L50" i="67" s="1"/>
  <c r="L49" i="67" s="1"/>
  <c r="O1170" i="4"/>
  <c r="O1197" i="4"/>
  <c r="O1190" i="4"/>
  <c r="O1221" i="4" l="1"/>
  <c r="AZ298" i="4"/>
  <c r="AZ306" i="4" s="1"/>
  <c r="O1188" i="4"/>
  <c r="O305" i="4"/>
  <c r="O330" i="4" s="1"/>
  <c r="O53" i="11"/>
  <c r="O49" i="11"/>
  <c r="O294" i="4"/>
  <c r="N1423" i="4" l="1"/>
  <c r="L73" i="67"/>
  <c r="L23" i="13"/>
  <c r="O73" i="11"/>
  <c r="O1325" i="4"/>
  <c r="O1301" i="4"/>
  <c r="O1121" i="4"/>
  <c r="O52" i="11"/>
  <c r="P468" i="4"/>
  <c r="O467" i="4"/>
  <c r="O478" i="4"/>
  <c r="P479" i="4"/>
  <c r="O456" i="4"/>
  <c r="P457" i="4"/>
  <c r="O299" i="4"/>
  <c r="O302" i="4"/>
  <c r="BA298" i="4" l="1"/>
  <c r="BA306" i="4" s="1"/>
  <c r="O1144" i="4"/>
  <c r="O480" i="4"/>
  <c r="O469" i="4"/>
  <c r="P495" i="4"/>
  <c r="O331" i="4"/>
  <c r="O307" i="4"/>
  <c r="O458" i="4"/>
  <c r="N1490" i="4" l="1"/>
  <c r="N1499" i="4" s="1"/>
  <c r="O332" i="4"/>
  <c r="O1145" i="4"/>
  <c r="O1234" i="4"/>
  <c r="O1235" i="4"/>
  <c r="P1072" i="4"/>
  <c r="O395" i="4"/>
  <c r="O405" i="4"/>
  <c r="O385" i="4"/>
  <c r="O481" i="4"/>
  <c r="O459" i="4"/>
  <c r="O470" i="4"/>
  <c r="O14" i="11" l="1"/>
  <c r="L14" i="67"/>
  <c r="N1495" i="4"/>
  <c r="N1424" i="4"/>
  <c r="O500" i="4"/>
  <c r="O471" i="4"/>
  <c r="O472" i="4" s="1"/>
  <c r="P466" i="4" s="1"/>
  <c r="O406" i="4"/>
  <c r="O396" i="4"/>
  <c r="O1251" i="4"/>
  <c r="O1236" i="4"/>
  <c r="O1241" i="4"/>
  <c r="O482" i="4"/>
  <c r="O483" i="4" s="1"/>
  <c r="P477" i="4" s="1"/>
  <c r="O460" i="4"/>
  <c r="O461" i="4" s="1"/>
  <c r="P455" i="4" s="1"/>
  <c r="O494" i="4"/>
  <c r="BB298" i="4"/>
  <c r="BB306" i="4" s="1"/>
  <c r="O386" i="4"/>
  <c r="O489" i="4"/>
  <c r="O1422" i="4" l="1"/>
  <c r="L85" i="67"/>
  <c r="O407" i="4"/>
  <c r="O397" i="4"/>
  <c r="O1071" i="4"/>
  <c r="O387" i="4"/>
  <c r="O42" i="62"/>
  <c r="O1337" i="4"/>
  <c r="O1308" i="4"/>
  <c r="O1244" i="4"/>
  <c r="O85" i="11"/>
  <c r="L12" i="13" l="1"/>
  <c r="L47" i="13"/>
  <c r="O501" i="4"/>
  <c r="O502" i="4" s="1"/>
  <c r="O1101" i="4" s="1"/>
  <c r="O1103" i="4" s="1"/>
  <c r="O1104" i="4" s="1"/>
  <c r="O1105" i="4" s="1"/>
  <c r="O1245" i="4"/>
  <c r="L26" i="67" s="1"/>
  <c r="BC298" i="4"/>
  <c r="BC306" i="4" s="1"/>
  <c r="O408" i="4"/>
  <c r="O409" i="4" s="1"/>
  <c r="P404" i="4" s="1"/>
  <c r="O52" i="62"/>
  <c r="O43" i="62"/>
  <c r="O490" i="4"/>
  <c r="L51" i="67" s="1"/>
  <c r="O388" i="4"/>
  <c r="O389" i="4" s="1"/>
  <c r="P384" i="4" s="1"/>
  <c r="O398" i="4"/>
  <c r="O399" i="4" s="1"/>
  <c r="P394" i="4" s="1"/>
  <c r="P499" i="4" l="1"/>
  <c r="P1100" i="4" s="1"/>
  <c r="O62" i="64"/>
  <c r="O984" i="4"/>
  <c r="O988" i="4" s="1"/>
  <c r="O26" i="11"/>
  <c r="P1240" i="4"/>
  <c r="O64" i="62"/>
  <c r="O51" i="11"/>
  <c r="O491" i="4"/>
  <c r="L15" i="67" s="1"/>
  <c r="L13" i="67" s="1"/>
  <c r="O23" i="62"/>
  <c r="O16" i="66" s="1"/>
  <c r="L40" i="13" l="1"/>
  <c r="L71" i="67"/>
  <c r="O1294" i="4"/>
  <c r="O1120" i="4"/>
  <c r="O71" i="11"/>
  <c r="O1320" i="4"/>
  <c r="O992" i="4"/>
  <c r="L47" i="67" s="1"/>
  <c r="O70" i="64"/>
  <c r="O78" i="64"/>
  <c r="O15" i="11"/>
  <c r="O13" i="11" s="1"/>
  <c r="P488" i="4"/>
  <c r="BD298" i="4"/>
  <c r="BD306" i="4" s="1"/>
  <c r="O1073" i="4" l="1"/>
  <c r="O47" i="11"/>
  <c r="O14" i="66"/>
  <c r="BE298" i="4" l="1"/>
  <c r="BE306" i="4" s="1"/>
  <c r="O13" i="66"/>
  <c r="BF298" i="4" l="1"/>
  <c r="BF306" i="4" s="1"/>
  <c r="BG298" i="4" l="1"/>
  <c r="BG306" i="4" s="1"/>
  <c r="BH298" i="4" l="1"/>
  <c r="BH306" i="4" s="1"/>
  <c r="BI298" i="4" l="1"/>
  <c r="BI306" i="4" s="1"/>
  <c r="BJ298" i="4" l="1"/>
  <c r="BJ306" i="4" s="1"/>
  <c r="O1164" i="4"/>
  <c r="O1214" i="4" l="1"/>
  <c r="O1165" i="4"/>
  <c r="L24" i="13" l="1"/>
  <c r="L88" i="67"/>
  <c r="L45" i="13"/>
  <c r="P1162" i="4"/>
  <c r="P1207" i="4"/>
  <c r="BK298" i="4"/>
  <c r="BK306" i="4" s="1"/>
  <c r="O1324" i="4"/>
  <c r="O1302" i="4"/>
  <c r="O1481" i="4"/>
  <c r="O1483" i="4" s="1"/>
  <c r="O88" i="11"/>
  <c r="O38" i="66"/>
  <c r="H164" i="15" s="1"/>
  <c r="O1215" i="4"/>
  <c r="L1525" i="4" l="1"/>
  <c r="L31" i="67"/>
  <c r="L30" i="67" s="1"/>
  <c r="O31" i="11"/>
  <c r="O1489" i="4"/>
  <c r="O1505" i="4"/>
  <c r="O1515" i="4"/>
  <c r="P1212" i="4"/>
  <c r="P1225" i="4"/>
  <c r="P1163" i="4"/>
  <c r="BL298" i="4" l="1"/>
  <c r="BL306" i="4" s="1"/>
  <c r="P1492" i="4"/>
  <c r="P1206" i="4"/>
  <c r="P1213" i="4"/>
  <c r="P1202" i="4"/>
  <c r="P1178" i="4"/>
  <c r="O30" i="11"/>
  <c r="O45" i="62"/>
  <c r="P1224" i="4" l="1"/>
  <c r="P1189" i="4"/>
  <c r="P1180" i="4"/>
  <c r="P1179" i="4"/>
  <c r="P87" i="11"/>
  <c r="P18" i="66"/>
  <c r="P1310" i="4"/>
  <c r="P1336" i="4"/>
  <c r="P1181" i="4" l="1"/>
  <c r="BM298" i="4"/>
  <c r="BM306" i="4" s="1"/>
  <c r="P1169" i="4"/>
  <c r="P1218" i="4"/>
  <c r="P1226" i="4"/>
  <c r="P1326" i="4" l="1"/>
  <c r="P50" i="11"/>
  <c r="P1076" i="4"/>
  <c r="P1295" i="4"/>
  <c r="P1122" i="4"/>
  <c r="P72" i="11"/>
  <c r="P37" i="66"/>
  <c r="P297" i="4"/>
  <c r="P1170" i="4"/>
  <c r="P1074" i="4"/>
  <c r="P1220" i="4"/>
  <c r="P1219" i="4"/>
  <c r="P1197" i="4"/>
  <c r="P1190" i="4"/>
  <c r="P1221" i="4" l="1"/>
  <c r="P1188" i="4"/>
  <c r="P294" i="4"/>
  <c r="P53" i="11"/>
  <c r="P49" i="11"/>
  <c r="BN298" i="4"/>
  <c r="BN306" i="4" s="1"/>
  <c r="P305" i="4"/>
  <c r="P330" i="4" s="1"/>
  <c r="O1423" i="4" l="1"/>
  <c r="L14" i="13" s="1"/>
  <c r="P299" i="4"/>
  <c r="P302" i="4"/>
  <c r="P1301" i="4"/>
  <c r="P1325" i="4"/>
  <c r="P73" i="11"/>
  <c r="P1121" i="4"/>
  <c r="P52" i="11"/>
  <c r="Q468" i="4"/>
  <c r="P478" i="4"/>
  <c r="Q457" i="4"/>
  <c r="Q479" i="4"/>
  <c r="P467" i="4"/>
  <c r="P456" i="4"/>
  <c r="O1490" i="4" l="1"/>
  <c r="O1499" i="4" s="1"/>
  <c r="BO298" i="4"/>
  <c r="BO306" i="4" s="1"/>
  <c r="P480" i="4"/>
  <c r="P458" i="4"/>
  <c r="P469" i="4"/>
  <c r="P1144" i="4"/>
  <c r="P307" i="4"/>
  <c r="P331" i="4"/>
  <c r="Q495" i="4"/>
  <c r="O1495" i="4" l="1"/>
  <c r="P332" i="4"/>
  <c r="P14" i="11" s="1"/>
  <c r="P459" i="4"/>
  <c r="P1235" i="4"/>
  <c r="P1234" i="4"/>
  <c r="P1145" i="4"/>
  <c r="P481" i="4"/>
  <c r="Q1072" i="4"/>
  <c r="P385" i="4"/>
  <c r="P405" i="4"/>
  <c r="P395" i="4"/>
  <c r="P470" i="4"/>
  <c r="O1424" i="4" l="1"/>
  <c r="P500" i="4"/>
  <c r="BP298" i="4"/>
  <c r="BP306" i="4" s="1"/>
  <c r="P494" i="4"/>
  <c r="P460" i="4"/>
  <c r="P461" i="4" s="1"/>
  <c r="Q455" i="4" s="1"/>
  <c r="P406" i="4"/>
  <c r="P489" i="4"/>
  <c r="P386" i="4"/>
  <c r="P482" i="4"/>
  <c r="P483" i="4" s="1"/>
  <c r="Q477" i="4" s="1"/>
  <c r="P396" i="4"/>
  <c r="P1236" i="4"/>
  <c r="P1241" i="4"/>
  <c r="P471" i="4"/>
  <c r="P472" i="4" s="1"/>
  <c r="Q466" i="4" s="1"/>
  <c r="P1251" i="4"/>
  <c r="P1422" i="4" l="1"/>
  <c r="L15" i="13"/>
  <c r="P397" i="4"/>
  <c r="P42" i="62"/>
  <c r="P1244" i="4"/>
  <c r="P1337" i="4"/>
  <c r="P1308" i="4"/>
  <c r="P85" i="11"/>
  <c r="P1071" i="4"/>
  <c r="P387" i="4"/>
  <c r="P407" i="4"/>
  <c r="P501" i="4" l="1"/>
  <c r="P52" i="62"/>
  <c r="P43" i="62"/>
  <c r="P388" i="4"/>
  <c r="P389" i="4" s="1"/>
  <c r="Q384" i="4" s="1"/>
  <c r="P490" i="4"/>
  <c r="BQ298" i="4"/>
  <c r="BQ306" i="4" s="1"/>
  <c r="P408" i="4"/>
  <c r="P409" i="4" s="1"/>
  <c r="Q404" i="4" s="1"/>
  <c r="P1245" i="4"/>
  <c r="P398" i="4"/>
  <c r="P399" i="4" s="1"/>
  <c r="Q394" i="4" s="1"/>
  <c r="P502" i="4" l="1"/>
  <c r="Q499" i="4" s="1"/>
  <c r="Q1100" i="4" s="1"/>
  <c r="P26" i="11"/>
  <c r="Q1240" i="4"/>
  <c r="P51" i="11"/>
  <c r="P64" i="62"/>
  <c r="P491" i="4"/>
  <c r="P23" i="62"/>
  <c r="P16" i="66" s="1"/>
  <c r="P1101" i="4" l="1"/>
  <c r="P1103" i="4" s="1"/>
  <c r="P1104" i="4" s="1"/>
  <c r="P1105" i="4" s="1"/>
  <c r="P62" i="64" s="1"/>
  <c r="P78" i="64" s="1"/>
  <c r="P15" i="11"/>
  <c r="P13" i="11" s="1"/>
  <c r="Q488" i="4"/>
  <c r="BR298" i="4"/>
  <c r="BR306" i="4" s="1"/>
  <c r="P984" i="4" l="1"/>
  <c r="P988" i="4" s="1"/>
  <c r="P70" i="64"/>
  <c r="P14" i="66"/>
  <c r="P1294" i="4" l="1"/>
  <c r="P71" i="11"/>
  <c r="P1120" i="4"/>
  <c r="P992" i="4"/>
  <c r="P1320" i="4"/>
  <c r="BS298" i="4"/>
  <c r="BS306" i="4" s="1"/>
  <c r="P13" i="66"/>
  <c r="P1073" i="4" l="1"/>
  <c r="P47" i="11"/>
  <c r="BT298" i="4" l="1"/>
  <c r="BT306" i="4" s="1"/>
  <c r="BU298" i="4" l="1"/>
  <c r="BU306" i="4" s="1"/>
  <c r="BV298" i="4" l="1"/>
  <c r="BV306" i="4" s="1"/>
  <c r="BW298" i="4" l="1"/>
  <c r="BW306" i="4" s="1"/>
  <c r="BX298" i="4" l="1"/>
  <c r="BX306" i="4" s="1"/>
  <c r="P1164" i="4"/>
  <c r="P1214" i="4" l="1"/>
  <c r="P1165" i="4"/>
  <c r="BY298" i="4" l="1"/>
  <c r="BY306" i="4" s="1"/>
  <c r="Q1162" i="4"/>
  <c r="Q1207" i="4"/>
  <c r="P1324" i="4"/>
  <c r="P88" i="11"/>
  <c r="P1302" i="4"/>
  <c r="P38" i="66"/>
  <c r="P1481" i="4"/>
  <c r="P1483" i="4" s="1"/>
  <c r="P1215" i="4"/>
  <c r="P31" i="11" l="1"/>
  <c r="P1489" i="4"/>
  <c r="Q1163" i="4"/>
  <c r="P1505" i="4"/>
  <c r="P1515" i="4"/>
  <c r="Q1212" i="4"/>
  <c r="Q1225" i="4"/>
  <c r="BZ298" i="4" l="1"/>
  <c r="BZ306" i="4" s="1"/>
  <c r="P45" i="62"/>
  <c r="P30" i="11"/>
  <c r="Q1206" i="4"/>
  <c r="Q1213" i="4"/>
  <c r="Q1202" i="4"/>
  <c r="Q1178" i="4"/>
  <c r="Q1492" i="4"/>
  <c r="Q87" i="11" l="1"/>
  <c r="Q1310" i="4"/>
  <c r="Q1336" i="4"/>
  <c r="Q18" i="66"/>
  <c r="Q1180" i="4"/>
  <c r="Q1168" i="4" s="1"/>
  <c r="Q1189" i="4"/>
  <c r="Q1179" i="4"/>
  <c r="Q1224" i="4"/>
  <c r="Q1226" i="4" l="1"/>
  <c r="Q1181" i="4"/>
  <c r="Q1218" i="4"/>
  <c r="CA298" i="4"/>
  <c r="CA306" i="4" s="1"/>
  <c r="Q1169" i="4"/>
  <c r="Q72" i="11" l="1"/>
  <c r="Q297" i="4"/>
  <c r="Q1326" i="4"/>
  <c r="Q50" i="11"/>
  <c r="Q1295" i="4"/>
  <c r="Q37" i="66"/>
  <c r="Q1076" i="4"/>
  <c r="Q1122" i="4"/>
  <c r="Q1170" i="4"/>
  <c r="Q1197" i="4"/>
  <c r="Q1190" i="4"/>
  <c r="Q1219" i="4"/>
  <c r="Q1220" i="4"/>
  <c r="Q1074" i="4"/>
  <c r="CB298" i="4" l="1"/>
  <c r="CB306" i="4" s="1"/>
  <c r="Q294" i="4"/>
  <c r="Q305" i="4"/>
  <c r="Q330" i="4" s="1"/>
  <c r="Q1221" i="4"/>
  <c r="Q1188" i="4"/>
  <c r="Q53" i="11"/>
  <c r="Q49" i="11"/>
  <c r="P1423" i="4" l="1"/>
  <c r="Q52" i="11"/>
  <c r="Q299" i="4"/>
  <c r="Q302" i="4"/>
  <c r="Q1301" i="4"/>
  <c r="Q73" i="11"/>
  <c r="Q1325" i="4"/>
  <c r="Q1121" i="4"/>
  <c r="Q456" i="4"/>
  <c r="Q458" i="4" s="1"/>
  <c r="R479" i="4"/>
  <c r="Q478" i="4"/>
  <c r="Q480" i="4" s="1"/>
  <c r="R468" i="4"/>
  <c r="Q467" i="4"/>
  <c r="Q469" i="4" s="1"/>
  <c r="R457" i="4"/>
  <c r="P1490" i="4" l="1"/>
  <c r="R495" i="4"/>
  <c r="R1072" i="4" s="1"/>
  <c r="Q331" i="4"/>
  <c r="Q307" i="4"/>
  <c r="Q470" i="4"/>
  <c r="Q471" i="4" s="1"/>
  <c r="Q472" i="4" s="1"/>
  <c r="R466" i="4" s="1"/>
  <c r="Q1144" i="4"/>
  <c r="Q481" i="4"/>
  <c r="Q482" i="4" s="1"/>
  <c r="Q483" i="4" s="1"/>
  <c r="R477" i="4" s="1"/>
  <c r="Q459" i="4"/>
  <c r="CC298" i="4"/>
  <c r="CC306" i="4" s="1"/>
  <c r="P1499" i="4" l="1"/>
  <c r="P1495" i="4"/>
  <c r="Q460" i="4"/>
  <c r="Q461" i="4" s="1"/>
  <c r="R455" i="4" s="1"/>
  <c r="Q494" i="4"/>
  <c r="Q1071" i="4" s="1"/>
  <c r="Q1145" i="4"/>
  <c r="Q1235" i="4"/>
  <c r="Q1234" i="4"/>
  <c r="Q332" i="4"/>
  <c r="Q14" i="11" s="1"/>
  <c r="Q405" i="4"/>
  <c r="Q406" i="4" s="1"/>
  <c r="Q395" i="4"/>
  <c r="Q396" i="4" s="1"/>
  <c r="Q385" i="4"/>
  <c r="P1424" i="4" l="1"/>
  <c r="Q500" i="4"/>
  <c r="Q397" i="4"/>
  <c r="Q398" i="4" s="1"/>
  <c r="Q399" i="4" s="1"/>
  <c r="R394" i="4" s="1"/>
  <c r="CD298" i="4"/>
  <c r="CD306" i="4" s="1"/>
  <c r="Q407" i="4"/>
  <c r="Q408" i="4" s="1"/>
  <c r="Q409" i="4" s="1"/>
  <c r="R404" i="4" s="1"/>
  <c r="Q386" i="4"/>
  <c r="Q489" i="4"/>
  <c r="Q1236" i="4"/>
  <c r="Q1241" i="4"/>
  <c r="Q1251" i="4"/>
  <c r="Q1422" i="4" l="1"/>
  <c r="Q1337" i="4"/>
  <c r="Q1308" i="4"/>
  <c r="Q42" i="62"/>
  <c r="Q1244" i="4"/>
  <c r="Q85" i="11"/>
  <c r="Q387" i="4"/>
  <c r="Q501" i="4" s="1"/>
  <c r="Q502" i="4" l="1"/>
  <c r="Q388" i="4"/>
  <c r="Q389" i="4" s="1"/>
  <c r="R384" i="4" s="1"/>
  <c r="Q490" i="4"/>
  <c r="Q1245" i="4"/>
  <c r="Q52" i="62"/>
  <c r="Q43" i="62"/>
  <c r="CE298" i="4"/>
  <c r="CE306" i="4" s="1"/>
  <c r="Q1101" i="4" l="1"/>
  <c r="Q1103" i="4" s="1"/>
  <c r="Q1104" i="4" s="1"/>
  <c r="Q1105" i="4" s="1"/>
  <c r="R499" i="4"/>
  <c r="R1100" i="4" s="1"/>
  <c r="Q23" i="62"/>
  <c r="Q16" i="66" s="1"/>
  <c r="Q26" i="11"/>
  <c r="R1240" i="4"/>
  <c r="Q51" i="11"/>
  <c r="Q64" i="62"/>
  <c r="Q491" i="4"/>
  <c r="Q62" i="64" l="1"/>
  <c r="Q984" i="4"/>
  <c r="Q988" i="4" s="1"/>
  <c r="CF298" i="4"/>
  <c r="CF306" i="4" s="1"/>
  <c r="Q15" i="11"/>
  <c r="Q13" i="11" s="1"/>
  <c r="R488" i="4"/>
  <c r="Q1320" i="4" l="1"/>
  <c r="Q1120" i="4"/>
  <c r="Q1294" i="4"/>
  <c r="Q71" i="11"/>
  <c r="Q992" i="4"/>
  <c r="Q70" i="64"/>
  <c r="Q78" i="64"/>
  <c r="Q14" i="66"/>
  <c r="Q1073" i="4" l="1"/>
  <c r="Q47" i="11"/>
  <c r="CG298" i="4"/>
  <c r="CG306" i="4" s="1"/>
  <c r="Q13" i="66"/>
  <c r="CH298" i="4" l="1"/>
  <c r="CH306" i="4" s="1"/>
  <c r="CI298" i="4" l="1"/>
  <c r="CI306" i="4" s="1"/>
  <c r="CJ298" i="4" l="1"/>
  <c r="CJ306" i="4" s="1"/>
  <c r="R1168" i="4" l="1"/>
  <c r="CK298" i="4" l="1"/>
  <c r="CK306" i="4" s="1"/>
  <c r="Q1423" i="4" l="1"/>
  <c r="CL298" i="4" l="1"/>
  <c r="CL306" i="4" s="1"/>
  <c r="R1422" i="4" l="1"/>
  <c r="CM298" i="4" l="1"/>
  <c r="CM306" i="4" s="1"/>
  <c r="CN298" i="4" l="1"/>
  <c r="CN306" i="4" s="1"/>
  <c r="CO298" i="4" l="1"/>
  <c r="I991" i="4"/>
  <c r="I42" i="66" l="1"/>
  <c r="I298" i="4"/>
  <c r="CO306" i="4"/>
  <c r="S1168" i="4" l="1"/>
  <c r="S1422" i="4" l="1"/>
  <c r="M12" i="13" l="1"/>
  <c r="M47" i="13"/>
  <c r="T1168" i="4" l="1"/>
  <c r="T1422" i="4" l="1"/>
  <c r="U1168" i="4" l="1"/>
  <c r="U1422" i="4" l="1"/>
  <c r="V1168" i="4" l="1"/>
  <c r="V1422" i="4" l="1"/>
  <c r="W1168" i="4" l="1"/>
  <c r="W1422" i="4" l="1"/>
  <c r="N47" i="13" l="1"/>
  <c r="N12" i="13"/>
  <c r="X1168" i="4" l="1"/>
  <c r="X1422" i="4" l="1"/>
  <c r="Y1168" i="4" l="1"/>
  <c r="Y1422" i="4" l="1"/>
  <c r="Z1168" i="4" l="1"/>
  <c r="Z1422" i="4" l="1"/>
  <c r="AA1168" i="4" l="1"/>
  <c r="AA1422" i="4" l="1"/>
  <c r="O12" i="13" l="1"/>
  <c r="O47" i="13"/>
  <c r="AB1168" i="4" l="1"/>
  <c r="AB1422" i="4" l="1"/>
  <c r="AC1422" i="4" l="1"/>
  <c r="AD1422" i="4" l="1"/>
  <c r="AE1422" i="4" l="1"/>
  <c r="P12" i="13" l="1"/>
  <c r="P47" i="13"/>
  <c r="AF1422" i="4" l="1"/>
  <c r="AG1422" i="4" l="1"/>
  <c r="AI1422" i="4" l="1"/>
  <c r="AJ1422" i="4" l="1"/>
  <c r="AK1422" i="4" l="1"/>
  <c r="AL1422" i="4" l="1"/>
  <c r="AM1422" i="4" l="1"/>
  <c r="R12" i="13" l="1"/>
  <c r="R47" i="13"/>
  <c r="AN1422" i="4" l="1"/>
  <c r="AO1422" i="4" l="1"/>
  <c r="AP1422" i="4" l="1"/>
  <c r="AQ1422" i="4" l="1"/>
  <c r="S47" i="13" l="1"/>
  <c r="S12" i="13"/>
  <c r="AR1422" i="4" l="1"/>
  <c r="AS1422" i="4" l="1"/>
  <c r="AT1422" i="4" l="1"/>
  <c r="AU1422" i="4" l="1"/>
  <c r="T47" i="13" l="1"/>
  <c r="T12" i="13"/>
  <c r="AV1422" i="4" l="1"/>
  <c r="AW1422" i="4" l="1"/>
  <c r="AX1422" i="4" l="1"/>
  <c r="AY1422" i="4" l="1"/>
  <c r="U47" i="13" l="1"/>
  <c r="U12" i="13"/>
  <c r="AZ1422" i="4" l="1"/>
  <c r="BA1422" i="4" l="1"/>
  <c r="BB1422" i="4" l="1"/>
  <c r="BC1422" i="4" l="1"/>
  <c r="V12" i="13" l="1"/>
  <c r="V47" i="13"/>
  <c r="BD1422" i="4" l="1"/>
  <c r="BE1422" i="4" l="1"/>
  <c r="BF1422" i="4" l="1"/>
  <c r="BG1422" i="4" l="1"/>
  <c r="W47" i="13" l="1"/>
  <c r="W12" i="13"/>
  <c r="BH1168" i="4" l="1"/>
  <c r="BH1422" i="4" l="1"/>
  <c r="BI1168" i="4" l="1"/>
  <c r="BI1422" i="4" l="1"/>
  <c r="BJ1168" i="4" l="1"/>
  <c r="BJ1422" i="4" l="1"/>
  <c r="BK1168" i="4" l="1"/>
  <c r="BK1422" i="4" l="1"/>
  <c r="X12" i="13" l="1"/>
  <c r="X47" i="13"/>
  <c r="BL1168" i="4" l="1"/>
  <c r="BL1422" i="4" l="1"/>
  <c r="BM1168" i="4" l="1"/>
  <c r="BM1422" i="4" l="1"/>
  <c r="BN1168" i="4" l="1"/>
  <c r="BN1422" i="4" l="1"/>
  <c r="BO1168" i="4" l="1"/>
  <c r="BO1422" i="4" l="1"/>
  <c r="Y47" i="13" l="1"/>
  <c r="Y12" i="13"/>
  <c r="BP1168" i="4" l="1"/>
  <c r="BP1422" i="4" l="1"/>
  <c r="BQ1168" i="4" l="1"/>
  <c r="BQ1422" i="4" l="1"/>
  <c r="BR1168" i="4" l="1"/>
  <c r="BR1422" i="4" l="1"/>
  <c r="BS1168" i="4" l="1"/>
  <c r="BS1422" i="4" l="1"/>
  <c r="Z12" i="13" l="1"/>
  <c r="Z47" i="13"/>
  <c r="BT1168" i="4" l="1"/>
  <c r="BT1422" i="4" l="1"/>
  <c r="BU1168" i="4" l="1"/>
  <c r="BU1422" i="4" l="1"/>
  <c r="BV1168" i="4" l="1"/>
  <c r="BV1422" i="4" l="1"/>
  <c r="BW1422" i="4" l="1"/>
  <c r="AA12" i="13" l="1"/>
  <c r="AA47" i="13"/>
  <c r="BX1422" i="4" l="1"/>
  <c r="BY1422" i="4" l="1"/>
  <c r="BZ1422" i="4" l="1"/>
  <c r="CA1422" i="4" l="1"/>
  <c r="AB47" i="13" l="1"/>
  <c r="AB12" i="13"/>
  <c r="CB1422" i="4" l="1"/>
  <c r="CC1422" i="4" l="1"/>
  <c r="CD1422" i="4" l="1"/>
  <c r="CE1422" i="4" l="1"/>
  <c r="AC47" i="13" l="1"/>
  <c r="AC12" i="13"/>
  <c r="CF1422" i="4" l="1"/>
  <c r="CG1422" i="4" l="1"/>
  <c r="CH1422" i="4" l="1"/>
  <c r="CI1422" i="4" l="1"/>
  <c r="AD47" i="13" l="1"/>
  <c r="AD12" i="13"/>
  <c r="CJ1422" i="4" l="1"/>
  <c r="CK1422" i="4" l="1"/>
  <c r="CL1422" i="4" l="1"/>
  <c r="CM1422" i="4" l="1"/>
  <c r="AE12" i="13" l="1"/>
  <c r="AE47" i="13"/>
  <c r="CN1422" i="4" l="1"/>
  <c r="AF14" i="67" l="1"/>
  <c r="CO1422" i="4" l="1"/>
  <c r="AF47" i="13" l="1"/>
  <c r="AF12" i="13"/>
  <c r="AF26" i="67" l="1"/>
  <c r="AF15" i="67"/>
  <c r="AF13" i="67" s="1"/>
  <c r="M14" i="66" l="1"/>
  <c r="H140" i="15"/>
  <c r="L20" i="72" l="1"/>
  <c r="M13" i="66"/>
  <c r="L18" i="72" s="1"/>
  <c r="H138" i="15"/>
  <c r="AC28" i="66" l="1"/>
  <c r="AC27" i="66" s="1"/>
  <c r="AD28" i="66"/>
  <c r="AD27" i="66" s="1"/>
  <c r="H137" i="15"/>
  <c r="M28" i="66"/>
  <c r="M27" i="66" s="1"/>
  <c r="N28" i="66"/>
  <c r="N27" i="66" s="1"/>
  <c r="O28" i="66"/>
  <c r="O27" i="66" s="1"/>
  <c r="P28" i="66"/>
  <c r="P27" i="66" s="1"/>
  <c r="Q28" i="66"/>
  <c r="Q27" i="66" s="1"/>
  <c r="AF31" i="67" l="1"/>
  <c r="AF30" i="67" s="1"/>
  <c r="AF1525" i="4"/>
  <c r="AF27" i="67" l="1"/>
  <c r="CH1389" i="4" l="1"/>
  <c r="CL1389" i="4" l="1"/>
  <c r="AF28" i="67" l="1"/>
  <c r="AF25" i="67" s="1"/>
  <c r="AF37" i="67" s="1"/>
  <c r="AF21" i="67"/>
  <c r="AF17" i="67" s="1"/>
  <c r="AF23" i="67" s="1"/>
  <c r="AF1527" i="4"/>
  <c r="AF39" i="67" l="1"/>
  <c r="AG40" i="67" s="1"/>
  <c r="AK95" i="67" l="1"/>
  <c r="AK97" i="67" s="1"/>
  <c r="AK99" i="67" s="1"/>
  <c r="E43" i="70" l="1"/>
  <c r="E395" i="3" s="1"/>
  <c r="E548" i="4" s="1"/>
  <c r="E560" i="4" l="1"/>
  <c r="E557" i="4"/>
  <c r="E554" i="4"/>
  <c r="E551" i="4"/>
  <c r="E572" i="4"/>
  <c r="E574" i="4" l="1"/>
  <c r="E620" i="4" s="1"/>
  <c r="E618" i="4" l="1"/>
  <c r="E623" i="4"/>
  <c r="E614" i="4"/>
  <c r="E625" i="4"/>
  <c r="E624" i="4"/>
  <c r="E619" i="4"/>
  <c r="E615" i="4"/>
  <c r="E613" i="4"/>
  <c r="E627" i="4" s="1"/>
  <c r="E630" i="4" s="1"/>
  <c r="E661" i="4" s="1"/>
  <c r="E664" i="4" s="1"/>
  <c r="E673" i="4" s="1"/>
  <c r="E675" i="4" s="1"/>
  <c r="F129" i="71" s="1"/>
  <c r="G129" i="71" s="1"/>
  <c r="E500" i="3" s="1"/>
  <c r="E813" i="4" s="1"/>
  <c r="E849" i="4" s="1"/>
  <c r="W689" i="4" l="1"/>
  <c r="W691" i="4" s="1"/>
  <c r="W692" i="4" s="1"/>
  <c r="W704" i="4" s="1"/>
  <c r="W887" i="4" s="1"/>
  <c r="BT689" i="4"/>
  <c r="BT691" i="4" s="1"/>
  <c r="BT692" i="4" s="1"/>
  <c r="BT704" i="4" s="1"/>
  <c r="BT887" i="4" s="1"/>
  <c r="BD689" i="4"/>
  <c r="BD691" i="4" s="1"/>
  <c r="BD826" i="4" s="1"/>
  <c r="BD831" i="4" s="1"/>
  <c r="O689" i="4"/>
  <c r="O691" i="4" s="1"/>
  <c r="O826" i="4" s="1"/>
  <c r="O831" i="4" s="1"/>
  <c r="V689" i="4"/>
  <c r="V691" i="4" s="1"/>
  <c r="V826" i="4" s="1"/>
  <c r="V831" i="4" s="1"/>
  <c r="F127" i="71"/>
  <c r="G127" i="71" s="1"/>
  <c r="E491" i="3" s="1"/>
  <c r="E804" i="4" s="1"/>
  <c r="E832" i="4" s="1"/>
  <c r="CH689" i="4"/>
  <c r="CH691" i="4" s="1"/>
  <c r="CH692" i="4" s="1"/>
  <c r="CH704" i="4" s="1"/>
  <c r="CH887" i="4" s="1"/>
  <c r="AX689" i="4"/>
  <c r="AX691" i="4" s="1"/>
  <c r="AX826" i="4" s="1"/>
  <c r="S689" i="4"/>
  <c r="S691" i="4" s="1"/>
  <c r="S692" i="4" s="1"/>
  <c r="S704" i="4" s="1"/>
  <c r="S887" i="4" s="1"/>
  <c r="AD689" i="4"/>
  <c r="AD691" i="4" s="1"/>
  <c r="AD826" i="4" s="1"/>
  <c r="AD831" i="4" s="1"/>
  <c r="AE689" i="4"/>
  <c r="AE691" i="4" s="1"/>
  <c r="AE826" i="4" s="1"/>
  <c r="AE831" i="4" s="1"/>
  <c r="CB689" i="4"/>
  <c r="CB691" i="4" s="1"/>
  <c r="CB826" i="4" s="1"/>
  <c r="CB831" i="4" s="1"/>
  <c r="AA689" i="4"/>
  <c r="AA691" i="4" s="1"/>
  <c r="AL689" i="4"/>
  <c r="AL691" i="4" s="1"/>
  <c r="AL692" i="4" s="1"/>
  <c r="AL704" i="4" s="1"/>
  <c r="AL887" i="4" s="1"/>
  <c r="AM689" i="4"/>
  <c r="AM691" i="4" s="1"/>
  <c r="AM692" i="4" s="1"/>
  <c r="AM704" i="4" s="1"/>
  <c r="AM887" i="4" s="1"/>
  <c r="Q689" i="4"/>
  <c r="Q691" i="4" s="1"/>
  <c r="Q692" i="4" s="1"/>
  <c r="Q704" i="4" s="1"/>
  <c r="Q887" i="4" s="1"/>
  <c r="BP689" i="4"/>
  <c r="BP691" i="4" s="1"/>
  <c r="AT689" i="4"/>
  <c r="AT691" i="4" s="1"/>
  <c r="AT692" i="4" s="1"/>
  <c r="AT704" i="4" s="1"/>
  <c r="AT887" i="4" s="1"/>
  <c r="BS689" i="4"/>
  <c r="BS691" i="4" s="1"/>
  <c r="BS826" i="4" s="1"/>
  <c r="BS831" i="4" s="1"/>
  <c r="AW689" i="4"/>
  <c r="AW691" i="4" s="1"/>
  <c r="AW826" i="4" s="1"/>
  <c r="AW831" i="4" s="1"/>
  <c r="CM689" i="4"/>
  <c r="CM691" i="4" s="1"/>
  <c r="BB689" i="4"/>
  <c r="BB691" i="4" s="1"/>
  <c r="BB826" i="4" s="1"/>
  <c r="BB831" i="4" s="1"/>
  <c r="BM689" i="4"/>
  <c r="BM691" i="4" s="1"/>
  <c r="BM692" i="4" s="1"/>
  <c r="BM704" i="4" s="1"/>
  <c r="BM887" i="4" s="1"/>
  <c r="L689" i="4"/>
  <c r="L691" i="4" s="1"/>
  <c r="L826" i="4" s="1"/>
  <c r="L831" i="4" s="1"/>
  <c r="BJ689" i="4"/>
  <c r="BJ691" i="4" s="1"/>
  <c r="BJ826" i="4" s="1"/>
  <c r="BJ831" i="4" s="1"/>
  <c r="P689" i="4"/>
  <c r="P691" i="4" s="1"/>
  <c r="P826" i="4" s="1"/>
  <c r="P831" i="4" s="1"/>
  <c r="BU689" i="4"/>
  <c r="BU691" i="4" s="1"/>
  <c r="BU692" i="4" s="1"/>
  <c r="BU704" i="4" s="1"/>
  <c r="BU887" i="4" s="1"/>
  <c r="CI689" i="4"/>
  <c r="CI691" i="4" s="1"/>
  <c r="CI692" i="4" s="1"/>
  <c r="CI704" i="4" s="1"/>
  <c r="CI887" i="4" s="1"/>
  <c r="N689" i="4"/>
  <c r="N691" i="4" s="1"/>
  <c r="N692" i="4" s="1"/>
  <c r="N704" i="4" s="1"/>
  <c r="N887" i="4" s="1"/>
  <c r="BR689" i="4"/>
  <c r="BR691" i="4" s="1"/>
  <c r="BR826" i="4" s="1"/>
  <c r="BR832" i="4" s="1"/>
  <c r="X689" i="4"/>
  <c r="X691" i="4" s="1"/>
  <c r="X826" i="4" s="1"/>
  <c r="X832" i="4" s="1"/>
  <c r="R689" i="4"/>
  <c r="R691" i="4" s="1"/>
  <c r="R692" i="4" s="1"/>
  <c r="R704" i="4" s="1"/>
  <c r="R887" i="4" s="1"/>
  <c r="BN689" i="4"/>
  <c r="BN691" i="4" s="1"/>
  <c r="BN692" i="4" s="1"/>
  <c r="BN704" i="4" s="1"/>
  <c r="BN887" i="4" s="1"/>
  <c r="U689" i="4"/>
  <c r="U691" i="4" s="1"/>
  <c r="U826" i="4" s="1"/>
  <c r="U831" i="4" s="1"/>
  <c r="BO689" i="4"/>
  <c r="BO691" i="4" s="1"/>
  <c r="AU689" i="4"/>
  <c r="AU691" i="4" s="1"/>
  <c r="AU826" i="4" s="1"/>
  <c r="AU831" i="4" s="1"/>
  <c r="AF689" i="4"/>
  <c r="AF691" i="4" s="1"/>
  <c r="AF692" i="4" s="1"/>
  <c r="AF704" i="4" s="1"/>
  <c r="AF887" i="4" s="1"/>
  <c r="Y689" i="4"/>
  <c r="Y691" i="4" s="1"/>
  <c r="Y692" i="4" s="1"/>
  <c r="Y704" i="4" s="1"/>
  <c r="Y887" i="4" s="1"/>
  <c r="Z689" i="4"/>
  <c r="Z691" i="4" s="1"/>
  <c r="AI689" i="4"/>
  <c r="AI691" i="4" s="1"/>
  <c r="CF689" i="4"/>
  <c r="CF691" i="4" s="1"/>
  <c r="CF692" i="4" s="1"/>
  <c r="CF704" i="4" s="1"/>
  <c r="CF887" i="4" s="1"/>
  <c r="BC689" i="4"/>
  <c r="BC691" i="4" s="1"/>
  <c r="BC826" i="4" s="1"/>
  <c r="BC832" i="4" s="1"/>
  <c r="AN689" i="4"/>
  <c r="AN691" i="4" s="1"/>
  <c r="AN826" i="4" s="1"/>
  <c r="AN831" i="4" s="1"/>
  <c r="AG689" i="4"/>
  <c r="AG691" i="4" s="1"/>
  <c r="AG826" i="4" s="1"/>
  <c r="AG831" i="4" s="1"/>
  <c r="AH689" i="4"/>
  <c r="AH691" i="4" s="1"/>
  <c r="AH826" i="4" s="1"/>
  <c r="AH831" i="4" s="1"/>
  <c r="T689" i="4"/>
  <c r="T691" i="4" s="1"/>
  <c r="T826" i="4" s="1"/>
  <c r="T832" i="4" s="1"/>
  <c r="CG689" i="4"/>
  <c r="CG691" i="4" s="1"/>
  <c r="BZ689" i="4"/>
  <c r="BZ691" i="4" s="1"/>
  <c r="BZ826" i="4" s="1"/>
  <c r="BZ831" i="4" s="1"/>
  <c r="BK689" i="4"/>
  <c r="BK691" i="4" s="1"/>
  <c r="BK692" i="4" s="1"/>
  <c r="BK704" i="4" s="1"/>
  <c r="BK887" i="4" s="1"/>
  <c r="AV689" i="4"/>
  <c r="AV691" i="4" s="1"/>
  <c r="AV826" i="4" s="1"/>
  <c r="AV831" i="4" s="1"/>
  <c r="AO689" i="4"/>
  <c r="AO691" i="4" s="1"/>
  <c r="AO692" i="4" s="1"/>
  <c r="AO704" i="4" s="1"/>
  <c r="AO887" i="4" s="1"/>
  <c r="AP689" i="4"/>
  <c r="AP691" i="4" s="1"/>
  <c r="AP692" i="4" s="1"/>
  <c r="AP704" i="4" s="1"/>
  <c r="AP887" i="4" s="1"/>
  <c r="BH689" i="4"/>
  <c r="BH691" i="4" s="1"/>
  <c r="CD689" i="4"/>
  <c r="CD691" i="4" s="1"/>
  <c r="M689" i="4"/>
  <c r="M691" i="4" s="1"/>
  <c r="M692" i="4" s="1"/>
  <c r="M704" i="4" s="1"/>
  <c r="M887" i="4" s="1"/>
  <c r="CA689" i="4"/>
  <c r="CA691" i="4" s="1"/>
  <c r="CA826" i="4" s="1"/>
  <c r="BL689" i="4"/>
  <c r="BL691" i="4" s="1"/>
  <c r="BL692" i="4" s="1"/>
  <c r="BL704" i="4" s="1"/>
  <c r="BL887" i="4" s="1"/>
  <c r="BE689" i="4"/>
  <c r="BE691" i="4" s="1"/>
  <c r="BE692" i="4" s="1"/>
  <c r="BE704" i="4" s="1"/>
  <c r="BE887" i="4" s="1"/>
  <c r="BF689" i="4"/>
  <c r="BF691" i="4" s="1"/>
  <c r="BF826" i="4" s="1"/>
  <c r="BF831" i="4" s="1"/>
  <c r="BX689" i="4"/>
  <c r="BX691" i="4" s="1"/>
  <c r="AC689" i="4"/>
  <c r="AC691" i="4" s="1"/>
  <c r="BY689" i="4"/>
  <c r="BY691" i="4" s="1"/>
  <c r="BV689" i="4"/>
  <c r="BV691" i="4" s="1"/>
  <c r="BV826" i="4" s="1"/>
  <c r="BV832" i="4" s="1"/>
  <c r="AB689" i="4"/>
  <c r="AB691" i="4" s="1"/>
  <c r="AB692" i="4" s="1"/>
  <c r="AB704" i="4" s="1"/>
  <c r="AB887" i="4" s="1"/>
  <c r="BI689" i="4"/>
  <c r="BI691" i="4" s="1"/>
  <c r="BI826" i="4" s="1"/>
  <c r="BI831" i="4" s="1"/>
  <c r="BW689" i="4"/>
  <c r="BW691" i="4" s="1"/>
  <c r="BW826" i="4" s="1"/>
  <c r="BW831" i="4" s="1"/>
  <c r="CJ689" i="4"/>
  <c r="CJ691" i="4" s="1"/>
  <c r="CJ692" i="4" s="1"/>
  <c r="CJ704" i="4" s="1"/>
  <c r="CJ887" i="4" s="1"/>
  <c r="AJ689" i="4"/>
  <c r="AJ691" i="4" s="1"/>
  <c r="AJ692" i="4" s="1"/>
  <c r="AJ704" i="4" s="1"/>
  <c r="AJ887" i="4" s="1"/>
  <c r="CE689" i="4"/>
  <c r="CE691" i="4" s="1"/>
  <c r="CE826" i="4" s="1"/>
  <c r="CE831" i="4" s="1"/>
  <c r="BG689" i="4"/>
  <c r="BG691" i="4" s="1"/>
  <c r="BG692" i="4" s="1"/>
  <c r="BG704" i="4" s="1"/>
  <c r="BG887" i="4" s="1"/>
  <c r="CK689" i="4"/>
  <c r="CK691" i="4" s="1"/>
  <c r="CK692" i="4" s="1"/>
  <c r="CK704" i="4" s="1"/>
  <c r="CK887" i="4" s="1"/>
  <c r="AR689" i="4"/>
  <c r="AR691" i="4" s="1"/>
  <c r="AR692" i="4" s="1"/>
  <c r="AR704" i="4" s="1"/>
  <c r="AR887" i="4" s="1"/>
  <c r="CO689" i="4"/>
  <c r="CO691" i="4" s="1"/>
  <c r="CO692" i="4" s="1"/>
  <c r="CO704" i="4" s="1"/>
  <c r="CO887" i="4" s="1"/>
  <c r="AK689" i="4"/>
  <c r="AK691" i="4" s="1"/>
  <c r="AK692" i="4" s="1"/>
  <c r="AK704" i="4" s="1"/>
  <c r="AK887" i="4" s="1"/>
  <c r="CC689" i="4"/>
  <c r="CC691" i="4" s="1"/>
  <c r="AZ689" i="4"/>
  <c r="AZ691" i="4" s="1"/>
  <c r="AZ692" i="4" s="1"/>
  <c r="AZ704" i="4" s="1"/>
  <c r="AZ887" i="4" s="1"/>
  <c r="CL689" i="4"/>
  <c r="CL691" i="4" s="1"/>
  <c r="CL692" i="4" s="1"/>
  <c r="CL704" i="4" s="1"/>
  <c r="CL887" i="4" s="1"/>
  <c r="BQ689" i="4"/>
  <c r="BQ691" i="4" s="1"/>
  <c r="BQ826" i="4" s="1"/>
  <c r="AS689" i="4"/>
  <c r="AS691" i="4" s="1"/>
  <c r="CN689" i="4"/>
  <c r="CN691" i="4" s="1"/>
  <c r="AY689" i="4"/>
  <c r="AY691" i="4" s="1"/>
  <c r="AQ689" i="4"/>
  <c r="AQ691" i="4" s="1"/>
  <c r="AQ692" i="4" s="1"/>
  <c r="AQ704" i="4" s="1"/>
  <c r="AQ887" i="4" s="1"/>
  <c r="BA689" i="4"/>
  <c r="BA691" i="4" s="1"/>
  <c r="BA692" i="4" s="1"/>
  <c r="BA704" i="4" s="1"/>
  <c r="BA887" i="4" s="1"/>
  <c r="E676" i="4"/>
  <c r="E679" i="4" s="1"/>
  <c r="E687" i="4" s="1"/>
  <c r="BD692" i="4" l="1"/>
  <c r="BD704" i="4" s="1"/>
  <c r="BD887" i="4" s="1"/>
  <c r="BD893" i="4" s="1"/>
  <c r="AN692" i="4"/>
  <c r="AN704" i="4" s="1"/>
  <c r="AN887" i="4" s="1"/>
  <c r="AN893" i="4" s="1"/>
  <c r="BS692" i="4"/>
  <c r="BS704" i="4" s="1"/>
  <c r="BS887" i="4" s="1"/>
  <c r="BS893" i="4" s="1"/>
  <c r="AE692" i="4"/>
  <c r="AE704" i="4" s="1"/>
  <c r="AE887" i="4" s="1"/>
  <c r="AE893" i="4" s="1"/>
  <c r="BU826" i="4"/>
  <c r="BU831" i="4" s="1"/>
  <c r="AO826" i="4"/>
  <c r="AO831" i="4" s="1"/>
  <c r="O832" i="4"/>
  <c r="O835" i="4" s="1"/>
  <c r="W826" i="4"/>
  <c r="W832" i="4" s="1"/>
  <c r="W833" i="4" s="1"/>
  <c r="BN826" i="4"/>
  <c r="BN831" i="4" s="1"/>
  <c r="S826" i="4"/>
  <c r="S831" i="4" s="1"/>
  <c r="AU692" i="4"/>
  <c r="AU704" i="4" s="1"/>
  <c r="AU887" i="4" s="1"/>
  <c r="AU893" i="4" s="1"/>
  <c r="BC692" i="4"/>
  <c r="BC704" i="4" s="1"/>
  <c r="BC887" i="4" s="1"/>
  <c r="BC892" i="4" s="1"/>
  <c r="BF692" i="4"/>
  <c r="BF704" i="4" s="1"/>
  <c r="BF887" i="4" s="1"/>
  <c r="BF893" i="4" s="1"/>
  <c r="CJ826" i="4"/>
  <c r="CJ831" i="4" s="1"/>
  <c r="CF826" i="4"/>
  <c r="CF832" i="4" s="1"/>
  <c r="CF835" i="4" s="1"/>
  <c r="BL826" i="4"/>
  <c r="BL832" i="4" s="1"/>
  <c r="BL835" i="4" s="1"/>
  <c r="BK826" i="4"/>
  <c r="BK831" i="4" s="1"/>
  <c r="BJ692" i="4"/>
  <c r="BJ704" i="4" s="1"/>
  <c r="BJ887" i="4" s="1"/>
  <c r="BJ892" i="4" s="1"/>
  <c r="BI692" i="4"/>
  <c r="BI704" i="4" s="1"/>
  <c r="BI887" i="4" s="1"/>
  <c r="BI892" i="4" s="1"/>
  <c r="BR831" i="4"/>
  <c r="AK826" i="4"/>
  <c r="AK831" i="4" s="1"/>
  <c r="P832" i="4"/>
  <c r="P834" i="4" s="1"/>
  <c r="U692" i="4"/>
  <c r="U704" i="4" s="1"/>
  <c r="U887" i="4" s="1"/>
  <c r="U892" i="4" s="1"/>
  <c r="BC831" i="4"/>
  <c r="AD692" i="4"/>
  <c r="AD704" i="4" s="1"/>
  <c r="AD887" i="4" s="1"/>
  <c r="AD892" i="4" s="1"/>
  <c r="BT826" i="4"/>
  <c r="BT831" i="4" s="1"/>
  <c r="AT826" i="4"/>
  <c r="AT831" i="4" s="1"/>
  <c r="BE826" i="4"/>
  <c r="BE831" i="4" s="1"/>
  <c r="BW692" i="4"/>
  <c r="BW704" i="4" s="1"/>
  <c r="BW887" i="4" s="1"/>
  <c r="BW892" i="4" s="1"/>
  <c r="P692" i="4"/>
  <c r="P704" i="4" s="1"/>
  <c r="P887" i="4" s="1"/>
  <c r="P893" i="4" s="1"/>
  <c r="AV692" i="4"/>
  <c r="AV704" i="4" s="1"/>
  <c r="AV887" i="4" s="1"/>
  <c r="AV892" i="4" s="1"/>
  <c r="AJ826" i="4"/>
  <c r="AJ832" i="4" s="1"/>
  <c r="CI826" i="4"/>
  <c r="CI831" i="4" s="1"/>
  <c r="AG692" i="4"/>
  <c r="AG704" i="4" s="1"/>
  <c r="AG887" i="4" s="1"/>
  <c r="AG892" i="4" s="1"/>
  <c r="AP826" i="4"/>
  <c r="AP832" i="4" s="1"/>
  <c r="AP836" i="4" s="1"/>
  <c r="AW692" i="4"/>
  <c r="AW704" i="4" s="1"/>
  <c r="AW887" i="4" s="1"/>
  <c r="AW892" i="4" s="1"/>
  <c r="CB692" i="4"/>
  <c r="CB704" i="4" s="1"/>
  <c r="CB887" i="4" s="1"/>
  <c r="CB893" i="4" s="1"/>
  <c r="O692" i="4"/>
  <c r="O704" i="4" s="1"/>
  <c r="O887" i="4" s="1"/>
  <c r="O893" i="4" s="1"/>
  <c r="CE692" i="4"/>
  <c r="CE704" i="4" s="1"/>
  <c r="CE887" i="4" s="1"/>
  <c r="CE893" i="4" s="1"/>
  <c r="AF826" i="4"/>
  <c r="AF831" i="4" s="1"/>
  <c r="AH832" i="4"/>
  <c r="AH836" i="4" s="1"/>
  <c r="V692" i="4"/>
  <c r="V704" i="4" s="1"/>
  <c r="V887" i="4" s="1"/>
  <c r="V892" i="4" s="1"/>
  <c r="AH692" i="4"/>
  <c r="AH704" i="4" s="1"/>
  <c r="AH887" i="4" s="1"/>
  <c r="AH892" i="4" s="1"/>
  <c r="N826" i="4"/>
  <c r="N831" i="4" s="1"/>
  <c r="BF832" i="4"/>
  <c r="BF834" i="4" s="1"/>
  <c r="BD832" i="4"/>
  <c r="BD836" i="4" s="1"/>
  <c r="BW832" i="4"/>
  <c r="BW836" i="4" s="1"/>
  <c r="Y826" i="4"/>
  <c r="Y832" i="4" s="1"/>
  <c r="Y836" i="4" s="1"/>
  <c r="CA832" i="4"/>
  <c r="CA833" i="4" s="1"/>
  <c r="AW832" i="4"/>
  <c r="AW834" i="4" s="1"/>
  <c r="BQ832" i="4"/>
  <c r="BQ834" i="4" s="1"/>
  <c r="BB832" i="4"/>
  <c r="BB836" i="4" s="1"/>
  <c r="BI832" i="4"/>
  <c r="BI834" i="4" s="1"/>
  <c r="BR692" i="4"/>
  <c r="BR704" i="4" s="1"/>
  <c r="BR887" i="4" s="1"/>
  <c r="BR892" i="4" s="1"/>
  <c r="AL826" i="4"/>
  <c r="AL831" i="4" s="1"/>
  <c r="T692" i="4"/>
  <c r="T704" i="4" s="1"/>
  <c r="T887" i="4" s="1"/>
  <c r="T892" i="4" s="1"/>
  <c r="AE832" i="4"/>
  <c r="AE834" i="4" s="1"/>
  <c r="AG832" i="4"/>
  <c r="AG834" i="4" s="1"/>
  <c r="BB692" i="4"/>
  <c r="BB704" i="4" s="1"/>
  <c r="BB887" i="4" s="1"/>
  <c r="BB893" i="4" s="1"/>
  <c r="AV832" i="4"/>
  <c r="AV833" i="4" s="1"/>
  <c r="AN832" i="4"/>
  <c r="AN835" i="4" s="1"/>
  <c r="V832" i="4"/>
  <c r="V833" i="4" s="1"/>
  <c r="CB832" i="4"/>
  <c r="CB833" i="4" s="1"/>
  <c r="BJ832" i="4"/>
  <c r="BJ836" i="4" s="1"/>
  <c r="AD832" i="4"/>
  <c r="AD835" i="4" s="1"/>
  <c r="CE832" i="4"/>
  <c r="CE833" i="4" s="1"/>
  <c r="U832" i="4"/>
  <c r="U835" i="4" s="1"/>
  <c r="BS832" i="4"/>
  <c r="BS835" i="4" s="1"/>
  <c r="T831" i="4"/>
  <c r="AU832" i="4"/>
  <c r="AU834" i="4" s="1"/>
  <c r="BG826" i="4"/>
  <c r="BG832" i="4" s="1"/>
  <c r="BG833" i="4" s="1"/>
  <c r="CH826" i="4"/>
  <c r="CH832" i="4" s="1"/>
  <c r="CH836" i="4" s="1"/>
  <c r="AX832" i="4"/>
  <c r="AX835" i="4" s="1"/>
  <c r="CL826" i="4"/>
  <c r="CL831" i="4" s="1"/>
  <c r="CO826" i="4"/>
  <c r="CO832" i="4" s="1"/>
  <c r="CO834" i="4" s="1"/>
  <c r="M826" i="4"/>
  <c r="M832" i="4" s="1"/>
  <c r="M833" i="4" s="1"/>
  <c r="BM826" i="4"/>
  <c r="BM831" i="4" s="1"/>
  <c r="BV831" i="4"/>
  <c r="X831" i="4"/>
  <c r="X692" i="4"/>
  <c r="X704" i="4" s="1"/>
  <c r="X887" i="4" s="1"/>
  <c r="X893" i="4" s="1"/>
  <c r="AM826" i="4"/>
  <c r="AM832" i="4" s="1"/>
  <c r="AM833" i="4" s="1"/>
  <c r="BQ831" i="4"/>
  <c r="BV692" i="4"/>
  <c r="BV704" i="4" s="1"/>
  <c r="BV887" i="4" s="1"/>
  <c r="BV892" i="4" s="1"/>
  <c r="AX831" i="4"/>
  <c r="BZ692" i="4"/>
  <c r="BZ704" i="4" s="1"/>
  <c r="BZ887" i="4" s="1"/>
  <c r="BZ893" i="4" s="1"/>
  <c r="L832" i="4"/>
  <c r="L836" i="4" s="1"/>
  <c r="AX692" i="4"/>
  <c r="AX704" i="4" s="1"/>
  <c r="AX887" i="4" s="1"/>
  <c r="AX893" i="4" s="1"/>
  <c r="AR826" i="4"/>
  <c r="AR831" i="4" s="1"/>
  <c r="I691" i="4"/>
  <c r="AQ826" i="4"/>
  <c r="AQ832" i="4" s="1"/>
  <c r="AQ833" i="4" s="1"/>
  <c r="CA831" i="4"/>
  <c r="BZ832" i="4"/>
  <c r="BZ835" i="4" s="1"/>
  <c r="AB826" i="4"/>
  <c r="AB832" i="4" s="1"/>
  <c r="AB836" i="4" s="1"/>
  <c r="Q826" i="4"/>
  <c r="Q831" i="4" s="1"/>
  <c r="L692" i="4"/>
  <c r="L704" i="4" s="1"/>
  <c r="L887" i="4" s="1"/>
  <c r="L893" i="4" s="1"/>
  <c r="R826" i="4"/>
  <c r="R832" i="4" s="1"/>
  <c r="R834" i="4" s="1"/>
  <c r="CA692" i="4"/>
  <c r="CA704" i="4" s="1"/>
  <c r="CA887" i="4" s="1"/>
  <c r="CA892" i="4" s="1"/>
  <c r="BQ692" i="4"/>
  <c r="BQ704" i="4" s="1"/>
  <c r="BQ887" i="4" s="1"/>
  <c r="BQ892" i="4" s="1"/>
  <c r="CK826" i="4"/>
  <c r="CK832" i="4" s="1"/>
  <c r="CK833" i="4" s="1"/>
  <c r="CM826" i="4"/>
  <c r="CM692" i="4"/>
  <c r="CM704" i="4" s="1"/>
  <c r="CM887" i="4" s="1"/>
  <c r="CM893" i="4" s="1"/>
  <c r="AA692" i="4"/>
  <c r="AA704" i="4" s="1"/>
  <c r="AA887" i="4" s="1"/>
  <c r="AA892" i="4" s="1"/>
  <c r="AA826" i="4"/>
  <c r="BP692" i="4"/>
  <c r="BP704" i="4" s="1"/>
  <c r="BP887" i="4" s="1"/>
  <c r="BP892" i="4" s="1"/>
  <c r="BP826" i="4"/>
  <c r="AI692" i="4"/>
  <c r="AI704" i="4" s="1"/>
  <c r="AI887" i="4" s="1"/>
  <c r="AI892" i="4" s="1"/>
  <c r="AI826" i="4"/>
  <c r="CG692" i="4"/>
  <c r="CG704" i="4" s="1"/>
  <c r="CG887" i="4" s="1"/>
  <c r="CG892" i="4" s="1"/>
  <c r="CG826" i="4"/>
  <c r="Z692" i="4"/>
  <c r="Z704" i="4" s="1"/>
  <c r="Z887" i="4" s="1"/>
  <c r="Z893" i="4" s="1"/>
  <c r="Z826" i="4"/>
  <c r="CD826" i="4"/>
  <c r="CD692" i="4"/>
  <c r="CD704" i="4" s="1"/>
  <c r="CD887" i="4" s="1"/>
  <c r="CD893" i="4" s="1"/>
  <c r="BH826" i="4"/>
  <c r="BH692" i="4"/>
  <c r="BH704" i="4" s="1"/>
  <c r="BH887" i="4" s="1"/>
  <c r="BH892" i="4" s="1"/>
  <c r="BX692" i="4"/>
  <c r="BX704" i="4" s="1"/>
  <c r="BX887" i="4" s="1"/>
  <c r="BX892" i="4" s="1"/>
  <c r="BX826" i="4"/>
  <c r="BO692" i="4"/>
  <c r="BO704" i="4" s="1"/>
  <c r="BO887" i="4" s="1"/>
  <c r="BO893" i="4" s="1"/>
  <c r="BO826" i="4"/>
  <c r="CC826" i="4"/>
  <c r="CC692" i="4"/>
  <c r="CC704" i="4" s="1"/>
  <c r="CC887" i="4" s="1"/>
  <c r="CC893" i="4" s="1"/>
  <c r="AS692" i="4"/>
  <c r="AS704" i="4" s="1"/>
  <c r="AS887" i="4" s="1"/>
  <c r="AS892" i="4" s="1"/>
  <c r="AS826" i="4"/>
  <c r="BA826" i="4"/>
  <c r="BY692" i="4"/>
  <c r="BY704" i="4" s="1"/>
  <c r="BY887" i="4" s="1"/>
  <c r="BY893" i="4" s="1"/>
  <c r="BY826" i="4"/>
  <c r="AZ826" i="4"/>
  <c r="AZ832" i="4" s="1"/>
  <c r="AZ836" i="4" s="1"/>
  <c r="AC826" i="4"/>
  <c r="AC692" i="4"/>
  <c r="AC704" i="4" s="1"/>
  <c r="AC887" i="4" s="1"/>
  <c r="AC893" i="4" s="1"/>
  <c r="AY826" i="4"/>
  <c r="AY692" i="4"/>
  <c r="AY704" i="4" s="1"/>
  <c r="AY887" i="4" s="1"/>
  <c r="AY892" i="4" s="1"/>
  <c r="CN692" i="4"/>
  <c r="CN704" i="4" s="1"/>
  <c r="CN887" i="4" s="1"/>
  <c r="CN892" i="4" s="1"/>
  <c r="CN826" i="4"/>
  <c r="E680" i="4"/>
  <c r="E695" i="4" s="1"/>
  <c r="AG696" i="4" s="1"/>
  <c r="E681" i="4"/>
  <c r="E699" i="4" s="1"/>
  <c r="CI700" i="4" s="1"/>
  <c r="BG893" i="4"/>
  <c r="BG892" i="4"/>
  <c r="BR833" i="4"/>
  <c r="BR835" i="4"/>
  <c r="BR834" i="4"/>
  <c r="BR836" i="4"/>
  <c r="AL892" i="4"/>
  <c r="AL893" i="4"/>
  <c r="AZ892" i="4"/>
  <c r="AZ893" i="4"/>
  <c r="CH893" i="4"/>
  <c r="CH892" i="4"/>
  <c r="BM892" i="4"/>
  <c r="BM893" i="4"/>
  <c r="AK893" i="4"/>
  <c r="AK892" i="4"/>
  <c r="AO893" i="4"/>
  <c r="AO892" i="4"/>
  <c r="T836" i="4"/>
  <c r="T834" i="4"/>
  <c r="T835" i="4"/>
  <c r="T833" i="4"/>
  <c r="CF892" i="4"/>
  <c r="CF893" i="4"/>
  <c r="W892" i="4"/>
  <c r="W893" i="4"/>
  <c r="BC836" i="4"/>
  <c r="BC834" i="4"/>
  <c r="BC835" i="4"/>
  <c r="BC833" i="4"/>
  <c r="CO893" i="4"/>
  <c r="CO892" i="4"/>
  <c r="BK893" i="4"/>
  <c r="BK892" i="4"/>
  <c r="S893" i="4"/>
  <c r="S892" i="4"/>
  <c r="BV834" i="4"/>
  <c r="BV836" i="4"/>
  <c r="BV835" i="4"/>
  <c r="BV833" i="4"/>
  <c r="BA893" i="4"/>
  <c r="BA892" i="4"/>
  <c r="AB892" i="4"/>
  <c r="AB893" i="4"/>
  <c r="BE893" i="4"/>
  <c r="BE892" i="4"/>
  <c r="CL893" i="4"/>
  <c r="CL892" i="4"/>
  <c r="N892" i="4"/>
  <c r="N893" i="4"/>
  <c r="AM893" i="4"/>
  <c r="AM892" i="4"/>
  <c r="BT892" i="4"/>
  <c r="BT893" i="4"/>
  <c r="BU892" i="4"/>
  <c r="BU893" i="4"/>
  <c r="CI892" i="4"/>
  <c r="CI893" i="4"/>
  <c r="BN893" i="4"/>
  <c r="BN892" i="4"/>
  <c r="X835" i="4"/>
  <c r="X833" i="4"/>
  <c r="X834" i="4"/>
  <c r="X836" i="4"/>
  <c r="M892" i="4"/>
  <c r="M893" i="4"/>
  <c r="AT892" i="4"/>
  <c r="AT893" i="4"/>
  <c r="AQ892" i="4"/>
  <c r="AQ893" i="4"/>
  <c r="R893" i="4"/>
  <c r="R892" i="4"/>
  <c r="CJ893" i="4"/>
  <c r="CJ892" i="4"/>
  <c r="CK892" i="4"/>
  <c r="CK893" i="4"/>
  <c r="Q893" i="4"/>
  <c r="Q892" i="4"/>
  <c r="AP893" i="4"/>
  <c r="AP892" i="4"/>
  <c r="BL892" i="4"/>
  <c r="BL893" i="4"/>
  <c r="AJ892" i="4"/>
  <c r="AJ893" i="4"/>
  <c r="Y893" i="4"/>
  <c r="Y892" i="4"/>
  <c r="AF893" i="4"/>
  <c r="AF892" i="4"/>
  <c r="AR892" i="4"/>
  <c r="AR893" i="4"/>
  <c r="P700" i="4"/>
  <c r="BZ700" i="4"/>
  <c r="AO700" i="4"/>
  <c r="Z700" i="4"/>
  <c r="BY700" i="4"/>
  <c r="AU700" i="4"/>
  <c r="BX700" i="4"/>
  <c r="BR700" i="4"/>
  <c r="BV700" i="4"/>
  <c r="BA700" i="4"/>
  <c r="BS892" i="4" l="1"/>
  <c r="AE892" i="4"/>
  <c r="BD892" i="4"/>
  <c r="CO836" i="4"/>
  <c r="AV836" i="4"/>
  <c r="BZ833" i="4"/>
  <c r="AO832" i="4"/>
  <c r="AO836" i="4" s="1"/>
  <c r="BU832" i="4"/>
  <c r="BU836" i="4" s="1"/>
  <c r="M835" i="4"/>
  <c r="AV893" i="4"/>
  <c r="O834" i="4"/>
  <c r="O833" i="4"/>
  <c r="U893" i="4"/>
  <c r="BN832" i="4"/>
  <c r="BN833" i="4" s="1"/>
  <c r="O836" i="4"/>
  <c r="CF831" i="4"/>
  <c r="CK835" i="4"/>
  <c r="CK836" i="4"/>
  <c r="CO833" i="4"/>
  <c r="CO835" i="4"/>
  <c r="CK834" i="4"/>
  <c r="BZ834" i="4"/>
  <c r="BS834" i="4"/>
  <c r="AN836" i="4"/>
  <c r="BR893" i="4"/>
  <c r="AN833" i="4"/>
  <c r="AN834" i="4"/>
  <c r="BK832" i="4"/>
  <c r="BK833" i="4" s="1"/>
  <c r="BZ836" i="4"/>
  <c r="AV835" i="4"/>
  <c r="AV834" i="4"/>
  <c r="CG893" i="4"/>
  <c r="M834" i="4"/>
  <c r="M836" i="4"/>
  <c r="M831" i="4"/>
  <c r="AD893" i="4"/>
  <c r="W836" i="4"/>
  <c r="W835" i="4"/>
  <c r="AJ831" i="4"/>
  <c r="AF832" i="4"/>
  <c r="AF836" i="4" s="1"/>
  <c r="W834" i="4"/>
  <c r="W831" i="4"/>
  <c r="BL831" i="4"/>
  <c r="BW833" i="4"/>
  <c r="S832" i="4"/>
  <c r="S834" i="4" s="1"/>
  <c r="AU892" i="4"/>
  <c r="BF892" i="4"/>
  <c r="BH893" i="4"/>
  <c r="CJ832" i="4"/>
  <c r="CJ836" i="4" s="1"/>
  <c r="AI893" i="4"/>
  <c r="BW834" i="4"/>
  <c r="BW835" i="4"/>
  <c r="AH833" i="4"/>
  <c r="AH835" i="4"/>
  <c r="AH834" i="4"/>
  <c r="CI832" i="4"/>
  <c r="CI834" i="4" s="1"/>
  <c r="Y831" i="4"/>
  <c r="AS893" i="4"/>
  <c r="BQ893" i="4"/>
  <c r="BS833" i="4"/>
  <c r="BS836" i="4"/>
  <c r="CO831" i="4"/>
  <c r="AJ834" i="4"/>
  <c r="AJ835" i="4"/>
  <c r="AJ836" i="4"/>
  <c r="AJ833" i="4"/>
  <c r="BJ893" i="4"/>
  <c r="BI893" i="4"/>
  <c r="BL836" i="4"/>
  <c r="P835" i="4"/>
  <c r="BQ833" i="4"/>
  <c r="BF836" i="4"/>
  <c r="BW893" i="4"/>
  <c r="AK832" i="4"/>
  <c r="AK835" i="4" s="1"/>
  <c r="P892" i="4"/>
  <c r="P836" i="4"/>
  <c r="P833" i="4"/>
  <c r="Y835" i="4"/>
  <c r="AG893" i="4"/>
  <c r="AU835" i="4"/>
  <c r="BX893" i="4"/>
  <c r="AU833" i="4"/>
  <c r="BM832" i="4"/>
  <c r="BM836" i="4" s="1"/>
  <c r="V835" i="4"/>
  <c r="V836" i="4"/>
  <c r="N832" i="4"/>
  <c r="N833" i="4" s="1"/>
  <c r="BE832" i="4"/>
  <c r="BE835" i="4" s="1"/>
  <c r="V834" i="4"/>
  <c r="V893" i="4"/>
  <c r="Y833" i="4"/>
  <c r="AU836" i="4"/>
  <c r="BT832" i="4"/>
  <c r="BT833" i="4" s="1"/>
  <c r="AL832" i="4"/>
  <c r="AL834" i="4" s="1"/>
  <c r="AT832" i="4"/>
  <c r="AT834" i="4" s="1"/>
  <c r="Y834" i="4"/>
  <c r="CN893" i="4"/>
  <c r="CM892" i="4"/>
  <c r="AW893" i="4"/>
  <c r="CA835" i="4"/>
  <c r="AH893" i="4"/>
  <c r="CB834" i="4"/>
  <c r="L834" i="4"/>
  <c r="AB831" i="4"/>
  <c r="L835" i="4"/>
  <c r="BY892" i="4"/>
  <c r="CB835" i="4"/>
  <c r="CA836" i="4"/>
  <c r="L833" i="4"/>
  <c r="BG836" i="4"/>
  <c r="CA834" i="4"/>
  <c r="T893" i="4"/>
  <c r="BG834" i="4"/>
  <c r="AP834" i="4"/>
  <c r="AP831" i="4"/>
  <c r="BG835" i="4"/>
  <c r="AP833" i="4"/>
  <c r="BG831" i="4"/>
  <c r="AP835" i="4"/>
  <c r="CB836" i="4"/>
  <c r="CF833" i="4"/>
  <c r="BD835" i="4"/>
  <c r="U834" i="4"/>
  <c r="O892" i="4"/>
  <c r="U836" i="4"/>
  <c r="CF836" i="4"/>
  <c r="CF834" i="4"/>
  <c r="CA893" i="4"/>
  <c r="CE892" i="4"/>
  <c r="BI833" i="4"/>
  <c r="BI835" i="4"/>
  <c r="BD834" i="4"/>
  <c r="U833" i="4"/>
  <c r="BI836" i="4"/>
  <c r="BD833" i="4"/>
  <c r="BF835" i="4"/>
  <c r="AZ833" i="4"/>
  <c r="BF833" i="4"/>
  <c r="CL832" i="4"/>
  <c r="CL836" i="4" s="1"/>
  <c r="BB835" i="4"/>
  <c r="CO700" i="4"/>
  <c r="CO706" i="4" s="1"/>
  <c r="AN700" i="4"/>
  <c r="AN828" i="4" s="1"/>
  <c r="N700" i="4"/>
  <c r="N828" i="4" s="1"/>
  <c r="BS700" i="4"/>
  <c r="BS706" i="4" s="1"/>
  <c r="BB700" i="4"/>
  <c r="BB706" i="4" s="1"/>
  <c r="BN700" i="4"/>
  <c r="BN828" i="4" s="1"/>
  <c r="BU700" i="4"/>
  <c r="BU828" i="4" s="1"/>
  <c r="BK700" i="4"/>
  <c r="BK706" i="4" s="1"/>
  <c r="BT700" i="4"/>
  <c r="BT706" i="4" s="1"/>
  <c r="BB833" i="4"/>
  <c r="M700" i="4"/>
  <c r="M706" i="4" s="1"/>
  <c r="AL700" i="4"/>
  <c r="AL828" i="4" s="1"/>
  <c r="X700" i="4"/>
  <c r="X706" i="4" s="1"/>
  <c r="BJ700" i="4"/>
  <c r="BJ828" i="4" s="1"/>
  <c r="BG700" i="4"/>
  <c r="BG706" i="4" s="1"/>
  <c r="BF700" i="4"/>
  <c r="BF706" i="4" s="1"/>
  <c r="CB700" i="4"/>
  <c r="CB828" i="4" s="1"/>
  <c r="Y700" i="4"/>
  <c r="Y828" i="4" s="1"/>
  <c r="BB892" i="4"/>
  <c r="AQ700" i="4"/>
  <c r="AQ706" i="4" s="1"/>
  <c r="BW700" i="4"/>
  <c r="BW706" i="4" s="1"/>
  <c r="W700" i="4"/>
  <c r="W828" i="4" s="1"/>
  <c r="U700" i="4"/>
  <c r="U828" i="4" s="1"/>
  <c r="AW700" i="4"/>
  <c r="AW828" i="4" s="1"/>
  <c r="Q700" i="4"/>
  <c r="Q828" i="4" s="1"/>
  <c r="CC700" i="4"/>
  <c r="CC828" i="4" s="1"/>
  <c r="CH700" i="4"/>
  <c r="CH706" i="4" s="1"/>
  <c r="BH700" i="4"/>
  <c r="BH828" i="4" s="1"/>
  <c r="AY700" i="4"/>
  <c r="AY828" i="4" s="1"/>
  <c r="AG700" i="4"/>
  <c r="AG828" i="4" s="1"/>
  <c r="CD700" i="4"/>
  <c r="CD828" i="4" s="1"/>
  <c r="BO700" i="4"/>
  <c r="BO828" i="4" s="1"/>
  <c r="L700" i="4"/>
  <c r="L828" i="4" s="1"/>
  <c r="BC700" i="4"/>
  <c r="BC706" i="4" s="1"/>
  <c r="AC700" i="4"/>
  <c r="AC706" i="4" s="1"/>
  <c r="BE700" i="4"/>
  <c r="BE828" i="4" s="1"/>
  <c r="AH700" i="4"/>
  <c r="AH828" i="4" s="1"/>
  <c r="S700" i="4"/>
  <c r="S828" i="4" s="1"/>
  <c r="AM700" i="4"/>
  <c r="AM828" i="4" s="1"/>
  <c r="BP700" i="4"/>
  <c r="BP828" i="4" s="1"/>
  <c r="T700" i="4"/>
  <c r="T828" i="4" s="1"/>
  <c r="CE700" i="4"/>
  <c r="CE706" i="4" s="1"/>
  <c r="CL700" i="4"/>
  <c r="CL706" i="4" s="1"/>
  <c r="CE835" i="4"/>
  <c r="AX834" i="4"/>
  <c r="BL700" i="4"/>
  <c r="BL828" i="4" s="1"/>
  <c r="AR700" i="4"/>
  <c r="AR828" i="4" s="1"/>
  <c r="CA700" i="4"/>
  <c r="CA706" i="4" s="1"/>
  <c r="BI700" i="4"/>
  <c r="BI828" i="4" s="1"/>
  <c r="AP700" i="4"/>
  <c r="AP828" i="4" s="1"/>
  <c r="AI700" i="4"/>
  <c r="AI828" i="4" s="1"/>
  <c r="AA700" i="4"/>
  <c r="AA706" i="4" s="1"/>
  <c r="AV700" i="4"/>
  <c r="AV706" i="4" s="1"/>
  <c r="AS700" i="4"/>
  <c r="AS828" i="4" s="1"/>
  <c r="AB700" i="4"/>
  <c r="AB828" i="4" s="1"/>
  <c r="V700" i="4"/>
  <c r="V706" i="4" s="1"/>
  <c r="AM835" i="4"/>
  <c r="CE834" i="4"/>
  <c r="AX836" i="4"/>
  <c r="AZ700" i="4"/>
  <c r="AZ828" i="4" s="1"/>
  <c r="CG700" i="4"/>
  <c r="CG828" i="4" s="1"/>
  <c r="AD700" i="4"/>
  <c r="AD828" i="4" s="1"/>
  <c r="BD700" i="4"/>
  <c r="BD828" i="4" s="1"/>
  <c r="CN700" i="4"/>
  <c r="CN828" i="4" s="1"/>
  <c r="AT700" i="4"/>
  <c r="AT706" i="4" s="1"/>
  <c r="R833" i="4"/>
  <c r="CE836" i="4"/>
  <c r="BB834" i="4"/>
  <c r="AX833" i="4"/>
  <c r="AF700" i="4"/>
  <c r="AF828" i="4" s="1"/>
  <c r="AX700" i="4"/>
  <c r="AX706" i="4" s="1"/>
  <c r="AJ700" i="4"/>
  <c r="AJ828" i="4" s="1"/>
  <c r="AE700" i="4"/>
  <c r="AE706" i="4" s="1"/>
  <c r="CF700" i="4"/>
  <c r="CF706" i="4" s="1"/>
  <c r="R700" i="4"/>
  <c r="R828" i="4" s="1"/>
  <c r="O700" i="4"/>
  <c r="O828" i="4" s="1"/>
  <c r="CM700" i="4"/>
  <c r="CM706" i="4" s="1"/>
  <c r="CJ700" i="4"/>
  <c r="CJ706" i="4" s="1"/>
  <c r="BQ700" i="4"/>
  <c r="BQ828" i="4" s="1"/>
  <c r="BM700" i="4"/>
  <c r="BM706" i="4" s="1"/>
  <c r="CK700" i="4"/>
  <c r="CK828" i="4" s="1"/>
  <c r="AK700" i="4"/>
  <c r="AK706" i="4" s="1"/>
  <c r="AY893" i="4"/>
  <c r="BJ833" i="4"/>
  <c r="BO892" i="4"/>
  <c r="AW835" i="4"/>
  <c r="AA893" i="4"/>
  <c r="AW833" i="4"/>
  <c r="CH834" i="4"/>
  <c r="CH835" i="4"/>
  <c r="CH831" i="4"/>
  <c r="BL833" i="4"/>
  <c r="X892" i="4"/>
  <c r="BL834" i="4"/>
  <c r="AD834" i="4"/>
  <c r="AZ835" i="4"/>
  <c r="BQ835" i="4"/>
  <c r="AE833" i="4"/>
  <c r="AZ834" i="4"/>
  <c r="BQ836" i="4"/>
  <c r="AG836" i="4"/>
  <c r="AD833" i="4"/>
  <c r="AX892" i="4"/>
  <c r="Z892" i="4"/>
  <c r="AE836" i="4"/>
  <c r="AG833" i="4"/>
  <c r="AD836" i="4"/>
  <c r="AE835" i="4"/>
  <c r="BJ834" i="4"/>
  <c r="AG835" i="4"/>
  <c r="L892" i="4"/>
  <c r="AW836" i="4"/>
  <c r="BJ835" i="4"/>
  <c r="CH833" i="4"/>
  <c r="R835" i="4"/>
  <c r="R836" i="4"/>
  <c r="BP893" i="4"/>
  <c r="AM834" i="4"/>
  <c r="AM836" i="4"/>
  <c r="Q832" i="4"/>
  <c r="Q834" i="4" s="1"/>
  <c r="AM831" i="4"/>
  <c r="AR832" i="4"/>
  <c r="AR833" i="4" s="1"/>
  <c r="CD892" i="4"/>
  <c r="AC892" i="4"/>
  <c r="AQ831" i="4"/>
  <c r="AQ835" i="4"/>
  <c r="AQ834" i="4"/>
  <c r="AQ836" i="4"/>
  <c r="CC892" i="4"/>
  <c r="R831" i="4"/>
  <c r="CK831" i="4"/>
  <c r="I826" i="4"/>
  <c r="I704" i="4"/>
  <c r="BP832" i="4"/>
  <c r="BP831" i="4"/>
  <c r="AA831" i="4"/>
  <c r="AA832" i="4"/>
  <c r="I692" i="4"/>
  <c r="CM831" i="4"/>
  <c r="CM832" i="4"/>
  <c r="CD832" i="4"/>
  <c r="CD831" i="4"/>
  <c r="BO832" i="4"/>
  <c r="BO831" i="4"/>
  <c r="Z831" i="4"/>
  <c r="Z832" i="4"/>
  <c r="BX831" i="4"/>
  <c r="BX832" i="4"/>
  <c r="CG832" i="4"/>
  <c r="CG831" i="4"/>
  <c r="AI832" i="4"/>
  <c r="AI831" i="4"/>
  <c r="BH831" i="4"/>
  <c r="BH832" i="4"/>
  <c r="BY831" i="4"/>
  <c r="BY832" i="4"/>
  <c r="BA831" i="4"/>
  <c r="BA832" i="4"/>
  <c r="AS831" i="4"/>
  <c r="AS832" i="4"/>
  <c r="AZ831" i="4"/>
  <c r="AC831" i="4"/>
  <c r="AC832" i="4"/>
  <c r="CC831" i="4"/>
  <c r="CC832" i="4"/>
  <c r="CN831" i="4"/>
  <c r="CN832" i="4"/>
  <c r="AY831" i="4"/>
  <c r="AY832" i="4"/>
  <c r="CG696" i="4"/>
  <c r="CG697" i="4" s="1"/>
  <c r="CG705" i="4" s="1"/>
  <c r="AE696" i="4"/>
  <c r="BT696" i="4"/>
  <c r="BT697" i="4" s="1"/>
  <c r="BT705" i="4" s="1"/>
  <c r="CN696" i="4"/>
  <c r="BE696" i="4"/>
  <c r="BE697" i="4" s="1"/>
  <c r="BE705" i="4" s="1"/>
  <c r="AD696" i="4"/>
  <c r="AD697" i="4" s="1"/>
  <c r="AD705" i="4" s="1"/>
  <c r="BA696" i="4"/>
  <c r="BA866" i="4" s="1"/>
  <c r="BV696" i="4"/>
  <c r="BV827" i="4" s="1"/>
  <c r="AA696" i="4"/>
  <c r="AA827" i="4" s="1"/>
  <c r="BD696" i="4"/>
  <c r="BD697" i="4" s="1"/>
  <c r="BD705" i="4" s="1"/>
  <c r="AL696" i="4"/>
  <c r="AL697" i="4" s="1"/>
  <c r="AL705" i="4" s="1"/>
  <c r="AI696" i="4"/>
  <c r="AI827" i="4" s="1"/>
  <c r="AC696" i="4"/>
  <c r="AC697" i="4" s="1"/>
  <c r="AC705" i="4" s="1"/>
  <c r="BL696" i="4"/>
  <c r="AT696" i="4"/>
  <c r="CO696" i="4"/>
  <c r="CO827" i="4" s="1"/>
  <c r="CK696" i="4"/>
  <c r="CH696" i="4"/>
  <c r="Z696" i="4"/>
  <c r="Z697" i="4" s="1"/>
  <c r="Z705" i="4" s="1"/>
  <c r="BH696" i="4"/>
  <c r="BH697" i="4" s="1"/>
  <c r="BH705" i="4" s="1"/>
  <c r="BM696" i="4"/>
  <c r="BM697" i="4" s="1"/>
  <c r="BM705" i="4" s="1"/>
  <c r="AW696" i="4"/>
  <c r="AW697" i="4" s="1"/>
  <c r="AW705" i="4" s="1"/>
  <c r="AZ696" i="4"/>
  <c r="AZ697" i="4" s="1"/>
  <c r="AZ705" i="4" s="1"/>
  <c r="Q696" i="4"/>
  <c r="Q827" i="4" s="1"/>
  <c r="L696" i="4"/>
  <c r="BG696" i="4"/>
  <c r="BG827" i="4" s="1"/>
  <c r="BR696" i="4"/>
  <c r="BR697" i="4" s="1"/>
  <c r="BR705" i="4" s="1"/>
  <c r="X696" i="4"/>
  <c r="AH696" i="4"/>
  <c r="CF696" i="4"/>
  <c r="CF697" i="4" s="1"/>
  <c r="CF705" i="4" s="1"/>
  <c r="Y696" i="4"/>
  <c r="Y827" i="4" s="1"/>
  <c r="AK696" i="4"/>
  <c r="AK827" i="4" s="1"/>
  <c r="AN696" i="4"/>
  <c r="AN697" i="4" s="1"/>
  <c r="AN705" i="4" s="1"/>
  <c r="R696" i="4"/>
  <c r="R827" i="4" s="1"/>
  <c r="BZ696" i="4"/>
  <c r="BZ827" i="4" s="1"/>
  <c r="BP696" i="4"/>
  <c r="BP697" i="4" s="1"/>
  <c r="BP705" i="4" s="1"/>
  <c r="BJ696" i="4"/>
  <c r="BJ697" i="4" s="1"/>
  <c r="BJ705" i="4" s="1"/>
  <c r="BO696" i="4"/>
  <c r="BO697" i="4" s="1"/>
  <c r="BO705" i="4" s="1"/>
  <c r="V696" i="4"/>
  <c r="V827" i="4" s="1"/>
  <c r="AJ696" i="4"/>
  <c r="AJ697" i="4" s="1"/>
  <c r="AJ705" i="4" s="1"/>
  <c r="AM696" i="4"/>
  <c r="AM827" i="4" s="1"/>
  <c r="O696" i="4"/>
  <c r="O697" i="4" s="1"/>
  <c r="O705" i="4" s="1"/>
  <c r="AV696" i="4"/>
  <c r="AV827" i="4" s="1"/>
  <c r="E682" i="4"/>
  <c r="T696" i="4"/>
  <c r="AP696" i="4"/>
  <c r="AP697" i="4" s="1"/>
  <c r="AP705" i="4" s="1"/>
  <c r="M696" i="4"/>
  <c r="M827" i="4" s="1"/>
  <c r="AU696" i="4"/>
  <c r="AU697" i="4" s="1"/>
  <c r="AU705" i="4" s="1"/>
  <c r="CM696" i="4"/>
  <c r="BS696" i="4"/>
  <c r="BS697" i="4" s="1"/>
  <c r="BS705" i="4" s="1"/>
  <c r="BN696" i="4"/>
  <c r="BN697" i="4" s="1"/>
  <c r="BN705" i="4" s="1"/>
  <c r="BF696" i="4"/>
  <c r="AX696" i="4"/>
  <c r="W696" i="4"/>
  <c r="W697" i="4" s="1"/>
  <c r="W705" i="4" s="1"/>
  <c r="CC696" i="4"/>
  <c r="CC697" i="4" s="1"/>
  <c r="CC705" i="4" s="1"/>
  <c r="AF696" i="4"/>
  <c r="AR696" i="4"/>
  <c r="AR827" i="4" s="1"/>
  <c r="AY696" i="4"/>
  <c r="AY697" i="4" s="1"/>
  <c r="AY705" i="4" s="1"/>
  <c r="AO696" i="4"/>
  <c r="AO827" i="4" s="1"/>
  <c r="P696" i="4"/>
  <c r="P827" i="4" s="1"/>
  <c r="BI696" i="4"/>
  <c r="CL696" i="4"/>
  <c r="CL697" i="4" s="1"/>
  <c r="CL705" i="4" s="1"/>
  <c r="CB696" i="4"/>
  <c r="CB827" i="4" s="1"/>
  <c r="BC696" i="4"/>
  <c r="BC697" i="4" s="1"/>
  <c r="BC705" i="4" s="1"/>
  <c r="U696" i="4"/>
  <c r="N696" i="4"/>
  <c r="N827" i="4" s="1"/>
  <c r="CA696" i="4"/>
  <c r="CA697" i="4" s="1"/>
  <c r="CA705" i="4" s="1"/>
  <c r="AB696" i="4"/>
  <c r="BW696" i="4"/>
  <c r="S696" i="4"/>
  <c r="S697" i="4" s="1"/>
  <c r="S705" i="4" s="1"/>
  <c r="BB696" i="4"/>
  <c r="BB697" i="4" s="1"/>
  <c r="BB705" i="4" s="1"/>
  <c r="BX696" i="4"/>
  <c r="BX866" i="4" s="1"/>
  <c r="CD696" i="4"/>
  <c r="CD697" i="4" s="1"/>
  <c r="CD705" i="4" s="1"/>
  <c r="CI696" i="4"/>
  <c r="CI697" i="4" s="1"/>
  <c r="CI705" i="4" s="1"/>
  <c r="AS696" i="4"/>
  <c r="AS697" i="4" s="1"/>
  <c r="AS705" i="4" s="1"/>
  <c r="BY696" i="4"/>
  <c r="BY827" i="4" s="1"/>
  <c r="CJ696" i="4"/>
  <c r="CJ697" i="4" s="1"/>
  <c r="CJ705" i="4" s="1"/>
  <c r="BU696" i="4"/>
  <c r="BU827" i="4" s="1"/>
  <c r="BQ696" i="4"/>
  <c r="CE696" i="4"/>
  <c r="CE697" i="4" s="1"/>
  <c r="CE705" i="4" s="1"/>
  <c r="AQ696" i="4"/>
  <c r="BK696" i="4"/>
  <c r="BK697" i="4" s="1"/>
  <c r="BK705" i="4" s="1"/>
  <c r="CB892" i="4"/>
  <c r="AB833" i="4"/>
  <c r="AN892" i="4"/>
  <c r="BC893" i="4"/>
  <c r="BV893" i="4"/>
  <c r="AB835" i="4"/>
  <c r="AB834" i="4"/>
  <c r="I887" i="4"/>
  <c r="BZ892" i="4"/>
  <c r="BZ828" i="4"/>
  <c r="BZ706" i="4"/>
  <c r="AO706" i="4"/>
  <c r="AO828" i="4"/>
  <c r="AG697" i="4"/>
  <c r="AG705" i="4" s="1"/>
  <c r="AG827" i="4"/>
  <c r="Z828" i="4"/>
  <c r="Z706" i="4"/>
  <c r="CI828" i="4"/>
  <c r="CI706" i="4"/>
  <c r="P828" i="4"/>
  <c r="P706" i="4"/>
  <c r="BX706" i="4"/>
  <c r="BX828" i="4"/>
  <c r="AU828" i="4"/>
  <c r="AU706" i="4"/>
  <c r="BV828" i="4"/>
  <c r="BV706" i="4"/>
  <c r="BA828" i="4"/>
  <c r="BA706" i="4"/>
  <c r="BR828" i="4"/>
  <c r="BR706" i="4"/>
  <c r="BY828" i="4"/>
  <c r="BY706" i="4"/>
  <c r="AO834" i="4" l="1"/>
  <c r="AO833" i="4"/>
  <c r="AO835" i="4"/>
  <c r="BU835" i="4"/>
  <c r="BU834" i="4"/>
  <c r="BU833" i="4"/>
  <c r="BN836" i="4"/>
  <c r="BN834" i="4"/>
  <c r="BN835" i="4"/>
  <c r="BK834" i="4"/>
  <c r="AF835" i="4"/>
  <c r="AF834" i="4"/>
  <c r="AF833" i="4"/>
  <c r="CI835" i="4"/>
  <c r="BK836" i="4"/>
  <c r="BK835" i="4"/>
  <c r="S833" i="4"/>
  <c r="S836" i="4"/>
  <c r="S835" i="4"/>
  <c r="CJ834" i="4"/>
  <c r="CJ833" i="4"/>
  <c r="CJ835" i="4"/>
  <c r="CI836" i="4"/>
  <c r="CI833" i="4"/>
  <c r="BE836" i="4"/>
  <c r="BE833" i="4"/>
  <c r="BE834" i="4"/>
  <c r="BN706" i="4"/>
  <c r="BN707" i="4" s="1"/>
  <c r="N835" i="4"/>
  <c r="N836" i="4"/>
  <c r="N834" i="4"/>
  <c r="AT836" i="4"/>
  <c r="CL828" i="4"/>
  <c r="CL848" i="4" s="1"/>
  <c r="AT833" i="4"/>
  <c r="AT835" i="4"/>
  <c r="BJ706" i="4"/>
  <c r="BJ707" i="4" s="1"/>
  <c r="S706" i="4"/>
  <c r="S707" i="4" s="1"/>
  <c r="AK833" i="4"/>
  <c r="V828" i="4"/>
  <c r="V849" i="4" s="1"/>
  <c r="AK836" i="4"/>
  <c r="BU706" i="4"/>
  <c r="Q706" i="4"/>
  <c r="BF828" i="4"/>
  <c r="BF849" i="4" s="1"/>
  <c r="BM834" i="4"/>
  <c r="BM833" i="4"/>
  <c r="BG828" i="4"/>
  <c r="BG849" i="4" s="1"/>
  <c r="BK828" i="4"/>
  <c r="BK849" i="4" s="1"/>
  <c r="CM828" i="4"/>
  <c r="CM849" i="4" s="1"/>
  <c r="BM835" i="4"/>
  <c r="AK834" i="4"/>
  <c r="CL833" i="4"/>
  <c r="BP706" i="4"/>
  <c r="BP707" i="4" s="1"/>
  <c r="BL706" i="4"/>
  <c r="AR706" i="4"/>
  <c r="BT828" i="4"/>
  <c r="BT849" i="4" s="1"/>
  <c r="L706" i="4"/>
  <c r="AF706" i="4"/>
  <c r="CA828" i="4"/>
  <c r="CA849" i="4" s="1"/>
  <c r="T706" i="4"/>
  <c r="L753" i="4"/>
  <c r="L757" i="4" s="1"/>
  <c r="L966" i="4" s="1"/>
  <c r="BD706" i="4"/>
  <c r="BD707" i="4" s="1"/>
  <c r="CJ828" i="4"/>
  <c r="CJ848" i="4" s="1"/>
  <c r="AF866" i="4"/>
  <c r="AF869" i="4" s="1"/>
  <c r="CB706" i="4"/>
  <c r="BT834" i="4"/>
  <c r="BT836" i="4"/>
  <c r="CO828" i="4"/>
  <c r="CO849" i="4" s="1"/>
  <c r="BT835" i="4"/>
  <c r="T753" i="4"/>
  <c r="T757" i="4" s="1"/>
  <c r="T966" i="4" s="1"/>
  <c r="T967" i="4" s="1"/>
  <c r="T968" i="4" s="1"/>
  <c r="AL836" i="4"/>
  <c r="AL835" i="4"/>
  <c r="AN706" i="4"/>
  <c r="AN707" i="4" s="1"/>
  <c r="CE828" i="4"/>
  <c r="CE848" i="4" s="1"/>
  <c r="AL833" i="4"/>
  <c r="CH828" i="4"/>
  <c r="CH849" i="4" s="1"/>
  <c r="AT828" i="4"/>
  <c r="AT849" i="4" s="1"/>
  <c r="N706" i="4"/>
  <c r="CH753" i="4"/>
  <c r="CH757" i="4" s="1"/>
  <c r="CH966" i="4" s="1"/>
  <c r="CH967" i="4" s="1"/>
  <c r="CH968" i="4" s="1"/>
  <c r="BM828" i="4"/>
  <c r="BM848" i="4" s="1"/>
  <c r="AC828" i="4"/>
  <c r="AC848" i="4" s="1"/>
  <c r="AJ706" i="4"/>
  <c r="M828" i="4"/>
  <c r="M848" i="4" s="1"/>
  <c r="AP706" i="4"/>
  <c r="AP707" i="4" s="1"/>
  <c r="AT866" i="4"/>
  <c r="AT868" i="4" s="1"/>
  <c r="AL706" i="4"/>
  <c r="AL707" i="4" s="1"/>
  <c r="BS828" i="4"/>
  <c r="BS849" i="4" s="1"/>
  <c r="AI706" i="4"/>
  <c r="AQ828" i="4"/>
  <c r="AQ848" i="4" s="1"/>
  <c r="AI866" i="4"/>
  <c r="AI871" i="4" s="1"/>
  <c r="BH706" i="4"/>
  <c r="BH707" i="4" s="1"/>
  <c r="BE706" i="4"/>
  <c r="BE707" i="4" s="1"/>
  <c r="CK706" i="4"/>
  <c r="AE753" i="4"/>
  <c r="AE757" i="4" s="1"/>
  <c r="AE966" i="4" s="1"/>
  <c r="AE967" i="4" s="1"/>
  <c r="AE968" i="4" s="1"/>
  <c r="AE828" i="4"/>
  <c r="AE849" i="4" s="1"/>
  <c r="AQ866" i="4"/>
  <c r="AQ870" i="4" s="1"/>
  <c r="CK866" i="4"/>
  <c r="CK871" i="4" s="1"/>
  <c r="W706" i="4"/>
  <c r="W707" i="4" s="1"/>
  <c r="AV828" i="4"/>
  <c r="AV849" i="4" s="1"/>
  <c r="AZ706" i="4"/>
  <c r="AZ707" i="4" s="1"/>
  <c r="AG866" i="4"/>
  <c r="AG871" i="4" s="1"/>
  <c r="AG706" i="4"/>
  <c r="AG707" i="4" s="1"/>
  <c r="AG753" i="4"/>
  <c r="AG757" i="4" s="1"/>
  <c r="AG966" i="4" s="1"/>
  <c r="AG967" i="4" s="1"/>
  <c r="AG968" i="4" s="1"/>
  <c r="R706" i="4"/>
  <c r="CL835" i="4"/>
  <c r="CL834" i="4"/>
  <c r="CN753" i="4"/>
  <c r="CN757" i="4" s="1"/>
  <c r="CN966" i="4" s="1"/>
  <c r="CN967" i="4" s="1"/>
  <c r="CN968" i="4" s="1"/>
  <c r="CN706" i="4"/>
  <c r="BQ706" i="4"/>
  <c r="AX828" i="4"/>
  <c r="AX849" i="4" s="1"/>
  <c r="BT866" i="4"/>
  <c r="BT872" i="4" s="1"/>
  <c r="AL827" i="4"/>
  <c r="AL839" i="4" s="1"/>
  <c r="CA753" i="4"/>
  <c r="CA757" i="4" s="1"/>
  <c r="CA966" i="4" s="1"/>
  <c r="CA967" i="4" s="1"/>
  <c r="CA968" i="4" s="1"/>
  <c r="BI706" i="4"/>
  <c r="Y706" i="4"/>
  <c r="CC706" i="4"/>
  <c r="CC707" i="4" s="1"/>
  <c r="BQ866" i="4"/>
  <c r="BQ871" i="4" s="1"/>
  <c r="BC828" i="4"/>
  <c r="BC849" i="4" s="1"/>
  <c r="BI753" i="4"/>
  <c r="BI757" i="4" s="1"/>
  <c r="BI966" i="4" s="1"/>
  <c r="BI967" i="4" s="1"/>
  <c r="BI968" i="4" s="1"/>
  <c r="AX866" i="4"/>
  <c r="AX872" i="4" s="1"/>
  <c r="X753" i="4"/>
  <c r="X757" i="4" s="1"/>
  <c r="X966" i="4" s="1"/>
  <c r="X967" i="4" s="1"/>
  <c r="X968" i="4" s="1"/>
  <c r="BW828" i="4"/>
  <c r="BW848" i="4" s="1"/>
  <c r="AK828" i="4"/>
  <c r="AK849" i="4" s="1"/>
  <c r="AA828" i="4"/>
  <c r="AA848" i="4" s="1"/>
  <c r="X828" i="4"/>
  <c r="X848" i="4" s="1"/>
  <c r="BW753" i="4"/>
  <c r="BW757" i="4" s="1"/>
  <c r="BW966" i="4" s="1"/>
  <c r="BW967" i="4" s="1"/>
  <c r="BW968" i="4" s="1"/>
  <c r="AH753" i="4"/>
  <c r="AH757" i="4" s="1"/>
  <c r="AH966" i="4" s="1"/>
  <c r="AH967" i="4" s="1"/>
  <c r="AH968" i="4" s="1"/>
  <c r="AH706" i="4"/>
  <c r="X866" i="4"/>
  <c r="X872" i="4" s="1"/>
  <c r="I700" i="4"/>
  <c r="CF828" i="4"/>
  <c r="CF848" i="4" s="1"/>
  <c r="BB828" i="4"/>
  <c r="BB848" i="4" s="1"/>
  <c r="AY706" i="4"/>
  <c r="AY707" i="4" s="1"/>
  <c r="AM706" i="4"/>
  <c r="BL753" i="4"/>
  <c r="BL757" i="4" s="1"/>
  <c r="BL966" i="4" s="1"/>
  <c r="BL967" i="4" s="1"/>
  <c r="BL968" i="4" s="1"/>
  <c r="U706" i="4"/>
  <c r="CG706" i="4"/>
  <c r="O706" i="4"/>
  <c r="O707" i="4" s="1"/>
  <c r="AS706" i="4"/>
  <c r="CD706" i="4"/>
  <c r="CD707" i="4" s="1"/>
  <c r="U866" i="4"/>
  <c r="U870" i="4" s="1"/>
  <c r="AW706" i="4"/>
  <c r="BO706" i="4"/>
  <c r="BO707" i="4" s="1"/>
  <c r="Q836" i="4"/>
  <c r="AB706" i="4"/>
  <c r="AB753" i="4"/>
  <c r="AB757" i="4" s="1"/>
  <c r="AB966" i="4" s="1"/>
  <c r="AB967" i="4" s="1"/>
  <c r="AB968" i="4" s="1"/>
  <c r="BF753" i="4"/>
  <c r="BF757" i="4" s="1"/>
  <c r="BF966" i="4" s="1"/>
  <c r="BF967" i="4" s="1"/>
  <c r="BF968" i="4" s="1"/>
  <c r="BP753" i="4"/>
  <c r="BP757" i="4" s="1"/>
  <c r="BP966" i="4" s="1"/>
  <c r="BP967" i="4" s="1"/>
  <c r="BP968" i="4" s="1"/>
  <c r="BF827" i="4"/>
  <c r="BF840" i="4" s="1"/>
  <c r="AD706" i="4"/>
  <c r="AD707" i="4" s="1"/>
  <c r="CM753" i="4"/>
  <c r="CM757" i="4" s="1"/>
  <c r="CM966" i="4" s="1"/>
  <c r="CM967" i="4" s="1"/>
  <c r="CM968" i="4" s="1"/>
  <c r="BT753" i="4"/>
  <c r="BT757" i="4" s="1"/>
  <c r="BT966" i="4" s="1"/>
  <c r="BT967" i="4" s="1"/>
  <c r="BT968" i="4" s="1"/>
  <c r="BT827" i="4"/>
  <c r="BT841" i="4" s="1"/>
  <c r="AL753" i="4"/>
  <c r="AL757" i="4" s="1"/>
  <c r="AL966" i="4" s="1"/>
  <c r="AL967" i="4" s="1"/>
  <c r="AL968" i="4" s="1"/>
  <c r="AL866" i="4"/>
  <c r="AL872" i="4" s="1"/>
  <c r="Z827" i="4"/>
  <c r="Z841" i="4" s="1"/>
  <c r="BJ866" i="4"/>
  <c r="BJ870" i="4" s="1"/>
  <c r="T827" i="4"/>
  <c r="T839" i="4" s="1"/>
  <c r="BJ753" i="4"/>
  <c r="BJ757" i="4" s="1"/>
  <c r="BJ966" i="4" s="1"/>
  <c r="BJ967" i="4" s="1"/>
  <c r="BJ968" i="4" s="1"/>
  <c r="I832" i="4"/>
  <c r="I831" i="4"/>
  <c r="O827" i="4"/>
  <c r="O839" i="4" s="1"/>
  <c r="AR836" i="4"/>
  <c r="AE697" i="4"/>
  <c r="AE705" i="4" s="1"/>
  <c r="AE762" i="4" s="1"/>
  <c r="Q835" i="4"/>
  <c r="Q833" i="4"/>
  <c r="AR834" i="4"/>
  <c r="AR835" i="4"/>
  <c r="CM836" i="4"/>
  <c r="CM834" i="4"/>
  <c r="CM835" i="4"/>
  <c r="CM833" i="4"/>
  <c r="AA836" i="4"/>
  <c r="AA835" i="4"/>
  <c r="AA834" i="4"/>
  <c r="AA833" i="4"/>
  <c r="BP836" i="4"/>
  <c r="BP834" i="4"/>
  <c r="BP833" i="4"/>
  <c r="BP835" i="4"/>
  <c r="BX833" i="4"/>
  <c r="BX835" i="4"/>
  <c r="BX836" i="4"/>
  <c r="BX834" i="4"/>
  <c r="BH836" i="4"/>
  <c r="BH833" i="4"/>
  <c r="BH834" i="4"/>
  <c r="BH835" i="4"/>
  <c r="Z835" i="4"/>
  <c r="Z833" i="4"/>
  <c r="Z836" i="4"/>
  <c r="Z834" i="4"/>
  <c r="AI836" i="4"/>
  <c r="AI835" i="4"/>
  <c r="AI834" i="4"/>
  <c r="AI833" i="4"/>
  <c r="BO834" i="4"/>
  <c r="BO836" i="4"/>
  <c r="BO833" i="4"/>
  <c r="BO835" i="4"/>
  <c r="CG835" i="4"/>
  <c r="CG836" i="4"/>
  <c r="CG834" i="4"/>
  <c r="CG833" i="4"/>
  <c r="CD836" i="4"/>
  <c r="CD835" i="4"/>
  <c r="CD833" i="4"/>
  <c r="CD834" i="4"/>
  <c r="AS835" i="4"/>
  <c r="AS834" i="4"/>
  <c r="AS836" i="4"/>
  <c r="AS833" i="4"/>
  <c r="BA833" i="4"/>
  <c r="BA836" i="4"/>
  <c r="BA835" i="4"/>
  <c r="BA834" i="4"/>
  <c r="CC836" i="4"/>
  <c r="CC833" i="4"/>
  <c r="CC834" i="4"/>
  <c r="CC835" i="4"/>
  <c r="BY835" i="4"/>
  <c r="BY833" i="4"/>
  <c r="BY836" i="4"/>
  <c r="BY834" i="4"/>
  <c r="AC835" i="4"/>
  <c r="AC833" i="4"/>
  <c r="AC836" i="4"/>
  <c r="AC834" i="4"/>
  <c r="AY834" i="4"/>
  <c r="AY833" i="4"/>
  <c r="AY835" i="4"/>
  <c r="AY836" i="4"/>
  <c r="CN834" i="4"/>
  <c r="CN836" i="4"/>
  <c r="CN835" i="4"/>
  <c r="CN833" i="4"/>
  <c r="BM753" i="4"/>
  <c r="BM757" i="4" s="1"/>
  <c r="BM966" i="4" s="1"/>
  <c r="BM967" i="4" s="1"/>
  <c r="BM968" i="4" s="1"/>
  <c r="BE753" i="4"/>
  <c r="BE757" i="4" s="1"/>
  <c r="BE966" i="4" s="1"/>
  <c r="BE967" i="4" s="1"/>
  <c r="BE968" i="4" s="1"/>
  <c r="BF697" i="4"/>
  <c r="BF705" i="4" s="1"/>
  <c r="BF762" i="4" s="1"/>
  <c r="BD753" i="4"/>
  <c r="BD757" i="4" s="1"/>
  <c r="BD966" i="4" s="1"/>
  <c r="BD967" i="4" s="1"/>
  <c r="BD968" i="4" s="1"/>
  <c r="BD827" i="4"/>
  <c r="BD840" i="4" s="1"/>
  <c r="BD866" i="4"/>
  <c r="BD871" i="4" s="1"/>
  <c r="AE866" i="4"/>
  <c r="AE870" i="4" s="1"/>
  <c r="AE827" i="4"/>
  <c r="AE839" i="4" s="1"/>
  <c r="AH866" i="4"/>
  <c r="AH870" i="4" s="1"/>
  <c r="BP827" i="4"/>
  <c r="BP841" i="4" s="1"/>
  <c r="BE827" i="4"/>
  <c r="BE839" i="4" s="1"/>
  <c r="BE866" i="4"/>
  <c r="BE868" i="4" s="1"/>
  <c r="BH866" i="4"/>
  <c r="BH870" i="4" s="1"/>
  <c r="AC753" i="4"/>
  <c r="AC757" i="4" s="1"/>
  <c r="AC966" i="4" s="1"/>
  <c r="AC967" i="4" s="1"/>
  <c r="AC968" i="4" s="1"/>
  <c r="X827" i="4"/>
  <c r="X841" i="4" s="1"/>
  <c r="AH827" i="4"/>
  <c r="AH839" i="4" s="1"/>
  <c r="X697" i="4"/>
  <c r="X705" i="4" s="1"/>
  <c r="X762" i="4" s="1"/>
  <c r="AH697" i="4"/>
  <c r="AH705" i="4" s="1"/>
  <c r="AH762" i="4" s="1"/>
  <c r="BH753" i="4"/>
  <c r="BH757" i="4" s="1"/>
  <c r="BH966" i="4" s="1"/>
  <c r="BH967" i="4" s="1"/>
  <c r="BH968" i="4" s="1"/>
  <c r="AC827" i="4"/>
  <c r="AC840" i="4" s="1"/>
  <c r="T866" i="4"/>
  <c r="T870" i="4" s="1"/>
  <c r="BH827" i="4"/>
  <c r="BH839" i="4" s="1"/>
  <c r="BF866" i="4"/>
  <c r="BF870" i="4" s="1"/>
  <c r="T697" i="4"/>
  <c r="T705" i="4" s="1"/>
  <c r="T762" i="4" s="1"/>
  <c r="AI753" i="4"/>
  <c r="AI757" i="4" s="1"/>
  <c r="AI966" i="4" s="1"/>
  <c r="AI967" i="4" s="1"/>
  <c r="AI968" i="4" s="1"/>
  <c r="CN866" i="4"/>
  <c r="CN870" i="4" s="1"/>
  <c r="BP866" i="4"/>
  <c r="BP868" i="4" s="1"/>
  <c r="AI697" i="4"/>
  <c r="AI705" i="4" s="1"/>
  <c r="AI762" i="4" s="1"/>
  <c r="CN697" i="4"/>
  <c r="CN705" i="4" s="1"/>
  <c r="CN827" i="4"/>
  <c r="CN841" i="4" s="1"/>
  <c r="BL697" i="4"/>
  <c r="BL705" i="4" s="1"/>
  <c r="BL762" i="4" s="1"/>
  <c r="AB827" i="4"/>
  <c r="AB840" i="4" s="1"/>
  <c r="AB697" i="4"/>
  <c r="AB705" i="4" s="1"/>
  <c r="AB762" i="4" s="1"/>
  <c r="AX827" i="4"/>
  <c r="AX841" i="4" s="1"/>
  <c r="AX697" i="4"/>
  <c r="AX705" i="4" s="1"/>
  <c r="AX762" i="4" s="1"/>
  <c r="AB866" i="4"/>
  <c r="AB872" i="4" s="1"/>
  <c r="CF827" i="4"/>
  <c r="CF841" i="4" s="1"/>
  <c r="BO866" i="4"/>
  <c r="BO869" i="4" s="1"/>
  <c r="BY697" i="4"/>
  <c r="BY705" i="4" s="1"/>
  <c r="BY762" i="4" s="1"/>
  <c r="AW866" i="4"/>
  <c r="AW870" i="4" s="1"/>
  <c r="P753" i="4"/>
  <c r="P757" i="4" s="1"/>
  <c r="P966" i="4" s="1"/>
  <c r="P967" i="4" s="1"/>
  <c r="P968" i="4" s="1"/>
  <c r="P697" i="4"/>
  <c r="P705" i="4" s="1"/>
  <c r="P762" i="4" s="1"/>
  <c r="BY866" i="4"/>
  <c r="BY869" i="4" s="1"/>
  <c r="BY753" i="4"/>
  <c r="BY757" i="4" s="1"/>
  <c r="BY966" i="4" s="1"/>
  <c r="BY967" i="4" s="1"/>
  <c r="BY968" i="4" s="1"/>
  <c r="P866" i="4"/>
  <c r="P869" i="4" s="1"/>
  <c r="AF697" i="4"/>
  <c r="AF705" i="4" s="1"/>
  <c r="S827" i="4"/>
  <c r="S841" i="4" s="1"/>
  <c r="BM866" i="4"/>
  <c r="BM871" i="4" s="1"/>
  <c r="AC866" i="4"/>
  <c r="AC868" i="4" s="1"/>
  <c r="BQ697" i="4"/>
  <c r="BQ705" i="4" s="1"/>
  <c r="BQ762" i="4" s="1"/>
  <c r="BJ827" i="4"/>
  <c r="BJ839" i="4" s="1"/>
  <c r="BM827" i="4"/>
  <c r="BM839" i="4" s="1"/>
  <c r="BI866" i="4"/>
  <c r="BI871" i="4" s="1"/>
  <c r="AX753" i="4"/>
  <c r="AX757" i="4" s="1"/>
  <c r="AX966" i="4" s="1"/>
  <c r="AX967" i="4" s="1"/>
  <c r="AX968" i="4" s="1"/>
  <c r="BI827" i="4"/>
  <c r="BI840" i="4" s="1"/>
  <c r="BI697" i="4"/>
  <c r="BI705" i="4" s="1"/>
  <c r="BI762" i="4" s="1"/>
  <c r="CL827" i="4"/>
  <c r="CL840" i="4" s="1"/>
  <c r="CF866" i="4"/>
  <c r="CF871" i="4" s="1"/>
  <c r="AW827" i="4"/>
  <c r="AW840" i="4" s="1"/>
  <c r="AP866" i="4"/>
  <c r="AP870" i="4" s="1"/>
  <c r="CG827" i="4"/>
  <c r="CG840" i="4" s="1"/>
  <c r="CG753" i="4"/>
  <c r="CG757" i="4" s="1"/>
  <c r="CG966" i="4" s="1"/>
  <c r="CG967" i="4" s="1"/>
  <c r="CG968" i="4" s="1"/>
  <c r="CG866" i="4"/>
  <c r="CG870" i="4" s="1"/>
  <c r="AD827" i="4"/>
  <c r="AD841" i="4" s="1"/>
  <c r="W866" i="4"/>
  <c r="W870" i="4" s="1"/>
  <c r="L866" i="4"/>
  <c r="L869" i="4" s="1"/>
  <c r="AP827" i="4"/>
  <c r="AP839" i="4" s="1"/>
  <c r="W827" i="4"/>
  <c r="W840" i="4" s="1"/>
  <c r="BL827" i="4"/>
  <c r="BL841" i="4" s="1"/>
  <c r="AT827" i="4"/>
  <c r="AT841" i="4" s="1"/>
  <c r="BA697" i="4"/>
  <c r="BA705" i="4" s="1"/>
  <c r="Y866" i="4"/>
  <c r="Y871" i="4" s="1"/>
  <c r="AZ827" i="4"/>
  <c r="AZ840" i="4" s="1"/>
  <c r="AT753" i="4"/>
  <c r="AT757" i="4" s="1"/>
  <c r="AT966" i="4" s="1"/>
  <c r="AT967" i="4" s="1"/>
  <c r="AT968" i="4" s="1"/>
  <c r="CC827" i="4"/>
  <c r="CC841" i="4" s="1"/>
  <c r="BA827" i="4"/>
  <c r="BA841" i="4" s="1"/>
  <c r="BQ827" i="4"/>
  <c r="BQ839" i="4" s="1"/>
  <c r="Y753" i="4"/>
  <c r="Y757" i="4" s="1"/>
  <c r="Y966" i="4" s="1"/>
  <c r="Y967" i="4" s="1"/>
  <c r="Y968" i="4" s="1"/>
  <c r="M753" i="4"/>
  <c r="M757" i="4" s="1"/>
  <c r="M966" i="4" s="1"/>
  <c r="M967" i="4" s="1"/>
  <c r="M968" i="4" s="1"/>
  <c r="AT697" i="4"/>
  <c r="AT705" i="4" s="1"/>
  <c r="AT762" i="4" s="1"/>
  <c r="BB866" i="4"/>
  <c r="BB870" i="4" s="1"/>
  <c r="M866" i="4"/>
  <c r="M871" i="4" s="1"/>
  <c r="V753" i="4"/>
  <c r="V757" i="4" s="1"/>
  <c r="V966" i="4" s="1"/>
  <c r="V967" i="4" s="1"/>
  <c r="V968" i="4" s="1"/>
  <c r="BB753" i="4"/>
  <c r="BB757" i="4" s="1"/>
  <c r="BB966" i="4" s="1"/>
  <c r="BB967" i="4" s="1"/>
  <c r="BB968" i="4" s="1"/>
  <c r="CB866" i="4"/>
  <c r="CB868" i="4" s="1"/>
  <c r="Y697" i="4"/>
  <c r="Y705" i="4" s="1"/>
  <c r="Y762" i="4" s="1"/>
  <c r="M697" i="4"/>
  <c r="M705" i="4" s="1"/>
  <c r="M762" i="4" s="1"/>
  <c r="V866" i="4"/>
  <c r="V869" i="4" s="1"/>
  <c r="BB827" i="4"/>
  <c r="BB841" i="4" s="1"/>
  <c r="CB753" i="4"/>
  <c r="CB757" i="4" s="1"/>
  <c r="CB966" i="4" s="1"/>
  <c r="CB967" i="4" s="1"/>
  <c r="CB968" i="4" s="1"/>
  <c r="AZ753" i="4"/>
  <c r="AZ757" i="4" s="1"/>
  <c r="AZ966" i="4" s="1"/>
  <c r="AZ967" i="4" s="1"/>
  <c r="AZ968" i="4" s="1"/>
  <c r="V697" i="4"/>
  <c r="V705" i="4" s="1"/>
  <c r="V762" i="4" s="1"/>
  <c r="CC753" i="4"/>
  <c r="CC757" i="4" s="1"/>
  <c r="CC966" i="4" s="1"/>
  <c r="CC967" i="4" s="1"/>
  <c r="CC968" i="4" s="1"/>
  <c r="CB697" i="4"/>
  <c r="CB705" i="4" s="1"/>
  <c r="AZ866" i="4"/>
  <c r="AZ872" i="4" s="1"/>
  <c r="CC866" i="4"/>
  <c r="CC871" i="4" s="1"/>
  <c r="BA753" i="4"/>
  <c r="BA757" i="4" s="1"/>
  <c r="BA966" i="4" s="1"/>
  <c r="BA967" i="4" s="1"/>
  <c r="BA968" i="4" s="1"/>
  <c r="BQ753" i="4"/>
  <c r="BQ757" i="4" s="1"/>
  <c r="BQ966" i="4" s="1"/>
  <c r="BQ967" i="4" s="1"/>
  <c r="BQ968" i="4" s="1"/>
  <c r="BU697" i="4"/>
  <c r="BU705" i="4" s="1"/>
  <c r="BU762" i="4" s="1"/>
  <c r="CK753" i="4"/>
  <c r="CK757" i="4" s="1"/>
  <c r="CK966" i="4" s="1"/>
  <c r="CK967" i="4" s="1"/>
  <c r="CK968" i="4" s="1"/>
  <c r="AN866" i="4"/>
  <c r="AN871" i="4" s="1"/>
  <c r="CJ866" i="4"/>
  <c r="CJ871" i="4" s="1"/>
  <c r="AK866" i="4"/>
  <c r="AK868" i="4" s="1"/>
  <c r="AJ866" i="4"/>
  <c r="AJ871" i="4" s="1"/>
  <c r="AN753" i="4"/>
  <c r="AN757" i="4" s="1"/>
  <c r="AN966" i="4" s="1"/>
  <c r="AN967" i="4" s="1"/>
  <c r="AN968" i="4" s="1"/>
  <c r="CK697" i="4"/>
  <c r="CK705" i="4" s="1"/>
  <c r="AR753" i="4"/>
  <c r="AR757" i="4" s="1"/>
  <c r="AR966" i="4" s="1"/>
  <c r="AR967" i="4" s="1"/>
  <c r="AR968" i="4" s="1"/>
  <c r="CD866" i="4"/>
  <c r="CD870" i="4" s="1"/>
  <c r="S866" i="4"/>
  <c r="S870" i="4" s="1"/>
  <c r="AN827" i="4"/>
  <c r="AN841" i="4" s="1"/>
  <c r="CF753" i="4"/>
  <c r="CF757" i="4" s="1"/>
  <c r="CF966" i="4" s="1"/>
  <c r="CF967" i="4" s="1"/>
  <c r="CF968" i="4" s="1"/>
  <c r="L827" i="4"/>
  <c r="L840" i="4" s="1"/>
  <c r="AW753" i="4"/>
  <c r="AW757" i="4" s="1"/>
  <c r="AW966" i="4" s="1"/>
  <c r="AW967" i="4" s="1"/>
  <c r="AW968" i="4" s="1"/>
  <c r="W753" i="4"/>
  <c r="W757" i="4" s="1"/>
  <c r="W966" i="4" s="1"/>
  <c r="W967" i="4" s="1"/>
  <c r="W968" i="4" s="1"/>
  <c r="AP753" i="4"/>
  <c r="AP757" i="4" s="1"/>
  <c r="AP966" i="4" s="1"/>
  <c r="AP967" i="4" s="1"/>
  <c r="AP968" i="4" s="1"/>
  <c r="U753" i="4"/>
  <c r="U757" i="4" s="1"/>
  <c r="U966" i="4" s="1"/>
  <c r="U967" i="4" s="1"/>
  <c r="U968" i="4" s="1"/>
  <c r="CK827" i="4"/>
  <c r="CK840" i="4" s="1"/>
  <c r="AR866" i="4"/>
  <c r="AR869" i="4" s="1"/>
  <c r="CJ753" i="4"/>
  <c r="CJ757" i="4" s="1"/>
  <c r="CJ966" i="4" s="1"/>
  <c r="CJ967" i="4" s="1"/>
  <c r="CJ968" i="4" s="1"/>
  <c r="S753" i="4"/>
  <c r="S757" i="4" s="1"/>
  <c r="S966" i="4" s="1"/>
  <c r="S967" i="4" s="1"/>
  <c r="S968" i="4" s="1"/>
  <c r="CM866" i="4"/>
  <c r="CM872" i="4" s="1"/>
  <c r="AM753" i="4"/>
  <c r="AM757" i="4" s="1"/>
  <c r="AM966" i="4" s="1"/>
  <c r="AM967" i="4" s="1"/>
  <c r="AM968" i="4" s="1"/>
  <c r="BO753" i="4"/>
  <c r="BO757" i="4" s="1"/>
  <c r="BO966" i="4" s="1"/>
  <c r="BO967" i="4" s="1"/>
  <c r="BO968" i="4" s="1"/>
  <c r="U827" i="4"/>
  <c r="U839" i="4" s="1"/>
  <c r="AR697" i="4"/>
  <c r="AR705" i="4" s="1"/>
  <c r="AR762" i="4" s="1"/>
  <c r="AA866" i="4"/>
  <c r="AA868" i="4" s="1"/>
  <c r="CM827" i="4"/>
  <c r="CM841" i="4" s="1"/>
  <c r="AM866" i="4"/>
  <c r="AM871" i="4" s="1"/>
  <c r="BO827" i="4"/>
  <c r="BO839" i="4" s="1"/>
  <c r="U697" i="4"/>
  <c r="U705" i="4" s="1"/>
  <c r="U762" i="4" s="1"/>
  <c r="CO753" i="4"/>
  <c r="CO757" i="4" s="1"/>
  <c r="CO966" i="4" s="1"/>
  <c r="CO967" i="4" s="1"/>
  <c r="CO968" i="4" s="1"/>
  <c r="AD866" i="4"/>
  <c r="AD871" i="4" s="1"/>
  <c r="AA697" i="4"/>
  <c r="AA705" i="4" s="1"/>
  <c r="AA762" i="4" s="1"/>
  <c r="BU866" i="4"/>
  <c r="BU869" i="4" s="1"/>
  <c r="CL753" i="4"/>
  <c r="CL757" i="4" s="1"/>
  <c r="CL966" i="4" s="1"/>
  <c r="CL967" i="4" s="1"/>
  <c r="CL968" i="4" s="1"/>
  <c r="AA753" i="4"/>
  <c r="AA757" i="4" s="1"/>
  <c r="AA966" i="4" s="1"/>
  <c r="AA967" i="4" s="1"/>
  <c r="AA968" i="4" s="1"/>
  <c r="AQ827" i="4"/>
  <c r="AQ840" i="4" s="1"/>
  <c r="CM697" i="4"/>
  <c r="CM705" i="4" s="1"/>
  <c r="CM762" i="4" s="1"/>
  <c r="AM697" i="4"/>
  <c r="AM705" i="4" s="1"/>
  <c r="BL866" i="4"/>
  <c r="BL872" i="4" s="1"/>
  <c r="AD753" i="4"/>
  <c r="AD757" i="4" s="1"/>
  <c r="AD966" i="4" s="1"/>
  <c r="AD967" i="4" s="1"/>
  <c r="AD968" i="4" s="1"/>
  <c r="BU753" i="4"/>
  <c r="BU757" i="4" s="1"/>
  <c r="BU966" i="4" s="1"/>
  <c r="BU967" i="4" s="1"/>
  <c r="BU968" i="4" s="1"/>
  <c r="CL866" i="4"/>
  <c r="CL870" i="4" s="1"/>
  <c r="L697" i="4"/>
  <c r="L705" i="4" s="1"/>
  <c r="AQ697" i="4"/>
  <c r="AQ705" i="4" s="1"/>
  <c r="AQ762" i="4" s="1"/>
  <c r="BX697" i="4"/>
  <c r="BX705" i="4" s="1"/>
  <c r="BX707" i="4" s="1"/>
  <c r="AJ753" i="4"/>
  <c r="AJ757" i="4" s="1"/>
  <c r="AJ966" i="4" s="1"/>
  <c r="AJ967" i="4" s="1"/>
  <c r="AJ968" i="4" s="1"/>
  <c r="CO866" i="4"/>
  <c r="CO869" i="4" s="1"/>
  <c r="BC827" i="4"/>
  <c r="BC841" i="4" s="1"/>
  <c r="BV697" i="4"/>
  <c r="BV705" i="4" s="1"/>
  <c r="BV762" i="4" s="1"/>
  <c r="CE827" i="4"/>
  <c r="CE840" i="4" s="1"/>
  <c r="BX827" i="4"/>
  <c r="BX839" i="4" s="1"/>
  <c r="AF827" i="4"/>
  <c r="AF839" i="4" s="1"/>
  <c r="AJ827" i="4"/>
  <c r="AJ840" i="4" s="1"/>
  <c r="CO697" i="4"/>
  <c r="CO705" i="4" s="1"/>
  <c r="CO762" i="4" s="1"/>
  <c r="Q866" i="4"/>
  <c r="Q869" i="4" s="1"/>
  <c r="AK753" i="4"/>
  <c r="AK757" i="4" s="1"/>
  <c r="AK966" i="4" s="1"/>
  <c r="AK967" i="4" s="1"/>
  <c r="AK968" i="4" s="1"/>
  <c r="AU866" i="4"/>
  <c r="AU870" i="4" s="1"/>
  <c r="AK697" i="4"/>
  <c r="AK705" i="4" s="1"/>
  <c r="Q753" i="4"/>
  <c r="Q757" i="4" s="1"/>
  <c r="Q966" i="4" s="1"/>
  <c r="Q967" i="4" s="1"/>
  <c r="Q968" i="4" s="1"/>
  <c r="AU753" i="4"/>
  <c r="AU757" i="4" s="1"/>
  <c r="AU966" i="4" s="1"/>
  <c r="AU967" i="4" s="1"/>
  <c r="AU968" i="4" s="1"/>
  <c r="Q697" i="4"/>
  <c r="Q705" i="4" s="1"/>
  <c r="Q762" i="4" s="1"/>
  <c r="AU827" i="4"/>
  <c r="AU840" i="4" s="1"/>
  <c r="BC753" i="4"/>
  <c r="BC757" i="4" s="1"/>
  <c r="BC966" i="4" s="1"/>
  <c r="BC967" i="4" s="1"/>
  <c r="BC968" i="4" s="1"/>
  <c r="BV866" i="4"/>
  <c r="BV872" i="4" s="1"/>
  <c r="CE753" i="4"/>
  <c r="CE757" i="4" s="1"/>
  <c r="CE966" i="4" s="1"/>
  <c r="CE967" i="4" s="1"/>
  <c r="CE968" i="4" s="1"/>
  <c r="BC866" i="4"/>
  <c r="BC869" i="4" s="1"/>
  <c r="BV753" i="4"/>
  <c r="BV757" i="4" s="1"/>
  <c r="BV966" i="4" s="1"/>
  <c r="BV967" i="4" s="1"/>
  <c r="BV968" i="4" s="1"/>
  <c r="CE866" i="4"/>
  <c r="CE868" i="4" s="1"/>
  <c r="BX753" i="4"/>
  <c r="BX757" i="4" s="1"/>
  <c r="BX966" i="4" s="1"/>
  <c r="BX967" i="4" s="1"/>
  <c r="BX968" i="4" s="1"/>
  <c r="AF753" i="4"/>
  <c r="AF757" i="4" s="1"/>
  <c r="AF966" i="4" s="1"/>
  <c r="AF967" i="4" s="1"/>
  <c r="AF968" i="4" s="1"/>
  <c r="BG697" i="4"/>
  <c r="BG705" i="4" s="1"/>
  <c r="BG762" i="4" s="1"/>
  <c r="CH697" i="4"/>
  <c r="CH705" i="4" s="1"/>
  <c r="CD753" i="4"/>
  <c r="CD757" i="4" s="1"/>
  <c r="CD966" i="4" s="1"/>
  <c r="CD967" i="4" s="1"/>
  <c r="CD968" i="4" s="1"/>
  <c r="CD827" i="4"/>
  <c r="CD841" i="4" s="1"/>
  <c r="AQ753" i="4"/>
  <c r="AQ757" i="4" s="1"/>
  <c r="AQ966" i="4" s="1"/>
  <c r="AQ967" i="4" s="1"/>
  <c r="AQ968" i="4" s="1"/>
  <c r="R697" i="4"/>
  <c r="R705" i="4" s="1"/>
  <c r="R762" i="4" s="1"/>
  <c r="AY753" i="4"/>
  <c r="AY757" i="4" s="1"/>
  <c r="AY966" i="4" s="1"/>
  <c r="AY967" i="4" s="1"/>
  <c r="AY968" i="4" s="1"/>
  <c r="BS753" i="4"/>
  <c r="BS757" i="4" s="1"/>
  <c r="BS966" i="4" s="1"/>
  <c r="BS967" i="4" s="1"/>
  <c r="BS968" i="4" s="1"/>
  <c r="AY827" i="4"/>
  <c r="AY840" i="4" s="1"/>
  <c r="BS827" i="4"/>
  <c r="BS839" i="4" s="1"/>
  <c r="BK753" i="4"/>
  <c r="BK757" i="4" s="1"/>
  <c r="BK966" i="4" s="1"/>
  <c r="BK967" i="4" s="1"/>
  <c r="BK968" i="4" s="1"/>
  <c r="AV753" i="4"/>
  <c r="AV757" i="4" s="1"/>
  <c r="AV966" i="4" s="1"/>
  <c r="AV967" i="4" s="1"/>
  <c r="AV968" i="4" s="1"/>
  <c r="R753" i="4"/>
  <c r="R757" i="4" s="1"/>
  <c r="R966" i="4" s="1"/>
  <c r="R967" i="4" s="1"/>
  <c r="R968" i="4" s="1"/>
  <c r="O866" i="4"/>
  <c r="O872" i="4" s="1"/>
  <c r="AV866" i="4"/>
  <c r="AV870" i="4" s="1"/>
  <c r="CA866" i="4"/>
  <c r="CA872" i="4" s="1"/>
  <c r="BN753" i="4"/>
  <c r="BN757" i="4" s="1"/>
  <c r="BN966" i="4" s="1"/>
  <c r="BN967" i="4" s="1"/>
  <c r="BN968" i="4" s="1"/>
  <c r="AV697" i="4"/>
  <c r="AV705" i="4" s="1"/>
  <c r="AV707" i="4" s="1"/>
  <c r="CA827" i="4"/>
  <c r="CA841" i="4" s="1"/>
  <c r="AS866" i="4"/>
  <c r="AS868" i="4" s="1"/>
  <c r="BR753" i="4"/>
  <c r="BR757" i="4" s="1"/>
  <c r="BR966" i="4" s="1"/>
  <c r="BR967" i="4" s="1"/>
  <c r="BR968" i="4" s="1"/>
  <c r="BN866" i="4"/>
  <c r="BN868" i="4" s="1"/>
  <c r="AO866" i="4"/>
  <c r="AO871" i="4" s="1"/>
  <c r="AS753" i="4"/>
  <c r="AS757" i="4" s="1"/>
  <c r="AS966" i="4" s="1"/>
  <c r="AS967" i="4" s="1"/>
  <c r="AS968" i="4" s="1"/>
  <c r="BR866" i="4"/>
  <c r="BR870" i="4" s="1"/>
  <c r="BN827" i="4"/>
  <c r="BN840" i="4" s="1"/>
  <c r="BZ866" i="4"/>
  <c r="BZ872" i="4" s="1"/>
  <c r="AO753" i="4"/>
  <c r="AO757" i="4" s="1"/>
  <c r="AO966" i="4" s="1"/>
  <c r="AO967" i="4" s="1"/>
  <c r="AO968" i="4" s="1"/>
  <c r="AS827" i="4"/>
  <c r="AS841" i="4" s="1"/>
  <c r="BZ753" i="4"/>
  <c r="BZ757" i="4" s="1"/>
  <c r="BZ966" i="4" s="1"/>
  <c r="BZ967" i="4" s="1"/>
  <c r="BZ968" i="4" s="1"/>
  <c r="AO697" i="4"/>
  <c r="AO705" i="4" s="1"/>
  <c r="AO707" i="4" s="1"/>
  <c r="Z866" i="4"/>
  <c r="Z871" i="4" s="1"/>
  <c r="BZ697" i="4"/>
  <c r="BZ705" i="4" s="1"/>
  <c r="BZ762" i="4" s="1"/>
  <c r="Z753" i="4"/>
  <c r="Z757" i="4" s="1"/>
  <c r="Z966" i="4" s="1"/>
  <c r="Z967" i="4" s="1"/>
  <c r="Z968" i="4" s="1"/>
  <c r="BR827" i="4"/>
  <c r="BR839" i="4" s="1"/>
  <c r="CJ827" i="4"/>
  <c r="CJ841" i="4" s="1"/>
  <c r="BW827" i="4"/>
  <c r="BW841" i="4" s="1"/>
  <c r="BW866" i="4"/>
  <c r="BW872" i="4" s="1"/>
  <c r="BW697" i="4"/>
  <c r="BW705" i="4" s="1"/>
  <c r="BW707" i="4" s="1"/>
  <c r="N866" i="4"/>
  <c r="N869" i="4" s="1"/>
  <c r="AY866" i="4"/>
  <c r="AY872" i="4" s="1"/>
  <c r="BS866" i="4"/>
  <c r="BS869" i="4" s="1"/>
  <c r="O753" i="4"/>
  <c r="O757" i="4" s="1"/>
  <c r="O966" i="4" s="1"/>
  <c r="O967" i="4" s="1"/>
  <c r="O968" i="4" s="1"/>
  <c r="CH866" i="4"/>
  <c r="CH871" i="4" s="1"/>
  <c r="CI827" i="4"/>
  <c r="CI840" i="4" s="1"/>
  <c r="N753" i="4"/>
  <c r="N757" i="4" s="1"/>
  <c r="N966" i="4" s="1"/>
  <c r="N967" i="4" s="1"/>
  <c r="N968" i="4" s="1"/>
  <c r="CH827" i="4"/>
  <c r="CH841" i="4" s="1"/>
  <c r="BK866" i="4"/>
  <c r="BK872" i="4" s="1"/>
  <c r="N697" i="4"/>
  <c r="N705" i="4" s="1"/>
  <c r="N762" i="4" s="1"/>
  <c r="R866" i="4"/>
  <c r="R872" i="4" s="1"/>
  <c r="BG866" i="4"/>
  <c r="BG871" i="4" s="1"/>
  <c r="I696" i="4"/>
  <c r="BK827" i="4"/>
  <c r="BK841" i="4" s="1"/>
  <c r="BG753" i="4"/>
  <c r="BG757" i="4" s="1"/>
  <c r="BG966" i="4" s="1"/>
  <c r="BG967" i="4" s="1"/>
  <c r="BG968" i="4" s="1"/>
  <c r="CI866" i="4"/>
  <c r="CI871" i="4" s="1"/>
  <c r="CI753" i="4"/>
  <c r="CI757" i="4" s="1"/>
  <c r="CI966" i="4" s="1"/>
  <c r="CI967" i="4" s="1"/>
  <c r="CI968" i="4" s="1"/>
  <c r="I893" i="4"/>
  <c r="I892" i="4"/>
  <c r="R841" i="4"/>
  <c r="R839" i="4"/>
  <c r="R840" i="4"/>
  <c r="AK839" i="4"/>
  <c r="AK841" i="4"/>
  <c r="AK840" i="4"/>
  <c r="CC849" i="4"/>
  <c r="CC848" i="4"/>
  <c r="BG841" i="4"/>
  <c r="BG839" i="4"/>
  <c r="BG840" i="4"/>
  <c r="BA849" i="4"/>
  <c r="BA848" i="4"/>
  <c r="CG848" i="4"/>
  <c r="CG849" i="4"/>
  <c r="BN848" i="4"/>
  <c r="BN849" i="4"/>
  <c r="BK762" i="4"/>
  <c r="BK707" i="4"/>
  <c r="CF762" i="4"/>
  <c r="CF707" i="4"/>
  <c r="AZ762" i="4"/>
  <c r="AY762" i="4"/>
  <c r="W762" i="4"/>
  <c r="BH849" i="4"/>
  <c r="BH848" i="4"/>
  <c r="AU849" i="4"/>
  <c r="AU848" i="4"/>
  <c r="AU762" i="4"/>
  <c r="AU707" i="4"/>
  <c r="M839" i="4"/>
  <c r="M840" i="4"/>
  <c r="M841" i="4"/>
  <c r="AJ762" i="4"/>
  <c r="S849" i="4"/>
  <c r="S848" i="4"/>
  <c r="AW849" i="4"/>
  <c r="AW848" i="4"/>
  <c r="R849" i="4"/>
  <c r="R848" i="4"/>
  <c r="AI848" i="4"/>
  <c r="AI849" i="4"/>
  <c r="AO840" i="4"/>
  <c r="AO841" i="4"/>
  <c r="AO839" i="4"/>
  <c r="P848" i="4"/>
  <c r="P849" i="4"/>
  <c r="AD848" i="4"/>
  <c r="AD849" i="4"/>
  <c r="BO848" i="4"/>
  <c r="BO849" i="4"/>
  <c r="CA762" i="4"/>
  <c r="CA707" i="4"/>
  <c r="AR840" i="4"/>
  <c r="AR841" i="4"/>
  <c r="AR839" i="4"/>
  <c r="BV840" i="4"/>
  <c r="BV839" i="4"/>
  <c r="BV841" i="4"/>
  <c r="CE762" i="4"/>
  <c r="CE707" i="4"/>
  <c r="BX849" i="4"/>
  <c r="BX848" i="4"/>
  <c r="Z762" i="4"/>
  <c r="Z707" i="4"/>
  <c r="BD762" i="4"/>
  <c r="AA840" i="4"/>
  <c r="AA839" i="4"/>
  <c r="AA841" i="4"/>
  <c r="AJ848" i="4"/>
  <c r="AJ849" i="4"/>
  <c r="AH848" i="4"/>
  <c r="AH849" i="4"/>
  <c r="CD762" i="4"/>
  <c r="P839" i="4"/>
  <c r="P840" i="4"/>
  <c r="P841" i="4"/>
  <c r="AL848" i="4"/>
  <c r="AL849" i="4"/>
  <c r="Q849" i="4"/>
  <c r="Q848" i="4"/>
  <c r="BN762" i="4"/>
  <c r="BD849" i="4"/>
  <c r="BD848" i="4"/>
  <c r="CD849" i="4"/>
  <c r="CD848" i="4"/>
  <c r="O762" i="4"/>
  <c r="BJ762" i="4"/>
  <c r="AM848" i="4"/>
  <c r="AM849" i="4"/>
  <c r="BE762" i="4"/>
  <c r="AD762" i="4"/>
  <c r="AN849" i="4"/>
  <c r="AN848" i="4"/>
  <c r="AF849" i="4"/>
  <c r="AF848" i="4"/>
  <c r="AG840" i="4"/>
  <c r="AG841" i="4"/>
  <c r="AG839" i="4"/>
  <c r="AO849" i="4"/>
  <c r="AO848" i="4"/>
  <c r="BU839" i="4"/>
  <c r="BU841" i="4"/>
  <c r="BU840" i="4"/>
  <c r="CI762" i="4"/>
  <c r="CI707" i="4"/>
  <c r="S762" i="4"/>
  <c r="CK849" i="4"/>
  <c r="CK848" i="4"/>
  <c r="N840" i="4"/>
  <c r="N839" i="4"/>
  <c r="N841" i="4"/>
  <c r="CB840" i="4"/>
  <c r="CB839" i="4"/>
  <c r="CB841" i="4"/>
  <c r="Q840" i="4"/>
  <c r="Q839" i="4"/>
  <c r="Q841" i="4"/>
  <c r="BC762" i="4"/>
  <c r="BC707" i="4"/>
  <c r="BT762" i="4"/>
  <c r="BT707" i="4"/>
  <c r="BA871" i="4"/>
  <c r="BA870" i="4"/>
  <c r="BA868" i="4"/>
  <c r="BA869" i="4"/>
  <c r="BA872" i="4"/>
  <c r="AG762" i="4"/>
  <c r="BP849" i="4"/>
  <c r="BP848" i="4"/>
  <c r="AN762" i="4"/>
  <c r="Y841" i="4"/>
  <c r="Y840" i="4"/>
  <c r="Y839" i="4"/>
  <c r="BR762" i="4"/>
  <c r="BR707" i="4"/>
  <c r="BV848" i="4"/>
  <c r="BV849" i="4"/>
  <c r="BE849" i="4"/>
  <c r="BE848" i="4"/>
  <c r="AG848" i="4"/>
  <c r="AG849" i="4"/>
  <c r="AM839" i="4"/>
  <c r="AM840" i="4"/>
  <c r="AM841" i="4"/>
  <c r="BZ840" i="4"/>
  <c r="BZ839" i="4"/>
  <c r="BZ841" i="4"/>
  <c r="L849" i="4"/>
  <c r="L848" i="4"/>
  <c r="AB849" i="4"/>
  <c r="AB848" i="4"/>
  <c r="AY848" i="4"/>
  <c r="AY849" i="4"/>
  <c r="BH762" i="4"/>
  <c r="CO839" i="4"/>
  <c r="CO841" i="4"/>
  <c r="CO840" i="4"/>
  <c r="AC762" i="4"/>
  <c r="AC707" i="4"/>
  <c r="BZ848" i="4"/>
  <c r="BZ849" i="4"/>
  <c r="AS849" i="4"/>
  <c r="AS848" i="4"/>
  <c r="AP849" i="4"/>
  <c r="AP848" i="4"/>
  <c r="BI849" i="4"/>
  <c r="BI848" i="4"/>
  <c r="N848" i="4"/>
  <c r="N849" i="4"/>
  <c r="BR849" i="4"/>
  <c r="BR848" i="4"/>
  <c r="BP762" i="4"/>
  <c r="AI840" i="4"/>
  <c r="AI839" i="4"/>
  <c r="AI841" i="4"/>
  <c r="CC762" i="4"/>
  <c r="CI849" i="4"/>
  <c r="CI848" i="4"/>
  <c r="T849" i="4"/>
  <c r="T848" i="4"/>
  <c r="Z849" i="4"/>
  <c r="Z848" i="4"/>
  <c r="CG762" i="4"/>
  <c r="AS762" i="4"/>
  <c r="O848" i="4"/>
  <c r="O849" i="4"/>
  <c r="BX871" i="4"/>
  <c r="BX872" i="4"/>
  <c r="BX870" i="4"/>
  <c r="BX869" i="4"/>
  <c r="BX868" i="4"/>
  <c r="CL762" i="4"/>
  <c r="CL707" i="4"/>
  <c r="AW762" i="4"/>
  <c r="BY848" i="4"/>
  <c r="BY849" i="4"/>
  <c r="Y849" i="4"/>
  <c r="Y848" i="4"/>
  <c r="BS762" i="4"/>
  <c r="BS707" i="4"/>
  <c r="AP762" i="4"/>
  <c r="AV841" i="4"/>
  <c r="AV839" i="4"/>
  <c r="AV840" i="4"/>
  <c r="CN849" i="4"/>
  <c r="CN848" i="4"/>
  <c r="V841" i="4"/>
  <c r="V840" i="4"/>
  <c r="V839" i="4"/>
  <c r="BO762" i="4"/>
  <c r="U849" i="4"/>
  <c r="U848" i="4"/>
  <c r="BQ849" i="4"/>
  <c r="BQ848" i="4"/>
  <c r="BM707" i="4"/>
  <c r="BM762" i="4"/>
  <c r="CB849" i="4"/>
  <c r="CB848" i="4"/>
  <c r="BL848" i="4"/>
  <c r="BL849" i="4"/>
  <c r="AZ848" i="4"/>
  <c r="AZ849" i="4"/>
  <c r="BU849" i="4"/>
  <c r="BU848" i="4"/>
  <c r="AL762" i="4"/>
  <c r="CJ762" i="4"/>
  <c r="CJ707" i="4"/>
  <c r="BY841" i="4"/>
  <c r="BY840" i="4"/>
  <c r="BY839" i="4"/>
  <c r="BB762" i="4"/>
  <c r="BB707" i="4"/>
  <c r="BJ848" i="4"/>
  <c r="BJ849" i="4"/>
  <c r="AR849" i="4"/>
  <c r="AR848" i="4"/>
  <c r="W848" i="4"/>
  <c r="W849" i="4"/>
  <c r="V848" i="4" l="1"/>
  <c r="CL849" i="4"/>
  <c r="CL853" i="4" s="1"/>
  <c r="BM849" i="4"/>
  <c r="BM852" i="4" s="1"/>
  <c r="AF868" i="4"/>
  <c r="BF848" i="4"/>
  <c r="BQ870" i="4"/>
  <c r="CH848" i="4"/>
  <c r="AG869" i="4"/>
  <c r="AT848" i="4"/>
  <c r="AT872" i="4"/>
  <c r="BS848" i="4"/>
  <c r="CJ849" i="4"/>
  <c r="CJ852" i="4" s="1"/>
  <c r="BG848" i="4"/>
  <c r="BT869" i="4"/>
  <c r="BT848" i="4"/>
  <c r="AQ868" i="4"/>
  <c r="AF871" i="4"/>
  <c r="BK848" i="4"/>
  <c r="AX870" i="4"/>
  <c r="AQ872" i="4"/>
  <c r="AX869" i="4"/>
  <c r="AL840" i="4"/>
  <c r="AI707" i="4"/>
  <c r="AI886" i="4" s="1"/>
  <c r="AQ871" i="4"/>
  <c r="AF872" i="4"/>
  <c r="AX868" i="4"/>
  <c r="AL841" i="4"/>
  <c r="AL843" i="4" s="1"/>
  <c r="AQ869" i="4"/>
  <c r="AF870" i="4"/>
  <c r="AX871" i="4"/>
  <c r="CM848" i="4"/>
  <c r="CE849" i="4"/>
  <c r="CE853" i="4" s="1"/>
  <c r="AV848" i="4"/>
  <c r="CA848" i="4"/>
  <c r="CO848" i="4"/>
  <c r="BQ868" i="4"/>
  <c r="AT871" i="4"/>
  <c r="AG870" i="4"/>
  <c r="AT869" i="4"/>
  <c r="AG872" i="4"/>
  <c r="BQ869" i="4"/>
  <c r="X849" i="4"/>
  <c r="X852" i="4" s="1"/>
  <c r="AT870" i="4"/>
  <c r="AG868" i="4"/>
  <c r="BQ872" i="4"/>
  <c r="T840" i="4"/>
  <c r="AW707" i="4"/>
  <c r="AW886" i="4" s="1"/>
  <c r="BC848" i="4"/>
  <c r="AX848" i="4"/>
  <c r="T841" i="4"/>
  <c r="T844" i="4" s="1"/>
  <c r="AM707" i="4"/>
  <c r="AM886" i="4" s="1"/>
  <c r="AK848" i="4"/>
  <c r="AS707" i="4"/>
  <c r="AS886" i="4" s="1"/>
  <c r="CF849" i="4"/>
  <c r="CF851" i="4" s="1"/>
  <c r="AL869" i="4"/>
  <c r="M849" i="4"/>
  <c r="M851" i="4" s="1"/>
  <c r="AL871" i="4"/>
  <c r="X840" i="4"/>
  <c r="AE869" i="4"/>
  <c r="AL870" i="4"/>
  <c r="AL868" i="4"/>
  <c r="AI868" i="4"/>
  <c r="AJ707" i="4"/>
  <c r="AJ886" i="4" s="1"/>
  <c r="AI872" i="4"/>
  <c r="AI870" i="4"/>
  <c r="AI869" i="4"/>
  <c r="BW849" i="4"/>
  <c r="BW850" i="4" s="1"/>
  <c r="AQ849" i="4"/>
  <c r="AQ853" i="4" s="1"/>
  <c r="CK869" i="4"/>
  <c r="AC849" i="4"/>
  <c r="AC853" i="4" s="1"/>
  <c r="CG707" i="4"/>
  <c r="CG759" i="4" s="1"/>
  <c r="CK870" i="4"/>
  <c r="CK868" i="4"/>
  <c r="BQ840" i="4"/>
  <c r="CK872" i="4"/>
  <c r="BC839" i="4"/>
  <c r="AE848" i="4"/>
  <c r="BT870" i="4"/>
  <c r="BT871" i="4"/>
  <c r="BB849" i="4"/>
  <c r="BB853" i="4" s="1"/>
  <c r="AA849" i="4"/>
  <c r="AA111" i="64" s="1"/>
  <c r="BT868" i="4"/>
  <c r="CN707" i="4"/>
  <c r="CN886" i="4" s="1"/>
  <c r="BT839" i="4"/>
  <c r="X869" i="4"/>
  <c r="BT840" i="4"/>
  <c r="AB707" i="4"/>
  <c r="AB759" i="4" s="1"/>
  <c r="X871" i="4"/>
  <c r="AA707" i="4"/>
  <c r="AA886" i="4" s="1"/>
  <c r="R868" i="4"/>
  <c r="BV869" i="4"/>
  <c r="CK841" i="4"/>
  <c r="CK842" i="4" s="1"/>
  <c r="BH869" i="4"/>
  <c r="X868" i="4"/>
  <c r="T869" i="4"/>
  <c r="X870" i="4"/>
  <c r="P872" i="4"/>
  <c r="CF839" i="4"/>
  <c r="BL839" i="4"/>
  <c r="BI869" i="4"/>
  <c r="BS840" i="4"/>
  <c r="CG841" i="4"/>
  <c r="CG111" i="64" s="1"/>
  <c r="BS870" i="4"/>
  <c r="O840" i="4"/>
  <c r="I706" i="4"/>
  <c r="BH841" i="4"/>
  <c r="BH111" i="64" s="1"/>
  <c r="BD869" i="4"/>
  <c r="I828" i="4"/>
  <c r="BD870" i="4"/>
  <c r="S839" i="4"/>
  <c r="U871" i="4"/>
  <c r="U869" i="4"/>
  <c r="U868" i="4"/>
  <c r="U872" i="4"/>
  <c r="BF841" i="4"/>
  <c r="BF844" i="4" s="1"/>
  <c r="BJ868" i="4"/>
  <c r="Z839" i="4"/>
  <c r="Z840" i="4"/>
  <c r="BD868" i="4"/>
  <c r="BF839" i="4"/>
  <c r="BJ869" i="4"/>
  <c r="BD872" i="4"/>
  <c r="BJ871" i="4"/>
  <c r="CN840" i="4"/>
  <c r="BJ872" i="4"/>
  <c r="CN839" i="4"/>
  <c r="BH840" i="4"/>
  <c r="O841" i="4"/>
  <c r="O844" i="4" s="1"/>
  <c r="AE707" i="4"/>
  <c r="AE886" i="4" s="1"/>
  <c r="BE872" i="4"/>
  <c r="AB869" i="4"/>
  <c r="BE871" i="4"/>
  <c r="AB868" i="4"/>
  <c r="BE870" i="4"/>
  <c r="AB870" i="4"/>
  <c r="AC841" i="4"/>
  <c r="BE869" i="4"/>
  <c r="AB871" i="4"/>
  <c r="AC839" i="4"/>
  <c r="I835" i="4"/>
  <c r="I833" i="4"/>
  <c r="I836" i="4"/>
  <c r="I834" i="4"/>
  <c r="BF707" i="4"/>
  <c r="BF759" i="4" s="1"/>
  <c r="AH840" i="4"/>
  <c r="T707" i="4"/>
  <c r="T759" i="4" s="1"/>
  <c r="BF872" i="4"/>
  <c r="X839" i="4"/>
  <c r="BF868" i="4"/>
  <c r="AE868" i="4"/>
  <c r="AE871" i="4"/>
  <c r="AE872" i="4"/>
  <c r="BL707" i="4"/>
  <c r="BL886" i="4" s="1"/>
  <c r="BF869" i="4"/>
  <c r="BF871" i="4"/>
  <c r="BM868" i="4"/>
  <c r="AE840" i="4"/>
  <c r="AB839" i="4"/>
  <c r="AW872" i="4"/>
  <c r="CN762" i="4"/>
  <c r="BS872" i="4"/>
  <c r="BI707" i="4"/>
  <c r="BI759" i="4" s="1"/>
  <c r="AW871" i="4"/>
  <c r="BH871" i="4"/>
  <c r="AB841" i="4"/>
  <c r="AB844" i="4" s="1"/>
  <c r="T868" i="4"/>
  <c r="AN872" i="4"/>
  <c r="P870" i="4"/>
  <c r="CF840" i="4"/>
  <c r="BQ841" i="4"/>
  <c r="BQ845" i="4" s="1"/>
  <c r="CK839" i="4"/>
  <c r="R871" i="4"/>
  <c r="BM870" i="4"/>
  <c r="AW869" i="4"/>
  <c r="AE841" i="4"/>
  <c r="AE843" i="4" s="1"/>
  <c r="BH868" i="4"/>
  <c r="BI868" i="4"/>
  <c r="P871" i="4"/>
  <c r="BC840" i="4"/>
  <c r="BM869" i="4"/>
  <c r="BH872" i="4"/>
  <c r="BL840" i="4"/>
  <c r="P868" i="4"/>
  <c r="AV762" i="4"/>
  <c r="T871" i="4"/>
  <c r="BD839" i="4"/>
  <c r="CB872" i="4"/>
  <c r="BS841" i="4"/>
  <c r="BS844" i="4" s="1"/>
  <c r="AH841" i="4"/>
  <c r="AH845" i="4" s="1"/>
  <c r="T872" i="4"/>
  <c r="BD841" i="4"/>
  <c r="BD842" i="4" s="1"/>
  <c r="S869" i="4"/>
  <c r="BV870" i="4"/>
  <c r="BS871" i="4"/>
  <c r="S872" i="4"/>
  <c r="BP839" i="4"/>
  <c r="X707" i="4"/>
  <c r="X886" i="4" s="1"/>
  <c r="AH871" i="4"/>
  <c r="AH868" i="4"/>
  <c r="AH872" i="4"/>
  <c r="M870" i="4"/>
  <c r="M872" i="4"/>
  <c r="BQ707" i="4"/>
  <c r="BQ886" i="4" s="1"/>
  <c r="P707" i="4"/>
  <c r="P886" i="4" s="1"/>
  <c r="BP871" i="4"/>
  <c r="BY872" i="4"/>
  <c r="CN871" i="4"/>
  <c r="AH869" i="4"/>
  <c r="BP840" i="4"/>
  <c r="CF868" i="4"/>
  <c r="L868" i="4"/>
  <c r="BE841" i="4"/>
  <c r="BE842" i="4" s="1"/>
  <c r="M869" i="4"/>
  <c r="AP841" i="4"/>
  <c r="AP842" i="4" s="1"/>
  <c r="CF870" i="4"/>
  <c r="L872" i="4"/>
  <c r="AH707" i="4"/>
  <c r="AH759" i="4" s="1"/>
  <c r="BE840" i="4"/>
  <c r="BP872" i="4"/>
  <c r="CN868" i="4"/>
  <c r="AX707" i="4"/>
  <c r="AX886" i="4" s="1"/>
  <c r="AX840" i="4"/>
  <c r="M868" i="4"/>
  <c r="CF869" i="4"/>
  <c r="L871" i="4"/>
  <c r="BP869" i="4"/>
  <c r="CN869" i="4"/>
  <c r="AX839" i="4"/>
  <c r="CA869" i="4"/>
  <c r="CF872" i="4"/>
  <c r="BB840" i="4"/>
  <c r="L870" i="4"/>
  <c r="BP870" i="4"/>
  <c r="CN872" i="4"/>
  <c r="BO868" i="4"/>
  <c r="BO872" i="4"/>
  <c r="BG872" i="4"/>
  <c r="BA762" i="4"/>
  <c r="BO871" i="4"/>
  <c r="BI841" i="4"/>
  <c r="BI842" i="4" s="1"/>
  <c r="BO870" i="4"/>
  <c r="BY707" i="4"/>
  <c r="BY886" i="4" s="1"/>
  <c r="S840" i="4"/>
  <c r="AF707" i="4"/>
  <c r="AF759" i="4" s="1"/>
  <c r="AF762" i="4"/>
  <c r="CB707" i="4"/>
  <c r="CB759" i="4" s="1"/>
  <c r="AW868" i="4"/>
  <c r="W872" i="4"/>
  <c r="BM872" i="4"/>
  <c r="W869" i="4"/>
  <c r="BB869" i="4"/>
  <c r="CL839" i="4"/>
  <c r="BB872" i="4"/>
  <c r="AC869" i="4"/>
  <c r="BB868" i="4"/>
  <c r="AC871" i="4"/>
  <c r="CM870" i="4"/>
  <c r="BB871" i="4"/>
  <c r="CL841" i="4"/>
  <c r="W868" i="4"/>
  <c r="BO841" i="4"/>
  <c r="BO843" i="4" s="1"/>
  <c r="AC872" i="4"/>
  <c r="AZ841" i="4"/>
  <c r="AZ842" i="4" s="1"/>
  <c r="AC870" i="4"/>
  <c r="W871" i="4"/>
  <c r="BB839" i="4"/>
  <c r="AZ839" i="4"/>
  <c r="AF841" i="4"/>
  <c r="AF842" i="4" s="1"/>
  <c r="N868" i="4"/>
  <c r="W841" i="4"/>
  <c r="W111" i="64" s="1"/>
  <c r="AP872" i="4"/>
  <c r="BM841" i="4"/>
  <c r="BM843" i="4" s="1"/>
  <c r="BA840" i="4"/>
  <c r="W839" i="4"/>
  <c r="N707" i="4"/>
  <c r="N886" i="4" s="1"/>
  <c r="BM840" i="4"/>
  <c r="AP868" i="4"/>
  <c r="AP869" i="4"/>
  <c r="AP871" i="4"/>
  <c r="BY871" i="4"/>
  <c r="AM762" i="4"/>
  <c r="CO707" i="4"/>
  <c r="CO886" i="4" s="1"/>
  <c r="BY870" i="4"/>
  <c r="BY868" i="4"/>
  <c r="BJ841" i="4"/>
  <c r="BJ845" i="4" s="1"/>
  <c r="BK869" i="4"/>
  <c r="CC840" i="4"/>
  <c r="Z868" i="4"/>
  <c r="AU841" i="4"/>
  <c r="AU845" i="4" s="1"/>
  <c r="BK868" i="4"/>
  <c r="AP840" i="4"/>
  <c r="CC839" i="4"/>
  <c r="BK870" i="4"/>
  <c r="Z872" i="4"/>
  <c r="AU839" i="4"/>
  <c r="BK871" i="4"/>
  <c r="BU707" i="4"/>
  <c r="BU759" i="4" s="1"/>
  <c r="Z869" i="4"/>
  <c r="N871" i="4"/>
  <c r="Z870" i="4"/>
  <c r="CA871" i="4"/>
  <c r="AW839" i="4"/>
  <c r="N872" i="4"/>
  <c r="CA868" i="4"/>
  <c r="CA870" i="4"/>
  <c r="AW841" i="4"/>
  <c r="AW843" i="4" s="1"/>
  <c r="BJ840" i="4"/>
  <c r="N870" i="4"/>
  <c r="BG869" i="4"/>
  <c r="AN839" i="4"/>
  <c r="CA839" i="4"/>
  <c r="AN840" i="4"/>
  <c r="BU871" i="4"/>
  <c r="BU872" i="4"/>
  <c r="BZ871" i="4"/>
  <c r="BG868" i="4"/>
  <c r="AA871" i="4"/>
  <c r="CA840" i="4"/>
  <c r="CJ869" i="4"/>
  <c r="CB762" i="4"/>
  <c r="BV707" i="4"/>
  <c r="BV886" i="4" s="1"/>
  <c r="BU868" i="4"/>
  <c r="R870" i="4"/>
  <c r="CH707" i="4"/>
  <c r="CH759" i="4" s="1"/>
  <c r="AU868" i="4"/>
  <c r="CJ868" i="4"/>
  <c r="CG839" i="4"/>
  <c r="CG872" i="4"/>
  <c r="BI839" i="4"/>
  <c r="BN841" i="4"/>
  <c r="BN111" i="64" s="1"/>
  <c r="BI870" i="4"/>
  <c r="CB869" i="4"/>
  <c r="AR870" i="4"/>
  <c r="BG870" i="4"/>
  <c r="BV868" i="4"/>
  <c r="BV871" i="4"/>
  <c r="R869" i="4"/>
  <c r="CH762" i="4"/>
  <c r="AU871" i="4"/>
  <c r="CJ870" i="4"/>
  <c r="CG868" i="4"/>
  <c r="BR840" i="4"/>
  <c r="BZ870" i="4"/>
  <c r="BN839" i="4"/>
  <c r="AN868" i="4"/>
  <c r="BI872" i="4"/>
  <c r="CB871" i="4"/>
  <c r="AA869" i="4"/>
  <c r="AR871" i="4"/>
  <c r="BA707" i="4"/>
  <c r="BA886" i="4" s="1"/>
  <c r="AT840" i="4"/>
  <c r="AU869" i="4"/>
  <c r="CJ872" i="4"/>
  <c r="CG869" i="4"/>
  <c r="BR841" i="4"/>
  <c r="BR843" i="4" s="1"/>
  <c r="Y707" i="4"/>
  <c r="Y759" i="4" s="1"/>
  <c r="BZ869" i="4"/>
  <c r="AN870" i="4"/>
  <c r="CB870" i="4"/>
  <c r="AA870" i="4"/>
  <c r="AR872" i="4"/>
  <c r="AT839" i="4"/>
  <c r="AU872" i="4"/>
  <c r="CG871" i="4"/>
  <c r="BS868" i="4"/>
  <c r="AR707" i="4"/>
  <c r="AR759" i="4" s="1"/>
  <c r="BZ868" i="4"/>
  <c r="AN869" i="4"/>
  <c r="BU870" i="4"/>
  <c r="AA872" i="4"/>
  <c r="AR868" i="4"/>
  <c r="S871" i="4"/>
  <c r="Y872" i="4"/>
  <c r="AD839" i="4"/>
  <c r="Y868" i="4"/>
  <c r="AD840" i="4"/>
  <c r="Y870" i="4"/>
  <c r="Y869" i="4"/>
  <c r="AJ868" i="4"/>
  <c r="AT707" i="4"/>
  <c r="AT886" i="4" s="1"/>
  <c r="AJ869" i="4"/>
  <c r="AJ870" i="4"/>
  <c r="V868" i="4"/>
  <c r="AY870" i="4"/>
  <c r="BA839" i="4"/>
  <c r="CD869" i="4"/>
  <c r="V707" i="4"/>
  <c r="V886" i="4" s="1"/>
  <c r="AD868" i="4"/>
  <c r="CD868" i="4"/>
  <c r="Q870" i="4"/>
  <c r="CO871" i="4"/>
  <c r="U841" i="4"/>
  <c r="U842" i="4" s="1"/>
  <c r="L841" i="4"/>
  <c r="L845" i="4" s="1"/>
  <c r="CC868" i="4"/>
  <c r="AJ872" i="4"/>
  <c r="CC872" i="4"/>
  <c r="V872" i="4"/>
  <c r="CC869" i="4"/>
  <c r="V870" i="4"/>
  <c r="CC870" i="4"/>
  <c r="V871" i="4"/>
  <c r="AK871" i="4"/>
  <c r="AZ870" i="4"/>
  <c r="AK870" i="4"/>
  <c r="AZ869" i="4"/>
  <c r="AK869" i="4"/>
  <c r="AZ871" i="4"/>
  <c r="AK872" i="4"/>
  <c r="M707" i="4"/>
  <c r="M886" i="4" s="1"/>
  <c r="AZ868" i="4"/>
  <c r="AM872" i="4"/>
  <c r="BW870" i="4"/>
  <c r="BO840" i="4"/>
  <c r="CE872" i="4"/>
  <c r="AQ839" i="4"/>
  <c r="AF840" i="4"/>
  <c r="CM868" i="4"/>
  <c r="AQ841" i="4"/>
  <c r="AQ844" i="4" s="1"/>
  <c r="CM869" i="4"/>
  <c r="CM871" i="4"/>
  <c r="BN872" i="4"/>
  <c r="CE871" i="4"/>
  <c r="CE869" i="4"/>
  <c r="R707" i="4"/>
  <c r="R759" i="4" s="1"/>
  <c r="CE870" i="4"/>
  <c r="AQ707" i="4"/>
  <c r="AQ886" i="4" s="1"/>
  <c r="U707" i="4"/>
  <c r="U886" i="4" s="1"/>
  <c r="CM707" i="4"/>
  <c r="CM759" i="4" s="1"/>
  <c r="CK707" i="4"/>
  <c r="CK886" i="4" s="1"/>
  <c r="BX762" i="4"/>
  <c r="CK762" i="4"/>
  <c r="CD871" i="4"/>
  <c r="CD872" i="4"/>
  <c r="AY871" i="4"/>
  <c r="U840" i="4"/>
  <c r="BR868" i="4"/>
  <c r="AD870" i="4"/>
  <c r="Q868" i="4"/>
  <c r="BZ707" i="4"/>
  <c r="BZ759" i="4" s="1"/>
  <c r="CO870" i="4"/>
  <c r="AD872" i="4"/>
  <c r="BG707" i="4"/>
  <c r="BG759" i="4" s="1"/>
  <c r="BL871" i="4"/>
  <c r="AY841" i="4"/>
  <c r="AY111" i="64" s="1"/>
  <c r="CO872" i="4"/>
  <c r="BL870" i="4"/>
  <c r="AY839" i="4"/>
  <c r="BR872" i="4"/>
  <c r="CO868" i="4"/>
  <c r="BL869" i="4"/>
  <c r="AY868" i="4"/>
  <c r="BR869" i="4"/>
  <c r="Q871" i="4"/>
  <c r="BL868" i="4"/>
  <c r="BR871" i="4"/>
  <c r="AD869" i="4"/>
  <c r="Q872" i="4"/>
  <c r="AY869" i="4"/>
  <c r="AK762" i="4"/>
  <c r="CH872" i="4"/>
  <c r="CH870" i="4"/>
  <c r="CD840" i="4"/>
  <c r="CM840" i="4"/>
  <c r="CL872" i="4"/>
  <c r="CM839" i="4"/>
  <c r="CL871" i="4"/>
  <c r="AK707" i="4"/>
  <c r="AK886" i="4" s="1"/>
  <c r="L839" i="4"/>
  <c r="BX840" i="4"/>
  <c r="CL868" i="4"/>
  <c r="CH868" i="4"/>
  <c r="CI839" i="4"/>
  <c r="CD839" i="4"/>
  <c r="S868" i="4"/>
  <c r="BX841" i="4"/>
  <c r="BX843" i="4" s="1"/>
  <c r="CH869" i="4"/>
  <c r="AS871" i="4"/>
  <c r="BC871" i="4"/>
  <c r="CJ840" i="4"/>
  <c r="AS869" i="4"/>
  <c r="BC872" i="4"/>
  <c r="AM869" i="4"/>
  <c r="CJ839" i="4"/>
  <c r="CL869" i="4"/>
  <c r="AS870" i="4"/>
  <c r="BC868" i="4"/>
  <c r="AM868" i="4"/>
  <c r="CE839" i="4"/>
  <c r="AS872" i="4"/>
  <c r="BC870" i="4"/>
  <c r="AM870" i="4"/>
  <c r="CE841" i="4"/>
  <c r="CE844" i="4" s="1"/>
  <c r="BK840" i="4"/>
  <c r="CI869" i="4"/>
  <c r="AJ841" i="4"/>
  <c r="AJ111" i="64" s="1"/>
  <c r="AV868" i="4"/>
  <c r="AJ839" i="4"/>
  <c r="AO869" i="4"/>
  <c r="Q707" i="4"/>
  <c r="Q886" i="4" s="1"/>
  <c r="I827" i="4"/>
  <c r="CH840" i="4"/>
  <c r="AO868" i="4"/>
  <c r="AV871" i="4"/>
  <c r="BW762" i="4"/>
  <c r="CI870" i="4"/>
  <c r="AO762" i="4"/>
  <c r="CH839" i="4"/>
  <c r="AV872" i="4"/>
  <c r="AV869" i="4"/>
  <c r="CI872" i="4"/>
  <c r="AO872" i="4"/>
  <c r="CI868" i="4"/>
  <c r="AO870" i="4"/>
  <c r="I697" i="4"/>
  <c r="AS839" i="4"/>
  <c r="CI841" i="4"/>
  <c r="CI845" i="4" s="1"/>
  <c r="O868" i="4"/>
  <c r="BW840" i="4"/>
  <c r="O871" i="4"/>
  <c r="BW839" i="4"/>
  <c r="AS840" i="4"/>
  <c r="O870" i="4"/>
  <c r="O869" i="4"/>
  <c r="BK839" i="4"/>
  <c r="BW871" i="4"/>
  <c r="I866" i="4"/>
  <c r="BW869" i="4"/>
  <c r="I753" i="4"/>
  <c r="BN871" i="4"/>
  <c r="BN870" i="4"/>
  <c r="BW868" i="4"/>
  <c r="BN869" i="4"/>
  <c r="I757" i="4"/>
  <c r="G79" i="15" s="1"/>
  <c r="BB842" i="4"/>
  <c r="BB844" i="4"/>
  <c r="BB843" i="4"/>
  <c r="BB845" i="4"/>
  <c r="N851" i="4"/>
  <c r="N850" i="4"/>
  <c r="N852" i="4"/>
  <c r="N853" i="4"/>
  <c r="AG852" i="4"/>
  <c r="AG850" i="4"/>
  <c r="AG853" i="4"/>
  <c r="AG851" i="4"/>
  <c r="AD842" i="4"/>
  <c r="AD845" i="4"/>
  <c r="AD843" i="4"/>
  <c r="AD844" i="4"/>
  <c r="AD111" i="64"/>
  <c r="X843" i="4"/>
  <c r="X842" i="4"/>
  <c r="X844" i="4"/>
  <c r="X845" i="4"/>
  <c r="CB844" i="4"/>
  <c r="CB842" i="4"/>
  <c r="CB845" i="4"/>
  <c r="CB843" i="4"/>
  <c r="CB111" i="64"/>
  <c r="S759" i="4"/>
  <c r="S886" i="4"/>
  <c r="AM851" i="4"/>
  <c r="AM853" i="4"/>
  <c r="AM850" i="4"/>
  <c r="AM852" i="4"/>
  <c r="BS853" i="4"/>
  <c r="BS850" i="4"/>
  <c r="BS851" i="4"/>
  <c r="BS852" i="4"/>
  <c r="CM850" i="4"/>
  <c r="CM853" i="4"/>
  <c r="CM851" i="4"/>
  <c r="CM852" i="4"/>
  <c r="S845" i="4"/>
  <c r="S842" i="4"/>
  <c r="S844" i="4"/>
  <c r="S843" i="4"/>
  <c r="S111" i="64"/>
  <c r="AX845" i="4"/>
  <c r="AX843" i="4"/>
  <c r="AX844" i="4"/>
  <c r="AX842" i="4"/>
  <c r="AX111" i="64"/>
  <c r="AI852" i="4"/>
  <c r="AI850" i="4"/>
  <c r="AI853" i="4"/>
  <c r="AI851" i="4"/>
  <c r="M845" i="4"/>
  <c r="M843" i="4"/>
  <c r="M844" i="4"/>
  <c r="M842" i="4"/>
  <c r="BH850" i="4"/>
  <c r="BH851" i="4"/>
  <c r="BH852" i="4"/>
  <c r="BH853" i="4"/>
  <c r="AY886" i="4"/>
  <c r="AY759" i="4"/>
  <c r="BX886" i="4"/>
  <c r="BX759" i="4"/>
  <c r="CF843" i="4"/>
  <c r="CF842" i="4"/>
  <c r="CF845" i="4"/>
  <c r="CF844" i="4"/>
  <c r="AV844" i="4"/>
  <c r="AV843" i="4"/>
  <c r="AV842" i="4"/>
  <c r="AV845" i="4"/>
  <c r="AV111" i="64"/>
  <c r="Y850" i="4"/>
  <c r="Y853" i="4"/>
  <c r="Y852" i="4"/>
  <c r="Y851" i="4"/>
  <c r="BV851" i="4"/>
  <c r="BV853" i="4"/>
  <c r="BV852" i="4"/>
  <c r="BV850" i="4"/>
  <c r="AG886" i="4"/>
  <c r="AG759" i="4"/>
  <c r="BT886" i="4"/>
  <c r="BT759" i="4"/>
  <c r="BT844" i="4"/>
  <c r="BT845" i="4"/>
  <c r="BT843" i="4"/>
  <c r="BT842" i="4"/>
  <c r="BT111" i="64"/>
  <c r="BJ886" i="4"/>
  <c r="BJ759" i="4"/>
  <c r="P845" i="4"/>
  <c r="P843" i="4"/>
  <c r="P844" i="4"/>
  <c r="P842" i="4"/>
  <c r="P111" i="64"/>
  <c r="AT851" i="4"/>
  <c r="AT850" i="4"/>
  <c r="AT852" i="4"/>
  <c r="AT853" i="4"/>
  <c r="BV842" i="4"/>
  <c r="BV845" i="4"/>
  <c r="BV843" i="4"/>
  <c r="BV844" i="4"/>
  <c r="BV111" i="64"/>
  <c r="AR845" i="4"/>
  <c r="AR844" i="4"/>
  <c r="AR842" i="4"/>
  <c r="AR843" i="4"/>
  <c r="AR111" i="64"/>
  <c r="P853" i="4"/>
  <c r="P850" i="4"/>
  <c r="P851" i="4"/>
  <c r="P852" i="4"/>
  <c r="AO844" i="4"/>
  <c r="AO845" i="4"/>
  <c r="AO843" i="4"/>
  <c r="AO842" i="4"/>
  <c r="AO111" i="64"/>
  <c r="BW843" i="4"/>
  <c r="BW845" i="4"/>
  <c r="BW842" i="4"/>
  <c r="BW844" i="4"/>
  <c r="BK853" i="4"/>
  <c r="BK851" i="4"/>
  <c r="BK852" i="4"/>
  <c r="BK850" i="4"/>
  <c r="AT842" i="4"/>
  <c r="AT845" i="4"/>
  <c r="AT843" i="4"/>
  <c r="AT844" i="4"/>
  <c r="AT111" i="64"/>
  <c r="BA842" i="4"/>
  <c r="BA845" i="4"/>
  <c r="BA843" i="4"/>
  <c r="BA844" i="4"/>
  <c r="BA111" i="64"/>
  <c r="BY843" i="4"/>
  <c r="BY844" i="4"/>
  <c r="BY842" i="4"/>
  <c r="BY845" i="4"/>
  <c r="BY111" i="64"/>
  <c r="BO886" i="4"/>
  <c r="BO759" i="4"/>
  <c r="BS759" i="4"/>
  <c r="BS886" i="4"/>
  <c r="BX873" i="4"/>
  <c r="BX901" i="4" s="1"/>
  <c r="CC886" i="4"/>
  <c r="CC759" i="4"/>
  <c r="BR852" i="4"/>
  <c r="BR851" i="4"/>
  <c r="BR853" i="4"/>
  <c r="BR850" i="4"/>
  <c r="AS844" i="4"/>
  <c r="AS845" i="4"/>
  <c r="AS843" i="4"/>
  <c r="AS842" i="4"/>
  <c r="AS111" i="64"/>
  <c r="AC759" i="4"/>
  <c r="AC886" i="4"/>
  <c r="L967" i="4"/>
  <c r="I966" i="4"/>
  <c r="CI886" i="4"/>
  <c r="CI759" i="4"/>
  <c r="BU842" i="4"/>
  <c r="BU843" i="4"/>
  <c r="BU844" i="4"/>
  <c r="BU845" i="4"/>
  <c r="BU111" i="64"/>
  <c r="AG845" i="4"/>
  <c r="AG843" i="4"/>
  <c r="AG844" i="4"/>
  <c r="AG842" i="4"/>
  <c r="AG111" i="64"/>
  <c r="BE759" i="4"/>
  <c r="BE886" i="4"/>
  <c r="CO852" i="4"/>
  <c r="CO851" i="4"/>
  <c r="CO850" i="4"/>
  <c r="CO853" i="4"/>
  <c r="AZ886" i="4"/>
  <c r="AZ759" i="4"/>
  <c r="CA842" i="4"/>
  <c r="CA843" i="4"/>
  <c r="CA844" i="4"/>
  <c r="CA845" i="4"/>
  <c r="CA111" i="64"/>
  <c r="AO886" i="4"/>
  <c r="AO759" i="4"/>
  <c r="BG845" i="4"/>
  <c r="BG843" i="4"/>
  <c r="BG844" i="4"/>
  <c r="BG842" i="4"/>
  <c r="BG111" i="64"/>
  <c r="BP845" i="4"/>
  <c r="BP843" i="4"/>
  <c r="BP842" i="4"/>
  <c r="BP844" i="4"/>
  <c r="BP111" i="64"/>
  <c r="AP886" i="4"/>
  <c r="AP759" i="4"/>
  <c r="AB853" i="4"/>
  <c r="AB852" i="4"/>
  <c r="AB850" i="4"/>
  <c r="AB851" i="4"/>
  <c r="W852" i="4"/>
  <c r="W853" i="4"/>
  <c r="W850" i="4"/>
  <c r="W851" i="4"/>
  <c r="CJ886" i="4"/>
  <c r="CJ759" i="4"/>
  <c r="AL886" i="4"/>
  <c r="AL759" i="4"/>
  <c r="L762" i="4"/>
  <c r="I705" i="4"/>
  <c r="L707" i="4"/>
  <c r="CN845" i="4"/>
  <c r="CN844" i="4"/>
  <c r="CN842" i="4"/>
  <c r="CN843" i="4"/>
  <c r="CN111" i="64"/>
  <c r="AV759" i="4"/>
  <c r="AV886" i="4"/>
  <c r="BI850" i="4"/>
  <c r="BI852" i="4"/>
  <c r="BI851" i="4"/>
  <c r="BI853" i="4"/>
  <c r="AP851" i="4"/>
  <c r="AP850" i="4"/>
  <c r="AP853" i="4"/>
  <c r="AP852" i="4"/>
  <c r="BE851" i="4"/>
  <c r="BE852" i="4"/>
  <c r="BE853" i="4"/>
  <c r="BE850" i="4"/>
  <c r="BR759" i="4"/>
  <c r="BR886" i="4"/>
  <c r="Y845" i="4"/>
  <c r="Y844" i="4"/>
  <c r="Y842" i="4"/>
  <c r="Y843" i="4"/>
  <c r="Y111" i="64"/>
  <c r="N842" i="4"/>
  <c r="N844" i="4"/>
  <c r="N843" i="4"/>
  <c r="N845" i="4"/>
  <c r="N111" i="64"/>
  <c r="O759" i="4"/>
  <c r="O886" i="4"/>
  <c r="BD851" i="4"/>
  <c r="BD853" i="4"/>
  <c r="BD852" i="4"/>
  <c r="BD850" i="4"/>
  <c r="CD886" i="4"/>
  <c r="CD759" i="4"/>
  <c r="AA842" i="4"/>
  <c r="AA843" i="4"/>
  <c r="AA844" i="4"/>
  <c r="AA845" i="4"/>
  <c r="CD844" i="4"/>
  <c r="CD842" i="4"/>
  <c r="CD843" i="4"/>
  <c r="CD845" i="4"/>
  <c r="CD111" i="64"/>
  <c r="CA759" i="4"/>
  <c r="CA886" i="4"/>
  <c r="R851" i="4"/>
  <c r="R852" i="4"/>
  <c r="R850" i="4"/>
  <c r="R853" i="4"/>
  <c r="AU886" i="4"/>
  <c r="AU759" i="4"/>
  <c r="CF759" i="4"/>
  <c r="CF886" i="4"/>
  <c r="BN851" i="4"/>
  <c r="BN853" i="4"/>
  <c r="BN852" i="4"/>
  <c r="BN850" i="4"/>
  <c r="AK843" i="4"/>
  <c r="AK844" i="4"/>
  <c r="AK842" i="4"/>
  <c r="AK845" i="4"/>
  <c r="AK111" i="64"/>
  <c r="BK845" i="4"/>
  <c r="BK842" i="4"/>
  <c r="BK843" i="4"/>
  <c r="BK844" i="4"/>
  <c r="BK111" i="64"/>
  <c r="BM759" i="4"/>
  <c r="BM886" i="4"/>
  <c r="CI851" i="4"/>
  <c r="CI850" i="4"/>
  <c r="CI853" i="4"/>
  <c r="CI852" i="4"/>
  <c r="BP759" i="4"/>
  <c r="BP886" i="4"/>
  <c r="BB886" i="4"/>
  <c r="BB759" i="4"/>
  <c r="CH843" i="4"/>
  <c r="CH842" i="4"/>
  <c r="CH844" i="4"/>
  <c r="CH845" i="4"/>
  <c r="CH111" i="64"/>
  <c r="CC843" i="4"/>
  <c r="CC842" i="4"/>
  <c r="CC845" i="4"/>
  <c r="CC844" i="4"/>
  <c r="CC111" i="64"/>
  <c r="BQ852" i="4"/>
  <c r="BQ853" i="4"/>
  <c r="BQ851" i="4"/>
  <c r="BQ850" i="4"/>
  <c r="BY853" i="4"/>
  <c r="BY850" i="4"/>
  <c r="BY851" i="4"/>
  <c r="BY852" i="4"/>
  <c r="CL886" i="4"/>
  <c r="CL759" i="4"/>
  <c r="AI843" i="4"/>
  <c r="AI844" i="4"/>
  <c r="AI842" i="4"/>
  <c r="AI845" i="4"/>
  <c r="AI111" i="64"/>
  <c r="AY853" i="4"/>
  <c r="AY852" i="4"/>
  <c r="AY851" i="4"/>
  <c r="AY850" i="4"/>
  <c r="L851" i="4"/>
  <c r="L850" i="4"/>
  <c r="L853" i="4"/>
  <c r="L852" i="4"/>
  <c r="AN886" i="4"/>
  <c r="AN759" i="4"/>
  <c r="CL852" i="4"/>
  <c r="CL850" i="4"/>
  <c r="CL851" i="4"/>
  <c r="Z844" i="4"/>
  <c r="Z845" i="4"/>
  <c r="Z843" i="4"/>
  <c r="Z842" i="4"/>
  <c r="Z111" i="64"/>
  <c r="BN886" i="4"/>
  <c r="BN759" i="4"/>
  <c r="CG851" i="4"/>
  <c r="CG850" i="4"/>
  <c r="CG852" i="4"/>
  <c r="CG853" i="4"/>
  <c r="BF851" i="4"/>
  <c r="BF853" i="4"/>
  <c r="BF850" i="4"/>
  <c r="BF852" i="4"/>
  <c r="V850" i="4"/>
  <c r="V851" i="4"/>
  <c r="V853" i="4"/>
  <c r="V852" i="4"/>
  <c r="CH851" i="4"/>
  <c r="CH852" i="4"/>
  <c r="CH853" i="4"/>
  <c r="CH850" i="4"/>
  <c r="CC851" i="4"/>
  <c r="CC852" i="4"/>
  <c r="CC850" i="4"/>
  <c r="CC853" i="4"/>
  <c r="CN852" i="4"/>
  <c r="CN853" i="4"/>
  <c r="CN851" i="4"/>
  <c r="CN850" i="4"/>
  <c r="AK851" i="4"/>
  <c r="AK850" i="4"/>
  <c r="AK853" i="4"/>
  <c r="AK852" i="4"/>
  <c r="Z850" i="4"/>
  <c r="Z852" i="4"/>
  <c r="Z851" i="4"/>
  <c r="Z853" i="4"/>
  <c r="AS850" i="4"/>
  <c r="AS853" i="4"/>
  <c r="AS851" i="4"/>
  <c r="AS852" i="4"/>
  <c r="CO845" i="4"/>
  <c r="CO844" i="4"/>
  <c r="CO843" i="4"/>
  <c r="CO842" i="4"/>
  <c r="CO111" i="64"/>
  <c r="BH886" i="4"/>
  <c r="BH759" i="4"/>
  <c r="BZ844" i="4"/>
  <c r="BZ843" i="4"/>
  <c r="BZ845" i="4"/>
  <c r="BZ842" i="4"/>
  <c r="BZ111" i="64"/>
  <c r="AM843" i="4"/>
  <c r="AM844" i="4"/>
  <c r="AM842" i="4"/>
  <c r="AM845" i="4"/>
  <c r="AM111" i="64"/>
  <c r="AO852" i="4"/>
  <c r="AO851" i="4"/>
  <c r="AO850" i="4"/>
  <c r="AO853" i="4"/>
  <c r="AF851" i="4"/>
  <c r="AF853" i="4"/>
  <c r="AF852" i="4"/>
  <c r="AF850" i="4"/>
  <c r="AD886" i="4"/>
  <c r="AD759" i="4"/>
  <c r="AV851" i="4"/>
  <c r="AV850" i="4"/>
  <c r="AV853" i="4"/>
  <c r="AV852" i="4"/>
  <c r="AH853" i="4"/>
  <c r="AH852" i="4"/>
  <c r="AH850" i="4"/>
  <c r="AH851" i="4"/>
  <c r="BO850" i="4"/>
  <c r="BO851" i="4"/>
  <c r="BO853" i="4"/>
  <c r="BO852" i="4"/>
  <c r="AW850" i="4"/>
  <c r="AW851" i="4"/>
  <c r="AW853" i="4"/>
  <c r="AW852" i="4"/>
  <c r="AR852" i="4"/>
  <c r="AR851" i="4"/>
  <c r="AR850" i="4"/>
  <c r="AR853" i="4"/>
  <c r="U853" i="4"/>
  <c r="U852" i="4"/>
  <c r="U850" i="4"/>
  <c r="U851" i="4"/>
  <c r="CA850" i="4"/>
  <c r="CA851" i="4"/>
  <c r="CA853" i="4"/>
  <c r="CA852" i="4"/>
  <c r="BA873" i="4"/>
  <c r="BA901" i="4" s="1"/>
  <c r="BC886" i="4"/>
  <c r="BC759" i="4"/>
  <c r="Q843" i="4"/>
  <c r="Q844" i="4"/>
  <c r="Q845" i="4"/>
  <c r="Q842" i="4"/>
  <c r="Q111" i="64"/>
  <c r="AN842" i="4"/>
  <c r="AN843" i="4"/>
  <c r="AN844" i="4"/>
  <c r="AN845" i="4"/>
  <c r="AN111" i="64"/>
  <c r="CD852" i="4"/>
  <c r="CD851" i="4"/>
  <c r="CD853" i="4"/>
  <c r="CD850" i="4"/>
  <c r="BD759" i="4"/>
  <c r="BD886" i="4"/>
  <c r="BL842" i="4"/>
  <c r="BL843" i="4"/>
  <c r="BL845" i="4"/>
  <c r="BL844" i="4"/>
  <c r="BL111" i="64"/>
  <c r="BW886" i="4"/>
  <c r="BW759" i="4"/>
  <c r="AU852" i="4"/>
  <c r="AU850" i="4"/>
  <c r="AU851" i="4"/>
  <c r="AU853" i="4"/>
  <c r="W886" i="4"/>
  <c r="W759" i="4"/>
  <c r="CJ844" i="4"/>
  <c r="CJ843" i="4"/>
  <c r="CJ842" i="4"/>
  <c r="CJ845" i="4"/>
  <c r="BK759" i="4"/>
  <c r="BK886" i="4"/>
  <c r="BG851" i="4"/>
  <c r="BG853" i="4"/>
  <c r="BG850" i="4"/>
  <c r="BG852" i="4"/>
  <c r="BU850" i="4"/>
  <c r="BU852" i="4"/>
  <c r="BU853" i="4"/>
  <c r="BU851" i="4"/>
  <c r="BL853" i="4"/>
  <c r="BL852" i="4"/>
  <c r="BL850" i="4"/>
  <c r="BL851" i="4"/>
  <c r="V844" i="4"/>
  <c r="V843" i="4"/>
  <c r="V845" i="4"/>
  <c r="V842" i="4"/>
  <c r="V111" i="64"/>
  <c r="BT852" i="4"/>
  <c r="BT853" i="4"/>
  <c r="BT851" i="4"/>
  <c r="BT850" i="4"/>
  <c r="BZ851" i="4"/>
  <c r="BZ852" i="4"/>
  <c r="BZ850" i="4"/>
  <c r="BZ853" i="4"/>
  <c r="BJ853" i="4"/>
  <c r="BJ851" i="4"/>
  <c r="BJ852" i="4"/>
  <c r="BJ850" i="4"/>
  <c r="AX853" i="4"/>
  <c r="AX852" i="4"/>
  <c r="AX851" i="4"/>
  <c r="AX850" i="4"/>
  <c r="AZ851" i="4"/>
  <c r="AZ853" i="4"/>
  <c r="AZ852" i="4"/>
  <c r="AZ850" i="4"/>
  <c r="CB853" i="4"/>
  <c r="CB850" i="4"/>
  <c r="CB851" i="4"/>
  <c r="CB852" i="4"/>
  <c r="AE851" i="4"/>
  <c r="AE853" i="4"/>
  <c r="AE852" i="4"/>
  <c r="AE850" i="4"/>
  <c r="BC853" i="4"/>
  <c r="BC850" i="4"/>
  <c r="BC852" i="4"/>
  <c r="BC851" i="4"/>
  <c r="O853" i="4"/>
  <c r="O850" i="4"/>
  <c r="O852" i="4"/>
  <c r="O851" i="4"/>
  <c r="T851" i="4"/>
  <c r="T850" i="4"/>
  <c r="T853" i="4"/>
  <c r="T852" i="4"/>
  <c r="BC844" i="4"/>
  <c r="BC845" i="4"/>
  <c r="BC842" i="4"/>
  <c r="BC843" i="4"/>
  <c r="BC111" i="64"/>
  <c r="BP853" i="4"/>
  <c r="BP850" i="4"/>
  <c r="BP851" i="4"/>
  <c r="BP852" i="4"/>
  <c r="CM844" i="4"/>
  <c r="CM842" i="4"/>
  <c r="CM843" i="4"/>
  <c r="CM845" i="4"/>
  <c r="CM111" i="64"/>
  <c r="CK850" i="4"/>
  <c r="CK852" i="4"/>
  <c r="CK853" i="4"/>
  <c r="CK851" i="4"/>
  <c r="AN853" i="4"/>
  <c r="AN852" i="4"/>
  <c r="AN851" i="4"/>
  <c r="AN850" i="4"/>
  <c r="Q851" i="4"/>
  <c r="Q853" i="4"/>
  <c r="Q852" i="4"/>
  <c r="Q850" i="4"/>
  <c r="AL850" i="4"/>
  <c r="AL853" i="4"/>
  <c r="AL851" i="4"/>
  <c r="AL852" i="4"/>
  <c r="AJ850" i="4"/>
  <c r="AJ853" i="4"/>
  <c r="AJ851" i="4"/>
  <c r="AJ852" i="4"/>
  <c r="Z886" i="4"/>
  <c r="Z759" i="4"/>
  <c r="BX850" i="4"/>
  <c r="BX851" i="4"/>
  <c r="BX853" i="4"/>
  <c r="BX852" i="4"/>
  <c r="CE886" i="4"/>
  <c r="CE759" i="4"/>
  <c r="AD850" i="4"/>
  <c r="AD852" i="4"/>
  <c r="AD851" i="4"/>
  <c r="AD853" i="4"/>
  <c r="S852" i="4"/>
  <c r="S853" i="4"/>
  <c r="S850" i="4"/>
  <c r="S851" i="4"/>
  <c r="BA850" i="4"/>
  <c r="BA851" i="4"/>
  <c r="BA853" i="4"/>
  <c r="BA852" i="4"/>
  <c r="R844" i="4"/>
  <c r="R845" i="4"/>
  <c r="R843" i="4"/>
  <c r="R842" i="4"/>
  <c r="R111" i="64"/>
  <c r="CL111" i="64" l="1"/>
  <c r="CL119" i="64" s="1"/>
  <c r="CL65" i="64" s="1"/>
  <c r="BM851" i="4"/>
  <c r="BM853" i="4"/>
  <c r="BM850" i="4"/>
  <c r="CJ853" i="4"/>
  <c r="CJ115" i="64" s="1"/>
  <c r="AC852" i="4"/>
  <c r="CE850" i="4"/>
  <c r="CE851" i="4"/>
  <c r="CE852" i="4"/>
  <c r="CE114" i="64" s="1"/>
  <c r="AF873" i="4"/>
  <c r="AF901" i="4" s="1"/>
  <c r="CJ111" i="64"/>
  <c r="CJ119" i="64" s="1"/>
  <c r="CJ65" i="64" s="1"/>
  <c r="CJ851" i="4"/>
  <c r="CJ113" i="64" s="1"/>
  <c r="AC850" i="4"/>
  <c r="AC111" i="64"/>
  <c r="AC119" i="64" s="1"/>
  <c r="AC65" i="64" s="1"/>
  <c r="AC851" i="4"/>
  <c r="CJ850" i="4"/>
  <c r="CJ112" i="64" s="1"/>
  <c r="AL845" i="4"/>
  <c r="AL115" i="64" s="1"/>
  <c r="AL111" i="64"/>
  <c r="AL119" i="64" s="1"/>
  <c r="AL65" i="64" s="1"/>
  <c r="AL842" i="4"/>
  <c r="AL112" i="64" s="1"/>
  <c r="AL844" i="4"/>
  <c r="AL114" i="64" s="1"/>
  <c r="BF111" i="64"/>
  <c r="BF119" i="64" s="1"/>
  <c r="BF65" i="64" s="1"/>
  <c r="X851" i="4"/>
  <c r="X113" i="64" s="1"/>
  <c r="X850" i="4"/>
  <c r="X112" i="64" s="1"/>
  <c r="AI759" i="4"/>
  <c r="Q38" i="13" s="1"/>
  <c r="AQ873" i="4"/>
  <c r="AQ901" i="4" s="1"/>
  <c r="AX873" i="4"/>
  <c r="AX901" i="4" s="1"/>
  <c r="T842" i="4"/>
  <c r="T112" i="64" s="1"/>
  <c r="T111" i="64"/>
  <c r="T119" i="64" s="1"/>
  <c r="T65" i="64" s="1"/>
  <c r="X853" i="4"/>
  <c r="X115" i="64" s="1"/>
  <c r="X111" i="64"/>
  <c r="X119" i="64" s="1"/>
  <c r="X65" i="64" s="1"/>
  <c r="BF842" i="4"/>
  <c r="BF112" i="64" s="1"/>
  <c r="T845" i="4"/>
  <c r="T115" i="64" s="1"/>
  <c r="T843" i="4"/>
  <c r="T113" i="64" s="1"/>
  <c r="BF843" i="4"/>
  <c r="BF845" i="4"/>
  <c r="BF115" i="64" s="1"/>
  <c r="CK111" i="64"/>
  <c r="CK119" i="64" s="1"/>
  <c r="CK65" i="64" s="1"/>
  <c r="BS111" i="64"/>
  <c r="BS119" i="64" s="1"/>
  <c r="BS65" i="64" s="1"/>
  <c r="CK843" i="4"/>
  <c r="CK113" i="64" s="1"/>
  <c r="CK844" i="4"/>
  <c r="CK114" i="64" s="1"/>
  <c r="I848" i="4"/>
  <c r="AS759" i="4"/>
  <c r="AS1069" i="4" s="1"/>
  <c r="AA852" i="4"/>
  <c r="AA114" i="64" s="1"/>
  <c r="AG873" i="4"/>
  <c r="AG901" i="4" s="1"/>
  <c r="CG845" i="4"/>
  <c r="CG115" i="64" s="1"/>
  <c r="BW853" i="4"/>
  <c r="BW115" i="64" s="1"/>
  <c r="BB851" i="4"/>
  <c r="BB113" i="64" s="1"/>
  <c r="CG843" i="4"/>
  <c r="CG113" i="64" s="1"/>
  <c r="AL873" i="4"/>
  <c r="AL901" i="4" s="1"/>
  <c r="CG842" i="4"/>
  <c r="CG112" i="64" s="1"/>
  <c r="BW111" i="64"/>
  <c r="BW119" i="64" s="1"/>
  <c r="BW65" i="64" s="1"/>
  <c r="BW852" i="4"/>
  <c r="CG844" i="4"/>
  <c r="CG114" i="64" s="1"/>
  <c r="BB111" i="64"/>
  <c r="BB119" i="64" s="1"/>
  <c r="BB65" i="64" s="1"/>
  <c r="BW851" i="4"/>
  <c r="BW113" i="64" s="1"/>
  <c r="BB850" i="4"/>
  <c r="BB112" i="64" s="1"/>
  <c r="BB852" i="4"/>
  <c r="BB114" i="64" s="1"/>
  <c r="AT873" i="4"/>
  <c r="AT901" i="4" s="1"/>
  <c r="AA851" i="4"/>
  <c r="AA113" i="64" s="1"/>
  <c r="AQ851" i="4"/>
  <c r="CF852" i="4"/>
  <c r="CF114" i="64" s="1"/>
  <c r="AA850" i="4"/>
  <c r="AA112" i="64" s="1"/>
  <c r="AQ850" i="4"/>
  <c r="AA853" i="4"/>
  <c r="AA115" i="64" s="1"/>
  <c r="AQ852" i="4"/>
  <c r="AQ114" i="64" s="1"/>
  <c r="AW759" i="4"/>
  <c r="AW44" i="11" s="1"/>
  <c r="AB886" i="4"/>
  <c r="AB891" i="4" s="1"/>
  <c r="BQ873" i="4"/>
  <c r="BQ901" i="4" s="1"/>
  <c r="BQ844" i="4"/>
  <c r="BQ114" i="64" s="1"/>
  <c r="BH843" i="4"/>
  <c r="BH113" i="64" s="1"/>
  <c r="M852" i="4"/>
  <c r="M114" i="64" s="1"/>
  <c r="CG886" i="4"/>
  <c r="CG891" i="4" s="1"/>
  <c r="BQ842" i="4"/>
  <c r="BQ112" i="64" s="1"/>
  <c r="M853" i="4"/>
  <c r="M115" i="64" s="1"/>
  <c r="BH845" i="4"/>
  <c r="BH115" i="64" s="1"/>
  <c r="BI886" i="4"/>
  <c r="BI891" i="4" s="1"/>
  <c r="T886" i="4"/>
  <c r="T890" i="4" s="1"/>
  <c r="BH844" i="4"/>
  <c r="BH842" i="4"/>
  <c r="BH112" i="64" s="1"/>
  <c r="AJ759" i="4"/>
  <c r="AJ1069" i="4" s="1"/>
  <c r="CN759" i="4"/>
  <c r="CN1127" i="4" s="1"/>
  <c r="BQ111" i="64"/>
  <c r="BQ119" i="64" s="1"/>
  <c r="BQ843" i="4"/>
  <c r="BQ113" i="64" s="1"/>
  <c r="M850" i="4"/>
  <c r="M112" i="64" s="1"/>
  <c r="M111" i="64"/>
  <c r="M119" i="64" s="1"/>
  <c r="M65" i="64" s="1"/>
  <c r="AI873" i="4"/>
  <c r="AI901" i="4" s="1"/>
  <c r="BF873" i="4"/>
  <c r="BF901" i="4" s="1"/>
  <c r="AM759" i="4"/>
  <c r="AM1127" i="4" s="1"/>
  <c r="AB842" i="4"/>
  <c r="AB112" i="64" s="1"/>
  <c r="X759" i="4"/>
  <c r="X1005" i="4" s="1"/>
  <c r="I849" i="4"/>
  <c r="CF853" i="4"/>
  <c r="CF115" i="64" s="1"/>
  <c r="CF850" i="4"/>
  <c r="CF112" i="64" s="1"/>
  <c r="CF111" i="64"/>
  <c r="CF119" i="64" s="1"/>
  <c r="CF65" i="64" s="1"/>
  <c r="BD873" i="4"/>
  <c r="BD901" i="4" s="1"/>
  <c r="X873" i="4"/>
  <c r="X901" i="4" s="1"/>
  <c r="CK873" i="4"/>
  <c r="CK901" i="4" s="1"/>
  <c r="AH843" i="4"/>
  <c r="AB845" i="4"/>
  <c r="AB115" i="64" s="1"/>
  <c r="CK845" i="4"/>
  <c r="CK115" i="64" s="1"/>
  <c r="AH844" i="4"/>
  <c r="AH114" i="64" s="1"/>
  <c r="BT873" i="4"/>
  <c r="BT901" i="4" s="1"/>
  <c r="AB843" i="4"/>
  <c r="AB113" i="64" s="1"/>
  <c r="AH842" i="4"/>
  <c r="AH112" i="64" s="1"/>
  <c r="AB111" i="64"/>
  <c r="AB119" i="64" s="1"/>
  <c r="AB65" i="64" s="1"/>
  <c r="AH111" i="64"/>
  <c r="AH119" i="64" s="1"/>
  <c r="AH65" i="64" s="1"/>
  <c r="BJ873" i="4"/>
  <c r="BJ901" i="4" s="1"/>
  <c r="AA759" i="4"/>
  <c r="AA1334" i="4" s="1"/>
  <c r="BE873" i="4"/>
  <c r="BE901" i="4" s="1"/>
  <c r="I16" i="72"/>
  <c r="O842" i="4"/>
  <c r="O112" i="64" s="1"/>
  <c r="O845" i="4"/>
  <c r="O115" i="64" s="1"/>
  <c r="O843" i="4"/>
  <c r="O113" i="64" s="1"/>
  <c r="O111" i="64"/>
  <c r="O119" i="64" s="1"/>
  <c r="O65" i="64" s="1"/>
  <c r="U873" i="4"/>
  <c r="U901" i="4" s="1"/>
  <c r="AE759" i="4"/>
  <c r="AE44" i="11" s="1"/>
  <c r="AB873" i="4"/>
  <c r="AB901" i="4" s="1"/>
  <c r="AC843" i="4"/>
  <c r="BF886" i="4"/>
  <c r="BF891" i="4" s="1"/>
  <c r="AC845" i="4"/>
  <c r="AC115" i="64" s="1"/>
  <c r="BM844" i="4"/>
  <c r="BM114" i="64" s="1"/>
  <c r="AC842" i="4"/>
  <c r="AC844" i="4"/>
  <c r="BI844" i="4"/>
  <c r="BI114" i="64" s="1"/>
  <c r="AE111" i="64"/>
  <c r="AE119" i="64" s="1"/>
  <c r="AE65" i="64" s="1"/>
  <c r="AZ844" i="4"/>
  <c r="AZ114" i="64" s="1"/>
  <c r="BD845" i="4"/>
  <c r="BD115" i="64" s="1"/>
  <c r="T873" i="4"/>
  <c r="T901" i="4" s="1"/>
  <c r="AE873" i="4"/>
  <c r="AE901" i="4" s="1"/>
  <c r="BI845" i="4"/>
  <c r="BI115" i="64" s="1"/>
  <c r="AH886" i="4"/>
  <c r="AH890" i="4" s="1"/>
  <c r="BL759" i="4"/>
  <c r="BL69" i="11" s="1"/>
  <c r="BS873" i="4"/>
  <c r="BS901" i="4" s="1"/>
  <c r="BI111" i="64"/>
  <c r="BI119" i="64" s="1"/>
  <c r="BI65" i="64" s="1"/>
  <c r="AW873" i="4"/>
  <c r="AW901" i="4" s="1"/>
  <c r="P873" i="4"/>
  <c r="P901" i="4" s="1"/>
  <c r="BH873" i="4"/>
  <c r="BH901" i="4" s="1"/>
  <c r="BD111" i="64"/>
  <c r="BD119" i="64" s="1"/>
  <c r="BD65" i="64" s="1"/>
  <c r="BD844" i="4"/>
  <c r="BD114" i="64" s="1"/>
  <c r="BS843" i="4"/>
  <c r="BS113" i="64" s="1"/>
  <c r="AE842" i="4"/>
  <c r="AE112" i="64" s="1"/>
  <c r="BD843" i="4"/>
  <c r="BD113" i="64" s="1"/>
  <c r="BS845" i="4"/>
  <c r="BS115" i="64" s="1"/>
  <c r="AE845" i="4"/>
  <c r="AE115" i="64" s="1"/>
  <c r="BS842" i="4"/>
  <c r="BS112" i="64" s="1"/>
  <c r="P759" i="4"/>
  <c r="P1292" i="4" s="1"/>
  <c r="AE844" i="4"/>
  <c r="AE114" i="64" s="1"/>
  <c r="BM873" i="4"/>
  <c r="BM901" i="4" s="1"/>
  <c r="AZ843" i="4"/>
  <c r="AZ113" i="64" s="1"/>
  <c r="AH873" i="4"/>
  <c r="AH901" i="4" s="1"/>
  <c r="BQ759" i="4"/>
  <c r="BQ1005" i="4" s="1"/>
  <c r="AP111" i="64"/>
  <c r="AP119" i="64" s="1"/>
  <c r="AP65" i="64" s="1"/>
  <c r="AP844" i="4"/>
  <c r="AP114" i="64" s="1"/>
  <c r="BO844" i="4"/>
  <c r="BO114" i="64" s="1"/>
  <c r="AP843" i="4"/>
  <c r="AP113" i="64" s="1"/>
  <c r="AP845" i="4"/>
  <c r="AP115" i="64" s="1"/>
  <c r="AF886" i="4"/>
  <c r="AF891" i="4" s="1"/>
  <c r="AX759" i="4"/>
  <c r="AX1005" i="4" s="1"/>
  <c r="M873" i="4"/>
  <c r="M901" i="4" s="1"/>
  <c r="CF873" i="4"/>
  <c r="CF901" i="4" s="1"/>
  <c r="CB886" i="4"/>
  <c r="CB891" i="4" s="1"/>
  <c r="W844" i="4"/>
  <c r="W114" i="64" s="1"/>
  <c r="L873" i="4"/>
  <c r="L901" i="4" s="1"/>
  <c r="CN873" i="4"/>
  <c r="CN901" i="4" s="1"/>
  <c r="BP873" i="4"/>
  <c r="BP901" i="4" s="1"/>
  <c r="BE844" i="4"/>
  <c r="BE114" i="64" s="1"/>
  <c r="BE845" i="4"/>
  <c r="BE115" i="64" s="1"/>
  <c r="CL844" i="4"/>
  <c r="CL114" i="64" s="1"/>
  <c r="CL842" i="4"/>
  <c r="CL112" i="64" s="1"/>
  <c r="BO873" i="4"/>
  <c r="BO901" i="4" s="1"/>
  <c r="BE111" i="64"/>
  <c r="BE119" i="64" s="1"/>
  <c r="BE65" i="64" s="1"/>
  <c r="CL845" i="4"/>
  <c r="CL115" i="64" s="1"/>
  <c r="BE843" i="4"/>
  <c r="BE113" i="64" s="1"/>
  <c r="AZ111" i="64"/>
  <c r="AZ119" i="64" s="1"/>
  <c r="AZ65" i="64" s="1"/>
  <c r="AZ845" i="4"/>
  <c r="BU886" i="4"/>
  <c r="BU890" i="4" s="1"/>
  <c r="AU111" i="64"/>
  <c r="AU119" i="64" s="1"/>
  <c r="AU65" i="64" s="1"/>
  <c r="U845" i="4"/>
  <c r="U115" i="64" s="1"/>
  <c r="BI843" i="4"/>
  <c r="BY759" i="4"/>
  <c r="AB69" i="67" s="1"/>
  <c r="AU843" i="4"/>
  <c r="AU113" i="64" s="1"/>
  <c r="AU844" i="4"/>
  <c r="AU114" i="64" s="1"/>
  <c r="CE111" i="64"/>
  <c r="CE119" i="64" s="1"/>
  <c r="CE65" i="64" s="1"/>
  <c r="U111" i="64"/>
  <c r="U119" i="64" s="1"/>
  <c r="AU842" i="4"/>
  <c r="AU112" i="64" s="1"/>
  <c r="BM842" i="4"/>
  <c r="U844" i="4"/>
  <c r="U114" i="64" s="1"/>
  <c r="BB873" i="4"/>
  <c r="BB901" i="4" s="1"/>
  <c r="BM111" i="64"/>
  <c r="BM119" i="64" s="1"/>
  <c r="BM65" i="64" s="1"/>
  <c r="BM845" i="4"/>
  <c r="CO759" i="4"/>
  <c r="CO1334" i="4" s="1"/>
  <c r="U843" i="4"/>
  <c r="BA759" i="4"/>
  <c r="BA761" i="4" s="1"/>
  <c r="BA1033" i="4" s="1"/>
  <c r="AY842" i="4"/>
  <c r="AY112" i="64" s="1"/>
  <c r="BO845" i="4"/>
  <c r="BO115" i="64" s="1"/>
  <c r="N759" i="4"/>
  <c r="N44" i="11" s="1"/>
  <c r="CL843" i="4"/>
  <c r="L844" i="4"/>
  <c r="L114" i="64" s="1"/>
  <c r="AF845" i="4"/>
  <c r="AF115" i="64" s="1"/>
  <c r="AF843" i="4"/>
  <c r="AF113" i="64" s="1"/>
  <c r="AC873" i="4"/>
  <c r="AC901" i="4" s="1"/>
  <c r="BV873" i="4"/>
  <c r="BV901" i="4" s="1"/>
  <c r="W845" i="4"/>
  <c r="W115" i="64" s="1"/>
  <c r="W843" i="4"/>
  <c r="W113" i="64" s="1"/>
  <c r="W842" i="4"/>
  <c r="BO842" i="4"/>
  <c r="BO112" i="64" s="1"/>
  <c r="AF111" i="64"/>
  <c r="AF119" i="64" s="1"/>
  <c r="AF65" i="64" s="1"/>
  <c r="BK873" i="4"/>
  <c r="BK901" i="4" s="1"/>
  <c r="W873" i="4"/>
  <c r="W901" i="4" s="1"/>
  <c r="AW842" i="4"/>
  <c r="AW112" i="64" s="1"/>
  <c r="BO111" i="64"/>
  <c r="BO119" i="64" s="1"/>
  <c r="BO65" i="64" s="1"/>
  <c r="BN842" i="4"/>
  <c r="BN112" i="64" s="1"/>
  <c r="AF844" i="4"/>
  <c r="AF114" i="64" s="1"/>
  <c r="AK759" i="4"/>
  <c r="CK759" i="4"/>
  <c r="CK1005" i="4" s="1"/>
  <c r="BN843" i="4"/>
  <c r="BN113" i="64" s="1"/>
  <c r="BN845" i="4"/>
  <c r="BN115" i="64" s="1"/>
  <c r="BN844" i="4"/>
  <c r="BN114" i="64" s="1"/>
  <c r="L111" i="64"/>
  <c r="L119" i="64" s="1"/>
  <c r="L118" i="64" s="1"/>
  <c r="AW111" i="64"/>
  <c r="AW119" i="64" s="1"/>
  <c r="AW65" i="64" s="1"/>
  <c r="L843" i="4"/>
  <c r="L113" i="64" s="1"/>
  <c r="AW845" i="4"/>
  <c r="M759" i="4"/>
  <c r="M44" i="11" s="1"/>
  <c r="L842" i="4"/>
  <c r="L112" i="64" s="1"/>
  <c r="AW844" i="4"/>
  <c r="AW114" i="64" s="1"/>
  <c r="N873" i="4"/>
  <c r="N901" i="4" s="1"/>
  <c r="BR842" i="4"/>
  <c r="BR112" i="64" s="1"/>
  <c r="BJ111" i="64"/>
  <c r="BJ119" i="64" s="1"/>
  <c r="BJ65" i="64" s="1"/>
  <c r="BJ842" i="4"/>
  <c r="BJ112" i="64" s="1"/>
  <c r="BJ844" i="4"/>
  <c r="BJ114" i="64" s="1"/>
  <c r="BJ843" i="4"/>
  <c r="BJ113" i="64" s="1"/>
  <c r="V759" i="4"/>
  <c r="V69" i="11" s="1"/>
  <c r="BI873" i="4"/>
  <c r="BI901" i="4" s="1"/>
  <c r="BU873" i="4"/>
  <c r="BU901" i="4" s="1"/>
  <c r="AP873" i="4"/>
  <c r="AP901" i="4" s="1"/>
  <c r="U759" i="4"/>
  <c r="U761" i="4" s="1"/>
  <c r="U1033" i="4" s="1"/>
  <c r="CG873" i="4"/>
  <c r="CG901" i="4" s="1"/>
  <c r="AA873" i="4"/>
  <c r="AA901" i="4" s="1"/>
  <c r="Y873" i="4"/>
  <c r="Y901" i="4" s="1"/>
  <c r="BG886" i="4"/>
  <c r="BG891" i="4" s="1"/>
  <c r="BG873" i="4"/>
  <c r="BG901" i="4" s="1"/>
  <c r="BY873" i="4"/>
  <c r="BY901" i="4" s="1"/>
  <c r="CJ873" i="4"/>
  <c r="CJ901" i="4" s="1"/>
  <c r="AR886" i="4"/>
  <c r="AR891" i="4" s="1"/>
  <c r="AN873" i="4"/>
  <c r="AN901" i="4" s="1"/>
  <c r="CA873" i="4"/>
  <c r="CA901" i="4" s="1"/>
  <c r="Z873" i="4"/>
  <c r="Z901" i="4" s="1"/>
  <c r="BV759" i="4"/>
  <c r="BV761" i="4" s="1"/>
  <c r="BV1033" i="4" s="1"/>
  <c r="AR873" i="4"/>
  <c r="AR901" i="4" s="1"/>
  <c r="R873" i="4"/>
  <c r="R901" i="4" s="1"/>
  <c r="Y886" i="4"/>
  <c r="Y891" i="4" s="1"/>
  <c r="AT759" i="4"/>
  <c r="AT1005" i="4" s="1"/>
  <c r="BZ873" i="4"/>
  <c r="BZ901" i="4" s="1"/>
  <c r="CC873" i="4"/>
  <c r="CC901" i="4" s="1"/>
  <c r="AU873" i="4"/>
  <c r="AU901" i="4" s="1"/>
  <c r="BR844" i="4"/>
  <c r="BR114" i="64" s="1"/>
  <c r="AJ873" i="4"/>
  <c r="AJ901" i="4" s="1"/>
  <c r="CB873" i="4"/>
  <c r="CB901" i="4" s="1"/>
  <c r="BR111" i="64"/>
  <c r="BR119" i="64" s="1"/>
  <c r="BR845" i="4"/>
  <c r="BR115" i="64" s="1"/>
  <c r="CH886" i="4"/>
  <c r="CH891" i="4" s="1"/>
  <c r="S873" i="4"/>
  <c r="S901" i="4" s="1"/>
  <c r="AZ873" i="4"/>
  <c r="AZ901" i="4" s="1"/>
  <c r="AY873" i="4"/>
  <c r="AY901" i="4" s="1"/>
  <c r="V873" i="4"/>
  <c r="V901" i="4" s="1"/>
  <c r="CM886" i="4"/>
  <c r="CM890" i="4" s="1"/>
  <c r="AK873" i="4"/>
  <c r="AK901" i="4" s="1"/>
  <c r="CM873" i="4"/>
  <c r="CM901" i="4" s="1"/>
  <c r="CE873" i="4"/>
  <c r="CE901" i="4" s="1"/>
  <c r="BC873" i="4"/>
  <c r="BC901" i="4" s="1"/>
  <c r="Q873" i="4"/>
  <c r="Q901" i="4" s="1"/>
  <c r="R886" i="4"/>
  <c r="R891" i="4" s="1"/>
  <c r="CM113" i="64"/>
  <c r="CO873" i="4"/>
  <c r="CO901" i="4" s="1"/>
  <c r="AQ845" i="4"/>
  <c r="AQ115" i="64" s="1"/>
  <c r="AQ843" i="4"/>
  <c r="AQ113" i="64" s="1"/>
  <c r="CH873" i="4"/>
  <c r="CH901" i="4" s="1"/>
  <c r="CD873" i="4"/>
  <c r="CD901" i="4" s="1"/>
  <c r="BZ886" i="4"/>
  <c r="BZ890" i="4" s="1"/>
  <c r="CI111" i="64"/>
  <c r="CI844" i="4"/>
  <c r="CI873" i="4"/>
  <c r="CI901" i="4" s="1"/>
  <c r="CI843" i="4"/>
  <c r="CI113" i="64" s="1"/>
  <c r="CI842" i="4"/>
  <c r="CI112" i="64" s="1"/>
  <c r="AJ842" i="4"/>
  <c r="AJ112" i="64" s="1"/>
  <c r="AQ111" i="64"/>
  <c r="AQ119" i="64" s="1"/>
  <c r="AQ65" i="64" s="1"/>
  <c r="AQ759" i="4"/>
  <c r="AQ69" i="11" s="1"/>
  <c r="AQ842" i="4"/>
  <c r="AM873" i="4"/>
  <c r="AM901" i="4" s="1"/>
  <c r="BL873" i="4"/>
  <c r="BL901" i="4" s="1"/>
  <c r="AJ845" i="4"/>
  <c r="AJ115" i="64" s="1"/>
  <c r="AJ844" i="4"/>
  <c r="AJ114" i="64" s="1"/>
  <c r="AJ843" i="4"/>
  <c r="AJ113" i="64" s="1"/>
  <c r="CL873" i="4"/>
  <c r="CL901" i="4" s="1"/>
  <c r="BR873" i="4"/>
  <c r="BR901" i="4" s="1"/>
  <c r="AD873" i="4"/>
  <c r="AD901" i="4" s="1"/>
  <c r="AB114" i="64"/>
  <c r="AG115" i="64"/>
  <c r="AY843" i="4"/>
  <c r="AY113" i="64" s="1"/>
  <c r="CE845" i="4"/>
  <c r="CE115" i="64" s="1"/>
  <c r="AY845" i="4"/>
  <c r="AY115" i="64" s="1"/>
  <c r="N113" i="64"/>
  <c r="CE842" i="4"/>
  <c r="AY844" i="4"/>
  <c r="CE843" i="4"/>
  <c r="BX842" i="4"/>
  <c r="BX112" i="64" s="1"/>
  <c r="I840" i="4"/>
  <c r="AO873" i="4"/>
  <c r="AO901" i="4" s="1"/>
  <c r="AS873" i="4"/>
  <c r="AS901" i="4" s="1"/>
  <c r="I841" i="4"/>
  <c r="Q759" i="4"/>
  <c r="Q69" i="11" s="1"/>
  <c r="BX844" i="4"/>
  <c r="BX114" i="64" s="1"/>
  <c r="I762" i="4"/>
  <c r="BX111" i="64"/>
  <c r="BX119" i="64" s="1"/>
  <c r="BX65" i="64" s="1"/>
  <c r="BX845" i="4"/>
  <c r="BX115" i="64" s="1"/>
  <c r="AV873" i="4"/>
  <c r="AV901" i="4" s="1"/>
  <c r="BW873" i="4"/>
  <c r="BW901" i="4" s="1"/>
  <c r="L115" i="64"/>
  <c r="BN873" i="4"/>
  <c r="BN901" i="4" s="1"/>
  <c r="I839" i="4"/>
  <c r="O873" i="4"/>
  <c r="O901" i="4" s="1"/>
  <c r="AM114" i="64"/>
  <c r="AG113" i="64"/>
  <c r="N112" i="64"/>
  <c r="Y112" i="64"/>
  <c r="AM112" i="64"/>
  <c r="CM115" i="64"/>
  <c r="BS114" i="64"/>
  <c r="AM115" i="64"/>
  <c r="AI113" i="64"/>
  <c r="N114" i="64"/>
  <c r="AI114" i="64"/>
  <c r="BK115" i="64"/>
  <c r="AM113" i="64"/>
  <c r="CM112" i="64"/>
  <c r="AI112" i="64"/>
  <c r="BV113" i="64"/>
  <c r="AG114" i="64"/>
  <c r="BK114" i="64"/>
  <c r="R113" i="64"/>
  <c r="AI115" i="64"/>
  <c r="R114" i="64"/>
  <c r="N115" i="64"/>
  <c r="CM114" i="64"/>
  <c r="BK112" i="64"/>
  <c r="BR113" i="64"/>
  <c r="R112" i="64"/>
  <c r="Y115" i="64"/>
  <c r="AP112" i="64"/>
  <c r="CJ114" i="64"/>
  <c r="BM113" i="64"/>
  <c r="Y113" i="64"/>
  <c r="CO114" i="64"/>
  <c r="AT114" i="64"/>
  <c r="AT115" i="64"/>
  <c r="BE112" i="64"/>
  <c r="V112" i="64"/>
  <c r="BQ115" i="64"/>
  <c r="AV854" i="4"/>
  <c r="AV900" i="4" s="1"/>
  <c r="BK113" i="64"/>
  <c r="BV114" i="64"/>
  <c r="BD112" i="64"/>
  <c r="BV112" i="64"/>
  <c r="AM854" i="4"/>
  <c r="AM900" i="4" s="1"/>
  <c r="AN854" i="4"/>
  <c r="AN900" i="4" s="1"/>
  <c r="AT112" i="64"/>
  <c r="R115" i="64"/>
  <c r="BT854" i="4"/>
  <c r="BT900" i="4" s="1"/>
  <c r="AF112" i="64"/>
  <c r="Y114" i="64"/>
  <c r="BC115" i="64"/>
  <c r="Q112" i="64"/>
  <c r="AG112" i="64"/>
  <c r="BY854" i="4"/>
  <c r="BY900" i="4" s="1"/>
  <c r="CH115" i="64"/>
  <c r="BP854" i="4"/>
  <c r="BP900" i="4" s="1"/>
  <c r="AD854" i="4"/>
  <c r="AD900" i="4" s="1"/>
  <c r="CB854" i="4"/>
  <c r="CB900" i="4" s="1"/>
  <c r="BL115" i="64"/>
  <c r="CD115" i="64"/>
  <c r="AT113" i="64"/>
  <c r="BK854" i="4"/>
  <c r="BK900" i="4" s="1"/>
  <c r="O114" i="64"/>
  <c r="BL112" i="64"/>
  <c r="AK854" i="4"/>
  <c r="AK900" i="4" s="1"/>
  <c r="Z854" i="4"/>
  <c r="Z900" i="4" s="1"/>
  <c r="BZ854" i="4"/>
  <c r="BZ900" i="4" s="1"/>
  <c r="AW113" i="64"/>
  <c r="CH112" i="64"/>
  <c r="AR854" i="4"/>
  <c r="AR900" i="4" s="1"/>
  <c r="Q115" i="64"/>
  <c r="CH113" i="64"/>
  <c r="BU854" i="4"/>
  <c r="BU900" i="4" s="1"/>
  <c r="BA854" i="4"/>
  <c r="BA900" i="4" s="1"/>
  <c r="AX854" i="4"/>
  <c r="AX900" i="4" s="1"/>
  <c r="AN115" i="64"/>
  <c r="BZ113" i="64"/>
  <c r="Z114" i="64"/>
  <c r="AS854" i="4"/>
  <c r="AS900" i="4" s="1"/>
  <c r="BV854" i="4"/>
  <c r="BV900" i="4" s="1"/>
  <c r="V115" i="64"/>
  <c r="AO854" i="4"/>
  <c r="AO900" i="4" s="1"/>
  <c r="CC112" i="64"/>
  <c r="CA854" i="4"/>
  <c r="CA900" i="4" s="1"/>
  <c r="P854" i="4"/>
  <c r="P900" i="4" s="1"/>
  <c r="BD69" i="11"/>
  <c r="BD1069" i="4"/>
  <c r="BD1005" i="4"/>
  <c r="BD761" i="4"/>
  <c r="BD1033" i="4" s="1"/>
  <c r="BD44" i="11"/>
  <c r="BD1292" i="4"/>
  <c r="BD1334" i="4"/>
  <c r="BD1127" i="4"/>
  <c r="W44" i="67"/>
  <c r="W13" i="72"/>
  <c r="W38" i="13"/>
  <c r="W69" i="67"/>
  <c r="BH119" i="64"/>
  <c r="BH65" i="64" s="1"/>
  <c r="AM119" i="64"/>
  <c r="AM65" i="64" s="1"/>
  <c r="CO115" i="64"/>
  <c r="AA891" i="4"/>
  <c r="AA890" i="4"/>
  <c r="AI119" i="64"/>
  <c r="AI65" i="64" s="1"/>
  <c r="AI890" i="4"/>
  <c r="AI891" i="4"/>
  <c r="CF69" i="11"/>
  <c r="CF1292" i="4"/>
  <c r="CF1127" i="4"/>
  <c r="CF1005" i="4"/>
  <c r="CF44" i="11"/>
  <c r="CF761" i="4"/>
  <c r="CF1033" i="4" s="1"/>
  <c r="CF1334" i="4"/>
  <c r="CF1069" i="4"/>
  <c r="AD13" i="72"/>
  <c r="AD69" i="67"/>
  <c r="AD44" i="67"/>
  <c r="AD38" i="13"/>
  <c r="CA890" i="4"/>
  <c r="CA891" i="4"/>
  <c r="AH1292" i="4"/>
  <c r="AH69" i="11"/>
  <c r="AH1005" i="4"/>
  <c r="AH1127" i="4"/>
  <c r="AH1069" i="4"/>
  <c r="AH761" i="4"/>
  <c r="AH1033" i="4" s="1"/>
  <c r="AH1334" i="4"/>
  <c r="AH44" i="11"/>
  <c r="T114" i="64"/>
  <c r="BC114" i="64"/>
  <c r="W761" i="4"/>
  <c r="W1033" i="4" s="1"/>
  <c r="W1069" i="4"/>
  <c r="W69" i="11"/>
  <c r="W1127" i="4"/>
  <c r="W1005" i="4"/>
  <c r="W1292" i="4"/>
  <c r="W1334" i="4"/>
  <c r="W44" i="11"/>
  <c r="BL114" i="64"/>
  <c r="P891" i="4"/>
  <c r="P890" i="4"/>
  <c r="Q119" i="64"/>
  <c r="Q65" i="64" s="1"/>
  <c r="BZ114" i="64"/>
  <c r="AI854" i="4"/>
  <c r="AI900" i="4" s="1"/>
  <c r="BN891" i="4"/>
  <c r="BN890" i="4"/>
  <c r="N854" i="4"/>
  <c r="N900" i="4" s="1"/>
  <c r="BU1334" i="4"/>
  <c r="BU1069" i="4"/>
  <c r="BU1127" i="4"/>
  <c r="BU761" i="4"/>
  <c r="BU1033" i="4" s="1"/>
  <c r="BU44" i="11"/>
  <c r="BU69" i="11"/>
  <c r="BU1292" i="4"/>
  <c r="BU1005" i="4"/>
  <c r="CH114" i="64"/>
  <c r="AS890" i="4"/>
  <c r="AS891" i="4"/>
  <c r="AU1069" i="4"/>
  <c r="AU761" i="4"/>
  <c r="AU1033" i="4" s="1"/>
  <c r="AU1127" i="4"/>
  <c r="AU44" i="11"/>
  <c r="AU1005" i="4"/>
  <c r="AU69" i="11"/>
  <c r="AU1292" i="4"/>
  <c r="AU1334" i="4"/>
  <c r="CA44" i="11"/>
  <c r="CA1005" i="4"/>
  <c r="CA1127" i="4"/>
  <c r="CA1334" i="4"/>
  <c r="CA1069" i="4"/>
  <c r="CA1292" i="4"/>
  <c r="CA69" i="11"/>
  <c r="CA761" i="4"/>
  <c r="CA1033" i="4" s="1"/>
  <c r="BR890" i="4"/>
  <c r="BR891" i="4"/>
  <c r="CN113" i="64"/>
  <c r="CC854" i="4"/>
  <c r="CC900" i="4" s="1"/>
  <c r="BP119" i="64"/>
  <c r="BP65" i="64" s="1"/>
  <c r="BG112" i="64"/>
  <c r="AZ890" i="4"/>
  <c r="AZ891" i="4"/>
  <c r="BF114" i="64"/>
  <c r="BZ761" i="4"/>
  <c r="BZ1033" i="4" s="1"/>
  <c r="BZ1005" i="4"/>
  <c r="BZ1069" i="4"/>
  <c r="BZ44" i="11"/>
  <c r="BZ1292" i="4"/>
  <c r="BZ69" i="11"/>
  <c r="BZ1334" i="4"/>
  <c r="BZ1127" i="4"/>
  <c r="CC891" i="4"/>
  <c r="CC890" i="4"/>
  <c r="BS890" i="4"/>
  <c r="BS891" i="4"/>
  <c r="BG854" i="4"/>
  <c r="BG900" i="4" s="1"/>
  <c r="AR115" i="64"/>
  <c r="P115" i="64"/>
  <c r="BT115" i="64"/>
  <c r="AV119" i="64"/>
  <c r="AV65" i="64" s="1"/>
  <c r="AY891" i="4"/>
  <c r="AY890" i="4"/>
  <c r="M113" i="64"/>
  <c r="S119" i="64"/>
  <c r="S65" i="64" s="1"/>
  <c r="S1334" i="4"/>
  <c r="S1127" i="4"/>
  <c r="S1069" i="4"/>
  <c r="S1005" i="4"/>
  <c r="S69" i="11"/>
  <c r="S44" i="11"/>
  <c r="S761" i="4"/>
  <c r="S1033" i="4" s="1"/>
  <c r="S1292" i="4"/>
  <c r="X114" i="64"/>
  <c r="AD115" i="64"/>
  <c r="BO113" i="64"/>
  <c r="N890" i="4"/>
  <c r="N891" i="4"/>
  <c r="AN119" i="64"/>
  <c r="AN65" i="64" s="1"/>
  <c r="AX891" i="4"/>
  <c r="AX890" i="4"/>
  <c r="BH1334" i="4"/>
  <c r="BH761" i="4"/>
  <c r="BH1033" i="4" s="1"/>
  <c r="BH1292" i="4"/>
  <c r="BH1069" i="4"/>
  <c r="BH44" i="11"/>
  <c r="BH1127" i="4"/>
  <c r="BH69" i="11"/>
  <c r="BH1005" i="4"/>
  <c r="X69" i="67"/>
  <c r="X38" i="13"/>
  <c r="X44" i="67"/>
  <c r="X13" i="72"/>
  <c r="BA890" i="4"/>
  <c r="BA891" i="4"/>
  <c r="CC119" i="64"/>
  <c r="CC65" i="64" s="1"/>
  <c r="CK891" i="4"/>
  <c r="CK890" i="4"/>
  <c r="BM890" i="4"/>
  <c r="BM891" i="4"/>
  <c r="AU890" i="4"/>
  <c r="AU891" i="4"/>
  <c r="CD119" i="64"/>
  <c r="CD65" i="64" s="1"/>
  <c r="O890" i="4"/>
  <c r="O891" i="4"/>
  <c r="BR44" i="11"/>
  <c r="BR761" i="4"/>
  <c r="BR1033" i="4" s="1"/>
  <c r="BR1292" i="4"/>
  <c r="BR1069" i="4"/>
  <c r="BR69" i="11"/>
  <c r="BR1005" i="4"/>
  <c r="BR1127" i="4"/>
  <c r="BR1334" i="4"/>
  <c r="CN112" i="64"/>
  <c r="BP114" i="64"/>
  <c r="BG114" i="64"/>
  <c r="AO1292" i="4"/>
  <c r="AO1069" i="4"/>
  <c r="AO1334" i="4"/>
  <c r="AO1005" i="4"/>
  <c r="AO1127" i="4"/>
  <c r="AO44" i="11"/>
  <c r="AO69" i="11"/>
  <c r="AO761" i="4"/>
  <c r="AO1033" i="4" s="1"/>
  <c r="BU119" i="64"/>
  <c r="BU65" i="64" s="1"/>
  <c r="AS119" i="64"/>
  <c r="AS65" i="64" s="1"/>
  <c r="CN854" i="4"/>
  <c r="BS1127" i="4"/>
  <c r="BS69" i="11"/>
  <c r="BS1005" i="4"/>
  <c r="BS1069" i="4"/>
  <c r="BS44" i="11"/>
  <c r="BS1292" i="4"/>
  <c r="BS761" i="4"/>
  <c r="BS1033" i="4" s="1"/>
  <c r="BS1334" i="4"/>
  <c r="BA119" i="64"/>
  <c r="BA65" i="64" s="1"/>
  <c r="AU115" i="64"/>
  <c r="BG1127" i="4"/>
  <c r="BG69" i="11"/>
  <c r="BG1292" i="4"/>
  <c r="BG1005" i="4"/>
  <c r="BG44" i="11"/>
  <c r="BG761" i="4"/>
  <c r="BG1033" i="4" s="1"/>
  <c r="BG1069" i="4"/>
  <c r="BG1334" i="4"/>
  <c r="BJ1069" i="4"/>
  <c r="BJ69" i="11"/>
  <c r="BJ761" i="4"/>
  <c r="BJ1033" i="4" s="1"/>
  <c r="BJ1127" i="4"/>
  <c r="BJ1005" i="4"/>
  <c r="BJ1292" i="4"/>
  <c r="BJ44" i="11"/>
  <c r="BJ1334" i="4"/>
  <c r="BT114" i="64"/>
  <c r="AH115" i="64"/>
  <c r="CM854" i="4"/>
  <c r="CM900" i="4" s="1"/>
  <c r="AV115" i="64"/>
  <c r="CF113" i="64"/>
  <c r="BX761" i="4"/>
  <c r="BX1033" i="4" s="1"/>
  <c r="BX1127" i="4"/>
  <c r="BX1005" i="4"/>
  <c r="BX1069" i="4"/>
  <c r="BX1334" i="4"/>
  <c r="BX1292" i="4"/>
  <c r="BX69" i="11"/>
  <c r="BX44" i="11"/>
  <c r="S113" i="64"/>
  <c r="CB119" i="64"/>
  <c r="CB65" i="64" s="1"/>
  <c r="AD112" i="64"/>
  <c r="CE761" i="4"/>
  <c r="CE1033" i="4" s="1"/>
  <c r="CE44" i="11"/>
  <c r="CE1069" i="4"/>
  <c r="CE1127" i="4"/>
  <c r="CE1292" i="4"/>
  <c r="CE1334" i="4"/>
  <c r="CE69" i="11"/>
  <c r="CE1005" i="4"/>
  <c r="V119" i="64"/>
  <c r="V65" i="64" s="1"/>
  <c r="BL113" i="64"/>
  <c r="AQ891" i="4"/>
  <c r="AQ890" i="4"/>
  <c r="CO854" i="4"/>
  <c r="CO890" i="4"/>
  <c r="CO891" i="4"/>
  <c r="BH891" i="4"/>
  <c r="BH890" i="4"/>
  <c r="BL890" i="4"/>
  <c r="BL891" i="4"/>
  <c r="Y1005" i="4"/>
  <c r="Y1334" i="4"/>
  <c r="Y44" i="11"/>
  <c r="Y761" i="4"/>
  <c r="Y1033" i="4" s="1"/>
  <c r="Y1069" i="4"/>
  <c r="Y1127" i="4"/>
  <c r="Y69" i="11"/>
  <c r="Y1292" i="4"/>
  <c r="AN44" i="11"/>
  <c r="AN1069" i="4"/>
  <c r="AN761" i="4"/>
  <c r="AN1033" i="4" s="1"/>
  <c r="AN1292" i="4"/>
  <c r="AN1127" i="4"/>
  <c r="AN1334" i="4"/>
  <c r="AN69" i="11"/>
  <c r="AN1005" i="4"/>
  <c r="CM1292" i="4"/>
  <c r="CM761" i="4"/>
  <c r="CM1033" i="4" s="1"/>
  <c r="CM1334" i="4"/>
  <c r="CM1005" i="4"/>
  <c r="CM1069" i="4"/>
  <c r="CM44" i="11"/>
  <c r="CM69" i="11"/>
  <c r="CM1127" i="4"/>
  <c r="CC114" i="64"/>
  <c r="V891" i="4"/>
  <c r="V890" i="4"/>
  <c r="BM1069" i="4"/>
  <c r="BM761" i="4"/>
  <c r="BM1033" i="4" s="1"/>
  <c r="BM1292" i="4"/>
  <c r="BM1005" i="4"/>
  <c r="BM1127" i="4"/>
  <c r="BM1334" i="4"/>
  <c r="BM44" i="11"/>
  <c r="BM69" i="11"/>
  <c r="AK119" i="64"/>
  <c r="AK65" i="64" s="1"/>
  <c r="O761" i="4"/>
  <c r="O1033" i="4" s="1"/>
  <c r="O44" i="11"/>
  <c r="O69" i="11"/>
  <c r="O1069" i="4"/>
  <c r="O1127" i="4"/>
  <c r="O1292" i="4"/>
  <c r="O1334" i="4"/>
  <c r="O1005" i="4"/>
  <c r="CN114" i="64"/>
  <c r="AL1292" i="4"/>
  <c r="AL1069" i="4"/>
  <c r="AL44" i="11"/>
  <c r="AL761" i="4"/>
  <c r="AL1033" i="4" s="1"/>
  <c r="AL1127" i="4"/>
  <c r="AL1334" i="4"/>
  <c r="AL1005" i="4"/>
  <c r="AL69" i="11"/>
  <c r="BP112" i="64"/>
  <c r="BG113" i="64"/>
  <c r="AO891" i="4"/>
  <c r="AO890" i="4"/>
  <c r="BE890" i="4"/>
  <c r="BE891" i="4"/>
  <c r="BU115" i="64"/>
  <c r="AC891" i="4"/>
  <c r="AC890" i="4"/>
  <c r="AS112" i="64"/>
  <c r="BO44" i="11"/>
  <c r="BO1127" i="4"/>
  <c r="BO1069" i="4"/>
  <c r="BO69" i="11"/>
  <c r="BO1005" i="4"/>
  <c r="BO1292" i="4"/>
  <c r="BO1334" i="4"/>
  <c r="BO761" i="4"/>
  <c r="BO1033" i="4" s="1"/>
  <c r="BY119" i="64"/>
  <c r="BY65" i="64" s="1"/>
  <c r="BA114" i="64"/>
  <c r="AY119" i="64"/>
  <c r="AY65" i="64" s="1"/>
  <c r="AE890" i="4"/>
  <c r="AE891" i="4"/>
  <c r="S854" i="4"/>
  <c r="BJ891" i="4"/>
  <c r="BJ890" i="4"/>
  <c r="AG854" i="4"/>
  <c r="AG900" i="4" s="1"/>
  <c r="AV112" i="64"/>
  <c r="BX891" i="4"/>
  <c r="BX890" i="4"/>
  <c r="S114" i="64"/>
  <c r="CB113" i="64"/>
  <c r="CN890" i="4"/>
  <c r="CN891" i="4"/>
  <c r="CG1334" i="4"/>
  <c r="CG1005" i="4"/>
  <c r="CG1127" i="4"/>
  <c r="CG1292" i="4"/>
  <c r="CG761" i="4"/>
  <c r="CG1033" i="4" s="1"/>
  <c r="CG44" i="11"/>
  <c r="CG1069" i="4"/>
  <c r="CG69" i="11"/>
  <c r="AN114" i="64"/>
  <c r="Q114" i="64"/>
  <c r="Q891" i="4"/>
  <c r="Q890" i="4"/>
  <c r="AD1292" i="4"/>
  <c r="AD69" i="11"/>
  <c r="AD44" i="11"/>
  <c r="AD1005" i="4"/>
  <c r="AD1069" i="4"/>
  <c r="AD1334" i="4"/>
  <c r="AD1127" i="4"/>
  <c r="AD761" i="4"/>
  <c r="AD1033" i="4" s="1"/>
  <c r="CO119" i="64"/>
  <c r="CH1292" i="4"/>
  <c r="CH1005" i="4"/>
  <c r="CH1069" i="4"/>
  <c r="CH44" i="11"/>
  <c r="CH761" i="4"/>
  <c r="CH1033" i="4" s="1"/>
  <c r="CH69" i="11"/>
  <c r="CH1334" i="4"/>
  <c r="CH1127" i="4"/>
  <c r="U891" i="4"/>
  <c r="U890" i="4"/>
  <c r="CB761" i="4"/>
  <c r="CB1033" i="4" s="1"/>
  <c r="CB1069" i="4"/>
  <c r="CB1005" i="4"/>
  <c r="CB1334" i="4"/>
  <c r="CB44" i="11"/>
  <c r="CB1292" i="4"/>
  <c r="CB69" i="11"/>
  <c r="CB1127" i="4"/>
  <c r="AC13" i="72"/>
  <c r="AC38" i="13"/>
  <c r="AC69" i="67"/>
  <c r="AC44" i="67"/>
  <c r="Z119" i="64"/>
  <c r="Z65" i="64" s="1"/>
  <c r="AN891" i="4"/>
  <c r="AN890" i="4"/>
  <c r="V854" i="4"/>
  <c r="V900" i="4" s="1"/>
  <c r="CC115" i="64"/>
  <c r="BK119" i="64"/>
  <c r="BK65" i="64" s="1"/>
  <c r="AK115" i="64"/>
  <c r="CD113" i="64"/>
  <c r="AF1334" i="4"/>
  <c r="AF69" i="11"/>
  <c r="AF44" i="11"/>
  <c r="AF1292" i="4"/>
  <c r="AF1127" i="4"/>
  <c r="AF761" i="4"/>
  <c r="AF1033" i="4" s="1"/>
  <c r="AF1005" i="4"/>
  <c r="AF1069" i="4"/>
  <c r="Y119" i="64"/>
  <c r="Y65" i="64" s="1"/>
  <c r="AV891" i="4"/>
  <c r="AV890" i="4"/>
  <c r="CN115" i="64"/>
  <c r="AL891" i="4"/>
  <c r="AL890" i="4"/>
  <c r="BP113" i="64"/>
  <c r="BG115" i="64"/>
  <c r="CA119" i="64"/>
  <c r="CA65" i="64" s="1"/>
  <c r="AL113" i="64"/>
  <c r="BE1005" i="4"/>
  <c r="BE69" i="11"/>
  <c r="BE1334" i="4"/>
  <c r="BE761" i="4"/>
  <c r="BE1033" i="4" s="1"/>
  <c r="BE1127" i="4"/>
  <c r="BE1292" i="4"/>
  <c r="BE1069" i="4"/>
  <c r="BE44" i="11"/>
  <c r="BU114" i="64"/>
  <c r="L968" i="4"/>
  <c r="I968" i="4" s="1"/>
  <c r="G87" i="15" s="1"/>
  <c r="I967" i="4"/>
  <c r="AC44" i="11"/>
  <c r="AC761" i="4"/>
  <c r="AC1033" i="4" s="1"/>
  <c r="AC1069" i="4"/>
  <c r="AC1127" i="4"/>
  <c r="AC1334" i="4"/>
  <c r="AC69" i="11"/>
  <c r="AC1292" i="4"/>
  <c r="AC1005" i="4"/>
  <c r="AS113" i="64"/>
  <c r="BO890" i="4"/>
  <c r="BO891" i="4"/>
  <c r="BY115" i="64"/>
  <c r="BA113" i="64"/>
  <c r="AO119" i="64"/>
  <c r="AO65" i="64" s="1"/>
  <c r="BV119" i="64"/>
  <c r="BV65" i="64" s="1"/>
  <c r="BT69" i="11"/>
  <c r="BT1005" i="4"/>
  <c r="BT1292" i="4"/>
  <c r="BT1127" i="4"/>
  <c r="BT761" i="4"/>
  <c r="BT1033" i="4" s="1"/>
  <c r="BT1069" i="4"/>
  <c r="BT44" i="11"/>
  <c r="BT1334" i="4"/>
  <c r="AV113" i="64"/>
  <c r="AJ891" i="4"/>
  <c r="AJ890" i="4"/>
  <c r="AX119" i="64"/>
  <c r="AX65" i="64" s="1"/>
  <c r="S112" i="64"/>
  <c r="CB115" i="64"/>
  <c r="T1127" i="4"/>
  <c r="T69" i="11"/>
  <c r="T761" i="4"/>
  <c r="T1033" i="4" s="1"/>
  <c r="T1005" i="4"/>
  <c r="T1334" i="4"/>
  <c r="T1069" i="4"/>
  <c r="T44" i="11"/>
  <c r="T1292" i="4"/>
  <c r="W890" i="4"/>
  <c r="W891" i="4"/>
  <c r="Z1292" i="4"/>
  <c r="Z44" i="11"/>
  <c r="Z1334" i="4"/>
  <c r="Z761" i="4"/>
  <c r="Z1033" i="4" s="1"/>
  <c r="Z1127" i="4"/>
  <c r="Z1005" i="4"/>
  <c r="Z69" i="11"/>
  <c r="Z1069" i="4"/>
  <c r="Q854" i="4"/>
  <c r="Q900" i="4" s="1"/>
  <c r="BW1069" i="4"/>
  <c r="BW761" i="4"/>
  <c r="BW1033" i="4" s="1"/>
  <c r="BW69" i="11"/>
  <c r="BW44" i="11"/>
  <c r="BW1005" i="4"/>
  <c r="BW1334" i="4"/>
  <c r="BW1127" i="4"/>
  <c r="BW1292" i="4"/>
  <c r="CM119" i="64"/>
  <c r="CM65" i="64" s="1"/>
  <c r="BC119" i="64"/>
  <c r="BC65" i="64" s="1"/>
  <c r="AR1005" i="4"/>
  <c r="AR761" i="4"/>
  <c r="AR1033" i="4" s="1"/>
  <c r="AR69" i="11"/>
  <c r="AR1069" i="4"/>
  <c r="AR44" i="11"/>
  <c r="AR1292" i="4"/>
  <c r="AR1334" i="4"/>
  <c r="AR1127" i="4"/>
  <c r="AN113" i="64"/>
  <c r="Q113" i="64"/>
  <c r="BC69" i="11"/>
  <c r="BC761" i="4"/>
  <c r="BC1033" i="4" s="1"/>
  <c r="BC1069" i="4"/>
  <c r="BC1127" i="4"/>
  <c r="BC1334" i="4"/>
  <c r="BC44" i="11"/>
  <c r="BC1005" i="4"/>
  <c r="BC1292" i="4"/>
  <c r="CH854" i="4"/>
  <c r="CH900" i="4" s="1"/>
  <c r="AD891" i="4"/>
  <c r="AD890" i="4"/>
  <c r="BZ119" i="64"/>
  <c r="BZ65" i="64" s="1"/>
  <c r="CO112" i="64"/>
  <c r="Z112" i="64"/>
  <c r="CL44" i="11"/>
  <c r="CL761" i="4"/>
  <c r="CL1033" i="4" s="1"/>
  <c r="CL69" i="11"/>
  <c r="CL1127" i="4"/>
  <c r="CL1069" i="4"/>
  <c r="CL1292" i="4"/>
  <c r="CL1334" i="4"/>
  <c r="CL1005" i="4"/>
  <c r="BB1334" i="4"/>
  <c r="BB1127" i="4"/>
  <c r="BB1005" i="4"/>
  <c r="BB69" i="11"/>
  <c r="BB44" i="11"/>
  <c r="BB1069" i="4"/>
  <c r="BB1292" i="4"/>
  <c r="BB761" i="4"/>
  <c r="BB1033" i="4" s="1"/>
  <c r="AK112" i="64"/>
  <c r="CD112" i="64"/>
  <c r="CD1069" i="4"/>
  <c r="CD69" i="11"/>
  <c r="CD1292" i="4"/>
  <c r="CD1334" i="4"/>
  <c r="CD1005" i="4"/>
  <c r="CD44" i="11"/>
  <c r="CD1127" i="4"/>
  <c r="CD761" i="4"/>
  <c r="CD1033" i="4" s="1"/>
  <c r="BI112" i="64"/>
  <c r="AV1127" i="4"/>
  <c r="AV1334" i="4"/>
  <c r="AV1069" i="4"/>
  <c r="AV69" i="11"/>
  <c r="AV44" i="11"/>
  <c r="AV1292" i="4"/>
  <c r="AV1005" i="4"/>
  <c r="AV761" i="4"/>
  <c r="AV1033" i="4" s="1"/>
  <c r="CJ69" i="11"/>
  <c r="CJ1005" i="4"/>
  <c r="CJ1334" i="4"/>
  <c r="CJ1292" i="4"/>
  <c r="CJ1069" i="4"/>
  <c r="CJ44" i="11"/>
  <c r="CJ761" i="4"/>
  <c r="CJ1033" i="4" s="1"/>
  <c r="CJ1127" i="4"/>
  <c r="AP69" i="11"/>
  <c r="AP44" i="11"/>
  <c r="AP1334" i="4"/>
  <c r="AP761" i="4"/>
  <c r="AP1033" i="4" s="1"/>
  <c r="AP1069" i="4"/>
  <c r="AP1127" i="4"/>
  <c r="AP1292" i="4"/>
  <c r="AP1005" i="4"/>
  <c r="BP115" i="64"/>
  <c r="CA115" i="64"/>
  <c r="BJ115" i="64"/>
  <c r="AG119" i="64"/>
  <c r="AG65" i="64" s="1"/>
  <c r="BU113" i="64"/>
  <c r="CG119" i="64"/>
  <c r="CG65" i="64" s="1"/>
  <c r="AS115" i="64"/>
  <c r="BY112" i="64"/>
  <c r="BA115" i="64"/>
  <c r="AO112" i="64"/>
  <c r="AR119" i="64"/>
  <c r="AR65" i="64" s="1"/>
  <c r="P119" i="64"/>
  <c r="P65" i="64" s="1"/>
  <c r="AB1292" i="4"/>
  <c r="AB1334" i="4"/>
  <c r="AB1127" i="4"/>
  <c r="AB1069" i="4"/>
  <c r="AB69" i="11"/>
  <c r="AB44" i="11"/>
  <c r="AB1005" i="4"/>
  <c r="AB761" i="4"/>
  <c r="AB1033" i="4" s="1"/>
  <c r="BT891" i="4"/>
  <c r="BT890" i="4"/>
  <c r="AV114" i="64"/>
  <c r="AJ119" i="64"/>
  <c r="AJ65" i="64" s="1"/>
  <c r="AX112" i="64"/>
  <c r="S115" i="64"/>
  <c r="CB112" i="64"/>
  <c r="R119" i="64"/>
  <c r="R65" i="64" s="1"/>
  <c r="M891" i="4"/>
  <c r="M890" i="4"/>
  <c r="CE891" i="4"/>
  <c r="CE890" i="4"/>
  <c r="BF761" i="4"/>
  <c r="BF1033" i="4" s="1"/>
  <c r="BF1127" i="4"/>
  <c r="BF69" i="11"/>
  <c r="BF1334" i="4"/>
  <c r="BF44" i="11"/>
  <c r="BF1069" i="4"/>
  <c r="BF1005" i="4"/>
  <c r="BF1292" i="4"/>
  <c r="Z891" i="4"/>
  <c r="Z890" i="4"/>
  <c r="BW890" i="4"/>
  <c r="BW891" i="4"/>
  <c r="W119" i="64"/>
  <c r="W65" i="64" s="1"/>
  <c r="BC113" i="64"/>
  <c r="V113" i="64"/>
  <c r="R854" i="4"/>
  <c r="BN119" i="64"/>
  <c r="BN65" i="64" s="1"/>
  <c r="AN112" i="64"/>
  <c r="BC891" i="4"/>
  <c r="BC890" i="4"/>
  <c r="BZ112" i="64"/>
  <c r="CO113" i="64"/>
  <c r="Z113" i="64"/>
  <c r="CL891" i="4"/>
  <c r="CL890" i="4"/>
  <c r="CC113" i="64"/>
  <c r="BB891" i="4"/>
  <c r="BB890" i="4"/>
  <c r="AK114" i="64"/>
  <c r="CD114" i="64"/>
  <c r="CD890" i="4"/>
  <c r="CD891" i="4"/>
  <c r="L759" i="4"/>
  <c r="L886" i="4"/>
  <c r="I707" i="4"/>
  <c r="G77" i="15" s="1"/>
  <c r="G81" i="15" s="1"/>
  <c r="CJ891" i="4"/>
  <c r="CJ890" i="4"/>
  <c r="AP890" i="4"/>
  <c r="AP891" i="4"/>
  <c r="CA114" i="64"/>
  <c r="BY890" i="4"/>
  <c r="BY891" i="4"/>
  <c r="CD854" i="4"/>
  <c r="CD900" i="4" s="1"/>
  <c r="BU112" i="64"/>
  <c r="AS114" i="64"/>
  <c r="U112" i="64"/>
  <c r="BY114" i="64"/>
  <c r="BA112" i="64"/>
  <c r="AO113" i="64"/>
  <c r="AR113" i="64"/>
  <c r="AE113" i="64"/>
  <c r="P112" i="64"/>
  <c r="BT119" i="64"/>
  <c r="BT65" i="64" s="1"/>
  <c r="AG69" i="11"/>
  <c r="AG1127" i="4"/>
  <c r="AG1334" i="4"/>
  <c r="AG44" i="11"/>
  <c r="AG1005" i="4"/>
  <c r="AG761" i="4"/>
  <c r="AG1033" i="4" s="1"/>
  <c r="AG1069" i="4"/>
  <c r="AG1292" i="4"/>
  <c r="AX114" i="64"/>
  <c r="CB114" i="64"/>
  <c r="AD119" i="64"/>
  <c r="AD65" i="64" s="1"/>
  <c r="AT854" i="4"/>
  <c r="AT900" i="4" s="1"/>
  <c r="BX113" i="64"/>
  <c r="BQ890" i="4"/>
  <c r="BQ891" i="4"/>
  <c r="BL854" i="4"/>
  <c r="BL900" i="4" s="1"/>
  <c r="BC112" i="64"/>
  <c r="V114" i="64"/>
  <c r="BK890" i="4"/>
  <c r="BK891" i="4"/>
  <c r="BD891" i="4"/>
  <c r="BD890" i="4"/>
  <c r="AM890" i="4"/>
  <c r="AM891" i="4"/>
  <c r="X890" i="4"/>
  <c r="X891" i="4"/>
  <c r="BZ115" i="64"/>
  <c r="Z115" i="64"/>
  <c r="CH119" i="64"/>
  <c r="CH65" i="64" s="1"/>
  <c r="BP891" i="4"/>
  <c r="BP890" i="4"/>
  <c r="AK113" i="64"/>
  <c r="CF890" i="4"/>
  <c r="CF891" i="4"/>
  <c r="N119" i="64"/>
  <c r="CA113" i="64"/>
  <c r="CI1127" i="4"/>
  <c r="CI761" i="4"/>
  <c r="CI1033" i="4" s="1"/>
  <c r="CI44" i="11"/>
  <c r="CI1334" i="4"/>
  <c r="CI1005" i="4"/>
  <c r="CI1069" i="4"/>
  <c r="CI1292" i="4"/>
  <c r="CI69" i="11"/>
  <c r="CK112" i="64"/>
  <c r="BY113" i="64"/>
  <c r="AT119" i="64"/>
  <c r="AT65" i="64" s="1"/>
  <c r="BW112" i="64"/>
  <c r="AO115" i="64"/>
  <c r="AR112" i="64"/>
  <c r="BV115" i="64"/>
  <c r="P114" i="64"/>
  <c r="BT112" i="64"/>
  <c r="BI761" i="4"/>
  <c r="BI1033" i="4" s="1"/>
  <c r="BI1069" i="4"/>
  <c r="BI44" i="11"/>
  <c r="BI1334" i="4"/>
  <c r="BI1127" i="4"/>
  <c r="BI69" i="11"/>
  <c r="BI1005" i="4"/>
  <c r="BI1292" i="4"/>
  <c r="AG891" i="4"/>
  <c r="AG890" i="4"/>
  <c r="R761" i="4"/>
  <c r="R1033" i="4" s="1"/>
  <c r="R1292" i="4"/>
  <c r="R1005" i="4"/>
  <c r="R1334" i="4"/>
  <c r="R1069" i="4"/>
  <c r="R44" i="11"/>
  <c r="R69" i="11"/>
  <c r="R1127" i="4"/>
  <c r="AX113" i="64"/>
  <c r="AD114" i="64"/>
  <c r="CI115" i="64"/>
  <c r="BC854" i="4"/>
  <c r="BC900" i="4" s="1"/>
  <c r="BK1069" i="4"/>
  <c r="BK44" i="11"/>
  <c r="BK1292" i="4"/>
  <c r="BK1127" i="4"/>
  <c r="BK1005" i="4"/>
  <c r="BK1334" i="4"/>
  <c r="BK761" i="4"/>
  <c r="BK1033" i="4" s="1"/>
  <c r="BK69" i="11"/>
  <c r="AK891" i="4"/>
  <c r="AK890" i="4"/>
  <c r="BL119" i="64"/>
  <c r="BL65" i="64" s="1"/>
  <c r="BN1292" i="4"/>
  <c r="BN1127" i="4"/>
  <c r="BN1069" i="4"/>
  <c r="BN761" i="4"/>
  <c r="BN1033" i="4" s="1"/>
  <c r="BN1334" i="4"/>
  <c r="BN69" i="11"/>
  <c r="BN1005" i="4"/>
  <c r="BN44" i="11"/>
  <c r="BP1334" i="4"/>
  <c r="BP1127" i="4"/>
  <c r="BP1005" i="4"/>
  <c r="BP44" i="11"/>
  <c r="BP1292" i="4"/>
  <c r="BP761" i="4"/>
  <c r="BP1033" i="4" s="1"/>
  <c r="BP69" i="11"/>
  <c r="BP1069" i="4"/>
  <c r="AA119" i="64"/>
  <c r="AA65" i="64" s="1"/>
  <c r="CN119" i="64"/>
  <c r="CN65" i="64" s="1"/>
  <c r="AT891" i="4"/>
  <c r="AT890" i="4"/>
  <c r="BG119" i="64"/>
  <c r="BG65" i="64" s="1"/>
  <c r="CA112" i="64"/>
  <c r="AZ1127" i="4"/>
  <c r="AZ1334" i="4"/>
  <c r="AZ1005" i="4"/>
  <c r="AZ44" i="11"/>
  <c r="AZ1292" i="4"/>
  <c r="AZ69" i="11"/>
  <c r="AZ1069" i="4"/>
  <c r="AZ761" i="4"/>
  <c r="AZ1033" i="4" s="1"/>
  <c r="CI890" i="4"/>
  <c r="CI891" i="4"/>
  <c r="CC1069" i="4"/>
  <c r="CC44" i="11"/>
  <c r="CC1292" i="4"/>
  <c r="CC1127" i="4"/>
  <c r="CC69" i="11"/>
  <c r="CC1005" i="4"/>
  <c r="CC761" i="4"/>
  <c r="CC1033" i="4" s="1"/>
  <c r="CC1334" i="4"/>
  <c r="AW891" i="4"/>
  <c r="AW890" i="4"/>
  <c r="Y854" i="4"/>
  <c r="AO114" i="64"/>
  <c r="AR114" i="64"/>
  <c r="BV890" i="4"/>
  <c r="BV891" i="4"/>
  <c r="P113" i="64"/>
  <c r="BT113" i="64"/>
  <c r="AY761" i="4"/>
  <c r="AY1033" i="4" s="1"/>
  <c r="AY1069" i="4"/>
  <c r="AY69" i="11"/>
  <c r="AY1292" i="4"/>
  <c r="AY1127" i="4"/>
  <c r="AY1005" i="4"/>
  <c r="AY1334" i="4"/>
  <c r="AY44" i="11"/>
  <c r="AZ112" i="64"/>
  <c r="AX115" i="64"/>
  <c r="S890" i="4"/>
  <c r="S891" i="4"/>
  <c r="AD113" i="64"/>
  <c r="BB115" i="64"/>
  <c r="BM115" i="64" l="1"/>
  <c r="BM112" i="64"/>
  <c r="AC112" i="64"/>
  <c r="AI44" i="11"/>
  <c r="AI1292" i="4"/>
  <c r="AI761" i="4"/>
  <c r="AI1033" i="4" s="1"/>
  <c r="Q13" i="72"/>
  <c r="AI69" i="11"/>
  <c r="Q44" i="67"/>
  <c r="AI1334" i="4"/>
  <c r="Q69" i="67"/>
  <c r="AI1127" i="4"/>
  <c r="AI1069" i="4"/>
  <c r="AI1005" i="4"/>
  <c r="AC113" i="64"/>
  <c r="CE112" i="64"/>
  <c r="Z38" i="13"/>
  <c r="AS69" i="11"/>
  <c r="T891" i="4"/>
  <c r="CJ854" i="4"/>
  <c r="CJ900" i="4" s="1"/>
  <c r="AL854" i="4"/>
  <c r="AL900" i="4" s="1"/>
  <c r="AS1005" i="4"/>
  <c r="CN1292" i="4"/>
  <c r="X854" i="4"/>
  <c r="X888" i="4" s="1"/>
  <c r="X894" i="4" s="1"/>
  <c r="X896" i="4" s="1"/>
  <c r="X902" i="4" s="1"/>
  <c r="BW854" i="4"/>
  <c r="BW900" i="4" s="1"/>
  <c r="P44" i="67"/>
  <c r="CF854" i="4"/>
  <c r="CF900" i="4" s="1"/>
  <c r="CN44" i="11"/>
  <c r="AE1292" i="4"/>
  <c r="AS761" i="4"/>
  <c r="AS1033" i="4" s="1"/>
  <c r="AS44" i="11"/>
  <c r="AS1334" i="4"/>
  <c r="AW1292" i="4"/>
  <c r="AW761" i="4"/>
  <c r="AW1033" i="4" s="1"/>
  <c r="AS1127" i="4"/>
  <c r="AS1292" i="4"/>
  <c r="CN761" i="4"/>
  <c r="CN1033" i="4" s="1"/>
  <c r="CN1005" i="4"/>
  <c r="CN69" i="11"/>
  <c r="V44" i="67"/>
  <c r="CN1069" i="4"/>
  <c r="V38" i="13"/>
  <c r="CN1334" i="4"/>
  <c r="T854" i="4"/>
  <c r="T888" i="4" s="1"/>
  <c r="T894" i="4" s="1"/>
  <c r="V13" i="72"/>
  <c r="BF854" i="4"/>
  <c r="BF900" i="4" s="1"/>
  <c r="AM69" i="11"/>
  <c r="BB854" i="4"/>
  <c r="BB900" i="4" s="1"/>
  <c r="AJ44" i="11"/>
  <c r="BF113" i="64"/>
  <c r="BF120" i="64" s="1"/>
  <c r="BF64" i="64" s="1"/>
  <c r="AM761" i="4"/>
  <c r="AM1033" i="4" s="1"/>
  <c r="AJ1005" i="4"/>
  <c r="I850" i="4"/>
  <c r="AM1334" i="4"/>
  <c r="AJ69" i="11"/>
  <c r="AM1292" i="4"/>
  <c r="AJ1292" i="4"/>
  <c r="R13" i="72"/>
  <c r="CG890" i="4"/>
  <c r="AM1005" i="4"/>
  <c r="AJ761" i="4"/>
  <c r="AJ1033" i="4" s="1"/>
  <c r="AM44" i="11"/>
  <c r="AJ1127" i="4"/>
  <c r="AJ1334" i="4"/>
  <c r="AM1069" i="4"/>
  <c r="CG854" i="4"/>
  <c r="CG900" i="4" s="1"/>
  <c r="AB890" i="4"/>
  <c r="AA854" i="4"/>
  <c r="AA900" i="4" s="1"/>
  <c r="I852" i="4"/>
  <c r="I851" i="4"/>
  <c r="BW114" i="64"/>
  <c r="BW120" i="64" s="1"/>
  <c r="BW64" i="64" s="1"/>
  <c r="AA761" i="4"/>
  <c r="AA1033" i="4" s="1"/>
  <c r="CK854" i="4"/>
  <c r="CK900" i="4" s="1"/>
  <c r="P69" i="67"/>
  <c r="P13" i="72"/>
  <c r="BI890" i="4"/>
  <c r="P38" i="13"/>
  <c r="AW1069" i="4"/>
  <c r="X1292" i="4"/>
  <c r="AW69" i="11"/>
  <c r="X1334" i="4"/>
  <c r="AW1334" i="4"/>
  <c r="AW1005" i="4"/>
  <c r="M854" i="4"/>
  <c r="M900" i="4" s="1"/>
  <c r="AW1127" i="4"/>
  <c r="AE1069" i="4"/>
  <c r="AA1069" i="4"/>
  <c r="AE1127" i="4"/>
  <c r="AA1127" i="4"/>
  <c r="AE1334" i="4"/>
  <c r="AA69" i="11"/>
  <c r="AE69" i="11"/>
  <c r="AA1005" i="4"/>
  <c r="AE1005" i="4"/>
  <c r="AA44" i="11"/>
  <c r="AE761" i="4"/>
  <c r="AE1033" i="4" s="1"/>
  <c r="AA1292" i="4"/>
  <c r="BQ69" i="11"/>
  <c r="X1127" i="4"/>
  <c r="I853" i="4"/>
  <c r="O44" i="67"/>
  <c r="X44" i="11"/>
  <c r="BQ854" i="4"/>
  <c r="BQ900" i="4" s="1"/>
  <c r="X69" i="11"/>
  <c r="O13" i="72"/>
  <c r="X1069" i="4"/>
  <c r="O69" i="67"/>
  <c r="O38" i="13"/>
  <c r="X761" i="4"/>
  <c r="X1033" i="4" s="1"/>
  <c r="BH854" i="4"/>
  <c r="BH900" i="4" s="1"/>
  <c r="BH114" i="64"/>
  <c r="BH116" i="64" s="1"/>
  <c r="O854" i="4"/>
  <c r="O900" i="4" s="1"/>
  <c r="BQ761" i="4"/>
  <c r="BQ1033" i="4" s="1"/>
  <c r="Z69" i="67"/>
  <c r="BQ1069" i="4"/>
  <c r="AB854" i="4"/>
  <c r="AB888" i="4" s="1"/>
  <c r="AB894" i="4" s="1"/>
  <c r="BQ1292" i="4"/>
  <c r="BQ1334" i="4"/>
  <c r="AH854" i="4"/>
  <c r="AH900" i="4" s="1"/>
  <c r="AH113" i="64"/>
  <c r="AH116" i="64" s="1"/>
  <c r="CB890" i="4"/>
  <c r="P1334" i="4"/>
  <c r="P1127" i="4"/>
  <c r="P44" i="11"/>
  <c r="BQ44" i="11"/>
  <c r="BF890" i="4"/>
  <c r="CO1127" i="4"/>
  <c r="Z13" i="72"/>
  <c r="BQ1127" i="4"/>
  <c r="AC854" i="4"/>
  <c r="AC900" i="4" s="1"/>
  <c r="Z44" i="67"/>
  <c r="AC114" i="64"/>
  <c r="BD854" i="4"/>
  <c r="BD900" i="4" s="1"/>
  <c r="AH891" i="4"/>
  <c r="BL1069" i="4"/>
  <c r="BL44" i="11"/>
  <c r="BL1334" i="4"/>
  <c r="U1292" i="4"/>
  <c r="T44" i="67"/>
  <c r="BS854" i="4"/>
  <c r="BS900" i="4" s="1"/>
  <c r="Y69" i="67"/>
  <c r="BL1292" i="4"/>
  <c r="AP854" i="4"/>
  <c r="AP900" i="4" s="1"/>
  <c r="Y13" i="72"/>
  <c r="BL761" i="4"/>
  <c r="BL1033" i="4" s="1"/>
  <c r="BY1334" i="4"/>
  <c r="Y38" i="13"/>
  <c r="BL1005" i="4"/>
  <c r="N69" i="11"/>
  <c r="AT44" i="11"/>
  <c r="Y44" i="67"/>
  <c r="BL1127" i="4"/>
  <c r="AE854" i="4"/>
  <c r="AE900" i="4" s="1"/>
  <c r="P69" i="11"/>
  <c r="BI854" i="4"/>
  <c r="BI900" i="4" s="1"/>
  <c r="P1069" i="4"/>
  <c r="P761" i="4"/>
  <c r="P1033" i="4" s="1"/>
  <c r="P1005" i="4"/>
  <c r="AB13" i="72"/>
  <c r="BA1069" i="4"/>
  <c r="AZ854" i="4"/>
  <c r="AZ900" i="4" s="1"/>
  <c r="V69" i="67"/>
  <c r="BA1127" i="4"/>
  <c r="AX69" i="11"/>
  <c r="AX1069" i="4"/>
  <c r="AF890" i="4"/>
  <c r="U69" i="67"/>
  <c r="R44" i="67"/>
  <c r="AX761" i="4"/>
  <c r="AX1033" i="4" s="1"/>
  <c r="AK1334" i="4"/>
  <c r="U44" i="67"/>
  <c r="AF38" i="13"/>
  <c r="AQ1334" i="4"/>
  <c r="AX1334" i="4"/>
  <c r="M69" i="11"/>
  <c r="U38" i="13"/>
  <c r="AX44" i="11"/>
  <c r="U13" i="72"/>
  <c r="AX1127" i="4"/>
  <c r="AE44" i="67"/>
  <c r="AZ115" i="64"/>
  <c r="AZ120" i="64" s="1"/>
  <c r="AZ64" i="64" s="1"/>
  <c r="AX1292" i="4"/>
  <c r="BU891" i="4"/>
  <c r="BI113" i="64"/>
  <c r="BI120" i="64" s="1"/>
  <c r="BI64" i="64" s="1"/>
  <c r="BE854" i="4"/>
  <c r="BE900" i="4" s="1"/>
  <c r="N1127" i="4"/>
  <c r="BY1292" i="4"/>
  <c r="AT69" i="11"/>
  <c r="U44" i="11"/>
  <c r="T69" i="67"/>
  <c r="N1292" i="4"/>
  <c r="T38" i="13"/>
  <c r="BY1127" i="4"/>
  <c r="AT1127" i="4"/>
  <c r="AR890" i="4"/>
  <c r="U1127" i="4"/>
  <c r="T13" i="72"/>
  <c r="N1334" i="4"/>
  <c r="U1334" i="4"/>
  <c r="BY761" i="4"/>
  <c r="BY1033" i="4" s="1"/>
  <c r="AT1292" i="4"/>
  <c r="U1069" i="4"/>
  <c r="N761" i="4"/>
  <c r="N1033" i="4" s="1"/>
  <c r="BY1005" i="4"/>
  <c r="AT1334" i="4"/>
  <c r="U69" i="11"/>
  <c r="AB38" i="13"/>
  <c r="N1005" i="4"/>
  <c r="BY1069" i="4"/>
  <c r="AT761" i="4"/>
  <c r="AT1033" i="4" s="1"/>
  <c r="BY69" i="11"/>
  <c r="AT1069" i="4"/>
  <c r="U1005" i="4"/>
  <c r="AB44" i="67"/>
  <c r="N1069" i="4"/>
  <c r="BY44" i="11"/>
  <c r="W854" i="4"/>
  <c r="W888" i="4" s="1"/>
  <c r="W894" i="4" s="1"/>
  <c r="W896" i="4" s="1"/>
  <c r="W902" i="4" s="1"/>
  <c r="CL854" i="4"/>
  <c r="CL900" i="4" s="1"/>
  <c r="AK1005" i="4"/>
  <c r="BO854" i="4"/>
  <c r="BO900" i="4" s="1"/>
  <c r="AK69" i="11"/>
  <c r="AK1069" i="4"/>
  <c r="R69" i="67"/>
  <c r="AK761" i="4"/>
  <c r="AK1033" i="4" s="1"/>
  <c r="AU854" i="4"/>
  <c r="AU900" i="4" s="1"/>
  <c r="AK1127" i="4"/>
  <c r="CL113" i="64"/>
  <c r="CL120" i="64" s="1"/>
  <c r="CL64" i="64" s="1"/>
  <c r="AK1292" i="4"/>
  <c r="R38" i="13"/>
  <c r="AK44" i="11"/>
  <c r="CK761" i="4"/>
  <c r="CK1033" i="4" s="1"/>
  <c r="W112" i="64"/>
  <c r="W120" i="64" s="1"/>
  <c r="W64" i="64" s="1"/>
  <c r="W80" i="64" s="1"/>
  <c r="U854" i="4"/>
  <c r="U900" i="4" s="1"/>
  <c r="BV69" i="11"/>
  <c r="V1334" i="4"/>
  <c r="BV1069" i="4"/>
  <c r="V1292" i="4"/>
  <c r="BV44" i="11"/>
  <c r="BV1127" i="4"/>
  <c r="BV1292" i="4"/>
  <c r="BV1334" i="4"/>
  <c r="N38" i="13"/>
  <c r="AE13" i="72"/>
  <c r="M1292" i="4"/>
  <c r="CO1069" i="4"/>
  <c r="CK1292" i="4"/>
  <c r="AE38" i="13"/>
  <c r="M1127" i="4"/>
  <c r="CO69" i="11"/>
  <c r="CK1334" i="4"/>
  <c r="M1334" i="4"/>
  <c r="CO1005" i="4"/>
  <c r="CK1069" i="4"/>
  <c r="M761" i="4"/>
  <c r="M1033" i="4" s="1"/>
  <c r="CO761" i="4"/>
  <c r="CO1033" i="4" s="1"/>
  <c r="CK69" i="11"/>
  <c r="M1069" i="4"/>
  <c r="AF69" i="67"/>
  <c r="CO1292" i="4"/>
  <c r="CK1127" i="4"/>
  <c r="M1005" i="4"/>
  <c r="AF44" i="67"/>
  <c r="CO44" i="11"/>
  <c r="CK44" i="11"/>
  <c r="BZ891" i="4"/>
  <c r="AE69" i="67"/>
  <c r="AF13" i="72"/>
  <c r="M38" i="13"/>
  <c r="N69" i="67"/>
  <c r="BG890" i="4"/>
  <c r="V761" i="4"/>
  <c r="V1033" i="4" s="1"/>
  <c r="BA1292" i="4"/>
  <c r="BV1005" i="4"/>
  <c r="U113" i="64"/>
  <c r="U120" i="64" s="1"/>
  <c r="U64" i="64" s="1"/>
  <c r="N44" i="67"/>
  <c r="AA13" i="72"/>
  <c r="V44" i="11"/>
  <c r="BA1334" i="4"/>
  <c r="AF854" i="4"/>
  <c r="AF888" i="4" s="1"/>
  <c r="AF894" i="4" s="1"/>
  <c r="N13" i="72"/>
  <c r="AA44" i="67"/>
  <c r="Q44" i="11"/>
  <c r="V1127" i="4"/>
  <c r="BA69" i="11"/>
  <c r="AA38" i="13"/>
  <c r="V1005" i="4"/>
  <c r="BA1005" i="4"/>
  <c r="BR854" i="4"/>
  <c r="BR888" i="4" s="1"/>
  <c r="BR894" i="4" s="1"/>
  <c r="BR896" i="4" s="1"/>
  <c r="BR902" i="4" s="1"/>
  <c r="AA69" i="67"/>
  <c r="V1069" i="4"/>
  <c r="BA44" i="11"/>
  <c r="BM854" i="4"/>
  <c r="BM900" i="4" s="1"/>
  <c r="BN854" i="4"/>
  <c r="BN900" i="4" s="1"/>
  <c r="CH890" i="4"/>
  <c r="L854" i="4"/>
  <c r="L900" i="4" s="1"/>
  <c r="AW854" i="4"/>
  <c r="AW900" i="4" s="1"/>
  <c r="BJ854" i="4"/>
  <c r="BJ900" i="4" s="1"/>
  <c r="AW115" i="64"/>
  <c r="AW116" i="64" s="1"/>
  <c r="Y890" i="4"/>
  <c r="CM891" i="4"/>
  <c r="AQ1005" i="4"/>
  <c r="S13" i="72"/>
  <c r="AQ44" i="11"/>
  <c r="S69" i="67"/>
  <c r="AQ1127" i="4"/>
  <c r="S38" i="13"/>
  <c r="AQ761" i="4"/>
  <c r="AQ1033" i="4" s="1"/>
  <c r="S44" i="67"/>
  <c r="AQ1292" i="4"/>
  <c r="AQ1069" i="4"/>
  <c r="AQ854" i="4"/>
  <c r="AQ900" i="4" s="1"/>
  <c r="I111" i="64"/>
  <c r="CI119" i="64"/>
  <c r="CI65" i="64" s="1"/>
  <c r="CI81" i="64" s="1"/>
  <c r="AQ112" i="64"/>
  <c r="AQ116" i="64" s="1"/>
  <c r="R890" i="4"/>
  <c r="AJ854" i="4"/>
  <c r="AJ888" i="4" s="1"/>
  <c r="AJ894" i="4" s="1"/>
  <c r="AJ972" i="4" s="1"/>
  <c r="AJ1034" i="4" s="1"/>
  <c r="CI854" i="4"/>
  <c r="CI900" i="4" s="1"/>
  <c r="I843" i="4"/>
  <c r="I845" i="4"/>
  <c r="Q1127" i="4"/>
  <c r="Q761" i="4"/>
  <c r="Q1033" i="4" s="1"/>
  <c r="Q1005" i="4"/>
  <c r="Q1334" i="4"/>
  <c r="CI114" i="64"/>
  <c r="CI120" i="64" s="1"/>
  <c r="CI64" i="64" s="1"/>
  <c r="M44" i="67"/>
  <c r="M13" i="72"/>
  <c r="M69" i="67"/>
  <c r="Q1069" i="4"/>
  <c r="AY854" i="4"/>
  <c r="AY888" i="4" s="1"/>
  <c r="AY894" i="4" s="1"/>
  <c r="AY972" i="4" s="1"/>
  <c r="AY1034" i="4" s="1"/>
  <c r="AY1038" i="4" s="1"/>
  <c r="AY114" i="64"/>
  <c r="AY116" i="64" s="1"/>
  <c r="Q1292" i="4"/>
  <c r="BX854" i="4"/>
  <c r="BX900" i="4" s="1"/>
  <c r="I842" i="4"/>
  <c r="I844" i="4"/>
  <c r="CE854" i="4"/>
  <c r="CE900" i="4" s="1"/>
  <c r="I873" i="4"/>
  <c r="CE113" i="64"/>
  <c r="I901" i="4"/>
  <c r="N120" i="64"/>
  <c r="N64" i="64" s="1"/>
  <c r="N72" i="64" s="1"/>
  <c r="AM120" i="64"/>
  <c r="AM64" i="64" s="1"/>
  <c r="AM80" i="64" s="1"/>
  <c r="CM116" i="64"/>
  <c r="AM116" i="64"/>
  <c r="AI120" i="64"/>
  <c r="AI64" i="64" s="1"/>
  <c r="AI72" i="64" s="1"/>
  <c r="CM120" i="64"/>
  <c r="CM64" i="64" s="1"/>
  <c r="CM80" i="64" s="1"/>
  <c r="AI116" i="64"/>
  <c r="AG120" i="64"/>
  <c r="AG64" i="64" s="1"/>
  <c r="AG80" i="64" s="1"/>
  <c r="BK116" i="64"/>
  <c r="N116" i="64"/>
  <c r="CJ120" i="64"/>
  <c r="CJ64" i="64" s="1"/>
  <c r="CJ72" i="64" s="1"/>
  <c r="AV888" i="4"/>
  <c r="AV894" i="4" s="1"/>
  <c r="AV896" i="4" s="1"/>
  <c r="AV902" i="4" s="1"/>
  <c r="AV903" i="4" s="1"/>
  <c r="AV970" i="4" s="1"/>
  <c r="AN888" i="4"/>
  <c r="AN894" i="4" s="1"/>
  <c r="AN972" i="4" s="1"/>
  <c r="AN1034" i="4" s="1"/>
  <c r="AN1057" i="4" s="1"/>
  <c r="AX888" i="4"/>
  <c r="AX894" i="4" s="1"/>
  <c r="AX972" i="4" s="1"/>
  <c r="AX1034" i="4" s="1"/>
  <c r="BS120" i="64"/>
  <c r="BS64" i="64" s="1"/>
  <c r="BS80" i="64" s="1"/>
  <c r="AO888" i="4"/>
  <c r="AO894" i="4" s="1"/>
  <c r="AO896" i="4" s="1"/>
  <c r="AO902" i="4" s="1"/>
  <c r="AO903" i="4" s="1"/>
  <c r="AO970" i="4" s="1"/>
  <c r="R116" i="64"/>
  <c r="BL120" i="64"/>
  <c r="BL64" i="64" s="1"/>
  <c r="BL72" i="64" s="1"/>
  <c r="AB120" i="64"/>
  <c r="AB64" i="64" s="1"/>
  <c r="AB72" i="64" s="1"/>
  <c r="BR116" i="64"/>
  <c r="AR888" i="4"/>
  <c r="AR894" i="4" s="1"/>
  <c r="BS116" i="64"/>
  <c r="CB888" i="4"/>
  <c r="CB894" i="4" s="1"/>
  <c r="AB116" i="64"/>
  <c r="BR120" i="64"/>
  <c r="BR64" i="64" s="1"/>
  <c r="BR72" i="64" s="1"/>
  <c r="L116" i="64"/>
  <c r="Z888" i="4"/>
  <c r="Z894" i="4" s="1"/>
  <c r="Z972" i="4" s="1"/>
  <c r="Z1034" i="4" s="1"/>
  <c r="CJ116" i="64"/>
  <c r="AT116" i="64"/>
  <c r="AP116" i="64"/>
  <c r="AG116" i="64"/>
  <c r="Y116" i="64"/>
  <c r="Y120" i="64"/>
  <c r="Y64" i="64" s="1"/>
  <c r="Y80" i="64" s="1"/>
  <c r="BL116" i="64"/>
  <c r="AK888" i="4"/>
  <c r="AK894" i="4" s="1"/>
  <c r="AK896" i="4" s="1"/>
  <c r="AK902" i="4" s="1"/>
  <c r="AK903" i="4" s="1"/>
  <c r="AK970" i="4" s="1"/>
  <c r="BP888" i="4"/>
  <c r="BP894" i="4" s="1"/>
  <c r="BP896" i="4" s="1"/>
  <c r="BP902" i="4" s="1"/>
  <c r="BP903" i="4" s="1"/>
  <c r="BP970" i="4" s="1"/>
  <c r="BG116" i="64"/>
  <c r="BV888" i="4"/>
  <c r="BV894" i="4" s="1"/>
  <c r="BV972" i="4" s="1"/>
  <c r="BV1034" i="4" s="1"/>
  <c r="BV1057" i="4" s="1"/>
  <c r="AM888" i="4"/>
  <c r="AM894" i="4" s="1"/>
  <c r="AM972" i="4" s="1"/>
  <c r="AM1034" i="4" s="1"/>
  <c r="BK888" i="4"/>
  <c r="BK894" i="4" s="1"/>
  <c r="BK972" i="4" s="1"/>
  <c r="BK1034" i="4" s="1"/>
  <c r="BK1038" i="4" s="1"/>
  <c r="BA888" i="4"/>
  <c r="BA894" i="4" s="1"/>
  <c r="BA972" i="4" s="1"/>
  <c r="BA1034" i="4" s="1"/>
  <c r="BA1057" i="4" s="1"/>
  <c r="AP120" i="64"/>
  <c r="AP64" i="64" s="1"/>
  <c r="AP80" i="64" s="1"/>
  <c r="AD888" i="4"/>
  <c r="AD894" i="4" s="1"/>
  <c r="AD972" i="4" s="1"/>
  <c r="AD1034" i="4" s="1"/>
  <c r="AD1057" i="4" s="1"/>
  <c r="AS888" i="4"/>
  <c r="AS894" i="4" s="1"/>
  <c r="AS896" i="4" s="1"/>
  <c r="AS902" i="4" s="1"/>
  <c r="AS903" i="4" s="1"/>
  <c r="AS970" i="4" s="1"/>
  <c r="BB116" i="64"/>
  <c r="BO116" i="64"/>
  <c r="BD116" i="64"/>
  <c r="AU116" i="64"/>
  <c r="CH116" i="64"/>
  <c r="AT120" i="64"/>
  <c r="AT64" i="64" s="1"/>
  <c r="AT80" i="64" s="1"/>
  <c r="BK120" i="64"/>
  <c r="BK64" i="64" s="1"/>
  <c r="BK72" i="64" s="1"/>
  <c r="R120" i="64"/>
  <c r="R64" i="64" s="1"/>
  <c r="N888" i="4"/>
  <c r="N894" i="4" s="1"/>
  <c r="N972" i="4" s="1"/>
  <c r="N1034" i="4" s="1"/>
  <c r="BU888" i="4"/>
  <c r="BU894" i="4" s="1"/>
  <c r="BZ888" i="4"/>
  <c r="BZ894" i="4" s="1"/>
  <c r="CA888" i="4"/>
  <c r="CA894" i="4" s="1"/>
  <c r="CA972" i="4" s="1"/>
  <c r="CA1034" i="4" s="1"/>
  <c r="CH120" i="64"/>
  <c r="CH64" i="64" s="1"/>
  <c r="CH72" i="64" s="1"/>
  <c r="AA116" i="64"/>
  <c r="BQ120" i="64"/>
  <c r="BQ64" i="64" s="1"/>
  <c r="BQ72" i="64" s="1"/>
  <c r="BQ116" i="64"/>
  <c r="AA120" i="64"/>
  <c r="AA64" i="64" s="1"/>
  <c r="AA72" i="64" s="1"/>
  <c r="CC120" i="64"/>
  <c r="CC64" i="64" s="1"/>
  <c r="CC72" i="64" s="1"/>
  <c r="CN116" i="64"/>
  <c r="X116" i="64"/>
  <c r="BD120" i="64"/>
  <c r="BD64" i="64" s="1"/>
  <c r="BD72" i="64" s="1"/>
  <c r="BV116" i="64"/>
  <c r="BT888" i="4"/>
  <c r="BT894" i="4" s="1"/>
  <c r="BT896" i="4" s="1"/>
  <c r="BT902" i="4" s="1"/>
  <c r="BT903" i="4" s="1"/>
  <c r="BT970" i="4" s="1"/>
  <c r="BE116" i="64"/>
  <c r="AG888" i="4"/>
  <c r="AG894" i="4" s="1"/>
  <c r="AG972" i="4" s="1"/>
  <c r="AG1034" i="4" s="1"/>
  <c r="BY888" i="4"/>
  <c r="BY894" i="4" s="1"/>
  <c r="BY972" i="4" s="1"/>
  <c r="BY1034" i="4" s="1"/>
  <c r="P888" i="4"/>
  <c r="P894" i="4" s="1"/>
  <c r="P972" i="4" s="1"/>
  <c r="P1034" i="4" s="1"/>
  <c r="T116" i="64"/>
  <c r="BG888" i="4"/>
  <c r="BG894" i="4" s="1"/>
  <c r="AU120" i="64"/>
  <c r="AU64" i="64" s="1"/>
  <c r="AU80" i="64" s="1"/>
  <c r="BE118" i="64"/>
  <c r="CD888" i="4"/>
  <c r="CD894" i="4" s="1"/>
  <c r="CD896" i="4" s="1"/>
  <c r="CD902" i="4" s="1"/>
  <c r="CD903" i="4" s="1"/>
  <c r="CD970" i="4" s="1"/>
  <c r="V120" i="64"/>
  <c r="V64" i="64" s="1"/>
  <c r="V80" i="64" s="1"/>
  <c r="CN118" i="64"/>
  <c r="AS116" i="64"/>
  <c r="AW118" i="64"/>
  <c r="BX118" i="64"/>
  <c r="AK118" i="64"/>
  <c r="AM118" i="64"/>
  <c r="AZ118" i="64"/>
  <c r="CC888" i="4"/>
  <c r="CC894" i="4" s="1"/>
  <c r="CC972" i="4" s="1"/>
  <c r="CC1034" i="4" s="1"/>
  <c r="CC1038" i="4" s="1"/>
  <c r="CC1046" i="4" s="1"/>
  <c r="Q116" i="64"/>
  <c r="AD116" i="64"/>
  <c r="AT118" i="64"/>
  <c r="CH118" i="64"/>
  <c r="M118" i="64"/>
  <c r="S116" i="64"/>
  <c r="BV120" i="64"/>
  <c r="BV64" i="64" s="1"/>
  <c r="BV72" i="64" s="1"/>
  <c r="BL118" i="64"/>
  <c r="CL118" i="64"/>
  <c r="AD118" i="64"/>
  <c r="O116" i="64"/>
  <c r="X118" i="64"/>
  <c r="AR118" i="64"/>
  <c r="AC118" i="64"/>
  <c r="BE120" i="64"/>
  <c r="BE64" i="64" s="1"/>
  <c r="BE80" i="64" s="1"/>
  <c r="AU118" i="64"/>
  <c r="AT888" i="4"/>
  <c r="AT894" i="4" s="1"/>
  <c r="AT896" i="4" s="1"/>
  <c r="AT902" i="4" s="1"/>
  <c r="AT903" i="4" s="1"/>
  <c r="AT970" i="4" s="1"/>
  <c r="BN118" i="64"/>
  <c r="AB118" i="64"/>
  <c r="AN118" i="64"/>
  <c r="AL118" i="64"/>
  <c r="BM118" i="64"/>
  <c r="Y118" i="64"/>
  <c r="AE118" i="64"/>
  <c r="BJ118" i="64"/>
  <c r="BP118" i="64"/>
  <c r="AL116" i="64"/>
  <c r="AI118" i="64"/>
  <c r="BG118" i="64"/>
  <c r="BS118" i="64"/>
  <c r="BB118" i="64"/>
  <c r="BT116" i="64"/>
  <c r="L120" i="64"/>
  <c r="L121" i="64" s="1"/>
  <c r="CF118" i="64"/>
  <c r="BU116" i="64"/>
  <c r="AJ118" i="64"/>
  <c r="CM118" i="64"/>
  <c r="AO118" i="64"/>
  <c r="BK118" i="64"/>
  <c r="CB118" i="64"/>
  <c r="BA118" i="64"/>
  <c r="BH118" i="64"/>
  <c r="CA120" i="64"/>
  <c r="CA64" i="64" s="1"/>
  <c r="CA116" i="64"/>
  <c r="AU81" i="64"/>
  <c r="AU73" i="64"/>
  <c r="CG120" i="64"/>
  <c r="CG64" i="64" s="1"/>
  <c r="CG116" i="64"/>
  <c r="CN73" i="64"/>
  <c r="CN81" i="64"/>
  <c r="AR120" i="64"/>
  <c r="AR64" i="64" s="1"/>
  <c r="AR116" i="64"/>
  <c r="BA120" i="64"/>
  <c r="BA64" i="64" s="1"/>
  <c r="BA116" i="64"/>
  <c r="CB120" i="64"/>
  <c r="CB64" i="64" s="1"/>
  <c r="CB116" i="64"/>
  <c r="CC116" i="64"/>
  <c r="BO118" i="64"/>
  <c r="BG81" i="64"/>
  <c r="BG73" i="64"/>
  <c r="CK116" i="64"/>
  <c r="M81" i="64"/>
  <c r="M73" i="64"/>
  <c r="R118" i="64"/>
  <c r="CO65" i="64"/>
  <c r="CO118" i="64"/>
  <c r="U65" i="64"/>
  <c r="U118" i="64"/>
  <c r="BO73" i="64"/>
  <c r="BO81" i="64"/>
  <c r="P120" i="64"/>
  <c r="P64" i="64" s="1"/>
  <c r="P116" i="64"/>
  <c r="R81" i="64"/>
  <c r="R73" i="64"/>
  <c r="AX120" i="64"/>
  <c r="AX64" i="64" s="1"/>
  <c r="AX116" i="64"/>
  <c r="CO900" i="4"/>
  <c r="CO888" i="4"/>
  <c r="CO894" i="4" s="1"/>
  <c r="CO896" i="4" s="1"/>
  <c r="CO902" i="4" s="1"/>
  <c r="Y900" i="4"/>
  <c r="Y888" i="4"/>
  <c r="Y894" i="4" s="1"/>
  <c r="AA118" i="64"/>
  <c r="M120" i="64"/>
  <c r="CL73" i="64"/>
  <c r="CL81" i="64"/>
  <c r="CH73" i="64"/>
  <c r="CH81" i="64"/>
  <c r="BN73" i="64"/>
  <c r="BN81" i="64"/>
  <c r="Z116" i="64"/>
  <c r="BT120" i="64"/>
  <c r="BT64" i="64" s="1"/>
  <c r="W118" i="64"/>
  <c r="AJ120" i="64"/>
  <c r="AJ64" i="64" s="1"/>
  <c r="BC120" i="64"/>
  <c r="BC64" i="64" s="1"/>
  <c r="BC116" i="64"/>
  <c r="AN120" i="64"/>
  <c r="AN64" i="64" s="1"/>
  <c r="AN116" i="64"/>
  <c r="R900" i="4"/>
  <c r="R888" i="4"/>
  <c r="R894" i="4" s="1"/>
  <c r="W73" i="64"/>
  <c r="W81" i="64"/>
  <c r="AJ116" i="64"/>
  <c r="CD120" i="64"/>
  <c r="CD64" i="64" s="1"/>
  <c r="CD116" i="64"/>
  <c r="AV116" i="64"/>
  <c r="BJ116" i="64"/>
  <c r="BX120" i="64"/>
  <c r="BX64" i="64" s="1"/>
  <c r="BX116" i="64"/>
  <c r="CF116" i="64"/>
  <c r="N65" i="64"/>
  <c r="N118" i="64"/>
  <c r="BN120" i="64"/>
  <c r="BN64" i="64" s="1"/>
  <c r="BN116" i="64"/>
  <c r="CF81" i="64"/>
  <c r="CF73" i="64"/>
  <c r="BZ120" i="64"/>
  <c r="BZ64" i="64" s="1"/>
  <c r="AF116" i="64"/>
  <c r="AF120" i="64"/>
  <c r="AF64" i="64" s="1"/>
  <c r="AK116" i="64"/>
  <c r="BZ116" i="64"/>
  <c r="BL888" i="4"/>
  <c r="BL894" i="4" s="1"/>
  <c r="BL896" i="4" s="1"/>
  <c r="BL902" i="4" s="1"/>
  <c r="BL903" i="4" s="1"/>
  <c r="BL970" i="4" s="1"/>
  <c r="AA81" i="64"/>
  <c r="AA73" i="64"/>
  <c r="BL73" i="64"/>
  <c r="BL81" i="64"/>
  <c r="BS73" i="64"/>
  <c r="BS81" i="64"/>
  <c r="X73" i="64"/>
  <c r="X81" i="64"/>
  <c r="AT73" i="64"/>
  <c r="AT81" i="64"/>
  <c r="M116" i="64"/>
  <c r="L890" i="4"/>
  <c r="L891" i="4"/>
  <c r="I886" i="4"/>
  <c r="AO116" i="64"/>
  <c r="BI118" i="64"/>
  <c r="Q118" i="64"/>
  <c r="AI888" i="4"/>
  <c r="AI894" i="4" s="1"/>
  <c r="AI896" i="4" s="1"/>
  <c r="AI902" i="4" s="1"/>
  <c r="AI903" i="4" s="1"/>
  <c r="AI970" i="4" s="1"/>
  <c r="BH81" i="64"/>
  <c r="BH73" i="64"/>
  <c r="AQ81" i="64"/>
  <c r="AQ73" i="64"/>
  <c r="L1069" i="4"/>
  <c r="L1292" i="4"/>
  <c r="L761" i="4"/>
  <c r="L1127" i="4"/>
  <c r="L1334" i="4"/>
  <c r="L1005" i="4"/>
  <c r="L1006" i="4" s="1"/>
  <c r="L44" i="11"/>
  <c r="L69" i="11"/>
  <c r="L44" i="67"/>
  <c r="L38" i="13"/>
  <c r="L69" i="67"/>
  <c r="I759" i="4"/>
  <c r="L65" i="64"/>
  <c r="AJ73" i="64"/>
  <c r="AJ81" i="64"/>
  <c r="CG118" i="64"/>
  <c r="AG118" i="64"/>
  <c r="AW81" i="64"/>
  <c r="AW73" i="64"/>
  <c r="BZ118" i="64"/>
  <c r="O120" i="64"/>
  <c r="O64" i="64" s="1"/>
  <c r="T118" i="64"/>
  <c r="BV118" i="64"/>
  <c r="Y73" i="64"/>
  <c r="Y81" i="64"/>
  <c r="AC73" i="64"/>
  <c r="AC81" i="64"/>
  <c r="AS120" i="64"/>
  <c r="AS64" i="64" s="1"/>
  <c r="BP120" i="64"/>
  <c r="BP64" i="64" s="1"/>
  <c r="O118" i="64"/>
  <c r="AD120" i="64"/>
  <c r="AD64" i="64" s="1"/>
  <c r="AS118" i="64"/>
  <c r="CC118" i="64"/>
  <c r="S118" i="64"/>
  <c r="CF120" i="64"/>
  <c r="CF64" i="64" s="1"/>
  <c r="BI73" i="64"/>
  <c r="BI81" i="64"/>
  <c r="Q73" i="64"/>
  <c r="Q81" i="64"/>
  <c r="CJ118" i="64"/>
  <c r="AG81" i="64"/>
  <c r="AG73" i="64"/>
  <c r="AK120" i="64"/>
  <c r="AK64" i="64" s="1"/>
  <c r="BR118" i="64"/>
  <c r="BR65" i="64"/>
  <c r="BZ81" i="64"/>
  <c r="BZ73" i="64"/>
  <c r="T73" i="64"/>
  <c r="T81" i="64"/>
  <c r="BV81" i="64"/>
  <c r="BV73" i="64"/>
  <c r="BB120" i="64"/>
  <c r="BB64" i="64" s="1"/>
  <c r="BY118" i="64"/>
  <c r="O73" i="64"/>
  <c r="O81" i="64"/>
  <c r="X120" i="64"/>
  <c r="X64" i="64" s="1"/>
  <c r="AS81" i="64"/>
  <c r="AS73" i="64"/>
  <c r="CC81" i="64"/>
  <c r="CC73" i="64"/>
  <c r="AB73" i="64"/>
  <c r="AB81" i="64"/>
  <c r="S81" i="64"/>
  <c r="S73" i="64"/>
  <c r="CJ81" i="64"/>
  <c r="CJ73" i="64"/>
  <c r="AR81" i="64"/>
  <c r="AR73" i="64"/>
  <c r="BY120" i="64"/>
  <c r="BY64" i="64" s="1"/>
  <c r="CG81" i="64"/>
  <c r="CG73" i="64"/>
  <c r="AP118" i="64"/>
  <c r="BX81" i="64"/>
  <c r="BX73" i="64"/>
  <c r="CA118" i="64"/>
  <c r="Z118" i="64"/>
  <c r="Q888" i="4"/>
  <c r="Q894" i="4" s="1"/>
  <c r="Q896" i="4" s="1"/>
  <c r="Q902" i="4" s="1"/>
  <c r="Q903" i="4" s="1"/>
  <c r="Q970" i="4" s="1"/>
  <c r="S888" i="4"/>
  <c r="S894" i="4" s="1"/>
  <c r="S896" i="4" s="1"/>
  <c r="S902" i="4" s="1"/>
  <c r="S900" i="4"/>
  <c r="BY116" i="64"/>
  <c r="AK81" i="64"/>
  <c r="AK73" i="64"/>
  <c r="BU118" i="64"/>
  <c r="CD118" i="64"/>
  <c r="Q120" i="64"/>
  <c r="Q64" i="64" s="1"/>
  <c r="AV118" i="64"/>
  <c r="AL73" i="64"/>
  <c r="AL81" i="64"/>
  <c r="AO120" i="64"/>
  <c r="AO64" i="64" s="1"/>
  <c r="Z120" i="64"/>
  <c r="Z64" i="64" s="1"/>
  <c r="AP73" i="64"/>
  <c r="AP81" i="64"/>
  <c r="BO120" i="64"/>
  <c r="BO64" i="64" s="1"/>
  <c r="S120" i="64"/>
  <c r="S64" i="64" s="1"/>
  <c r="CA73" i="64"/>
  <c r="CA81" i="64"/>
  <c r="Z73" i="64"/>
  <c r="Z81" i="64"/>
  <c r="AE120" i="64"/>
  <c r="AE64" i="64" s="1"/>
  <c r="BY81" i="64"/>
  <c r="BY73" i="64"/>
  <c r="V116" i="64"/>
  <c r="AE116" i="64"/>
  <c r="BU81" i="64"/>
  <c r="BU73" i="64"/>
  <c r="CD81" i="64"/>
  <c r="CD73" i="64"/>
  <c r="AV73" i="64"/>
  <c r="AV81" i="64"/>
  <c r="BG120" i="64"/>
  <c r="BG64" i="64" s="1"/>
  <c r="BB81" i="64"/>
  <c r="BB73" i="64"/>
  <c r="CK120" i="64"/>
  <c r="AD73" i="64"/>
  <c r="AD81" i="64"/>
  <c r="BT118" i="64"/>
  <c r="BE73" i="64"/>
  <c r="BE81" i="64"/>
  <c r="AZ81" i="64"/>
  <c r="AZ73" i="64"/>
  <c r="CK118" i="64"/>
  <c r="BF118" i="64"/>
  <c r="CM73" i="64"/>
  <c r="CM81" i="64"/>
  <c r="AO81" i="64"/>
  <c r="AO73" i="64"/>
  <c r="BK73" i="64"/>
  <c r="BK81" i="64"/>
  <c r="BM73" i="64"/>
  <c r="BM81" i="64"/>
  <c r="AV120" i="64"/>
  <c r="AV64" i="64" s="1"/>
  <c r="AY118" i="64"/>
  <c r="V888" i="4"/>
  <c r="V894" i="4" s="1"/>
  <c r="AF118" i="64"/>
  <c r="V118" i="64"/>
  <c r="CB73" i="64"/>
  <c r="CB81" i="64"/>
  <c r="BA73" i="64"/>
  <c r="BA81" i="64"/>
  <c r="CN120" i="64"/>
  <c r="CN64" i="64" s="1"/>
  <c r="CM888" i="4"/>
  <c r="CM894" i="4" s="1"/>
  <c r="BJ73" i="64"/>
  <c r="BJ81" i="64"/>
  <c r="BQ118" i="64"/>
  <c r="BQ65" i="64"/>
  <c r="AI73" i="64"/>
  <c r="AI81" i="64"/>
  <c r="AM81" i="64"/>
  <c r="AM73" i="64"/>
  <c r="BT81" i="64"/>
  <c r="BT73" i="64"/>
  <c r="BU120" i="64"/>
  <c r="BU64" i="64" s="1"/>
  <c r="BC888" i="4"/>
  <c r="BC894" i="4" s="1"/>
  <c r="BC896" i="4" s="1"/>
  <c r="BC902" i="4" s="1"/>
  <c r="BC903" i="4" s="1"/>
  <c r="BC970" i="4" s="1"/>
  <c r="T120" i="64"/>
  <c r="P118" i="64"/>
  <c r="BW118" i="64"/>
  <c r="CK73" i="64"/>
  <c r="CK81" i="64"/>
  <c r="BF81" i="64"/>
  <c r="BF73" i="64"/>
  <c r="CO120" i="64"/>
  <c r="CO64" i="64" s="1"/>
  <c r="BC118" i="64"/>
  <c r="AX118" i="64"/>
  <c r="CE118" i="64"/>
  <c r="CH888" i="4"/>
  <c r="CH894" i="4" s="1"/>
  <c r="AF81" i="64"/>
  <c r="AF73" i="64"/>
  <c r="V73" i="64"/>
  <c r="V81" i="64"/>
  <c r="AE73" i="64"/>
  <c r="AE81" i="64"/>
  <c r="BJ120" i="64"/>
  <c r="AN81" i="64"/>
  <c r="AN73" i="64"/>
  <c r="AH118" i="64"/>
  <c r="BP73" i="64"/>
  <c r="BP81" i="64"/>
  <c r="BD118" i="64"/>
  <c r="P73" i="64"/>
  <c r="P81" i="64"/>
  <c r="BW73" i="64"/>
  <c r="BW81" i="64"/>
  <c r="BC81" i="64"/>
  <c r="BC73" i="64"/>
  <c r="AX73" i="64"/>
  <c r="AX81" i="64"/>
  <c r="CE73" i="64"/>
  <c r="CE81" i="64"/>
  <c r="CO116" i="64"/>
  <c r="AY73" i="64"/>
  <c r="AY81" i="64"/>
  <c r="CN888" i="4"/>
  <c r="CN894" i="4" s="1"/>
  <c r="CN900" i="4"/>
  <c r="AL120" i="64"/>
  <c r="AH81" i="64"/>
  <c r="AH73" i="64"/>
  <c r="BP116" i="64"/>
  <c r="BD81" i="64"/>
  <c r="BD73" i="64"/>
  <c r="AQ118" i="64"/>
  <c r="BM116" i="64" l="1"/>
  <c r="BM120" i="64"/>
  <c r="BM64" i="64" s="1"/>
  <c r="BM72" i="64" s="1"/>
  <c r="AC116" i="64"/>
  <c r="T900" i="4"/>
  <c r="CF888" i="4"/>
  <c r="CF894" i="4" s="1"/>
  <c r="CF896" i="4" s="1"/>
  <c r="CF902" i="4" s="1"/>
  <c r="CF903" i="4" s="1"/>
  <c r="CF970" i="4" s="1"/>
  <c r="AL888" i="4"/>
  <c r="AL894" i="4" s="1"/>
  <c r="AL972" i="4" s="1"/>
  <c r="AL1034" i="4" s="1"/>
  <c r="AL1057" i="4" s="1"/>
  <c r="BF888" i="4"/>
  <c r="BF894" i="4" s="1"/>
  <c r="BF896" i="4" s="1"/>
  <c r="BF902" i="4" s="1"/>
  <c r="BF903" i="4" s="1"/>
  <c r="BF970" i="4" s="1"/>
  <c r="CJ888" i="4"/>
  <c r="CJ894" i="4" s="1"/>
  <c r="CJ896" i="4" s="1"/>
  <c r="CJ902" i="4" s="1"/>
  <c r="CJ903" i="4" s="1"/>
  <c r="CJ970" i="4" s="1"/>
  <c r="CJ1293" i="4" s="1"/>
  <c r="AJ1057" i="4"/>
  <c r="AH120" i="64"/>
  <c r="AH64" i="64" s="1"/>
  <c r="AH80" i="64" s="1"/>
  <c r="X900" i="4"/>
  <c r="X903" i="4" s="1"/>
  <c r="X970" i="4" s="1"/>
  <c r="X1013" i="4" s="1"/>
  <c r="T896" i="4"/>
  <c r="T902" i="4" s="1"/>
  <c r="BW888" i="4"/>
  <c r="BW894" i="4" s="1"/>
  <c r="BW972" i="4" s="1"/>
  <c r="BW1034" i="4" s="1"/>
  <c r="BW1057" i="4" s="1"/>
  <c r="O888" i="4"/>
  <c r="O894" i="4" s="1"/>
  <c r="O896" i="4" s="1"/>
  <c r="O902" i="4" s="1"/>
  <c r="O903" i="4" s="1"/>
  <c r="O970" i="4" s="1"/>
  <c r="BH888" i="4"/>
  <c r="BH894" i="4" s="1"/>
  <c r="BH896" i="4" s="1"/>
  <c r="BH902" i="4" s="1"/>
  <c r="BH903" i="4" s="1"/>
  <c r="BH970" i="4" s="1"/>
  <c r="BF116" i="64"/>
  <c r="BH120" i="64"/>
  <c r="BH64" i="64" s="1"/>
  <c r="BH72" i="64" s="1"/>
  <c r="X972" i="4"/>
  <c r="X1034" i="4" s="1"/>
  <c r="X1057" i="4" s="1"/>
  <c r="BQ888" i="4"/>
  <c r="BQ894" i="4" s="1"/>
  <c r="BQ972" i="4" s="1"/>
  <c r="BQ1034" i="4" s="1"/>
  <c r="BQ1057" i="4" s="1"/>
  <c r="BW116" i="64"/>
  <c r="AB900" i="4"/>
  <c r="BB888" i="4"/>
  <c r="BB894" i="4" s="1"/>
  <c r="BB896" i="4" s="1"/>
  <c r="BB902" i="4" s="1"/>
  <c r="BB903" i="4" s="1"/>
  <c r="BB970" i="4" s="1"/>
  <c r="BB70" i="11" s="1"/>
  <c r="AM1057" i="4"/>
  <c r="CG888" i="4"/>
  <c r="CG894" i="4" s="1"/>
  <c r="CG896" i="4" s="1"/>
  <c r="CG902" i="4" s="1"/>
  <c r="CG903" i="4" s="1"/>
  <c r="CG970" i="4" s="1"/>
  <c r="CG1319" i="4" s="1"/>
  <c r="AC888" i="4"/>
  <c r="AC894" i="4" s="1"/>
  <c r="AC896" i="4" s="1"/>
  <c r="AC902" i="4" s="1"/>
  <c r="AC903" i="4" s="1"/>
  <c r="AC970" i="4" s="1"/>
  <c r="AC974" i="4" s="1"/>
  <c r="AA888" i="4"/>
  <c r="AA894" i="4" s="1"/>
  <c r="AA972" i="4" s="1"/>
  <c r="AA1034" i="4" s="1"/>
  <c r="M888" i="4"/>
  <c r="M894" i="4" s="1"/>
  <c r="M896" i="4" s="1"/>
  <c r="M902" i="4" s="1"/>
  <c r="M903" i="4" s="1"/>
  <c r="M970" i="4" s="1"/>
  <c r="M974" i="4" s="1"/>
  <c r="M1070" i="4" s="1"/>
  <c r="M1077" i="4" s="1"/>
  <c r="M1081" i="4" s="1"/>
  <c r="CK888" i="4"/>
  <c r="CK894" i="4" s="1"/>
  <c r="CK972" i="4" s="1"/>
  <c r="CK1034" i="4" s="1"/>
  <c r="CK1057" i="4" s="1"/>
  <c r="BD888" i="4"/>
  <c r="BD894" i="4" s="1"/>
  <c r="BD896" i="4" s="1"/>
  <c r="BD902" i="4" s="1"/>
  <c r="BD903" i="4" s="1"/>
  <c r="BD970" i="4" s="1"/>
  <c r="BD1021" i="4" s="1"/>
  <c r="CB972" i="4"/>
  <c r="CB1034" i="4" s="1"/>
  <c r="CB1057" i="4" s="1"/>
  <c r="AH888" i="4"/>
  <c r="AH894" i="4" s="1"/>
  <c r="AH972" i="4" s="1"/>
  <c r="AH1034" i="4" s="1"/>
  <c r="AE888" i="4"/>
  <c r="AE894" i="4" s="1"/>
  <c r="AE972" i="4" s="1"/>
  <c r="AE1034" i="4" s="1"/>
  <c r="AE1057" i="4" s="1"/>
  <c r="AZ888" i="4"/>
  <c r="AZ894" i="4" s="1"/>
  <c r="AZ896" i="4" s="1"/>
  <c r="AZ902" i="4" s="1"/>
  <c r="AZ903" i="4" s="1"/>
  <c r="AZ970" i="4" s="1"/>
  <c r="AZ1021" i="4" s="1"/>
  <c r="AC120" i="64"/>
  <c r="AC64" i="64" s="1"/>
  <c r="AC72" i="64" s="1"/>
  <c r="BE888" i="4"/>
  <c r="BE894" i="4" s="1"/>
  <c r="BE896" i="4" s="1"/>
  <c r="BE902" i="4" s="1"/>
  <c r="BE903" i="4" s="1"/>
  <c r="BE970" i="4" s="1"/>
  <c r="BE974" i="4" s="1"/>
  <c r="BI888" i="4"/>
  <c r="BI894" i="4" s="1"/>
  <c r="BI972" i="4" s="1"/>
  <c r="BI1034" i="4" s="1"/>
  <c r="BI1057" i="4" s="1"/>
  <c r="P1057" i="4"/>
  <c r="BS888" i="4"/>
  <c r="BS894" i="4" s="1"/>
  <c r="BS896" i="4" s="1"/>
  <c r="BS902" i="4" s="1"/>
  <c r="BS903" i="4" s="1"/>
  <c r="BS970" i="4" s="1"/>
  <c r="AP888" i="4"/>
  <c r="AP894" i="4" s="1"/>
  <c r="AP896" i="4" s="1"/>
  <c r="AP902" i="4" s="1"/>
  <c r="AP903" i="4" s="1"/>
  <c r="AP970" i="4" s="1"/>
  <c r="AP1021" i="4" s="1"/>
  <c r="BI116" i="64"/>
  <c r="L888" i="4"/>
  <c r="L894" i="4" s="1"/>
  <c r="L972" i="4" s="1"/>
  <c r="BU972" i="4"/>
  <c r="BU1034" i="4" s="1"/>
  <c r="BU1057" i="4" s="1"/>
  <c r="AQ888" i="4"/>
  <c r="AQ894" i="4" s="1"/>
  <c r="AQ896" i="4" s="1"/>
  <c r="AQ902" i="4" s="1"/>
  <c r="AQ903" i="4" s="1"/>
  <c r="AQ970" i="4" s="1"/>
  <c r="AF900" i="4"/>
  <c r="BZ972" i="4"/>
  <c r="BZ1034" i="4" s="1"/>
  <c r="BZ1057" i="4" s="1"/>
  <c r="AX1057" i="4"/>
  <c r="CL116" i="64"/>
  <c r="AR972" i="4"/>
  <c r="AR1034" i="4" s="1"/>
  <c r="AR1057" i="4" s="1"/>
  <c r="N1057" i="4"/>
  <c r="CL888" i="4"/>
  <c r="CL894" i="4" s="1"/>
  <c r="CL972" i="4" s="1"/>
  <c r="CL1034" i="4" s="1"/>
  <c r="CL1057" i="4" s="1"/>
  <c r="BO888" i="4"/>
  <c r="BO894" i="4" s="1"/>
  <c r="BO896" i="4" s="1"/>
  <c r="BO902" i="4" s="1"/>
  <c r="BO903" i="4" s="1"/>
  <c r="BO970" i="4" s="1"/>
  <c r="BO1119" i="4" s="1"/>
  <c r="AZ116" i="64"/>
  <c r="BR900" i="4"/>
  <c r="BR903" i="4" s="1"/>
  <c r="BR970" i="4" s="1"/>
  <c r="W900" i="4"/>
  <c r="W903" i="4" s="1"/>
  <c r="W970" i="4" s="1"/>
  <c r="BJ888" i="4"/>
  <c r="BJ894" i="4" s="1"/>
  <c r="BJ896" i="4" s="1"/>
  <c r="BJ902" i="4" s="1"/>
  <c r="BJ903" i="4" s="1"/>
  <c r="BJ970" i="4" s="1"/>
  <c r="BJ1119" i="4" s="1"/>
  <c r="AU888" i="4"/>
  <c r="AU894" i="4" s="1"/>
  <c r="AU896" i="4" s="1"/>
  <c r="AU902" i="4" s="1"/>
  <c r="AU903" i="4" s="1"/>
  <c r="AU970" i="4" s="1"/>
  <c r="U888" i="4"/>
  <c r="U894" i="4" s="1"/>
  <c r="U896" i="4" s="1"/>
  <c r="U902" i="4" s="1"/>
  <c r="U903" i="4" s="1"/>
  <c r="U970" i="4" s="1"/>
  <c r="U1021" i="4" s="1"/>
  <c r="CH896" i="4"/>
  <c r="CH902" i="4" s="1"/>
  <c r="CH903" i="4" s="1"/>
  <c r="CH970" i="4" s="1"/>
  <c r="CH1021" i="4" s="1"/>
  <c r="BN888" i="4"/>
  <c r="BN894" i="4" s="1"/>
  <c r="BN972" i="4" s="1"/>
  <c r="BN1034" i="4" s="1"/>
  <c r="BN1057" i="4" s="1"/>
  <c r="W116" i="64"/>
  <c r="BG896" i="4"/>
  <c r="BG902" i="4" s="1"/>
  <c r="BG903" i="4" s="1"/>
  <c r="BG970" i="4" s="1"/>
  <c r="BG70" i="11" s="1"/>
  <c r="AW888" i="4"/>
  <c r="AW894" i="4" s="1"/>
  <c r="AW896" i="4" s="1"/>
  <c r="AW902" i="4" s="1"/>
  <c r="AW903" i="4" s="1"/>
  <c r="AW970" i="4" s="1"/>
  <c r="AW1319" i="4" s="1"/>
  <c r="I1334" i="4"/>
  <c r="I113" i="64"/>
  <c r="I69" i="11"/>
  <c r="U116" i="64"/>
  <c r="BM888" i="4"/>
  <c r="BM894" i="4" s="1"/>
  <c r="BM972" i="4" s="1"/>
  <c r="BM1034" i="4" s="1"/>
  <c r="BM1057" i="4" s="1"/>
  <c r="I44" i="11"/>
  <c r="Y896" i="4"/>
  <c r="Y902" i="4" s="1"/>
  <c r="Y903" i="4" s="1"/>
  <c r="Y970" i="4" s="1"/>
  <c r="I890" i="4"/>
  <c r="R896" i="4"/>
  <c r="R902" i="4" s="1"/>
  <c r="R903" i="4" s="1"/>
  <c r="R970" i="4" s="1"/>
  <c r="CM896" i="4"/>
  <c r="CM902" i="4" s="1"/>
  <c r="CM903" i="4" s="1"/>
  <c r="CM970" i="4" s="1"/>
  <c r="CM974" i="4" s="1"/>
  <c r="I891" i="4"/>
  <c r="CI116" i="64"/>
  <c r="I115" i="64"/>
  <c r="AW120" i="64"/>
  <c r="AW64" i="64" s="1"/>
  <c r="AW80" i="64" s="1"/>
  <c r="I1292" i="4"/>
  <c r="AY896" i="4"/>
  <c r="AY902" i="4" s="1"/>
  <c r="I119" i="64"/>
  <c r="I38" i="13"/>
  <c r="AY120" i="64"/>
  <c r="AY64" i="64" s="1"/>
  <c r="AY72" i="64" s="1"/>
  <c r="I112" i="64"/>
  <c r="AQ120" i="64"/>
  <c r="AQ64" i="64" s="1"/>
  <c r="AQ72" i="64" s="1"/>
  <c r="I114" i="64"/>
  <c r="AJ900" i="4"/>
  <c r="AJ896" i="4"/>
  <c r="AJ902" i="4" s="1"/>
  <c r="CE888" i="4"/>
  <c r="CE894" i="4" s="1"/>
  <c r="CE896" i="4" s="1"/>
  <c r="CE902" i="4" s="1"/>
  <c r="CE903" i="4" s="1"/>
  <c r="CE970" i="4" s="1"/>
  <c r="CE1119" i="4" s="1"/>
  <c r="CI888" i="4"/>
  <c r="CI894" i="4" s="1"/>
  <c r="CI972" i="4" s="1"/>
  <c r="CI1034" i="4" s="1"/>
  <c r="CI1057" i="4" s="1"/>
  <c r="I1127" i="4"/>
  <c r="CI118" i="64"/>
  <c r="I118" i="64" s="1"/>
  <c r="AY900" i="4"/>
  <c r="CI73" i="64"/>
  <c r="I13" i="72"/>
  <c r="I1069" i="4"/>
  <c r="BX888" i="4"/>
  <c r="BX894" i="4" s="1"/>
  <c r="BX972" i="4" s="1"/>
  <c r="BX1034" i="4" s="1"/>
  <c r="BX1057" i="4" s="1"/>
  <c r="I69" i="67"/>
  <c r="I854" i="4"/>
  <c r="CE120" i="64"/>
  <c r="CE64" i="64" s="1"/>
  <c r="CE80" i="64" s="1"/>
  <c r="CE116" i="64"/>
  <c r="N121" i="64"/>
  <c r="N80" i="64"/>
  <c r="AM121" i="64"/>
  <c r="AI121" i="64"/>
  <c r="AM72" i="64"/>
  <c r="CM121" i="64"/>
  <c r="AI80" i="64"/>
  <c r="AG121" i="64"/>
  <c r="AG72" i="64"/>
  <c r="CM72" i="64"/>
  <c r="AM896" i="4"/>
  <c r="AM902" i="4" s="1"/>
  <c r="AM903" i="4" s="1"/>
  <c r="AM970" i="4" s="1"/>
  <c r="AM1021" i="4" s="1"/>
  <c r="AB80" i="64"/>
  <c r="BS72" i="64"/>
  <c r="BS121" i="64"/>
  <c r="CJ80" i="64"/>
  <c r="CJ121" i="64"/>
  <c r="BK896" i="4"/>
  <c r="BK902" i="4" s="1"/>
  <c r="BK903" i="4" s="1"/>
  <c r="BK970" i="4" s="1"/>
  <c r="BK1319" i="4" s="1"/>
  <c r="BU896" i="4"/>
  <c r="BU902" i="4" s="1"/>
  <c r="BU903" i="4" s="1"/>
  <c r="BU970" i="4" s="1"/>
  <c r="BU1013" i="4" s="1"/>
  <c r="AB121" i="64"/>
  <c r="AR896" i="4"/>
  <c r="AR902" i="4" s="1"/>
  <c r="AR903" i="4" s="1"/>
  <c r="AR970" i="4" s="1"/>
  <c r="AR974" i="4" s="1"/>
  <c r="AR1070" i="4" s="1"/>
  <c r="BP972" i="4"/>
  <c r="BP1034" i="4" s="1"/>
  <c r="BP1057" i="4" s="1"/>
  <c r="AV972" i="4"/>
  <c r="AV1034" i="4" s="1"/>
  <c r="AV1038" i="4" s="1"/>
  <c r="AV1046" i="4" s="1"/>
  <c r="AO972" i="4"/>
  <c r="AO1034" i="4" s="1"/>
  <c r="AO1057" i="4" s="1"/>
  <c r="AP72" i="64"/>
  <c r="AN896" i="4"/>
  <c r="AN902" i="4" s="1"/>
  <c r="AN903" i="4" s="1"/>
  <c r="AN970" i="4" s="1"/>
  <c r="AN1119" i="4" s="1"/>
  <c r="AY1057" i="4"/>
  <c r="AX896" i="4"/>
  <c r="AX902" i="4" s="1"/>
  <c r="AX903" i="4" s="1"/>
  <c r="AX970" i="4" s="1"/>
  <c r="AX974" i="4" s="1"/>
  <c r="AD896" i="4"/>
  <c r="AD902" i="4" s="1"/>
  <c r="AD903" i="4" s="1"/>
  <c r="AD970" i="4" s="1"/>
  <c r="AD1013" i="4" s="1"/>
  <c r="BL121" i="64"/>
  <c r="CB896" i="4"/>
  <c r="CB902" i="4" s="1"/>
  <c r="CB903" i="4" s="1"/>
  <c r="CB970" i="4" s="1"/>
  <c r="CB1293" i="4" s="1"/>
  <c r="BL80" i="64"/>
  <c r="AK972" i="4"/>
  <c r="AK1034" i="4" s="1"/>
  <c r="AK1057" i="4" s="1"/>
  <c r="BR80" i="64"/>
  <c r="BA896" i="4"/>
  <c r="BA902" i="4" s="1"/>
  <c r="BA903" i="4" s="1"/>
  <c r="BA970" i="4" s="1"/>
  <c r="BA1119" i="4" s="1"/>
  <c r="BR121" i="64"/>
  <c r="N896" i="4"/>
  <c r="N902" i="4" s="1"/>
  <c r="N903" i="4" s="1"/>
  <c r="N970" i="4" s="1"/>
  <c r="N974" i="4" s="1"/>
  <c r="AU72" i="64"/>
  <c r="AT972" i="4"/>
  <c r="AT1034" i="4" s="1"/>
  <c r="AT1057" i="4" s="1"/>
  <c r="CH80" i="64"/>
  <c r="P1038" i="4"/>
  <c r="Q1047" i="4" s="1"/>
  <c r="V72" i="64"/>
  <c r="CC1057" i="4"/>
  <c r="V121" i="64"/>
  <c r="BD80" i="64"/>
  <c r="W72" i="64"/>
  <c r="BD121" i="64"/>
  <c r="P896" i="4"/>
  <c r="P902" i="4" s="1"/>
  <c r="P903" i="4" s="1"/>
  <c r="P970" i="4" s="1"/>
  <c r="P974" i="4" s="1"/>
  <c r="CG121" i="64"/>
  <c r="Y121" i="64"/>
  <c r="R121" i="64"/>
  <c r="Z896" i="4"/>
  <c r="Z902" i="4" s="1"/>
  <c r="Z903" i="4" s="1"/>
  <c r="Z970" i="4" s="1"/>
  <c r="Z1119" i="4" s="1"/>
  <c r="Z1057" i="4"/>
  <c r="Z1038" i="4"/>
  <c r="Z1046" i="4" s="1"/>
  <c r="Y72" i="64"/>
  <c r="BQ121" i="64"/>
  <c r="BQ80" i="64"/>
  <c r="AZ121" i="64"/>
  <c r="W121" i="64"/>
  <c r="P121" i="64"/>
  <c r="CD972" i="4"/>
  <c r="CD1034" i="4" s="1"/>
  <c r="CD1057" i="4" s="1"/>
  <c r="AT72" i="64"/>
  <c r="BP1119" i="4"/>
  <c r="BP1021" i="4"/>
  <c r="AX121" i="64"/>
  <c r="BC121" i="64"/>
  <c r="BA121" i="64"/>
  <c r="AR121" i="64"/>
  <c r="BV896" i="4"/>
  <c r="BV902" i="4" s="1"/>
  <c r="BV903" i="4" s="1"/>
  <c r="BV970" i="4" s="1"/>
  <c r="BV70" i="11" s="1"/>
  <c r="AS972" i="4"/>
  <c r="AS1034" i="4" s="1"/>
  <c r="AS1038" i="4" s="1"/>
  <c r="AS1046" i="4" s="1"/>
  <c r="AT121" i="64"/>
  <c r="BY896" i="4"/>
  <c r="BY902" i="4" s="1"/>
  <c r="BY903" i="4" s="1"/>
  <c r="BY970" i="4" s="1"/>
  <c r="BY70" i="11" s="1"/>
  <c r="CH121" i="64"/>
  <c r="CA1038" i="4"/>
  <c r="CA1046" i="4" s="1"/>
  <c r="CA1057" i="4"/>
  <c r="AA80" i="64"/>
  <c r="CA896" i="4"/>
  <c r="CA902" i="4" s="1"/>
  <c r="CA903" i="4" s="1"/>
  <c r="CA970" i="4" s="1"/>
  <c r="CA1293" i="4" s="1"/>
  <c r="AA121" i="64"/>
  <c r="BK80" i="64"/>
  <c r="AP121" i="64"/>
  <c r="BP1293" i="4"/>
  <c r="BE72" i="64"/>
  <c r="BP70" i="11"/>
  <c r="BP1013" i="4"/>
  <c r="BZ896" i="4"/>
  <c r="BZ902" i="4" s="1"/>
  <c r="BZ903" i="4" s="1"/>
  <c r="BZ970" i="4" s="1"/>
  <c r="BZ70" i="11" s="1"/>
  <c r="BP974" i="4"/>
  <c r="BP45" i="11" s="1"/>
  <c r="BK121" i="64"/>
  <c r="BP1319" i="4"/>
  <c r="BT972" i="4"/>
  <c r="BT1034" i="4" s="1"/>
  <c r="BT1057" i="4" s="1"/>
  <c r="BV80" i="64"/>
  <c r="BV121" i="64"/>
  <c r="CC80" i="64"/>
  <c r="CC121" i="64"/>
  <c r="AU121" i="64"/>
  <c r="AF121" i="64"/>
  <c r="AX1038" i="4"/>
  <c r="AX1046" i="4" s="1"/>
  <c r="AJ1038" i="4"/>
  <c r="AJ1046" i="4" s="1"/>
  <c r="BY1038" i="4"/>
  <c r="BY1046" i="4" s="1"/>
  <c r="BY1057" i="4"/>
  <c r="BT70" i="11"/>
  <c r="BT974" i="4"/>
  <c r="BT1070" i="4" s="1"/>
  <c r="BT1319" i="4"/>
  <c r="BT1021" i="4"/>
  <c r="BT1119" i="4"/>
  <c r="BT1013" i="4"/>
  <c r="BT1293" i="4"/>
  <c r="BE121" i="64"/>
  <c r="L64" i="64"/>
  <c r="L72" i="64" s="1"/>
  <c r="BV1038" i="4"/>
  <c r="BV1046" i="4" s="1"/>
  <c r="AG896" i="4"/>
  <c r="AG902" i="4" s="1"/>
  <c r="AG903" i="4" s="1"/>
  <c r="AG970" i="4" s="1"/>
  <c r="AG1119" i="4" s="1"/>
  <c r="R80" i="64"/>
  <c r="R72" i="64"/>
  <c r="BA1038" i="4"/>
  <c r="BB1047" i="4" s="1"/>
  <c r="AG1057" i="4"/>
  <c r="AG1038" i="4"/>
  <c r="AH1047" i="4" s="1"/>
  <c r="BK1057" i="4"/>
  <c r="AJ121" i="64"/>
  <c r="BG972" i="4"/>
  <c r="BG1034" i="4" s="1"/>
  <c r="R972" i="4"/>
  <c r="R1034" i="4" s="1"/>
  <c r="R1057" i="4" s="1"/>
  <c r="BT121" i="64"/>
  <c r="AO121" i="64"/>
  <c r="AY1046" i="4"/>
  <c r="AZ1047" i="4"/>
  <c r="Y972" i="4"/>
  <c r="Y1034" i="4" s="1"/>
  <c r="BL972" i="4"/>
  <c r="BL1034" i="4" s="1"/>
  <c r="BL1057" i="4" s="1"/>
  <c r="BP121" i="64"/>
  <c r="CM972" i="4"/>
  <c r="CM1034" i="4" s="1"/>
  <c r="CM1057" i="4" s="1"/>
  <c r="N1038" i="4"/>
  <c r="N1046" i="4" s="1"/>
  <c r="AK121" i="64"/>
  <c r="CC896" i="4"/>
  <c r="CC902" i="4" s="1"/>
  <c r="CC903" i="4" s="1"/>
  <c r="CC970" i="4" s="1"/>
  <c r="BR972" i="4"/>
  <c r="BR1034" i="4" s="1"/>
  <c r="BR1057" i="4" s="1"/>
  <c r="CD121" i="64"/>
  <c r="T972" i="4"/>
  <c r="T1034" i="4" s="1"/>
  <c r="T1057" i="4" s="1"/>
  <c r="BX121" i="64"/>
  <c r="CO972" i="4"/>
  <c r="CO1034" i="4" s="1"/>
  <c r="CO1057" i="4" s="1"/>
  <c r="I1005" i="4"/>
  <c r="CD1047" i="4"/>
  <c r="CA121" i="64"/>
  <c r="AN121" i="64"/>
  <c r="CB121" i="64"/>
  <c r="AM1038" i="4"/>
  <c r="AM1046" i="4" s="1"/>
  <c r="AI972" i="4"/>
  <c r="AI1034" i="4" s="1"/>
  <c r="AI1057" i="4" s="1"/>
  <c r="BL1047" i="4"/>
  <c r="BK1046" i="4"/>
  <c r="AS121" i="64"/>
  <c r="Z121" i="64"/>
  <c r="AL64" i="64"/>
  <c r="AL121" i="64"/>
  <c r="AO974" i="4"/>
  <c r="AO70" i="11"/>
  <c r="AO1119" i="4"/>
  <c r="AO1293" i="4"/>
  <c r="AO1319" i="4"/>
  <c r="AO1021" i="4"/>
  <c r="AO1013" i="4"/>
  <c r="BL70" i="11"/>
  <c r="BL1319" i="4"/>
  <c r="BL1293" i="4"/>
  <c r="BL974" i="4"/>
  <c r="BL1021" i="4"/>
  <c r="BL1013" i="4"/>
  <c r="BL1119" i="4"/>
  <c r="CN896" i="4"/>
  <c r="CN902" i="4" s="1"/>
  <c r="CN903" i="4" s="1"/>
  <c r="CN970" i="4" s="1"/>
  <c r="CN972" i="4"/>
  <c r="CN1034" i="4" s="1"/>
  <c r="BJ64" i="64"/>
  <c r="BJ121" i="64"/>
  <c r="BC974" i="4"/>
  <c r="BC1293" i="4"/>
  <c r="BC1021" i="4"/>
  <c r="BC70" i="11"/>
  <c r="BC1013" i="4"/>
  <c r="BC1119" i="4"/>
  <c r="BC1319" i="4"/>
  <c r="CO72" i="64"/>
  <c r="CO80" i="64"/>
  <c r="Q974" i="4"/>
  <c r="Q1319" i="4"/>
  <c r="Q1021" i="4"/>
  <c r="Q70" i="11"/>
  <c r="Q1293" i="4"/>
  <c r="Q1013" i="4"/>
  <c r="Q1119" i="4"/>
  <c r="BQ73" i="64"/>
  <c r="BQ81" i="64"/>
  <c r="CK121" i="64"/>
  <c r="CK64" i="64"/>
  <c r="Z72" i="64"/>
  <c r="Z80" i="64"/>
  <c r="AV121" i="64"/>
  <c r="AD1038" i="4"/>
  <c r="CF72" i="64"/>
  <c r="CF80" i="64"/>
  <c r="CN121" i="64"/>
  <c r="CH972" i="4"/>
  <c r="CH1034" i="4" s="1"/>
  <c r="AN80" i="64"/>
  <c r="AN72" i="64"/>
  <c r="AJ80" i="64"/>
  <c r="AJ72" i="64"/>
  <c r="W972" i="4"/>
  <c r="W1034" i="4" s="1"/>
  <c r="CD974" i="4"/>
  <c r="CD1293" i="4"/>
  <c r="CD1319" i="4"/>
  <c r="CD1119" i="4"/>
  <c r="CD1013" i="4"/>
  <c r="CD70" i="11"/>
  <c r="CD1021" i="4"/>
  <c r="Q80" i="64"/>
  <c r="Q72" i="64"/>
  <c r="BY72" i="64"/>
  <c r="BY80" i="64"/>
  <c r="BR81" i="64"/>
  <c r="BR73" i="64"/>
  <c r="S121" i="64"/>
  <c r="L1033" i="4"/>
  <c r="I761" i="4"/>
  <c r="AR80" i="64"/>
  <c r="AR72" i="64"/>
  <c r="BG121" i="64"/>
  <c r="BW121" i="64"/>
  <c r="BU72" i="64"/>
  <c r="BU80" i="64"/>
  <c r="BF80" i="64"/>
  <c r="BF72" i="64"/>
  <c r="AE72" i="64"/>
  <c r="AE80" i="64"/>
  <c r="BU121" i="64"/>
  <c r="S903" i="4"/>
  <c r="S970" i="4" s="1"/>
  <c r="X72" i="64"/>
  <c r="X80" i="64"/>
  <c r="BP72" i="64"/>
  <c r="BP80" i="64"/>
  <c r="O72" i="64"/>
  <c r="O80" i="64"/>
  <c r="L81" i="64"/>
  <c r="L73" i="64"/>
  <c r="I65" i="64"/>
  <c r="AF80" i="64"/>
  <c r="AF72" i="64"/>
  <c r="BN80" i="64"/>
  <c r="BN72" i="64"/>
  <c r="X121" i="64"/>
  <c r="BT72" i="64"/>
  <c r="BT80" i="64"/>
  <c r="U80" i="64"/>
  <c r="U72" i="64"/>
  <c r="M121" i="64"/>
  <c r="M64" i="64"/>
  <c r="CO903" i="4"/>
  <c r="CO970" i="4" s="1"/>
  <c r="BN121" i="64"/>
  <c r="U121" i="64"/>
  <c r="AD121" i="64"/>
  <c r="S972" i="4"/>
  <c r="S1034" i="4" s="1"/>
  <c r="CB72" i="64"/>
  <c r="CB80" i="64"/>
  <c r="AK974" i="4"/>
  <c r="AK1119" i="4"/>
  <c r="AK70" i="11"/>
  <c r="AK1021" i="4"/>
  <c r="AK1319" i="4"/>
  <c r="AK1293" i="4"/>
  <c r="AK1013" i="4"/>
  <c r="AN1038" i="4"/>
  <c r="AO72" i="64"/>
  <c r="AO80" i="64"/>
  <c r="BZ121" i="64"/>
  <c r="I44" i="67"/>
  <c r="CF121" i="64"/>
  <c r="AF896" i="4"/>
  <c r="AF902" i="4" s="1"/>
  <c r="AF972" i="4"/>
  <c r="AF1034" i="4" s="1"/>
  <c r="AT974" i="4"/>
  <c r="AT1319" i="4"/>
  <c r="AT1013" i="4"/>
  <c r="AT1021" i="4"/>
  <c r="AT1293" i="4"/>
  <c r="AT70" i="11"/>
  <c r="AT1119" i="4"/>
  <c r="U73" i="64"/>
  <c r="U81" i="64"/>
  <c r="CG72" i="64"/>
  <c r="CG80" i="64"/>
  <c r="CN72" i="64"/>
  <c r="CN80" i="64"/>
  <c r="S72" i="64"/>
  <c r="S80" i="64"/>
  <c r="BY121" i="64"/>
  <c r="AK80" i="64"/>
  <c r="AK72" i="64"/>
  <c r="AS72" i="64"/>
  <c r="AS80" i="64"/>
  <c r="BZ72" i="64"/>
  <c r="BZ80" i="64"/>
  <c r="BX72" i="64"/>
  <c r="BX80" i="64"/>
  <c r="CD80" i="64"/>
  <c r="CD72" i="64"/>
  <c r="AZ80" i="64"/>
  <c r="AZ72" i="64"/>
  <c r="CL121" i="64"/>
  <c r="CO121" i="64"/>
  <c r="BO121" i="64"/>
  <c r="BB121" i="64"/>
  <c r="T121" i="64"/>
  <c r="T64" i="64"/>
  <c r="AS974" i="4"/>
  <c r="AS1293" i="4"/>
  <c r="AS1319" i="4"/>
  <c r="AS1021" i="4"/>
  <c r="AS70" i="11"/>
  <c r="AS1013" i="4"/>
  <c r="AS1119" i="4"/>
  <c r="AV80" i="64"/>
  <c r="AV72" i="64"/>
  <c r="BI80" i="64"/>
  <c r="BI72" i="64"/>
  <c r="BG80" i="64"/>
  <c r="BG72" i="64"/>
  <c r="AV1013" i="4"/>
  <c r="AV1119" i="4"/>
  <c r="AV1319" i="4"/>
  <c r="AV974" i="4"/>
  <c r="AV1021" i="4"/>
  <c r="AV70" i="11"/>
  <c r="AV1293" i="4"/>
  <c r="AD72" i="64"/>
  <c r="AD80" i="64"/>
  <c r="BI121" i="64"/>
  <c r="BC72" i="64"/>
  <c r="BC80" i="64"/>
  <c r="BC972" i="4"/>
  <c r="BC1034" i="4" s="1"/>
  <c r="P72" i="64"/>
  <c r="P80" i="64"/>
  <c r="CO73" i="64"/>
  <c r="CO81" i="64"/>
  <c r="AB896" i="4"/>
  <c r="AB902" i="4" s="1"/>
  <c r="AB972" i="4"/>
  <c r="AB1034" i="4" s="1"/>
  <c r="BW72" i="64"/>
  <c r="BW80" i="64"/>
  <c r="AI974" i="4"/>
  <c r="AI1119" i="4"/>
  <c r="AI1021" i="4"/>
  <c r="AI1013" i="4"/>
  <c r="AI1319" i="4"/>
  <c r="AI1293" i="4"/>
  <c r="AI70" i="11"/>
  <c r="O121" i="64"/>
  <c r="L1007" i="4"/>
  <c r="Q121" i="64"/>
  <c r="CL72" i="64"/>
  <c r="CL80" i="64"/>
  <c r="CI72" i="64"/>
  <c r="CI80" i="64"/>
  <c r="N81" i="64"/>
  <c r="N73" i="64"/>
  <c r="CA72" i="64"/>
  <c r="CA80" i="64"/>
  <c r="AE121" i="64"/>
  <c r="V896" i="4"/>
  <c r="V902" i="4" s="1"/>
  <c r="V903" i="4" s="1"/>
  <c r="V970" i="4" s="1"/>
  <c r="V972" i="4"/>
  <c r="V1034" i="4" s="1"/>
  <c r="BF121" i="64"/>
  <c r="BO72" i="64"/>
  <c r="BO80" i="64"/>
  <c r="BB80" i="64"/>
  <c r="BB72" i="64"/>
  <c r="Q972" i="4"/>
  <c r="Q1034" i="4" s="1"/>
  <c r="AX80" i="64"/>
  <c r="AX72" i="64"/>
  <c r="BA72" i="64"/>
  <c r="BA80" i="64"/>
  <c r="T903" i="4" l="1"/>
  <c r="T970" i="4" s="1"/>
  <c r="T974" i="4" s="1"/>
  <c r="T45" i="11" s="1"/>
  <c r="BM121" i="64"/>
  <c r="BM80" i="64"/>
  <c r="CJ1319" i="4"/>
  <c r="CJ1021" i="4"/>
  <c r="CJ974" i="4"/>
  <c r="CJ45" i="11" s="1"/>
  <c r="CJ1013" i="4"/>
  <c r="BF972" i="4"/>
  <c r="BF1034" i="4" s="1"/>
  <c r="BF1057" i="4" s="1"/>
  <c r="AL896" i="4"/>
  <c r="AL902" i="4" s="1"/>
  <c r="AL903" i="4" s="1"/>
  <c r="AL970" i="4" s="1"/>
  <c r="AL1021" i="4" s="1"/>
  <c r="AL1038" i="4"/>
  <c r="AL1046" i="4" s="1"/>
  <c r="CJ70" i="11"/>
  <c r="CJ972" i="4"/>
  <c r="CJ1034" i="4" s="1"/>
  <c r="CJ1057" i="4" s="1"/>
  <c r="CJ1119" i="4"/>
  <c r="CF972" i="4"/>
  <c r="CF1034" i="4" s="1"/>
  <c r="CF1057" i="4" s="1"/>
  <c r="BH121" i="64"/>
  <c r="AH121" i="64"/>
  <c r="AH72" i="64"/>
  <c r="BW1038" i="4"/>
  <c r="BX1047" i="4" s="1"/>
  <c r="BW896" i="4"/>
  <c r="BW902" i="4" s="1"/>
  <c r="BW903" i="4" s="1"/>
  <c r="BW970" i="4" s="1"/>
  <c r="BW1319" i="4" s="1"/>
  <c r="O972" i="4"/>
  <c r="O1034" i="4" s="1"/>
  <c r="O1057" i="4" s="1"/>
  <c r="BH972" i="4"/>
  <c r="BH1034" i="4" s="1"/>
  <c r="BH1057" i="4" s="1"/>
  <c r="AA896" i="4"/>
  <c r="AA902" i="4" s="1"/>
  <c r="AA903" i="4" s="1"/>
  <c r="AA970" i="4" s="1"/>
  <c r="AA1013" i="4" s="1"/>
  <c r="BQ896" i="4"/>
  <c r="BQ902" i="4" s="1"/>
  <c r="BQ903" i="4" s="1"/>
  <c r="BQ970" i="4" s="1"/>
  <c r="BQ1319" i="4" s="1"/>
  <c r="M1119" i="4"/>
  <c r="BQ1038" i="4"/>
  <c r="BQ1046" i="4" s="1"/>
  <c r="BH80" i="64"/>
  <c r="X1038" i="4"/>
  <c r="Y1047" i="4" s="1"/>
  <c r="AC972" i="4"/>
  <c r="AC1034" i="4" s="1"/>
  <c r="AC1038" i="4" s="1"/>
  <c r="BD70" i="11"/>
  <c r="BD1319" i="4"/>
  <c r="BD1293" i="4"/>
  <c r="BD1013" i="4"/>
  <c r="BD972" i="4"/>
  <c r="BD1034" i="4" s="1"/>
  <c r="BD1057" i="4" s="1"/>
  <c r="AB903" i="4"/>
  <c r="AB970" i="4" s="1"/>
  <c r="AB1319" i="4" s="1"/>
  <c r="BD1119" i="4"/>
  <c r="BD974" i="4"/>
  <c r="BD45" i="11" s="1"/>
  <c r="BD46" i="11" s="1"/>
  <c r="BB1319" i="4"/>
  <c r="BB974" i="4"/>
  <c r="BB1070" i="4" s="1"/>
  <c r="BB1119" i="4"/>
  <c r="BB1293" i="4"/>
  <c r="BB1013" i="4"/>
  <c r="CB1038" i="4"/>
  <c r="CC1047" i="4" s="1"/>
  <c r="BB1021" i="4"/>
  <c r="BB972" i="4"/>
  <c r="BB1034" i="4" s="1"/>
  <c r="BB1057" i="4" s="1"/>
  <c r="CG1021" i="4"/>
  <c r="CG974" i="4"/>
  <c r="CG45" i="11" s="1"/>
  <c r="CG46" i="11" s="1"/>
  <c r="CG70" i="11"/>
  <c r="CG1119" i="4"/>
  <c r="CG1013" i="4"/>
  <c r="CG972" i="4"/>
  <c r="CG1034" i="4" s="1"/>
  <c r="CG1057" i="4" s="1"/>
  <c r="CG1293" i="4"/>
  <c r="M1293" i="4"/>
  <c r="M1013" i="4"/>
  <c r="M972" i="4"/>
  <c r="M1034" i="4" s="1"/>
  <c r="M1057" i="4" s="1"/>
  <c r="M1021" i="4"/>
  <c r="M70" i="11"/>
  <c r="M1319" i="4"/>
  <c r="CK1038" i="4"/>
  <c r="CK1046" i="4" s="1"/>
  <c r="AC80" i="64"/>
  <c r="CK896" i="4"/>
  <c r="CK902" i="4" s="1"/>
  <c r="CK903" i="4" s="1"/>
  <c r="CK970" i="4" s="1"/>
  <c r="CK1021" i="4" s="1"/>
  <c r="AC121" i="64"/>
  <c r="BE1319" i="4"/>
  <c r="AH896" i="4"/>
  <c r="AH902" i="4" s="1"/>
  <c r="AH903" i="4" s="1"/>
  <c r="AH970" i="4" s="1"/>
  <c r="AH1319" i="4" s="1"/>
  <c r="AE896" i="4"/>
  <c r="AE902" i="4" s="1"/>
  <c r="AE903" i="4" s="1"/>
  <c r="AE970" i="4" s="1"/>
  <c r="AE1119" i="4" s="1"/>
  <c r="AE1038" i="4"/>
  <c r="AE1046" i="4" s="1"/>
  <c r="AZ1319" i="4"/>
  <c r="AZ974" i="4"/>
  <c r="AZ45" i="11" s="1"/>
  <c r="AZ1013" i="4"/>
  <c r="AZ1119" i="4"/>
  <c r="CM1013" i="4"/>
  <c r="AZ70" i="11"/>
  <c r="AR1038" i="4"/>
  <c r="AS1047" i="4" s="1"/>
  <c r="AZ972" i="4"/>
  <c r="AZ1034" i="4" s="1"/>
  <c r="AZ1038" i="4" s="1"/>
  <c r="BA1047" i="4" s="1"/>
  <c r="AZ1293" i="4"/>
  <c r="BE70" i="11"/>
  <c r="BE1021" i="4"/>
  <c r="BE1013" i="4"/>
  <c r="BE1119" i="4"/>
  <c r="BE972" i="4"/>
  <c r="BE1034" i="4" s="1"/>
  <c r="BE1057" i="4" s="1"/>
  <c r="BE1293" i="4"/>
  <c r="BS972" i="4"/>
  <c r="BS1034" i="4" s="1"/>
  <c r="BS1057" i="4" s="1"/>
  <c r="BZ1038" i="4"/>
  <c r="BZ1046" i="4" s="1"/>
  <c r="AH1057" i="4"/>
  <c r="AH1038" i="4"/>
  <c r="AI1047" i="4" s="1"/>
  <c r="AP972" i="4"/>
  <c r="AP1034" i="4" s="1"/>
  <c r="AP1038" i="4" s="1"/>
  <c r="BI896" i="4"/>
  <c r="BI902" i="4" s="1"/>
  <c r="BI903" i="4" s="1"/>
  <c r="BI970" i="4" s="1"/>
  <c r="BI1013" i="4" s="1"/>
  <c r="AQ972" i="4"/>
  <c r="AQ1034" i="4" s="1"/>
  <c r="AQ1057" i="4" s="1"/>
  <c r="BO972" i="4"/>
  <c r="BO1034" i="4" s="1"/>
  <c r="BO1057" i="4" s="1"/>
  <c r="BO1021" i="4"/>
  <c r="BI1038" i="4"/>
  <c r="BI1046" i="4" s="1"/>
  <c r="BU1038" i="4"/>
  <c r="BU1046" i="4" s="1"/>
  <c r="U1319" i="4"/>
  <c r="U1119" i="4"/>
  <c r="BO1293" i="4"/>
  <c r="BO974" i="4"/>
  <c r="BO1070" i="4" s="1"/>
  <c r="BO1013" i="4"/>
  <c r="BO1319" i="4"/>
  <c r="BO70" i="11"/>
  <c r="AF903" i="4"/>
  <c r="AF970" i="4" s="1"/>
  <c r="BJ1013" i="4"/>
  <c r="BJ70" i="11"/>
  <c r="BJ972" i="4"/>
  <c r="BJ1034" i="4" s="1"/>
  <c r="BJ1057" i="4" s="1"/>
  <c r="AW70" i="11"/>
  <c r="AW1013" i="4"/>
  <c r="AW972" i="4"/>
  <c r="AW1034" i="4" s="1"/>
  <c r="AW1057" i="4" s="1"/>
  <c r="CL896" i="4"/>
  <c r="CL902" i="4" s="1"/>
  <c r="CL903" i="4" s="1"/>
  <c r="CL970" i="4" s="1"/>
  <c r="CL70" i="11" s="1"/>
  <c r="CL1038" i="4"/>
  <c r="CL1046" i="4" s="1"/>
  <c r="BJ1319" i="4"/>
  <c r="CM1119" i="4"/>
  <c r="BJ1293" i="4"/>
  <c r="CM1319" i="4"/>
  <c r="CM1021" i="4"/>
  <c r="BJ974" i="4"/>
  <c r="BJ1070" i="4" s="1"/>
  <c r="CM1293" i="4"/>
  <c r="CI1038" i="4"/>
  <c r="CI1046" i="4" s="1"/>
  <c r="BJ1021" i="4"/>
  <c r="CM70" i="11"/>
  <c r="AU972" i="4"/>
  <c r="AU1034" i="4" s="1"/>
  <c r="AU1057" i="4" s="1"/>
  <c r="CH1119" i="4"/>
  <c r="CH1319" i="4"/>
  <c r="CH1293" i="4"/>
  <c r="CE72" i="64"/>
  <c r="CH1013" i="4"/>
  <c r="CH70" i="11"/>
  <c r="CH974" i="4"/>
  <c r="CH1070" i="4" s="1"/>
  <c r="BM1038" i="4"/>
  <c r="BN1047" i="4" s="1"/>
  <c r="BN1038" i="4"/>
  <c r="BO1047" i="4" s="1"/>
  <c r="BN896" i="4"/>
  <c r="BN902" i="4" s="1"/>
  <c r="BN903" i="4" s="1"/>
  <c r="BN970" i="4" s="1"/>
  <c r="BN1013" i="4" s="1"/>
  <c r="BM896" i="4"/>
  <c r="BM902" i="4" s="1"/>
  <c r="BM903" i="4" s="1"/>
  <c r="BM970" i="4" s="1"/>
  <c r="BM1293" i="4" s="1"/>
  <c r="U70" i="11"/>
  <c r="I116" i="64"/>
  <c r="U1293" i="4"/>
  <c r="U1013" i="4"/>
  <c r="U972" i="4"/>
  <c r="U1034" i="4" s="1"/>
  <c r="U1057" i="4" s="1"/>
  <c r="U974" i="4"/>
  <c r="U1070" i="4" s="1"/>
  <c r="BG1319" i="4"/>
  <c r="BG974" i="4"/>
  <c r="BG1070" i="4" s="1"/>
  <c r="W39" i="13"/>
  <c r="BG1293" i="4"/>
  <c r="BG1119" i="4"/>
  <c r="AW1021" i="4"/>
  <c r="AW974" i="4"/>
  <c r="AW1070" i="4" s="1"/>
  <c r="BG1021" i="4"/>
  <c r="AW1119" i="4"/>
  <c r="BG1013" i="4"/>
  <c r="AW1293" i="4"/>
  <c r="AY80" i="64"/>
  <c r="AY121" i="64"/>
  <c r="AQ80" i="64"/>
  <c r="CE70" i="11"/>
  <c r="AY903" i="4"/>
  <c r="AY970" i="4" s="1"/>
  <c r="AY1119" i="4" s="1"/>
  <c r="AW121" i="64"/>
  <c r="AW72" i="64"/>
  <c r="I120" i="64"/>
  <c r="AQ121" i="64"/>
  <c r="AJ903" i="4"/>
  <c r="AJ970" i="4" s="1"/>
  <c r="AJ1119" i="4" s="1"/>
  <c r="CE1021" i="4"/>
  <c r="CE1319" i="4"/>
  <c r="CE972" i="4"/>
  <c r="CE1034" i="4" s="1"/>
  <c r="CE1038" i="4" s="1"/>
  <c r="CE1293" i="4"/>
  <c r="CE974" i="4"/>
  <c r="CE1070" i="4" s="1"/>
  <c r="CE1013" i="4"/>
  <c r="CI121" i="64"/>
  <c r="CE121" i="64"/>
  <c r="I900" i="4"/>
  <c r="CI896" i="4"/>
  <c r="CI902" i="4" s="1"/>
  <c r="CI903" i="4" s="1"/>
  <c r="CI970" i="4" s="1"/>
  <c r="CI1013" i="4" s="1"/>
  <c r="BX896" i="4"/>
  <c r="BX902" i="4" s="1"/>
  <c r="BX903" i="4" s="1"/>
  <c r="BX970" i="4" s="1"/>
  <c r="BX974" i="4" s="1"/>
  <c r="BX1070" i="4" s="1"/>
  <c r="I888" i="4"/>
  <c r="BX1038" i="4"/>
  <c r="BY1047" i="4" s="1"/>
  <c r="AM70" i="11"/>
  <c r="AV1057" i="4"/>
  <c r="AM1013" i="4"/>
  <c r="AM1319" i="4"/>
  <c r="AM1119" i="4"/>
  <c r="AM974" i="4"/>
  <c r="AM45" i="11" s="1"/>
  <c r="AM1293" i="4"/>
  <c r="AW1047" i="4"/>
  <c r="BW1046" i="4"/>
  <c r="AO1038" i="4"/>
  <c r="AO1046" i="4" s="1"/>
  <c r="CB70" i="11"/>
  <c r="CB1013" i="4"/>
  <c r="CB1021" i="4"/>
  <c r="AN1021" i="4"/>
  <c r="BK974" i="4"/>
  <c r="BK45" i="11" s="1"/>
  <c r="BK1021" i="4"/>
  <c r="BK1119" i="4"/>
  <c r="BK1013" i="4"/>
  <c r="BK1293" i="4"/>
  <c r="AN1013" i="4"/>
  <c r="AN1293" i="4"/>
  <c r="AN974" i="4"/>
  <c r="AN1070" i="4" s="1"/>
  <c r="AN1319" i="4"/>
  <c r="BK70" i="11"/>
  <c r="AN70" i="11"/>
  <c r="BU974" i="4"/>
  <c r="BU1070" i="4" s="1"/>
  <c r="AR1293" i="4"/>
  <c r="AR1021" i="4"/>
  <c r="AR45" i="11"/>
  <c r="AR46" i="11" s="1"/>
  <c r="AR1119" i="4"/>
  <c r="BP1038" i="4"/>
  <c r="BQ1047" i="4" s="1"/>
  <c r="AD1319" i="4"/>
  <c r="AD1021" i="4"/>
  <c r="AR1319" i="4"/>
  <c r="T70" i="67"/>
  <c r="AD70" i="11"/>
  <c r="AD1119" i="4"/>
  <c r="AR70" i="11"/>
  <c r="BU1293" i="4"/>
  <c r="BU1319" i="4"/>
  <c r="BU70" i="11"/>
  <c r="BU1021" i="4"/>
  <c r="BU1119" i="4"/>
  <c r="AD974" i="4"/>
  <c r="AD1070" i="4" s="1"/>
  <c r="AD1293" i="4"/>
  <c r="AR1013" i="4"/>
  <c r="AX1293" i="4"/>
  <c r="AX1021" i="4"/>
  <c r="BA70" i="11"/>
  <c r="AX1013" i="4"/>
  <c r="BA1013" i="4"/>
  <c r="CA70" i="11"/>
  <c r="AX70" i="11"/>
  <c r="AX1119" i="4"/>
  <c r="AX1319" i="4"/>
  <c r="BZ1293" i="4"/>
  <c r="BZ974" i="4"/>
  <c r="BZ1070" i="4" s="1"/>
  <c r="CD1038" i="4"/>
  <c r="CE1047" i="4" s="1"/>
  <c r="BZ1119" i="4"/>
  <c r="BZ1013" i="4"/>
  <c r="BZ1319" i="4"/>
  <c r="BZ1021" i="4"/>
  <c r="AK1047" i="4"/>
  <c r="BY1021" i="4"/>
  <c r="CB1119" i="4"/>
  <c r="CB974" i="4"/>
  <c r="CB1070" i="4" s="1"/>
  <c r="CB1319" i="4"/>
  <c r="AC39" i="13"/>
  <c r="AT1038" i="4"/>
  <c r="AT1046" i="4" s="1"/>
  <c r="P1046" i="4"/>
  <c r="BA974" i="4"/>
  <c r="CA1021" i="4"/>
  <c r="CA974" i="4"/>
  <c r="CA1070" i="4" s="1"/>
  <c r="BA1021" i="4"/>
  <c r="CA1119" i="4"/>
  <c r="V39" i="13"/>
  <c r="CA1013" i="4"/>
  <c r="V70" i="67"/>
  <c r="BA1319" i="4"/>
  <c r="CA1319" i="4"/>
  <c r="BA1293" i="4"/>
  <c r="AK1038" i="4"/>
  <c r="AK1046" i="4" s="1"/>
  <c r="Z1021" i="4"/>
  <c r="AT1047" i="4"/>
  <c r="BA1046" i="4"/>
  <c r="BT1038" i="4"/>
  <c r="BU1047" i="4" s="1"/>
  <c r="Z1013" i="4"/>
  <c r="L80" i="64"/>
  <c r="P1119" i="4"/>
  <c r="N1293" i="4"/>
  <c r="Z974" i="4"/>
  <c r="Z1070" i="4" s="1"/>
  <c r="P70" i="11"/>
  <c r="N1021" i="4"/>
  <c r="P1013" i="4"/>
  <c r="N1319" i="4"/>
  <c r="Z1293" i="4"/>
  <c r="P1293" i="4"/>
  <c r="N70" i="11"/>
  <c r="P1319" i="4"/>
  <c r="N1119" i="4"/>
  <c r="Z1319" i="4"/>
  <c r="P1021" i="4"/>
  <c r="N1013" i="4"/>
  <c r="Z70" i="11"/>
  <c r="X1319" i="4"/>
  <c r="AA1047" i="4"/>
  <c r="AI1038" i="4"/>
  <c r="AI1046" i="4" s="1"/>
  <c r="BY1119" i="4"/>
  <c r="BY1013" i="4"/>
  <c r="BY974" i="4"/>
  <c r="BY1070" i="4" s="1"/>
  <c r="AP1319" i="4"/>
  <c r="BY1319" i="4"/>
  <c r="AC70" i="67"/>
  <c r="BY1293" i="4"/>
  <c r="AP70" i="11"/>
  <c r="AY1047" i="4"/>
  <c r="BR1038" i="4"/>
  <c r="BS1047" i="4" s="1"/>
  <c r="AG974" i="4"/>
  <c r="AG45" i="11" s="1"/>
  <c r="BL1038" i="4"/>
  <c r="BM1047" i="4" s="1"/>
  <c r="BV974" i="4"/>
  <c r="BV1070" i="4" s="1"/>
  <c r="BV1293" i="4"/>
  <c r="BV1021" i="4"/>
  <c r="BV1013" i="4"/>
  <c r="BH974" i="4"/>
  <c r="BH1070" i="4" s="1"/>
  <c r="AS1057" i="4"/>
  <c r="T1038" i="4"/>
  <c r="T1046" i="4" s="1"/>
  <c r="CM1038" i="4"/>
  <c r="CN1047" i="4" s="1"/>
  <c r="M45" i="11"/>
  <c r="M46" i="11" s="1"/>
  <c r="M48" i="11" s="1"/>
  <c r="M55" i="11" s="1"/>
  <c r="CB1047" i="4"/>
  <c r="AG1046" i="4"/>
  <c r="BZ1047" i="4"/>
  <c r="R1038" i="4"/>
  <c r="R1046" i="4" s="1"/>
  <c r="BP1070" i="4"/>
  <c r="O1047" i="4"/>
  <c r="BV1319" i="4"/>
  <c r="BV1119" i="4"/>
  <c r="BH1013" i="4"/>
  <c r="BH1293" i="4"/>
  <c r="BT45" i="11"/>
  <c r="BT46" i="11" s="1"/>
  <c r="X1293" i="4"/>
  <c r="X1119" i="4"/>
  <c r="BH1021" i="4"/>
  <c r="BH1319" i="4"/>
  <c r="X70" i="11"/>
  <c r="CO1038" i="4"/>
  <c r="CO1046" i="4" s="1"/>
  <c r="BH70" i="11"/>
  <c r="X1021" i="4"/>
  <c r="BH1119" i="4"/>
  <c r="X974" i="4"/>
  <c r="X45" i="11" s="1"/>
  <c r="AN1047" i="4"/>
  <c r="AP1119" i="4"/>
  <c r="AP974" i="4"/>
  <c r="AP45" i="11" s="1"/>
  <c r="AP1293" i="4"/>
  <c r="S39" i="13"/>
  <c r="BW1047" i="4"/>
  <c r="AP1013" i="4"/>
  <c r="I64" i="64"/>
  <c r="AG70" i="11"/>
  <c r="AG1013" i="4"/>
  <c r="AG1293" i="4"/>
  <c r="AG1021" i="4"/>
  <c r="AG1319" i="4"/>
  <c r="AC1021" i="4"/>
  <c r="AC1319" i="4"/>
  <c r="AC1293" i="4"/>
  <c r="AC1119" i="4"/>
  <c r="AC1013" i="4"/>
  <c r="AC70" i="11"/>
  <c r="BG1057" i="4"/>
  <c r="BG1038" i="4"/>
  <c r="Y1057" i="4"/>
  <c r="Y1038" i="4"/>
  <c r="CC1293" i="4"/>
  <c r="CC1119" i="4"/>
  <c r="CC1021" i="4"/>
  <c r="CC1319" i="4"/>
  <c r="CC974" i="4"/>
  <c r="CC1013" i="4"/>
  <c r="CC70" i="11"/>
  <c r="I73" i="64"/>
  <c r="I81" i="64"/>
  <c r="R974" i="4"/>
  <c r="R1021" i="4"/>
  <c r="R1319" i="4"/>
  <c r="R1293" i="4"/>
  <c r="R1119" i="4"/>
  <c r="R70" i="11"/>
  <c r="R1013" i="4"/>
  <c r="M1004" i="4"/>
  <c r="M1006" i="4" s="1"/>
  <c r="L1008" i="4"/>
  <c r="L19" i="11"/>
  <c r="BC1057" i="4"/>
  <c r="BC1038" i="4"/>
  <c r="AK1070" i="4"/>
  <c r="AK45" i="11"/>
  <c r="W1057" i="4"/>
  <c r="W1038" i="4"/>
  <c r="AC1070" i="4"/>
  <c r="AC45" i="11"/>
  <c r="M70" i="67"/>
  <c r="CN1038" i="4"/>
  <c r="CN1057" i="4"/>
  <c r="N1070" i="4"/>
  <c r="N1077" i="4" s="1"/>
  <c r="N1081" i="4" s="1"/>
  <c r="N45" i="11"/>
  <c r="Q1057" i="4"/>
  <c r="Q1038" i="4"/>
  <c r="AV1070" i="4"/>
  <c r="AV45" i="11"/>
  <c r="AU974" i="4"/>
  <c r="AU1013" i="4"/>
  <c r="AU1119" i="4"/>
  <c r="AU1021" i="4"/>
  <c r="AU1319" i="4"/>
  <c r="AU1293" i="4"/>
  <c r="AU70" i="11"/>
  <c r="BP46" i="11"/>
  <c r="CO1021" i="4"/>
  <c r="CO1119" i="4"/>
  <c r="CO1013" i="4"/>
  <c r="CO70" i="11"/>
  <c r="CO1293" i="4"/>
  <c r="CO974" i="4"/>
  <c r="CO1319" i="4"/>
  <c r="L1034" i="4"/>
  <c r="L1038" i="4" s="1"/>
  <c r="L896" i="4"/>
  <c r="I894" i="4"/>
  <c r="Q1070" i="4"/>
  <c r="Q1077" i="4" s="1"/>
  <c r="Q1081" i="4" s="1"/>
  <c r="Q45" i="11"/>
  <c r="AX1070" i="4"/>
  <c r="AX45" i="11"/>
  <c r="AL72" i="64"/>
  <c r="AL80" i="64"/>
  <c r="AF1057" i="4"/>
  <c r="AF1038" i="4"/>
  <c r="CM45" i="11"/>
  <c r="CM1070" i="4"/>
  <c r="AA1057" i="4"/>
  <c r="AA1038" i="4"/>
  <c r="V1057" i="4"/>
  <c r="V1038" i="4"/>
  <c r="AQ974" i="4"/>
  <c r="AQ1319" i="4"/>
  <c r="AQ1119" i="4"/>
  <c r="AQ1013" i="4"/>
  <c r="AQ70" i="11"/>
  <c r="AQ1293" i="4"/>
  <c r="AQ1021" i="4"/>
  <c r="AS1070" i="4"/>
  <c r="AS45" i="11"/>
  <c r="M80" i="64"/>
  <c r="M72" i="64"/>
  <c r="CF1319" i="4"/>
  <c r="CF1119" i="4"/>
  <c r="CF974" i="4"/>
  <c r="CF70" i="11"/>
  <c r="CF1021" i="4"/>
  <c r="CF1013" i="4"/>
  <c r="CF1293" i="4"/>
  <c r="V974" i="4"/>
  <c r="V1013" i="4"/>
  <c r="V70" i="11"/>
  <c r="V1319" i="4"/>
  <c r="V1021" i="4"/>
  <c r="V1119" i="4"/>
  <c r="V1293" i="4"/>
  <c r="Y974" i="4"/>
  <c r="Y1319" i="4"/>
  <c r="Y70" i="11"/>
  <c r="Y1119" i="4"/>
  <c r="Y1293" i="4"/>
  <c r="Y1013" i="4"/>
  <c r="Y1021" i="4"/>
  <c r="T80" i="64"/>
  <c r="T72" i="64"/>
  <c r="W974" i="4"/>
  <c r="W1013" i="4"/>
  <c r="W1119" i="4"/>
  <c r="W70" i="11"/>
  <c r="W1319" i="4"/>
  <c r="W1293" i="4"/>
  <c r="W1021" i="4"/>
  <c r="S1057" i="4"/>
  <c r="S1038" i="4"/>
  <c r="CH1057" i="4"/>
  <c r="CH1038" i="4"/>
  <c r="AI1070" i="4"/>
  <c r="AI45" i="11"/>
  <c r="O974" i="4"/>
  <c r="O1021" i="4"/>
  <c r="O1293" i="4"/>
  <c r="O1119" i="4"/>
  <c r="O1013" i="4"/>
  <c r="O1319" i="4"/>
  <c r="O70" i="11"/>
  <c r="AN1046" i="4"/>
  <c r="AO1047" i="4"/>
  <c r="BS974" i="4"/>
  <c r="BS70" i="11"/>
  <c r="BS1013" i="4"/>
  <c r="BS1119" i="4"/>
  <c r="BS1319" i="4"/>
  <c r="BS1021" i="4"/>
  <c r="BS1293" i="4"/>
  <c r="P45" i="11"/>
  <c r="P1070" i="4"/>
  <c r="P1077" i="4" s="1"/>
  <c r="P1081" i="4" s="1"/>
  <c r="BC1070" i="4"/>
  <c r="BC45" i="11"/>
  <c r="BJ80" i="64"/>
  <c r="BJ72" i="64"/>
  <c r="AT1070" i="4"/>
  <c r="AT45" i="11"/>
  <c r="M1082" i="4"/>
  <c r="M1089" i="4"/>
  <c r="CN70" i="11"/>
  <c r="CN1319" i="4"/>
  <c r="CN1119" i="4"/>
  <c r="CN1293" i="4"/>
  <c r="CN974" i="4"/>
  <c r="CN1021" i="4"/>
  <c r="CN1013" i="4"/>
  <c r="AF70" i="67"/>
  <c r="AF39" i="13"/>
  <c r="I1033" i="4"/>
  <c r="AE1047" i="4"/>
  <c r="AD1046" i="4"/>
  <c r="BF974" i="4"/>
  <c r="BF1293" i="4"/>
  <c r="BF1119" i="4"/>
  <c r="BF1021" i="4"/>
  <c r="BF1319" i="4"/>
  <c r="BF70" i="11"/>
  <c r="BF1013" i="4"/>
  <c r="M39" i="13"/>
  <c r="T39" i="13"/>
  <c r="AB1057" i="4"/>
  <c r="AB1038" i="4"/>
  <c r="BR974" i="4"/>
  <c r="BR1293" i="4"/>
  <c r="BR1013" i="4"/>
  <c r="BR1119" i="4"/>
  <c r="BR1021" i="4"/>
  <c r="BR1319" i="4"/>
  <c r="BR70" i="11"/>
  <c r="S974" i="4"/>
  <c r="S70" i="11"/>
  <c r="S1293" i="4"/>
  <c r="S1119" i="4"/>
  <c r="S1013" i="4"/>
  <c r="S1021" i="4"/>
  <c r="S1319" i="4"/>
  <c r="CD1070" i="4"/>
  <c r="CD45" i="11"/>
  <c r="CK80" i="64"/>
  <c r="CK72" i="64"/>
  <c r="W70" i="67"/>
  <c r="BE1070" i="4"/>
  <c r="BE45" i="11"/>
  <c r="BL45" i="11"/>
  <c r="BL1070" i="4"/>
  <c r="S70" i="67"/>
  <c r="AO1070" i="4"/>
  <c r="AO45" i="11"/>
  <c r="T1070" i="4" l="1"/>
  <c r="N70" i="67"/>
  <c r="T1119" i="4"/>
  <c r="T1319" i="4"/>
  <c r="T70" i="11"/>
  <c r="T1293" i="4"/>
  <c r="T1021" i="4"/>
  <c r="T1013" i="4"/>
  <c r="N39" i="13"/>
  <c r="AH1293" i="4"/>
  <c r="CJ1070" i="4"/>
  <c r="CJ1038" i="4"/>
  <c r="CK1047" i="4" s="1"/>
  <c r="BF1038" i="4"/>
  <c r="BG1047" i="4" s="1"/>
  <c r="AL70" i="11"/>
  <c r="BW1013" i="4"/>
  <c r="AL974" i="4"/>
  <c r="AL1070" i="4" s="1"/>
  <c r="AL1293" i="4"/>
  <c r="AL1013" i="4"/>
  <c r="AL1119" i="4"/>
  <c r="AL1319" i="4"/>
  <c r="AM1047" i="4"/>
  <c r="CF1038" i="4"/>
  <c r="CG1047" i="4" s="1"/>
  <c r="BW974" i="4"/>
  <c r="O1038" i="4"/>
  <c r="P1047" i="4" s="1"/>
  <c r="BW1119" i="4"/>
  <c r="AA70" i="67"/>
  <c r="BW70" i="11"/>
  <c r="AA39" i="13"/>
  <c r="BW1021" i="4"/>
  <c r="BW1293" i="4"/>
  <c r="Z70" i="67"/>
  <c r="AB1119" i="4"/>
  <c r="AA1021" i="4"/>
  <c r="AA1293" i="4"/>
  <c r="AA974" i="4"/>
  <c r="AA45" i="11" s="1"/>
  <c r="O39" i="13"/>
  <c r="AA70" i="11"/>
  <c r="O70" i="67"/>
  <c r="AA1319" i="4"/>
  <c r="AA1119" i="4"/>
  <c r="BH1038" i="4"/>
  <c r="BI1047" i="4" s="1"/>
  <c r="Z39" i="13"/>
  <c r="BQ1119" i="4"/>
  <c r="AH1021" i="4"/>
  <c r="AH70" i="11"/>
  <c r="BQ70" i="11"/>
  <c r="BQ974" i="4"/>
  <c r="BQ45" i="11" s="1"/>
  <c r="BQ46" i="11" s="1"/>
  <c r="BQ1293" i="4"/>
  <c r="AH1119" i="4"/>
  <c r="BR1047" i="4"/>
  <c r="AH1013" i="4"/>
  <c r="BQ1021" i="4"/>
  <c r="AH974" i="4"/>
  <c r="AH1070" i="4" s="1"/>
  <c r="AB1293" i="4"/>
  <c r="BQ1013" i="4"/>
  <c r="X1046" i="4"/>
  <c r="AC1057" i="4"/>
  <c r="AF1047" i="4"/>
  <c r="M1038" i="4"/>
  <c r="M1046" i="4" s="1"/>
  <c r="BB45" i="11"/>
  <c r="BB46" i="11" s="1"/>
  <c r="BD1038" i="4"/>
  <c r="BE1047" i="4" s="1"/>
  <c r="CG1070" i="4"/>
  <c r="BD1070" i="4"/>
  <c r="AB1021" i="4"/>
  <c r="AB974" i="4"/>
  <c r="AB45" i="11" s="1"/>
  <c r="CB1046" i="4"/>
  <c r="AB70" i="11"/>
  <c r="AB1013" i="4"/>
  <c r="CG1038" i="4"/>
  <c r="CH1047" i="4" s="1"/>
  <c r="CL1047" i="4"/>
  <c r="CK70" i="11"/>
  <c r="CK1319" i="4"/>
  <c r="CK1013" i="4"/>
  <c r="CK1119" i="4"/>
  <c r="CK1293" i="4"/>
  <c r="CK974" i="4"/>
  <c r="CK45" i="11" s="1"/>
  <c r="CK46" i="11" s="1"/>
  <c r="BB1038" i="4"/>
  <c r="BC1047" i="4" s="1"/>
  <c r="Q70" i="67"/>
  <c r="AZ1070" i="4"/>
  <c r="AF1021" i="4"/>
  <c r="V45" i="67"/>
  <c r="V46" i="67" s="1"/>
  <c r="BV1047" i="4"/>
  <c r="AP1057" i="4"/>
  <c r="BJ1047" i="4"/>
  <c r="CA1047" i="4"/>
  <c r="AE70" i="67"/>
  <c r="BO1038" i="4"/>
  <c r="BO1046" i="4" s="1"/>
  <c r="AE70" i="11"/>
  <c r="AE1021" i="4"/>
  <c r="AE1319" i="4"/>
  <c r="P70" i="67"/>
  <c r="AE974" i="4"/>
  <c r="AE1070" i="4" s="1"/>
  <c r="AE1013" i="4"/>
  <c r="AZ1057" i="4"/>
  <c r="AZ1046" i="4"/>
  <c r="P39" i="13"/>
  <c r="AE1293" i="4"/>
  <c r="AH1046" i="4"/>
  <c r="BE1038" i="4"/>
  <c r="BE1046" i="4" s="1"/>
  <c r="BN1293" i="4"/>
  <c r="AR1046" i="4"/>
  <c r="AE39" i="13"/>
  <c r="BS1038" i="4"/>
  <c r="BS1046" i="4" s="1"/>
  <c r="BJ1038" i="4"/>
  <c r="BJ1046" i="4" s="1"/>
  <c r="X70" i="67"/>
  <c r="BI1119" i="4"/>
  <c r="BI974" i="4"/>
  <c r="BI45" i="11" s="1"/>
  <c r="BI46" i="11" s="1"/>
  <c r="BI1021" i="4"/>
  <c r="BI1319" i="4"/>
  <c r="X39" i="13"/>
  <c r="BI70" i="11"/>
  <c r="BI1293" i="4"/>
  <c r="AY1319" i="4"/>
  <c r="U45" i="11"/>
  <c r="U46" i="11" s="1"/>
  <c r="AY1021" i="4"/>
  <c r="BO45" i="11"/>
  <c r="BO46" i="11" s="1"/>
  <c r="BN1046" i="4"/>
  <c r="AQ1038" i="4"/>
  <c r="AR1047" i="4" s="1"/>
  <c r="AF70" i="11"/>
  <c r="BN1021" i="4"/>
  <c r="AW1038" i="4"/>
  <c r="AW1046" i="4" s="1"/>
  <c r="BN70" i="11"/>
  <c r="AF1013" i="4"/>
  <c r="AF1119" i="4"/>
  <c r="AF1319" i="4"/>
  <c r="AF974" i="4"/>
  <c r="AF1070" i="4" s="1"/>
  <c r="AF1293" i="4"/>
  <c r="Q39" i="13"/>
  <c r="CL974" i="4"/>
  <c r="CL1070" i="4" s="1"/>
  <c r="CL1319" i="4"/>
  <c r="CL1119" i="4"/>
  <c r="CL1013" i="4"/>
  <c r="CL1293" i="4"/>
  <c r="CL1021" i="4"/>
  <c r="CJ1047" i="4"/>
  <c r="CM1047" i="4"/>
  <c r="CH45" i="11"/>
  <c r="CH46" i="11" s="1"/>
  <c r="AU1038" i="4"/>
  <c r="AV1047" i="4" s="1"/>
  <c r="BN974" i="4"/>
  <c r="BN1070" i="4" s="1"/>
  <c r="BN1119" i="4"/>
  <c r="BN1319" i="4"/>
  <c r="BM1119" i="4"/>
  <c r="BM1046" i="4"/>
  <c r="U1038" i="4"/>
  <c r="V1047" i="4" s="1"/>
  <c r="BM1013" i="4"/>
  <c r="BG45" i="11"/>
  <c r="BG46" i="11" s="1"/>
  <c r="BJ45" i="11"/>
  <c r="BJ46" i="11" s="1"/>
  <c r="BM974" i="4"/>
  <c r="BM1070" i="4" s="1"/>
  <c r="BM1319" i="4"/>
  <c r="Y39" i="13"/>
  <c r="BM1021" i="4"/>
  <c r="BM70" i="11"/>
  <c r="Y70" i="67"/>
  <c r="CE45" i="11"/>
  <c r="CE46" i="11" s="1"/>
  <c r="AY1293" i="4"/>
  <c r="AY70" i="11"/>
  <c r="U70" i="67"/>
  <c r="AY974" i="4"/>
  <c r="AY1070" i="4" s="1"/>
  <c r="AW45" i="11"/>
  <c r="AW46" i="11" s="1"/>
  <c r="AY1013" i="4"/>
  <c r="U39" i="13"/>
  <c r="AJ1021" i="4"/>
  <c r="R39" i="13"/>
  <c r="AJ70" i="11"/>
  <c r="R70" i="67"/>
  <c r="AJ1319" i="4"/>
  <c r="AJ1013" i="4"/>
  <c r="AJ1293" i="4"/>
  <c r="AJ974" i="4"/>
  <c r="AJ1070" i="4" s="1"/>
  <c r="AD39" i="13"/>
  <c r="AD70" i="67"/>
  <c r="CE1057" i="4"/>
  <c r="I972" i="4"/>
  <c r="AB70" i="67"/>
  <c r="AB39" i="13"/>
  <c r="BX45" i="11"/>
  <c r="BX46" i="11" s="1"/>
  <c r="BX1319" i="4"/>
  <c r="BX1046" i="4"/>
  <c r="BX70" i="11"/>
  <c r="BX1293" i="4"/>
  <c r="I121" i="64"/>
  <c r="BX1013" i="4"/>
  <c r="BX1119" i="4"/>
  <c r="BX1021" i="4"/>
  <c r="CI1319" i="4"/>
  <c r="CI1119" i="4"/>
  <c r="CI70" i="11"/>
  <c r="CI1293" i="4"/>
  <c r="CI1021" i="4"/>
  <c r="CI974" i="4"/>
  <c r="CI1070" i="4" s="1"/>
  <c r="AM1070" i="4"/>
  <c r="BK1070" i="4"/>
  <c r="AP1047" i="4"/>
  <c r="AN45" i="11"/>
  <c r="AN46" i="11" s="1"/>
  <c r="AD45" i="11"/>
  <c r="AD46" i="11" s="1"/>
  <c r="BU45" i="11"/>
  <c r="BU46" i="11" s="1"/>
  <c r="AJ1047" i="4"/>
  <c r="BP1046" i="4"/>
  <c r="CD1046" i="4"/>
  <c r="BT1046" i="4"/>
  <c r="AU1047" i="4"/>
  <c r="BZ45" i="11"/>
  <c r="BZ46" i="11" s="1"/>
  <c r="BA45" i="11"/>
  <c r="BA46" i="11" s="1"/>
  <c r="BA1070" i="4"/>
  <c r="AL1047" i="4"/>
  <c r="BR1046" i="4"/>
  <c r="X1070" i="4"/>
  <c r="U1047" i="4"/>
  <c r="BY45" i="11"/>
  <c r="BY46" i="11" s="1"/>
  <c r="CB45" i="11"/>
  <c r="CB46" i="11" s="1"/>
  <c r="AC45" i="67"/>
  <c r="AC46" i="67" s="1"/>
  <c r="AP1070" i="4"/>
  <c r="AB45" i="67"/>
  <c r="AB46" i="67" s="1"/>
  <c r="CA45" i="11"/>
  <c r="CA46" i="11" s="1"/>
  <c r="Z45" i="11"/>
  <c r="Z46" i="11" s="1"/>
  <c r="CM1046" i="4"/>
  <c r="BV45" i="11"/>
  <c r="BV46" i="11" s="1"/>
  <c r="M62" i="11"/>
  <c r="M64" i="11" s="1"/>
  <c r="M61" i="11"/>
  <c r="M63" i="11" s="1"/>
  <c r="BH45" i="11"/>
  <c r="BH46" i="11" s="1"/>
  <c r="AG1070" i="4"/>
  <c r="BL1046" i="4"/>
  <c r="S1047" i="4"/>
  <c r="CF1047" i="4"/>
  <c r="CE1046" i="4"/>
  <c r="BG1046" i="4"/>
  <c r="BH1047" i="4"/>
  <c r="N45" i="67"/>
  <c r="N46" i="67" s="1"/>
  <c r="Y1046" i="4"/>
  <c r="Z1047" i="4"/>
  <c r="CC1070" i="4"/>
  <c r="CC45" i="11"/>
  <c r="CC46" i="11" s="1"/>
  <c r="I72" i="64"/>
  <c r="I80" i="64"/>
  <c r="AQ1047" i="4"/>
  <c r="AP1046" i="4"/>
  <c r="AT46" i="11"/>
  <c r="N46" i="11"/>
  <c r="N48" i="11" s="1"/>
  <c r="N55" i="11" s="1"/>
  <c r="N62" i="11"/>
  <c r="N61" i="11"/>
  <c r="N63" i="11" s="1"/>
  <c r="R1070" i="4"/>
  <c r="R45" i="11"/>
  <c r="AI46" i="11"/>
  <c r="AG1047" i="4"/>
  <c r="AF1046" i="4"/>
  <c r="BK46" i="11"/>
  <c r="N1082" i="4"/>
  <c r="N1093" i="4" s="1"/>
  <c r="N1089" i="4"/>
  <c r="M1007" i="4"/>
  <c r="S1070" i="4"/>
  <c r="S45" i="11"/>
  <c r="M45" i="67"/>
  <c r="X46" i="11"/>
  <c r="Y1070" i="4"/>
  <c r="Y45" i="11"/>
  <c r="CF45" i="11"/>
  <c r="CF1070" i="4"/>
  <c r="AS46" i="11"/>
  <c r="AX46" i="11"/>
  <c r="Q1046" i="4"/>
  <c r="R1047" i="4"/>
  <c r="AQ1070" i="4"/>
  <c r="AQ45" i="11"/>
  <c r="S45" i="67"/>
  <c r="AA1046" i="4"/>
  <c r="AB1047" i="4"/>
  <c r="CO1047" i="4"/>
  <c r="CN1046" i="4"/>
  <c r="AZ46" i="11"/>
  <c r="AC46" i="11"/>
  <c r="BE46" i="11"/>
  <c r="BR1070" i="4"/>
  <c r="BR45" i="11"/>
  <c r="CH1046" i="4"/>
  <c r="CI1047" i="4"/>
  <c r="BL46" i="11"/>
  <c r="M1047" i="4"/>
  <c r="L1046" i="4"/>
  <c r="P1089" i="4"/>
  <c r="P1082" i="4"/>
  <c r="P1093" i="4" s="1"/>
  <c r="AP46" i="11"/>
  <c r="V1070" i="4"/>
  <c r="V45" i="11"/>
  <c r="L1057" i="4"/>
  <c r="I1034" i="4"/>
  <c r="AU1070" i="4"/>
  <c r="AU45" i="11"/>
  <c r="BC1046" i="4"/>
  <c r="BD1047" i="4"/>
  <c r="O1070" i="4"/>
  <c r="O1077" i="4" s="1"/>
  <c r="O1081" i="4" s="1"/>
  <c r="O45" i="11"/>
  <c r="BF1070" i="4"/>
  <c r="BF45" i="11"/>
  <c r="W45" i="67"/>
  <c r="M1093" i="4"/>
  <c r="T46" i="11"/>
  <c r="P46" i="11"/>
  <c r="P48" i="11" s="1"/>
  <c r="P55" i="11" s="1"/>
  <c r="P62" i="11"/>
  <c r="P61" i="11"/>
  <c r="BS1070" i="4"/>
  <c r="BS45" i="11"/>
  <c r="V1046" i="4"/>
  <c r="W1047" i="4"/>
  <c r="Q46" i="11"/>
  <c r="Q48" i="11" s="1"/>
  <c r="Q55" i="11" s="1"/>
  <c r="Q61" i="11"/>
  <c r="Q63" i="11" s="1"/>
  <c r="Q62" i="11"/>
  <c r="L902" i="4"/>
  <c r="I896" i="4"/>
  <c r="AV46" i="11"/>
  <c r="AG46" i="11"/>
  <c r="W1046" i="4"/>
  <c r="X1047" i="4"/>
  <c r="CD46" i="11"/>
  <c r="S1046" i="4"/>
  <c r="T1047" i="4"/>
  <c r="Q1089" i="4"/>
  <c r="Q1082" i="4"/>
  <c r="Q1093" i="4" s="1"/>
  <c r="CO1070" i="4"/>
  <c r="CO45" i="11"/>
  <c r="AO46" i="11"/>
  <c r="CN45" i="11"/>
  <c r="CN1070" i="4"/>
  <c r="AF45" i="67"/>
  <c r="AD1047" i="4"/>
  <c r="AC1046" i="4"/>
  <c r="AB1046" i="4"/>
  <c r="AC1047" i="4"/>
  <c r="BC46" i="11"/>
  <c r="W1070" i="4"/>
  <c r="W45" i="11"/>
  <c r="CM46" i="11"/>
  <c r="CJ46" i="11"/>
  <c r="AM46" i="11"/>
  <c r="AK46" i="11"/>
  <c r="T45" i="67"/>
  <c r="CJ1046" i="4" l="1"/>
  <c r="AL45" i="11"/>
  <c r="AL46" i="11" s="1"/>
  <c r="BF1046" i="4"/>
  <c r="BH1046" i="4"/>
  <c r="CF1046" i="4"/>
  <c r="AA45" i="67"/>
  <c r="AA46" i="67" s="1"/>
  <c r="BW1070" i="4"/>
  <c r="BW45" i="11"/>
  <c r="BW46" i="11" s="1"/>
  <c r="O1046" i="4"/>
  <c r="O45" i="67"/>
  <c r="O46" i="67" s="1"/>
  <c r="AA1070" i="4"/>
  <c r="AH45" i="11"/>
  <c r="AH46" i="11" s="1"/>
  <c r="BD1046" i="4"/>
  <c r="Z45" i="67"/>
  <c r="Z46" i="67" s="1"/>
  <c r="BQ1070" i="4"/>
  <c r="N1047" i="4"/>
  <c r="AB1070" i="4"/>
  <c r="BP1047" i="4"/>
  <c r="BB1046" i="4"/>
  <c r="CG1046" i="4"/>
  <c r="P45" i="67"/>
  <c r="P46" i="67" s="1"/>
  <c r="AE45" i="11"/>
  <c r="AE46" i="11" s="1"/>
  <c r="CK1070" i="4"/>
  <c r="BF1047" i="4"/>
  <c r="AQ1046" i="4"/>
  <c r="BK1047" i="4"/>
  <c r="AX1047" i="4"/>
  <c r="BT1047" i="4"/>
  <c r="AJ45" i="11"/>
  <c r="AJ46" i="11" s="1"/>
  <c r="BI1070" i="4"/>
  <c r="BN45" i="11"/>
  <c r="BN46" i="11" s="1"/>
  <c r="X45" i="67"/>
  <c r="X46" i="67" s="1"/>
  <c r="AF45" i="11"/>
  <c r="AF46" i="11" s="1"/>
  <c r="Q45" i="67"/>
  <c r="Q46" i="67" s="1"/>
  <c r="U45" i="67"/>
  <c r="U46" i="67" s="1"/>
  <c r="AU1046" i="4"/>
  <c r="AE45" i="67"/>
  <c r="AE46" i="67" s="1"/>
  <c r="CL45" i="11"/>
  <c r="CL46" i="11" s="1"/>
  <c r="AY45" i="11"/>
  <c r="AY46" i="11" s="1"/>
  <c r="I1038" i="4"/>
  <c r="U1046" i="4"/>
  <c r="Y45" i="67"/>
  <c r="Y46" i="67" s="1"/>
  <c r="BM45" i="11"/>
  <c r="BM46" i="11" s="1"/>
  <c r="R45" i="67"/>
  <c r="R46" i="67" s="1"/>
  <c r="AD45" i="67"/>
  <c r="AD46" i="67" s="1"/>
  <c r="CI45" i="11"/>
  <c r="CI46" i="11" s="1"/>
  <c r="M62" i="62"/>
  <c r="M1472" i="4"/>
  <c r="L903" i="4"/>
  <c r="I902" i="4"/>
  <c r="AU46" i="11"/>
  <c r="AF46" i="67"/>
  <c r="S46" i="67"/>
  <c r="N62" i="62"/>
  <c r="N1472" i="4"/>
  <c r="N64" i="11"/>
  <c r="W46" i="11"/>
  <c r="CO46" i="11"/>
  <c r="Q64" i="11"/>
  <c r="Q62" i="62"/>
  <c r="Q1472" i="4"/>
  <c r="CN46" i="11"/>
  <c r="R46" i="11"/>
  <c r="AQ46" i="11"/>
  <c r="Y46" i="11"/>
  <c r="AB46" i="11"/>
  <c r="W46" i="67"/>
  <c r="N1058" i="4"/>
  <c r="L1059" i="4"/>
  <c r="L1060" i="4" s="1"/>
  <c r="M1056" i="4" s="1"/>
  <c r="I1057" i="4"/>
  <c r="V46" i="11"/>
  <c r="M46" i="67"/>
  <c r="S46" i="11"/>
  <c r="P64" i="11"/>
  <c r="P1472" i="4"/>
  <c r="P62" i="62"/>
  <c r="CF46" i="11"/>
  <c r="T46" i="67"/>
  <c r="P63" i="11"/>
  <c r="O46" i="11"/>
  <c r="O48" i="11" s="1"/>
  <c r="O55" i="11" s="1"/>
  <c r="O61" i="11"/>
  <c r="O62" i="11"/>
  <c r="L1048" i="4"/>
  <c r="L1049" i="4" s="1"/>
  <c r="BR46" i="11"/>
  <c r="M1008" i="4"/>
  <c r="N1004" i="4"/>
  <c r="N1006" i="4" s="1"/>
  <c r="M19" i="11"/>
  <c r="AA46" i="11"/>
  <c r="BS46" i="11"/>
  <c r="BF46" i="11"/>
  <c r="O1082" i="4"/>
  <c r="O1089" i="4"/>
  <c r="I1047" i="4" l="1"/>
  <c r="I1046" i="4"/>
  <c r="M1059" i="4"/>
  <c r="M1060" i="4" s="1"/>
  <c r="N1056" i="4" s="1"/>
  <c r="O1058" i="4"/>
  <c r="L1062" i="4"/>
  <c r="M1045" i="4"/>
  <c r="L105" i="64"/>
  <c r="L63" i="64" s="1"/>
  <c r="L21" i="66"/>
  <c r="L106" i="64"/>
  <c r="L970" i="4"/>
  <c r="I903" i="4"/>
  <c r="G85" i="15" s="1"/>
  <c r="G93" i="15" s="1"/>
  <c r="O1093" i="4"/>
  <c r="N1007" i="4"/>
  <c r="O62" i="62"/>
  <c r="O64" i="11"/>
  <c r="O1472" i="4"/>
  <c r="O63" i="11"/>
  <c r="L36" i="64" l="1"/>
  <c r="L35" i="64"/>
  <c r="N1008" i="4"/>
  <c r="O1004" i="4"/>
  <c r="O1006" i="4" s="1"/>
  <c r="N19" i="11"/>
  <c r="L79" i="64"/>
  <c r="L71" i="64"/>
  <c r="M1048" i="4"/>
  <c r="M1049" i="4" s="1"/>
  <c r="L20" i="11"/>
  <c r="L1064" i="4"/>
  <c r="L35" i="11"/>
  <c r="L1119" i="4"/>
  <c r="I1119" i="4" s="1"/>
  <c r="L974" i="4"/>
  <c r="L70" i="67"/>
  <c r="I70" i="67" s="1"/>
  <c r="L70" i="11"/>
  <c r="L39" i="13"/>
  <c r="I39" i="13" s="1"/>
  <c r="L1021" i="4"/>
  <c r="L1013" i="4"/>
  <c r="L1319" i="4"/>
  <c r="L1293" i="4"/>
  <c r="I970" i="4"/>
  <c r="N1059" i="4"/>
  <c r="N1060" i="4" s="1"/>
  <c r="O1056" i="4" s="1"/>
  <c r="P1058" i="4"/>
  <c r="M106" i="64"/>
  <c r="M21" i="66"/>
  <c r="M1062" i="4" l="1"/>
  <c r="N1045" i="4"/>
  <c r="N1048" i="4" s="1"/>
  <c r="O1059" i="4"/>
  <c r="O1060" i="4" s="1"/>
  <c r="P1056" i="4" s="1"/>
  <c r="Q1058" i="4"/>
  <c r="N106" i="64"/>
  <c r="N21" i="66"/>
  <c r="I70" i="11"/>
  <c r="L37" i="64"/>
  <c r="L45" i="67"/>
  <c r="L1070" i="4"/>
  <c r="L45" i="11"/>
  <c r="I974" i="4"/>
  <c r="M35" i="64"/>
  <c r="M36" i="64"/>
  <c r="I1293" i="4"/>
  <c r="M105" i="64"/>
  <c r="M63" i="64" s="1"/>
  <c r="I1319" i="4"/>
  <c r="O1007" i="4"/>
  <c r="L1014" i="4"/>
  <c r="I1013" i="4"/>
  <c r="L1022" i="4"/>
  <c r="I1021" i="4"/>
  <c r="L1124" i="4"/>
  <c r="L1296" i="4"/>
  <c r="L41" i="66"/>
  <c r="L1335" i="4"/>
  <c r="L1321" i="4"/>
  <c r="L1126" i="4"/>
  <c r="L76" i="11"/>
  <c r="P1059" i="4" l="1"/>
  <c r="P1060" i="4" s="1"/>
  <c r="R1058" i="4"/>
  <c r="L1015" i="4"/>
  <c r="L46" i="11"/>
  <c r="I45" i="11"/>
  <c r="L61" i="11"/>
  <c r="L62" i="11"/>
  <c r="L1023" i="4"/>
  <c r="I1070" i="4"/>
  <c r="L1077" i="4"/>
  <c r="I45" i="67"/>
  <c r="L62" i="67"/>
  <c r="L61" i="67"/>
  <c r="L46" i="67"/>
  <c r="N35" i="64"/>
  <c r="N36" i="64"/>
  <c r="M37" i="64"/>
  <c r="O1008" i="4"/>
  <c r="O19" i="11"/>
  <c r="P1004" i="4"/>
  <c r="P1006" i="4" s="1"/>
  <c r="L19" i="67"/>
  <c r="L51" i="64"/>
  <c r="O106" i="64"/>
  <c r="O21" i="66"/>
  <c r="N1049" i="4"/>
  <c r="N105" i="64"/>
  <c r="N63" i="64" s="1"/>
  <c r="M71" i="64"/>
  <c r="M79" i="64"/>
  <c r="M1064" i="4"/>
  <c r="M20" i="11"/>
  <c r="M35" i="11"/>
  <c r="H147" i="15" l="1"/>
  <c r="N79" i="64"/>
  <c r="N71" i="64"/>
  <c r="M41" i="66"/>
  <c r="M1335" i="4"/>
  <c r="M1126" i="4"/>
  <c r="M1124" i="4"/>
  <c r="M1296" i="4"/>
  <c r="M1321" i="4"/>
  <c r="M76" i="11"/>
  <c r="M51" i="64"/>
  <c r="L1081" i="4"/>
  <c r="I46" i="11"/>
  <c r="L48" i="11"/>
  <c r="O35" i="64"/>
  <c r="O36" i="64"/>
  <c r="L1016" i="4"/>
  <c r="M1012" i="4"/>
  <c r="L18" i="11"/>
  <c r="L1027" i="4"/>
  <c r="N1062" i="4"/>
  <c r="O1045" i="4"/>
  <c r="N37" i="64"/>
  <c r="L34" i="11"/>
  <c r="L33" i="11" s="1"/>
  <c r="L1464" i="4" s="1"/>
  <c r="L1024" i="4"/>
  <c r="M1020" i="4"/>
  <c r="L48" i="67"/>
  <c r="I46" i="67"/>
  <c r="L63" i="67"/>
  <c r="L1472" i="4"/>
  <c r="L64" i="11"/>
  <c r="L62" i="62"/>
  <c r="Q1056" i="4"/>
  <c r="P1007" i="4"/>
  <c r="L64" i="67"/>
  <c r="L63" i="11"/>
  <c r="L1526" i="4"/>
  <c r="L1529" i="4" s="1"/>
  <c r="P106" i="64"/>
  <c r="P21" i="66"/>
  <c r="O37" i="64" l="1"/>
  <c r="O51" i="64" s="1"/>
  <c r="P36" i="64"/>
  <c r="P35" i="64"/>
  <c r="N51" i="64"/>
  <c r="O1048" i="4"/>
  <c r="O1049" i="4" s="1"/>
  <c r="N20" i="11"/>
  <c r="N35" i="11"/>
  <c r="N1064" i="4"/>
  <c r="L55" i="67"/>
  <c r="L55" i="11"/>
  <c r="M1022" i="4"/>
  <c r="M1014" i="4"/>
  <c r="Q1059" i="4"/>
  <c r="Q1060" i="4" s="1"/>
  <c r="S1058" i="4"/>
  <c r="L1028" i="4"/>
  <c r="L1082" i="4"/>
  <c r="L1089" i="4"/>
  <c r="P1008" i="4"/>
  <c r="Q1004" i="4"/>
  <c r="Q1006" i="4" s="1"/>
  <c r="Q1007" i="4" s="1"/>
  <c r="P19" i="11"/>
  <c r="P37" i="64" l="1"/>
  <c r="P51" i="64" s="1"/>
  <c r="L23" i="66"/>
  <c r="L1125" i="4"/>
  <c r="L1297" i="4"/>
  <c r="L77" i="11"/>
  <c r="L1322" i="4"/>
  <c r="L43" i="66"/>
  <c r="L1339" i="4"/>
  <c r="L66" i="62"/>
  <c r="M1015" i="4"/>
  <c r="R1056" i="4"/>
  <c r="Q106" i="64"/>
  <c r="Q21" i="66"/>
  <c r="M1023" i="4"/>
  <c r="L1093" i="4"/>
  <c r="N41" i="66"/>
  <c r="N1321" i="4"/>
  <c r="N1296" i="4"/>
  <c r="N1126" i="4"/>
  <c r="N1335" i="4"/>
  <c r="N1124" i="4"/>
  <c r="N76" i="11"/>
  <c r="O1062" i="4"/>
  <c r="P1045" i="4"/>
  <c r="P1048" i="4" s="1"/>
  <c r="Q1008" i="4"/>
  <c r="R1004" i="4"/>
  <c r="R1006" i="4" s="1"/>
  <c r="R1007" i="4" s="1"/>
  <c r="Q19" i="11"/>
  <c r="O105" i="64"/>
  <c r="O63" i="64" s="1"/>
  <c r="N1012" i="4" l="1"/>
  <c r="M18" i="11"/>
  <c r="M1027" i="4"/>
  <c r="M1016" i="4"/>
  <c r="O79" i="64"/>
  <c r="O71" i="64"/>
  <c r="N1020" i="4"/>
  <c r="M34" i="11"/>
  <c r="M33" i="11" s="1"/>
  <c r="M1464" i="4" s="1"/>
  <c r="M1024" i="4"/>
  <c r="L1090" i="4"/>
  <c r="Q35" i="64"/>
  <c r="Q36" i="64"/>
  <c r="R1008" i="4"/>
  <c r="S1004" i="4"/>
  <c r="R19" i="11"/>
  <c r="L1298" i="4"/>
  <c r="P1049" i="4"/>
  <c r="P105" i="64"/>
  <c r="P63" i="64" s="1"/>
  <c r="R1059" i="4"/>
  <c r="T1058" i="4"/>
  <c r="O20" i="11"/>
  <c r="L20" i="67" s="1"/>
  <c r="O35" i="11"/>
  <c r="L35" i="67" s="1"/>
  <c r="O1064" i="4"/>
  <c r="O41" i="66" l="1"/>
  <c r="O1335" i="4"/>
  <c r="O1124" i="4"/>
  <c r="O1296" i="4"/>
  <c r="O1126" i="4"/>
  <c r="O1321" i="4"/>
  <c r="O76" i="11"/>
  <c r="L76" i="67"/>
  <c r="R106" i="64"/>
  <c r="R21" i="66"/>
  <c r="P79" i="64"/>
  <c r="P71" i="64"/>
  <c r="L1091" i="4"/>
  <c r="M1088" i="4" s="1"/>
  <c r="L1083" i="4"/>
  <c r="M1028" i="4"/>
  <c r="Q1045" i="4"/>
  <c r="Q1048" i="4" s="1"/>
  <c r="P1062" i="4"/>
  <c r="S1006" i="4"/>
  <c r="S1007" i="4" s="1"/>
  <c r="S1008" i="4" s="1"/>
  <c r="N1022" i="4"/>
  <c r="N1014" i="4"/>
  <c r="R1060" i="4"/>
  <c r="S1056" i="4" s="1"/>
  <c r="Q37" i="64"/>
  <c r="M1090" i="4" l="1"/>
  <c r="M1091" i="4" s="1"/>
  <c r="N1088" i="4" s="1"/>
  <c r="S1059" i="4"/>
  <c r="S1060" i="4" s="1"/>
  <c r="T1056" i="4" s="1"/>
  <c r="U1058" i="4"/>
  <c r="S19" i="11"/>
  <c r="T1004" i="4"/>
  <c r="M19" i="67"/>
  <c r="L1084" i="4"/>
  <c r="P20" i="11"/>
  <c r="P35" i="11"/>
  <c r="P1064" i="4"/>
  <c r="N1015" i="4"/>
  <c r="Q1049" i="4"/>
  <c r="Q105" i="64"/>
  <c r="Q63" i="64" s="1"/>
  <c r="Q51" i="64"/>
  <c r="N1023" i="4"/>
  <c r="M1339" i="4"/>
  <c r="M1297" i="4"/>
  <c r="M1322" i="4"/>
  <c r="M77" i="11"/>
  <c r="M1125" i="4"/>
  <c r="M23" i="66"/>
  <c r="M43" i="66"/>
  <c r="M66" i="62"/>
  <c r="R35" i="64"/>
  <c r="R36" i="64"/>
  <c r="H168" i="15"/>
  <c r="R37" i="64" l="1"/>
  <c r="T1006" i="4"/>
  <c r="T1007" i="4" s="1"/>
  <c r="T1008" i="4" s="1"/>
  <c r="Q79" i="64"/>
  <c r="Q71" i="64"/>
  <c r="R1045" i="4"/>
  <c r="R1048" i="4" s="1"/>
  <c r="Q1062" i="4"/>
  <c r="L75" i="11"/>
  <c r="L61" i="64"/>
  <c r="L1299" i="4"/>
  <c r="L1323" i="4"/>
  <c r="L56" i="11"/>
  <c r="L1123" i="4"/>
  <c r="L63" i="62"/>
  <c r="V1058" i="4"/>
  <c r="T1059" i="4"/>
  <c r="T1060" i="4" s="1"/>
  <c r="U1056" i="4" s="1"/>
  <c r="S106" i="64"/>
  <c r="S21" i="66"/>
  <c r="O1020" i="4"/>
  <c r="N34" i="11"/>
  <c r="N33" i="11" s="1"/>
  <c r="N1464" i="4" s="1"/>
  <c r="N1024" i="4"/>
  <c r="O1012" i="4"/>
  <c r="N18" i="11"/>
  <c r="N1027" i="4"/>
  <c r="N1016" i="4"/>
  <c r="N1090" i="4"/>
  <c r="N1083" i="4" s="1"/>
  <c r="N1084" i="4" s="1"/>
  <c r="P1124" i="4"/>
  <c r="P1321" i="4"/>
  <c r="P41" i="66"/>
  <c r="P1335" i="4"/>
  <c r="P1296" i="4"/>
  <c r="P1126" i="4"/>
  <c r="P76" i="11"/>
  <c r="M1083" i="4"/>
  <c r="N1091" i="4" l="1"/>
  <c r="O1088" i="4" s="1"/>
  <c r="O1090" i="4" s="1"/>
  <c r="L67" i="62"/>
  <c r="O1014" i="4"/>
  <c r="L1300" i="4"/>
  <c r="L66" i="64"/>
  <c r="L69" i="64"/>
  <c r="L77" i="64"/>
  <c r="S35" i="64"/>
  <c r="S36" i="64"/>
  <c r="N1123" i="4"/>
  <c r="N61" i="64"/>
  <c r="N1323" i="4"/>
  <c r="N56" i="11"/>
  <c r="N57" i="11" s="1"/>
  <c r="N75" i="11"/>
  <c r="N1299" i="4"/>
  <c r="N63" i="62"/>
  <c r="O1022" i="4"/>
  <c r="Q20" i="11"/>
  <c r="Q35" i="11"/>
  <c r="Q1064" i="4"/>
  <c r="U1004" i="4"/>
  <c r="T19" i="11"/>
  <c r="U1059" i="4"/>
  <c r="U1060" i="4" s="1"/>
  <c r="V1056" i="4" s="1"/>
  <c r="W1058" i="4"/>
  <c r="R1049" i="4"/>
  <c r="R105" i="64"/>
  <c r="R63" i="64" s="1"/>
  <c r="T21" i="66"/>
  <c r="T106" i="64"/>
  <c r="L1130" i="4"/>
  <c r="R51" i="64"/>
  <c r="N1028" i="4"/>
  <c r="M1084" i="4"/>
  <c r="L57" i="11"/>
  <c r="S37" i="64" l="1"/>
  <c r="S51" i="64" s="1"/>
  <c r="L1313" i="4"/>
  <c r="L1303" i="4"/>
  <c r="M75" i="11"/>
  <c r="M1123" i="4"/>
  <c r="M61" i="64"/>
  <c r="M56" i="11"/>
  <c r="M1323" i="4"/>
  <c r="M1299" i="4"/>
  <c r="M63" i="62"/>
  <c r="U1006" i="4"/>
  <c r="U1007" i="4" s="1"/>
  <c r="O1083" i="4"/>
  <c r="Q1335" i="4"/>
  <c r="Q1124" i="4"/>
  <c r="Q41" i="66"/>
  <c r="Q1296" i="4"/>
  <c r="Q1126" i="4"/>
  <c r="Q1321" i="4"/>
  <c r="Q76" i="11"/>
  <c r="N1322" i="4"/>
  <c r="N1297" i="4"/>
  <c r="N1125" i="4"/>
  <c r="N43" i="66"/>
  <c r="N1339" i="4"/>
  <c r="N23" i="66"/>
  <c r="N77" i="11"/>
  <c r="N66" i="62"/>
  <c r="V1059" i="4"/>
  <c r="V1060" i="4" s="1"/>
  <c r="W1056" i="4" s="1"/>
  <c r="X1058" i="4"/>
  <c r="L82" i="64"/>
  <c r="O1015" i="4"/>
  <c r="R71" i="64"/>
  <c r="R79" i="64"/>
  <c r="L1283" i="4"/>
  <c r="L1471" i="4"/>
  <c r="U106" i="64"/>
  <c r="U21" i="66"/>
  <c r="N1471" i="4"/>
  <c r="L74" i="64"/>
  <c r="O1091" i="4"/>
  <c r="P1088" i="4" s="1"/>
  <c r="R1062" i="4"/>
  <c r="S1045" i="4"/>
  <c r="L1132" i="4"/>
  <c r="L40" i="64"/>
  <c r="T36" i="64"/>
  <c r="T35" i="64"/>
  <c r="N69" i="64"/>
  <c r="N74" i="64" s="1"/>
  <c r="N66" i="64"/>
  <c r="N40" i="64" s="1"/>
  <c r="N42" i="64" s="1"/>
  <c r="N77" i="64"/>
  <c r="N82" i="64" s="1"/>
  <c r="O1023" i="4"/>
  <c r="T37" i="64" l="1"/>
  <c r="T51" i="64" s="1"/>
  <c r="W1059" i="4"/>
  <c r="W1060" i="4" s="1"/>
  <c r="X1056" i="4" s="1"/>
  <c r="Y1058" i="4"/>
  <c r="L34" i="67"/>
  <c r="L33" i="67" s="1"/>
  <c r="P1020" i="4"/>
  <c r="O34" i="11"/>
  <c r="O33" i="11" s="1"/>
  <c r="O1464" i="4" s="1"/>
  <c r="O1024" i="4"/>
  <c r="R20" i="11"/>
  <c r="R35" i="11"/>
  <c r="R1064" i="4"/>
  <c r="V1004" i="4"/>
  <c r="U19" i="11"/>
  <c r="P1090" i="4"/>
  <c r="P1091" i="4" s="1"/>
  <c r="Q1088" i="4" s="1"/>
  <c r="M57" i="11"/>
  <c r="M66" i="64"/>
  <c r="M77" i="64"/>
  <c r="M69" i="64"/>
  <c r="L42" i="64"/>
  <c r="O1084" i="4"/>
  <c r="V106" i="64"/>
  <c r="V21" i="66"/>
  <c r="M67" i="62"/>
  <c r="L1281" i="4"/>
  <c r="L1271" i="4"/>
  <c r="L1135" i="4"/>
  <c r="L1193" i="4"/>
  <c r="N52" i="64"/>
  <c r="N49" i="64"/>
  <c r="S1048" i="4"/>
  <c r="S105" i="64" s="1"/>
  <c r="S63" i="64" s="1"/>
  <c r="U36" i="64"/>
  <c r="U35" i="64"/>
  <c r="L18" i="67"/>
  <c r="O18" i="11"/>
  <c r="P1012" i="4"/>
  <c r="O1027" i="4"/>
  <c r="O1016" i="4"/>
  <c r="U1008" i="4"/>
  <c r="N67" i="62"/>
  <c r="U37" i="64" l="1"/>
  <c r="U51" i="64" s="1"/>
  <c r="S1049" i="4"/>
  <c r="T1045" i="4" s="1"/>
  <c r="Q1090" i="4"/>
  <c r="Q1083" i="4" s="1"/>
  <c r="Q1084" i="4" s="1"/>
  <c r="M74" i="64"/>
  <c r="V1006" i="4"/>
  <c r="V1007" i="4" s="1"/>
  <c r="V1008" i="4" s="1"/>
  <c r="P1083" i="4"/>
  <c r="O1028" i="4"/>
  <c r="S79" i="64"/>
  <c r="S71" i="64"/>
  <c r="L52" i="64"/>
  <c r="L49" i="64"/>
  <c r="M82" i="64"/>
  <c r="P1022" i="4"/>
  <c r="M68" i="62"/>
  <c r="N68" i="62"/>
  <c r="M40" i="64"/>
  <c r="L1194" i="4"/>
  <c r="R41" i="66"/>
  <c r="R1321" i="4"/>
  <c r="R1335" i="4"/>
  <c r="R1296" i="4"/>
  <c r="R1124" i="4"/>
  <c r="R1126" i="4"/>
  <c r="R76" i="11"/>
  <c r="P1014" i="4"/>
  <c r="L1252" i="4"/>
  <c r="L1274" i="4"/>
  <c r="L1275" i="4" s="1"/>
  <c r="L1265" i="4" s="1"/>
  <c r="V36" i="64"/>
  <c r="V35" i="64"/>
  <c r="X1059" i="4"/>
  <c r="X1060" i="4" s="1"/>
  <c r="Y1056" i="4" s="1"/>
  <c r="Z1058" i="4"/>
  <c r="M1471" i="4"/>
  <c r="W106" i="64"/>
  <c r="W21" i="66"/>
  <c r="O61" i="64"/>
  <c r="O1299" i="4"/>
  <c r="O56" i="11"/>
  <c r="O1123" i="4"/>
  <c r="O75" i="11"/>
  <c r="O1323" i="4"/>
  <c r="O63" i="62"/>
  <c r="L56" i="67"/>
  <c r="L75" i="67"/>
  <c r="L41" i="13"/>
  <c r="S1062" i="4" l="1"/>
  <c r="S20" i="11" s="1"/>
  <c r="M20" i="67" s="1"/>
  <c r="V37" i="64"/>
  <c r="V51" i="64" s="1"/>
  <c r="L57" i="67"/>
  <c r="O57" i="11"/>
  <c r="L1264" i="4"/>
  <c r="L1266" i="4"/>
  <c r="L1196" i="4"/>
  <c r="V19" i="11"/>
  <c r="W1004" i="4"/>
  <c r="W1006" i="4" s="1"/>
  <c r="W1007" i="4" s="1"/>
  <c r="L1257" i="4"/>
  <c r="L1261" i="4"/>
  <c r="P1023" i="4"/>
  <c r="M42" i="64"/>
  <c r="O43" i="66"/>
  <c r="O77" i="11"/>
  <c r="O1322" i="4"/>
  <c r="O1125" i="4"/>
  <c r="O1297" i="4"/>
  <c r="O1339" i="4"/>
  <c r="O23" i="66"/>
  <c r="O66" i="62"/>
  <c r="O67" i="62" s="1"/>
  <c r="L77" i="67"/>
  <c r="L42" i="13"/>
  <c r="L43" i="13" s="1"/>
  <c r="L49" i="13" s="1"/>
  <c r="O66" i="64"/>
  <c r="O77" i="64"/>
  <c r="O69" i="64"/>
  <c r="T1048" i="4"/>
  <c r="T105" i="64" s="1"/>
  <c r="T63" i="64" s="1"/>
  <c r="Y1059" i="4"/>
  <c r="Y1060" i="4" s="1"/>
  <c r="Z1056" i="4" s="1"/>
  <c r="AA1058" i="4"/>
  <c r="W36" i="64"/>
  <c r="W35" i="64"/>
  <c r="X106" i="64"/>
  <c r="X21" i="66"/>
  <c r="P1015" i="4"/>
  <c r="Q75" i="11"/>
  <c r="Q56" i="11"/>
  <c r="Q57" i="11" s="1"/>
  <c r="Q1471" i="4" s="1"/>
  <c r="Q1299" i="4"/>
  <c r="Q61" i="64"/>
  <c r="Q1323" i="4"/>
  <c r="Q1123" i="4"/>
  <c r="Q63" i="62"/>
  <c r="P1084" i="4"/>
  <c r="Q1091" i="4"/>
  <c r="R1088" i="4" s="1"/>
  <c r="S1064" i="4" l="1"/>
  <c r="S1335" i="4" s="1"/>
  <c r="S35" i="11"/>
  <c r="M35" i="67" s="1"/>
  <c r="W37" i="64"/>
  <c r="W51" i="64" s="1"/>
  <c r="Y106" i="64"/>
  <c r="Y21" i="66"/>
  <c r="O82" i="64"/>
  <c r="W1008" i="4"/>
  <c r="X1004" i="4"/>
  <c r="W19" i="11"/>
  <c r="N19" i="67"/>
  <c r="O1471" i="4"/>
  <c r="P18" i="11"/>
  <c r="Q1012" i="4"/>
  <c r="P1027" i="4"/>
  <c r="P1016" i="4"/>
  <c r="O40" i="64"/>
  <c r="P34" i="11"/>
  <c r="P33" i="11" s="1"/>
  <c r="P1464" i="4" s="1"/>
  <c r="Q1020" i="4"/>
  <c r="P1024" i="4"/>
  <c r="Q77" i="64"/>
  <c r="Q82" i="64" s="1"/>
  <c r="Q69" i="64"/>
  <c r="Q74" i="64" s="1"/>
  <c r="Q66" i="64"/>
  <c r="Q40" i="64" s="1"/>
  <c r="Q42" i="64" s="1"/>
  <c r="O68" i="62"/>
  <c r="O74" i="64"/>
  <c r="X36" i="64"/>
  <c r="X35" i="64"/>
  <c r="T1049" i="4"/>
  <c r="L1198" i="4"/>
  <c r="Z1059" i="4"/>
  <c r="Z1060" i="4" s="1"/>
  <c r="AA1056" i="4" s="1"/>
  <c r="AB1058" i="4"/>
  <c r="T79" i="64"/>
  <c r="T71" i="64"/>
  <c r="H170" i="15"/>
  <c r="L1268" i="4"/>
  <c r="L1309" i="4"/>
  <c r="L86" i="11"/>
  <c r="L1338" i="4"/>
  <c r="L19" i="66"/>
  <c r="L1480" i="4"/>
  <c r="L74" i="11"/>
  <c r="L36" i="66"/>
  <c r="L1304" i="4"/>
  <c r="L1386" i="4"/>
  <c r="L1272" i="4"/>
  <c r="L1327" i="4"/>
  <c r="P75" i="11"/>
  <c r="P1323" i="4"/>
  <c r="P1123" i="4"/>
  <c r="P56" i="11"/>
  <c r="P1299" i="4"/>
  <c r="P61" i="64"/>
  <c r="P63" i="62"/>
  <c r="H149" i="15"/>
  <c r="M52" i="64"/>
  <c r="M49" i="64"/>
  <c r="L1253" i="4"/>
  <c r="M76" i="67" l="1"/>
  <c r="S1296" i="4"/>
  <c r="S1321" i="4"/>
  <c r="S1124" i="4"/>
  <c r="S41" i="66"/>
  <c r="S76" i="11"/>
  <c r="S1126" i="4"/>
  <c r="Q1014" i="4"/>
  <c r="Q1015" i="4" s="1"/>
  <c r="X1006" i="4"/>
  <c r="X1007" i="4" s="1"/>
  <c r="X1008" i="4" s="1"/>
  <c r="L78" i="11"/>
  <c r="T1062" i="4"/>
  <c r="U1045" i="4"/>
  <c r="Q1022" i="4"/>
  <c r="Q1023" i="4" s="1"/>
  <c r="Q1024" i="4" s="1"/>
  <c r="X37" i="64"/>
  <c r="P69" i="64"/>
  <c r="P66" i="64"/>
  <c r="P77" i="64"/>
  <c r="L1276" i="4"/>
  <c r="L1254" i="4" s="1"/>
  <c r="L17" i="66"/>
  <c r="O42" i="64"/>
  <c r="Y35" i="64"/>
  <c r="Y36" i="64"/>
  <c r="AA1059" i="4"/>
  <c r="AC1058" i="4"/>
  <c r="Q52" i="64"/>
  <c r="Q49" i="64"/>
  <c r="P1028" i="4"/>
  <c r="P57" i="11"/>
  <c r="Z106" i="64"/>
  <c r="Z21" i="66"/>
  <c r="Y37" i="64" l="1"/>
  <c r="Y51" i="64" s="1"/>
  <c r="P40" i="64"/>
  <c r="T20" i="11"/>
  <c r="T35" i="11"/>
  <c r="T1064" i="4"/>
  <c r="R1012" i="4"/>
  <c r="Q18" i="11"/>
  <c r="Q1027" i="4"/>
  <c r="O52" i="64"/>
  <c r="O49" i="64"/>
  <c r="P74" i="64"/>
  <c r="AA106" i="64"/>
  <c r="AA21" i="66"/>
  <c r="L1421" i="4"/>
  <c r="L1385" i="4"/>
  <c r="P77" i="11"/>
  <c r="P1297" i="4"/>
  <c r="P23" i="66"/>
  <c r="P1322" i="4"/>
  <c r="P1339" i="4"/>
  <c r="P43" i="66"/>
  <c r="P1125" i="4"/>
  <c r="P66" i="62"/>
  <c r="P67" i="62" s="1"/>
  <c r="X51" i="64"/>
  <c r="P1471" i="4"/>
  <c r="L1328" i="4"/>
  <c r="L89" i="11"/>
  <c r="L1305" i="4"/>
  <c r="L39" i="66"/>
  <c r="Z35" i="64"/>
  <c r="Z36" i="64"/>
  <c r="R1020" i="4"/>
  <c r="Q34" i="11"/>
  <c r="Q33" i="11" s="1"/>
  <c r="Q1464" i="4" s="1"/>
  <c r="Y1004" i="4"/>
  <c r="Y1006" i="4" s="1"/>
  <c r="Y1007" i="4" s="1"/>
  <c r="X19" i="11"/>
  <c r="L1255" i="4"/>
  <c r="AA1060" i="4"/>
  <c r="AB1056" i="4" s="1"/>
  <c r="P82" i="64"/>
  <c r="U1048" i="4"/>
  <c r="U105" i="64" s="1"/>
  <c r="U63" i="64" s="1"/>
  <c r="Q1016" i="4"/>
  <c r="Q1028" i="4" s="1"/>
  <c r="U1049" i="4" l="1"/>
  <c r="U1062" i="4" s="1"/>
  <c r="Z37" i="64"/>
  <c r="Z51" i="64" s="1"/>
  <c r="AA36" i="64"/>
  <c r="AA35" i="64"/>
  <c r="R1014" i="4"/>
  <c r="R1015" i="4" s="1"/>
  <c r="R1016" i="4" s="1"/>
  <c r="AB1059" i="4"/>
  <c r="AB1060" i="4" s="1"/>
  <c r="AC1056" i="4" s="1"/>
  <c r="AD1058" i="4"/>
  <c r="P68" i="62"/>
  <c r="K147" i="15"/>
  <c r="T41" i="66"/>
  <c r="T1126" i="4"/>
  <c r="T1335" i="4"/>
  <c r="T1321" i="4"/>
  <c r="T1296" i="4"/>
  <c r="T1124" i="4"/>
  <c r="T76" i="11"/>
  <c r="Y1008" i="4"/>
  <c r="Y19" i="11"/>
  <c r="Z1004" i="4"/>
  <c r="Z1006" i="4" s="1"/>
  <c r="Z1007" i="4" s="1"/>
  <c r="R1022" i="4"/>
  <c r="R1023" i="4" s="1"/>
  <c r="R1024" i="4" s="1"/>
  <c r="L35" i="66"/>
  <c r="Q43" i="66"/>
  <c r="Q1339" i="4"/>
  <c r="Q1125" i="4"/>
  <c r="Q77" i="11"/>
  <c r="Q1297" i="4"/>
  <c r="Q1322" i="4"/>
  <c r="Q23" i="66"/>
  <c r="Q66" i="62"/>
  <c r="Q67" i="62" s="1"/>
  <c r="Q68" i="62" s="1"/>
  <c r="L1490" i="4"/>
  <c r="L1506" i="4"/>
  <c r="M1250" i="4"/>
  <c r="L27" i="11"/>
  <c r="L1282" i="4"/>
  <c r="L1388" i="4"/>
  <c r="U79" i="64"/>
  <c r="U71" i="64"/>
  <c r="L1425" i="4"/>
  <c r="P42" i="64"/>
  <c r="V1045" i="4" l="1"/>
  <c r="V1048" i="4" s="1"/>
  <c r="V105" i="64" s="1"/>
  <c r="V63" i="64" s="1"/>
  <c r="AA37" i="64"/>
  <c r="AA51" i="64" s="1"/>
  <c r="L1499" i="4"/>
  <c r="L1495" i="4"/>
  <c r="L1493" i="4"/>
  <c r="AC1059" i="4"/>
  <c r="AC1060" i="4" s="1"/>
  <c r="AD1056" i="4" s="1"/>
  <c r="AE1058" i="4"/>
  <c r="R1028" i="4"/>
  <c r="L1402" i="4"/>
  <c r="L1390" i="4"/>
  <c r="AB106" i="64"/>
  <c r="AB21" i="66"/>
  <c r="L1509" i="4"/>
  <c r="L1507" i="4"/>
  <c r="L1508" i="4" s="1"/>
  <c r="S1020" i="4"/>
  <c r="R34" i="11"/>
  <c r="R33" i="11" s="1"/>
  <c r="R1464" i="4" s="1"/>
  <c r="R18" i="11"/>
  <c r="S1012" i="4"/>
  <c r="R1027" i="4"/>
  <c r="U20" i="11"/>
  <c r="U35" i="11"/>
  <c r="U1064" i="4"/>
  <c r="L1284" i="4"/>
  <c r="L1286" i="4" s="1"/>
  <c r="L1440" i="4"/>
  <c r="P52" i="64"/>
  <c r="P49" i="64"/>
  <c r="Z1008" i="4"/>
  <c r="Z19" i="11"/>
  <c r="AA1004" i="4"/>
  <c r="AA1006" i="4" s="1"/>
  <c r="AA1007" i="4" s="1"/>
  <c r="L1496" i="4" l="1"/>
  <c r="L1403" i="4"/>
  <c r="L1441" i="4"/>
  <c r="S1022" i="4"/>
  <c r="S1023" i="4" s="1"/>
  <c r="S1024" i="4" s="1"/>
  <c r="L1285" i="4"/>
  <c r="AB35" i="64"/>
  <c r="AB36" i="64"/>
  <c r="L1329" i="4"/>
  <c r="L90" i="11"/>
  <c r="L58" i="11"/>
  <c r="L48" i="62"/>
  <c r="L1306" i="4"/>
  <c r="L22" i="66"/>
  <c r="R43" i="66"/>
  <c r="R1322" i="4"/>
  <c r="R1125" i="4"/>
  <c r="R1297" i="4"/>
  <c r="R1339" i="4"/>
  <c r="R23" i="66"/>
  <c r="R77" i="11"/>
  <c r="R66" i="62"/>
  <c r="V1049" i="4"/>
  <c r="S1014" i="4"/>
  <c r="S1015" i="4" s="1"/>
  <c r="S1016" i="4" s="1"/>
  <c r="V79" i="64"/>
  <c r="V71" i="64"/>
  <c r="AD1059" i="4"/>
  <c r="AF1058" i="4"/>
  <c r="AA1008" i="4"/>
  <c r="AA19" i="11"/>
  <c r="AB1004" i="4"/>
  <c r="AB1006" i="4" s="1"/>
  <c r="AB1007" i="4" s="1"/>
  <c r="O19" i="67"/>
  <c r="U41" i="66"/>
  <c r="U1124" i="4"/>
  <c r="U1321" i="4"/>
  <c r="U1296" i="4"/>
  <c r="U1335" i="4"/>
  <c r="U1126" i="4"/>
  <c r="U76" i="11"/>
  <c r="AC106" i="64"/>
  <c r="AC21" i="66"/>
  <c r="V1062" i="4" l="1"/>
  <c r="W1045" i="4"/>
  <c r="L91" i="11"/>
  <c r="AD106" i="64"/>
  <c r="AD21" i="66"/>
  <c r="AB1008" i="4"/>
  <c r="AC1004" i="4"/>
  <c r="AC1006" i="4" s="1"/>
  <c r="AC1007" i="4" s="1"/>
  <c r="AB19" i="11"/>
  <c r="AB37" i="64"/>
  <c r="M34" i="67"/>
  <c r="M33" i="67" s="1"/>
  <c r="T1020" i="4"/>
  <c r="S34" i="11"/>
  <c r="S33" i="11" s="1"/>
  <c r="S1464" i="4" s="1"/>
  <c r="L1404" i="4"/>
  <c r="AC36" i="64"/>
  <c r="AC35" i="64"/>
  <c r="S1028" i="4"/>
  <c r="T1012" i="4"/>
  <c r="M18" i="67"/>
  <c r="S18" i="11"/>
  <c r="S1027" i="4"/>
  <c r="L1307" i="4"/>
  <c r="L1311" i="4" s="1"/>
  <c r="M1290" i="4" s="1"/>
  <c r="L1442" i="4"/>
  <c r="L24" i="62"/>
  <c r="AD1060" i="4"/>
  <c r="AE1056" i="4" s="1"/>
  <c r="L59" i="11"/>
  <c r="T1014" i="4" l="1"/>
  <c r="T1015" i="4" s="1"/>
  <c r="T1016" i="4" s="1"/>
  <c r="AE1059" i="4"/>
  <c r="AE1060" i="4" s="1"/>
  <c r="AF1056" i="4" s="1"/>
  <c r="AG1058" i="4"/>
  <c r="S1125" i="4"/>
  <c r="S43" i="66"/>
  <c r="S23" i="66"/>
  <c r="I149" i="15" s="1"/>
  <c r="S1297" i="4"/>
  <c r="S1322" i="4"/>
  <c r="S1339" i="4"/>
  <c r="S77" i="11"/>
  <c r="S66" i="62"/>
  <c r="M42" i="13"/>
  <c r="M77" i="67"/>
  <c r="L28" i="11"/>
  <c r="AC37" i="64"/>
  <c r="T1022" i="4"/>
  <c r="T1023" i="4" s="1"/>
  <c r="T1024" i="4" s="1"/>
  <c r="M1128" i="4"/>
  <c r="M1130" i="4" s="1"/>
  <c r="M1298" i="4"/>
  <c r="M1300" i="4" s="1"/>
  <c r="L93" i="11"/>
  <c r="L96" i="11" s="1"/>
  <c r="L97" i="11" s="1"/>
  <c r="L26" i="62"/>
  <c r="AB51" i="64"/>
  <c r="AC1008" i="4"/>
  <c r="AD1004" i="4"/>
  <c r="AD1006" i="4" s="1"/>
  <c r="AD1007" i="4" s="1"/>
  <c r="AC19" i="11"/>
  <c r="W1048" i="4"/>
  <c r="W105" i="64" s="1"/>
  <c r="W63" i="64" s="1"/>
  <c r="V20" i="11"/>
  <c r="V35" i="11"/>
  <c r="V1064" i="4"/>
  <c r="AD36" i="64"/>
  <c r="AD35" i="64"/>
  <c r="AF1059" i="4" l="1"/>
  <c r="AF1060" i="4" s="1"/>
  <c r="AG1056" i="4" s="1"/>
  <c r="AH1058" i="4"/>
  <c r="AD1008" i="4"/>
  <c r="AE1004" i="4"/>
  <c r="AE1006" i="4" s="1"/>
  <c r="AE1007" i="4" s="1"/>
  <c r="AD19" i="11"/>
  <c r="AC51" i="64"/>
  <c r="M95" i="11"/>
  <c r="L46" i="62"/>
  <c r="L100" i="67"/>
  <c r="L1330" i="4"/>
  <c r="L100" i="11"/>
  <c r="L101" i="11"/>
  <c r="L1340" i="4"/>
  <c r="L1462" i="4"/>
  <c r="L1461" i="4" s="1"/>
  <c r="L21" i="11"/>
  <c r="L17" i="11" s="1"/>
  <c r="L101" i="67"/>
  <c r="L24" i="66"/>
  <c r="L44" i="66"/>
  <c r="V41" i="66"/>
  <c r="V1335" i="4"/>
  <c r="V1124" i="4"/>
  <c r="V1126" i="4"/>
  <c r="V1321" i="4"/>
  <c r="V1296" i="4"/>
  <c r="V76" i="11"/>
  <c r="U1020" i="4"/>
  <c r="T34" i="11"/>
  <c r="T33" i="11" s="1"/>
  <c r="T1464" i="4" s="1"/>
  <c r="M1283" i="4"/>
  <c r="L25" i="11"/>
  <c r="AE106" i="64"/>
  <c r="AE21" i="66"/>
  <c r="W1049" i="4"/>
  <c r="M1313" i="4"/>
  <c r="M1303" i="4"/>
  <c r="AD37" i="64"/>
  <c r="W79" i="64"/>
  <c r="W71" i="64"/>
  <c r="M1132" i="4"/>
  <c r="U1012" i="4"/>
  <c r="T18" i="11"/>
  <c r="T1027" i="4"/>
  <c r="T1028" i="4"/>
  <c r="L99" i="11" l="1"/>
  <c r="L1474" i="4"/>
  <c r="L1469" i="4" s="1"/>
  <c r="L37" i="11"/>
  <c r="L1475" i="4"/>
  <c r="L1470" i="4" s="1"/>
  <c r="AD51" i="64"/>
  <c r="L40" i="66"/>
  <c r="L1331" i="4"/>
  <c r="T1339" i="4"/>
  <c r="T1297" i="4"/>
  <c r="T43" i="66"/>
  <c r="T1322" i="4"/>
  <c r="T1125" i="4"/>
  <c r="T23" i="66"/>
  <c r="T77" i="11"/>
  <c r="T66" i="62"/>
  <c r="M1271" i="4"/>
  <c r="M1281" i="4"/>
  <c r="L20" i="66"/>
  <c r="AE1008" i="4"/>
  <c r="AF1004" i="4"/>
  <c r="AF1006" i="4" s="1"/>
  <c r="AF1007" i="4" s="1"/>
  <c r="AE19" i="11"/>
  <c r="P19" i="67"/>
  <c r="U1014" i="4"/>
  <c r="U1015" i="4" s="1"/>
  <c r="U1016" i="4" s="1"/>
  <c r="M1193" i="4"/>
  <c r="M1493" i="4"/>
  <c r="M1496" i="4" s="1"/>
  <c r="W1062" i="4"/>
  <c r="X1045" i="4"/>
  <c r="U1022" i="4"/>
  <c r="U1023" i="4" s="1"/>
  <c r="U1024" i="4" s="1"/>
  <c r="L23" i="11"/>
  <c r="L1463" i="4"/>
  <c r="L1460" i="4" s="1"/>
  <c r="AG1059" i="4"/>
  <c r="AG1060" i="4" s="1"/>
  <c r="AH1056" i="4" s="1"/>
  <c r="AI1058" i="4"/>
  <c r="M1135" i="4"/>
  <c r="AE36" i="64"/>
  <c r="AE35" i="64"/>
  <c r="L1341" i="4"/>
  <c r="AF106" i="64"/>
  <c r="AF21" i="66"/>
  <c r="AE37" i="64" l="1"/>
  <c r="L1516" i="4"/>
  <c r="L1517" i="4" s="1"/>
  <c r="L1473" i="4"/>
  <c r="L1468" i="4" s="1"/>
  <c r="M1194" i="4"/>
  <c r="AF1008" i="4"/>
  <c r="AG1004" i="4"/>
  <c r="AG1006" i="4" s="1"/>
  <c r="AG1007" i="4" s="1"/>
  <c r="AF19" i="11"/>
  <c r="M1252" i="4"/>
  <c r="M1274" i="4"/>
  <c r="M1275" i="4" s="1"/>
  <c r="M1265" i="4" s="1"/>
  <c r="AF36" i="64"/>
  <c r="AF35" i="64"/>
  <c r="V1012" i="4"/>
  <c r="U18" i="11"/>
  <c r="U1027" i="4"/>
  <c r="L26" i="66"/>
  <c r="L1343" i="4"/>
  <c r="U1028" i="4"/>
  <c r="AH1059" i="4"/>
  <c r="AH1060" i="4" s="1"/>
  <c r="AI1056" i="4" s="1"/>
  <c r="AJ1058" i="4"/>
  <c r="V1020" i="4"/>
  <c r="U34" i="11"/>
  <c r="U33" i="11" s="1"/>
  <c r="U1464" i="4" s="1"/>
  <c r="AG106" i="64"/>
  <c r="AG21" i="66"/>
  <c r="X1048" i="4"/>
  <c r="X105" i="64" s="1"/>
  <c r="X63" i="64" s="1"/>
  <c r="L46" i="66"/>
  <c r="L39" i="11"/>
  <c r="W20" i="11"/>
  <c r="N20" i="67" s="1"/>
  <c r="W35" i="11"/>
  <c r="N35" i="67" s="1"/>
  <c r="W1064" i="4"/>
  <c r="AK1058" i="4" l="1"/>
  <c r="AI1059" i="4"/>
  <c r="W41" i="66"/>
  <c r="W1126" i="4"/>
  <c r="W1335" i="4"/>
  <c r="W1321" i="4"/>
  <c r="W1296" i="4"/>
  <c r="W1124" i="4"/>
  <c r="W76" i="11"/>
  <c r="N76" i="67"/>
  <c r="L40" i="11"/>
  <c r="L48" i="66"/>
  <c r="V1014" i="4"/>
  <c r="V1015" i="4" s="1"/>
  <c r="V1016" i="4" s="1"/>
  <c r="M1196" i="4"/>
  <c r="AG35" i="64"/>
  <c r="AG36" i="64"/>
  <c r="AH106" i="64"/>
  <c r="AH21" i="66"/>
  <c r="M1264" i="4"/>
  <c r="M1266" i="4"/>
  <c r="U1125" i="4"/>
  <c r="U43" i="66"/>
  <c r="U23" i="66"/>
  <c r="U1339" i="4"/>
  <c r="U1297" i="4"/>
  <c r="U1322" i="4"/>
  <c r="U77" i="11"/>
  <c r="U66" i="62"/>
  <c r="M1257" i="4"/>
  <c r="M1261" i="4"/>
  <c r="X1049" i="4"/>
  <c r="AF37" i="64"/>
  <c r="X79" i="64"/>
  <c r="X71" i="64"/>
  <c r="AG1008" i="4"/>
  <c r="AG19" i="11"/>
  <c r="AH1004" i="4"/>
  <c r="AH1006" i="4" s="1"/>
  <c r="AH1007" i="4" s="1"/>
  <c r="V1022" i="4"/>
  <c r="V1023" i="4" s="1"/>
  <c r="V1024" i="4" s="1"/>
  <c r="AE51" i="64"/>
  <c r="AG37" i="64" l="1"/>
  <c r="AG51" i="64" s="1"/>
  <c r="M1198" i="4"/>
  <c r="M1386" i="4"/>
  <c r="M36" i="66"/>
  <c r="M1304" i="4"/>
  <c r="M74" i="11"/>
  <c r="M1272" i="4"/>
  <c r="M1327" i="4"/>
  <c r="M1268" i="4"/>
  <c r="M1253" i="4"/>
  <c r="W1012" i="4"/>
  <c r="V18" i="11"/>
  <c r="V1027" i="4"/>
  <c r="W1020" i="4"/>
  <c r="V34" i="11"/>
  <c r="V33" i="11" s="1"/>
  <c r="V1464" i="4" s="1"/>
  <c r="M19" i="66"/>
  <c r="M1309" i="4"/>
  <c r="M86" i="11"/>
  <c r="M1338" i="4"/>
  <c r="M1480" i="4"/>
  <c r="X1062" i="4"/>
  <c r="Y1045" i="4"/>
  <c r="AH35" i="64"/>
  <c r="AH36" i="64"/>
  <c r="AI1060" i="4"/>
  <c r="AJ1056" i="4" s="1"/>
  <c r="AI21" i="66"/>
  <c r="AI106" i="64"/>
  <c r="V1028" i="4"/>
  <c r="AF51" i="64"/>
  <c r="AH1008" i="4"/>
  <c r="AI1004" i="4"/>
  <c r="AI1006" i="4" s="1"/>
  <c r="AI1007" i="4" s="1"/>
  <c r="AH19" i="11"/>
  <c r="V1339" i="4" l="1"/>
  <c r="V1125" i="4"/>
  <c r="V23" i="66"/>
  <c r="V1297" i="4"/>
  <c r="V1322" i="4"/>
  <c r="V43" i="66"/>
  <c r="V77" i="11"/>
  <c r="V66" i="62"/>
  <c r="AH37" i="64"/>
  <c r="AI36" i="64"/>
  <c r="AI35" i="64"/>
  <c r="M17" i="66"/>
  <c r="AL1058" i="4"/>
  <c r="AJ1059" i="4"/>
  <c r="X20" i="11"/>
  <c r="X35" i="11"/>
  <c r="X1064" i="4"/>
  <c r="W1014" i="4"/>
  <c r="W1015" i="4" s="1"/>
  <c r="W1016" i="4" s="1"/>
  <c r="Y1048" i="4"/>
  <c r="Y105" i="64" s="1"/>
  <c r="Y63" i="64" s="1"/>
  <c r="AI1008" i="4"/>
  <c r="AJ1004" i="4"/>
  <c r="AJ1006" i="4" s="1"/>
  <c r="AJ1007" i="4" s="1"/>
  <c r="AI19" i="11"/>
  <c r="Q19" i="67"/>
  <c r="W1022" i="4"/>
  <c r="W1023" i="4" s="1"/>
  <c r="W1024" i="4" s="1"/>
  <c r="M1276" i="4"/>
  <c r="M1254" i="4" s="1"/>
  <c r="M1255" i="4" s="1"/>
  <c r="M78" i="11"/>
  <c r="AI37" i="64" l="1"/>
  <c r="AI51" i="64" s="1"/>
  <c r="Y1049" i="4"/>
  <c r="Y1062" i="4" s="1"/>
  <c r="N1250" i="4"/>
  <c r="M27" i="11"/>
  <c r="M1506" i="4"/>
  <c r="M1421" i="4"/>
  <c r="M1385" i="4"/>
  <c r="AJ106" i="64"/>
  <c r="AJ21" i="66"/>
  <c r="N18" i="67"/>
  <c r="W18" i="11"/>
  <c r="X1012" i="4"/>
  <c r="W1027" i="4"/>
  <c r="AH51" i="64"/>
  <c r="AJ1008" i="4"/>
  <c r="AK1004" i="4"/>
  <c r="AK1006" i="4" s="1"/>
  <c r="AK1007" i="4" s="1"/>
  <c r="AJ19" i="11"/>
  <c r="X41" i="66"/>
  <c r="X1126" i="4"/>
  <c r="X1124" i="4"/>
  <c r="X1335" i="4"/>
  <c r="X1296" i="4"/>
  <c r="X1321" i="4"/>
  <c r="X76" i="11"/>
  <c r="M1305" i="4"/>
  <c r="M39" i="66"/>
  <c r="M89" i="11"/>
  <c r="M1328" i="4"/>
  <c r="W1028" i="4"/>
  <c r="Y79" i="64"/>
  <c r="Y71" i="64"/>
  <c r="N34" i="67"/>
  <c r="N33" i="67" s="1"/>
  <c r="X1020" i="4"/>
  <c r="W34" i="11"/>
  <c r="W33" i="11" s="1"/>
  <c r="W1464" i="4" s="1"/>
  <c r="AJ1060" i="4"/>
  <c r="AK1056" i="4" s="1"/>
  <c r="Z1045" i="4" l="1"/>
  <c r="Z1048" i="4" s="1"/>
  <c r="Z105" i="64" s="1"/>
  <c r="Z63" i="64" s="1"/>
  <c r="AK1008" i="4"/>
  <c r="AL1004" i="4"/>
  <c r="AL1006" i="4" s="1"/>
  <c r="AL1007" i="4" s="1"/>
  <c r="AK19" i="11"/>
  <c r="Y20" i="11"/>
  <c r="Y35" i="11"/>
  <c r="Y1064" i="4"/>
  <c r="M35" i="66"/>
  <c r="AK1059" i="4"/>
  <c r="AK1060" i="4" s="1"/>
  <c r="AL1056" i="4" s="1"/>
  <c r="AM1058" i="4"/>
  <c r="M1282" i="4"/>
  <c r="M1388" i="4"/>
  <c r="M1425" i="4"/>
  <c r="W1125" i="4"/>
  <c r="W1339" i="4"/>
  <c r="W43" i="66"/>
  <c r="W1297" i="4"/>
  <c r="W23" i="66"/>
  <c r="W1322" i="4"/>
  <c r="W77" i="11"/>
  <c r="W66" i="62"/>
  <c r="N77" i="67"/>
  <c r="N42" i="13"/>
  <c r="X1022" i="4"/>
  <c r="X1023" i="4" s="1"/>
  <c r="X1024" i="4" s="1"/>
  <c r="M1509" i="4"/>
  <c r="M1507" i="4"/>
  <c r="M1508" i="4" s="1"/>
  <c r="X1014" i="4"/>
  <c r="X1015" i="4" s="1"/>
  <c r="X1016" i="4" s="1"/>
  <c r="AJ36" i="64"/>
  <c r="AJ35" i="64"/>
  <c r="AJ37" i="64" l="1"/>
  <c r="AJ51" i="64" s="1"/>
  <c r="X1028" i="4"/>
  <c r="X77" i="11" s="1"/>
  <c r="AL1059" i="4"/>
  <c r="AL1060" i="4" s="1"/>
  <c r="AM1056" i="4" s="1"/>
  <c r="AN1058" i="4"/>
  <c r="M1390" i="4"/>
  <c r="M1402" i="4"/>
  <c r="AL1008" i="4"/>
  <c r="AM1004" i="4"/>
  <c r="AM1006" i="4" s="1"/>
  <c r="AM1007" i="4" s="1"/>
  <c r="AL19" i="11"/>
  <c r="M1284" i="4"/>
  <c r="M1286" i="4" s="1"/>
  <c r="Y1335" i="4"/>
  <c r="Y41" i="66"/>
  <c r="Y1124" i="4"/>
  <c r="Y1296" i="4"/>
  <c r="Y1321" i="4"/>
  <c r="Y1126" i="4"/>
  <c r="Y76" i="11"/>
  <c r="Z1049" i="4"/>
  <c r="Z79" i="64"/>
  <c r="Z71" i="64"/>
  <c r="M1440" i="4"/>
  <c r="Y1012" i="4"/>
  <c r="X18" i="11"/>
  <c r="X1027" i="4"/>
  <c r="Y1020" i="4"/>
  <c r="X34" i="11"/>
  <c r="X33" i="11" s="1"/>
  <c r="X1464" i="4" s="1"/>
  <c r="AK106" i="64"/>
  <c r="AK21" i="66"/>
  <c r="X1125" i="4" l="1"/>
  <c r="X23" i="66"/>
  <c r="X1322" i="4"/>
  <c r="X43" i="66"/>
  <c r="X1339" i="4"/>
  <c r="X1297" i="4"/>
  <c r="X66" i="62"/>
  <c r="AM1059" i="4"/>
  <c r="AO1058" i="4"/>
  <c r="M1403" i="4"/>
  <c r="AK36" i="64"/>
  <c r="AK35" i="64"/>
  <c r="Z1062" i="4"/>
  <c r="AA1045" i="4"/>
  <c r="AM1008" i="4"/>
  <c r="AN1004" i="4"/>
  <c r="AN1006" i="4" s="1"/>
  <c r="AN1007" i="4" s="1"/>
  <c r="AM19" i="11"/>
  <c r="R19" i="67"/>
  <c r="Y1022" i="4"/>
  <c r="Y1023" i="4" s="1"/>
  <c r="Y1024" i="4" s="1"/>
  <c r="M1441" i="4"/>
  <c r="Y1014" i="4"/>
  <c r="Y1015" i="4" s="1"/>
  <c r="Y1016" i="4" s="1"/>
  <c r="M1285" i="4"/>
  <c r="AL106" i="64"/>
  <c r="AL21" i="66"/>
  <c r="M90" i="11"/>
  <c r="M48" i="62"/>
  <c r="M58" i="11"/>
  <c r="M1329" i="4"/>
  <c r="M1306" i="4"/>
  <c r="M22" i="66"/>
  <c r="Y1028" i="4" l="1"/>
  <c r="Y1322" i="4" s="1"/>
  <c r="M24" i="62"/>
  <c r="AN1008" i="4"/>
  <c r="AO1004" i="4"/>
  <c r="AO1006" i="4" s="1"/>
  <c r="AO1007" i="4" s="1"/>
  <c r="AN19" i="11"/>
  <c r="AA1048" i="4"/>
  <c r="AA105" i="64" s="1"/>
  <c r="AA63" i="64" s="1"/>
  <c r="M91" i="11"/>
  <c r="Z1020" i="4"/>
  <c r="Y34" i="11"/>
  <c r="Y33" i="11" s="1"/>
  <c r="Y1464" i="4" s="1"/>
  <c r="Z20" i="11"/>
  <c r="Z35" i="11"/>
  <c r="Z1064" i="4"/>
  <c r="AK37" i="64"/>
  <c r="AK51" i="64" s="1"/>
  <c r="Z1012" i="4"/>
  <c r="Y18" i="11"/>
  <c r="Y1027" i="4"/>
  <c r="M1307" i="4"/>
  <c r="M1311" i="4" s="1"/>
  <c r="N1290" i="4" s="1"/>
  <c r="AL36" i="64"/>
  <c r="AL35" i="64"/>
  <c r="AM1060" i="4"/>
  <c r="AN1056" i="4" s="1"/>
  <c r="AM21" i="66"/>
  <c r="AM106" i="64"/>
  <c r="M59" i="11"/>
  <c r="M1442" i="4"/>
  <c r="M1404" i="4"/>
  <c r="Y66" i="62" l="1"/>
  <c r="Y77" i="11"/>
  <c r="Y1339" i="4"/>
  <c r="Y1125" i="4"/>
  <c r="Y1297" i="4"/>
  <c r="Y23" i="66"/>
  <c r="Y43" i="66"/>
  <c r="AL37" i="64"/>
  <c r="AL51" i="64" s="1"/>
  <c r="AA1049" i="4"/>
  <c r="AA1062" i="4" s="1"/>
  <c r="M28" i="11"/>
  <c r="Z1022" i="4"/>
  <c r="Z1023" i="4" s="1"/>
  <c r="Z1024" i="4" s="1"/>
  <c r="M93" i="11"/>
  <c r="M96" i="11" s="1"/>
  <c r="M97" i="11" s="1"/>
  <c r="AO1008" i="4"/>
  <c r="AP1004" i="4"/>
  <c r="AO19" i="11"/>
  <c r="AM36" i="64"/>
  <c r="AM35" i="64"/>
  <c r="Z1014" i="4"/>
  <c r="Z1015" i="4" s="1"/>
  <c r="Z1016" i="4" s="1"/>
  <c r="N1128" i="4"/>
  <c r="N1130" i="4" s="1"/>
  <c r="N1298" i="4"/>
  <c r="N1300" i="4" s="1"/>
  <c r="AA71" i="64"/>
  <c r="AA79" i="64"/>
  <c r="Z41" i="66"/>
  <c r="Z1335" i="4"/>
  <c r="Z1321" i="4"/>
  <c r="Z1296" i="4"/>
  <c r="Z1124" i="4"/>
  <c r="Z1126" i="4"/>
  <c r="Z76" i="11"/>
  <c r="AN1059" i="4"/>
  <c r="AP1058" i="4"/>
  <c r="M26" i="62"/>
  <c r="AB1045" i="4" l="1"/>
  <c r="AB1048" i="4" s="1"/>
  <c r="AB105" i="64" s="1"/>
  <c r="AB63" i="64" s="1"/>
  <c r="AM37" i="64"/>
  <c r="AM51" i="64" s="1"/>
  <c r="Z1028" i="4"/>
  <c r="N1313" i="4"/>
  <c r="N1303" i="4"/>
  <c r="AP1006" i="4"/>
  <c r="AP1007" i="4" s="1"/>
  <c r="AP1008" i="4" s="1"/>
  <c r="N1132" i="4"/>
  <c r="AA1020" i="4"/>
  <c r="Z34" i="11"/>
  <c r="Z33" i="11" s="1"/>
  <c r="Z1464" i="4" s="1"/>
  <c r="M100" i="11"/>
  <c r="M1462" i="4"/>
  <c r="M1461" i="4" s="1"/>
  <c r="M44" i="66"/>
  <c r="M46" i="62"/>
  <c r="M101" i="11"/>
  <c r="M21" i="11"/>
  <c r="M17" i="11" s="1"/>
  <c r="M24" i="66"/>
  <c r="N95" i="11"/>
  <c r="M100" i="67"/>
  <c r="M1330" i="4"/>
  <c r="M1340" i="4"/>
  <c r="M101" i="67"/>
  <c r="AA1012" i="4"/>
  <c r="Z18" i="11"/>
  <c r="Z1027" i="4"/>
  <c r="AA20" i="11"/>
  <c r="O20" i="67" s="1"/>
  <c r="AA35" i="11"/>
  <c r="O35" i="67" s="1"/>
  <c r="AA1064" i="4"/>
  <c r="N1283" i="4"/>
  <c r="M25" i="11"/>
  <c r="AN1060" i="4"/>
  <c r="AO1056" i="4" s="1"/>
  <c r="AN21" i="66"/>
  <c r="AN106" i="64"/>
  <c r="AB1049" i="4" l="1"/>
  <c r="AB1062" i="4" s="1"/>
  <c r="M99" i="11"/>
  <c r="AB79" i="64"/>
  <c r="AB71" i="64"/>
  <c r="M1463" i="4"/>
  <c r="M1460" i="4" s="1"/>
  <c r="M23" i="11"/>
  <c r="AA1022" i="4"/>
  <c r="AA1023" i="4" s="1"/>
  <c r="AO1059" i="4"/>
  <c r="AO1060" i="4" s="1"/>
  <c r="AP1056" i="4" s="1"/>
  <c r="AQ1058" i="4"/>
  <c r="N1135" i="4"/>
  <c r="M20" i="66"/>
  <c r="M40" i="66"/>
  <c r="AA41" i="66"/>
  <c r="AA1296" i="4"/>
  <c r="AA1335" i="4"/>
  <c r="AA1321" i="4"/>
  <c r="AA1124" i="4"/>
  <c r="AA1126" i="4"/>
  <c r="AA76" i="11"/>
  <c r="O76" i="67"/>
  <c r="M1474" i="4"/>
  <c r="M1469" i="4" s="1"/>
  <c r="M37" i="11"/>
  <c r="M1475" i="4"/>
  <c r="M1470" i="4" s="1"/>
  <c r="M1331" i="4"/>
  <c r="AQ1004" i="4"/>
  <c r="AQ1006" i="4" s="1"/>
  <c r="AQ1007" i="4" s="1"/>
  <c r="AP19" i="11"/>
  <c r="AA1014" i="4"/>
  <c r="AA1015" i="4" s="1"/>
  <c r="AA1016" i="4" s="1"/>
  <c r="N1271" i="4"/>
  <c r="N1281" i="4"/>
  <c r="M1341" i="4"/>
  <c r="AN36" i="64"/>
  <c r="AN35" i="64"/>
  <c r="N1193" i="4"/>
  <c r="N1493" i="4"/>
  <c r="N1496" i="4" s="1"/>
  <c r="Z1297" i="4"/>
  <c r="Z43" i="66"/>
  <c r="Z1322" i="4"/>
  <c r="Z23" i="66"/>
  <c r="Z1125" i="4"/>
  <c r="Z1339" i="4"/>
  <c r="Z77" i="11"/>
  <c r="Z66" i="62"/>
  <c r="AC1045" i="4" l="1"/>
  <c r="AC1048" i="4" s="1"/>
  <c r="AC105" i="64" s="1"/>
  <c r="AC63" i="64" s="1"/>
  <c r="M39" i="11"/>
  <c r="M40" i="11" s="1"/>
  <c r="AN37" i="64"/>
  <c r="AN51" i="64" s="1"/>
  <c r="AR1058" i="4"/>
  <c r="AP1059" i="4"/>
  <c r="AP1060" i="4" s="1"/>
  <c r="AQ1056" i="4" s="1"/>
  <c r="N1194" i="4"/>
  <c r="M46" i="66"/>
  <c r="O34" i="67"/>
  <c r="O33" i="67" s="1"/>
  <c r="AB1020" i="4"/>
  <c r="AA34" i="11"/>
  <c r="AA33" i="11" s="1"/>
  <c r="AA1464" i="4" s="1"/>
  <c r="O18" i="67"/>
  <c r="AA18" i="11"/>
  <c r="AB1012" i="4"/>
  <c r="AA1027" i="4"/>
  <c r="M1343" i="4"/>
  <c r="M26" i="66"/>
  <c r="M1516" i="4"/>
  <c r="M1517" i="4" s="1"/>
  <c r="M1473" i="4"/>
  <c r="M1468" i="4" s="1"/>
  <c r="AB20" i="11"/>
  <c r="AB35" i="11"/>
  <c r="AB1064" i="4"/>
  <c r="AO21" i="66"/>
  <c r="AO106" i="64"/>
  <c r="N1274" i="4"/>
  <c r="N1275" i="4" s="1"/>
  <c r="N1265" i="4" s="1"/>
  <c r="N1252" i="4"/>
  <c r="AQ1008" i="4"/>
  <c r="AR1004" i="4"/>
  <c r="AR1006" i="4" s="1"/>
  <c r="AR1007" i="4" s="1"/>
  <c r="AQ19" i="11"/>
  <c r="S19" i="67"/>
  <c r="AA1024" i="4"/>
  <c r="AA1028" i="4" s="1"/>
  <c r="AC1049" i="4" l="1"/>
  <c r="AD1045" i="4" s="1"/>
  <c r="M48" i="66"/>
  <c r="AQ1059" i="4"/>
  <c r="AQ1060" i="4" s="1"/>
  <c r="AR1056" i="4" s="1"/>
  <c r="AS1058" i="4"/>
  <c r="AO36" i="64"/>
  <c r="AO35" i="64"/>
  <c r="AB41" i="66"/>
  <c r="AB1126" i="4"/>
  <c r="AB1335" i="4"/>
  <c r="AB1124" i="4"/>
  <c r="AB1321" i="4"/>
  <c r="AB1296" i="4"/>
  <c r="AB76" i="11"/>
  <c r="N1196" i="4"/>
  <c r="AC79" i="64"/>
  <c r="AC71" i="64"/>
  <c r="AB1022" i="4"/>
  <c r="AB1023" i="4" s="1"/>
  <c r="AB1024" i="4" s="1"/>
  <c r="AR1008" i="4"/>
  <c r="AS1004" i="4"/>
  <c r="AS1006" i="4" s="1"/>
  <c r="AS1007" i="4" s="1"/>
  <c r="AR19" i="11"/>
  <c r="N1257" i="4"/>
  <c r="N1261" i="4"/>
  <c r="AB1014" i="4"/>
  <c r="AB1015" i="4" s="1"/>
  <c r="AP21" i="66"/>
  <c r="AP106" i="64"/>
  <c r="AA23" i="66"/>
  <c r="AA43" i="66"/>
  <c r="AA1125" i="4"/>
  <c r="AA1297" i="4"/>
  <c r="AA1339" i="4"/>
  <c r="AA1322" i="4"/>
  <c r="AA77" i="11"/>
  <c r="AA66" i="62"/>
  <c r="O42" i="13"/>
  <c r="O77" i="67"/>
  <c r="N1264" i="4"/>
  <c r="N1266" i="4"/>
  <c r="AC1062" i="4" l="1"/>
  <c r="AC35" i="11" s="1"/>
  <c r="AO37" i="64"/>
  <c r="AO51" i="64" s="1"/>
  <c r="N1272" i="4"/>
  <c r="N1327" i="4"/>
  <c r="N1304" i="4"/>
  <c r="N1386" i="4"/>
  <c r="N36" i="66"/>
  <c r="N74" i="11"/>
  <c r="AB18" i="11"/>
  <c r="AC1012" i="4"/>
  <c r="AB1027" i="4"/>
  <c r="AS1008" i="4"/>
  <c r="AT1004" i="4"/>
  <c r="AT1006" i="4" s="1"/>
  <c r="AT1007" i="4" s="1"/>
  <c r="AS19" i="11"/>
  <c r="AD1048" i="4"/>
  <c r="AD105" i="64" s="1"/>
  <c r="AD63" i="64" s="1"/>
  <c r="N1253" i="4"/>
  <c r="N1268" i="4"/>
  <c r="AC1020" i="4"/>
  <c r="AB34" i="11"/>
  <c r="AB33" i="11" s="1"/>
  <c r="AB1464" i="4" s="1"/>
  <c r="AP36" i="64"/>
  <c r="AP35" i="64"/>
  <c r="N1309" i="4"/>
  <c r="N19" i="66"/>
  <c r="N86" i="11"/>
  <c r="N1338" i="4"/>
  <c r="N1480" i="4"/>
  <c r="N1198" i="4"/>
  <c r="AR1059" i="4"/>
  <c r="AT1058" i="4"/>
  <c r="AB1016" i="4"/>
  <c r="AB1028" i="4" s="1"/>
  <c r="AQ106" i="64"/>
  <c r="AQ21" i="66"/>
  <c r="AC20" i="11" l="1"/>
  <c r="AC1064" i="4"/>
  <c r="AC1126" i="4" s="1"/>
  <c r="AP37" i="64"/>
  <c r="AP51" i="64" s="1"/>
  <c r="AD1049" i="4"/>
  <c r="AE1045" i="4" s="1"/>
  <c r="AB43" i="66"/>
  <c r="AB1339" i="4"/>
  <c r="AB23" i="66"/>
  <c r="AB1297" i="4"/>
  <c r="AB1322" i="4"/>
  <c r="AB1125" i="4"/>
  <c r="AB77" i="11"/>
  <c r="AB66" i="62"/>
  <c r="N17" i="66"/>
  <c r="N78" i="11"/>
  <c r="AQ36" i="64"/>
  <c r="AQ35" i="64"/>
  <c r="AC1022" i="4"/>
  <c r="AC1023" i="4" s="1"/>
  <c r="AC1024" i="4" s="1"/>
  <c r="AT1008" i="4"/>
  <c r="AU1004" i="4"/>
  <c r="AU1006" i="4" s="1"/>
  <c r="AU1007" i="4" s="1"/>
  <c r="AT19" i="11"/>
  <c r="AR1060" i="4"/>
  <c r="AS1056" i="4" s="1"/>
  <c r="AR106" i="64"/>
  <c r="AR21" i="66"/>
  <c r="AC1014" i="4"/>
  <c r="AC1015" i="4" s="1"/>
  <c r="AC1016" i="4" s="1"/>
  <c r="N1276" i="4"/>
  <c r="N1254" i="4" s="1"/>
  <c r="AD79" i="64"/>
  <c r="AD71" i="64"/>
  <c r="AC41" i="66" l="1"/>
  <c r="AC76" i="11"/>
  <c r="AC1296" i="4"/>
  <c r="AC1321" i="4"/>
  <c r="AC1124" i="4"/>
  <c r="AC1335" i="4"/>
  <c r="AD1062" i="4"/>
  <c r="AD20" i="11" s="1"/>
  <c r="AQ37" i="64"/>
  <c r="AQ51" i="64" s="1"/>
  <c r="AD1020" i="4"/>
  <c r="AC34" i="11"/>
  <c r="AC33" i="11" s="1"/>
  <c r="AC1464" i="4" s="1"/>
  <c r="AR36" i="64"/>
  <c r="AR35" i="64"/>
  <c r="N39" i="66"/>
  <c r="N1305" i="4"/>
  <c r="N89" i="11"/>
  <c r="N1328" i="4"/>
  <c r="AE1048" i="4"/>
  <c r="AE105" i="64" s="1"/>
  <c r="AE63" i="64" s="1"/>
  <c r="AD1012" i="4"/>
  <c r="AC18" i="11"/>
  <c r="AC1027" i="4"/>
  <c r="N1255" i="4"/>
  <c r="N1421" i="4"/>
  <c r="N1385" i="4"/>
  <c r="AU1008" i="4"/>
  <c r="AV1004" i="4"/>
  <c r="AV1006" i="4" s="1"/>
  <c r="AV1007" i="4" s="1"/>
  <c r="AU19" i="11"/>
  <c r="T19" i="67"/>
  <c r="AS1059" i="4"/>
  <c r="AS1060" i="4" s="1"/>
  <c r="AT1056" i="4" s="1"/>
  <c r="AU1058" i="4"/>
  <c r="AC1028" i="4"/>
  <c r="AD1064" i="4" l="1"/>
  <c r="AD1126" i="4" s="1"/>
  <c r="AD35" i="11"/>
  <c r="AR37" i="64"/>
  <c r="AR51" i="64" s="1"/>
  <c r="AE1049" i="4"/>
  <c r="AE1062" i="4" s="1"/>
  <c r="AT1059" i="4"/>
  <c r="AV1058" i="4"/>
  <c r="N27" i="11"/>
  <c r="N1506" i="4"/>
  <c r="O1250" i="4"/>
  <c r="N1388" i="4"/>
  <c r="N1425" i="4"/>
  <c r="N1282" i="4"/>
  <c r="AD1014" i="4"/>
  <c r="AD1015" i="4" s="1"/>
  <c r="AD1016" i="4" s="1"/>
  <c r="N35" i="66"/>
  <c r="AE79" i="64"/>
  <c r="AE71" i="64"/>
  <c r="AV1008" i="4"/>
  <c r="AW1004" i="4"/>
  <c r="AW1006" i="4" s="1"/>
  <c r="AW1007" i="4" s="1"/>
  <c r="AV19" i="11"/>
  <c r="AD1022" i="4"/>
  <c r="AD1023" i="4" s="1"/>
  <c r="AC23" i="66"/>
  <c r="AC43" i="66"/>
  <c r="AC1339" i="4"/>
  <c r="AC1322" i="4"/>
  <c r="AC1297" i="4"/>
  <c r="AC1125" i="4"/>
  <c r="AC77" i="11"/>
  <c r="AC66" i="62"/>
  <c r="AS106" i="64"/>
  <c r="AS21" i="66"/>
  <c r="AD1296" i="4" l="1"/>
  <c r="AD1335" i="4"/>
  <c r="AD1124" i="4"/>
  <c r="AD1321" i="4"/>
  <c r="AD41" i="66"/>
  <c r="AD76" i="11"/>
  <c r="AF1045" i="4"/>
  <c r="AF1048" i="4" s="1"/>
  <c r="AF105" i="64" s="1"/>
  <c r="AF63" i="64" s="1"/>
  <c r="AE1020" i="4"/>
  <c r="AD34" i="11"/>
  <c r="AD33" i="11" s="1"/>
  <c r="AD1464" i="4" s="1"/>
  <c r="N1390" i="4"/>
  <c r="N1402" i="4"/>
  <c r="AW1008" i="4"/>
  <c r="AX1004" i="4"/>
  <c r="AX1006" i="4" s="1"/>
  <c r="AX1007" i="4" s="1"/>
  <c r="AW19" i="11"/>
  <c r="N1440" i="4"/>
  <c r="N1507" i="4"/>
  <c r="N1508" i="4" s="1"/>
  <c r="N1509" i="4"/>
  <c r="AD1024" i="4"/>
  <c r="AD1028" i="4" s="1"/>
  <c r="AE20" i="11"/>
  <c r="P20" i="67" s="1"/>
  <c r="AE35" i="11"/>
  <c r="P35" i="67" s="1"/>
  <c r="AE1064" i="4"/>
  <c r="AE1012" i="4"/>
  <c r="AD18" i="11"/>
  <c r="AD1027" i="4"/>
  <c r="I1058" i="4"/>
  <c r="AS36" i="64"/>
  <c r="AS35" i="64"/>
  <c r="N1284" i="4"/>
  <c r="N1286" i="4" s="1"/>
  <c r="AT1060" i="4"/>
  <c r="AU1056" i="4" s="1"/>
  <c r="AT21" i="66"/>
  <c r="AT106" i="64"/>
  <c r="AS37" i="64" l="1"/>
  <c r="AS51" i="64" s="1"/>
  <c r="AD1297" i="4"/>
  <c r="AD23" i="66"/>
  <c r="AD43" i="66"/>
  <c r="AD1125" i="4"/>
  <c r="AD1339" i="4"/>
  <c r="AD1322" i="4"/>
  <c r="AD77" i="11"/>
  <c r="AD66" i="62"/>
  <c r="N1403" i="4"/>
  <c r="AT36" i="64"/>
  <c r="AT35" i="64"/>
  <c r="AE1014" i="4"/>
  <c r="AE1015" i="4" s="1"/>
  <c r="AE1016" i="4" s="1"/>
  <c r="AU1059" i="4"/>
  <c r="AW1058" i="4"/>
  <c r="N1285" i="4"/>
  <c r="N1306" i="4"/>
  <c r="N90" i="11"/>
  <c r="N48" i="62"/>
  <c r="N1329" i="4"/>
  <c r="N58" i="11"/>
  <c r="N22" i="66"/>
  <c r="AE41" i="66"/>
  <c r="AE1321" i="4"/>
  <c r="AE1335" i="4"/>
  <c r="AE1296" i="4"/>
  <c r="AE1126" i="4"/>
  <c r="AE1124" i="4"/>
  <c r="AE76" i="11"/>
  <c r="P76" i="67"/>
  <c r="AF1049" i="4"/>
  <c r="AX1008" i="4"/>
  <c r="AY1004" i="4"/>
  <c r="AX19" i="11"/>
  <c r="AF79" i="64"/>
  <c r="AF71" i="64"/>
  <c r="N1441" i="4"/>
  <c r="AE1022" i="4"/>
  <c r="AE1023" i="4" s="1"/>
  <c r="AE1024" i="4" s="1"/>
  <c r="AE1028" i="4" l="1"/>
  <c r="AE1339" i="4" s="1"/>
  <c r="N1307" i="4"/>
  <c r="N1311" i="4" s="1"/>
  <c r="O1290" i="4" s="1"/>
  <c r="AY1006" i="4"/>
  <c r="AY1007" i="4" s="1"/>
  <c r="AY1008" i="4" s="1"/>
  <c r="AU1060" i="4"/>
  <c r="AV1056" i="4" s="1"/>
  <c r="AU21" i="66"/>
  <c r="AU106" i="64"/>
  <c r="P34" i="67"/>
  <c r="P33" i="67" s="1"/>
  <c r="AF1020" i="4"/>
  <c r="AE34" i="11"/>
  <c r="AE33" i="11" s="1"/>
  <c r="AE1464" i="4" s="1"/>
  <c r="N1404" i="4"/>
  <c r="N59" i="11"/>
  <c r="AF1062" i="4"/>
  <c r="AG1045" i="4"/>
  <c r="N24" i="62"/>
  <c r="P18" i="67"/>
  <c r="AF1012" i="4"/>
  <c r="AE18" i="11"/>
  <c r="AE1027" i="4"/>
  <c r="N1442" i="4"/>
  <c r="N91" i="11"/>
  <c r="AT37" i="64"/>
  <c r="P77" i="67" l="1"/>
  <c r="P42" i="13"/>
  <c r="AE77" i="11"/>
  <c r="AE66" i="62"/>
  <c r="AE1297" i="4"/>
  <c r="AE1322" i="4"/>
  <c r="AE43" i="66"/>
  <c r="L170" i="15" s="1"/>
  <c r="AE23" i="66"/>
  <c r="L149" i="15" s="1"/>
  <c r="AE1125" i="4"/>
  <c r="N26" i="62"/>
  <c r="AG1048" i="4"/>
  <c r="AG105" i="64" s="1"/>
  <c r="AG63" i="64" s="1"/>
  <c r="AT51" i="64"/>
  <c r="AF1022" i="4"/>
  <c r="AF1023" i="4" s="1"/>
  <c r="AF1024" i="4" s="1"/>
  <c r="U19" i="67"/>
  <c r="AZ1004" i="4"/>
  <c r="AZ1006" i="4" s="1"/>
  <c r="AZ1007" i="4" s="1"/>
  <c r="AY19" i="11"/>
  <c r="N28" i="11"/>
  <c r="O1128" i="4"/>
  <c r="O1130" i="4" s="1"/>
  <c r="O1298" i="4"/>
  <c r="O1300" i="4" s="1"/>
  <c r="AF20" i="11"/>
  <c r="AF35" i="11"/>
  <c r="AF1064" i="4"/>
  <c r="N93" i="11"/>
  <c r="N96" i="11" s="1"/>
  <c r="N97" i="11" s="1"/>
  <c r="AF1014" i="4"/>
  <c r="AF1015" i="4" s="1"/>
  <c r="AF1016" i="4" s="1"/>
  <c r="AU36" i="64"/>
  <c r="AU35" i="64"/>
  <c r="AV1059" i="4"/>
  <c r="AV1060" i="4" s="1"/>
  <c r="AW1056" i="4" s="1"/>
  <c r="AX1058" i="4"/>
  <c r="AG1049" i="4" l="1"/>
  <c r="AH1045" i="4" s="1"/>
  <c r="AZ1008" i="4"/>
  <c r="BA1004" i="4"/>
  <c r="BA1006" i="4" s="1"/>
  <c r="BA1007" i="4" s="1"/>
  <c r="AZ19" i="11"/>
  <c r="O1313" i="4"/>
  <c r="O1303" i="4"/>
  <c r="AG79" i="64"/>
  <c r="AG71" i="64"/>
  <c r="AW1059" i="4"/>
  <c r="AW1060" i="4" s="1"/>
  <c r="AX1056" i="4" s="1"/>
  <c r="AY1058" i="4"/>
  <c r="I1059" i="4"/>
  <c r="AV21" i="66"/>
  <c r="AV106" i="64"/>
  <c r="AF18" i="11"/>
  <c r="AG1012" i="4"/>
  <c r="AF1027" i="4"/>
  <c r="O1132" i="4"/>
  <c r="AF1028" i="4"/>
  <c r="N100" i="67"/>
  <c r="N101" i="67"/>
  <c r="O95" i="11"/>
  <c r="N1330" i="4"/>
  <c r="N1462" i="4"/>
  <c r="N1461" i="4" s="1"/>
  <c r="N1340" i="4"/>
  <c r="N101" i="11"/>
  <c r="N44" i="66"/>
  <c r="N21" i="11"/>
  <c r="N17" i="11" s="1"/>
  <c r="N46" i="62"/>
  <c r="N100" i="11"/>
  <c r="N24" i="66"/>
  <c r="AG1020" i="4"/>
  <c r="AF34" i="11"/>
  <c r="AF33" i="11" s="1"/>
  <c r="AF1464" i="4" s="1"/>
  <c r="O1283" i="4"/>
  <c r="N25" i="11"/>
  <c r="AF41" i="66"/>
  <c r="AF1296" i="4"/>
  <c r="AF1124" i="4"/>
  <c r="AF1335" i="4"/>
  <c r="AF1321" i="4"/>
  <c r="AF1126" i="4"/>
  <c r="AF76" i="11"/>
  <c r="AU37" i="64"/>
  <c r="AG1062" i="4" l="1"/>
  <c r="AG20" i="11" s="1"/>
  <c r="N99" i="11"/>
  <c r="AG1014" i="4"/>
  <c r="AG1015" i="4" s="1"/>
  <c r="AG1016" i="4" s="1"/>
  <c r="AU51" i="64"/>
  <c r="N1475" i="4"/>
  <c r="N1470" i="4" s="1"/>
  <c r="N37" i="11"/>
  <c r="N1474" i="4"/>
  <c r="N1469" i="4" s="1"/>
  <c r="N23" i="11"/>
  <c r="N1463" i="4"/>
  <c r="N1460" i="4" s="1"/>
  <c r="AV35" i="64"/>
  <c r="AV36" i="64"/>
  <c r="AH1048" i="4"/>
  <c r="AH105" i="64" s="1"/>
  <c r="AH63" i="64" s="1"/>
  <c r="N40" i="66"/>
  <c r="AF1125" i="4"/>
  <c r="AF1339" i="4"/>
  <c r="AF1297" i="4"/>
  <c r="AF43" i="66"/>
  <c r="AF23" i="66"/>
  <c r="AF1322" i="4"/>
  <c r="AF77" i="11"/>
  <c r="AF66" i="62"/>
  <c r="AG1022" i="4"/>
  <c r="AG1023" i="4" s="1"/>
  <c r="AG1024" i="4" s="1"/>
  <c r="N1341" i="4"/>
  <c r="O1281" i="4"/>
  <c r="O1271" i="4"/>
  <c r="O1135" i="4"/>
  <c r="AX1059" i="4"/>
  <c r="AX1060" i="4" s="1"/>
  <c r="AY1056" i="4" s="1"/>
  <c r="AZ1058" i="4"/>
  <c r="O1193" i="4"/>
  <c r="O1493" i="4"/>
  <c r="O1496" i="4" s="1"/>
  <c r="BA1008" i="4"/>
  <c r="BB1004" i="4"/>
  <c r="BB1006" i="4" s="1"/>
  <c r="BB1007" i="4" s="1"/>
  <c r="BA19" i="11"/>
  <c r="N20" i="66"/>
  <c r="N1331" i="4"/>
  <c r="AW106" i="64"/>
  <c r="AW21" i="66"/>
  <c r="AG35" i="11" l="1"/>
  <c r="AG1064" i="4"/>
  <c r="AG1126" i="4" s="1"/>
  <c r="AV37" i="64"/>
  <c r="AV51" i="64" s="1"/>
  <c r="AY1059" i="4"/>
  <c r="AY1060" i="4" s="1"/>
  <c r="AZ1056" i="4" s="1"/>
  <c r="BA1058" i="4"/>
  <c r="N26" i="66"/>
  <c r="AH1020" i="4"/>
  <c r="AG34" i="11"/>
  <c r="O1252" i="4"/>
  <c r="O1274" i="4"/>
  <c r="O1275" i="4" s="1"/>
  <c r="O1265" i="4" s="1"/>
  <c r="N46" i="66"/>
  <c r="N39" i="11"/>
  <c r="O1194" i="4"/>
  <c r="N1516" i="4"/>
  <c r="N1517" i="4" s="1"/>
  <c r="N1473" i="4"/>
  <c r="N1468" i="4" s="1"/>
  <c r="AH1049" i="4"/>
  <c r="AW36" i="64"/>
  <c r="AW35" i="64"/>
  <c r="AH79" i="64"/>
  <c r="AH71" i="64"/>
  <c r="AX106" i="64"/>
  <c r="AX21" i="66"/>
  <c r="N1343" i="4"/>
  <c r="BB1008" i="4"/>
  <c r="BC1004" i="4"/>
  <c r="BB19" i="11"/>
  <c r="AG1028" i="4"/>
  <c r="AG18" i="11"/>
  <c r="AH1012" i="4"/>
  <c r="AG1027" i="4"/>
  <c r="AG1321" i="4" l="1"/>
  <c r="AG76" i="11"/>
  <c r="AG33" i="11"/>
  <c r="AG1464" i="4" s="1"/>
  <c r="AG1124" i="4"/>
  <c r="AG41" i="66"/>
  <c r="AG1296" i="4"/>
  <c r="AG1335" i="4"/>
  <c r="AH1062" i="4"/>
  <c r="AI1045" i="4"/>
  <c r="O1196" i="4"/>
  <c r="O1266" i="4"/>
  <c r="O1264" i="4"/>
  <c r="O1257" i="4"/>
  <c r="O1261" i="4"/>
  <c r="N40" i="11"/>
  <c r="AX36" i="64"/>
  <c r="AX35" i="64"/>
  <c r="AH1022" i="4"/>
  <c r="AH1023" i="4" s="1"/>
  <c r="AH1024" i="4" s="1"/>
  <c r="BC1006" i="4"/>
  <c r="BC1007" i="4" s="1"/>
  <c r="BC1008" i="4" s="1"/>
  <c r="AG1322" i="4"/>
  <c r="AG1125" i="4"/>
  <c r="AG43" i="66"/>
  <c r="AG1297" i="4"/>
  <c r="AG23" i="66"/>
  <c r="AG1339" i="4"/>
  <c r="AG77" i="11"/>
  <c r="AG66" i="62"/>
  <c r="N48" i="66"/>
  <c r="AZ1059" i="4"/>
  <c r="AZ1060" i="4" s="1"/>
  <c r="BA1056" i="4" s="1"/>
  <c r="BB1058" i="4"/>
  <c r="AH1014" i="4"/>
  <c r="AH1015" i="4" s="1"/>
  <c r="AH1016" i="4" s="1"/>
  <c r="AW37" i="64"/>
  <c r="AY21" i="66"/>
  <c r="AY106" i="64"/>
  <c r="AX37" i="64" l="1"/>
  <c r="AX51" i="64" s="1"/>
  <c r="O1268" i="4"/>
  <c r="O1198" i="4"/>
  <c r="AH1028" i="4"/>
  <c r="L86" i="67"/>
  <c r="O1338" i="4"/>
  <c r="O86" i="11"/>
  <c r="O1309" i="4"/>
  <c r="O19" i="66"/>
  <c r="O1480" i="4"/>
  <c r="L25" i="13" s="1"/>
  <c r="AW51" i="64"/>
  <c r="O1253" i="4"/>
  <c r="AI1048" i="4"/>
  <c r="AI105" i="64" s="1"/>
  <c r="AI63" i="64" s="1"/>
  <c r="AI1012" i="4"/>
  <c r="AH18" i="11"/>
  <c r="AH1027" i="4"/>
  <c r="BA1059" i="4"/>
  <c r="BA1060" i="4" s="1"/>
  <c r="BB1056" i="4" s="1"/>
  <c r="BC1058" i="4"/>
  <c r="L74" i="67"/>
  <c r="O36" i="66"/>
  <c r="O1327" i="4"/>
  <c r="O74" i="11"/>
  <c r="O1304" i="4"/>
  <c r="O1272" i="4"/>
  <c r="O1386" i="4"/>
  <c r="AH20" i="11"/>
  <c r="AH35" i="11"/>
  <c r="AH1064" i="4"/>
  <c r="AI1020" i="4"/>
  <c r="AH34" i="11"/>
  <c r="AY36" i="64"/>
  <c r="AY35" i="64"/>
  <c r="AZ21" i="66"/>
  <c r="AZ106" i="64"/>
  <c r="BC19" i="11"/>
  <c r="V19" i="67"/>
  <c r="BD1004" i="4"/>
  <c r="BD1006" i="4" s="1"/>
  <c r="BD1007" i="4" s="1"/>
  <c r="AY37" i="64" l="1"/>
  <c r="AY51" i="64" s="1"/>
  <c r="AI1049" i="4"/>
  <c r="AJ1045" i="4" s="1"/>
  <c r="BB1059" i="4"/>
  <c r="BB1060" i="4" s="1"/>
  <c r="BC1056" i="4" s="1"/>
  <c r="BD1058" i="4"/>
  <c r="O78" i="11"/>
  <c r="AI71" i="64"/>
  <c r="AI79" i="64"/>
  <c r="L78" i="67"/>
  <c r="AH41" i="66"/>
  <c r="AH1321" i="4"/>
  <c r="AH1124" i="4"/>
  <c r="AH1296" i="4"/>
  <c r="AH1126" i="4"/>
  <c r="AH1335" i="4"/>
  <c r="AH76" i="11"/>
  <c r="AZ36" i="64"/>
  <c r="AZ35" i="64"/>
  <c r="H162" i="15"/>
  <c r="O1276" i="4"/>
  <c r="O1254" i="4" s="1"/>
  <c r="O1255" i="4" s="1"/>
  <c r="AI1014" i="4"/>
  <c r="AI1015" i="4" s="1"/>
  <c r="AI1016" i="4" s="1"/>
  <c r="AH1125" i="4"/>
  <c r="AH23" i="66"/>
  <c r="AH1297" i="4"/>
  <c r="AH1339" i="4"/>
  <c r="AH43" i="66"/>
  <c r="AH1322" i="4"/>
  <c r="AH77" i="11"/>
  <c r="AH66" i="62"/>
  <c r="BA21" i="66"/>
  <c r="BA106" i="64"/>
  <c r="AH33" i="11"/>
  <c r="AH1464" i="4" s="1"/>
  <c r="BD1008" i="4"/>
  <c r="BE1004" i="4"/>
  <c r="BE1006" i="4" s="1"/>
  <c r="BE1007" i="4" s="1"/>
  <c r="BD19" i="11"/>
  <c r="AI1022" i="4"/>
  <c r="AI1023" i="4" s="1"/>
  <c r="H144" i="15"/>
  <c r="O17" i="66"/>
  <c r="AI1062" i="4" l="1"/>
  <c r="AI20" i="11" s="1"/>
  <c r="Q20" i="67" s="1"/>
  <c r="AZ37" i="64"/>
  <c r="AZ51" i="64" s="1"/>
  <c r="Q34" i="67"/>
  <c r="AJ1020" i="4"/>
  <c r="AI34" i="11"/>
  <c r="H142" i="15"/>
  <c r="L27" i="67"/>
  <c r="P1250" i="4"/>
  <c r="O27" i="11"/>
  <c r="O1506" i="4"/>
  <c r="AJ1048" i="4"/>
  <c r="AJ105" i="64" s="1"/>
  <c r="AJ63" i="64" s="1"/>
  <c r="BE1008" i="4"/>
  <c r="BF1004" i="4"/>
  <c r="BF1006" i="4" s="1"/>
  <c r="BF1007" i="4" s="1"/>
  <c r="BE19" i="11"/>
  <c r="Q18" i="67"/>
  <c r="AJ1012" i="4"/>
  <c r="AI18" i="11"/>
  <c r="AI1027" i="4"/>
  <c r="O1305" i="4"/>
  <c r="O39" i="66"/>
  <c r="O89" i="11"/>
  <c r="O1328" i="4"/>
  <c r="L89" i="67"/>
  <c r="O1421" i="4"/>
  <c r="O1385" i="4"/>
  <c r="BA36" i="64"/>
  <c r="BA35" i="64"/>
  <c r="BC1059" i="4"/>
  <c r="BC1060" i="4" s="1"/>
  <c r="BD1056" i="4" s="1"/>
  <c r="BE1058" i="4"/>
  <c r="AI1024" i="4"/>
  <c r="AI1028" i="4" s="1"/>
  <c r="BB21" i="66"/>
  <c r="BB106" i="64"/>
  <c r="AI1064" i="4" l="1"/>
  <c r="AI1321" i="4" s="1"/>
  <c r="AI35" i="11"/>
  <c r="Q35" i="67" s="1"/>
  <c r="Q33" i="67" s="1"/>
  <c r="BA37" i="64"/>
  <c r="BA51" i="64" s="1"/>
  <c r="AJ1049" i="4"/>
  <c r="AJ1062" i="4" s="1"/>
  <c r="BD1059" i="4"/>
  <c r="BD1060" i="4" s="1"/>
  <c r="BE1056" i="4" s="1"/>
  <c r="BF1058" i="4"/>
  <c r="L13" i="13"/>
  <c r="O1425" i="4"/>
  <c r="BB36" i="64"/>
  <c r="BB35" i="64"/>
  <c r="AJ1022" i="4"/>
  <c r="AJ1023" i="4" s="1"/>
  <c r="AJ1024" i="4" s="1"/>
  <c r="H165" i="15"/>
  <c r="O35" i="66"/>
  <c r="AJ79" i="64"/>
  <c r="AJ71" i="64"/>
  <c r="O1282" i="4"/>
  <c r="BF1008" i="4"/>
  <c r="BG1004" i="4"/>
  <c r="BF19" i="11"/>
  <c r="AJ1014" i="4"/>
  <c r="AJ1015" i="4" s="1"/>
  <c r="AJ1016" i="4" s="1"/>
  <c r="AI43" i="66"/>
  <c r="AI1125" i="4"/>
  <c r="AI23" i="66"/>
  <c r="AI1297" i="4"/>
  <c r="AI1322" i="4"/>
  <c r="AI1339" i="4"/>
  <c r="AI77" i="11"/>
  <c r="Q77" i="67"/>
  <c r="BC106" i="64"/>
  <c r="BC21" i="66"/>
  <c r="O1388" i="4"/>
  <c r="O1507" i="4"/>
  <c r="O1508" i="4" s="1"/>
  <c r="O1509" i="4"/>
  <c r="Q42" i="13" l="1"/>
  <c r="AI1126" i="4"/>
  <c r="AI66" i="62"/>
  <c r="Q76" i="67"/>
  <c r="AI76" i="11"/>
  <c r="AI41" i="66"/>
  <c r="AI1296" i="4"/>
  <c r="AI1124" i="4"/>
  <c r="AI1335" i="4"/>
  <c r="AI33" i="11"/>
  <c r="AI1464" i="4" s="1"/>
  <c r="AK1045" i="4"/>
  <c r="AK1048" i="4" s="1"/>
  <c r="AK105" i="64" s="1"/>
  <c r="AK63" i="64" s="1"/>
  <c r="AJ1028" i="4"/>
  <c r="AJ1297" i="4" s="1"/>
  <c r="BB37" i="64"/>
  <c r="BB51" i="64" s="1"/>
  <c r="BG1006" i="4"/>
  <c r="BG1007" i="4" s="1"/>
  <c r="BG1008" i="4" s="1"/>
  <c r="AJ20" i="11"/>
  <c r="AJ35" i="11"/>
  <c r="AJ1064" i="4"/>
  <c r="BC36" i="64"/>
  <c r="BC35" i="64"/>
  <c r="O1440" i="4"/>
  <c r="H161" i="15"/>
  <c r="L18" i="13"/>
  <c r="L17" i="13"/>
  <c r="AK1020" i="4"/>
  <c r="AJ34" i="11"/>
  <c r="AJ18" i="11"/>
  <c r="AK1012" i="4"/>
  <c r="AJ1027" i="4"/>
  <c r="BE1059" i="4"/>
  <c r="BE1060" i="4" s="1"/>
  <c r="BF1056" i="4" s="1"/>
  <c r="BG1058" i="4"/>
  <c r="O1284" i="4"/>
  <c r="O1286" i="4" s="1"/>
  <c r="O1390" i="4"/>
  <c r="L1393" i="4" s="1"/>
  <c r="O1402" i="4"/>
  <c r="BD106" i="64"/>
  <c r="BD21" i="66"/>
  <c r="AJ77" i="11" l="1"/>
  <c r="AJ23" i="66"/>
  <c r="AJ43" i="66"/>
  <c r="AJ1339" i="4"/>
  <c r="AJ66" i="62"/>
  <c r="AJ1125" i="4"/>
  <c r="AJ1322" i="4"/>
  <c r="BC37" i="64"/>
  <c r="BC51" i="64" s="1"/>
  <c r="BF1059" i="4"/>
  <c r="BF1060" i="4" s="1"/>
  <c r="BG1056" i="4" s="1"/>
  <c r="BH1058" i="4"/>
  <c r="O1441" i="4"/>
  <c r="BE106" i="64"/>
  <c r="BE21" i="66"/>
  <c r="AJ41" i="66"/>
  <c r="AJ1335" i="4"/>
  <c r="AJ1126" i="4"/>
  <c r="AJ1321" i="4"/>
  <c r="AJ1124" i="4"/>
  <c r="AJ1296" i="4"/>
  <c r="AJ76" i="11"/>
  <c r="O1403" i="4"/>
  <c r="L19" i="13"/>
  <c r="AJ33" i="11"/>
  <c r="AJ1464" i="4" s="1"/>
  <c r="BD36" i="64"/>
  <c r="BD35" i="64"/>
  <c r="L1396" i="4"/>
  <c r="AK1049" i="4"/>
  <c r="O1285" i="4"/>
  <c r="AK1014" i="4"/>
  <c r="AK1015" i="4" s="1"/>
  <c r="AK1016" i="4" s="1"/>
  <c r="AK71" i="64"/>
  <c r="AK79" i="64"/>
  <c r="O1329" i="4"/>
  <c r="O58" i="11"/>
  <c r="O48" i="62"/>
  <c r="O90" i="11"/>
  <c r="O1306" i="4"/>
  <c r="O22" i="66"/>
  <c r="L58" i="67"/>
  <c r="L90" i="67"/>
  <c r="W19" i="67"/>
  <c r="BG19" i="11"/>
  <c r="BH1004" i="4"/>
  <c r="BH1006" i="4" s="1"/>
  <c r="BH1007" i="4" s="1"/>
  <c r="AK1022" i="4"/>
  <c r="AK1023" i="4" s="1"/>
  <c r="BD37" i="64" l="1"/>
  <c r="BD51" i="64" s="1"/>
  <c r="AL1020" i="4"/>
  <c r="AK34" i="11"/>
  <c r="O59" i="11"/>
  <c r="O1404" i="4"/>
  <c r="L91" i="67"/>
  <c r="AK1062" i="4"/>
  <c r="AL1045" i="4"/>
  <c r="O1442" i="4"/>
  <c r="L59" i="67"/>
  <c r="AK1024" i="4"/>
  <c r="AK1028" i="4" s="1"/>
  <c r="H148" i="15"/>
  <c r="BG1059" i="4"/>
  <c r="BG1060" i="4" s="1"/>
  <c r="BH1056" i="4" s="1"/>
  <c r="BI1058" i="4"/>
  <c r="O1307" i="4"/>
  <c r="O1311" i="4" s="1"/>
  <c r="P1290" i="4" s="1"/>
  <c r="BF106" i="64"/>
  <c r="BF21" i="66"/>
  <c r="BH1008" i="4"/>
  <c r="BH19" i="11"/>
  <c r="BI1004" i="4"/>
  <c r="BI1006" i="4" s="1"/>
  <c r="BI1007" i="4" s="1"/>
  <c r="O91" i="11"/>
  <c r="O24" i="62"/>
  <c r="AL1012" i="4"/>
  <c r="AK18" i="11"/>
  <c r="AK1027" i="4"/>
  <c r="BE36" i="64"/>
  <c r="BE35" i="64"/>
  <c r="BE37" i="64" l="1"/>
  <c r="BE51" i="64" s="1"/>
  <c r="AL1014" i="4"/>
  <c r="AL1015" i="4" s="1"/>
  <c r="AL1016" i="4" s="1"/>
  <c r="O26" i="62"/>
  <c r="L93" i="67"/>
  <c r="L96" i="67" s="1"/>
  <c r="L97" i="67" s="1"/>
  <c r="P1128" i="4"/>
  <c r="P1130" i="4" s="1"/>
  <c r="P1298" i="4"/>
  <c r="P1300" i="4" s="1"/>
  <c r="BH1059" i="4"/>
  <c r="BH1060" i="4" s="1"/>
  <c r="BI1056" i="4" s="1"/>
  <c r="BJ1058" i="4"/>
  <c r="AK23" i="66"/>
  <c r="AK1297" i="4"/>
  <c r="AK1339" i="4"/>
  <c r="AK1322" i="4"/>
  <c r="AK43" i="66"/>
  <c r="AK1125" i="4"/>
  <c r="AK77" i="11"/>
  <c r="O93" i="11"/>
  <c r="O96" i="11" s="1"/>
  <c r="O97" i="11" s="1"/>
  <c r="BF36" i="64"/>
  <c r="BF35" i="64"/>
  <c r="BG106" i="64"/>
  <c r="BG21" i="66"/>
  <c r="BI1008" i="4"/>
  <c r="BJ1004" i="4"/>
  <c r="BJ1006" i="4" s="1"/>
  <c r="BJ1007" i="4" s="1"/>
  <c r="BI19" i="11"/>
  <c r="AL1048" i="4"/>
  <c r="AL105" i="64" s="1"/>
  <c r="AL63" i="64" s="1"/>
  <c r="O28" i="11"/>
  <c r="AK20" i="11"/>
  <c r="AK35" i="11"/>
  <c r="AK33" i="11" s="1"/>
  <c r="AK1464" i="4" s="1"/>
  <c r="AK1064" i="4"/>
  <c r="AK66" i="62" s="1"/>
  <c r="AL1022" i="4"/>
  <c r="AL1023" i="4" s="1"/>
  <c r="AL1024" i="4" s="1"/>
  <c r="AL1028" i="4" l="1"/>
  <c r="AL1322" i="4" s="1"/>
  <c r="BF37" i="64"/>
  <c r="BF51" i="64" s="1"/>
  <c r="AL1049" i="4"/>
  <c r="AL1062" i="4" s="1"/>
  <c r="BI1059" i="4"/>
  <c r="BI1060" i="4" s="1"/>
  <c r="BJ1056" i="4" s="1"/>
  <c r="BK1058" i="4"/>
  <c r="BH106" i="64"/>
  <c r="BH21" i="66"/>
  <c r="O100" i="11"/>
  <c r="O101" i="67"/>
  <c r="L21" i="67"/>
  <c r="L17" i="67" s="1"/>
  <c r="L23" i="67" s="1"/>
  <c r="O44" i="66"/>
  <c r="O24" i="66"/>
  <c r="L1527" i="4"/>
  <c r="L1534" i="4" s="1"/>
  <c r="O1462" i="4"/>
  <c r="O1461" i="4" s="1"/>
  <c r="P95" i="11"/>
  <c r="O46" i="62"/>
  <c r="O21" i="11"/>
  <c r="O17" i="11" s="1"/>
  <c r="O101" i="11"/>
  <c r="O100" i="67"/>
  <c r="O1330" i="4"/>
  <c r="O1340" i="4"/>
  <c r="M95" i="67"/>
  <c r="L28" i="67"/>
  <c r="L25" i="67" s="1"/>
  <c r="L37" i="67" s="1"/>
  <c r="P1283" i="4"/>
  <c r="O25" i="11"/>
  <c r="BJ1008" i="4"/>
  <c r="BK1004" i="4"/>
  <c r="BJ19" i="11"/>
  <c r="P1313" i="4"/>
  <c r="P1303" i="4"/>
  <c r="AM1020" i="4"/>
  <c r="AL34" i="11"/>
  <c r="AK41" i="66"/>
  <c r="AK1296" i="4"/>
  <c r="AK1124" i="4"/>
  <c r="AK1126" i="4"/>
  <c r="AK1321" i="4"/>
  <c r="AK1335" i="4"/>
  <c r="AK76" i="11"/>
  <c r="BG36" i="64"/>
  <c r="BG35" i="64"/>
  <c r="P1132" i="4"/>
  <c r="AL79" i="64"/>
  <c r="AL71" i="64"/>
  <c r="AM1012" i="4"/>
  <c r="AL18" i="11"/>
  <c r="AL1027" i="4"/>
  <c r="AL1125" i="4" l="1"/>
  <c r="AM1045" i="4"/>
  <c r="AM1048" i="4" s="1"/>
  <c r="AM105" i="64" s="1"/>
  <c r="AM63" i="64" s="1"/>
  <c r="AL1339" i="4"/>
  <c r="AL77" i="11"/>
  <c r="AL23" i="66"/>
  <c r="AL1297" i="4"/>
  <c r="AL43" i="66"/>
  <c r="BG37" i="64"/>
  <c r="BG51" i="64" s="1"/>
  <c r="BJ1059" i="4"/>
  <c r="BJ1060" i="4" s="1"/>
  <c r="BK1056" i="4" s="1"/>
  <c r="BL1058" i="4"/>
  <c r="AL20" i="11"/>
  <c r="AL35" i="11"/>
  <c r="AL33" i="11" s="1"/>
  <c r="AL1464" i="4" s="1"/>
  <c r="AL1064" i="4"/>
  <c r="AM1022" i="4"/>
  <c r="AM1023" i="4" s="1"/>
  <c r="O99" i="11"/>
  <c r="BH35" i="64"/>
  <c r="BH36" i="64"/>
  <c r="P1281" i="4"/>
  <c r="P1271" i="4"/>
  <c r="O1475" i="4"/>
  <c r="O1470" i="4" s="1"/>
  <c r="O1474" i="4"/>
  <c r="O1469" i="4" s="1"/>
  <c r="O37" i="11"/>
  <c r="O1341" i="4"/>
  <c r="AM1014" i="4"/>
  <c r="AM1015" i="4" s="1"/>
  <c r="AM1016" i="4" s="1"/>
  <c r="P1135" i="4"/>
  <c r="P1193" i="4"/>
  <c r="P1493" i="4"/>
  <c r="P1496" i="4" s="1"/>
  <c r="O1331" i="4"/>
  <c r="H171" i="15"/>
  <c r="H150" i="15"/>
  <c r="O20" i="66"/>
  <c r="O40" i="66"/>
  <c r="BI21" i="66"/>
  <c r="BI106" i="64"/>
  <c r="L39" i="67"/>
  <c r="O1463" i="4"/>
  <c r="O1460" i="4" s="1"/>
  <c r="O23" i="11"/>
  <c r="BK1006" i="4"/>
  <c r="BK1007" i="4" s="1"/>
  <c r="BK1008" i="4" s="1"/>
  <c r="L99" i="67"/>
  <c r="BH37" i="64" l="1"/>
  <c r="BH51" i="64" s="1"/>
  <c r="R34" i="67"/>
  <c r="AN1020" i="4"/>
  <c r="AM34" i="11"/>
  <c r="AL41" i="66"/>
  <c r="AL1321" i="4"/>
  <c r="AL1296" i="4"/>
  <c r="AL1335" i="4"/>
  <c r="AL1124" i="4"/>
  <c r="AL1126" i="4"/>
  <c r="AL76" i="11"/>
  <c r="AL66" i="62"/>
  <c r="O1343" i="4"/>
  <c r="P1274" i="4"/>
  <c r="P1275" i="4" s="1"/>
  <c r="P1265" i="4" s="1"/>
  <c r="P1252" i="4"/>
  <c r="BL1004" i="4"/>
  <c r="BL1006" i="4" s="1"/>
  <c r="BL1007" i="4" s="1"/>
  <c r="X19" i="67"/>
  <c r="BK19" i="11"/>
  <c r="AM1049" i="4"/>
  <c r="AM79" i="64"/>
  <c r="AM71" i="64"/>
  <c r="H146" i="15"/>
  <c r="O26" i="66"/>
  <c r="O39" i="11"/>
  <c r="BK1059" i="4"/>
  <c r="BK1060" i="4" s="1"/>
  <c r="BL1056" i="4" s="1"/>
  <c r="BM1058" i="4"/>
  <c r="BI36" i="64"/>
  <c r="BI35" i="64"/>
  <c r="H167" i="15"/>
  <c r="O46" i="66"/>
  <c r="O1516" i="4"/>
  <c r="O1517" i="4" s="1"/>
  <c r="O1473" i="4"/>
  <c r="O1468" i="4" s="1"/>
  <c r="L40" i="67"/>
  <c r="P1194" i="4"/>
  <c r="R18" i="67"/>
  <c r="AM18" i="11"/>
  <c r="AN1012" i="4"/>
  <c r="AM1027" i="4"/>
  <c r="AM1024" i="4"/>
  <c r="AM1028" i="4" s="1"/>
  <c r="BJ21" i="66"/>
  <c r="BJ106" i="64"/>
  <c r="BI37" i="64" l="1"/>
  <c r="BI51" i="64" s="1"/>
  <c r="P1257" i="4"/>
  <c r="P1261" i="4"/>
  <c r="BK106" i="64"/>
  <c r="BK21" i="66"/>
  <c r="BL1059" i="4"/>
  <c r="BL1060" i="4" s="1"/>
  <c r="BM1056" i="4" s="1"/>
  <c r="BN1058" i="4"/>
  <c r="O48" i="66"/>
  <c r="O40" i="11"/>
  <c r="BL1008" i="4"/>
  <c r="BM1004" i="4"/>
  <c r="BM1006" i="4" s="1"/>
  <c r="BM1007" i="4" s="1"/>
  <c r="BL19" i="11"/>
  <c r="P1266" i="4"/>
  <c r="P1264" i="4"/>
  <c r="H173" i="15"/>
  <c r="P1196" i="4"/>
  <c r="H152" i="15"/>
  <c r="AM1062" i="4"/>
  <c r="AN1045" i="4"/>
  <c r="AN1022" i="4"/>
  <c r="AN1023" i="4" s="1"/>
  <c r="AN1024" i="4" s="1"/>
  <c r="AN1014" i="4"/>
  <c r="AN1015" i="4" s="1"/>
  <c r="AN1016" i="4" s="1"/>
  <c r="BJ36" i="64"/>
  <c r="BJ35" i="64"/>
  <c r="AM1297" i="4"/>
  <c r="AM23" i="66"/>
  <c r="AM43" i="66"/>
  <c r="AM1322" i="4"/>
  <c r="AM1339" i="4"/>
  <c r="AM1125" i="4"/>
  <c r="AM77" i="11"/>
  <c r="R77" i="67"/>
  <c r="AN1028" i="4" l="1"/>
  <c r="AN43" i="66" s="1"/>
  <c r="BJ37" i="64"/>
  <c r="BJ51" i="64" s="1"/>
  <c r="BM1008" i="4"/>
  <c r="BN1004" i="4"/>
  <c r="BN1006" i="4" s="1"/>
  <c r="BN1007" i="4" s="1"/>
  <c r="BM19" i="11"/>
  <c r="P1268" i="4"/>
  <c r="AO1012" i="4"/>
  <c r="AN18" i="11"/>
  <c r="AN1027" i="4"/>
  <c r="BM1059" i="4"/>
  <c r="BM1060" i="4" s="1"/>
  <c r="BN1056" i="4" s="1"/>
  <c r="BO1058" i="4"/>
  <c r="P1253" i="4"/>
  <c r="BL106" i="64"/>
  <c r="BL21" i="66"/>
  <c r="P86" i="11"/>
  <c r="P19" i="66"/>
  <c r="P1309" i="4"/>
  <c r="P1338" i="4"/>
  <c r="P1480" i="4"/>
  <c r="AN1048" i="4"/>
  <c r="AN105" i="64" s="1"/>
  <c r="AN63" i="64" s="1"/>
  <c r="P1198" i="4"/>
  <c r="P1327" i="4"/>
  <c r="P36" i="66"/>
  <c r="P74" i="11"/>
  <c r="P1386" i="4"/>
  <c r="P1272" i="4"/>
  <c r="P1304" i="4"/>
  <c r="AM20" i="11"/>
  <c r="R20" i="67" s="1"/>
  <c r="AM35" i="11"/>
  <c r="AM1064" i="4"/>
  <c r="AO1020" i="4"/>
  <c r="AN34" i="11"/>
  <c r="BK36" i="64"/>
  <c r="BK35" i="64"/>
  <c r="AN77" i="11" l="1"/>
  <c r="AN1297" i="4"/>
  <c r="AN1339" i="4"/>
  <c r="AN1125" i="4"/>
  <c r="AN23" i="66"/>
  <c r="AN1322" i="4"/>
  <c r="BK37" i="64"/>
  <c r="BK51" i="64" s="1"/>
  <c r="BL36" i="64"/>
  <c r="BL35" i="64"/>
  <c r="BM106" i="64"/>
  <c r="BM21" i="66"/>
  <c r="R42" i="13"/>
  <c r="AM41" i="66"/>
  <c r="AM1335" i="4"/>
  <c r="AM1126" i="4"/>
  <c r="AM1296" i="4"/>
  <c r="AM1124" i="4"/>
  <c r="AM1321" i="4"/>
  <c r="AM76" i="11"/>
  <c r="R76" i="67"/>
  <c r="AM66" i="62"/>
  <c r="R35" i="67"/>
  <c r="R33" i="67" s="1"/>
  <c r="AM33" i="11"/>
  <c r="AM1464" i="4" s="1"/>
  <c r="P78" i="11"/>
  <c r="AO1014" i="4"/>
  <c r="AO1015" i="4" s="1"/>
  <c r="AO1016" i="4" s="1"/>
  <c r="AO1022" i="4"/>
  <c r="AO1023" i="4" s="1"/>
  <c r="AO1024" i="4" s="1"/>
  <c r="P17" i="66"/>
  <c r="BN1008" i="4"/>
  <c r="BO1004" i="4"/>
  <c r="BN19" i="11"/>
  <c r="P1276" i="4"/>
  <c r="P1254" i="4" s="1"/>
  <c r="P1255" i="4" s="1"/>
  <c r="AN1049" i="4"/>
  <c r="AN71" i="64"/>
  <c r="AN79" i="64"/>
  <c r="BN1059" i="4"/>
  <c r="BN1060" i="4" s="1"/>
  <c r="BO1056" i="4" s="1"/>
  <c r="BP1058" i="4"/>
  <c r="BL37" i="64" l="1"/>
  <c r="BL51" i="64" s="1"/>
  <c r="Q1250" i="4"/>
  <c r="P1506" i="4"/>
  <c r="P27" i="11"/>
  <c r="BO1006" i="4"/>
  <c r="BO1007" i="4" s="1"/>
  <c r="BO1008" i="4" s="1"/>
  <c r="BO1059" i="4"/>
  <c r="BO1060" i="4" s="1"/>
  <c r="BP1056" i="4" s="1"/>
  <c r="BQ1058" i="4"/>
  <c r="BN106" i="64"/>
  <c r="BN21" i="66"/>
  <c r="AN1062" i="4"/>
  <c r="AO1045" i="4"/>
  <c r="BM36" i="64"/>
  <c r="BM35" i="64"/>
  <c r="P89" i="11"/>
  <c r="P1328" i="4"/>
  <c r="P39" i="66"/>
  <c r="P1305" i="4"/>
  <c r="AO1028" i="4"/>
  <c r="AP1012" i="4"/>
  <c r="AO18" i="11"/>
  <c r="AO1027" i="4"/>
  <c r="AP1020" i="4"/>
  <c r="AO34" i="11"/>
  <c r="P1421" i="4"/>
  <c r="P1385" i="4"/>
  <c r="BM37" i="64" l="1"/>
  <c r="BM51" i="64" s="1"/>
  <c r="BP1059" i="4"/>
  <c r="BP1060" i="4" s="1"/>
  <c r="BQ1056" i="4" s="1"/>
  <c r="BR1058" i="4"/>
  <c r="BO106" i="64"/>
  <c r="BO21" i="66"/>
  <c r="AP1022" i="4"/>
  <c r="AP1023" i="4" s="1"/>
  <c r="AP1024" i="4" s="1"/>
  <c r="AP1014" i="4"/>
  <c r="AP1015" i="4" s="1"/>
  <c r="AP1016" i="4" s="1"/>
  <c r="P1425" i="4"/>
  <c r="AO1297" i="4"/>
  <c r="AO1125" i="4"/>
  <c r="AO43" i="66"/>
  <c r="AO1322" i="4"/>
  <c r="AO1339" i="4"/>
  <c r="AO23" i="66"/>
  <c r="AO77" i="11"/>
  <c r="AO1048" i="4"/>
  <c r="AO105" i="64" s="1"/>
  <c r="AO63" i="64" s="1"/>
  <c r="Y19" i="67"/>
  <c r="BP1004" i="4"/>
  <c r="BP1006" i="4" s="1"/>
  <c r="BP1007" i="4" s="1"/>
  <c r="BO19" i="11"/>
  <c r="AN20" i="11"/>
  <c r="AN35" i="11"/>
  <c r="AN33" i="11" s="1"/>
  <c r="AN1464" i="4" s="1"/>
  <c r="AN1064" i="4"/>
  <c r="P1282" i="4"/>
  <c r="P35" i="66"/>
  <c r="BN36" i="64"/>
  <c r="BN35" i="64"/>
  <c r="P1509" i="4"/>
  <c r="P1507" i="4"/>
  <c r="P1508" i="4" s="1"/>
  <c r="P1388" i="4"/>
  <c r="BN37" i="64" l="1"/>
  <c r="BN51" i="64" s="1"/>
  <c r="AO1049" i="4"/>
  <c r="AO1062" i="4" s="1"/>
  <c r="BO36" i="64"/>
  <c r="BO35" i="64"/>
  <c r="P1440" i="4"/>
  <c r="P1441" i="4" s="1"/>
  <c r="P1390" i="4"/>
  <c r="P1402" i="4"/>
  <c r="P1284" i="4"/>
  <c r="P1286" i="4" s="1"/>
  <c r="BP1008" i="4"/>
  <c r="BP19" i="11"/>
  <c r="BQ1004" i="4"/>
  <c r="BQ1006" i="4" s="1"/>
  <c r="BQ1007" i="4" s="1"/>
  <c r="AP18" i="11"/>
  <c r="AQ1012" i="4"/>
  <c r="AP1027" i="4"/>
  <c r="AN41" i="66"/>
  <c r="AN1335" i="4"/>
  <c r="AN1296" i="4"/>
  <c r="AN1124" i="4"/>
  <c r="AN1126" i="4"/>
  <c r="AN1321" i="4"/>
  <c r="AN76" i="11"/>
  <c r="AN66" i="62"/>
  <c r="AP1028" i="4"/>
  <c r="BQ1059" i="4"/>
  <c r="BQ1060" i="4" s="1"/>
  <c r="BR1056" i="4" s="1"/>
  <c r="BS1058" i="4"/>
  <c r="AO79" i="64"/>
  <c r="AO71" i="64"/>
  <c r="AQ1020" i="4"/>
  <c r="AP34" i="11"/>
  <c r="BP106" i="64"/>
  <c r="BP21" i="66"/>
  <c r="AP1045" i="4" l="1"/>
  <c r="AP1048" i="4" s="1"/>
  <c r="AP105" i="64" s="1"/>
  <c r="AP63" i="64" s="1"/>
  <c r="BO37" i="64"/>
  <c r="BO51" i="64" s="1"/>
  <c r="AQ1022" i="4"/>
  <c r="AQ1023" i="4" s="1"/>
  <c r="AQ1024" i="4" s="1"/>
  <c r="BP36" i="64"/>
  <c r="BP35" i="64"/>
  <c r="AO20" i="11"/>
  <c r="AO35" i="11"/>
  <c r="AO33" i="11" s="1"/>
  <c r="AO1464" i="4" s="1"/>
  <c r="AO1064" i="4"/>
  <c r="P48" i="62"/>
  <c r="P58" i="11"/>
  <c r="P1329" i="4"/>
  <c r="P90" i="11"/>
  <c r="P1306" i="4"/>
  <c r="P22" i="66"/>
  <c r="P1403" i="4"/>
  <c r="BQ1008" i="4"/>
  <c r="BQ19" i="11"/>
  <c r="BR1004" i="4"/>
  <c r="BR1006" i="4" s="1"/>
  <c r="BR1007" i="4" s="1"/>
  <c r="BR1059" i="4"/>
  <c r="BR1060" i="4" s="1"/>
  <c r="BS1056" i="4" s="1"/>
  <c r="BT1058" i="4"/>
  <c r="P1442" i="4"/>
  <c r="AQ1014" i="4"/>
  <c r="AQ1015" i="4" s="1"/>
  <c r="BQ21" i="66"/>
  <c r="BQ106" i="64"/>
  <c r="AP1322" i="4"/>
  <c r="AP1297" i="4"/>
  <c r="AP43" i="66"/>
  <c r="AP1339" i="4"/>
  <c r="AP23" i="66"/>
  <c r="AP1125" i="4"/>
  <c r="AP77" i="11"/>
  <c r="P1285" i="4"/>
  <c r="BP37" i="64" l="1"/>
  <c r="BP51" i="64" s="1"/>
  <c r="AP1049" i="4"/>
  <c r="AQ1045" i="4" s="1"/>
  <c r="AQ18" i="11"/>
  <c r="S18" i="67"/>
  <c r="AR1012" i="4"/>
  <c r="AQ1027" i="4"/>
  <c r="BR1008" i="4"/>
  <c r="BS1004" i="4"/>
  <c r="BR19" i="11"/>
  <c r="AP79" i="64"/>
  <c r="AP71" i="64"/>
  <c r="BR106" i="64"/>
  <c r="BR21" i="66"/>
  <c r="AO41" i="66"/>
  <c r="AO1126" i="4"/>
  <c r="AO1335" i="4"/>
  <c r="AO1321" i="4"/>
  <c r="AO1124" i="4"/>
  <c r="AO1296" i="4"/>
  <c r="AO76" i="11"/>
  <c r="AO66" i="62"/>
  <c r="BQ36" i="64"/>
  <c r="BQ35" i="64"/>
  <c r="BS1059" i="4"/>
  <c r="BS1060" i="4" s="1"/>
  <c r="BT1056" i="4" s="1"/>
  <c r="BU1058" i="4"/>
  <c r="P1307" i="4"/>
  <c r="P1311" i="4" s="1"/>
  <c r="Q1290" i="4" s="1"/>
  <c r="P91" i="11"/>
  <c r="AQ1016" i="4"/>
  <c r="AQ1028" i="4" s="1"/>
  <c r="P1404" i="4"/>
  <c r="P59" i="11"/>
  <c r="P24" i="62"/>
  <c r="S34" i="67"/>
  <c r="AR1020" i="4"/>
  <c r="AQ34" i="11"/>
  <c r="AP1062" i="4" l="1"/>
  <c r="AP35" i="11" s="1"/>
  <c r="AP33" i="11" s="1"/>
  <c r="AP1464" i="4" s="1"/>
  <c r="BQ37" i="64"/>
  <c r="BQ51" i="64" s="1"/>
  <c r="AQ23" i="66"/>
  <c r="AQ1297" i="4"/>
  <c r="AQ43" i="66"/>
  <c r="AQ1322" i="4"/>
  <c r="AQ1125" i="4"/>
  <c r="AQ1339" i="4"/>
  <c r="AQ77" i="11"/>
  <c r="S77" i="67"/>
  <c r="BT1059" i="4"/>
  <c r="BT1060" i="4" s="1"/>
  <c r="BU1056" i="4" s="1"/>
  <c r="BV1058" i="4"/>
  <c r="BS106" i="64"/>
  <c r="BS21" i="66"/>
  <c r="BS1006" i="4"/>
  <c r="BS1007" i="4" s="1"/>
  <c r="BS1008" i="4" s="1"/>
  <c r="P28" i="11"/>
  <c r="Q1128" i="4"/>
  <c r="Q1130" i="4" s="1"/>
  <c r="Q1132" i="4" s="1"/>
  <c r="Q1135" i="4" s="1"/>
  <c r="Q1298" i="4"/>
  <c r="Q1300" i="4" s="1"/>
  <c r="AR1022" i="4"/>
  <c r="AR1023" i="4" s="1"/>
  <c r="AR1024" i="4" s="1"/>
  <c r="BR36" i="64"/>
  <c r="BR35" i="64"/>
  <c r="AR1014" i="4"/>
  <c r="AR1015" i="4" s="1"/>
  <c r="AR1016" i="4" s="1"/>
  <c r="P26" i="62"/>
  <c r="AQ1048" i="4"/>
  <c r="AQ105" i="64" s="1"/>
  <c r="AQ63" i="64" s="1"/>
  <c r="P93" i="11"/>
  <c r="P96" i="11" s="1"/>
  <c r="P97" i="11" s="1"/>
  <c r="AP1064" i="4" l="1"/>
  <c r="AP41" i="66" s="1"/>
  <c r="AP20" i="11"/>
  <c r="P44" i="66"/>
  <c r="P1462" i="4"/>
  <c r="P1461" i="4" s="1"/>
  <c r="P100" i="11"/>
  <c r="P1340" i="4"/>
  <c r="P101" i="11"/>
  <c r="P100" i="67"/>
  <c r="P46" i="62"/>
  <c r="P21" i="11"/>
  <c r="P17" i="11" s="1"/>
  <c r="P24" i="66"/>
  <c r="Q95" i="11"/>
  <c r="P101" i="67"/>
  <c r="P1330" i="4"/>
  <c r="Q1283" i="4"/>
  <c r="P25" i="11"/>
  <c r="AQ1049" i="4"/>
  <c r="AR18" i="11"/>
  <c r="AS1012" i="4"/>
  <c r="AR1027" i="4"/>
  <c r="AR1028" i="4"/>
  <c r="Z19" i="67"/>
  <c r="BT1004" i="4"/>
  <c r="BT1006" i="4" s="1"/>
  <c r="BT1007" i="4" s="1"/>
  <c r="BS19" i="11"/>
  <c r="BU1059" i="4"/>
  <c r="BU1060" i="4" s="1"/>
  <c r="BV1056" i="4" s="1"/>
  <c r="BW1058" i="4"/>
  <c r="AQ71" i="64"/>
  <c r="AQ79" i="64"/>
  <c r="AS1020" i="4"/>
  <c r="AR34" i="11"/>
  <c r="Q1313" i="4"/>
  <c r="BT106" i="64"/>
  <c r="BT21" i="66"/>
  <c r="BR37" i="64"/>
  <c r="BS36" i="64"/>
  <c r="BS35" i="64"/>
  <c r="AP66" i="62" l="1"/>
  <c r="AP1335" i="4"/>
  <c r="AP76" i="11"/>
  <c r="AP1321" i="4"/>
  <c r="AP1124" i="4"/>
  <c r="AP1296" i="4"/>
  <c r="AP1126" i="4"/>
  <c r="P99" i="11"/>
  <c r="BR51" i="64"/>
  <c r="AS1022" i="4"/>
  <c r="AS1023" i="4" s="1"/>
  <c r="AS1024" i="4" s="1"/>
  <c r="AQ1062" i="4"/>
  <c r="AR1045" i="4"/>
  <c r="P1463" i="4"/>
  <c r="P1460" i="4" s="1"/>
  <c r="P23" i="11"/>
  <c r="BT1008" i="4"/>
  <c r="BU1004" i="4"/>
  <c r="BU1006" i="4" s="1"/>
  <c r="BU1007" i="4" s="1"/>
  <c r="BT19" i="11"/>
  <c r="P1474" i="4"/>
  <c r="P1469" i="4" s="1"/>
  <c r="P1475" i="4"/>
  <c r="P1470" i="4" s="1"/>
  <c r="P37" i="11"/>
  <c r="AR1297" i="4"/>
  <c r="AR23" i="66"/>
  <c r="AR1322" i="4"/>
  <c r="AR1339" i="4"/>
  <c r="AR1125" i="4"/>
  <c r="AR43" i="66"/>
  <c r="AR77" i="11"/>
  <c r="BT36" i="64"/>
  <c r="BT35" i="64"/>
  <c r="P1331" i="4"/>
  <c r="P1341" i="4"/>
  <c r="BV1059" i="4"/>
  <c r="BV1060" i="4" s="1"/>
  <c r="BW1056" i="4" s="1"/>
  <c r="BX1058" i="4"/>
  <c r="Q1193" i="4"/>
  <c r="Q1194" i="4" s="1"/>
  <c r="Q1196" i="4" s="1"/>
  <c r="Q1198" i="4" s="1"/>
  <c r="Q1164" i="4" s="1"/>
  <c r="BU106" i="64"/>
  <c r="BU21" i="66"/>
  <c r="AS1014" i="4"/>
  <c r="AS1015" i="4" s="1"/>
  <c r="AS1016" i="4" s="1"/>
  <c r="BS37" i="64"/>
  <c r="P20" i="66"/>
  <c r="P40" i="66"/>
  <c r="BT37" i="64" l="1"/>
  <c r="BT51" i="64" s="1"/>
  <c r="P39" i="11"/>
  <c r="P40" i="11" s="1"/>
  <c r="AS1028" i="4"/>
  <c r="AS1339" i="4" s="1"/>
  <c r="Q1165" i="4"/>
  <c r="Q1214" i="4"/>
  <c r="BU1008" i="4"/>
  <c r="BV1004" i="4"/>
  <c r="BV1006" i="4" s="1"/>
  <c r="BV1007" i="4" s="1"/>
  <c r="BU19" i="11"/>
  <c r="P26" i="66"/>
  <c r="AS18" i="11"/>
  <c r="AT1012" i="4"/>
  <c r="AS1027" i="4"/>
  <c r="P46" i="66"/>
  <c r="BW1059" i="4"/>
  <c r="BW1060" i="4" s="1"/>
  <c r="BX1056" i="4" s="1"/>
  <c r="BY1058" i="4"/>
  <c r="AT1020" i="4"/>
  <c r="AS34" i="11"/>
  <c r="BU36" i="64"/>
  <c r="BU35" i="64"/>
  <c r="BV106" i="64"/>
  <c r="BV21" i="66"/>
  <c r="P1516" i="4"/>
  <c r="P1517" i="4" s="1"/>
  <c r="P1473" i="4"/>
  <c r="P1468" i="4" s="1"/>
  <c r="AR1048" i="4"/>
  <c r="AR105" i="64" s="1"/>
  <c r="AR63" i="64" s="1"/>
  <c r="BS51" i="64"/>
  <c r="P1343" i="4"/>
  <c r="AQ20" i="11"/>
  <c r="S20" i="67" s="1"/>
  <c r="AQ35" i="11"/>
  <c r="AQ1064" i="4"/>
  <c r="AS77" i="11" l="1"/>
  <c r="AS23" i="66"/>
  <c r="AS1125" i="4"/>
  <c r="AS1297" i="4"/>
  <c r="AS1322" i="4"/>
  <c r="AS43" i="66"/>
  <c r="AR1049" i="4"/>
  <c r="AR1062" i="4" s="1"/>
  <c r="P48" i="66"/>
  <c r="Q1215" i="4"/>
  <c r="Q1481" i="4"/>
  <c r="Q88" i="11"/>
  <c r="Q38" i="66"/>
  <c r="Q1324" i="4"/>
  <c r="Q1302" i="4"/>
  <c r="Q1424" i="4"/>
  <c r="R1207" i="4"/>
  <c r="R1162" i="4"/>
  <c r="BV36" i="64"/>
  <c r="BV35" i="64"/>
  <c r="BX1059" i="4"/>
  <c r="BX1060" i="4" s="1"/>
  <c r="BY1056" i="4" s="1"/>
  <c r="BZ1058" i="4"/>
  <c r="BV1008" i="4"/>
  <c r="BV19" i="11"/>
  <c r="BW1004" i="4"/>
  <c r="S42" i="13"/>
  <c r="AQ41" i="66"/>
  <c r="AQ1126" i="4"/>
  <c r="AQ1296" i="4"/>
  <c r="AQ1335" i="4"/>
  <c r="AQ1321" i="4"/>
  <c r="AQ1124" i="4"/>
  <c r="AQ76" i="11"/>
  <c r="AQ66" i="62"/>
  <c r="S76" i="67"/>
  <c r="S35" i="67"/>
  <c r="S33" i="67" s="1"/>
  <c r="AQ33" i="11"/>
  <c r="AQ1464" i="4" s="1"/>
  <c r="AR71" i="64"/>
  <c r="AR79" i="64"/>
  <c r="BU37" i="64"/>
  <c r="BW21" i="66"/>
  <c r="BW106" i="64"/>
  <c r="AT1014" i="4"/>
  <c r="AT1015" i="4" s="1"/>
  <c r="AT1016" i="4" s="1"/>
  <c r="AT1022" i="4"/>
  <c r="AT1023" i="4" s="1"/>
  <c r="AT1024" i="4" s="1"/>
  <c r="AS1045" i="4" l="1"/>
  <c r="AS1048" i="4" s="1"/>
  <c r="AS105" i="64" s="1"/>
  <c r="AS63" i="64" s="1"/>
  <c r="Q1303" i="4"/>
  <c r="R1163" i="4"/>
  <c r="R1225" i="4"/>
  <c r="BV37" i="64"/>
  <c r="BV51" i="64" s="1"/>
  <c r="Q31" i="11"/>
  <c r="R1212" i="4"/>
  <c r="Q1489" i="4"/>
  <c r="Q1505" i="4"/>
  <c r="Q1515" i="4"/>
  <c r="AT1028" i="4"/>
  <c r="AR20" i="11"/>
  <c r="AR35" i="11"/>
  <c r="AR33" i="11" s="1"/>
  <c r="AR1464" i="4" s="1"/>
  <c r="AR1064" i="4"/>
  <c r="AU1020" i="4"/>
  <c r="AT34" i="11"/>
  <c r="AU1012" i="4"/>
  <c r="AT18" i="11"/>
  <c r="AT1027" i="4"/>
  <c r="BY1059" i="4"/>
  <c r="BY1060" i="4" s="1"/>
  <c r="BZ1056" i="4" s="1"/>
  <c r="CA1058" i="4"/>
  <c r="BW36" i="64"/>
  <c r="BW35" i="64"/>
  <c r="BX106" i="64"/>
  <c r="BX21" i="66"/>
  <c r="BU51" i="64"/>
  <c r="BW1006" i="4"/>
  <c r="BW1007" i="4" s="1"/>
  <c r="BW1008" i="4" s="1"/>
  <c r="BW37" i="64" l="1"/>
  <c r="BW51" i="64" s="1"/>
  <c r="R1213" i="4"/>
  <c r="R1202" i="4"/>
  <c r="R1206" i="4"/>
  <c r="R1178" i="4"/>
  <c r="R1492" i="4"/>
  <c r="Q30" i="11"/>
  <c r="Q45" i="62"/>
  <c r="Q1271" i="4"/>
  <c r="Q1281" i="4"/>
  <c r="BX36" i="64"/>
  <c r="BX35" i="64"/>
  <c r="AU1014" i="4"/>
  <c r="AU1015" i="4" s="1"/>
  <c r="AU1016" i="4" s="1"/>
  <c r="AS79" i="64"/>
  <c r="AS71" i="64"/>
  <c r="AU1022" i="4"/>
  <c r="AU1023" i="4" s="1"/>
  <c r="AU1024" i="4" s="1"/>
  <c r="AT1339" i="4"/>
  <c r="AT23" i="66"/>
  <c r="AT1125" i="4"/>
  <c r="AT1322" i="4"/>
  <c r="AT43" i="66"/>
  <c r="AT1297" i="4"/>
  <c r="AT77" i="11"/>
  <c r="Q1483" i="4"/>
  <c r="BZ1059" i="4"/>
  <c r="CB1058" i="4"/>
  <c r="AS1049" i="4"/>
  <c r="BX1004" i="4"/>
  <c r="BX1006" i="4" s="1"/>
  <c r="BX1007" i="4" s="1"/>
  <c r="AA19" i="67"/>
  <c r="BW19" i="11"/>
  <c r="BY106" i="64"/>
  <c r="BY21" i="66"/>
  <c r="AR41" i="66"/>
  <c r="AR1335" i="4"/>
  <c r="AR1296" i="4"/>
  <c r="AR1124" i="4"/>
  <c r="AR1321" i="4"/>
  <c r="AR1126" i="4"/>
  <c r="AR76" i="11"/>
  <c r="AR66" i="62"/>
  <c r="BX37" i="64" l="1"/>
  <c r="BX51" i="64" s="1"/>
  <c r="Q1274" i="4"/>
  <c r="Q1275" i="4" s="1"/>
  <c r="Q1265" i="4" s="1"/>
  <c r="Q1252" i="4"/>
  <c r="AU1028" i="4"/>
  <c r="AU1339" i="4" s="1"/>
  <c r="R1224" i="4"/>
  <c r="R18" i="66"/>
  <c r="R1310" i="4"/>
  <c r="R87" i="11"/>
  <c r="R1336" i="4"/>
  <c r="R1423" i="4"/>
  <c r="R1180" i="4"/>
  <c r="R1179" i="4"/>
  <c r="R1189" i="4"/>
  <c r="BZ106" i="64"/>
  <c r="BZ21" i="66"/>
  <c r="Q1490" i="4"/>
  <c r="BX1008" i="4"/>
  <c r="BX19" i="11"/>
  <c r="BY1004" i="4"/>
  <c r="BY1006" i="4" s="1"/>
  <c r="BY1007" i="4" s="1"/>
  <c r="BZ1060" i="4"/>
  <c r="CA1056" i="4" s="1"/>
  <c r="T18" i="67"/>
  <c r="AV1012" i="4"/>
  <c r="AU18" i="11"/>
  <c r="AU1027" i="4"/>
  <c r="T34" i="67"/>
  <c r="AV1020" i="4"/>
  <c r="AU34" i="11"/>
  <c r="AS1062" i="4"/>
  <c r="AT1045" i="4"/>
  <c r="BY36" i="64"/>
  <c r="BY35" i="64"/>
  <c r="AU1297" i="4" l="1"/>
  <c r="AU1322" i="4"/>
  <c r="AU23" i="66"/>
  <c r="T77" i="67"/>
  <c r="AU77" i="11"/>
  <c r="AU1125" i="4"/>
  <c r="AU43" i="66"/>
  <c r="Q1495" i="4"/>
  <c r="Q1493" i="4"/>
  <c r="Q1499" i="4"/>
  <c r="BY37" i="64"/>
  <c r="BY51" i="64" s="1"/>
  <c r="R1226" i="4"/>
  <c r="R1218" i="4"/>
  <c r="R1181" i="4"/>
  <c r="Q1257" i="4"/>
  <c r="Q1261" i="4"/>
  <c r="Q1268" i="4" s="1"/>
  <c r="R1169" i="4"/>
  <c r="Q1266" i="4"/>
  <c r="Q1264" i="4"/>
  <c r="Q1253" i="4" s="1"/>
  <c r="CA1059" i="4"/>
  <c r="CA1060" i="4" s="1"/>
  <c r="CB1056" i="4" s="1"/>
  <c r="CC1058" i="4"/>
  <c r="AV1022" i="4"/>
  <c r="AV1023" i="4" s="1"/>
  <c r="AV1024" i="4" s="1"/>
  <c r="BY1008" i="4"/>
  <c r="BY19" i="11"/>
  <c r="BZ1004" i="4"/>
  <c r="BZ1006" i="4" s="1"/>
  <c r="BZ1007" i="4" s="1"/>
  <c r="BZ36" i="64"/>
  <c r="BZ35" i="64"/>
  <c r="AT1048" i="4"/>
  <c r="AT105" i="64" s="1"/>
  <c r="AT63" i="64" s="1"/>
  <c r="AV1014" i="4"/>
  <c r="AV1015" i="4" s="1"/>
  <c r="AV1016" i="4" s="1"/>
  <c r="AS20" i="11"/>
  <c r="AS35" i="11"/>
  <c r="AS33" i="11" s="1"/>
  <c r="AS1464" i="4" s="1"/>
  <c r="AS1064" i="4"/>
  <c r="Q1496" i="4" l="1"/>
  <c r="R1326" i="4"/>
  <c r="R297" i="4"/>
  <c r="R1076" i="4"/>
  <c r="R50" i="11"/>
  <c r="R1122" i="4"/>
  <c r="R1295" i="4"/>
  <c r="R37" i="66"/>
  <c r="R72" i="11"/>
  <c r="Q1309" i="4"/>
  <c r="Q1338" i="4"/>
  <c r="Q19" i="66"/>
  <c r="Q17" i="66" s="1"/>
  <c r="Q86" i="11"/>
  <c r="Q1480" i="4"/>
  <c r="Q1272" i="4"/>
  <c r="Q1276" i="4" s="1"/>
  <c r="Q1254" i="4" s="1"/>
  <c r="Q1304" i="4"/>
  <c r="Q74" i="11"/>
  <c r="Q78" i="11" s="1"/>
  <c r="Q1386" i="4"/>
  <c r="Q1327" i="4"/>
  <c r="Q36" i="66"/>
  <c r="R1190" i="4"/>
  <c r="R1197" i="4"/>
  <c r="AT1049" i="4"/>
  <c r="AT1062" i="4" s="1"/>
  <c r="R1219" i="4"/>
  <c r="R1220" i="4"/>
  <c r="R1074" i="4"/>
  <c r="R1170" i="4"/>
  <c r="CB1059" i="4"/>
  <c r="CB1060" i="4" s="1"/>
  <c r="CC1056" i="4" s="1"/>
  <c r="CD1058" i="4"/>
  <c r="AV1028" i="4"/>
  <c r="AT71" i="64"/>
  <c r="AT79" i="64"/>
  <c r="AW1020" i="4"/>
  <c r="AV34" i="11"/>
  <c r="AS41" i="66"/>
  <c r="AS1126" i="4"/>
  <c r="AS1296" i="4"/>
  <c r="AS1335" i="4"/>
  <c r="AS1124" i="4"/>
  <c r="AS1321" i="4"/>
  <c r="AS76" i="11"/>
  <c r="AS66" i="62"/>
  <c r="BZ1008" i="4"/>
  <c r="BZ19" i="11"/>
  <c r="CA1004" i="4"/>
  <c r="BZ37" i="64"/>
  <c r="CA106" i="64"/>
  <c r="CA21" i="66"/>
  <c r="AV18" i="11"/>
  <c r="AW1012" i="4"/>
  <c r="AV1027" i="4"/>
  <c r="R1188" i="4" l="1"/>
  <c r="R1221" i="4"/>
  <c r="AU1045" i="4"/>
  <c r="AU1048" i="4" s="1"/>
  <c r="AU105" i="64" s="1"/>
  <c r="AU63" i="64" s="1"/>
  <c r="R49" i="11"/>
  <c r="R53" i="11"/>
  <c r="R294" i="4"/>
  <c r="Q1421" i="4"/>
  <c r="Q1425" i="4" s="1"/>
  <c r="Q1385" i="4"/>
  <c r="Q1388" i="4" s="1"/>
  <c r="R305" i="4"/>
  <c r="R330" i="4" s="1"/>
  <c r="Q39" i="66"/>
  <c r="Q35" i="66" s="1"/>
  <c r="Q89" i="11"/>
  <c r="Q1305" i="4"/>
  <c r="Q1282" i="4" s="1"/>
  <c r="Q1328" i="4"/>
  <c r="Q1255" i="4"/>
  <c r="CA36" i="64"/>
  <c r="CA35" i="64"/>
  <c r="AT20" i="11"/>
  <c r="AT35" i="11"/>
  <c r="AT33" i="11" s="1"/>
  <c r="AT1464" i="4" s="1"/>
  <c r="AT1064" i="4"/>
  <c r="AW1014" i="4"/>
  <c r="AW1015" i="4" s="1"/>
  <c r="AW1016" i="4" s="1"/>
  <c r="BZ51" i="64"/>
  <c r="AW1022" i="4"/>
  <c r="AW1023" i="4" s="1"/>
  <c r="AW1024" i="4" s="1"/>
  <c r="AV23" i="66"/>
  <c r="AV1322" i="4"/>
  <c r="AV1339" i="4"/>
  <c r="AV1297" i="4"/>
  <c r="AV43" i="66"/>
  <c r="AV1125" i="4"/>
  <c r="AV77" i="11"/>
  <c r="CA1006" i="4"/>
  <c r="CA1007" i="4" s="1"/>
  <c r="CA1008" i="4" s="1"/>
  <c r="CC1059" i="4"/>
  <c r="CC1060" i="4" s="1"/>
  <c r="CD1056" i="4" s="1"/>
  <c r="CE1058" i="4"/>
  <c r="CB106" i="64"/>
  <c r="CB21" i="66"/>
  <c r="Q1440" i="4" l="1"/>
  <c r="Q1441" i="4" s="1"/>
  <c r="Q1442" i="4" s="1"/>
  <c r="CA37" i="64"/>
  <c r="CA51" i="64" s="1"/>
  <c r="R1250" i="4"/>
  <c r="Q27" i="11"/>
  <c r="Q1506" i="4"/>
  <c r="R302" i="4"/>
  <c r="R299" i="4"/>
  <c r="Q1284" i="4"/>
  <c r="Q1286" i="4" s="1"/>
  <c r="R467" i="4"/>
  <c r="S457" i="4"/>
  <c r="S468" i="4"/>
  <c r="S479" i="4"/>
  <c r="R456" i="4"/>
  <c r="R478" i="4"/>
  <c r="R52" i="11"/>
  <c r="Q1390" i="4"/>
  <c r="Q1402" i="4"/>
  <c r="Q1403" i="4" s="1"/>
  <c r="Q1404" i="4" s="1"/>
  <c r="R1301" i="4"/>
  <c r="R1325" i="4"/>
  <c r="R1121" i="4"/>
  <c r="R73" i="11"/>
  <c r="CD1059" i="4"/>
  <c r="CD1060" i="4" s="1"/>
  <c r="CE1056" i="4" s="1"/>
  <c r="CF1058" i="4"/>
  <c r="AX1012" i="4"/>
  <c r="AW18" i="11"/>
  <c r="AW1027" i="4"/>
  <c r="CB1004" i="4"/>
  <c r="CB1006" i="4" s="1"/>
  <c r="CB1007" i="4" s="1"/>
  <c r="CA19" i="11"/>
  <c r="AB19" i="67"/>
  <c r="AT41" i="66"/>
  <c r="AT1296" i="4"/>
  <c r="AT1335" i="4"/>
  <c r="AT1321" i="4"/>
  <c r="AT1126" i="4"/>
  <c r="AT1124" i="4"/>
  <c r="AT76" i="11"/>
  <c r="AT66" i="62"/>
  <c r="AU1049" i="4"/>
  <c r="AW1028" i="4"/>
  <c r="AU79" i="64"/>
  <c r="AU71" i="64"/>
  <c r="CC106" i="64"/>
  <c r="CC21" i="66"/>
  <c r="CB36" i="64"/>
  <c r="CB35" i="64"/>
  <c r="AX1020" i="4"/>
  <c r="AW34" i="11"/>
  <c r="R458" i="4" l="1"/>
  <c r="R459" i="4" s="1"/>
  <c r="S495" i="4"/>
  <c r="R1144" i="4"/>
  <c r="R469" i="4"/>
  <c r="R470" i="4" s="1"/>
  <c r="R331" i="4"/>
  <c r="R307" i="4"/>
  <c r="Q1285" i="4"/>
  <c r="Q1507" i="4"/>
  <c r="Q1508" i="4" s="1"/>
  <c r="Q1509" i="4"/>
  <c r="Q58" i="11"/>
  <c r="Q59" i="11" s="1"/>
  <c r="Q28" i="11" s="1"/>
  <c r="Q25" i="11" s="1"/>
  <c r="Q1329" i="4"/>
  <c r="Q1306" i="4"/>
  <c r="Q1307" i="4" s="1"/>
  <c r="Q1311" i="4" s="1"/>
  <c r="R1290" i="4" s="1"/>
  <c r="Q48" i="62"/>
  <c r="Q24" i="62" s="1"/>
  <c r="Q26" i="62" s="1"/>
  <c r="Q90" i="11"/>
  <c r="Q91" i="11" s="1"/>
  <c r="Q93" i="11" s="1"/>
  <c r="Q96" i="11" s="1"/>
  <c r="Q97" i="11" s="1"/>
  <c r="Q22" i="66"/>
  <c r="R480" i="4"/>
  <c r="R481" i="4" s="1"/>
  <c r="CC36" i="64"/>
  <c r="CC35" i="64"/>
  <c r="CB37" i="64"/>
  <c r="CB1008" i="4"/>
  <c r="CB19" i="11"/>
  <c r="CC1004" i="4"/>
  <c r="CC1006" i="4" s="1"/>
  <c r="CC1007" i="4" s="1"/>
  <c r="AX1022" i="4"/>
  <c r="AX1023" i="4" s="1"/>
  <c r="AX1024" i="4" s="1"/>
  <c r="AW23" i="66"/>
  <c r="AW1125" i="4"/>
  <c r="AW1297" i="4"/>
  <c r="AW1322" i="4"/>
  <c r="AW1339" i="4"/>
  <c r="AW43" i="66"/>
  <c r="AW77" i="11"/>
  <c r="CE1059" i="4"/>
  <c r="CE1060" i="4" s="1"/>
  <c r="CF1056" i="4" s="1"/>
  <c r="CG1058" i="4"/>
  <c r="AU1062" i="4"/>
  <c r="AV1045" i="4"/>
  <c r="AX1014" i="4"/>
  <c r="AX1015" i="4" s="1"/>
  <c r="CD106" i="64"/>
  <c r="CD21" i="66"/>
  <c r="R332" i="4" l="1"/>
  <c r="R14" i="11" s="1"/>
  <c r="CC37" i="64"/>
  <c r="CC51" i="64" s="1"/>
  <c r="R482" i="4"/>
  <c r="R483" i="4" s="1"/>
  <c r="S477" i="4" s="1"/>
  <c r="Q37" i="11"/>
  <c r="Q1474" i="4"/>
  <c r="Q1469" i="4" s="1"/>
  <c r="Q1475" i="4"/>
  <c r="Q1470" i="4" s="1"/>
  <c r="R1145" i="4"/>
  <c r="R1235" i="4"/>
  <c r="R1234" i="4"/>
  <c r="Q1330" i="4"/>
  <c r="Q1331" i="4" s="1"/>
  <c r="Q1340" i="4"/>
  <c r="Q1341" i="4" s="1"/>
  <c r="R95" i="11"/>
  <c r="Q101" i="11"/>
  <c r="Q1462" i="4"/>
  <c r="Q1461" i="4" s="1"/>
  <c r="Q21" i="11"/>
  <c r="Q17" i="11" s="1"/>
  <c r="Q46" i="62"/>
  <c r="Q24" i="66"/>
  <c r="Q20" i="66" s="1"/>
  <c r="Q26" i="66" s="1"/>
  <c r="Q44" i="66"/>
  <c r="Q40" i="66" s="1"/>
  <c r="Q46" i="66" s="1"/>
  <c r="Q100" i="11"/>
  <c r="Q101" i="67"/>
  <c r="Q100" i="67"/>
  <c r="S1072" i="4"/>
  <c r="R1128" i="4"/>
  <c r="R385" i="4"/>
  <c r="R395" i="4"/>
  <c r="R405" i="4"/>
  <c r="R460" i="4"/>
  <c r="R461" i="4" s="1"/>
  <c r="S455" i="4" s="1"/>
  <c r="R494" i="4"/>
  <c r="R471" i="4"/>
  <c r="R472" i="4" s="1"/>
  <c r="S466" i="4" s="1"/>
  <c r="AY1012" i="4"/>
  <c r="AX18" i="11"/>
  <c r="AX1027" i="4"/>
  <c r="AV1048" i="4"/>
  <c r="AV105" i="64" s="1"/>
  <c r="AV63" i="64" s="1"/>
  <c r="CC1008" i="4"/>
  <c r="CD1004" i="4"/>
  <c r="CD1006" i="4" s="1"/>
  <c r="CD1007" i="4" s="1"/>
  <c r="CC19" i="11"/>
  <c r="AX1016" i="4"/>
  <c r="AX1028" i="4" s="1"/>
  <c r="AU20" i="11"/>
  <c r="T20" i="67" s="1"/>
  <c r="AU35" i="11"/>
  <c r="AU1064" i="4"/>
  <c r="CB51" i="64"/>
  <c r="CF1059" i="4"/>
  <c r="CF1060" i="4" s="1"/>
  <c r="CG1056" i="4" s="1"/>
  <c r="CH1058" i="4"/>
  <c r="CD36" i="64"/>
  <c r="CD35" i="64"/>
  <c r="CE106" i="64"/>
  <c r="CE21" i="66"/>
  <c r="AY1020" i="4"/>
  <c r="AX34" i="11"/>
  <c r="Q99" i="11" l="1"/>
  <c r="Q1343" i="4"/>
  <c r="R406" i="4"/>
  <c r="R407" i="4" s="1"/>
  <c r="R1251" i="4"/>
  <c r="R396" i="4"/>
  <c r="R397" i="4" s="1"/>
  <c r="R489" i="4"/>
  <c r="R500" i="4"/>
  <c r="R386" i="4"/>
  <c r="R387" i="4" s="1"/>
  <c r="Q48" i="66"/>
  <c r="R1071" i="4"/>
  <c r="Q1463" i="4"/>
  <c r="Q1460" i="4" s="1"/>
  <c r="Q23" i="11"/>
  <c r="Q39" i="11" s="1"/>
  <c r="Q40" i="11" s="1"/>
  <c r="R1236" i="4"/>
  <c r="R1241" i="4"/>
  <c r="T42" i="13"/>
  <c r="AU41" i="66"/>
  <c r="AU1335" i="4"/>
  <c r="AU1296" i="4"/>
  <c r="AU1126" i="4"/>
  <c r="AU1124" i="4"/>
  <c r="AU1321" i="4"/>
  <c r="AU76" i="11"/>
  <c r="AU66" i="62"/>
  <c r="T76" i="67"/>
  <c r="CG1059" i="4"/>
  <c r="CG1060" i="4" s="1"/>
  <c r="CH1056" i="4" s="1"/>
  <c r="CI1058" i="4"/>
  <c r="AY1022" i="4"/>
  <c r="AY1023" i="4" s="1"/>
  <c r="AY1024" i="4" s="1"/>
  <c r="CF106" i="64"/>
  <c r="CF21" i="66"/>
  <c r="T35" i="67"/>
  <c r="T33" i="67" s="1"/>
  <c r="AU33" i="11"/>
  <c r="AU1464" i="4" s="1"/>
  <c r="CD1008" i="4"/>
  <c r="CE1004" i="4"/>
  <c r="CD19" i="11"/>
  <c r="CE36" i="64"/>
  <c r="CE35" i="64"/>
  <c r="CD37" i="64"/>
  <c r="AV1049" i="4"/>
  <c r="AV79" i="64"/>
  <c r="AV71" i="64"/>
  <c r="AX43" i="66"/>
  <c r="AX1339" i="4"/>
  <c r="AX23" i="66"/>
  <c r="AX1297" i="4"/>
  <c r="AX1322" i="4"/>
  <c r="AX1125" i="4"/>
  <c r="AX77" i="11"/>
  <c r="AY1014" i="4"/>
  <c r="AY1015" i="4" s="1"/>
  <c r="AY1016" i="4" s="1"/>
  <c r="CE37" i="64" l="1"/>
  <c r="CE51" i="64" s="1"/>
  <c r="R398" i="4"/>
  <c r="R399" i="4" s="1"/>
  <c r="S394" i="4" s="1"/>
  <c r="R42" i="62"/>
  <c r="R1337" i="4"/>
  <c r="R1308" i="4"/>
  <c r="R1244" i="4"/>
  <c r="R85" i="11"/>
  <c r="Q1516" i="4"/>
  <c r="Q1517" i="4" s="1"/>
  <c r="Q1473" i="4"/>
  <c r="Q1468" i="4" s="1"/>
  <c r="R501" i="4"/>
  <c r="R502" i="4" s="1"/>
  <c r="R388" i="4"/>
  <c r="R389" i="4" s="1"/>
  <c r="S384" i="4" s="1"/>
  <c r="R490" i="4"/>
  <c r="R408" i="4"/>
  <c r="R409" i="4" s="1"/>
  <c r="S404" i="4" s="1"/>
  <c r="AY1028" i="4"/>
  <c r="U34" i="67"/>
  <c r="AZ1020" i="4"/>
  <c r="AY34" i="11"/>
  <c r="AV1062" i="4"/>
  <c r="AW1045" i="4"/>
  <c r="CH1059" i="4"/>
  <c r="CH1060" i="4" s="1"/>
  <c r="CI1056" i="4" s="1"/>
  <c r="CJ1058" i="4"/>
  <c r="CG106" i="64"/>
  <c r="CG21" i="66"/>
  <c r="CD51" i="64"/>
  <c r="U18" i="67"/>
  <c r="AY18" i="11"/>
  <c r="AZ1012" i="4"/>
  <c r="AY1027" i="4"/>
  <c r="CE1006" i="4"/>
  <c r="CE1007" i="4" s="1"/>
  <c r="CE1008" i="4" s="1"/>
  <c r="CF36" i="64"/>
  <c r="CF35" i="64"/>
  <c r="CF37" i="64" l="1"/>
  <c r="CF51" i="64" s="1"/>
  <c r="R1245" i="4"/>
  <c r="R52" i="62"/>
  <c r="R43" i="62"/>
  <c r="R64" i="62"/>
  <c r="R51" i="11"/>
  <c r="R491" i="4"/>
  <c r="S499" i="4"/>
  <c r="S1100" i="4" s="1"/>
  <c r="R1101" i="4"/>
  <c r="R1103" i="4" s="1"/>
  <c r="R1104" i="4" s="1"/>
  <c r="R1105" i="4" s="1"/>
  <c r="CI1059" i="4"/>
  <c r="CI1060" i="4" s="1"/>
  <c r="CJ1056" i="4" s="1"/>
  <c r="CK1058" i="4"/>
  <c r="AW1048" i="4"/>
  <c r="AW105" i="64" s="1"/>
  <c r="AW63" i="64" s="1"/>
  <c r="AZ1014" i="4"/>
  <c r="AZ1015" i="4" s="1"/>
  <c r="AV20" i="11"/>
  <c r="AV35" i="11"/>
  <c r="AV33" i="11" s="1"/>
  <c r="AV1464" i="4" s="1"/>
  <c r="AV1064" i="4"/>
  <c r="AC19" i="67"/>
  <c r="CE19" i="11"/>
  <c r="CF1004" i="4"/>
  <c r="CF1006" i="4" s="1"/>
  <c r="CF1007" i="4" s="1"/>
  <c r="CG36" i="64"/>
  <c r="CG35" i="64"/>
  <c r="AY1322" i="4"/>
  <c r="AY43" i="66"/>
  <c r="AY1297" i="4"/>
  <c r="AY1125" i="4"/>
  <c r="AY1339" i="4"/>
  <c r="AY23" i="66"/>
  <c r="AY77" i="11"/>
  <c r="U77" i="67"/>
  <c r="CH106" i="64"/>
  <c r="CH21" i="66"/>
  <c r="AZ1022" i="4"/>
  <c r="AZ1023" i="4" s="1"/>
  <c r="AZ1024" i="4" s="1"/>
  <c r="R62" i="64" l="1"/>
  <c r="R984" i="4"/>
  <c r="R23" i="62"/>
  <c r="S488" i="4"/>
  <c r="R15" i="11"/>
  <c r="R13" i="11" s="1"/>
  <c r="AW1049" i="4"/>
  <c r="AW1062" i="4" s="1"/>
  <c r="S1240" i="4"/>
  <c r="R26" i="11"/>
  <c r="CJ1059" i="4"/>
  <c r="CJ1060" i="4" s="1"/>
  <c r="CK1056" i="4" s="1"/>
  <c r="CL1058" i="4"/>
  <c r="CH36" i="64"/>
  <c r="CH35" i="64"/>
  <c r="CG37" i="64"/>
  <c r="AZ18" i="11"/>
  <c r="BA1012" i="4"/>
  <c r="AZ1027" i="4"/>
  <c r="AV41" i="66"/>
  <c r="AV1335" i="4"/>
  <c r="AV1126" i="4"/>
  <c r="AV1296" i="4"/>
  <c r="AV1321" i="4"/>
  <c r="AV1124" i="4"/>
  <c r="AV76" i="11"/>
  <c r="AV66" i="62"/>
  <c r="AW71" i="64"/>
  <c r="AW79" i="64"/>
  <c r="BA1020" i="4"/>
  <c r="AZ34" i="11"/>
  <c r="CI106" i="64"/>
  <c r="CI21" i="66"/>
  <c r="CF1008" i="4"/>
  <c r="CG1004" i="4"/>
  <c r="CG1006" i="4" s="1"/>
  <c r="CG1007" i="4" s="1"/>
  <c r="CF19" i="11"/>
  <c r="AZ1016" i="4"/>
  <c r="AZ1028" i="4" s="1"/>
  <c r="CH37" i="64" l="1"/>
  <c r="CH51" i="64" s="1"/>
  <c r="AX1045" i="4"/>
  <c r="AX1048" i="4" s="1"/>
  <c r="AX105" i="64" s="1"/>
  <c r="AX63" i="64" s="1"/>
  <c r="R16" i="66"/>
  <c r="R988" i="4"/>
  <c r="R70" i="64"/>
  <c r="R78" i="64"/>
  <c r="CG51" i="64"/>
  <c r="CI36" i="64"/>
  <c r="CI35" i="64"/>
  <c r="AW20" i="11"/>
  <c r="AW35" i="11"/>
  <c r="AW33" i="11" s="1"/>
  <c r="AW1464" i="4" s="1"/>
  <c r="AW1064" i="4"/>
  <c r="BA1022" i="4"/>
  <c r="BA1023" i="4" s="1"/>
  <c r="BA1024" i="4" s="1"/>
  <c r="CK1059" i="4"/>
  <c r="CM1058" i="4"/>
  <c r="AZ23" i="66"/>
  <c r="AZ43" i="66"/>
  <c r="AZ1297" i="4"/>
  <c r="AZ1125" i="4"/>
  <c r="AZ1322" i="4"/>
  <c r="AZ1339" i="4"/>
  <c r="AZ77" i="11"/>
  <c r="CG1008" i="4"/>
  <c r="CH1004" i="4"/>
  <c r="CH1006" i="4" s="1"/>
  <c r="CH1007" i="4" s="1"/>
  <c r="CG19" i="11"/>
  <c r="BA1014" i="4"/>
  <c r="BA1015" i="4" s="1"/>
  <c r="CJ106" i="64"/>
  <c r="CJ21" i="66"/>
  <c r="R71" i="11" l="1"/>
  <c r="R992" i="4"/>
  <c r="R1120" i="4"/>
  <c r="R1320" i="4"/>
  <c r="R1294" i="4"/>
  <c r="R14" i="66"/>
  <c r="AX1049" i="4"/>
  <c r="AY1045" i="4" s="1"/>
  <c r="CI37" i="64"/>
  <c r="BA18" i="11"/>
  <c r="BB1012" i="4"/>
  <c r="BA1027" i="4"/>
  <c r="CH1008" i="4"/>
  <c r="CI1004" i="4"/>
  <c r="CH19" i="11"/>
  <c r="BB1020" i="4"/>
  <c r="BA34" i="11"/>
  <c r="AX71" i="64"/>
  <c r="AX79" i="64"/>
  <c r="CK106" i="64"/>
  <c r="CK21" i="66"/>
  <c r="CJ36" i="64"/>
  <c r="CJ35" i="64"/>
  <c r="BA1016" i="4"/>
  <c r="BA1028" i="4" s="1"/>
  <c r="AW41" i="66"/>
  <c r="AW1321" i="4"/>
  <c r="AW1124" i="4"/>
  <c r="AW1335" i="4"/>
  <c r="AW1126" i="4"/>
  <c r="AW1296" i="4"/>
  <c r="AW76" i="11"/>
  <c r="AW66" i="62"/>
  <c r="CK1060" i="4"/>
  <c r="CL1056" i="4" s="1"/>
  <c r="CJ37" i="64" l="1"/>
  <c r="CJ51" i="64" s="1"/>
  <c r="R13" i="66"/>
  <c r="R1298" i="4"/>
  <c r="AX1062" i="4"/>
  <c r="AX1064" i="4" s="1"/>
  <c r="R1073" i="4"/>
  <c r="R47" i="11"/>
  <c r="BA1339" i="4"/>
  <c r="BA43" i="66"/>
  <c r="BA1125" i="4"/>
  <c r="BA1297" i="4"/>
  <c r="BA1322" i="4"/>
  <c r="BA23" i="66"/>
  <c r="BA77" i="11"/>
  <c r="CI1006" i="4"/>
  <c r="CI1007" i="4" s="1"/>
  <c r="CI1008" i="4" s="1"/>
  <c r="BB1014" i="4"/>
  <c r="BB1015" i="4" s="1"/>
  <c r="CL1059" i="4"/>
  <c r="CL1060" i="4" s="1"/>
  <c r="CM1056" i="4" s="1"/>
  <c r="CN1058" i="4"/>
  <c r="CK36" i="64"/>
  <c r="CK35" i="64"/>
  <c r="AY1048" i="4"/>
  <c r="AY105" i="64" s="1"/>
  <c r="AY63" i="64" s="1"/>
  <c r="BB1022" i="4"/>
  <c r="BB1023" i="4" s="1"/>
  <c r="BB1024" i="4" s="1"/>
  <c r="CI51" i="64"/>
  <c r="AX35" i="11" l="1"/>
  <c r="AX33" i="11" s="1"/>
  <c r="AX1464" i="4" s="1"/>
  <c r="AX20" i="11"/>
  <c r="CK37" i="64"/>
  <c r="CK51" i="64" s="1"/>
  <c r="R62" i="11"/>
  <c r="R61" i="11"/>
  <c r="R48" i="11"/>
  <c r="R1077" i="4"/>
  <c r="R28" i="66"/>
  <c r="R27" i="66" s="1"/>
  <c r="BB18" i="11"/>
  <c r="BC1012" i="4"/>
  <c r="BB1027" i="4"/>
  <c r="BC1020" i="4"/>
  <c r="BB34" i="11"/>
  <c r="AX41" i="66"/>
  <c r="AX1335" i="4"/>
  <c r="AX1126" i="4"/>
  <c r="AX1321" i="4"/>
  <c r="AX1296" i="4"/>
  <c r="AX1124" i="4"/>
  <c r="AX76" i="11"/>
  <c r="AX66" i="62"/>
  <c r="AY1049" i="4"/>
  <c r="CM1059" i="4"/>
  <c r="CM1060" i="4" s="1"/>
  <c r="CN1056" i="4" s="1"/>
  <c r="CN1059" i="4" s="1"/>
  <c r="CO1058" i="4"/>
  <c r="AD19" i="67"/>
  <c r="CJ1004" i="4"/>
  <c r="CJ1006" i="4" s="1"/>
  <c r="CJ1007" i="4" s="1"/>
  <c r="CI19" i="11"/>
  <c r="AY79" i="64"/>
  <c r="AY71" i="64"/>
  <c r="CL106" i="64"/>
  <c r="CL21" i="66"/>
  <c r="BB1016" i="4"/>
  <c r="BB1028" i="4" s="1"/>
  <c r="R1081" i="4" l="1"/>
  <c r="R55" i="11"/>
  <c r="R63" i="11"/>
  <c r="R64" i="11"/>
  <c r="R1472" i="4"/>
  <c r="R62" i="62"/>
  <c r="BB43" i="66"/>
  <c r="BB1297" i="4"/>
  <c r="BB23" i="66"/>
  <c r="BB1322" i="4"/>
  <c r="BB1339" i="4"/>
  <c r="BB1125" i="4"/>
  <c r="BB77" i="11"/>
  <c r="CN1060" i="4"/>
  <c r="CO1056" i="4" s="1"/>
  <c r="CN106" i="64"/>
  <c r="CN21" i="66"/>
  <c r="CL36" i="64"/>
  <c r="CL35" i="64"/>
  <c r="CM106" i="64"/>
  <c r="CM21" i="66"/>
  <c r="AY1062" i="4"/>
  <c r="AZ1045" i="4"/>
  <c r="BC1022" i="4"/>
  <c r="BC1023" i="4" s="1"/>
  <c r="BC1024" i="4" s="1"/>
  <c r="CJ1008" i="4"/>
  <c r="CK1004" i="4"/>
  <c r="CJ19" i="11"/>
  <c r="BC1014" i="4"/>
  <c r="BC1015" i="4" s="1"/>
  <c r="BC1016" i="4" s="1"/>
  <c r="CL37" i="64" l="1"/>
  <c r="CL51" i="64" s="1"/>
  <c r="R1082" i="4"/>
  <c r="R1089" i="4"/>
  <c r="CK1006" i="4"/>
  <c r="CK1007" i="4" s="1"/>
  <c r="CK1008" i="4" s="1"/>
  <c r="CM36" i="64"/>
  <c r="I36" i="64" s="1"/>
  <c r="CM35" i="64"/>
  <c r="BC1028" i="4"/>
  <c r="V34" i="67"/>
  <c r="BD1020" i="4"/>
  <c r="BC34" i="11"/>
  <c r="CN36" i="64"/>
  <c r="CN35" i="64"/>
  <c r="V18" i="67"/>
  <c r="BC18" i="11"/>
  <c r="BD1012" i="4"/>
  <c r="BC1027" i="4"/>
  <c r="AZ1048" i="4"/>
  <c r="AZ105" i="64" s="1"/>
  <c r="AZ63" i="64" s="1"/>
  <c r="AY20" i="11"/>
  <c r="U20" i="67" s="1"/>
  <c r="AY35" i="11"/>
  <c r="AY1064" i="4"/>
  <c r="CO1059" i="4"/>
  <c r="CO1060" i="4" s="1"/>
  <c r="CQ1058" i="4"/>
  <c r="AZ1049" i="4" l="1"/>
  <c r="BA1045" i="4" s="1"/>
  <c r="CN37" i="64"/>
  <c r="CN51" i="64" s="1"/>
  <c r="R1093" i="4"/>
  <c r="U35" i="67"/>
  <c r="U33" i="67" s="1"/>
  <c r="AY33" i="11"/>
  <c r="AY1464" i="4" s="1"/>
  <c r="AZ71" i="64"/>
  <c r="AZ79" i="64"/>
  <c r="BD1014" i="4"/>
  <c r="BD1015" i="4" s="1"/>
  <c r="BD1016" i="4" s="1"/>
  <c r="CL1004" i="4"/>
  <c r="CK19" i="11"/>
  <c r="BD1022" i="4"/>
  <c r="BD1023" i="4" s="1"/>
  <c r="BD1024" i="4" s="1"/>
  <c r="CQ1059" i="4"/>
  <c r="CQ1060" i="4"/>
  <c r="CR1056" i="4" s="1"/>
  <c r="BC43" i="66"/>
  <c r="BC1297" i="4"/>
  <c r="BC1339" i="4"/>
  <c r="BC1322" i="4"/>
  <c r="BC23" i="66"/>
  <c r="BC1125" i="4"/>
  <c r="BC77" i="11"/>
  <c r="V77" i="67"/>
  <c r="U42" i="13"/>
  <c r="AY41" i="66"/>
  <c r="AY1296" i="4"/>
  <c r="AY1321" i="4"/>
  <c r="AY1124" i="4"/>
  <c r="AY1126" i="4"/>
  <c r="AY1335" i="4"/>
  <c r="AY76" i="11"/>
  <c r="AY66" i="62"/>
  <c r="U76" i="67"/>
  <c r="CP1056" i="4"/>
  <c r="CR1058" i="4" s="1"/>
  <c r="CO21" i="66"/>
  <c r="CO106" i="64"/>
  <c r="CM37" i="64"/>
  <c r="I35" i="64"/>
  <c r="AZ1062" i="4" l="1"/>
  <c r="AZ20" i="11" s="1"/>
  <c r="R1090" i="4"/>
  <c r="CR1060" i="4"/>
  <c r="CS1056" i="4" s="1"/>
  <c r="CT1058" i="4"/>
  <c r="CR1059" i="4"/>
  <c r="I106" i="64"/>
  <c r="CO35" i="64"/>
  <c r="CO36" i="64"/>
  <c r="BE1012" i="4"/>
  <c r="BD18" i="11"/>
  <c r="BD1027" i="4"/>
  <c r="BD1028" i="4"/>
  <c r="CM51" i="64"/>
  <c r="I51" i="64" s="1"/>
  <c r="I37" i="64"/>
  <c r="I13" i="64" s="1"/>
  <c r="I21" i="66"/>
  <c r="I147" i="15"/>
  <c r="J147" i="15"/>
  <c r="L147" i="15"/>
  <c r="M147" i="15"/>
  <c r="BE1020" i="4"/>
  <c r="BD34" i="11"/>
  <c r="CL1006" i="4"/>
  <c r="CL1007" i="4" s="1"/>
  <c r="CL1008" i="4" s="1"/>
  <c r="BA1048" i="4"/>
  <c r="BA105" i="64" s="1"/>
  <c r="BA63" i="64" s="1"/>
  <c r="AZ35" i="11" l="1"/>
  <c r="AZ33" i="11" s="1"/>
  <c r="AZ1464" i="4" s="1"/>
  <c r="AZ1064" i="4"/>
  <c r="AZ1126" i="4" s="1"/>
  <c r="CO37" i="64"/>
  <c r="CO51" i="64" s="1"/>
  <c r="R1091" i="4"/>
  <c r="S1088" i="4" s="1"/>
  <c r="R1083" i="4"/>
  <c r="R1084" i="4" s="1"/>
  <c r="BA71" i="64"/>
  <c r="BA79" i="64"/>
  <c r="I17" i="64"/>
  <c r="CM1004" i="4"/>
  <c r="CL19" i="11"/>
  <c r="BE1014" i="4"/>
  <c r="BE1015" i="4" s="1"/>
  <c r="BE1022" i="4"/>
  <c r="BE1023" i="4" s="1"/>
  <c r="BE1024" i="4" s="1"/>
  <c r="G147" i="15"/>
  <c r="BD43" i="66"/>
  <c r="BD1322" i="4"/>
  <c r="BD1125" i="4"/>
  <c r="BD23" i="66"/>
  <c r="BD1297" i="4"/>
  <c r="BD1339" i="4"/>
  <c r="BD77" i="11"/>
  <c r="CS1060" i="4"/>
  <c r="CT1056" i="4" s="1"/>
  <c r="CU1058" i="4"/>
  <c r="CS1059" i="4"/>
  <c r="BA1049" i="4"/>
  <c r="AZ66" i="62" l="1"/>
  <c r="AZ1335" i="4"/>
  <c r="AZ1296" i="4"/>
  <c r="AZ41" i="66"/>
  <c r="AZ76" i="11"/>
  <c r="AZ1321" i="4"/>
  <c r="AZ1124" i="4"/>
  <c r="R1123" i="4"/>
  <c r="R1130" i="4" s="1"/>
  <c r="R1132" i="4" s="1"/>
  <c r="R1135" i="4" s="1"/>
  <c r="R1323" i="4"/>
  <c r="R61" i="64"/>
  <c r="R75" i="11"/>
  <c r="R56" i="11"/>
  <c r="R57" i="11" s="1"/>
  <c r="R1299" i="4"/>
  <c r="R1300" i="4" s="1"/>
  <c r="R63" i="62"/>
  <c r="R67" i="62" s="1"/>
  <c r="R68" i="62" s="1"/>
  <c r="BF1012" i="4"/>
  <c r="BE18" i="11"/>
  <c r="BE1027" i="4"/>
  <c r="BA1062" i="4"/>
  <c r="BB1045" i="4"/>
  <c r="CT1060" i="4"/>
  <c r="CU1056" i="4" s="1"/>
  <c r="CT1059" i="4"/>
  <c r="CV1058" i="4"/>
  <c r="CM1006" i="4"/>
  <c r="CM1007" i="4" s="1"/>
  <c r="CM1008" i="4" s="1"/>
  <c r="BF1020" i="4"/>
  <c r="BE34" i="11"/>
  <c r="BE1016" i="4"/>
  <c r="BE1028" i="4" s="1"/>
  <c r="R69" i="64" l="1"/>
  <c r="R74" i="64" s="1"/>
  <c r="R66" i="64"/>
  <c r="R40" i="64" s="1"/>
  <c r="R42" i="64" s="1"/>
  <c r="R77" i="64"/>
  <c r="R82" i="64" s="1"/>
  <c r="R1313" i="4"/>
  <c r="R1471" i="4"/>
  <c r="R1283" i="4"/>
  <c r="BE1339" i="4"/>
  <c r="BE1125" i="4"/>
  <c r="BE23" i="66"/>
  <c r="BE1297" i="4"/>
  <c r="BE1322" i="4"/>
  <c r="BE43" i="66"/>
  <c r="BE77" i="11"/>
  <c r="CW1058" i="4"/>
  <c r="CU1059" i="4"/>
  <c r="CU1060" i="4"/>
  <c r="CV1056" i="4" s="1"/>
  <c r="BF1022" i="4"/>
  <c r="BF1023" i="4" s="1"/>
  <c r="BF1024" i="4" s="1"/>
  <c r="BB1048" i="4"/>
  <c r="BB105" i="64" s="1"/>
  <c r="BB63" i="64" s="1"/>
  <c r="BA20" i="11"/>
  <c r="BA35" i="11"/>
  <c r="BA33" i="11" s="1"/>
  <c r="BA1464" i="4" s="1"/>
  <c r="BA1064" i="4"/>
  <c r="AE19" i="67"/>
  <c r="CN1004" i="4"/>
  <c r="CN1006" i="4" s="1"/>
  <c r="CN1007" i="4" s="1"/>
  <c r="CM19" i="11"/>
  <c r="BF1014" i="4"/>
  <c r="BF1015" i="4" s="1"/>
  <c r="BF1016" i="4" s="1"/>
  <c r="BF1028" i="4" l="1"/>
  <c r="BF77" i="11" s="1"/>
  <c r="R1193" i="4"/>
  <c r="R1194" i="4" s="1"/>
  <c r="R1196" i="4" s="1"/>
  <c r="R1198" i="4" s="1"/>
  <c r="R1164" i="4" s="1"/>
  <c r="R52" i="64"/>
  <c r="R49" i="64"/>
  <c r="CV1059" i="4"/>
  <c r="CX1058" i="4"/>
  <c r="CV1060" i="4"/>
  <c r="CW1056" i="4" s="1"/>
  <c r="BB1049" i="4"/>
  <c r="CN1008" i="4"/>
  <c r="CO1004" i="4"/>
  <c r="CN19" i="11"/>
  <c r="BB71" i="64"/>
  <c r="BB79" i="64"/>
  <c r="BA41" i="66"/>
  <c r="BA1335" i="4"/>
  <c r="BA1124" i="4"/>
  <c r="BA1296" i="4"/>
  <c r="BA1126" i="4"/>
  <c r="BA1321" i="4"/>
  <c r="BA76" i="11"/>
  <c r="BA66" i="62"/>
  <c r="BG1020" i="4"/>
  <c r="BF34" i="11"/>
  <c r="BF18" i="11"/>
  <c r="BG1012" i="4"/>
  <c r="BF1027" i="4"/>
  <c r="BF1339" i="4" l="1"/>
  <c r="BF23" i="66"/>
  <c r="BF1125" i="4"/>
  <c r="BF43" i="66"/>
  <c r="BF1322" i="4"/>
  <c r="BF1297" i="4"/>
  <c r="R1214" i="4"/>
  <c r="R1165" i="4"/>
  <c r="BG1014" i="4"/>
  <c r="BG1015" i="4" s="1"/>
  <c r="BG1016" i="4" s="1"/>
  <c r="BB1062" i="4"/>
  <c r="BC1045" i="4"/>
  <c r="CO1006" i="4"/>
  <c r="CW1060" i="4"/>
  <c r="CX1056" i="4" s="1"/>
  <c r="CW1059" i="4"/>
  <c r="CY1058" i="4"/>
  <c r="BG1022" i="4"/>
  <c r="BG1023" i="4" s="1"/>
  <c r="BG1024" i="4" s="1"/>
  <c r="S1162" i="4" l="1"/>
  <c r="S1207" i="4"/>
  <c r="R1302" i="4"/>
  <c r="R88" i="11"/>
  <c r="R1324" i="4"/>
  <c r="R38" i="66"/>
  <c r="R1481" i="4"/>
  <c r="R1483" i="4" s="1"/>
  <c r="R1424" i="4"/>
  <c r="R1215" i="4"/>
  <c r="BG1028" i="4"/>
  <c r="BG43" i="66" s="1"/>
  <c r="CX1060" i="4"/>
  <c r="CY1056" i="4" s="1"/>
  <c r="CX1059" i="4"/>
  <c r="CZ1058" i="4"/>
  <c r="BC1048" i="4"/>
  <c r="BC105" i="64" s="1"/>
  <c r="BC63" i="64" s="1"/>
  <c r="BB20" i="11"/>
  <c r="BB35" i="11"/>
  <c r="BB33" i="11" s="1"/>
  <c r="BB1464" i="4" s="1"/>
  <c r="BB1064" i="4"/>
  <c r="W18" i="67"/>
  <c r="BH1012" i="4"/>
  <c r="BG18" i="11"/>
  <c r="BG1027" i="4"/>
  <c r="W34" i="67"/>
  <c r="BH1020" i="4"/>
  <c r="BG34" i="11"/>
  <c r="CO1007" i="4"/>
  <c r="I1006" i="4"/>
  <c r="W77" i="67" l="1"/>
  <c r="BG77" i="11"/>
  <c r="BG1297" i="4"/>
  <c r="BG1322" i="4"/>
  <c r="BG1125" i="4"/>
  <c r="BG1339" i="4"/>
  <c r="R31" i="11"/>
  <c r="R1489" i="4"/>
  <c r="S1212" i="4"/>
  <c r="R1515" i="4"/>
  <c r="R1505" i="4"/>
  <c r="BG23" i="66"/>
  <c r="R1303" i="4"/>
  <c r="S1225" i="4"/>
  <c r="S1163" i="4"/>
  <c r="BC79" i="64"/>
  <c r="BC71" i="64"/>
  <c r="CO19" i="11"/>
  <c r="CO1008" i="4"/>
  <c r="I1008" i="4" s="1"/>
  <c r="BH1014" i="4"/>
  <c r="BH1015" i="4" s="1"/>
  <c r="BH1016" i="4" s="1"/>
  <c r="BH1022" i="4"/>
  <c r="BH1023" i="4" s="1"/>
  <c r="BH1024" i="4" s="1"/>
  <c r="BB41" i="66"/>
  <c r="BB1335" i="4"/>
  <c r="BB1126" i="4"/>
  <c r="BB1124" i="4"/>
  <c r="BB1321" i="4"/>
  <c r="BB1296" i="4"/>
  <c r="BB76" i="11"/>
  <c r="BB66" i="62"/>
  <c r="CY1060" i="4"/>
  <c r="CZ1056" i="4" s="1"/>
  <c r="DA1058" i="4"/>
  <c r="CY1059" i="4"/>
  <c r="BC1049" i="4"/>
  <c r="BH1028" i="4" l="1"/>
  <c r="BH77" i="11" s="1"/>
  <c r="S1206" i="4"/>
  <c r="S1213" i="4"/>
  <c r="S1202" i="4"/>
  <c r="S1178" i="4"/>
  <c r="S1492" i="4"/>
  <c r="R1490" i="4"/>
  <c r="R30" i="11"/>
  <c r="R45" i="62"/>
  <c r="R1281" i="4"/>
  <c r="R1271" i="4"/>
  <c r="CZ1060" i="4"/>
  <c r="DA1056" i="4" s="1"/>
  <c r="DB1058" i="4"/>
  <c r="CZ1059" i="4"/>
  <c r="BC1062" i="4"/>
  <c r="BD1045" i="4"/>
  <c r="BI1020" i="4"/>
  <c r="BH34" i="11"/>
  <c r="BI1012" i="4"/>
  <c r="BH18" i="11"/>
  <c r="BH1027" i="4"/>
  <c r="BH23" i="66" l="1"/>
  <c r="BH1297" i="4"/>
  <c r="BH43" i="66"/>
  <c r="BH1125" i="4"/>
  <c r="BH1322" i="4"/>
  <c r="BH1339" i="4"/>
  <c r="R1499" i="4"/>
  <c r="R1495" i="4"/>
  <c r="R1493" i="4"/>
  <c r="M87" i="67"/>
  <c r="S1336" i="4"/>
  <c r="S1310" i="4"/>
  <c r="S18" i="66"/>
  <c r="S87" i="11"/>
  <c r="S1423" i="4"/>
  <c r="S1224" i="4"/>
  <c r="R1252" i="4"/>
  <c r="R1274" i="4"/>
  <c r="R1275" i="4" s="1"/>
  <c r="R1265" i="4" s="1"/>
  <c r="S1179" i="4"/>
  <c r="S1180" i="4"/>
  <c r="S1189" i="4"/>
  <c r="BI1014" i="4"/>
  <c r="BI1015" i="4" s="1"/>
  <c r="BI1016" i="4" s="1"/>
  <c r="BI1022" i="4"/>
  <c r="BI1023" i="4" s="1"/>
  <c r="BI1024" i="4" s="1"/>
  <c r="DA1060" i="4"/>
  <c r="DB1056" i="4" s="1"/>
  <c r="DC1058" i="4"/>
  <c r="DA1059" i="4"/>
  <c r="BD1048" i="4"/>
  <c r="BD105" i="64" s="1"/>
  <c r="BD63" i="64" s="1"/>
  <c r="BC20" i="11"/>
  <c r="V20" i="67" s="1"/>
  <c r="BC35" i="11"/>
  <c r="BC1064" i="4"/>
  <c r="R1496" i="4" l="1"/>
  <c r="BI1028" i="4"/>
  <c r="BI1339" i="4" s="1"/>
  <c r="R1257" i="4"/>
  <c r="R1261" i="4"/>
  <c r="R1268" i="4" s="1"/>
  <c r="S1218" i="4"/>
  <c r="S1226" i="4"/>
  <c r="S1169" i="4"/>
  <c r="M14" i="13"/>
  <c r="S1181" i="4"/>
  <c r="R1266" i="4"/>
  <c r="R1264" i="4"/>
  <c r="R1253" i="4" s="1"/>
  <c r="I143" i="15"/>
  <c r="BC41" i="66"/>
  <c r="BC1296" i="4"/>
  <c r="BC1321" i="4"/>
  <c r="BC1335" i="4"/>
  <c r="BC1124" i="4"/>
  <c r="BC1126" i="4"/>
  <c r="BC76" i="11"/>
  <c r="BC66" i="62"/>
  <c r="V76" i="67"/>
  <c r="BJ1020" i="4"/>
  <c r="BI34" i="11"/>
  <c r="BD79" i="64"/>
  <c r="BD71" i="64"/>
  <c r="BJ1012" i="4"/>
  <c r="BI18" i="11"/>
  <c r="BI1027" i="4"/>
  <c r="V35" i="67"/>
  <c r="V33" i="67" s="1"/>
  <c r="BC33" i="11"/>
  <c r="BC1464" i="4" s="1"/>
  <c r="BD1049" i="4"/>
  <c r="DB1060" i="4"/>
  <c r="DC1056" i="4" s="1"/>
  <c r="DB1059" i="4"/>
  <c r="DD1058" i="4"/>
  <c r="BI23" i="66" l="1"/>
  <c r="BI43" i="66"/>
  <c r="BI1125" i="4"/>
  <c r="BI1297" i="4"/>
  <c r="BI77" i="11"/>
  <c r="BI1322" i="4"/>
  <c r="S1190" i="4"/>
  <c r="S1197" i="4"/>
  <c r="S1219" i="4"/>
  <c r="S1074" i="4"/>
  <c r="S1220" i="4"/>
  <c r="S1170" i="4"/>
  <c r="R86" i="11"/>
  <c r="R1338" i="4"/>
  <c r="R19" i="66"/>
  <c r="R1309" i="4"/>
  <c r="R1480" i="4"/>
  <c r="R36" i="66"/>
  <c r="R1327" i="4"/>
  <c r="R1386" i="4"/>
  <c r="R1304" i="4"/>
  <c r="R1272" i="4"/>
  <c r="R1276" i="4" s="1"/>
  <c r="R1254" i="4" s="1"/>
  <c r="R74" i="11"/>
  <c r="R78" i="11" s="1"/>
  <c r="M72" i="67"/>
  <c r="S72" i="11"/>
  <c r="S1326" i="4"/>
  <c r="S1076" i="4"/>
  <c r="S297" i="4"/>
  <c r="S50" i="11"/>
  <c r="S1295" i="4"/>
  <c r="S1122" i="4"/>
  <c r="S37" i="66"/>
  <c r="I163" i="15" s="1"/>
  <c r="BJ1014" i="4"/>
  <c r="BJ1015" i="4" s="1"/>
  <c r="BJ1016" i="4" s="1"/>
  <c r="DC1060" i="4"/>
  <c r="DD1056" i="4" s="1"/>
  <c r="DC1059" i="4"/>
  <c r="DE1058" i="4"/>
  <c r="BD1062" i="4"/>
  <c r="BE1045" i="4"/>
  <c r="BJ1022" i="4"/>
  <c r="BJ1023" i="4" s="1"/>
  <c r="BJ1024" i="4" s="1"/>
  <c r="BJ1028" i="4" l="1"/>
  <c r="BJ1297" i="4" s="1"/>
  <c r="S49" i="11"/>
  <c r="M50" i="67"/>
  <c r="R1328" i="4"/>
  <c r="R89" i="11"/>
  <c r="R1305" i="4"/>
  <c r="R1282" i="4" s="1"/>
  <c r="R39" i="66"/>
  <c r="R35" i="66" s="1"/>
  <c r="R17" i="66"/>
  <c r="S305" i="4"/>
  <c r="S330" i="4" s="1"/>
  <c r="S53" i="11"/>
  <c r="M53" i="67"/>
  <c r="S294" i="4"/>
  <c r="S1188" i="4"/>
  <c r="S1221" i="4"/>
  <c r="R1385" i="4"/>
  <c r="R1388" i="4" s="1"/>
  <c r="R1421" i="4"/>
  <c r="R1255" i="4"/>
  <c r="BD20" i="11"/>
  <c r="BD35" i="11"/>
  <c r="BD33" i="11" s="1"/>
  <c r="BD1464" i="4" s="1"/>
  <c r="BD1064" i="4"/>
  <c r="DD1059" i="4"/>
  <c r="DF1058" i="4"/>
  <c r="DD1060" i="4"/>
  <c r="DE1056" i="4" s="1"/>
  <c r="BK1012" i="4"/>
  <c r="BJ18" i="11"/>
  <c r="BJ1027" i="4"/>
  <c r="BK1020" i="4"/>
  <c r="BJ34" i="11"/>
  <c r="BE1048" i="4"/>
  <c r="BE105" i="64" s="1"/>
  <c r="BE63" i="64" s="1"/>
  <c r="BJ77" i="11" l="1"/>
  <c r="BJ23" i="66"/>
  <c r="BJ43" i="66"/>
  <c r="BJ1322" i="4"/>
  <c r="BJ1125" i="4"/>
  <c r="BJ1339" i="4"/>
  <c r="R1402" i="4"/>
  <c r="R1390" i="4"/>
  <c r="S1301" i="4"/>
  <c r="S1325" i="4"/>
  <c r="S73" i="11"/>
  <c r="S1121" i="4"/>
  <c r="M23" i="13"/>
  <c r="M73" i="67"/>
  <c r="S299" i="4"/>
  <c r="S302" i="4"/>
  <c r="R1284" i="4"/>
  <c r="R1286" i="4" s="1"/>
  <c r="M52" i="67"/>
  <c r="S52" i="11"/>
  <c r="T468" i="4"/>
  <c r="S467" i="4"/>
  <c r="T457" i="4"/>
  <c r="S456" i="4"/>
  <c r="S478" i="4"/>
  <c r="T479" i="4"/>
  <c r="R27" i="11"/>
  <c r="R1506" i="4"/>
  <c r="S1250" i="4"/>
  <c r="M49" i="67"/>
  <c r="R1425" i="4"/>
  <c r="BD41" i="66"/>
  <c r="BD1321" i="4"/>
  <c r="BD1296" i="4"/>
  <c r="BD1335" i="4"/>
  <c r="BD1124" i="4"/>
  <c r="BD1126" i="4"/>
  <c r="BD76" i="11"/>
  <c r="BD66" i="62"/>
  <c r="BE71" i="64"/>
  <c r="BE79" i="64"/>
  <c r="BK1022" i="4"/>
  <c r="BK1023" i="4" s="1"/>
  <c r="BK1024" i="4" s="1"/>
  <c r="BE1049" i="4"/>
  <c r="BK1014" i="4"/>
  <c r="BK1015" i="4" s="1"/>
  <c r="BK1016" i="4" s="1"/>
  <c r="DE1060" i="4"/>
  <c r="DF1056" i="4" s="1"/>
  <c r="DE1059" i="4"/>
  <c r="DG1058" i="4"/>
  <c r="R1440" i="4" l="1"/>
  <c r="R1441" i="4" s="1"/>
  <c r="R1442" i="4" s="1"/>
  <c r="S1144" i="4"/>
  <c r="S480" i="4"/>
  <c r="S481" i="4" s="1"/>
  <c r="S331" i="4"/>
  <c r="S307" i="4"/>
  <c r="R1507" i="4"/>
  <c r="R1508" i="4" s="1"/>
  <c r="R1509" i="4"/>
  <c r="S458" i="4"/>
  <c r="S459" i="4" s="1"/>
  <c r="R1285" i="4"/>
  <c r="T495" i="4"/>
  <c r="R58" i="11"/>
  <c r="R59" i="11" s="1"/>
  <c r="R28" i="11" s="1"/>
  <c r="R25" i="11" s="1"/>
  <c r="R90" i="11"/>
  <c r="R91" i="11" s="1"/>
  <c r="R93" i="11" s="1"/>
  <c r="R96" i="11" s="1"/>
  <c r="R97" i="11" s="1"/>
  <c r="R48" i="62"/>
  <c r="R24" i="62" s="1"/>
  <c r="R26" i="62" s="1"/>
  <c r="R1329" i="4"/>
  <c r="R1306" i="4"/>
  <c r="R1307" i="4" s="1"/>
  <c r="R1311" i="4" s="1"/>
  <c r="S1290" i="4" s="1"/>
  <c r="R22" i="66"/>
  <c r="S469" i="4"/>
  <c r="S470" i="4" s="1"/>
  <c r="BK1028" i="4"/>
  <c r="BK1297" i="4" s="1"/>
  <c r="R1403" i="4"/>
  <c r="R1404" i="4" s="1"/>
  <c r="BE1062" i="4"/>
  <c r="BF1045" i="4"/>
  <c r="DF1060" i="4"/>
  <c r="DG1056" i="4" s="1"/>
  <c r="DF1059" i="4"/>
  <c r="DH1058" i="4"/>
  <c r="X18" i="67"/>
  <c r="BK18" i="11"/>
  <c r="BL1012" i="4"/>
  <c r="BK1027" i="4"/>
  <c r="X34" i="67"/>
  <c r="BL1020" i="4"/>
  <c r="BK34" i="11"/>
  <c r="X77" i="67" l="1"/>
  <c r="BK77" i="11"/>
  <c r="BK1322" i="4"/>
  <c r="BK23" i="66"/>
  <c r="BK43" i="66"/>
  <c r="S332" i="4"/>
  <c r="M14" i="67" s="1"/>
  <c r="R1474" i="4"/>
  <c r="R1469" i="4" s="1"/>
  <c r="R37" i="11"/>
  <c r="R1475" i="4"/>
  <c r="R1470" i="4" s="1"/>
  <c r="BK1339" i="4"/>
  <c r="S1128" i="4"/>
  <c r="S482" i="4"/>
  <c r="S483" i="4" s="1"/>
  <c r="T477" i="4" s="1"/>
  <c r="BK1125" i="4"/>
  <c r="S494" i="4"/>
  <c r="S460" i="4"/>
  <c r="S461" i="4" s="1"/>
  <c r="T455" i="4" s="1"/>
  <c r="R101" i="67"/>
  <c r="R24" i="66"/>
  <c r="R1462" i="4"/>
  <c r="R1461" i="4" s="1"/>
  <c r="R1340" i="4"/>
  <c r="R1341" i="4" s="1"/>
  <c r="R1330" i="4"/>
  <c r="R1331" i="4" s="1"/>
  <c r="R21" i="11"/>
  <c r="R17" i="11" s="1"/>
  <c r="R101" i="11"/>
  <c r="R100" i="11"/>
  <c r="S95" i="11"/>
  <c r="R44" i="66"/>
  <c r="R40" i="66" s="1"/>
  <c r="R46" i="62"/>
  <c r="R100" i="67"/>
  <c r="S471" i="4"/>
  <c r="S472" i="4" s="1"/>
  <c r="T466" i="4" s="1"/>
  <c r="S1234" i="4"/>
  <c r="S1235" i="4"/>
  <c r="S1145" i="4"/>
  <c r="T1072" i="4"/>
  <c r="S395" i="4"/>
  <c r="S385" i="4"/>
  <c r="S405" i="4"/>
  <c r="BF1048" i="4"/>
  <c r="BF105" i="64" s="1"/>
  <c r="BF63" i="64" s="1"/>
  <c r="BL1014" i="4"/>
  <c r="BL1015" i="4" s="1"/>
  <c r="BL1016" i="4" s="1"/>
  <c r="DG1059" i="4"/>
  <c r="DG1060" i="4"/>
  <c r="DH1056" i="4" s="1"/>
  <c r="DI1058" i="4"/>
  <c r="BE20" i="11"/>
  <c r="BE35" i="11"/>
  <c r="BE33" i="11" s="1"/>
  <c r="BE1464" i="4" s="1"/>
  <c r="BE1064" i="4"/>
  <c r="BL1022" i="4"/>
  <c r="BL1023" i="4" s="1"/>
  <c r="S14" i="11" l="1"/>
  <c r="R20" i="66"/>
  <c r="S396" i="4"/>
  <c r="S397" i="4" s="1"/>
  <c r="R46" i="66"/>
  <c r="S406" i="4"/>
  <c r="S407" i="4" s="1"/>
  <c r="S1251" i="4"/>
  <c r="R1463" i="4"/>
  <c r="R1460" i="4" s="1"/>
  <c r="R23" i="11"/>
  <c r="S1071" i="4"/>
  <c r="S386" i="4"/>
  <c r="S387" i="4" s="1"/>
  <c r="S489" i="4"/>
  <c r="S500" i="4"/>
  <c r="S1236" i="4"/>
  <c r="S1241" i="4"/>
  <c r="R99" i="11"/>
  <c r="R1343" i="4"/>
  <c r="BM1020" i="4"/>
  <c r="BL34" i="11"/>
  <c r="BM1012" i="4"/>
  <c r="BL18" i="11"/>
  <c r="BL1027" i="4"/>
  <c r="BE41" i="66"/>
  <c r="BE1126" i="4"/>
  <c r="BE1124" i="4"/>
  <c r="BE1296" i="4"/>
  <c r="BE1321" i="4"/>
  <c r="BE1335" i="4"/>
  <c r="BE76" i="11"/>
  <c r="BE66" i="62"/>
  <c r="BF1049" i="4"/>
  <c r="BF71" i="64"/>
  <c r="BF79" i="64"/>
  <c r="BL1024" i="4"/>
  <c r="BL1028" i="4" s="1"/>
  <c r="DH1060" i="4"/>
  <c r="DI1056" i="4" s="1"/>
  <c r="DJ1058" i="4"/>
  <c r="DH1059" i="4"/>
  <c r="M85" i="67" l="1"/>
  <c r="S1337" i="4"/>
  <c r="S1308" i="4"/>
  <c r="S1244" i="4"/>
  <c r="S85" i="11"/>
  <c r="S42" i="62"/>
  <c r="R1516" i="4"/>
  <c r="R1517" i="4" s="1"/>
  <c r="R1473" i="4"/>
  <c r="R1468" i="4" s="1"/>
  <c r="S398" i="4"/>
  <c r="S399" i="4" s="1"/>
  <c r="T394" i="4" s="1"/>
  <c r="R26" i="66"/>
  <c r="R48" i="66" s="1"/>
  <c r="S501" i="4"/>
  <c r="S502" i="4" s="1"/>
  <c r="S490" i="4"/>
  <c r="S388" i="4"/>
  <c r="S389" i="4" s="1"/>
  <c r="T384" i="4" s="1"/>
  <c r="R39" i="11"/>
  <c r="R40" i="11" s="1"/>
  <c r="S408" i="4"/>
  <c r="S409" i="4" s="1"/>
  <c r="T404" i="4" s="1"/>
  <c r="BL1125" i="4"/>
  <c r="BL1297" i="4"/>
  <c r="BL1339" i="4"/>
  <c r="BL23" i="66"/>
  <c r="BL1322" i="4"/>
  <c r="BL43" i="66"/>
  <c r="BL77" i="11"/>
  <c r="BF1062" i="4"/>
  <c r="BG1045" i="4"/>
  <c r="BM1022" i="4"/>
  <c r="BM1023" i="4" s="1"/>
  <c r="BM1024" i="4" s="1"/>
  <c r="DI1060" i="4"/>
  <c r="DJ1056" i="4" s="1"/>
  <c r="DI1059" i="4"/>
  <c r="DK1058" i="4"/>
  <c r="BM1014" i="4"/>
  <c r="BM1015" i="4" s="1"/>
  <c r="BM1016" i="4" s="1"/>
  <c r="S52" i="62" l="1"/>
  <c r="S43" i="62"/>
  <c r="S51" i="11"/>
  <c r="S64" i="62"/>
  <c r="M51" i="67"/>
  <c r="S491" i="4"/>
  <c r="S1101" i="4"/>
  <c r="S1103" i="4" s="1"/>
  <c r="S1104" i="4" s="1"/>
  <c r="S1105" i="4" s="1"/>
  <c r="T499" i="4"/>
  <c r="T1100" i="4" s="1"/>
  <c r="S1245" i="4"/>
  <c r="BG1048" i="4"/>
  <c r="BG105" i="64" s="1"/>
  <c r="BG63" i="64" s="1"/>
  <c r="BM18" i="11"/>
  <c r="BN1012" i="4"/>
  <c r="BM1027" i="4"/>
  <c r="BF20" i="11"/>
  <c r="BF35" i="11"/>
  <c r="BF33" i="11" s="1"/>
  <c r="BF1464" i="4" s="1"/>
  <c r="BF1064" i="4"/>
  <c r="DJ1060" i="4"/>
  <c r="DK1056" i="4" s="1"/>
  <c r="DJ1059" i="4"/>
  <c r="DL1058" i="4"/>
  <c r="BM1028" i="4"/>
  <c r="BN1020" i="4"/>
  <c r="BM34" i="11"/>
  <c r="S23" i="62" l="1"/>
  <c r="M26" i="67"/>
  <c r="S26" i="11"/>
  <c r="T1240" i="4"/>
  <c r="S62" i="64"/>
  <c r="S984" i="4"/>
  <c r="M15" i="67"/>
  <c r="M13" i="67" s="1"/>
  <c r="T488" i="4"/>
  <c r="S15" i="11"/>
  <c r="S13" i="11" s="1"/>
  <c r="BF41" i="66"/>
  <c r="BF1321" i="4"/>
  <c r="BF1335" i="4"/>
  <c r="BF1126" i="4"/>
  <c r="BF1296" i="4"/>
  <c r="BF1124" i="4"/>
  <c r="BF76" i="11"/>
  <c r="BF66" i="62"/>
  <c r="BG79" i="64"/>
  <c r="BG71" i="64"/>
  <c r="BM23" i="66"/>
  <c r="BM1297" i="4"/>
  <c r="BM1339" i="4"/>
  <c r="BM1322" i="4"/>
  <c r="BM43" i="66"/>
  <c r="BM1125" i="4"/>
  <c r="BM77" i="11"/>
  <c r="BN1022" i="4"/>
  <c r="BN1023" i="4" s="1"/>
  <c r="BN1024" i="4" s="1"/>
  <c r="BG1049" i="4"/>
  <c r="DK1060" i="4"/>
  <c r="DL1056" i="4" s="1"/>
  <c r="DM1058" i="4"/>
  <c r="DK1059" i="4"/>
  <c r="BN1014" i="4"/>
  <c r="BN1015" i="4" s="1"/>
  <c r="S988" i="4" l="1"/>
  <c r="S70" i="64"/>
  <c r="S78" i="64"/>
  <c r="S16" i="66"/>
  <c r="BO1012" i="4"/>
  <c r="BN18" i="11"/>
  <c r="BN1027" i="4"/>
  <c r="DL1059" i="4"/>
  <c r="DN1058" i="4"/>
  <c r="DL1060" i="4"/>
  <c r="DM1056" i="4" s="1"/>
  <c r="BG1062" i="4"/>
  <c r="BH1045" i="4"/>
  <c r="BN1016" i="4"/>
  <c r="BN1028" i="4" s="1"/>
  <c r="BO1020" i="4"/>
  <c r="BN34" i="11"/>
  <c r="I140" i="15" l="1"/>
  <c r="S14" i="66"/>
  <c r="S1320" i="4"/>
  <c r="S992" i="4"/>
  <c r="S71" i="11"/>
  <c r="S1294" i="4"/>
  <c r="S1120" i="4"/>
  <c r="M40" i="13"/>
  <c r="M71" i="67"/>
  <c r="BN43" i="66"/>
  <c r="BN1339" i="4"/>
  <c r="BN1125" i="4"/>
  <c r="BN1322" i="4"/>
  <c r="BN23" i="66"/>
  <c r="BN1297" i="4"/>
  <c r="BN77" i="11"/>
  <c r="BO1022" i="4"/>
  <c r="BO1023" i="4" s="1"/>
  <c r="BO1024" i="4" s="1"/>
  <c r="DM1060" i="4"/>
  <c r="DN1056" i="4" s="1"/>
  <c r="DM1059" i="4"/>
  <c r="DO1058" i="4"/>
  <c r="BH1048" i="4"/>
  <c r="BH105" i="64" s="1"/>
  <c r="BH63" i="64" s="1"/>
  <c r="BG20" i="11"/>
  <c r="W20" i="67" s="1"/>
  <c r="BG35" i="11"/>
  <c r="BG1064" i="4"/>
  <c r="BO1014" i="4"/>
  <c r="BO1015" i="4" s="1"/>
  <c r="M47" i="67" l="1"/>
  <c r="S1073" i="4"/>
  <c r="S47" i="11"/>
  <c r="M20" i="72"/>
  <c r="S13" i="66"/>
  <c r="I138" i="15"/>
  <c r="S1298" i="4"/>
  <c r="Y18" i="67"/>
  <c r="BP1012" i="4"/>
  <c r="BO18" i="11"/>
  <c r="BO1027" i="4"/>
  <c r="W42" i="13"/>
  <c r="BG41" i="66"/>
  <c r="BG1296" i="4"/>
  <c r="BG1321" i="4"/>
  <c r="BG1126" i="4"/>
  <c r="BG1335" i="4"/>
  <c r="BG1124" i="4"/>
  <c r="BG76" i="11"/>
  <c r="BG66" i="62"/>
  <c r="W76" i="67"/>
  <c r="W35" i="67"/>
  <c r="W33" i="67" s="1"/>
  <c r="BG33" i="11"/>
  <c r="BG1464" i="4" s="1"/>
  <c r="BO1016" i="4"/>
  <c r="BO1028" i="4" s="1"/>
  <c r="BH1049" i="4"/>
  <c r="BH79" i="64"/>
  <c r="BH71" i="64"/>
  <c r="DN1060" i="4"/>
  <c r="DO1056" i="4" s="1"/>
  <c r="DN1059" i="4"/>
  <c r="DP1058" i="4"/>
  <c r="Y34" i="67"/>
  <c r="BP1020" i="4"/>
  <c r="BO34" i="11"/>
  <c r="S62" i="11" l="1"/>
  <c r="S61" i="11"/>
  <c r="S48" i="11"/>
  <c r="S1077" i="4"/>
  <c r="M61" i="67"/>
  <c r="M62" i="67"/>
  <c r="M48" i="67"/>
  <c r="I137" i="15"/>
  <c r="S28" i="66"/>
  <c r="S27" i="66" s="1"/>
  <c r="DO1060" i="4"/>
  <c r="DP1056" i="4" s="1"/>
  <c r="DO1059" i="4"/>
  <c r="DQ1058" i="4"/>
  <c r="BP1022" i="4"/>
  <c r="BP1023" i="4" s="1"/>
  <c r="BP1024" i="4" s="1"/>
  <c r="BO43" i="66"/>
  <c r="BO1125" i="4"/>
  <c r="BO1322" i="4"/>
  <c r="BO1339" i="4"/>
  <c r="BO23" i="66"/>
  <c r="BO1297" i="4"/>
  <c r="BO77" i="11"/>
  <c r="Y77" i="67"/>
  <c r="BH1062" i="4"/>
  <c r="BI1045" i="4"/>
  <c r="BP1014" i="4"/>
  <c r="BP1015" i="4" s="1"/>
  <c r="BP1016" i="4" s="1"/>
  <c r="M55" i="67" l="1"/>
  <c r="M64" i="67"/>
  <c r="S55" i="11"/>
  <c r="M63" i="67"/>
  <c r="S63" i="11"/>
  <c r="M1526" i="4"/>
  <c r="M1529" i="4" s="1"/>
  <c r="S1472" i="4"/>
  <c r="S62" i="62"/>
  <c r="S64" i="11"/>
  <c r="S1081" i="4"/>
  <c r="BQ1012" i="4"/>
  <c r="BP18" i="11"/>
  <c r="BP1027" i="4"/>
  <c r="BI1048" i="4"/>
  <c r="BI105" i="64" s="1"/>
  <c r="BI63" i="64" s="1"/>
  <c r="BH20" i="11"/>
  <c r="BH35" i="11"/>
  <c r="BH33" i="11" s="1"/>
  <c r="BH1464" i="4" s="1"/>
  <c r="BH1064" i="4"/>
  <c r="BP1028" i="4"/>
  <c r="DP1060" i="4"/>
  <c r="DQ1056" i="4" s="1"/>
  <c r="DR1058" i="4"/>
  <c r="DP1059" i="4"/>
  <c r="BQ1020" i="4"/>
  <c r="BP34" i="11"/>
  <c r="BI1049" i="4" l="1"/>
  <c r="BJ1045" i="4" s="1"/>
  <c r="S1089" i="4"/>
  <c r="S1082" i="4"/>
  <c r="BH41" i="66"/>
  <c r="BH1124" i="4"/>
  <c r="BH1126" i="4"/>
  <c r="BH1296" i="4"/>
  <c r="BH1321" i="4"/>
  <c r="BH1335" i="4"/>
  <c r="BH76" i="11"/>
  <c r="BH66" i="62"/>
  <c r="BI71" i="64"/>
  <c r="BI79" i="64"/>
  <c r="BQ1022" i="4"/>
  <c r="BQ1023" i="4" s="1"/>
  <c r="BQ1024" i="4" s="1"/>
  <c r="BQ1014" i="4"/>
  <c r="BQ1015" i="4" s="1"/>
  <c r="BQ1016" i="4" s="1"/>
  <c r="DQ1060" i="4"/>
  <c r="DR1056" i="4" s="1"/>
  <c r="DQ1059" i="4"/>
  <c r="DS1058" i="4"/>
  <c r="BP43" i="66"/>
  <c r="BP23" i="66"/>
  <c r="BP1297" i="4"/>
  <c r="BP1339" i="4"/>
  <c r="BP1125" i="4"/>
  <c r="BP1322" i="4"/>
  <c r="BP77" i="11"/>
  <c r="BI1062" i="4" l="1"/>
  <c r="BI35" i="11" s="1"/>
  <c r="BI33" i="11" s="1"/>
  <c r="BI1464" i="4" s="1"/>
  <c r="BQ1028" i="4"/>
  <c r="BQ1297" i="4" s="1"/>
  <c r="S1093" i="4"/>
  <c r="DR1060" i="4"/>
  <c r="DS1056" i="4" s="1"/>
  <c r="DR1059" i="4"/>
  <c r="DT1058" i="4"/>
  <c r="BJ1048" i="4"/>
  <c r="BJ105" i="64" s="1"/>
  <c r="BJ63" i="64" s="1"/>
  <c r="BQ18" i="11"/>
  <c r="BR1012" i="4"/>
  <c r="BQ1027" i="4"/>
  <c r="BR1020" i="4"/>
  <c r="BQ34" i="11"/>
  <c r="BI1064" i="4" l="1"/>
  <c r="BI1124" i="4" s="1"/>
  <c r="BI20" i="11"/>
  <c r="BQ23" i="66"/>
  <c r="BQ1339" i="4"/>
  <c r="BQ1322" i="4"/>
  <c r="BQ77" i="11"/>
  <c r="BQ43" i="66"/>
  <c r="BQ1125" i="4"/>
  <c r="S1090" i="4"/>
  <c r="BJ1049" i="4"/>
  <c r="BK1045" i="4" s="1"/>
  <c r="BR1014" i="4"/>
  <c r="BR1015" i="4" s="1"/>
  <c r="BR1016" i="4" s="1"/>
  <c r="BR1022" i="4"/>
  <c r="BR1023" i="4" s="1"/>
  <c r="BR1024" i="4" s="1"/>
  <c r="BJ79" i="64"/>
  <c r="BJ71" i="64"/>
  <c r="DS1060" i="4"/>
  <c r="DT1056" i="4" s="1"/>
  <c r="DS1059" i="4"/>
  <c r="DU1058" i="4"/>
  <c r="BI1321" i="4" l="1"/>
  <c r="BI1126" i="4"/>
  <c r="BI1296" i="4"/>
  <c r="BI1335" i="4"/>
  <c r="BI66" i="62"/>
  <c r="BI76" i="11"/>
  <c r="BI41" i="66"/>
  <c r="BJ1062" i="4"/>
  <c r="BJ35" i="11" s="1"/>
  <c r="BJ33" i="11" s="1"/>
  <c r="BJ1464" i="4" s="1"/>
  <c r="BR1028" i="4"/>
  <c r="BR1297" i="4" s="1"/>
  <c r="S1083" i="4"/>
  <c r="S1084" i="4" s="1"/>
  <c r="S1091" i="4"/>
  <c r="T1088" i="4" s="1"/>
  <c r="BK1048" i="4"/>
  <c r="BK105" i="64" s="1"/>
  <c r="BK63" i="64" s="1"/>
  <c r="BS1020" i="4"/>
  <c r="BR34" i="11"/>
  <c r="DT1059" i="4"/>
  <c r="DV1058" i="4"/>
  <c r="DT1060" i="4"/>
  <c r="DU1056" i="4" s="1"/>
  <c r="BS1012" i="4"/>
  <c r="BR18" i="11"/>
  <c r="BR1027" i="4"/>
  <c r="BJ20" i="11" l="1"/>
  <c r="BR23" i="66"/>
  <c r="BR1322" i="4"/>
  <c r="BR1125" i="4"/>
  <c r="BJ1064" i="4"/>
  <c r="BJ1126" i="4" s="1"/>
  <c r="BR1339" i="4"/>
  <c r="BR77" i="11"/>
  <c r="BR43" i="66"/>
  <c r="S1123" i="4"/>
  <c r="S1130" i="4" s="1"/>
  <c r="S1132" i="4" s="1"/>
  <c r="S1135" i="4" s="1"/>
  <c r="S75" i="11"/>
  <c r="S61" i="64"/>
  <c r="S56" i="11"/>
  <c r="S57" i="11" s="1"/>
  <c r="S1323" i="4"/>
  <c r="S1299" i="4"/>
  <c r="S1300" i="4" s="1"/>
  <c r="M75" i="67"/>
  <c r="M41" i="13"/>
  <c r="M43" i="13" s="1"/>
  <c r="M56" i="67"/>
  <c r="M57" i="67" s="1"/>
  <c r="S63" i="62"/>
  <c r="S67" i="62" s="1"/>
  <c r="S68" i="62" s="1"/>
  <c r="BS1022" i="4"/>
  <c r="BS1023" i="4" s="1"/>
  <c r="BS1024" i="4" s="1"/>
  <c r="BS1014" i="4"/>
  <c r="BS1015" i="4" s="1"/>
  <c r="BS1016" i="4" s="1"/>
  <c r="BK1049" i="4"/>
  <c r="DU1060" i="4"/>
  <c r="DV1056" i="4" s="1"/>
  <c r="DU1059" i="4"/>
  <c r="DW1058" i="4"/>
  <c r="BK71" i="64"/>
  <c r="BK79" i="64"/>
  <c r="BJ1321" i="4" l="1"/>
  <c r="BJ66" i="62"/>
  <c r="BJ1335" i="4"/>
  <c r="BJ41" i="66"/>
  <c r="BJ76" i="11"/>
  <c r="BJ1296" i="4"/>
  <c r="BJ1124" i="4"/>
  <c r="S1313" i="4"/>
  <c r="S1471" i="4"/>
  <c r="S1283" i="4"/>
  <c r="S69" i="64"/>
  <c r="S77" i="64"/>
  <c r="S66" i="64"/>
  <c r="S40" i="64" s="1"/>
  <c r="S42" i="64" s="1"/>
  <c r="BS1028" i="4"/>
  <c r="Z18" i="67"/>
  <c r="BT1012" i="4"/>
  <c r="BS18" i="11"/>
  <c r="BS1027" i="4"/>
  <c r="DV1059" i="4"/>
  <c r="DV1060" i="4"/>
  <c r="DW1056" i="4" s="1"/>
  <c r="DX1058" i="4"/>
  <c r="BK1062" i="4"/>
  <c r="BL1045" i="4"/>
  <c r="Z34" i="67"/>
  <c r="BT1020" i="4"/>
  <c r="BS34" i="11"/>
  <c r="S82" i="64" l="1"/>
  <c r="S74" i="64"/>
  <c r="S1193" i="4"/>
  <c r="S1194" i="4" s="1"/>
  <c r="S1196" i="4" s="1"/>
  <c r="S1198" i="4" s="1"/>
  <c r="S1164" i="4" s="1"/>
  <c r="S52" i="64"/>
  <c r="S49" i="64"/>
  <c r="BT1014" i="4"/>
  <c r="BT1015" i="4" s="1"/>
  <c r="BT1016" i="4" s="1"/>
  <c r="BL1048" i="4"/>
  <c r="BL105" i="64" s="1"/>
  <c r="BL63" i="64" s="1"/>
  <c r="BK20" i="11"/>
  <c r="X20" i="67" s="1"/>
  <c r="BK35" i="11"/>
  <c r="BK1064" i="4"/>
  <c r="DW1060" i="4"/>
  <c r="DX1056" i="4" s="1"/>
  <c r="DW1059" i="4"/>
  <c r="DY1058" i="4"/>
  <c r="BS43" i="66"/>
  <c r="BS1297" i="4"/>
  <c r="BS1322" i="4"/>
  <c r="BS23" i="66"/>
  <c r="BS1125" i="4"/>
  <c r="BS1339" i="4"/>
  <c r="BS77" i="11"/>
  <c r="Z77" i="67"/>
  <c r="BT1022" i="4"/>
  <c r="BT1023" i="4" s="1"/>
  <c r="S1214" i="4" l="1"/>
  <c r="S1165" i="4"/>
  <c r="BU1020" i="4"/>
  <c r="BT34" i="11"/>
  <c r="DX1060" i="4"/>
  <c r="DY1056" i="4" s="1"/>
  <c r="DZ1058" i="4"/>
  <c r="DX1059" i="4"/>
  <c r="X42" i="13"/>
  <c r="BK41" i="66"/>
  <c r="BK1335" i="4"/>
  <c r="BK1124" i="4"/>
  <c r="BK1321" i="4"/>
  <c r="BK1296" i="4"/>
  <c r="BK1126" i="4"/>
  <c r="BK76" i="11"/>
  <c r="BK66" i="62"/>
  <c r="X76" i="67"/>
  <c r="X35" i="67"/>
  <c r="X33" i="67" s="1"/>
  <c r="BK33" i="11"/>
  <c r="BK1464" i="4" s="1"/>
  <c r="BL1049" i="4"/>
  <c r="BU1012" i="4"/>
  <c r="BT18" i="11"/>
  <c r="BT1027" i="4"/>
  <c r="BL71" i="64"/>
  <c r="BL79" i="64"/>
  <c r="BT1024" i="4"/>
  <c r="BT1028" i="4" s="1"/>
  <c r="T1162" i="4" l="1"/>
  <c r="T1207" i="4"/>
  <c r="S38" i="66"/>
  <c r="I164" i="15" s="1"/>
  <c r="S1302" i="4"/>
  <c r="S1324" i="4"/>
  <c r="S1424" i="4"/>
  <c r="M15" i="13" s="1"/>
  <c r="S1481" i="4"/>
  <c r="S1483" i="4" s="1"/>
  <c r="S88" i="11"/>
  <c r="M24" i="13"/>
  <c r="M88" i="67"/>
  <c r="S1215" i="4"/>
  <c r="M45" i="13"/>
  <c r="BT43" i="66"/>
  <c r="BT1322" i="4"/>
  <c r="BT1125" i="4"/>
  <c r="BT1297" i="4"/>
  <c r="BT23" i="66"/>
  <c r="BT1339" i="4"/>
  <c r="BT77" i="11"/>
  <c r="BU1014" i="4"/>
  <c r="BU1015" i="4" s="1"/>
  <c r="BL1062" i="4"/>
  <c r="BM1045" i="4"/>
  <c r="DY1059" i="4"/>
  <c r="EA1058" i="4"/>
  <c r="DY1060" i="4"/>
  <c r="DZ1056" i="4" s="1"/>
  <c r="BU1022" i="4"/>
  <c r="BU1023" i="4" s="1"/>
  <c r="T1225" i="4" l="1"/>
  <c r="T1163" i="4"/>
  <c r="M49" i="13"/>
  <c r="M1525" i="4"/>
  <c r="M31" i="67"/>
  <c r="M30" i="67" s="1"/>
  <c r="S31" i="11"/>
  <c r="S1489" i="4"/>
  <c r="T1212" i="4"/>
  <c r="S1505" i="4"/>
  <c r="S1515" i="4"/>
  <c r="S1303" i="4"/>
  <c r="BV1020" i="4"/>
  <c r="BU34" i="11"/>
  <c r="DZ1060" i="4"/>
  <c r="EA1056" i="4" s="1"/>
  <c r="DZ1059" i="4"/>
  <c r="BU18" i="11"/>
  <c r="BV1012" i="4"/>
  <c r="BU1027" i="4"/>
  <c r="BU1024" i="4"/>
  <c r="BM1048" i="4"/>
  <c r="BM105" i="64" s="1"/>
  <c r="BM63" i="64" s="1"/>
  <c r="BL20" i="11"/>
  <c r="BL35" i="11"/>
  <c r="BL33" i="11" s="1"/>
  <c r="BL1464" i="4" s="1"/>
  <c r="BL1064" i="4"/>
  <c r="BU1016" i="4"/>
  <c r="S1281" i="4" l="1"/>
  <c r="S1271" i="4"/>
  <c r="T1492" i="4"/>
  <c r="S1490" i="4"/>
  <c r="T1213" i="4"/>
  <c r="T1206" i="4"/>
  <c r="T1202" i="4"/>
  <c r="T1178" i="4"/>
  <c r="S30" i="11"/>
  <c r="S45" i="62"/>
  <c r="BU1028" i="4"/>
  <c r="BU1322" i="4" s="1"/>
  <c r="BV1014" i="4"/>
  <c r="BV1015" i="4" s="1"/>
  <c r="BV1016" i="4" s="1"/>
  <c r="BL41" i="66"/>
  <c r="BL1321" i="4"/>
  <c r="BL1124" i="4"/>
  <c r="BL1335" i="4"/>
  <c r="BL1296" i="4"/>
  <c r="BL1126" i="4"/>
  <c r="BL76" i="11"/>
  <c r="BL66" i="62"/>
  <c r="EA1060" i="4"/>
  <c r="EA1059" i="4"/>
  <c r="BM1049" i="4"/>
  <c r="BV1022" i="4"/>
  <c r="BV1023" i="4" s="1"/>
  <c r="BM71" i="64"/>
  <c r="BM79" i="64"/>
  <c r="BU23" i="66" l="1"/>
  <c r="BU1297" i="4"/>
  <c r="BU1339" i="4"/>
  <c r="BU1125" i="4"/>
  <c r="BU77" i="11"/>
  <c r="BU43" i="66"/>
  <c r="S1495" i="4"/>
  <c r="S1493" i="4"/>
  <c r="T1189" i="4"/>
  <c r="T1180" i="4"/>
  <c r="T1179" i="4"/>
  <c r="S1274" i="4"/>
  <c r="S1275" i="4" s="1"/>
  <c r="S1265" i="4" s="1"/>
  <c r="S1252" i="4"/>
  <c r="T1224" i="4"/>
  <c r="T1336" i="4"/>
  <c r="T87" i="11"/>
  <c r="T1310" i="4"/>
  <c r="T18" i="66"/>
  <c r="T1423" i="4"/>
  <c r="BW1020" i="4"/>
  <c r="BV34" i="11"/>
  <c r="BV1024" i="4"/>
  <c r="BV1028" i="4" s="1"/>
  <c r="BM1062" i="4"/>
  <c r="BN1045" i="4"/>
  <c r="BW1012" i="4"/>
  <c r="BV18" i="11"/>
  <c r="BV1027" i="4"/>
  <c r="S1496" i="4" l="1"/>
  <c r="T1181" i="4"/>
  <c r="T1169" i="4"/>
  <c r="T1218" i="4"/>
  <c r="T1226" i="4"/>
  <c r="S1261" i="4"/>
  <c r="S1268" i="4" s="1"/>
  <c r="S1257" i="4"/>
  <c r="S1264" i="4"/>
  <c r="S1253" i="4" s="1"/>
  <c r="S1266" i="4"/>
  <c r="BN1048" i="4"/>
  <c r="BN105" i="64" s="1"/>
  <c r="BN63" i="64" s="1"/>
  <c r="BM20" i="11"/>
  <c r="BM35" i="11"/>
  <c r="BM33" i="11" s="1"/>
  <c r="BM1464" i="4" s="1"/>
  <c r="BM1064" i="4"/>
  <c r="BW1022" i="4"/>
  <c r="BW1023" i="4" s="1"/>
  <c r="BW1024" i="4" s="1"/>
  <c r="BW1014" i="4"/>
  <c r="BW1015" i="4" s="1"/>
  <c r="BV43" i="66"/>
  <c r="BV1322" i="4"/>
  <c r="BV1297" i="4"/>
  <c r="BV1339" i="4"/>
  <c r="BV23" i="66"/>
  <c r="BV1125" i="4"/>
  <c r="BV77" i="11"/>
  <c r="S19" i="66" l="1"/>
  <c r="S86" i="11"/>
  <c r="S1338" i="4"/>
  <c r="S1309" i="4"/>
  <c r="M86" i="67"/>
  <c r="S1480" i="4"/>
  <c r="M25" i="13" s="1"/>
  <c r="T1220" i="4"/>
  <c r="T1219" i="4"/>
  <c r="T1074" i="4"/>
  <c r="T1170" i="4"/>
  <c r="S1327" i="4"/>
  <c r="S1272" i="4"/>
  <c r="S1276" i="4" s="1"/>
  <c r="S1254" i="4" s="1"/>
  <c r="S1304" i="4"/>
  <c r="S74" i="11"/>
  <c r="S78" i="11" s="1"/>
  <c r="M74" i="67"/>
  <c r="M78" i="67" s="1"/>
  <c r="S1386" i="4"/>
  <c r="S36" i="66"/>
  <c r="T72" i="11"/>
  <c r="T37" i="66"/>
  <c r="T1076" i="4"/>
  <c r="T1326" i="4"/>
  <c r="T297" i="4"/>
  <c r="T1295" i="4"/>
  <c r="T50" i="11"/>
  <c r="T1122" i="4"/>
  <c r="T1190" i="4"/>
  <c r="T1197" i="4"/>
  <c r="BN71" i="64"/>
  <c r="BN79" i="64"/>
  <c r="AA34" i="67"/>
  <c r="BX1020" i="4"/>
  <c r="BW34" i="11"/>
  <c r="BX1012" i="4"/>
  <c r="AA18" i="67"/>
  <c r="BW18" i="11"/>
  <c r="BW1027" i="4"/>
  <c r="BM41" i="66"/>
  <c r="BM1296" i="4"/>
  <c r="BM1335" i="4"/>
  <c r="BM1126" i="4"/>
  <c r="BM1321" i="4"/>
  <c r="BM1124" i="4"/>
  <c r="BM76" i="11"/>
  <c r="BM66" i="62"/>
  <c r="BW1016" i="4"/>
  <c r="BW1028" i="4" s="1"/>
  <c r="BN1049" i="4"/>
  <c r="T305" i="4" l="1"/>
  <c r="T330" i="4" s="1"/>
  <c r="S1385" i="4"/>
  <c r="S1388" i="4" s="1"/>
  <c r="S1421" i="4"/>
  <c r="T294" i="4"/>
  <c r="T53" i="11"/>
  <c r="T1221" i="4"/>
  <c r="S39" i="66"/>
  <c r="I165" i="15" s="1"/>
  <c r="S89" i="11"/>
  <c r="S1328" i="4"/>
  <c r="S1305" i="4"/>
  <c r="S1282" i="4" s="1"/>
  <c r="M89" i="67"/>
  <c r="S1255" i="4"/>
  <c r="I162" i="15"/>
  <c r="T1188" i="4"/>
  <c r="T49" i="11"/>
  <c r="S17" i="66"/>
  <c r="I144" i="15"/>
  <c r="BW1297" i="4"/>
  <c r="BW1322" i="4"/>
  <c r="BW1339" i="4"/>
  <c r="BW1125" i="4"/>
  <c r="BW23" i="66"/>
  <c r="BW43" i="66"/>
  <c r="BW77" i="11"/>
  <c r="AA77" i="67"/>
  <c r="BN1062" i="4"/>
  <c r="BO1045" i="4"/>
  <c r="BX1014" i="4"/>
  <c r="BX1015" i="4" s="1"/>
  <c r="BX1016" i="4" s="1"/>
  <c r="BX1022" i="4"/>
  <c r="BX1023" i="4" s="1"/>
  <c r="S35" i="66" l="1"/>
  <c r="I161" i="15" s="1"/>
  <c r="T1121" i="4"/>
  <c r="T1325" i="4"/>
  <c r="T1301" i="4"/>
  <c r="T73" i="11"/>
  <c r="S27" i="11"/>
  <c r="T1250" i="4"/>
  <c r="M27" i="67"/>
  <c r="S1506" i="4"/>
  <c r="I142" i="15"/>
  <c r="S1284" i="4"/>
  <c r="S1286" i="4" s="1"/>
  <c r="T52" i="11"/>
  <c r="T299" i="4"/>
  <c r="T302" i="4"/>
  <c r="S1425" i="4"/>
  <c r="M13" i="13"/>
  <c r="S1390" i="4"/>
  <c r="M1393" i="4" s="1"/>
  <c r="M1396" i="4" s="1"/>
  <c r="S1402" i="4"/>
  <c r="T456" i="4"/>
  <c r="U457" i="4"/>
  <c r="U468" i="4"/>
  <c r="U479" i="4"/>
  <c r="T478" i="4"/>
  <c r="T467" i="4"/>
  <c r="BY1020" i="4"/>
  <c r="BX34" i="11"/>
  <c r="BO1048" i="4"/>
  <c r="BO105" i="64" s="1"/>
  <c r="BO63" i="64" s="1"/>
  <c r="BY1012" i="4"/>
  <c r="BX18" i="11"/>
  <c r="BX1027" i="4"/>
  <c r="BN20" i="11"/>
  <c r="BN35" i="11"/>
  <c r="BN33" i="11" s="1"/>
  <c r="BN1464" i="4" s="1"/>
  <c r="BN1064" i="4"/>
  <c r="BX1024" i="4"/>
  <c r="BX1028" i="4" s="1"/>
  <c r="S1440" i="4" l="1"/>
  <c r="S1441" i="4" s="1"/>
  <c r="S1442" i="4" s="1"/>
  <c r="BO1049" i="4"/>
  <c r="BO1062" i="4" s="1"/>
  <c r="S1285" i="4"/>
  <c r="T458" i="4"/>
  <c r="T459" i="4" s="1"/>
  <c r="S1403" i="4"/>
  <c r="S1404" i="4" s="1"/>
  <c r="S1509" i="4"/>
  <c r="S1507" i="4"/>
  <c r="S1508" i="4" s="1"/>
  <c r="M17" i="13"/>
  <c r="M18" i="13"/>
  <c r="T480" i="4"/>
  <c r="T481" i="4" s="1"/>
  <c r="T469" i="4"/>
  <c r="T470" i="4" s="1"/>
  <c r="S1329" i="4"/>
  <c r="S1306" i="4"/>
  <c r="S1307" i="4" s="1"/>
  <c r="S1311" i="4" s="1"/>
  <c r="T1290" i="4" s="1"/>
  <c r="S48" i="62"/>
  <c r="S24" i="62" s="1"/>
  <c r="S26" i="62" s="1"/>
  <c r="S90" i="11"/>
  <c r="S91" i="11" s="1"/>
  <c r="S93" i="11" s="1"/>
  <c r="S96" i="11" s="1"/>
  <c r="S97" i="11" s="1"/>
  <c r="S58" i="11"/>
  <c r="S59" i="11" s="1"/>
  <c r="S28" i="11" s="1"/>
  <c r="M90" i="67"/>
  <c r="M91" i="67" s="1"/>
  <c r="M93" i="67" s="1"/>
  <c r="M96" i="67" s="1"/>
  <c r="M97" i="67" s="1"/>
  <c r="M58" i="67"/>
  <c r="M59" i="67" s="1"/>
  <c r="S22" i="66"/>
  <c r="I148" i="15" s="1"/>
  <c r="T1144" i="4"/>
  <c r="U495" i="4"/>
  <c r="T331" i="4"/>
  <c r="T307" i="4"/>
  <c r="BY1014" i="4"/>
  <c r="BY1015" i="4" s="1"/>
  <c r="BY1016" i="4" s="1"/>
  <c r="BO71" i="64"/>
  <c r="BO79" i="64"/>
  <c r="BN41" i="66"/>
  <c r="BN1335" i="4"/>
  <c r="BN1126" i="4"/>
  <c r="BN1296" i="4"/>
  <c r="BN1124" i="4"/>
  <c r="BN1321" i="4"/>
  <c r="BN76" i="11"/>
  <c r="BN66" i="62"/>
  <c r="BX43" i="66"/>
  <c r="BX1297" i="4"/>
  <c r="BX1322" i="4"/>
  <c r="BX1125" i="4"/>
  <c r="BX1339" i="4"/>
  <c r="BX23" i="66"/>
  <c r="BX77" i="11"/>
  <c r="BY1022" i="4"/>
  <c r="BY1023" i="4" s="1"/>
  <c r="BY1024" i="4" s="1"/>
  <c r="BP1045" i="4" l="1"/>
  <c r="BP1048" i="4" s="1"/>
  <c r="BP105" i="64" s="1"/>
  <c r="BP63" i="64" s="1"/>
  <c r="T332" i="4"/>
  <c r="T14" i="11" s="1"/>
  <c r="M19" i="13"/>
  <c r="N95" i="67"/>
  <c r="T471" i="4"/>
  <c r="T472" i="4" s="1"/>
  <c r="U466" i="4" s="1"/>
  <c r="BY1028" i="4"/>
  <c r="BY23" i="66" s="1"/>
  <c r="T385" i="4"/>
  <c r="T395" i="4"/>
  <c r="T405" i="4"/>
  <c r="M28" i="67"/>
  <c r="M25" i="67" s="1"/>
  <c r="M37" i="67" s="1"/>
  <c r="S44" i="66"/>
  <c r="S40" i="66" s="1"/>
  <c r="T95" i="11"/>
  <c r="S1340" i="4"/>
  <c r="S1341" i="4" s="1"/>
  <c r="S46" i="62"/>
  <c r="S21" i="11"/>
  <c r="S17" i="11" s="1"/>
  <c r="S100" i="11"/>
  <c r="S1330" i="4"/>
  <c r="S1331" i="4" s="1"/>
  <c r="S101" i="67"/>
  <c r="S1462" i="4"/>
  <c r="S1461" i="4" s="1"/>
  <c r="S101" i="11"/>
  <c r="M1527" i="4"/>
  <c r="M1534" i="4" s="1"/>
  <c r="S24" i="66"/>
  <c r="S100" i="67"/>
  <c r="M21" i="67"/>
  <c r="M17" i="67" s="1"/>
  <c r="M23" i="67" s="1"/>
  <c r="U1072" i="4"/>
  <c r="T1128" i="4"/>
  <c r="T1234" i="4"/>
  <c r="T1145" i="4"/>
  <c r="T1235" i="4"/>
  <c r="T482" i="4"/>
  <c r="T483" i="4" s="1"/>
  <c r="U477" i="4" s="1"/>
  <c r="S25" i="11"/>
  <c r="T494" i="4"/>
  <c r="T460" i="4"/>
  <c r="T461" i="4" s="1"/>
  <c r="U455" i="4" s="1"/>
  <c r="BO20" i="11"/>
  <c r="Y20" i="67" s="1"/>
  <c r="BO35" i="11"/>
  <c r="BO1064" i="4"/>
  <c r="BZ1020" i="4"/>
  <c r="BY34" i="11"/>
  <c r="BZ1012" i="4"/>
  <c r="BY18" i="11"/>
  <c r="BY1027" i="4"/>
  <c r="BY1125" i="4" l="1"/>
  <c r="BY43" i="66"/>
  <c r="BY77" i="11"/>
  <c r="BY1339" i="4"/>
  <c r="BY1322" i="4"/>
  <c r="BY1297" i="4"/>
  <c r="S1343" i="4"/>
  <c r="S37" i="11"/>
  <c r="S1474" i="4"/>
  <c r="S1469" i="4" s="1"/>
  <c r="S1475" i="4"/>
  <c r="S1470" i="4" s="1"/>
  <c r="S1463" i="4"/>
  <c r="S1460" i="4" s="1"/>
  <c r="S23" i="11"/>
  <c r="T396" i="4"/>
  <c r="T397" i="4" s="1"/>
  <c r="S20" i="66"/>
  <c r="I150" i="15"/>
  <c r="I171" i="15"/>
  <c r="T489" i="4"/>
  <c r="T386" i="4"/>
  <c r="T387" i="4" s="1"/>
  <c r="T500" i="4"/>
  <c r="I167" i="15"/>
  <c r="I173" i="15" s="1"/>
  <c r="S46" i="66"/>
  <c r="T1251" i="4"/>
  <c r="M39" i="67"/>
  <c r="M40" i="67" s="1"/>
  <c r="M99" i="67"/>
  <c r="T1071" i="4"/>
  <c r="T1241" i="4"/>
  <c r="T1236" i="4"/>
  <c r="S99" i="11"/>
  <c r="T406" i="4"/>
  <c r="T407" i="4" s="1"/>
  <c r="BZ1014" i="4"/>
  <c r="BZ1015" i="4" s="1"/>
  <c r="BZ1016" i="4" s="1"/>
  <c r="BP71" i="64"/>
  <c r="BP79" i="64"/>
  <c r="Y35" i="67"/>
  <c r="Y33" i="67" s="1"/>
  <c r="BO33" i="11"/>
  <c r="BO1464" i="4" s="1"/>
  <c r="BZ1022" i="4"/>
  <c r="BZ1023" i="4" s="1"/>
  <c r="BP1049" i="4"/>
  <c r="Y42" i="13"/>
  <c r="BO41" i="66"/>
  <c r="BO1296" i="4"/>
  <c r="BO1321" i="4"/>
  <c r="BO1335" i="4"/>
  <c r="BO1124" i="4"/>
  <c r="BO1126" i="4"/>
  <c r="BO76" i="11"/>
  <c r="BO66" i="62"/>
  <c r="Y76" i="67"/>
  <c r="T85" i="11" l="1"/>
  <c r="T42" i="62"/>
  <c r="T1244" i="4"/>
  <c r="T1337" i="4"/>
  <c r="T1308" i="4"/>
  <c r="I146" i="15"/>
  <c r="I152" i="15" s="1"/>
  <c r="S26" i="66"/>
  <c r="S48" i="66" s="1"/>
  <c r="T398" i="4"/>
  <c r="T399" i="4" s="1"/>
  <c r="U394" i="4" s="1"/>
  <c r="S1516" i="4"/>
  <c r="S1517" i="4" s="1"/>
  <c r="S1473" i="4"/>
  <c r="S1468" i="4" s="1"/>
  <c r="T408" i="4"/>
  <c r="T409" i="4" s="1"/>
  <c r="U404" i="4" s="1"/>
  <c r="T388" i="4"/>
  <c r="T389" i="4" s="1"/>
  <c r="U384" i="4" s="1"/>
  <c r="T501" i="4"/>
  <c r="T502" i="4" s="1"/>
  <c r="T490" i="4"/>
  <c r="S39" i="11"/>
  <c r="S40" i="11" s="1"/>
  <c r="CA1020" i="4"/>
  <c r="BZ34" i="11"/>
  <c r="BP1062" i="4"/>
  <c r="BQ1045" i="4"/>
  <c r="BZ1024" i="4"/>
  <c r="BZ1028" i="4" s="1"/>
  <c r="CA1012" i="4"/>
  <c r="BZ18" i="11"/>
  <c r="BZ1027" i="4"/>
  <c r="T51" i="11" l="1"/>
  <c r="T64" i="62"/>
  <c r="T1101" i="4"/>
  <c r="T1103" i="4" s="1"/>
  <c r="T1104" i="4" s="1"/>
  <c r="T1105" i="4" s="1"/>
  <c r="U499" i="4"/>
  <c r="U1100" i="4" s="1"/>
  <c r="T491" i="4"/>
  <c r="T1245" i="4"/>
  <c r="T52" i="62"/>
  <c r="T43" i="62"/>
  <c r="BQ1048" i="4"/>
  <c r="BQ105" i="64" s="1"/>
  <c r="BQ63" i="64" s="1"/>
  <c r="CA1014" i="4"/>
  <c r="CA1015" i="4" s="1"/>
  <c r="CA1016" i="4" s="1"/>
  <c r="BP20" i="11"/>
  <c r="BP35" i="11"/>
  <c r="BP33" i="11" s="1"/>
  <c r="BP1464" i="4" s="1"/>
  <c r="BP1064" i="4"/>
  <c r="BZ1297" i="4"/>
  <c r="BZ1322" i="4"/>
  <c r="BZ23" i="66"/>
  <c r="BZ1339" i="4"/>
  <c r="BZ43" i="66"/>
  <c r="BZ1125" i="4"/>
  <c r="BZ77" i="11"/>
  <c r="CA1022" i="4"/>
  <c r="CA1023" i="4" s="1"/>
  <c r="CA1024" i="4" s="1"/>
  <c r="BQ1049" i="4" l="1"/>
  <c r="BR1045" i="4" s="1"/>
  <c r="U488" i="4"/>
  <c r="T15" i="11"/>
  <c r="T13" i="11" s="1"/>
  <c r="CA1028" i="4"/>
  <c r="CA43" i="66" s="1"/>
  <c r="T23" i="62"/>
  <c r="T62" i="64"/>
  <c r="T984" i="4"/>
  <c r="T26" i="11"/>
  <c r="U1240" i="4"/>
  <c r="BP41" i="66"/>
  <c r="BP1124" i="4"/>
  <c r="BP1126" i="4"/>
  <c r="BP1321" i="4"/>
  <c r="BP76" i="11"/>
  <c r="BP1335" i="4"/>
  <c r="BP1296" i="4"/>
  <c r="BP66" i="62"/>
  <c r="AB34" i="67"/>
  <c r="CB1020" i="4"/>
  <c r="CA34" i="11"/>
  <c r="AB18" i="67"/>
  <c r="CB1012" i="4"/>
  <c r="CA18" i="11"/>
  <c r="CA1027" i="4"/>
  <c r="BQ71" i="64"/>
  <c r="BQ79" i="64"/>
  <c r="BQ1062" i="4" l="1"/>
  <c r="BQ1064" i="4" s="1"/>
  <c r="AB77" i="67"/>
  <c r="CA77" i="11"/>
  <c r="CA1339" i="4"/>
  <c r="CA23" i="66"/>
  <c r="CA1125" i="4"/>
  <c r="CA1322" i="4"/>
  <c r="CA1297" i="4"/>
  <c r="T988" i="4"/>
  <c r="T78" i="64"/>
  <c r="T70" i="64"/>
  <c r="T16" i="66"/>
  <c r="CB1022" i="4"/>
  <c r="CB1023" i="4" s="1"/>
  <c r="CB1024" i="4" s="1"/>
  <c r="CB1014" i="4"/>
  <c r="CB1015" i="4" s="1"/>
  <c r="CB1016" i="4" s="1"/>
  <c r="BR1048" i="4"/>
  <c r="BR105" i="64" s="1"/>
  <c r="BR63" i="64" s="1"/>
  <c r="BQ20" i="11" l="1"/>
  <c r="BQ35" i="11"/>
  <c r="BQ33" i="11" s="1"/>
  <c r="BQ1464" i="4" s="1"/>
  <c r="CB1028" i="4"/>
  <c r="CB1322" i="4" s="1"/>
  <c r="T14" i="66"/>
  <c r="T1320" i="4"/>
  <c r="T1120" i="4"/>
  <c r="T71" i="11"/>
  <c r="T992" i="4"/>
  <c r="T1294" i="4"/>
  <c r="CC1012" i="4"/>
  <c r="CB18" i="11"/>
  <c r="CB1027" i="4"/>
  <c r="BR1049" i="4"/>
  <c r="CC1020" i="4"/>
  <c r="CB34" i="11"/>
  <c r="BR71" i="64"/>
  <c r="BR79" i="64"/>
  <c r="BQ41" i="66"/>
  <c r="BQ1296" i="4"/>
  <c r="BQ1335" i="4"/>
  <c r="BQ76" i="11"/>
  <c r="BQ1124" i="4"/>
  <c r="BQ1321" i="4"/>
  <c r="BQ1126" i="4"/>
  <c r="BQ66" i="62"/>
  <c r="CB43" i="66" l="1"/>
  <c r="CB23" i="66"/>
  <c r="CB77" i="11"/>
  <c r="CB1125" i="4"/>
  <c r="CB1339" i="4"/>
  <c r="CB1297" i="4"/>
  <c r="T1298" i="4"/>
  <c r="T47" i="11"/>
  <c r="T1073" i="4"/>
  <c r="T13" i="66"/>
  <c r="BR1062" i="4"/>
  <c r="BS1045" i="4"/>
  <c r="CC1014" i="4"/>
  <c r="CC1015" i="4" s="1"/>
  <c r="CC1016" i="4" s="1"/>
  <c r="CC1022" i="4"/>
  <c r="CC1023" i="4" s="1"/>
  <c r="CC1024" i="4" s="1"/>
  <c r="T1077" i="4" l="1"/>
  <c r="CC1028" i="4"/>
  <c r="CC1339" i="4" s="1"/>
  <c r="T61" i="11"/>
  <c r="T62" i="11"/>
  <c r="T48" i="11"/>
  <c r="T28" i="66"/>
  <c r="T27" i="66" s="1"/>
  <c r="BS1048" i="4"/>
  <c r="BS105" i="64" s="1"/>
  <c r="BS63" i="64" s="1"/>
  <c r="BR20" i="11"/>
  <c r="BR35" i="11"/>
  <c r="BR33" i="11" s="1"/>
  <c r="BR1464" i="4" s="1"/>
  <c r="BR1064" i="4"/>
  <c r="CD1020" i="4"/>
  <c r="CC34" i="11"/>
  <c r="CC18" i="11"/>
  <c r="CD1012" i="4"/>
  <c r="CC1027" i="4"/>
  <c r="CC1322" i="4" l="1"/>
  <c r="CC43" i="66"/>
  <c r="CC77" i="11"/>
  <c r="CC1297" i="4"/>
  <c r="CC23" i="66"/>
  <c r="CC1125" i="4"/>
  <c r="T55" i="11"/>
  <c r="T62" i="62"/>
  <c r="T64" i="11"/>
  <c r="T1472" i="4"/>
  <c r="T63" i="11"/>
  <c r="T1081" i="4"/>
  <c r="CD1022" i="4"/>
  <c r="CD1023" i="4" s="1"/>
  <c r="CD1024" i="4" s="1"/>
  <c r="BS1049" i="4"/>
  <c r="BS71" i="64"/>
  <c r="BS79" i="64"/>
  <c r="BR41" i="66"/>
  <c r="BR1296" i="4"/>
  <c r="BR1124" i="4"/>
  <c r="BR76" i="11"/>
  <c r="BR1335" i="4"/>
  <c r="BR1126" i="4"/>
  <c r="BR1321" i="4"/>
  <c r="BR66" i="62"/>
  <c r="CD1014" i="4"/>
  <c r="CD1015" i="4" s="1"/>
  <c r="CD1016" i="4" s="1"/>
  <c r="CD1028" i="4" l="1"/>
  <c r="CD1339" i="4" s="1"/>
  <c r="T1082" i="4"/>
  <c r="T1089" i="4"/>
  <c r="CE1012" i="4"/>
  <c r="CD18" i="11"/>
  <c r="CD1027" i="4"/>
  <c r="BS1062" i="4"/>
  <c r="BT1045" i="4"/>
  <c r="CE1020" i="4"/>
  <c r="CD34" i="11"/>
  <c r="CD77" i="11" l="1"/>
  <c r="CD1322" i="4"/>
  <c r="CD1297" i="4"/>
  <c r="CD43" i="66"/>
  <c r="CD1125" i="4"/>
  <c r="CD23" i="66"/>
  <c r="T1093" i="4"/>
  <c r="CE1022" i="4"/>
  <c r="CE1023" i="4" s="1"/>
  <c r="CE1024" i="4" s="1"/>
  <c r="BS20" i="11"/>
  <c r="Z20" i="67" s="1"/>
  <c r="BS35" i="11"/>
  <c r="BS1064" i="4"/>
  <c r="CE1014" i="4"/>
  <c r="CE1015" i="4" s="1"/>
  <c r="CE1016" i="4" s="1"/>
  <c r="BT1048" i="4"/>
  <c r="BT105" i="64" s="1"/>
  <c r="BT63" i="64" s="1"/>
  <c r="T1090" i="4" l="1"/>
  <c r="BS41" i="66"/>
  <c r="BS1296" i="4"/>
  <c r="BS76" i="11"/>
  <c r="BS1335" i="4"/>
  <c r="BS1321" i="4"/>
  <c r="BS1124" i="4"/>
  <c r="BS1126" i="4"/>
  <c r="BS66" i="62"/>
  <c r="Z76" i="67"/>
  <c r="Z35" i="67"/>
  <c r="Z33" i="67" s="1"/>
  <c r="BS33" i="11"/>
  <c r="BS1464" i="4" s="1"/>
  <c r="BT1049" i="4"/>
  <c r="AC18" i="67"/>
  <c r="CF1012" i="4"/>
  <c r="CE18" i="11"/>
  <c r="CE1027" i="4"/>
  <c r="CE1028" i="4"/>
  <c r="BT71" i="64"/>
  <c r="BT79" i="64"/>
  <c r="AC34" i="67"/>
  <c r="CF1020" i="4"/>
  <c r="CE34" i="11"/>
  <c r="T1083" i="4" l="1"/>
  <c r="T1091" i="4"/>
  <c r="U1088" i="4" s="1"/>
  <c r="CF1022" i="4"/>
  <c r="CF1023" i="4" s="1"/>
  <c r="CF1024" i="4" s="1"/>
  <c r="BT1062" i="4"/>
  <c r="BU1045" i="4"/>
  <c r="CE1297" i="4"/>
  <c r="CE43" i="66"/>
  <c r="CE1339" i="4"/>
  <c r="CE1322" i="4"/>
  <c r="CE1125" i="4"/>
  <c r="CE23" i="66"/>
  <c r="CE77" i="11"/>
  <c r="AC77" i="67"/>
  <c r="CF1014" i="4"/>
  <c r="CF1015" i="4" s="1"/>
  <c r="CF1016" i="4" s="1"/>
  <c r="T1084" i="4" l="1"/>
  <c r="CF1028" i="4"/>
  <c r="BU1048" i="4"/>
  <c r="BU105" i="64" s="1"/>
  <c r="BU63" i="64" s="1"/>
  <c r="BT20" i="11"/>
  <c r="BT35" i="11"/>
  <c r="BT33" i="11" s="1"/>
  <c r="BT1464" i="4" s="1"/>
  <c r="BT1064" i="4"/>
  <c r="CG1020" i="4"/>
  <c r="CF34" i="11"/>
  <c r="CF18" i="11"/>
  <c r="CG1012" i="4"/>
  <c r="CF1027" i="4"/>
  <c r="T1299" i="4" l="1"/>
  <c r="T1300" i="4" s="1"/>
  <c r="T61" i="64"/>
  <c r="T56" i="11"/>
  <c r="T1323" i="4"/>
  <c r="T75" i="11"/>
  <c r="T1123" i="4"/>
  <c r="T63" i="62"/>
  <c r="BT41" i="66"/>
  <c r="BT1124" i="4"/>
  <c r="BT1126" i="4"/>
  <c r="BT76" i="11"/>
  <c r="BT1296" i="4"/>
  <c r="BT1321" i="4"/>
  <c r="BT1335" i="4"/>
  <c r="BT66" i="62"/>
  <c r="BU1049" i="4"/>
  <c r="CG1014" i="4"/>
  <c r="CG1015" i="4" s="1"/>
  <c r="CG1016" i="4" s="1"/>
  <c r="CG1022" i="4"/>
  <c r="CG1023" i="4" s="1"/>
  <c r="CG1024" i="4" s="1"/>
  <c r="BU71" i="64"/>
  <c r="BU79" i="64"/>
  <c r="CF1125" i="4"/>
  <c r="CF1339" i="4"/>
  <c r="CF1322" i="4"/>
  <c r="CF23" i="66"/>
  <c r="CF43" i="66"/>
  <c r="CF1297" i="4"/>
  <c r="CF77" i="11"/>
  <c r="T1130" i="4" l="1"/>
  <c r="T1132" i="4" s="1"/>
  <c r="T1135" i="4" s="1"/>
  <c r="T67" i="62"/>
  <c r="T68" i="62" s="1"/>
  <c r="T57" i="11"/>
  <c r="T69" i="64"/>
  <c r="T77" i="64"/>
  <c r="T66" i="64"/>
  <c r="T40" i="64" s="1"/>
  <c r="T42" i="64" s="1"/>
  <c r="T1313" i="4"/>
  <c r="CG1028" i="4"/>
  <c r="CH1020" i="4"/>
  <c r="CG34" i="11"/>
  <c r="CH1012" i="4"/>
  <c r="CG18" i="11"/>
  <c r="CG1027" i="4"/>
  <c r="BU1062" i="4"/>
  <c r="BV1045" i="4"/>
  <c r="T1471" i="4" l="1"/>
  <c r="T1283" i="4"/>
  <c r="T1193" i="4"/>
  <c r="T1194" i="4" s="1"/>
  <c r="T1196" i="4" s="1"/>
  <c r="T1198" i="4" s="1"/>
  <c r="T1164" i="4" s="1"/>
  <c r="T52" i="64"/>
  <c r="T49" i="64"/>
  <c r="T82" i="64"/>
  <c r="T74" i="64"/>
  <c r="CH1022" i="4"/>
  <c r="CH1023" i="4" s="1"/>
  <c r="CH1024" i="4" s="1"/>
  <c r="BV1048" i="4"/>
  <c r="BV105" i="64" s="1"/>
  <c r="BV63" i="64" s="1"/>
  <c r="BU20" i="11"/>
  <c r="BU35" i="11"/>
  <c r="BU33" i="11" s="1"/>
  <c r="BU1464" i="4" s="1"/>
  <c r="BU1064" i="4"/>
  <c r="CH1014" i="4"/>
  <c r="CH1015" i="4" s="1"/>
  <c r="CH1016" i="4" s="1"/>
  <c r="CG1125" i="4"/>
  <c r="CG1297" i="4"/>
  <c r="CG1339" i="4"/>
  <c r="CG1322" i="4"/>
  <c r="CG43" i="66"/>
  <c r="CG23" i="66"/>
  <c r="CG77" i="11"/>
  <c r="CH1028" i="4" l="1"/>
  <c r="CH77" i="11" s="1"/>
  <c r="T1214" i="4"/>
  <c r="T1165" i="4"/>
  <c r="BV1049" i="4"/>
  <c r="BV79" i="64"/>
  <c r="BV71" i="64"/>
  <c r="CI1012" i="4"/>
  <c r="CH18" i="11"/>
  <c r="CH1027" i="4"/>
  <c r="BU41" i="66"/>
  <c r="BU1124" i="4"/>
  <c r="BU1126" i="4"/>
  <c r="BU1335" i="4"/>
  <c r="BU1321" i="4"/>
  <c r="BU1296" i="4"/>
  <c r="BU76" i="11"/>
  <c r="BU66" i="62"/>
  <c r="CI1020" i="4"/>
  <c r="CH34" i="11"/>
  <c r="CH23" i="66" l="1"/>
  <c r="CH1322" i="4"/>
  <c r="CH1297" i="4"/>
  <c r="CH43" i="66"/>
  <c r="CH1339" i="4"/>
  <c r="CH1125" i="4"/>
  <c r="U1162" i="4"/>
  <c r="U1207" i="4"/>
  <c r="T1424" i="4"/>
  <c r="T1302" i="4"/>
  <c r="T1324" i="4"/>
  <c r="T38" i="66"/>
  <c r="T88" i="11"/>
  <c r="T1481" i="4"/>
  <c r="T1483" i="4" s="1"/>
  <c r="T1215" i="4"/>
  <c r="CI1022" i="4"/>
  <c r="CI1023" i="4" s="1"/>
  <c r="CI1024" i="4" s="1"/>
  <c r="BV1062" i="4"/>
  <c r="BW1045" i="4"/>
  <c r="CI1014" i="4"/>
  <c r="CI1015" i="4" s="1"/>
  <c r="CI1016" i="4" s="1"/>
  <c r="T31" i="11" l="1"/>
  <c r="T1489" i="4"/>
  <c r="U1212" i="4"/>
  <c r="T1515" i="4"/>
  <c r="T1505" i="4"/>
  <c r="T1303" i="4"/>
  <c r="U1225" i="4"/>
  <c r="U1163" i="4"/>
  <c r="CI1028" i="4"/>
  <c r="AD18" i="67"/>
  <c r="CJ1012" i="4"/>
  <c r="CI18" i="11"/>
  <c r="CI1027" i="4"/>
  <c r="BV20" i="11"/>
  <c r="BV35" i="11"/>
  <c r="BV33" i="11" s="1"/>
  <c r="BV1464" i="4" s="1"/>
  <c r="BV1064" i="4"/>
  <c r="BW1048" i="4"/>
  <c r="BW105" i="64" s="1"/>
  <c r="BW63" i="64" s="1"/>
  <c r="AD34" i="67"/>
  <c r="CJ1020" i="4"/>
  <c r="CI34" i="11"/>
  <c r="T1271" i="4" l="1"/>
  <c r="T1281" i="4"/>
  <c r="U1206" i="4"/>
  <c r="U1213" i="4"/>
  <c r="U1202" i="4"/>
  <c r="U1178" i="4"/>
  <c r="U1492" i="4"/>
  <c r="T1490" i="4"/>
  <c r="T45" i="62"/>
  <c r="T30" i="11"/>
  <c r="CJ1022" i="4"/>
  <c r="CJ1023" i="4" s="1"/>
  <c r="CJ1024" i="4" s="1"/>
  <c r="BW1049" i="4"/>
  <c r="BW71" i="64"/>
  <c r="BW79" i="64"/>
  <c r="BV41" i="66"/>
  <c r="BV76" i="11"/>
  <c r="BV1321" i="4"/>
  <c r="BV1124" i="4"/>
  <c r="BV1335" i="4"/>
  <c r="BV1126" i="4"/>
  <c r="BV1296" i="4"/>
  <c r="BV66" i="62"/>
  <c r="CJ1014" i="4"/>
  <c r="CJ1015" i="4" s="1"/>
  <c r="CJ1016" i="4" s="1"/>
  <c r="CI1322" i="4"/>
  <c r="CI1125" i="4"/>
  <c r="CI1297" i="4"/>
  <c r="CI23" i="66"/>
  <c r="CI43" i="66"/>
  <c r="CI1339" i="4"/>
  <c r="CI77" i="11"/>
  <c r="AD77" i="67"/>
  <c r="U87" i="11" l="1"/>
  <c r="U1310" i="4"/>
  <c r="U1336" i="4"/>
  <c r="U18" i="66"/>
  <c r="U1423" i="4"/>
  <c r="U1224" i="4"/>
  <c r="T1495" i="4"/>
  <c r="T1493" i="4"/>
  <c r="U1189" i="4"/>
  <c r="U1180" i="4"/>
  <c r="U1179" i="4"/>
  <c r="T1252" i="4"/>
  <c r="T1274" i="4"/>
  <c r="T1275" i="4" s="1"/>
  <c r="T1265" i="4" s="1"/>
  <c r="CJ1028" i="4"/>
  <c r="BW1062" i="4"/>
  <c r="BX1045" i="4"/>
  <c r="CK1020" i="4"/>
  <c r="CJ34" i="11"/>
  <c r="CK1012" i="4"/>
  <c r="CJ18" i="11"/>
  <c r="CJ1027" i="4"/>
  <c r="T1496" i="4" l="1"/>
  <c r="T1264" i="4"/>
  <c r="T1253" i="4" s="1"/>
  <c r="T1266" i="4"/>
  <c r="T1257" i="4"/>
  <c r="T1261" i="4"/>
  <c r="T1268" i="4" s="1"/>
  <c r="U1181" i="4"/>
  <c r="U1169" i="4"/>
  <c r="U1226" i="4"/>
  <c r="U1218" i="4"/>
  <c r="BW20" i="11"/>
  <c r="AA20" i="67" s="1"/>
  <c r="BW35" i="11"/>
  <c r="BW1064" i="4"/>
  <c r="CK1014" i="4"/>
  <c r="CK1015" i="4" s="1"/>
  <c r="CK1016" i="4" s="1"/>
  <c r="CK1022" i="4"/>
  <c r="CK1023" i="4" s="1"/>
  <c r="CK1024" i="4" s="1"/>
  <c r="BX1048" i="4"/>
  <c r="BX105" i="64" s="1"/>
  <c r="BX63" i="64" s="1"/>
  <c r="CJ1322" i="4"/>
  <c r="CJ1297" i="4"/>
  <c r="CJ43" i="66"/>
  <c r="CJ1125" i="4"/>
  <c r="CJ23" i="66"/>
  <c r="CJ1339" i="4"/>
  <c r="CJ77" i="11"/>
  <c r="U1220" i="4" l="1"/>
  <c r="U1074" i="4"/>
  <c r="U1219" i="4"/>
  <c r="U37" i="66"/>
  <c r="U50" i="11"/>
  <c r="U297" i="4"/>
  <c r="U1076" i="4"/>
  <c r="U1326" i="4"/>
  <c r="U1295" i="4"/>
  <c r="U72" i="11"/>
  <c r="U1122" i="4"/>
  <c r="T86" i="11"/>
  <c r="T1309" i="4"/>
  <c r="T19" i="66"/>
  <c r="T1338" i="4"/>
  <c r="T1480" i="4"/>
  <c r="U1170" i="4"/>
  <c r="U1190" i="4"/>
  <c r="U1197" i="4"/>
  <c r="T1272" i="4"/>
  <c r="T1276" i="4" s="1"/>
  <c r="T1254" i="4" s="1"/>
  <c r="T1327" i="4"/>
  <c r="T1304" i="4"/>
  <c r="T74" i="11"/>
  <c r="T78" i="11" s="1"/>
  <c r="T36" i="66"/>
  <c r="T1386" i="4"/>
  <c r="CK1028" i="4"/>
  <c r="CL1020" i="4"/>
  <c r="CK34" i="11"/>
  <c r="BX1049" i="4"/>
  <c r="CK18" i="11"/>
  <c r="CL1012" i="4"/>
  <c r="CK1027" i="4"/>
  <c r="BW41" i="66"/>
  <c r="BW76" i="11"/>
  <c r="BW1321" i="4"/>
  <c r="BW1335" i="4"/>
  <c r="BW1296" i="4"/>
  <c r="BW1126" i="4"/>
  <c r="BW1124" i="4"/>
  <c r="BW66" i="62"/>
  <c r="AA76" i="67"/>
  <c r="BX71" i="64"/>
  <c r="BX79" i="64"/>
  <c r="AA35" i="67"/>
  <c r="AA33" i="67" s="1"/>
  <c r="BW33" i="11"/>
  <c r="BW1464" i="4" s="1"/>
  <c r="U1221" i="4" l="1"/>
  <c r="U305" i="4"/>
  <c r="U330" i="4" s="1"/>
  <c r="U49" i="11"/>
  <c r="T1421" i="4"/>
  <c r="T1385" i="4"/>
  <c r="T1388" i="4" s="1"/>
  <c r="U1188" i="4"/>
  <c r="U294" i="4"/>
  <c r="T1328" i="4"/>
  <c r="T89" i="11"/>
  <c r="T39" i="66"/>
  <c r="T1305" i="4"/>
  <c r="T1282" i="4" s="1"/>
  <c r="T1255" i="4"/>
  <c r="T17" i="66"/>
  <c r="U53" i="11"/>
  <c r="CL1014" i="4"/>
  <c r="CL1015" i="4" s="1"/>
  <c r="BX1062" i="4"/>
  <c r="BY1045" i="4"/>
  <c r="CL1022" i="4"/>
  <c r="CL1023" i="4" s="1"/>
  <c r="CL1024" i="4" s="1"/>
  <c r="CK1339" i="4"/>
  <c r="CK1297" i="4"/>
  <c r="CK1322" i="4"/>
  <c r="CK43" i="66"/>
  <c r="CK1125" i="4"/>
  <c r="CK23" i="66"/>
  <c r="CK77" i="11"/>
  <c r="T1425" i="4" l="1"/>
  <c r="U1250" i="4"/>
  <c r="T27" i="11"/>
  <c r="T1506" i="4"/>
  <c r="U299" i="4"/>
  <c r="U302" i="4"/>
  <c r="V479" i="4"/>
  <c r="U456" i="4"/>
  <c r="U467" i="4"/>
  <c r="V468" i="4"/>
  <c r="U478" i="4"/>
  <c r="V457" i="4"/>
  <c r="T1284" i="4"/>
  <c r="T1286" i="4" s="1"/>
  <c r="U73" i="11"/>
  <c r="U1301" i="4"/>
  <c r="U1325" i="4"/>
  <c r="U1121" i="4"/>
  <c r="T35" i="66"/>
  <c r="U52" i="11"/>
  <c r="T1390" i="4"/>
  <c r="T1402" i="4"/>
  <c r="BY1048" i="4"/>
  <c r="BY105" i="64" s="1"/>
  <c r="BY63" i="64" s="1"/>
  <c r="CL18" i="11"/>
  <c r="CM1012" i="4"/>
  <c r="CL1027" i="4"/>
  <c r="BX20" i="11"/>
  <c r="BX35" i="11"/>
  <c r="BX33" i="11" s="1"/>
  <c r="BX1464" i="4" s="1"/>
  <c r="BX1064" i="4"/>
  <c r="CM1020" i="4"/>
  <c r="CL34" i="11"/>
  <c r="CL1016" i="4"/>
  <c r="CL1028" i="4" s="1"/>
  <c r="T1440" i="4" l="1"/>
  <c r="T1441" i="4" s="1"/>
  <c r="T1442" i="4" s="1"/>
  <c r="BY1049" i="4"/>
  <c r="BY1062" i="4" s="1"/>
  <c r="U480" i="4"/>
  <c r="U481" i="4" s="1"/>
  <c r="T1507" i="4"/>
  <c r="T1508" i="4" s="1"/>
  <c r="T1509" i="4"/>
  <c r="T1285" i="4"/>
  <c r="T1306" i="4"/>
  <c r="T1307" i="4" s="1"/>
  <c r="T1311" i="4" s="1"/>
  <c r="U1290" i="4" s="1"/>
  <c r="T90" i="11"/>
  <c r="T91" i="11" s="1"/>
  <c r="T93" i="11" s="1"/>
  <c r="T96" i="11" s="1"/>
  <c r="T97" i="11" s="1"/>
  <c r="T58" i="11"/>
  <c r="T59" i="11" s="1"/>
  <c r="T28" i="11" s="1"/>
  <c r="T25" i="11" s="1"/>
  <c r="T48" i="62"/>
  <c r="T24" i="62" s="1"/>
  <c r="T26" i="62" s="1"/>
  <c r="T1329" i="4"/>
  <c r="T22" i="66"/>
  <c r="U469" i="4"/>
  <c r="U470" i="4" s="1"/>
  <c r="U458" i="4"/>
  <c r="U459" i="4" s="1"/>
  <c r="T1403" i="4"/>
  <c r="T1404" i="4" s="1"/>
  <c r="U1144" i="4"/>
  <c r="U307" i="4"/>
  <c r="U331" i="4"/>
  <c r="V495" i="4"/>
  <c r="CL1125" i="4"/>
  <c r="CL23" i="66"/>
  <c r="CL1297" i="4"/>
  <c r="CL1322" i="4"/>
  <c r="CL1339" i="4"/>
  <c r="CL43" i="66"/>
  <c r="CL77" i="11"/>
  <c r="CM1022" i="4"/>
  <c r="CM1023" i="4" s="1"/>
  <c r="CM1024" i="4" s="1"/>
  <c r="CM1014" i="4"/>
  <c r="CM1015" i="4" s="1"/>
  <c r="CM1016" i="4" s="1"/>
  <c r="BY71" i="64"/>
  <c r="BY79" i="64"/>
  <c r="BX41" i="66"/>
  <c r="BX1321" i="4"/>
  <c r="BX76" i="11"/>
  <c r="BX1126" i="4"/>
  <c r="BX1296" i="4"/>
  <c r="BX1335" i="4"/>
  <c r="BX1124" i="4"/>
  <c r="BX66" i="62"/>
  <c r="BZ1045" i="4" l="1"/>
  <c r="BZ1048" i="4" s="1"/>
  <c r="BZ105" i="64" s="1"/>
  <c r="BZ63" i="64" s="1"/>
  <c r="U332" i="4"/>
  <c r="U14" i="11" s="1"/>
  <c r="T1474" i="4"/>
  <c r="T1469" i="4" s="1"/>
  <c r="T1475" i="4"/>
  <c r="T1470" i="4" s="1"/>
  <c r="T37" i="11"/>
  <c r="CM1028" i="4"/>
  <c r="CM23" i="66" s="1"/>
  <c r="T24" i="66"/>
  <c r="T20" i="66" s="1"/>
  <c r="T44" i="66"/>
  <c r="T40" i="66" s="1"/>
  <c r="T100" i="11"/>
  <c r="T101" i="11"/>
  <c r="T1340" i="4"/>
  <c r="T1341" i="4" s="1"/>
  <c r="T1462" i="4"/>
  <c r="T1461" i="4" s="1"/>
  <c r="T1330" i="4"/>
  <c r="T1331" i="4" s="1"/>
  <c r="T100" i="67"/>
  <c r="T101" i="67"/>
  <c r="U95" i="11"/>
  <c r="T21" i="11"/>
  <c r="T17" i="11" s="1"/>
  <c r="T46" i="62"/>
  <c r="V1072" i="4"/>
  <c r="U1234" i="4"/>
  <c r="U1235" i="4"/>
  <c r="U1145" i="4"/>
  <c r="U471" i="4"/>
  <c r="U472" i="4" s="1"/>
  <c r="V466" i="4" s="1"/>
  <c r="U1128" i="4"/>
  <c r="U405" i="4"/>
  <c r="U385" i="4"/>
  <c r="U395" i="4"/>
  <c r="U494" i="4"/>
  <c r="U460" i="4"/>
  <c r="U461" i="4" s="1"/>
  <c r="V455" i="4" s="1"/>
  <c r="U482" i="4"/>
  <c r="U483" i="4" s="1"/>
  <c r="V477" i="4" s="1"/>
  <c r="BY20" i="11"/>
  <c r="BY35" i="11"/>
  <c r="BY33" i="11" s="1"/>
  <c r="BY1464" i="4" s="1"/>
  <c r="BY1064" i="4"/>
  <c r="AE18" i="67"/>
  <c r="CM18" i="11"/>
  <c r="CN1012" i="4"/>
  <c r="CM1027" i="4"/>
  <c r="AE34" i="67"/>
  <c r="CN1020" i="4"/>
  <c r="CM34" i="11"/>
  <c r="AE77" i="67" l="1"/>
  <c r="CM1322" i="4"/>
  <c r="CM1339" i="4"/>
  <c r="CM1125" i="4"/>
  <c r="CM77" i="11"/>
  <c r="CM1297" i="4"/>
  <c r="CM43" i="66"/>
  <c r="T1343" i="4"/>
  <c r="T46" i="66"/>
  <c r="U1071" i="4"/>
  <c r="T26" i="66"/>
  <c r="U1251" i="4"/>
  <c r="U396" i="4"/>
  <c r="U397" i="4" s="1"/>
  <c r="U1241" i="4"/>
  <c r="U1236" i="4"/>
  <c r="U386" i="4"/>
  <c r="U387" i="4" s="1"/>
  <c r="U500" i="4"/>
  <c r="U489" i="4"/>
  <c r="T99" i="11"/>
  <c r="U406" i="4"/>
  <c r="U407" i="4" s="1"/>
  <c r="BZ1049" i="4"/>
  <c r="BZ1062" i="4" s="1"/>
  <c r="T1463" i="4"/>
  <c r="T1460" i="4" s="1"/>
  <c r="T23" i="11"/>
  <c r="T39" i="11" s="1"/>
  <c r="T40" i="11" s="1"/>
  <c r="BZ79" i="64"/>
  <c r="BZ71" i="64"/>
  <c r="BY41" i="66"/>
  <c r="BY1296" i="4"/>
  <c r="BY1321" i="4"/>
  <c r="BY1335" i="4"/>
  <c r="BY76" i="11"/>
  <c r="BY1126" i="4"/>
  <c r="BY1124" i="4"/>
  <c r="BY66" i="62"/>
  <c r="CN1022" i="4"/>
  <c r="CN1023" i="4" s="1"/>
  <c r="CN1014" i="4"/>
  <c r="CN1015" i="4" s="1"/>
  <c r="CN1016" i="4" s="1"/>
  <c r="T48" i="66" l="1"/>
  <c r="CA1045" i="4"/>
  <c r="CA1048" i="4" s="1"/>
  <c r="CA105" i="64" s="1"/>
  <c r="CA63" i="64" s="1"/>
  <c r="U501" i="4"/>
  <c r="U502" i="4" s="1"/>
  <c r="U490" i="4"/>
  <c r="U491" i="4" s="1"/>
  <c r="U388" i="4"/>
  <c r="U389" i="4" s="1"/>
  <c r="V384" i="4" s="1"/>
  <c r="U408" i="4"/>
  <c r="U409" i="4" s="1"/>
  <c r="V404" i="4" s="1"/>
  <c r="U42" i="62"/>
  <c r="U85" i="11"/>
  <c r="U1244" i="4"/>
  <c r="U1337" i="4"/>
  <c r="U1308" i="4"/>
  <c r="T1516" i="4"/>
  <c r="T1517" i="4" s="1"/>
  <c r="T1473" i="4"/>
  <c r="T1468" i="4" s="1"/>
  <c r="U398" i="4"/>
  <c r="U399" i="4" s="1"/>
  <c r="V394" i="4" s="1"/>
  <c r="CO1012" i="4"/>
  <c r="CN18" i="11"/>
  <c r="CN1027" i="4"/>
  <c r="CO1020" i="4"/>
  <c r="CN34" i="11"/>
  <c r="CN1024" i="4"/>
  <c r="CN1028" i="4" s="1"/>
  <c r="BZ20" i="11"/>
  <c r="BZ35" i="11"/>
  <c r="BZ33" i="11" s="1"/>
  <c r="BZ1464" i="4" s="1"/>
  <c r="BZ1064" i="4"/>
  <c r="U1245" i="4" l="1"/>
  <c r="U52" i="62"/>
  <c r="U43" i="62"/>
  <c r="V488" i="4"/>
  <c r="U15" i="11"/>
  <c r="U13" i="11" s="1"/>
  <c r="U64" i="62"/>
  <c r="U51" i="11"/>
  <c r="U1101" i="4"/>
  <c r="U1103" i="4" s="1"/>
  <c r="U1104" i="4" s="1"/>
  <c r="U1105" i="4" s="1"/>
  <c r="V499" i="4"/>
  <c r="V1100" i="4" s="1"/>
  <c r="CA1049" i="4"/>
  <c r="CB1045" i="4" s="1"/>
  <c r="BZ41" i="66"/>
  <c r="BZ1321" i="4"/>
  <c r="BZ1124" i="4"/>
  <c r="BZ1126" i="4"/>
  <c r="BZ1296" i="4"/>
  <c r="BZ1335" i="4"/>
  <c r="BZ76" i="11"/>
  <c r="BZ66" i="62"/>
  <c r="CO1022" i="4"/>
  <c r="CN23" i="66"/>
  <c r="CN1125" i="4"/>
  <c r="CN43" i="66"/>
  <c r="CN1322" i="4"/>
  <c r="CN1339" i="4"/>
  <c r="CN1297" i="4"/>
  <c r="CN77" i="11"/>
  <c r="CO1014" i="4"/>
  <c r="CA79" i="64"/>
  <c r="CA71" i="64"/>
  <c r="CA1062" i="4" l="1"/>
  <c r="CA20" i="11" s="1"/>
  <c r="AB20" i="67" s="1"/>
  <c r="U23" i="62"/>
  <c r="U62" i="64"/>
  <c r="U984" i="4"/>
  <c r="U26" i="11"/>
  <c r="V1240" i="4"/>
  <c r="CO1015" i="4"/>
  <c r="I1014" i="4"/>
  <c r="CB1048" i="4"/>
  <c r="CB105" i="64" s="1"/>
  <c r="CB63" i="64" s="1"/>
  <c r="CO1023" i="4"/>
  <c r="I1022" i="4"/>
  <c r="CA1064" i="4" l="1"/>
  <c r="CA1296" i="4" s="1"/>
  <c r="CA35" i="11"/>
  <c r="CA33" i="11" s="1"/>
  <c r="CA1464" i="4" s="1"/>
  <c r="U988" i="4"/>
  <c r="U70" i="64"/>
  <c r="U78" i="64"/>
  <c r="U16" i="66"/>
  <c r="CB1049" i="4"/>
  <c r="CB71" i="64"/>
  <c r="CB79" i="64"/>
  <c r="CO34" i="11"/>
  <c r="CO1024" i="4"/>
  <c r="CO18" i="11"/>
  <c r="CO1027" i="4"/>
  <c r="CO1016" i="4"/>
  <c r="I1016" i="4" s="1"/>
  <c r="AB76" i="67" l="1"/>
  <c r="CA66" i="62"/>
  <c r="CA1126" i="4"/>
  <c r="CA1321" i="4"/>
  <c r="CA1335" i="4"/>
  <c r="CA1124" i="4"/>
  <c r="CA76" i="11"/>
  <c r="CA41" i="66"/>
  <c r="AB35" i="67"/>
  <c r="AB33" i="67" s="1"/>
  <c r="U14" i="66"/>
  <c r="U1320" i="4"/>
  <c r="U992" i="4"/>
  <c r="U71" i="11"/>
  <c r="U1294" i="4"/>
  <c r="U1120" i="4"/>
  <c r="CO1028" i="4"/>
  <c r="I1024" i="4"/>
  <c r="CB1062" i="4"/>
  <c r="CC1045" i="4"/>
  <c r="U47" i="11" l="1"/>
  <c r="U1073" i="4"/>
  <c r="U13" i="66"/>
  <c r="U1298" i="4"/>
  <c r="CO43" i="66"/>
  <c r="CO1322" i="4"/>
  <c r="I1322" i="4" s="1"/>
  <c r="CO1125" i="4"/>
  <c r="I1125" i="4" s="1"/>
  <c r="CO1339" i="4"/>
  <c r="I1339" i="4" s="1"/>
  <c r="CO1297" i="4"/>
  <c r="I1297" i="4" s="1"/>
  <c r="CO23" i="66"/>
  <c r="CO77" i="11"/>
  <c r="I77" i="11" s="1"/>
  <c r="I1028" i="4"/>
  <c r="AF77" i="67"/>
  <c r="I77" i="67" s="1"/>
  <c r="CC1048" i="4"/>
  <c r="CC105" i="64" s="1"/>
  <c r="CC63" i="64" s="1"/>
  <c r="CB20" i="11"/>
  <c r="CB35" i="11"/>
  <c r="CB33" i="11" s="1"/>
  <c r="CB1464" i="4" s="1"/>
  <c r="CB1064" i="4"/>
  <c r="CC1049" i="4" l="1"/>
  <c r="CC1062" i="4" s="1"/>
  <c r="U28" i="66"/>
  <c r="U27" i="66" s="1"/>
  <c r="U1077" i="4"/>
  <c r="U62" i="11"/>
  <c r="U61" i="11"/>
  <c r="U48" i="11"/>
  <c r="I43" i="66"/>
  <c r="I170" i="15"/>
  <c r="J170" i="15"/>
  <c r="K170" i="15"/>
  <c r="M170" i="15"/>
  <c r="CB41" i="66"/>
  <c r="CB1321" i="4"/>
  <c r="CB1296" i="4"/>
  <c r="CB1335" i="4"/>
  <c r="CB1126" i="4"/>
  <c r="CB1124" i="4"/>
  <c r="CB76" i="11"/>
  <c r="CB66" i="62"/>
  <c r="I23" i="66"/>
  <c r="J149" i="15"/>
  <c r="K149" i="15"/>
  <c r="M149" i="15"/>
  <c r="CC79" i="64"/>
  <c r="CC71" i="64"/>
  <c r="CD1045" i="4" l="1"/>
  <c r="CD1048" i="4" s="1"/>
  <c r="CD105" i="64" s="1"/>
  <c r="CD63" i="64" s="1"/>
  <c r="U62" i="62"/>
  <c r="U64" i="11"/>
  <c r="U1472" i="4"/>
  <c r="U63" i="11"/>
  <c r="U1081" i="4"/>
  <c r="U55" i="11"/>
  <c r="G170" i="15"/>
  <c r="G149" i="15"/>
  <c r="CC20" i="11"/>
  <c r="CC35" i="11"/>
  <c r="CC33" i="11" s="1"/>
  <c r="CC1464" i="4" s="1"/>
  <c r="CC1064" i="4"/>
  <c r="CD1049" i="4" l="1"/>
  <c r="CD1062" i="4" s="1"/>
  <c r="U1082" i="4"/>
  <c r="U1089" i="4"/>
  <c r="CD71" i="64"/>
  <c r="CD79" i="64"/>
  <c r="CC1126" i="4"/>
  <c r="CC1321" i="4"/>
  <c r="CC76" i="11"/>
  <c r="CC41" i="66"/>
  <c r="CC1296" i="4"/>
  <c r="CC1124" i="4"/>
  <c r="CC1335" i="4"/>
  <c r="CC66" i="62"/>
  <c r="CE1045" i="4" l="1"/>
  <c r="CE1048" i="4" s="1"/>
  <c r="CE105" i="64" s="1"/>
  <c r="CE63" i="64" s="1"/>
  <c r="U1093" i="4"/>
  <c r="CD20" i="11"/>
  <c r="CD35" i="11"/>
  <c r="CD33" i="11" s="1"/>
  <c r="CD1464" i="4" s="1"/>
  <c r="CD1064" i="4"/>
  <c r="CE1049" i="4" l="1"/>
  <c r="CE1062" i="4" s="1"/>
  <c r="U1090" i="4"/>
  <c r="CE71" i="64"/>
  <c r="CE79" i="64"/>
  <c r="CD41" i="66"/>
  <c r="CD76" i="11"/>
  <c r="CD1296" i="4"/>
  <c r="CD1124" i="4"/>
  <c r="CD1335" i="4"/>
  <c r="CD1126" i="4"/>
  <c r="CD1321" i="4"/>
  <c r="CD66" i="62"/>
  <c r="CF1045" i="4" l="1"/>
  <c r="CF1048" i="4" s="1"/>
  <c r="CF105" i="64" s="1"/>
  <c r="CF63" i="64" s="1"/>
  <c r="U1083" i="4"/>
  <c r="U1091" i="4"/>
  <c r="V1088" i="4" s="1"/>
  <c r="CE35" i="11"/>
  <c r="CE20" i="11"/>
  <c r="AC20" i="67" s="1"/>
  <c r="CE1064" i="4"/>
  <c r="U1084" i="4" l="1"/>
  <c r="CF1049" i="4"/>
  <c r="CF1062" i="4" s="1"/>
  <c r="AC35" i="67"/>
  <c r="AC33" i="67" s="1"/>
  <c r="CE33" i="11"/>
  <c r="CE1464" i="4" s="1"/>
  <c r="CF71" i="64"/>
  <c r="CF79" i="64"/>
  <c r="CE41" i="66"/>
  <c r="CE1296" i="4"/>
  <c r="CE76" i="11"/>
  <c r="CE1335" i="4"/>
  <c r="CE1321" i="4"/>
  <c r="CE1126" i="4"/>
  <c r="CE1124" i="4"/>
  <c r="CE66" i="62"/>
  <c r="AC76" i="67"/>
  <c r="CG1045" i="4" l="1"/>
  <c r="CG1048" i="4" s="1"/>
  <c r="CG105" i="64" s="1"/>
  <c r="CG63" i="64" s="1"/>
  <c r="U1323" i="4"/>
  <c r="U1123" i="4"/>
  <c r="U1299" i="4"/>
  <c r="U1300" i="4" s="1"/>
  <c r="U75" i="11"/>
  <c r="U61" i="64"/>
  <c r="U56" i="11"/>
  <c r="U63" i="62"/>
  <c r="CF20" i="11"/>
  <c r="CF35" i="11"/>
  <c r="CF33" i="11" s="1"/>
  <c r="CF1464" i="4" s="1"/>
  <c r="CF1064" i="4"/>
  <c r="U69" i="64" l="1"/>
  <c r="U66" i="64"/>
  <c r="U40" i="64" s="1"/>
  <c r="U42" i="64" s="1"/>
  <c r="U77" i="64"/>
  <c r="U67" i="62"/>
  <c r="U68" i="62" s="1"/>
  <c r="U1313" i="4"/>
  <c r="U1130" i="4"/>
  <c r="U1132" i="4" s="1"/>
  <c r="U1135" i="4" s="1"/>
  <c r="U57" i="11"/>
  <c r="CF41" i="66"/>
  <c r="CF1296" i="4"/>
  <c r="CF1126" i="4"/>
  <c r="CF1335" i="4"/>
  <c r="CF1124" i="4"/>
  <c r="CF1321" i="4"/>
  <c r="CF76" i="11"/>
  <c r="CF66" i="62"/>
  <c r="CG1049" i="4"/>
  <c r="CG79" i="64"/>
  <c r="CG71" i="64"/>
  <c r="U1193" i="4" l="1"/>
  <c r="U1194" i="4" s="1"/>
  <c r="U1196" i="4" s="1"/>
  <c r="U1198" i="4" s="1"/>
  <c r="U1164" i="4" s="1"/>
  <c r="U1471" i="4"/>
  <c r="U1283" i="4"/>
  <c r="U82" i="64"/>
  <c r="U49" i="64"/>
  <c r="U52" i="64"/>
  <c r="U74" i="64"/>
  <c r="CG1062" i="4"/>
  <c r="CH1045" i="4"/>
  <c r="U1214" i="4" l="1"/>
  <c r="U1165" i="4"/>
  <c r="CH1048" i="4"/>
  <c r="CH105" i="64" s="1"/>
  <c r="CH63" i="64" s="1"/>
  <c r="CG20" i="11"/>
  <c r="CG35" i="11"/>
  <c r="CG33" i="11" s="1"/>
  <c r="CG1464" i="4" s="1"/>
  <c r="CG1064" i="4"/>
  <c r="CH1049" i="4" l="1"/>
  <c r="CI1045" i="4" s="1"/>
  <c r="V1162" i="4"/>
  <c r="V1207" i="4"/>
  <c r="U1302" i="4"/>
  <c r="U38" i="66"/>
  <c r="U1481" i="4"/>
  <c r="U1483" i="4" s="1"/>
  <c r="U1424" i="4"/>
  <c r="U1324" i="4"/>
  <c r="U88" i="11"/>
  <c r="U1215" i="4"/>
  <c r="CG41" i="66"/>
  <c r="CG1126" i="4"/>
  <c r="CG1296" i="4"/>
  <c r="CG1335" i="4"/>
  <c r="CG1124" i="4"/>
  <c r="CG1321" i="4"/>
  <c r="CG76" i="11"/>
  <c r="CG66" i="62"/>
  <c r="CH71" i="64"/>
  <c r="CH79" i="64"/>
  <c r="CH1062" i="4" l="1"/>
  <c r="CH1064" i="4" s="1"/>
  <c r="U1303" i="4"/>
  <c r="V1225" i="4"/>
  <c r="U31" i="11"/>
  <c r="U1489" i="4"/>
  <c r="V1212" i="4"/>
  <c r="U1505" i="4"/>
  <c r="U1515" i="4"/>
  <c r="V1163" i="4"/>
  <c r="CI1048" i="4"/>
  <c r="CI105" i="64" s="1"/>
  <c r="CI63" i="64" s="1"/>
  <c r="CH35" i="11" l="1"/>
  <c r="CH33" i="11" s="1"/>
  <c r="CH1464" i="4" s="1"/>
  <c r="CH20" i="11"/>
  <c r="CI1049" i="4"/>
  <c r="CI1062" i="4" s="1"/>
  <c r="V1213" i="4"/>
  <c r="V1206" i="4"/>
  <c r="V1202" i="4"/>
  <c r="V1178" i="4"/>
  <c r="U1271" i="4"/>
  <c r="U1281" i="4"/>
  <c r="V1492" i="4"/>
  <c r="U1490" i="4"/>
  <c r="U30" i="11"/>
  <c r="U45" i="62"/>
  <c r="CI71" i="64"/>
  <c r="CI79" i="64"/>
  <c r="CH41" i="66"/>
  <c r="CH1124" i="4"/>
  <c r="CH1296" i="4"/>
  <c r="CH1126" i="4"/>
  <c r="CH1335" i="4"/>
  <c r="CH1321" i="4"/>
  <c r="CH76" i="11"/>
  <c r="CH66" i="62"/>
  <c r="CJ1045" i="4" l="1"/>
  <c r="CJ1048" i="4" s="1"/>
  <c r="CJ105" i="64" s="1"/>
  <c r="CJ63" i="64" s="1"/>
  <c r="U1252" i="4"/>
  <c r="U1274" i="4"/>
  <c r="U1275" i="4" s="1"/>
  <c r="U1265" i="4" s="1"/>
  <c r="V1189" i="4"/>
  <c r="V1179" i="4"/>
  <c r="V1180" i="4"/>
  <c r="U1495" i="4"/>
  <c r="U1493" i="4"/>
  <c r="V1224" i="4"/>
  <c r="V1336" i="4"/>
  <c r="V87" i="11"/>
  <c r="V18" i="66"/>
  <c r="V1310" i="4"/>
  <c r="V1423" i="4"/>
  <c r="CI20" i="11"/>
  <c r="AD20" i="67" s="1"/>
  <c r="CI35" i="11"/>
  <c r="CI1064" i="4"/>
  <c r="V1169" i="4" l="1"/>
  <c r="V1181" i="4"/>
  <c r="V1226" i="4"/>
  <c r="V1218" i="4"/>
  <c r="U1266" i="4"/>
  <c r="U1264" i="4"/>
  <c r="U1253" i="4" s="1"/>
  <c r="U1496" i="4"/>
  <c r="U1261" i="4"/>
  <c r="U1268" i="4" s="1"/>
  <c r="U1257" i="4"/>
  <c r="CI41" i="66"/>
  <c r="CI1124" i="4"/>
  <c r="CI1335" i="4"/>
  <c r="CI1126" i="4"/>
  <c r="CI76" i="11"/>
  <c r="CI1296" i="4"/>
  <c r="CI1321" i="4"/>
  <c r="CI66" i="62"/>
  <c r="AD76" i="67"/>
  <c r="AD35" i="67"/>
  <c r="AD33" i="67" s="1"/>
  <c r="CI33" i="11"/>
  <c r="CI1464" i="4" s="1"/>
  <c r="CJ1049" i="4"/>
  <c r="CJ79" i="64"/>
  <c r="CJ71" i="64"/>
  <c r="U86" i="11" l="1"/>
  <c r="U1338" i="4"/>
  <c r="U1309" i="4"/>
  <c r="U19" i="66"/>
  <c r="U1480" i="4"/>
  <c r="V1220" i="4"/>
  <c r="V1219" i="4"/>
  <c r="V1074" i="4"/>
  <c r="V72" i="11"/>
  <c r="V1076" i="4"/>
  <c r="V50" i="11"/>
  <c r="V1295" i="4"/>
  <c r="V297" i="4"/>
  <c r="V37" i="66"/>
  <c r="V1122" i="4"/>
  <c r="V1326" i="4"/>
  <c r="V1197" i="4"/>
  <c r="V1190" i="4"/>
  <c r="U1327" i="4"/>
  <c r="U1272" i="4"/>
  <c r="U1276" i="4" s="1"/>
  <c r="U1254" i="4" s="1"/>
  <c r="U1304" i="4"/>
  <c r="U74" i="11"/>
  <c r="U78" i="11" s="1"/>
  <c r="U1386" i="4"/>
  <c r="U36" i="66"/>
  <c r="V1170" i="4"/>
  <c r="CJ1062" i="4"/>
  <c r="CK1045" i="4"/>
  <c r="V305" i="4" l="1"/>
  <c r="V330" i="4" s="1"/>
  <c r="V294" i="4"/>
  <c r="V1221" i="4"/>
  <c r="V53" i="11"/>
  <c r="V49" i="11"/>
  <c r="U1421" i="4"/>
  <c r="U1385" i="4"/>
  <c r="U1388" i="4" s="1"/>
  <c r="U17" i="66"/>
  <c r="V1188" i="4"/>
  <c r="U39" i="66"/>
  <c r="U35" i="66" s="1"/>
  <c r="U89" i="11"/>
  <c r="U1328" i="4"/>
  <c r="U1305" i="4"/>
  <c r="U1282" i="4" s="1"/>
  <c r="U1255" i="4"/>
  <c r="CK1048" i="4"/>
  <c r="CK105" i="64" s="1"/>
  <c r="CK63" i="64" s="1"/>
  <c r="CJ20" i="11"/>
  <c r="CJ35" i="11"/>
  <c r="CJ33" i="11" s="1"/>
  <c r="CJ1464" i="4" s="1"/>
  <c r="CJ1064" i="4"/>
  <c r="U27" i="11" l="1"/>
  <c r="V1250" i="4"/>
  <c r="U1506" i="4"/>
  <c r="U1390" i="4"/>
  <c r="U1402" i="4"/>
  <c r="U1425" i="4"/>
  <c r="V1121" i="4"/>
  <c r="V73" i="11"/>
  <c r="V1325" i="4"/>
  <c r="V1301" i="4"/>
  <c r="V52" i="11"/>
  <c r="U1284" i="4"/>
  <c r="U1286" i="4" s="1"/>
  <c r="V299" i="4"/>
  <c r="V302" i="4"/>
  <c r="W479" i="4"/>
  <c r="W457" i="4"/>
  <c r="V467" i="4"/>
  <c r="W468" i="4"/>
  <c r="V456" i="4"/>
  <c r="V478" i="4"/>
  <c r="CK79" i="64"/>
  <c r="CK71" i="64"/>
  <c r="CJ41" i="66"/>
  <c r="CJ1335" i="4"/>
  <c r="CJ1124" i="4"/>
  <c r="CJ1126" i="4"/>
  <c r="CJ1321" i="4"/>
  <c r="CJ76" i="11"/>
  <c r="CJ1296" i="4"/>
  <c r="CJ66" i="62"/>
  <c r="CK1049" i="4"/>
  <c r="U1440" i="4" l="1"/>
  <c r="U1441" i="4" s="1"/>
  <c r="U1442" i="4" s="1"/>
  <c r="U1285" i="4"/>
  <c r="U1329" i="4"/>
  <c r="U90" i="11"/>
  <c r="U91" i="11" s="1"/>
  <c r="U93" i="11" s="1"/>
  <c r="U96" i="11" s="1"/>
  <c r="U97" i="11" s="1"/>
  <c r="U1306" i="4"/>
  <c r="U1307" i="4" s="1"/>
  <c r="U1311" i="4" s="1"/>
  <c r="V1290" i="4" s="1"/>
  <c r="U48" i="62"/>
  <c r="U24" i="62" s="1"/>
  <c r="U26" i="62" s="1"/>
  <c r="U58" i="11"/>
  <c r="U59" i="11" s="1"/>
  <c r="U28" i="11" s="1"/>
  <c r="U25" i="11" s="1"/>
  <c r="U22" i="66"/>
  <c r="V469" i="4"/>
  <c r="V470" i="4" s="1"/>
  <c r="U1507" i="4"/>
  <c r="U1508" i="4" s="1"/>
  <c r="U1509" i="4"/>
  <c r="V1144" i="4"/>
  <c r="W495" i="4"/>
  <c r="V480" i="4"/>
  <c r="V481" i="4" s="1"/>
  <c r="V331" i="4"/>
  <c r="V307" i="4"/>
  <c r="U1403" i="4"/>
  <c r="U1404" i="4" s="1"/>
  <c r="V458" i="4"/>
  <c r="V459" i="4" s="1"/>
  <c r="CK1062" i="4"/>
  <c r="CL1045" i="4"/>
  <c r="V332" i="4" l="1"/>
  <c r="V14" i="11" s="1"/>
  <c r="V482" i="4"/>
  <c r="V483" i="4" s="1"/>
  <c r="W477" i="4" s="1"/>
  <c r="V1145" i="4"/>
  <c r="V1235" i="4"/>
  <c r="V1234" i="4"/>
  <c r="U37" i="11"/>
  <c r="U1475" i="4"/>
  <c r="U1470" i="4" s="1"/>
  <c r="U1474" i="4"/>
  <c r="U1469" i="4" s="1"/>
  <c r="V460" i="4"/>
  <c r="V461" i="4" s="1"/>
  <c r="W455" i="4" s="1"/>
  <c r="V494" i="4"/>
  <c r="V1128" i="4"/>
  <c r="V471" i="4"/>
  <c r="V472" i="4" s="1"/>
  <c r="W466" i="4" s="1"/>
  <c r="U44" i="66"/>
  <c r="U40" i="66" s="1"/>
  <c r="U100" i="67"/>
  <c r="U46" i="62"/>
  <c r="V95" i="11"/>
  <c r="U21" i="11"/>
  <c r="U17" i="11" s="1"/>
  <c r="U1340" i="4"/>
  <c r="U1341" i="4" s="1"/>
  <c r="U101" i="67"/>
  <c r="U1462" i="4"/>
  <c r="U1461" i="4" s="1"/>
  <c r="U101" i="11"/>
  <c r="U100" i="11"/>
  <c r="U1330" i="4"/>
  <c r="U1331" i="4" s="1"/>
  <c r="U24" i="66"/>
  <c r="U20" i="66" s="1"/>
  <c r="V405" i="4"/>
  <c r="V385" i="4"/>
  <c r="V395" i="4"/>
  <c r="W1072" i="4"/>
  <c r="CL1048" i="4"/>
  <c r="CL105" i="64" s="1"/>
  <c r="CL63" i="64" s="1"/>
  <c r="CK20" i="11"/>
  <c r="CK35" i="11"/>
  <c r="CK33" i="11" s="1"/>
  <c r="CK1464" i="4" s="1"/>
  <c r="CK1064" i="4"/>
  <c r="U1343" i="4" l="1"/>
  <c r="U99" i="11"/>
  <c r="V406" i="4"/>
  <c r="V407" i="4" s="1"/>
  <c r="U1463" i="4"/>
  <c r="U1460" i="4" s="1"/>
  <c r="U23" i="11"/>
  <c r="U26" i="66"/>
  <c r="V1236" i="4"/>
  <c r="V1241" i="4"/>
  <c r="V1071" i="4"/>
  <c r="V1251" i="4"/>
  <c r="U46" i="66"/>
  <c r="V396" i="4"/>
  <c r="V397" i="4" s="1"/>
  <c r="V500" i="4"/>
  <c r="V489" i="4"/>
  <c r="V386" i="4"/>
  <c r="V387" i="4" s="1"/>
  <c r="CL1049" i="4"/>
  <c r="CL79" i="64"/>
  <c r="CL71" i="64"/>
  <c r="CK41" i="66"/>
  <c r="CK1321" i="4"/>
  <c r="CK1335" i="4"/>
  <c r="CK1296" i="4"/>
  <c r="CK1124" i="4"/>
  <c r="CK1126" i="4"/>
  <c r="CK76" i="11"/>
  <c r="CK66" i="62"/>
  <c r="U48" i="66" l="1"/>
  <c r="V501" i="4"/>
  <c r="V502" i="4" s="1"/>
  <c r="V490" i="4"/>
  <c r="V491" i="4" s="1"/>
  <c r="V388" i="4"/>
  <c r="V389" i="4" s="1"/>
  <c r="W384" i="4" s="1"/>
  <c r="U1516" i="4"/>
  <c r="U1517" i="4" s="1"/>
  <c r="U1473" i="4"/>
  <c r="U1468" i="4" s="1"/>
  <c r="V398" i="4"/>
  <c r="V399" i="4" s="1"/>
  <c r="W394" i="4" s="1"/>
  <c r="V85" i="11"/>
  <c r="V1337" i="4"/>
  <c r="V1308" i="4"/>
  <c r="V1244" i="4"/>
  <c r="V42" i="62"/>
  <c r="U39" i="11"/>
  <c r="U40" i="11" s="1"/>
  <c r="V408" i="4"/>
  <c r="V409" i="4" s="1"/>
  <c r="W404" i="4" s="1"/>
  <c r="CL1062" i="4"/>
  <c r="CM1045" i="4"/>
  <c r="V1101" i="4" l="1"/>
  <c r="V1103" i="4" s="1"/>
  <c r="V1104" i="4" s="1"/>
  <c r="V1105" i="4" s="1"/>
  <c r="W499" i="4"/>
  <c r="W1100" i="4" s="1"/>
  <c r="V52" i="62"/>
  <c r="V43" i="62"/>
  <c r="V1245" i="4"/>
  <c r="W488" i="4"/>
  <c r="V15" i="11"/>
  <c r="V13" i="11" s="1"/>
  <c r="V51" i="11"/>
  <c r="V64" i="62"/>
  <c r="CL20" i="11"/>
  <c r="CL35" i="11"/>
  <c r="CL33" i="11" s="1"/>
  <c r="CL1464" i="4" s="1"/>
  <c r="CL1064" i="4"/>
  <c r="CM1048" i="4"/>
  <c r="CM105" i="64" s="1"/>
  <c r="CM1049" i="4" l="1"/>
  <c r="CM1062" i="4" s="1"/>
  <c r="W1240" i="4"/>
  <c r="V26" i="11"/>
  <c r="V23" i="62"/>
  <c r="V62" i="64"/>
  <c r="V984" i="4"/>
  <c r="CM63" i="64"/>
  <c r="CL41" i="66"/>
  <c r="CL76" i="11"/>
  <c r="CL1124" i="4"/>
  <c r="CL1321" i="4"/>
  <c r="CL1335" i="4"/>
  <c r="CL1126" i="4"/>
  <c r="CL1296" i="4"/>
  <c r="CL66" i="62"/>
  <c r="CN1045" i="4" l="1"/>
  <c r="CN1048" i="4" s="1"/>
  <c r="CN105" i="64" s="1"/>
  <c r="V16" i="66"/>
  <c r="V988" i="4"/>
  <c r="V78" i="64"/>
  <c r="V70" i="64"/>
  <c r="CM20" i="11"/>
  <c r="AE20" i="67" s="1"/>
  <c r="CM35" i="11"/>
  <c r="CM1064" i="4"/>
  <c r="CM71" i="64"/>
  <c r="CM79" i="64"/>
  <c r="I63" i="64"/>
  <c r="V1320" i="4" l="1"/>
  <c r="V71" i="11"/>
  <c r="V1294" i="4"/>
  <c r="V1120" i="4"/>
  <c r="V992" i="4"/>
  <c r="V14" i="66"/>
  <c r="I71" i="64"/>
  <c r="AE42" i="13"/>
  <c r="CM1126" i="4"/>
  <c r="CM1335" i="4"/>
  <c r="CM76" i="11"/>
  <c r="CM1124" i="4"/>
  <c r="CM41" i="66"/>
  <c r="CM1296" i="4"/>
  <c r="CM1321" i="4"/>
  <c r="CM66" i="62"/>
  <c r="AE76" i="67"/>
  <c r="I79" i="64"/>
  <c r="AE35" i="67"/>
  <c r="AE33" i="67" s="1"/>
  <c r="CM33" i="11"/>
  <c r="CM1464" i="4" s="1"/>
  <c r="CN1049" i="4"/>
  <c r="CN63" i="64"/>
  <c r="V1073" i="4" l="1"/>
  <c r="V47" i="11"/>
  <c r="V1298" i="4"/>
  <c r="V13" i="66"/>
  <c r="CN79" i="64"/>
  <c r="CN71" i="64"/>
  <c r="CN1062" i="4"/>
  <c r="CO1045" i="4"/>
  <c r="V28" i="66" l="1"/>
  <c r="V27" i="66" s="1"/>
  <c r="V62" i="11"/>
  <c r="V61" i="11"/>
  <c r="V48" i="11"/>
  <c r="V1077" i="4"/>
  <c r="CO1048" i="4"/>
  <c r="CO1049" i="4" s="1"/>
  <c r="CO1062" i="4" s="1"/>
  <c r="CO1064" i="4" s="1"/>
  <c r="CN20" i="11"/>
  <c r="CN35" i="11"/>
  <c r="CN33" i="11" s="1"/>
  <c r="CN1464" i="4" s="1"/>
  <c r="CN1064" i="4"/>
  <c r="V55" i="11" l="1"/>
  <c r="V63" i="11"/>
  <c r="V62" i="62"/>
  <c r="V1472" i="4"/>
  <c r="V64" i="11"/>
  <c r="V1081" i="4"/>
  <c r="CO76" i="11"/>
  <c r="CO1126" i="4"/>
  <c r="CO41" i="66"/>
  <c r="CO1296" i="4"/>
  <c r="CO1335" i="4"/>
  <c r="CO1321" i="4"/>
  <c r="CO1124" i="4"/>
  <c r="I1064" i="4"/>
  <c r="V42" i="13"/>
  <c r="Z42" i="13"/>
  <c r="AA42" i="13"/>
  <c r="AB42" i="13"/>
  <c r="CO66" i="62"/>
  <c r="AC42" i="13"/>
  <c r="AD42" i="13"/>
  <c r="CP1064" i="4"/>
  <c r="CO20" i="11"/>
  <c r="CO35" i="11"/>
  <c r="CO33" i="11" s="1"/>
  <c r="CO1464" i="4" s="1"/>
  <c r="CO105" i="64"/>
  <c r="I1048" i="4"/>
  <c r="CN1321" i="4"/>
  <c r="CN41" i="66"/>
  <c r="CN76" i="11"/>
  <c r="CN1296" i="4"/>
  <c r="CN1126" i="4"/>
  <c r="CN1124" i="4"/>
  <c r="CN1335" i="4"/>
  <c r="AF76" i="67"/>
  <c r="I76" i="67" s="1"/>
  <c r="CN66" i="62"/>
  <c r="AF42" i="13"/>
  <c r="V1089" i="4" l="1"/>
  <c r="V1082" i="4"/>
  <c r="I1124" i="4"/>
  <c r="I1321" i="4"/>
  <c r="I66" i="62"/>
  <c r="I1335" i="4"/>
  <c r="I1296" i="4"/>
  <c r="I41" i="66"/>
  <c r="I168" i="15"/>
  <c r="J168" i="15"/>
  <c r="K168" i="15"/>
  <c r="L168" i="15"/>
  <c r="M168" i="15"/>
  <c r="I1126" i="4"/>
  <c r="I42" i="13"/>
  <c r="CO63" i="64"/>
  <c r="I105" i="64"/>
  <c r="I76" i="11"/>
  <c r="V1093" i="4" l="1"/>
  <c r="CO71" i="64"/>
  <c r="CO79" i="64"/>
  <c r="G168" i="15"/>
  <c r="V1090" i="4" l="1"/>
  <c r="V1083" i="4" l="1"/>
  <c r="V1091" i="4"/>
  <c r="W1088" i="4" s="1"/>
  <c r="V1084" i="4" l="1"/>
  <c r="V1123" i="4" l="1"/>
  <c r="V56" i="11"/>
  <c r="V75" i="11"/>
  <c r="V1299" i="4"/>
  <c r="V1300" i="4" s="1"/>
  <c r="V61" i="64"/>
  <c r="V1323" i="4"/>
  <c r="V63" i="62"/>
  <c r="V77" i="64" l="1"/>
  <c r="V66" i="64"/>
  <c r="V69" i="64"/>
  <c r="V67" i="62"/>
  <c r="V68" i="62" s="1"/>
  <c r="V1313" i="4"/>
  <c r="V57" i="11"/>
  <c r="V1130" i="4"/>
  <c r="V1132" i="4" s="1"/>
  <c r="V1135" i="4" s="1"/>
  <c r="V1193" i="4" l="1"/>
  <c r="V1194" i="4" s="1"/>
  <c r="V1196" i="4" s="1"/>
  <c r="V1198" i="4" s="1"/>
  <c r="V1164" i="4" s="1"/>
  <c r="V74" i="64"/>
  <c r="V40" i="64"/>
  <c r="V1471" i="4"/>
  <c r="V1283" i="4"/>
  <c r="V82" i="64"/>
  <c r="V42" i="64" l="1"/>
  <c r="V1214" i="4"/>
  <c r="V1165" i="4"/>
  <c r="W1162" i="4" l="1"/>
  <c r="W1207" i="4"/>
  <c r="W1225" i="4" s="1"/>
  <c r="V1324" i="4"/>
  <c r="V38" i="66"/>
  <c r="V88" i="11"/>
  <c r="V1424" i="4"/>
  <c r="V1302" i="4"/>
  <c r="V1303" i="4" s="1"/>
  <c r="V1481" i="4"/>
  <c r="V1483" i="4" s="1"/>
  <c r="V1215" i="4"/>
  <c r="V49" i="64"/>
  <c r="V52" i="64"/>
  <c r="V1271" i="4" l="1"/>
  <c r="V1281" i="4"/>
  <c r="V31" i="11"/>
  <c r="V1489" i="4"/>
  <c r="V1490" i="4" s="1"/>
  <c r="V1505" i="4"/>
  <c r="V1515" i="4"/>
  <c r="W1212" i="4"/>
  <c r="W1163" i="4"/>
  <c r="V1495" i="4" l="1"/>
  <c r="V1493" i="4"/>
  <c r="V45" i="62"/>
  <c r="V30" i="11"/>
  <c r="W1206" i="4"/>
  <c r="W1224" i="4" s="1"/>
  <c r="W1226" i="4" s="1"/>
  <c r="W1213" i="4"/>
  <c r="W1202" i="4"/>
  <c r="W1178" i="4"/>
  <c r="W1492" i="4"/>
  <c r="V1252" i="4"/>
  <c r="V1274" i="4"/>
  <c r="V1275" i="4" s="1"/>
  <c r="V1265" i="4" s="1"/>
  <c r="V1496" i="4" l="1"/>
  <c r="N87" i="67"/>
  <c r="W1336" i="4"/>
  <c r="W1310" i="4"/>
  <c r="W87" i="11"/>
  <c r="W18" i="66"/>
  <c r="W1423" i="4"/>
  <c r="N14" i="13" s="1"/>
  <c r="N72" i="67"/>
  <c r="W37" i="66"/>
  <c r="W1076" i="4"/>
  <c r="W72" i="11"/>
  <c r="W1122" i="4"/>
  <c r="W1295" i="4"/>
  <c r="W50" i="11"/>
  <c r="W1326" i="4"/>
  <c r="W297" i="4"/>
  <c r="W305" i="4" s="1"/>
  <c r="W330" i="4" s="1"/>
  <c r="V1264" i="4"/>
  <c r="V1253" i="4" s="1"/>
  <c r="V1266" i="4"/>
  <c r="V1257" i="4"/>
  <c r="V1261" i="4"/>
  <c r="V1268" i="4" s="1"/>
  <c r="W1189" i="4"/>
  <c r="W1218" i="4" s="1"/>
  <c r="W1180" i="4"/>
  <c r="W1169" i="4" s="1"/>
  <c r="W1170" i="4" s="1"/>
  <c r="W1188" i="4" s="1"/>
  <c r="W1179" i="4"/>
  <c r="X468" i="4" l="1"/>
  <c r="X479" i="4"/>
  <c r="X457" i="4"/>
  <c r="W467" i="4"/>
  <c r="W469" i="4" s="1"/>
  <c r="W470" i="4" s="1"/>
  <c r="W471" i="4" s="1"/>
  <c r="W472" i="4" s="1"/>
  <c r="X466" i="4" s="1"/>
  <c r="W456" i="4"/>
  <c r="W458" i="4" s="1"/>
  <c r="W459" i="4" s="1"/>
  <c r="W478" i="4"/>
  <c r="W480" i="4" s="1"/>
  <c r="W481" i="4" s="1"/>
  <c r="W482" i="4" s="1"/>
  <c r="W483" i="4" s="1"/>
  <c r="X477" i="4" s="1"/>
  <c r="W49" i="11"/>
  <c r="N50" i="67"/>
  <c r="J143" i="15"/>
  <c r="W1219" i="4"/>
  <c r="W294" i="4" s="1"/>
  <c r="W1074" i="4"/>
  <c r="W1220" i="4"/>
  <c r="V1338" i="4"/>
  <c r="V19" i="66"/>
  <c r="V1309" i="4"/>
  <c r="V86" i="11"/>
  <c r="V1480" i="4"/>
  <c r="V1272" i="4"/>
  <c r="V1276" i="4" s="1"/>
  <c r="V1254" i="4" s="1"/>
  <c r="V1304" i="4"/>
  <c r="V1327" i="4"/>
  <c r="V74" i="11"/>
  <c r="V78" i="11" s="1"/>
  <c r="V1386" i="4"/>
  <c r="V36" i="66"/>
  <c r="W1181" i="4"/>
  <c r="X495" i="4" l="1"/>
  <c r="X1072" i="4" s="1"/>
  <c r="W299" i="4"/>
  <c r="W302" i="4"/>
  <c r="W1190" i="4"/>
  <c r="W1221" i="4" s="1"/>
  <c r="W1197" i="4"/>
  <c r="W460" i="4"/>
  <c r="W461" i="4" s="1"/>
  <c r="X455" i="4" s="1"/>
  <c r="W494" i="4"/>
  <c r="W1071" i="4" s="1"/>
  <c r="N49" i="67"/>
  <c r="V17" i="66"/>
  <c r="V1421" i="4"/>
  <c r="V1385" i="4"/>
  <c r="V1388" i="4" s="1"/>
  <c r="W53" i="11"/>
  <c r="W52" i="11" s="1"/>
  <c r="N53" i="67"/>
  <c r="V39" i="66"/>
  <c r="V89" i="11"/>
  <c r="V1305" i="4"/>
  <c r="V1282" i="4" s="1"/>
  <c r="V1328" i="4"/>
  <c r="V1255" i="4"/>
  <c r="V35" i="66" l="1"/>
  <c r="V1390" i="4"/>
  <c r="V1402" i="4"/>
  <c r="N52" i="67"/>
  <c r="V27" i="11"/>
  <c r="W1250" i="4"/>
  <c r="V1506" i="4"/>
  <c r="V1425" i="4"/>
  <c r="W1121" i="4"/>
  <c r="W1144" i="4" s="1"/>
  <c r="W73" i="11"/>
  <c r="W1301" i="4"/>
  <c r="W1325" i="4"/>
  <c r="N23" i="13"/>
  <c r="N73" i="67"/>
  <c r="W307" i="4"/>
  <c r="W331" i="4"/>
  <c r="V1284" i="4"/>
  <c r="V1286" i="4" s="1"/>
  <c r="V1440" i="4" l="1"/>
  <c r="V1441" i="4" s="1"/>
  <c r="V1442" i="4" s="1"/>
  <c r="W332" i="4"/>
  <c r="W1145" i="4"/>
  <c r="W1235" i="4"/>
  <c r="W1251" i="4" s="1"/>
  <c r="W1234" i="4"/>
  <c r="V1403" i="4"/>
  <c r="V1404" i="4" s="1"/>
  <c r="V1509" i="4"/>
  <c r="V1507" i="4"/>
  <c r="V1508" i="4" s="1"/>
  <c r="V1285" i="4"/>
  <c r="W405" i="4"/>
  <c r="W406" i="4" s="1"/>
  <c r="W407" i="4" s="1"/>
  <c r="W408" i="4" s="1"/>
  <c r="W409" i="4" s="1"/>
  <c r="X404" i="4" s="1"/>
  <c r="W395" i="4"/>
  <c r="W396" i="4" s="1"/>
  <c r="W397" i="4" s="1"/>
  <c r="W398" i="4" s="1"/>
  <c r="W399" i="4" s="1"/>
  <c r="X394" i="4" s="1"/>
  <c r="W385" i="4"/>
  <c r="V1306" i="4"/>
  <c r="V1307" i="4" s="1"/>
  <c r="V1311" i="4" s="1"/>
  <c r="W1290" i="4" s="1"/>
  <c r="V90" i="11"/>
  <c r="V91" i="11" s="1"/>
  <c r="V93" i="11" s="1"/>
  <c r="V96" i="11" s="1"/>
  <c r="V97" i="11" s="1"/>
  <c r="V48" i="62"/>
  <c r="V24" i="62" s="1"/>
  <c r="V26" i="62" s="1"/>
  <c r="V58" i="11"/>
  <c r="V59" i="11" s="1"/>
  <c r="V28" i="11" s="1"/>
  <c r="V1329" i="4"/>
  <c r="V22" i="66"/>
  <c r="W1236" i="4" l="1"/>
  <c r="W1241" i="4"/>
  <c r="V1340" i="4"/>
  <c r="V1341" i="4" s="1"/>
  <c r="V101" i="11"/>
  <c r="V44" i="66"/>
  <c r="V40" i="66" s="1"/>
  <c r="W95" i="11"/>
  <c r="V101" i="67"/>
  <c r="V1330" i="4"/>
  <c r="V1331" i="4" s="1"/>
  <c r="V24" i="66"/>
  <c r="V21" i="11"/>
  <c r="V17" i="11" s="1"/>
  <c r="V100" i="11"/>
  <c r="V100" i="67"/>
  <c r="V1462" i="4"/>
  <c r="V1461" i="4" s="1"/>
  <c r="V46" i="62"/>
  <c r="V25" i="11"/>
  <c r="W1128" i="4"/>
  <c r="W500" i="4"/>
  <c r="W386" i="4"/>
  <c r="W387" i="4" s="1"/>
  <c r="W489" i="4"/>
  <c r="W14" i="11"/>
  <c r="N14" i="67"/>
  <c r="W501" i="4" l="1"/>
  <c r="W502" i="4" s="1"/>
  <c r="W490" i="4"/>
  <c r="W491" i="4" s="1"/>
  <c r="W388" i="4"/>
  <c r="W389" i="4" s="1"/>
  <c r="X384" i="4" s="1"/>
  <c r="V99" i="11"/>
  <c r="V46" i="66"/>
  <c r="V1463" i="4"/>
  <c r="V1460" i="4" s="1"/>
  <c r="V23" i="11"/>
  <c r="V20" i="66"/>
  <c r="N85" i="67"/>
  <c r="W42" i="62"/>
  <c r="W85" i="11"/>
  <c r="W1337" i="4"/>
  <c r="W1244" i="4"/>
  <c r="W1245" i="4" s="1"/>
  <c r="W1308" i="4"/>
  <c r="V1343" i="4"/>
  <c r="V1475" i="4"/>
  <c r="V1470" i="4" s="1"/>
  <c r="V37" i="11"/>
  <c r="V1474" i="4"/>
  <c r="V1469" i="4" s="1"/>
  <c r="V39" i="11" l="1"/>
  <c r="V40" i="11" s="1"/>
  <c r="W52" i="62"/>
  <c r="W43" i="62"/>
  <c r="W23" i="62" s="1"/>
  <c r="W16" i="66" s="1"/>
  <c r="N15" i="67"/>
  <c r="N13" i="67" s="1"/>
  <c r="W15" i="11"/>
  <c r="W13" i="11" s="1"/>
  <c r="X488" i="4"/>
  <c r="V26" i="66"/>
  <c r="V48" i="66" s="1"/>
  <c r="W51" i="11"/>
  <c r="W64" i="62"/>
  <c r="N51" i="67"/>
  <c r="N26" i="67"/>
  <c r="W26" i="11"/>
  <c r="X1240" i="4"/>
  <c r="V1516" i="4"/>
  <c r="V1517" i="4" s="1"/>
  <c r="V1473" i="4"/>
  <c r="V1468" i="4" s="1"/>
  <c r="W1101" i="4"/>
  <c r="W1103" i="4" s="1"/>
  <c r="W1104" i="4" s="1"/>
  <c r="W1105" i="4" s="1"/>
  <c r="X499" i="4"/>
  <c r="X1100" i="4" s="1"/>
  <c r="W984" i="4" l="1"/>
  <c r="W988" i="4" s="1"/>
  <c r="W62" i="64"/>
  <c r="J140" i="15"/>
  <c r="W14" i="66"/>
  <c r="W70" i="64" l="1"/>
  <c r="W78" i="64"/>
  <c r="W13" i="66"/>
  <c r="J138" i="15"/>
  <c r="W1320" i="4"/>
  <c r="W71" i="11"/>
  <c r="W1120" i="4"/>
  <c r="W992" i="4"/>
  <c r="W1294" i="4"/>
  <c r="W1298" i="4" s="1"/>
  <c r="N71" i="67"/>
  <c r="N40" i="13"/>
  <c r="J137" i="15" l="1"/>
  <c r="W28" i="66"/>
  <c r="W27" i="66" s="1"/>
  <c r="N47" i="67"/>
  <c r="W47" i="11"/>
  <c r="W1073" i="4"/>
  <c r="W1077" i="4" s="1"/>
  <c r="W1081" i="4" s="1"/>
  <c r="N20" i="72"/>
  <c r="W61" i="11" l="1"/>
  <c r="W62" i="11"/>
  <c r="W48" i="11"/>
  <c r="W55" i="11" s="1"/>
  <c r="N61" i="67"/>
  <c r="N62" i="67"/>
  <c r="N48" i="67"/>
  <c r="W1089" i="4"/>
  <c r="W1082" i="4"/>
  <c r="N63" i="67" l="1"/>
  <c r="W62" i="62"/>
  <c r="W64" i="11"/>
  <c r="W1472" i="4"/>
  <c r="W1093" i="4"/>
  <c r="W1090" i="4" s="1"/>
  <c r="W1083" i="4" s="1"/>
  <c r="W63" i="11"/>
  <c r="N1526" i="4"/>
  <c r="N1529" i="4" s="1"/>
  <c r="N64" i="67"/>
  <c r="N55" i="67"/>
  <c r="W1084" i="4" l="1"/>
  <c r="W63" i="62" s="1"/>
  <c r="W1091" i="4"/>
  <c r="X1088" i="4" s="1"/>
  <c r="W67" i="62" l="1"/>
  <c r="W68" i="62" s="1"/>
  <c r="W75" i="11"/>
  <c r="W61" i="64"/>
  <c r="W1299" i="4"/>
  <c r="W1300" i="4" s="1"/>
  <c r="W1123" i="4"/>
  <c r="W1323" i="4"/>
  <c r="W56" i="11"/>
  <c r="N41" i="13"/>
  <c r="N75" i="67"/>
  <c r="N56" i="67"/>
  <c r="W1130" i="4" l="1"/>
  <c r="W1132" i="4" s="1"/>
  <c r="W1135" i="4" s="1"/>
  <c r="W1313" i="4"/>
  <c r="W66" i="64"/>
  <c r="W69" i="64"/>
  <c r="W77" i="64"/>
  <c r="N57" i="67"/>
  <c r="N43" i="13"/>
  <c r="W57" i="11"/>
  <c r="W82" i="64" l="1"/>
  <c r="W74" i="64"/>
  <c r="W1471" i="4"/>
  <c r="W1283" i="4"/>
  <c r="W40" i="64"/>
  <c r="W1193" i="4"/>
  <c r="W1194" i="4" s="1"/>
  <c r="W1196" i="4" s="1"/>
  <c r="W1198" i="4" s="1"/>
  <c r="W1164" i="4" s="1"/>
  <c r="W1214" i="4" l="1"/>
  <c r="W1165" i="4"/>
  <c r="W42" i="64"/>
  <c r="W52" i="64" l="1"/>
  <c r="W49" i="64"/>
  <c r="X1162" i="4"/>
  <c r="X1207" i="4"/>
  <c r="X1225" i="4" s="1"/>
  <c r="W1424" i="4"/>
  <c r="W1481" i="4"/>
  <c r="W1483" i="4" s="1"/>
  <c r="W1302" i="4"/>
  <c r="W1303" i="4" s="1"/>
  <c r="W38" i="66"/>
  <c r="W88" i="11"/>
  <c r="W1324" i="4"/>
  <c r="N88" i="67"/>
  <c r="N24" i="13"/>
  <c r="W1215" i="4"/>
  <c r="W1281" i="4" l="1"/>
  <c r="W1271" i="4"/>
  <c r="X1163" i="4"/>
  <c r="N1525" i="4"/>
  <c r="X1212" i="4"/>
  <c r="W1515" i="4"/>
  <c r="N31" i="67"/>
  <c r="N30" i="67" s="1"/>
  <c r="W31" i="11"/>
  <c r="W1489" i="4"/>
  <c r="W1490" i="4" s="1"/>
  <c r="W1505" i="4"/>
  <c r="X1492" i="4" l="1"/>
  <c r="X1178" i="4"/>
  <c r="X1213" i="4"/>
  <c r="X1206" i="4"/>
  <c r="X1224" i="4" s="1"/>
  <c r="X1226" i="4" s="1"/>
  <c r="X1202" i="4"/>
  <c r="W1495" i="4"/>
  <c r="W1493" i="4"/>
  <c r="W30" i="11"/>
  <c r="W45" i="62"/>
  <c r="W1274" i="4"/>
  <c r="W1275" i="4" s="1"/>
  <c r="W1265" i="4" s="1"/>
  <c r="W1252" i="4"/>
  <c r="X1122" i="4" l="1"/>
  <c r="X50" i="11"/>
  <c r="X1295" i="4"/>
  <c r="X37" i="66"/>
  <c r="X1076" i="4"/>
  <c r="X297" i="4"/>
  <c r="X305" i="4" s="1"/>
  <c r="X330" i="4" s="1"/>
  <c r="X1326" i="4"/>
  <c r="X72" i="11"/>
  <c r="W1257" i="4"/>
  <c r="W1261" i="4"/>
  <c r="W1268" i="4" s="1"/>
  <c r="X87" i="11"/>
  <c r="X18" i="66"/>
  <c r="X1336" i="4"/>
  <c r="X1310" i="4"/>
  <c r="X1423" i="4"/>
  <c r="W1264" i="4"/>
  <c r="W1253" i="4" s="1"/>
  <c r="W1266" i="4"/>
  <c r="X1180" i="4"/>
  <c r="X1169" i="4" s="1"/>
  <c r="X1170" i="4" s="1"/>
  <c r="X1188" i="4" s="1"/>
  <c r="X1179" i="4"/>
  <c r="X1189" i="4"/>
  <c r="X1218" i="4" s="1"/>
  <c r="W1496" i="4"/>
  <c r="X1181" i="4" l="1"/>
  <c r="X1197" i="4" s="1"/>
  <c r="Y479" i="4"/>
  <c r="X456" i="4"/>
  <c r="X458" i="4" s="1"/>
  <c r="X459" i="4" s="1"/>
  <c r="X467" i="4"/>
  <c r="X469" i="4" s="1"/>
  <c r="X470" i="4" s="1"/>
  <c r="X471" i="4" s="1"/>
  <c r="X472" i="4" s="1"/>
  <c r="Y466" i="4" s="1"/>
  <c r="X478" i="4"/>
  <c r="X480" i="4" s="1"/>
  <c r="X481" i="4" s="1"/>
  <c r="X482" i="4" s="1"/>
  <c r="X483" i="4" s="1"/>
  <c r="Y477" i="4" s="1"/>
  <c r="Y457" i="4"/>
  <c r="Y468" i="4"/>
  <c r="X1220" i="4"/>
  <c r="X1219" i="4"/>
  <c r="X294" i="4" s="1"/>
  <c r="X1074" i="4"/>
  <c r="W1304" i="4"/>
  <c r="W1327" i="4"/>
  <c r="W1272" i="4"/>
  <c r="W1276" i="4" s="1"/>
  <c r="W1254" i="4" s="1"/>
  <c r="W74" i="11"/>
  <c r="W78" i="11" s="1"/>
  <c r="N74" i="67"/>
  <c r="N78" i="67" s="1"/>
  <c r="W1386" i="4"/>
  <c r="W36" i="66"/>
  <c r="W86" i="11"/>
  <c r="W1338" i="4"/>
  <c r="W1309" i="4"/>
  <c r="W19" i="66"/>
  <c r="N86" i="67"/>
  <c r="W1480" i="4"/>
  <c r="N25" i="13" s="1"/>
  <c r="X49" i="11"/>
  <c r="X1190" i="4" l="1"/>
  <c r="X1221" i="4" s="1"/>
  <c r="X73" i="11" s="1"/>
  <c r="Y495" i="4"/>
  <c r="Y1072" i="4" s="1"/>
  <c r="J162" i="15"/>
  <c r="W1421" i="4"/>
  <c r="W1385" i="4"/>
  <c r="W1388" i="4" s="1"/>
  <c r="X299" i="4"/>
  <c r="X302" i="4"/>
  <c r="W1328" i="4"/>
  <c r="W89" i="11"/>
  <c r="W39" i="66"/>
  <c r="W35" i="66" s="1"/>
  <c r="W1305" i="4"/>
  <c r="W1282" i="4" s="1"/>
  <c r="N89" i="67"/>
  <c r="X53" i="11"/>
  <c r="X52" i="11" s="1"/>
  <c r="X494" i="4"/>
  <c r="X1071" i="4" s="1"/>
  <c r="X460" i="4"/>
  <c r="X461" i="4" s="1"/>
  <c r="Y455" i="4" s="1"/>
  <c r="W17" i="66"/>
  <c r="J144" i="15"/>
  <c r="W1255" i="4"/>
  <c r="X1121" i="4" l="1"/>
  <c r="X1144" i="4" s="1"/>
  <c r="X1234" i="4" s="1"/>
  <c r="X1325" i="4"/>
  <c r="X1301" i="4"/>
  <c r="J161" i="15"/>
  <c r="X331" i="4"/>
  <c r="X307" i="4"/>
  <c r="W1390" i="4"/>
  <c r="W1402" i="4"/>
  <c r="W1425" i="4"/>
  <c r="N13" i="13"/>
  <c r="W27" i="11"/>
  <c r="N27" i="67"/>
  <c r="X1250" i="4"/>
  <c r="W1506" i="4"/>
  <c r="W1284" i="4"/>
  <c r="W1286" i="4" s="1"/>
  <c r="J142" i="15"/>
  <c r="W1440" i="4" l="1"/>
  <c r="W1441" i="4" s="1"/>
  <c r="W1442" i="4" s="1"/>
  <c r="X1235" i="4"/>
  <c r="X1251" i="4" s="1"/>
  <c r="X1145" i="4"/>
  <c r="W58" i="11"/>
  <c r="W59" i="11" s="1"/>
  <c r="W28" i="11" s="1"/>
  <c r="W1329" i="4"/>
  <c r="W90" i="11"/>
  <c r="W91" i="11" s="1"/>
  <c r="W93" i="11" s="1"/>
  <c r="W96" i="11" s="1"/>
  <c r="W97" i="11" s="1"/>
  <c r="W48" i="62"/>
  <c r="W24" i="62" s="1"/>
  <c r="W26" i="62" s="1"/>
  <c r="W1306" i="4"/>
  <c r="W1307" i="4" s="1"/>
  <c r="W1311" i="4" s="1"/>
  <c r="X1290" i="4" s="1"/>
  <c r="N90" i="67"/>
  <c r="N91" i="67" s="1"/>
  <c r="N93" i="67" s="1"/>
  <c r="N96" i="67" s="1"/>
  <c r="N97" i="67" s="1"/>
  <c r="N58" i="67"/>
  <c r="N59" i="67" s="1"/>
  <c r="W22" i="66"/>
  <c r="W1403" i="4"/>
  <c r="W1404" i="4" s="1"/>
  <c r="X332" i="4"/>
  <c r="X14" i="11" s="1"/>
  <c r="X385" i="4"/>
  <c r="X395" i="4"/>
  <c r="X396" i="4" s="1"/>
  <c r="X397" i="4" s="1"/>
  <c r="X398" i="4" s="1"/>
  <c r="X399" i="4" s="1"/>
  <c r="Y394" i="4" s="1"/>
  <c r="X405" i="4"/>
  <c r="X406" i="4" s="1"/>
  <c r="X407" i="4" s="1"/>
  <c r="X408" i="4" s="1"/>
  <c r="X409" i="4" s="1"/>
  <c r="Y404" i="4" s="1"/>
  <c r="W1285" i="4"/>
  <c r="X1241" i="4"/>
  <c r="W1507" i="4"/>
  <c r="W1508" i="4" s="1"/>
  <c r="W1509" i="4"/>
  <c r="X1236" i="4" l="1"/>
  <c r="O95" i="67"/>
  <c r="X386" i="4"/>
  <c r="X387" i="4" s="1"/>
  <c r="X500" i="4"/>
  <c r="X489" i="4"/>
  <c r="X1128" i="4"/>
  <c r="X1308" i="4"/>
  <c r="X1337" i="4"/>
  <c r="X85" i="11"/>
  <c r="X1244" i="4"/>
  <c r="X1245" i="4" s="1"/>
  <c r="X42" i="62"/>
  <c r="W1340" i="4"/>
  <c r="W1341" i="4" s="1"/>
  <c r="W21" i="11"/>
  <c r="W17" i="11" s="1"/>
  <c r="W1462" i="4"/>
  <c r="W1461" i="4" s="1"/>
  <c r="W1330" i="4"/>
  <c r="W1331" i="4" s="1"/>
  <c r="W24" i="66"/>
  <c r="W20" i="66" s="1"/>
  <c r="W101" i="67"/>
  <c r="N21" i="67"/>
  <c r="N17" i="67" s="1"/>
  <c r="N23" i="67" s="1"/>
  <c r="W46" i="62"/>
  <c r="X95" i="11"/>
  <c r="W100" i="67"/>
  <c r="W101" i="11"/>
  <c r="N1527" i="4"/>
  <c r="N1534" i="4" s="1"/>
  <c r="W44" i="66"/>
  <c r="W40" i="66" s="1"/>
  <c r="W100" i="11"/>
  <c r="N28" i="67"/>
  <c r="N25" i="67" s="1"/>
  <c r="N37" i="67" s="1"/>
  <c r="J148" i="15"/>
  <c r="W25" i="11"/>
  <c r="N39" i="67" l="1"/>
  <c r="N40" i="67" s="1"/>
  <c r="J146" i="15"/>
  <c r="J152" i="15" s="1"/>
  <c r="W26" i="66"/>
  <c r="W1463" i="4"/>
  <c r="W1460" i="4" s="1"/>
  <c r="W23" i="11"/>
  <c r="W99" i="11"/>
  <c r="X52" i="62"/>
  <c r="X43" i="62"/>
  <c r="X23" i="62" s="1"/>
  <c r="X16" i="66" s="1"/>
  <c r="J167" i="15"/>
  <c r="J173" i="15" s="1"/>
  <c r="W46" i="66"/>
  <c r="Y1240" i="4"/>
  <c r="X26" i="11"/>
  <c r="X501" i="4"/>
  <c r="X502" i="4" s="1"/>
  <c r="X490" i="4"/>
  <c r="X388" i="4"/>
  <c r="X389" i="4" s="1"/>
  <c r="Y384" i="4" s="1"/>
  <c r="J171" i="15"/>
  <c r="J150" i="15"/>
  <c r="N99" i="67"/>
  <c r="W1474" i="4"/>
  <c r="W1469" i="4" s="1"/>
  <c r="W1475" i="4"/>
  <c r="W1470" i="4" s="1"/>
  <c r="W37" i="11"/>
  <c r="W1343" i="4"/>
  <c r="X64" i="62" l="1"/>
  <c r="X51" i="11"/>
  <c r="W39" i="11"/>
  <c r="W40" i="11" s="1"/>
  <c r="X1101" i="4"/>
  <c r="X1103" i="4" s="1"/>
  <c r="X1104" i="4" s="1"/>
  <c r="X1105" i="4" s="1"/>
  <c r="Y499" i="4"/>
  <c r="Y1100" i="4" s="1"/>
  <c r="X491" i="4"/>
  <c r="W1516" i="4"/>
  <c r="W1517" i="4" s="1"/>
  <c r="W1473" i="4"/>
  <c r="W1468" i="4" s="1"/>
  <c r="W48" i="66"/>
  <c r="X14" i="66"/>
  <c r="X15" i="11" l="1"/>
  <c r="X13" i="11" s="1"/>
  <c r="Y488" i="4"/>
  <c r="X13" i="66"/>
  <c r="X62" i="64"/>
  <c r="X984" i="4"/>
  <c r="X988" i="4" s="1"/>
  <c r="X71" i="11" l="1"/>
  <c r="X992" i="4"/>
  <c r="X1120" i="4"/>
  <c r="X1320" i="4"/>
  <c r="X1294" i="4"/>
  <c r="X1298" i="4" s="1"/>
  <c r="X78" i="64"/>
  <c r="X70" i="64"/>
  <c r="X28" i="66"/>
  <c r="X27" i="66" s="1"/>
  <c r="X1073" i="4" l="1"/>
  <c r="X1077" i="4" s="1"/>
  <c r="X1081" i="4" s="1"/>
  <c r="X47" i="11"/>
  <c r="X61" i="11" l="1"/>
  <c r="X62" i="11"/>
  <c r="X48" i="11"/>
  <c r="X55" i="11" s="1"/>
  <c r="X1082" i="4"/>
  <c r="X1093" i="4" s="1"/>
  <c r="X1090" i="4" s="1"/>
  <c r="X1083" i="4" s="1"/>
  <c r="X1089" i="4"/>
  <c r="X1091" i="4" l="1"/>
  <c r="Y1088" i="4" s="1"/>
  <c r="X1084" i="4"/>
  <c r="X62" i="62"/>
  <c r="X1472" i="4"/>
  <c r="X64" i="11"/>
  <c r="X63" i="11"/>
  <c r="X63" i="62" l="1"/>
  <c r="X67" i="62" s="1"/>
  <c r="X68" i="62" s="1"/>
  <c r="X1123" i="4"/>
  <c r="X1299" i="4"/>
  <c r="X1300" i="4" s="1"/>
  <c r="X56" i="11"/>
  <c r="X1323" i="4"/>
  <c r="X61" i="64"/>
  <c r="X75" i="11"/>
  <c r="X77" i="64" l="1"/>
  <c r="X82" i="64" s="1"/>
  <c r="X66" i="64"/>
  <c r="X69" i="64"/>
  <c r="X74" i="64" s="1"/>
  <c r="X57" i="11"/>
  <c r="X1313" i="4"/>
  <c r="X1130" i="4"/>
  <c r="X1132" i="4" s="1"/>
  <c r="X1135" i="4" s="1"/>
  <c r="X1193" i="4" l="1"/>
  <c r="X1194" i="4" s="1"/>
  <c r="X1196" i="4" s="1"/>
  <c r="X1198" i="4" s="1"/>
  <c r="X1164" i="4" s="1"/>
  <c r="X1471" i="4"/>
  <c r="X1283" i="4"/>
  <c r="X40" i="64"/>
  <c r="X42" i="64" l="1"/>
  <c r="X1214" i="4"/>
  <c r="X1165" i="4"/>
  <c r="Y1162" i="4" l="1"/>
  <c r="Y1207" i="4"/>
  <c r="Y1225" i="4" s="1"/>
  <c r="X1424" i="4"/>
  <c r="X1324" i="4"/>
  <c r="X1302" i="4"/>
  <c r="X1303" i="4" s="1"/>
  <c r="X1481" i="4"/>
  <c r="X1483" i="4" s="1"/>
  <c r="X38" i="66"/>
  <c r="X88" i="11"/>
  <c r="X1215" i="4"/>
  <c r="X52" i="64"/>
  <c r="X49" i="64"/>
  <c r="X1271" i="4" l="1"/>
  <c r="X1281" i="4"/>
  <c r="X31" i="11"/>
  <c r="X1489" i="4"/>
  <c r="X1490" i="4" s="1"/>
  <c r="Y1212" i="4"/>
  <c r="X1515" i="4"/>
  <c r="X1505" i="4"/>
  <c r="Y1163" i="4"/>
  <c r="Y1492" i="4" l="1"/>
  <c r="X1495" i="4"/>
  <c r="X1493" i="4"/>
  <c r="X45" i="62"/>
  <c r="X30" i="11"/>
  <c r="Y1178" i="4"/>
  <c r="Y1213" i="4"/>
  <c r="Y1206" i="4"/>
  <c r="Y1224" i="4" s="1"/>
  <c r="Y1226" i="4" s="1"/>
  <c r="Y1202" i="4"/>
  <c r="X1274" i="4"/>
  <c r="X1275" i="4" s="1"/>
  <c r="X1265" i="4" s="1"/>
  <c r="X1252" i="4"/>
  <c r="X1496" i="4" l="1"/>
  <c r="Y1179" i="4"/>
  <c r="Y1189" i="4"/>
  <c r="Y1218" i="4" s="1"/>
  <c r="Y1180" i="4"/>
  <c r="Y1169" i="4" s="1"/>
  <c r="Y1170" i="4" s="1"/>
  <c r="Y1188" i="4" s="1"/>
  <c r="X1257" i="4"/>
  <c r="X1261" i="4"/>
  <c r="X1268" i="4" s="1"/>
  <c r="X1266" i="4"/>
  <c r="X1264" i="4"/>
  <c r="X1253" i="4" s="1"/>
  <c r="Y297" i="4"/>
  <c r="Y305" i="4" s="1"/>
  <c r="Y330" i="4" s="1"/>
  <c r="Y72" i="11"/>
  <c r="Y50" i="11"/>
  <c r="Y1326" i="4"/>
  <c r="Y1122" i="4"/>
  <c r="Y1076" i="4"/>
  <c r="Y1295" i="4"/>
  <c r="Y37" i="66"/>
  <c r="Y18" i="66"/>
  <c r="Y87" i="11"/>
  <c r="Y1336" i="4"/>
  <c r="Y1310" i="4"/>
  <c r="Y1423" i="4"/>
  <c r="X1327" i="4" l="1"/>
  <c r="X1304" i="4"/>
  <c r="X1272" i="4"/>
  <c r="X1276" i="4" s="1"/>
  <c r="X1254" i="4" s="1"/>
  <c r="X74" i="11"/>
  <c r="X78" i="11" s="1"/>
  <c r="X1386" i="4"/>
  <c r="X36" i="66"/>
  <c r="X86" i="11"/>
  <c r="X19" i="66"/>
  <c r="X1338" i="4"/>
  <c r="X1309" i="4"/>
  <c r="X1480" i="4"/>
  <c r="Y49" i="11"/>
  <c r="Z479" i="4"/>
  <c r="Z457" i="4"/>
  <c r="Z468" i="4"/>
  <c r="Y467" i="4"/>
  <c r="Y469" i="4" s="1"/>
  <c r="Y470" i="4" s="1"/>
  <c r="Y471" i="4" s="1"/>
  <c r="Y472" i="4" s="1"/>
  <c r="Z466" i="4" s="1"/>
  <c r="Y478" i="4"/>
  <c r="Y480" i="4" s="1"/>
  <c r="Y481" i="4" s="1"/>
  <c r="Y482" i="4" s="1"/>
  <c r="Y483" i="4" s="1"/>
  <c r="Z477" i="4" s="1"/>
  <c r="Y456" i="4"/>
  <c r="Y458" i="4" s="1"/>
  <c r="Y459" i="4" s="1"/>
  <c r="Y1220" i="4"/>
  <c r="Y1074" i="4"/>
  <c r="Y1219" i="4"/>
  <c r="Y294" i="4" s="1"/>
  <c r="Y1181" i="4"/>
  <c r="Y460" i="4" l="1"/>
  <c r="Y461" i="4" s="1"/>
  <c r="Z455" i="4" s="1"/>
  <c r="Y494" i="4"/>
  <c r="Y1071" i="4" s="1"/>
  <c r="Y1190" i="4"/>
  <c r="Y1221" i="4" s="1"/>
  <c r="Y1197" i="4"/>
  <c r="X1421" i="4"/>
  <c r="X1385" i="4"/>
  <c r="X1388" i="4" s="1"/>
  <c r="Y299" i="4"/>
  <c r="Y302" i="4"/>
  <c r="X39" i="66"/>
  <c r="X35" i="66" s="1"/>
  <c r="X1305" i="4"/>
  <c r="X1282" i="4" s="1"/>
  <c r="X1328" i="4"/>
  <c r="X89" i="11"/>
  <c r="Y53" i="11"/>
  <c r="Y52" i="11" s="1"/>
  <c r="Z495" i="4"/>
  <c r="Z1072" i="4" s="1"/>
  <c r="X17" i="66"/>
  <c r="X1255" i="4"/>
  <c r="Y331" i="4" l="1"/>
  <c r="Y307" i="4"/>
  <c r="X1390" i="4"/>
  <c r="X1402" i="4"/>
  <c r="X1425" i="4"/>
  <c r="Y1250" i="4"/>
  <c r="X27" i="11"/>
  <c r="X1506" i="4"/>
  <c r="Y1301" i="4"/>
  <c r="Y1121" i="4"/>
  <c r="Y1144" i="4" s="1"/>
  <c r="Y73" i="11"/>
  <c r="Y1325" i="4"/>
  <c r="X1284" i="4"/>
  <c r="X1286" i="4" s="1"/>
  <c r="X1440" i="4" l="1"/>
  <c r="X1441" i="4" s="1"/>
  <c r="X1442" i="4" s="1"/>
  <c r="Y332" i="4"/>
  <c r="Y14" i="11" s="1"/>
  <c r="X1285" i="4"/>
  <c r="X48" i="62"/>
  <c r="X24" i="62" s="1"/>
  <c r="X26" i="62" s="1"/>
  <c r="X90" i="11"/>
  <c r="X91" i="11" s="1"/>
  <c r="X93" i="11" s="1"/>
  <c r="X96" i="11" s="1"/>
  <c r="X97" i="11" s="1"/>
  <c r="X1329" i="4"/>
  <c r="X1306" i="4"/>
  <c r="X1307" i="4" s="1"/>
  <c r="X1311" i="4" s="1"/>
  <c r="Y1290" i="4" s="1"/>
  <c r="X58" i="11"/>
  <c r="X59" i="11" s="1"/>
  <c r="X28" i="11" s="1"/>
  <c r="X25" i="11" s="1"/>
  <c r="X22" i="66"/>
  <c r="Y1145" i="4"/>
  <c r="Y1234" i="4"/>
  <c r="Y1235" i="4"/>
  <c r="Y1251" i="4" s="1"/>
  <c r="X1403" i="4"/>
  <c r="X1404" i="4" s="1"/>
  <c r="X1509" i="4"/>
  <c r="X1507" i="4"/>
  <c r="X1508" i="4" s="1"/>
  <c r="Y405" i="4"/>
  <c r="Y406" i="4" s="1"/>
  <c r="Y407" i="4" s="1"/>
  <c r="Y408" i="4" s="1"/>
  <c r="Y409" i="4" s="1"/>
  <c r="Z404" i="4" s="1"/>
  <c r="Y395" i="4"/>
  <c r="Y396" i="4" s="1"/>
  <c r="Y397" i="4" s="1"/>
  <c r="Y398" i="4" s="1"/>
  <c r="Y399" i="4" s="1"/>
  <c r="Z394" i="4" s="1"/>
  <c r="Y385" i="4"/>
  <c r="X1474" i="4" l="1"/>
  <c r="X1469" i="4" s="1"/>
  <c r="X37" i="11"/>
  <c r="X1475" i="4"/>
  <c r="X1470" i="4" s="1"/>
  <c r="Y1241" i="4"/>
  <c r="Y1236" i="4"/>
  <c r="Y1128" i="4"/>
  <c r="Y500" i="4"/>
  <c r="Y386" i="4"/>
  <c r="Y387" i="4" s="1"/>
  <c r="Y489" i="4"/>
  <c r="X21" i="11"/>
  <c r="X17" i="11" s="1"/>
  <c r="X1340" i="4"/>
  <c r="X1341" i="4" s="1"/>
  <c r="Y95" i="11"/>
  <c r="X100" i="67"/>
  <c r="X24" i="66"/>
  <c r="X44" i="66"/>
  <c r="X40" i="66" s="1"/>
  <c r="X46" i="62"/>
  <c r="X101" i="11"/>
  <c r="X1330" i="4"/>
  <c r="X1331" i="4" s="1"/>
  <c r="X101" i="67"/>
  <c r="X1462" i="4"/>
  <c r="X1461" i="4" s="1"/>
  <c r="X100" i="11"/>
  <c r="X99" i="11" l="1"/>
  <c r="X1343" i="4"/>
  <c r="X1463" i="4"/>
  <c r="X1460" i="4" s="1"/>
  <c r="X23" i="11"/>
  <c r="X39" i="11" s="1"/>
  <c r="X40" i="11" s="1"/>
  <c r="Y1337" i="4"/>
  <c r="Y85" i="11"/>
  <c r="Y42" i="62"/>
  <c r="Y1308" i="4"/>
  <c r="Y1244" i="4"/>
  <c r="Y1245" i="4" s="1"/>
  <c r="Y501" i="4"/>
  <c r="Y502" i="4" s="1"/>
  <c r="Y490" i="4"/>
  <c r="Y388" i="4"/>
  <c r="Y389" i="4" s="1"/>
  <c r="Z384" i="4" s="1"/>
  <c r="X46" i="66"/>
  <c r="X20" i="66"/>
  <c r="Z1240" i="4" l="1"/>
  <c r="Y26" i="11"/>
  <c r="Y52" i="62"/>
  <c r="Y43" i="62"/>
  <c r="Y23" i="62" s="1"/>
  <c r="Y16" i="66" s="1"/>
  <c r="X26" i="66"/>
  <c r="X48" i="66" s="1"/>
  <c r="Y51" i="11"/>
  <c r="Y64" i="62"/>
  <c r="Y491" i="4"/>
  <c r="Z499" i="4"/>
  <c r="Z1100" i="4" s="1"/>
  <c r="Y1101" i="4"/>
  <c r="Y1103" i="4" s="1"/>
  <c r="Y1104" i="4" s="1"/>
  <c r="Y1105" i="4" s="1"/>
  <c r="X1516" i="4"/>
  <c r="X1517" i="4" s="1"/>
  <c r="X1473" i="4"/>
  <c r="X1468" i="4" s="1"/>
  <c r="Y14" i="66" l="1"/>
  <c r="Y62" i="64"/>
  <c r="Y984" i="4"/>
  <c r="Y988" i="4" s="1"/>
  <c r="Y15" i="11"/>
  <c r="Y13" i="11" s="1"/>
  <c r="Z488" i="4"/>
  <c r="Y78" i="64" l="1"/>
  <c r="Y70" i="64"/>
  <c r="Y13" i="66"/>
  <c r="Y1294" i="4"/>
  <c r="Y1298" i="4" s="1"/>
  <c r="Y992" i="4"/>
  <c r="Y71" i="11"/>
  <c r="Y1120" i="4"/>
  <c r="Y1320" i="4"/>
  <c r="Y1073" i="4" l="1"/>
  <c r="Y1077" i="4" s="1"/>
  <c r="Y1081" i="4" s="1"/>
  <c r="Y47" i="11"/>
  <c r="Y28" i="66"/>
  <c r="Y27" i="66" s="1"/>
  <c r="Y61" i="11" l="1"/>
  <c r="Y62" i="11"/>
  <c r="Y48" i="11"/>
  <c r="Y55" i="11" s="1"/>
  <c r="Y1089" i="4"/>
  <c r="Y1082" i="4"/>
  <c r="Y1093" i="4" l="1"/>
  <c r="Y1090" i="4" s="1"/>
  <c r="Y1083" i="4" s="1"/>
  <c r="Y1084" i="4" s="1"/>
  <c r="Y64" i="11"/>
  <c r="Y62" i="62"/>
  <c r="Y1472" i="4"/>
  <c r="Y63" i="11"/>
  <c r="Y1091" i="4" l="1"/>
  <c r="Z1088" i="4" s="1"/>
  <c r="Y1299" i="4"/>
  <c r="Y1300" i="4" s="1"/>
  <c r="Y1323" i="4"/>
  <c r="Y56" i="11"/>
  <c r="Y57" i="11" s="1"/>
  <c r="Y1123" i="4"/>
  <c r="Y1130" i="4" s="1"/>
  <c r="Y1132" i="4" s="1"/>
  <c r="Y1135" i="4" s="1"/>
  <c r="Y75" i="11"/>
  <c r="Y61" i="64"/>
  <c r="Y63" i="62"/>
  <c r="Y67" i="62" s="1"/>
  <c r="Y68" i="62" s="1"/>
  <c r="Y69" i="64" l="1"/>
  <c r="Y74" i="64" s="1"/>
  <c r="Y66" i="64"/>
  <c r="Y77" i="64"/>
  <c r="Y82" i="64" s="1"/>
  <c r="Y1471" i="4"/>
  <c r="Y1283" i="4"/>
  <c r="Y1313" i="4"/>
  <c r="Y1193" i="4" l="1"/>
  <c r="Y1194" i="4" s="1"/>
  <c r="Y1196" i="4" s="1"/>
  <c r="Y1198" i="4" s="1"/>
  <c r="Y1164" i="4" s="1"/>
  <c r="Y40" i="64"/>
  <c r="Y42" i="64" l="1"/>
  <c r="Y1214" i="4"/>
  <c r="Y1165" i="4"/>
  <c r="Z1162" i="4" l="1"/>
  <c r="Z1207" i="4"/>
  <c r="Z1225" i="4" s="1"/>
  <c r="Y1424" i="4"/>
  <c r="Y88" i="11"/>
  <c r="Y1481" i="4"/>
  <c r="Y1483" i="4" s="1"/>
  <c r="Y1302" i="4"/>
  <c r="Y1303" i="4" s="1"/>
  <c r="Y38" i="66"/>
  <c r="Y1324" i="4"/>
  <c r="Y1215" i="4"/>
  <c r="Y52" i="64"/>
  <c r="Y49" i="64"/>
  <c r="Y1281" i="4" l="1"/>
  <c r="Y1271" i="4"/>
  <c r="Y31" i="11"/>
  <c r="Y1489" i="4"/>
  <c r="Y1490" i="4" s="1"/>
  <c r="Y1505" i="4"/>
  <c r="Z1212" i="4"/>
  <c r="Y1515" i="4"/>
  <c r="Z1163" i="4"/>
  <c r="Z1492" i="4" l="1"/>
  <c r="Y1495" i="4"/>
  <c r="Y1493" i="4"/>
  <c r="Y45" i="62"/>
  <c r="Y30" i="11"/>
  <c r="Y1274" i="4"/>
  <c r="Y1275" i="4" s="1"/>
  <c r="Y1265" i="4" s="1"/>
  <c r="Y1252" i="4"/>
  <c r="Z1178" i="4"/>
  <c r="Z1206" i="4"/>
  <c r="Z1224" i="4" s="1"/>
  <c r="Z1226" i="4" s="1"/>
  <c r="Z1213" i="4"/>
  <c r="Z1202" i="4"/>
  <c r="Y1496" i="4" l="1"/>
  <c r="Z1295" i="4"/>
  <c r="Z72" i="11"/>
  <c r="Z1122" i="4"/>
  <c r="Z50" i="11"/>
  <c r="Z297" i="4"/>
  <c r="Z305" i="4" s="1"/>
  <c r="Z330" i="4" s="1"/>
  <c r="Z1076" i="4"/>
  <c r="Z1326" i="4"/>
  <c r="Z37" i="66"/>
  <c r="Z1180" i="4"/>
  <c r="Z1169" i="4" s="1"/>
  <c r="Z1170" i="4" s="1"/>
  <c r="Z1188" i="4" s="1"/>
  <c r="Z1189" i="4"/>
  <c r="Z1218" i="4" s="1"/>
  <c r="Z1179" i="4"/>
  <c r="Y1257" i="4"/>
  <c r="Y1261" i="4"/>
  <c r="Y1268" i="4" s="1"/>
  <c r="Z18" i="66"/>
  <c r="Z87" i="11"/>
  <c r="Z1310" i="4"/>
  <c r="Z1336" i="4"/>
  <c r="Z1423" i="4"/>
  <c r="Y1266" i="4"/>
  <c r="Y1264" i="4"/>
  <c r="Y1253" i="4" s="1"/>
  <c r="Y1327" i="4" l="1"/>
  <c r="Y1272" i="4"/>
  <c r="Y1276" i="4" s="1"/>
  <c r="Y1254" i="4" s="1"/>
  <c r="Y1304" i="4"/>
  <c r="Y74" i="11"/>
  <c r="Y78" i="11" s="1"/>
  <c r="Y1386" i="4"/>
  <c r="Y36" i="66"/>
  <c r="AA479" i="4"/>
  <c r="Z456" i="4"/>
  <c r="Z458" i="4" s="1"/>
  <c r="Z459" i="4" s="1"/>
  <c r="AA457" i="4"/>
  <c r="Z478" i="4"/>
  <c r="Z480" i="4" s="1"/>
  <c r="Z481" i="4" s="1"/>
  <c r="Z482" i="4" s="1"/>
  <c r="Z483" i="4" s="1"/>
  <c r="AA477" i="4" s="1"/>
  <c r="AA468" i="4"/>
  <c r="Z467" i="4"/>
  <c r="Z469" i="4" s="1"/>
  <c r="Z470" i="4" s="1"/>
  <c r="Z471" i="4" s="1"/>
  <c r="Z472" i="4" s="1"/>
  <c r="AA466" i="4" s="1"/>
  <c r="Z1181" i="4"/>
  <c r="Z49" i="11"/>
  <c r="Z1074" i="4"/>
  <c r="Z1220" i="4"/>
  <c r="Z1219" i="4"/>
  <c r="Z294" i="4" s="1"/>
  <c r="Y19" i="66"/>
  <c r="Y86" i="11"/>
  <c r="Y1338" i="4"/>
  <c r="Y1309" i="4"/>
  <c r="Y1480" i="4"/>
  <c r="Z53" i="11" l="1"/>
  <c r="Z52" i="11" s="1"/>
  <c r="Y1385" i="4"/>
  <c r="Y1388" i="4" s="1"/>
  <c r="Y1421" i="4"/>
  <c r="Z299" i="4"/>
  <c r="Z302" i="4"/>
  <c r="Y17" i="66"/>
  <c r="AA495" i="4"/>
  <c r="AA1072" i="4" s="1"/>
  <c r="Y89" i="11"/>
  <c r="Y1328" i="4"/>
  <c r="Y1305" i="4"/>
  <c r="Y1282" i="4" s="1"/>
  <c r="Y39" i="66"/>
  <c r="Y35" i="66" s="1"/>
  <c r="Z1197" i="4"/>
  <c r="Z1190" i="4"/>
  <c r="Z1221" i="4" s="1"/>
  <c r="Z494" i="4"/>
  <c r="Z1071" i="4" s="1"/>
  <c r="Z460" i="4"/>
  <c r="Z461" i="4" s="1"/>
  <c r="AA455" i="4" s="1"/>
  <c r="Y1255" i="4"/>
  <c r="Z331" i="4" l="1"/>
  <c r="Z307" i="4"/>
  <c r="Y27" i="11"/>
  <c r="Z1250" i="4"/>
  <c r="Y1506" i="4"/>
  <c r="Y1284" i="4"/>
  <c r="Y1286" i="4" s="1"/>
  <c r="Y1425" i="4"/>
  <c r="Y1390" i="4"/>
  <c r="Y1402" i="4"/>
  <c r="Z1121" i="4"/>
  <c r="Z1144" i="4" s="1"/>
  <c r="Z1301" i="4"/>
  <c r="Z1325" i="4"/>
  <c r="Z73" i="11"/>
  <c r="Y1440" i="4" l="1"/>
  <c r="Y1441" i="4" s="1"/>
  <c r="Y1442" i="4" s="1"/>
  <c r="Z332" i="4"/>
  <c r="Z14" i="11" s="1"/>
  <c r="Y1285" i="4"/>
  <c r="Z405" i="4"/>
  <c r="Z406" i="4" s="1"/>
  <c r="Z407" i="4" s="1"/>
  <c r="Z408" i="4" s="1"/>
  <c r="Z409" i="4" s="1"/>
  <c r="AA404" i="4" s="1"/>
  <c r="Z385" i="4"/>
  <c r="Z395" i="4"/>
  <c r="Z396" i="4" s="1"/>
  <c r="Z397" i="4" s="1"/>
  <c r="Z398" i="4" s="1"/>
  <c r="Z399" i="4" s="1"/>
  <c r="AA394" i="4" s="1"/>
  <c r="Y1329" i="4"/>
  <c r="Y48" i="62"/>
  <c r="Y24" i="62" s="1"/>
  <c r="Y26" i="62" s="1"/>
  <c r="Y1306" i="4"/>
  <c r="Y1307" i="4" s="1"/>
  <c r="Y1311" i="4" s="1"/>
  <c r="Z1290" i="4" s="1"/>
  <c r="Y58" i="11"/>
  <c r="Y59" i="11" s="1"/>
  <c r="Y28" i="11" s="1"/>
  <c r="Y90" i="11"/>
  <c r="Y91" i="11" s="1"/>
  <c r="Y93" i="11" s="1"/>
  <c r="Y96" i="11" s="1"/>
  <c r="Y97" i="11" s="1"/>
  <c r="Y22" i="66"/>
  <c r="Z1145" i="4"/>
  <c r="Z1234" i="4"/>
  <c r="Z1235" i="4"/>
  <c r="Z1251" i="4" s="1"/>
  <c r="Y1509" i="4"/>
  <c r="Y1507" i="4"/>
  <c r="Y1508" i="4" s="1"/>
  <c r="Y1403" i="4"/>
  <c r="Y1404" i="4" s="1"/>
  <c r="Z1241" i="4" l="1"/>
  <c r="Z1236" i="4"/>
  <c r="Z500" i="4"/>
  <c r="Z386" i="4"/>
  <c r="Z387" i="4" s="1"/>
  <c r="Z489" i="4"/>
  <c r="Y1462" i="4"/>
  <c r="Y1461" i="4" s="1"/>
  <c r="Y100" i="11"/>
  <c r="Y101" i="11"/>
  <c r="Y21" i="11"/>
  <c r="Y17" i="11" s="1"/>
  <c r="Y46" i="62"/>
  <c r="Y1330" i="4"/>
  <c r="Y1331" i="4" s="1"/>
  <c r="Y101" i="67"/>
  <c r="Z95" i="11"/>
  <c r="Y44" i="66"/>
  <c r="Y40" i="66" s="1"/>
  <c r="Y24" i="66"/>
  <c r="Y20" i="66" s="1"/>
  <c r="Y1340" i="4"/>
  <c r="Y1341" i="4" s="1"/>
  <c r="Y100" i="67"/>
  <c r="Z1128" i="4"/>
  <c r="Y25" i="11"/>
  <c r="Y1343" i="4" l="1"/>
  <c r="Z501" i="4"/>
  <c r="Z502" i="4" s="1"/>
  <c r="Z388" i="4"/>
  <c r="Z389" i="4" s="1"/>
  <c r="AA384" i="4" s="1"/>
  <c r="Z490" i="4"/>
  <c r="Y1463" i="4"/>
  <c r="Y1460" i="4" s="1"/>
  <c r="Y23" i="11"/>
  <c r="Y26" i="66"/>
  <c r="Y1474" i="4"/>
  <c r="Y1469" i="4" s="1"/>
  <c r="Y1475" i="4"/>
  <c r="Y1470" i="4" s="1"/>
  <c r="Y37" i="11"/>
  <c r="Y99" i="11"/>
  <c r="Y46" i="66"/>
  <c r="Z42" i="62"/>
  <c r="Z1308" i="4"/>
  <c r="Z85" i="11"/>
  <c r="Z1244" i="4"/>
  <c r="Z1245" i="4" s="1"/>
  <c r="Z1337" i="4"/>
  <c r="Y48" i="66" l="1"/>
  <c r="Y39" i="11"/>
  <c r="Y40" i="11" s="1"/>
  <c r="Y1516" i="4"/>
  <c r="Y1517" i="4" s="1"/>
  <c r="Y1473" i="4"/>
  <c r="Y1468" i="4" s="1"/>
  <c r="Z51" i="11"/>
  <c r="Z64" i="62"/>
  <c r="Z26" i="11"/>
  <c r="AA1240" i="4"/>
  <c r="Z1101" i="4"/>
  <c r="Z1103" i="4" s="1"/>
  <c r="Z1104" i="4" s="1"/>
  <c r="Z1105" i="4" s="1"/>
  <c r="AA499" i="4"/>
  <c r="AA1100" i="4" s="1"/>
  <c r="Z52" i="62"/>
  <c r="Z43" i="62"/>
  <c r="Z23" i="62" s="1"/>
  <c r="Z16" i="66" s="1"/>
  <c r="Z491" i="4"/>
  <c r="AA488" i="4" l="1"/>
  <c r="Z15" i="11"/>
  <c r="Z13" i="11" s="1"/>
  <c r="Z14" i="66"/>
  <c r="Z984" i="4"/>
  <c r="Z988" i="4" s="1"/>
  <c r="Z62" i="64"/>
  <c r="Z78" i="64" l="1"/>
  <c r="Z70" i="64"/>
  <c r="Z992" i="4"/>
  <c r="Z1294" i="4"/>
  <c r="Z1298" i="4" s="1"/>
  <c r="Z1320" i="4"/>
  <c r="Z71" i="11"/>
  <c r="Z1120" i="4"/>
  <c r="Z13" i="66"/>
  <c r="Z1073" i="4" l="1"/>
  <c r="Z1077" i="4" s="1"/>
  <c r="Z1081" i="4" s="1"/>
  <c r="Z47" i="11"/>
  <c r="Z28" i="66"/>
  <c r="Z27" i="66" s="1"/>
  <c r="Z61" i="11" l="1"/>
  <c r="Z62" i="11"/>
  <c r="Z48" i="11"/>
  <c r="Z55" i="11" s="1"/>
  <c r="Z1082" i="4"/>
  <c r="Z1093" i="4" s="1"/>
  <c r="Z1090" i="4" s="1"/>
  <c r="Z1083" i="4" s="1"/>
  <c r="Z1084" i="4" s="1"/>
  <c r="Z1089" i="4"/>
  <c r="Z1091" i="4" l="1"/>
  <c r="AA1088" i="4" s="1"/>
  <c r="Z1323" i="4"/>
  <c r="Z61" i="64"/>
  <c r="Z75" i="11"/>
  <c r="Z1299" i="4"/>
  <c r="Z1300" i="4" s="1"/>
  <c r="Z1123" i="4"/>
  <c r="Z1130" i="4" s="1"/>
  <c r="Z1132" i="4" s="1"/>
  <c r="Z1135" i="4" s="1"/>
  <c r="Z56" i="11"/>
  <c r="Z57" i="11" s="1"/>
  <c r="Z1472" i="4"/>
  <c r="Z64" i="11"/>
  <c r="Z62" i="62"/>
  <c r="Z63" i="11"/>
  <c r="Z1471" i="4" l="1"/>
  <c r="Z1283" i="4"/>
  <c r="Z63" i="62"/>
  <c r="Z67" i="62" s="1"/>
  <c r="Z68" i="62" s="1"/>
  <c r="Z1313" i="4"/>
  <c r="Z77" i="64"/>
  <c r="Z82" i="64" s="1"/>
  <c r="Z69" i="64"/>
  <c r="Z74" i="64" s="1"/>
  <c r="Z66" i="64"/>
  <c r="Z1193" i="4" l="1"/>
  <c r="Z1194" i="4" s="1"/>
  <c r="Z1196" i="4" s="1"/>
  <c r="Z1198" i="4" s="1"/>
  <c r="Z1164" i="4" s="1"/>
  <c r="Z40" i="64"/>
  <c r="Z42" i="64" l="1"/>
  <c r="Z1214" i="4"/>
  <c r="Z1165" i="4"/>
  <c r="AA1162" i="4" l="1"/>
  <c r="AA1207" i="4"/>
  <c r="AA1225" i="4" s="1"/>
  <c r="Z1424" i="4"/>
  <c r="Z1302" i="4"/>
  <c r="Z1303" i="4" s="1"/>
  <c r="Z38" i="66"/>
  <c r="Z1324" i="4"/>
  <c r="Z1481" i="4"/>
  <c r="Z1483" i="4" s="1"/>
  <c r="Z88" i="11"/>
  <c r="Z1215" i="4"/>
  <c r="Z52" i="64"/>
  <c r="Z49" i="64"/>
  <c r="Z1271" i="4" l="1"/>
  <c r="Z1281" i="4"/>
  <c r="Z31" i="11"/>
  <c r="Z1489" i="4"/>
  <c r="Z1490" i="4" s="1"/>
  <c r="AA1212" i="4"/>
  <c r="Z1505" i="4"/>
  <c r="Z1515" i="4"/>
  <c r="AA1163" i="4"/>
  <c r="Z1495" i="4" l="1"/>
  <c r="Z1493" i="4"/>
  <c r="Z45" i="62"/>
  <c r="Z30" i="11"/>
  <c r="AA1492" i="4"/>
  <c r="AA1178" i="4"/>
  <c r="AA1213" i="4"/>
  <c r="AA1206" i="4"/>
  <c r="AA1224" i="4" s="1"/>
  <c r="AA1226" i="4" s="1"/>
  <c r="AA1202" i="4"/>
  <c r="Z1252" i="4"/>
  <c r="Z1274" i="4"/>
  <c r="Z1275" i="4" s="1"/>
  <c r="Z1265" i="4" s="1"/>
  <c r="Z1496" i="4" l="1"/>
  <c r="Z1264" i="4"/>
  <c r="Z1253" i="4" s="1"/>
  <c r="Z1266" i="4"/>
  <c r="Z1257" i="4"/>
  <c r="Z1261" i="4"/>
  <c r="Z1268" i="4" s="1"/>
  <c r="O72" i="67"/>
  <c r="AA1326" i="4"/>
  <c r="AA1295" i="4"/>
  <c r="AA1122" i="4"/>
  <c r="AA1076" i="4"/>
  <c r="AA297" i="4"/>
  <c r="AA305" i="4" s="1"/>
  <c r="AA330" i="4" s="1"/>
  <c r="AA72" i="11"/>
  <c r="AA50" i="11"/>
  <c r="AA37" i="66"/>
  <c r="O87" i="67"/>
  <c r="AA18" i="66"/>
  <c r="AA87" i="11"/>
  <c r="AA1310" i="4"/>
  <c r="AA1336" i="4"/>
  <c r="AA1423" i="4"/>
  <c r="AA1179" i="4"/>
  <c r="AA1189" i="4"/>
  <c r="AA1218" i="4" s="1"/>
  <c r="AA1180" i="4"/>
  <c r="AA1169" i="4" s="1"/>
  <c r="AA1170" i="4" s="1"/>
  <c r="AA1188" i="4" s="1"/>
  <c r="AA49" i="11" l="1"/>
  <c r="O50" i="67"/>
  <c r="AB468" i="4"/>
  <c r="AA456" i="4"/>
  <c r="AA458" i="4" s="1"/>
  <c r="AA459" i="4" s="1"/>
  <c r="AA478" i="4"/>
  <c r="AA480" i="4" s="1"/>
  <c r="AA481" i="4" s="1"/>
  <c r="AA482" i="4" s="1"/>
  <c r="AA483" i="4" s="1"/>
  <c r="AB477" i="4" s="1"/>
  <c r="AB479" i="4"/>
  <c r="AA467" i="4"/>
  <c r="AA469" i="4" s="1"/>
  <c r="AA470" i="4" s="1"/>
  <c r="AA471" i="4" s="1"/>
  <c r="AA472" i="4" s="1"/>
  <c r="AB466" i="4" s="1"/>
  <c r="AB457" i="4"/>
  <c r="Z1309" i="4"/>
  <c r="Z1338" i="4"/>
  <c r="Z19" i="66"/>
  <c r="Z86" i="11"/>
  <c r="Z1480" i="4"/>
  <c r="AA1181" i="4"/>
  <c r="AA1074" i="4"/>
  <c r="AA1219" i="4"/>
  <c r="AA294" i="4" s="1"/>
  <c r="AA1220" i="4"/>
  <c r="K143" i="15"/>
  <c r="Z74" i="11"/>
  <c r="Z78" i="11" s="1"/>
  <c r="Z1327" i="4"/>
  <c r="Z1272" i="4"/>
  <c r="Z1276" i="4" s="1"/>
  <c r="Z1254" i="4" s="1"/>
  <c r="Z1304" i="4"/>
  <c r="Z36" i="66"/>
  <c r="Z1386" i="4"/>
  <c r="AB495" i="4" l="1"/>
  <c r="AB1072" i="4" s="1"/>
  <c r="Z17" i="66"/>
  <c r="AA53" i="11"/>
  <c r="AA52" i="11" s="1"/>
  <c r="O53" i="67"/>
  <c r="AA494" i="4"/>
  <c r="AA1071" i="4" s="1"/>
  <c r="AA460" i="4"/>
  <c r="AA461" i="4" s="1"/>
  <c r="AB455" i="4" s="1"/>
  <c r="Z1385" i="4"/>
  <c r="Z1388" i="4" s="1"/>
  <c r="Z1421" i="4"/>
  <c r="AA299" i="4"/>
  <c r="AA302" i="4"/>
  <c r="Z1305" i="4"/>
  <c r="Z1282" i="4" s="1"/>
  <c r="Z89" i="11"/>
  <c r="Z39" i="66"/>
  <c r="Z1328" i="4"/>
  <c r="O49" i="67"/>
  <c r="AA1190" i="4"/>
  <c r="AA1221" i="4" s="1"/>
  <c r="AA1197" i="4"/>
  <c r="Z1255" i="4"/>
  <c r="Z1425" i="4" l="1"/>
  <c r="Z1390" i="4"/>
  <c r="Z1402" i="4"/>
  <c r="O52" i="67"/>
  <c r="Z1284" i="4"/>
  <c r="Z1286" i="4" s="1"/>
  <c r="AA1325" i="4"/>
  <c r="AA1121" i="4"/>
  <c r="AA1144" i="4" s="1"/>
  <c r="AA73" i="11"/>
  <c r="AA1301" i="4"/>
  <c r="O23" i="13"/>
  <c r="O73" i="67"/>
  <c r="AA331" i="4"/>
  <c r="AA307" i="4"/>
  <c r="AA1250" i="4"/>
  <c r="Z27" i="11"/>
  <c r="Z1506" i="4"/>
  <c r="Z35" i="66"/>
  <c r="Z1440" i="4" l="1"/>
  <c r="Z1441" i="4" s="1"/>
  <c r="Z1442" i="4" s="1"/>
  <c r="Z1285" i="4"/>
  <c r="AA385" i="4"/>
  <c r="AA395" i="4"/>
  <c r="AA396" i="4" s="1"/>
  <c r="AA397" i="4" s="1"/>
  <c r="AA398" i="4" s="1"/>
  <c r="AA399" i="4" s="1"/>
  <c r="AB394" i="4" s="1"/>
  <c r="AA405" i="4"/>
  <c r="AA406" i="4" s="1"/>
  <c r="AA407" i="4" s="1"/>
  <c r="AA408" i="4" s="1"/>
  <c r="AA409" i="4" s="1"/>
  <c r="AB404" i="4" s="1"/>
  <c r="Z1509" i="4"/>
  <c r="Z1507" i="4"/>
  <c r="Z1508" i="4" s="1"/>
  <c r="AA332" i="4"/>
  <c r="AA1145" i="4"/>
  <c r="AA1235" i="4"/>
  <c r="AA1251" i="4" s="1"/>
  <c r="AA1234" i="4"/>
  <c r="Z1403" i="4"/>
  <c r="Z1404" i="4" s="1"/>
  <c r="Z1329" i="4"/>
  <c r="Z1306" i="4"/>
  <c r="Z1307" i="4" s="1"/>
  <c r="Z1311" i="4" s="1"/>
  <c r="AA1290" i="4" s="1"/>
  <c r="Z90" i="11"/>
  <c r="Z91" i="11" s="1"/>
  <c r="Z93" i="11" s="1"/>
  <c r="Z96" i="11" s="1"/>
  <c r="Z97" i="11" s="1"/>
  <c r="Z58" i="11"/>
  <c r="Z59" i="11" s="1"/>
  <c r="Z28" i="11" s="1"/>
  <c r="Z48" i="62"/>
  <c r="Z24" i="62" s="1"/>
  <c r="Z26" i="62" s="1"/>
  <c r="Z22" i="66"/>
  <c r="AA1236" i="4" l="1"/>
  <c r="AA1241" i="4"/>
  <c r="Z24" i="66"/>
  <c r="Z44" i="66"/>
  <c r="Z40" i="66" s="1"/>
  <c r="Z100" i="11"/>
  <c r="Z100" i="67"/>
  <c r="AA95" i="11"/>
  <c r="Z1330" i="4"/>
  <c r="Z1331" i="4" s="1"/>
  <c r="Z1340" i="4"/>
  <c r="Z1341" i="4" s="1"/>
  <c r="Z101" i="11"/>
  <c r="Z1462" i="4"/>
  <c r="Z1461" i="4" s="1"/>
  <c r="Z101" i="67"/>
  <c r="Z46" i="62"/>
  <c r="Z21" i="11"/>
  <c r="Z17" i="11" s="1"/>
  <c r="AA14" i="11"/>
  <c r="O14" i="67"/>
  <c r="AA500" i="4"/>
  <c r="AA386" i="4"/>
  <c r="AA387" i="4" s="1"/>
  <c r="AA489" i="4"/>
  <c r="AA1128" i="4"/>
  <c r="Z25" i="11"/>
  <c r="Z1343" i="4" l="1"/>
  <c r="AA388" i="4"/>
  <c r="AA389" i="4" s="1"/>
  <c r="AB384" i="4" s="1"/>
  <c r="AA501" i="4"/>
  <c r="AA502" i="4" s="1"/>
  <c r="AA490" i="4"/>
  <c r="AA491" i="4" s="1"/>
  <c r="Z1474" i="4"/>
  <c r="Z1469" i="4" s="1"/>
  <c r="Z1475" i="4"/>
  <c r="Z1470" i="4" s="1"/>
  <c r="Z37" i="11"/>
  <c r="Z99" i="11"/>
  <c r="O85" i="67"/>
  <c r="AA85" i="11"/>
  <c r="AA1308" i="4"/>
  <c r="AA1337" i="4"/>
  <c r="AA42" i="62"/>
  <c r="AA1244" i="4"/>
  <c r="AA1245" i="4" s="1"/>
  <c r="Z1463" i="4"/>
  <c r="Z1460" i="4" s="1"/>
  <c r="Z23" i="11"/>
  <c r="Z46" i="66"/>
  <c r="Z20" i="66"/>
  <c r="Z39" i="11" l="1"/>
  <c r="Z40" i="11" s="1"/>
  <c r="Z26" i="66"/>
  <c r="Z48" i="66" s="1"/>
  <c r="O26" i="67"/>
  <c r="AA26" i="11"/>
  <c r="AB1240" i="4"/>
  <c r="AA52" i="62"/>
  <c r="AA43" i="62"/>
  <c r="AA23" i="62" s="1"/>
  <c r="AA16" i="66" s="1"/>
  <c r="O51" i="67"/>
  <c r="AA51" i="11"/>
  <c r="AA64" i="62"/>
  <c r="O15" i="67"/>
  <c r="O13" i="67" s="1"/>
  <c r="AA15" i="11"/>
  <c r="AA13" i="11" s="1"/>
  <c r="AB488" i="4"/>
  <c r="AA1101" i="4"/>
  <c r="AA1103" i="4" s="1"/>
  <c r="AA1104" i="4" s="1"/>
  <c r="AA1105" i="4" s="1"/>
  <c r="AB499" i="4"/>
  <c r="AB1100" i="4" s="1"/>
  <c r="Z1516" i="4"/>
  <c r="Z1517" i="4" s="1"/>
  <c r="Z1473" i="4"/>
  <c r="Z1468" i="4" s="1"/>
  <c r="AA62" i="64" l="1"/>
  <c r="AA984" i="4"/>
  <c r="AA988" i="4" s="1"/>
  <c r="K140" i="15"/>
  <c r="AA14" i="66"/>
  <c r="AA13" i="66" l="1"/>
  <c r="K138" i="15"/>
  <c r="AA1320" i="4"/>
  <c r="AA992" i="4"/>
  <c r="AA1120" i="4"/>
  <c r="AA71" i="11"/>
  <c r="AA1294" i="4"/>
  <c r="AA1298" i="4" s="1"/>
  <c r="O71" i="67"/>
  <c r="O40" i="13"/>
  <c r="AA70" i="64"/>
  <c r="AA78" i="64"/>
  <c r="O47" i="67" l="1"/>
  <c r="AA1073" i="4"/>
  <c r="AA1077" i="4" s="1"/>
  <c r="AA1081" i="4" s="1"/>
  <c r="AA47" i="11"/>
  <c r="O20" i="72"/>
  <c r="K137" i="15"/>
  <c r="AA28" i="66"/>
  <c r="AA27" i="66" s="1"/>
  <c r="AA62" i="11" l="1"/>
  <c r="AA61" i="11"/>
  <c r="AA48" i="11"/>
  <c r="AA55" i="11" s="1"/>
  <c r="AA1089" i="4"/>
  <c r="AA1082" i="4"/>
  <c r="AA1093" i="4" s="1"/>
  <c r="AA1090" i="4" s="1"/>
  <c r="AA1083" i="4" s="1"/>
  <c r="AA1084" i="4" s="1"/>
  <c r="O62" i="67"/>
  <c r="O61" i="67"/>
  <c r="O48" i="67"/>
  <c r="O55" i="67" l="1"/>
  <c r="O63" i="67"/>
  <c r="O64" i="67"/>
  <c r="AA56" i="11"/>
  <c r="AA57" i="11" s="1"/>
  <c r="AA61" i="64"/>
  <c r="AA1299" i="4"/>
  <c r="AA1300" i="4" s="1"/>
  <c r="AA1323" i="4"/>
  <c r="AA75" i="11"/>
  <c r="AA1123" i="4"/>
  <c r="AA1130" i="4" s="1"/>
  <c r="AA1132" i="4" s="1"/>
  <c r="AA1135" i="4" s="1"/>
  <c r="O56" i="67"/>
  <c r="O41" i="13"/>
  <c r="O75" i="67"/>
  <c r="AA1091" i="4"/>
  <c r="AB1088" i="4" s="1"/>
  <c r="AA63" i="11"/>
  <c r="O1526" i="4"/>
  <c r="O1529" i="4" s="1"/>
  <c r="AA64" i="11"/>
  <c r="AA1472" i="4"/>
  <c r="AA62" i="62"/>
  <c r="AA77" i="64" l="1"/>
  <c r="AA82" i="64" s="1"/>
  <c r="AA69" i="64"/>
  <c r="AA74" i="64" s="1"/>
  <c r="AA66" i="64"/>
  <c r="AA40" i="64" s="1"/>
  <c r="AA42" i="64" s="1"/>
  <c r="AA1471" i="4"/>
  <c r="AA1283" i="4"/>
  <c r="O43" i="13"/>
  <c r="AA63" i="62"/>
  <c r="AA67" i="62" s="1"/>
  <c r="AA68" i="62" s="1"/>
  <c r="AA1313" i="4"/>
  <c r="O57" i="67"/>
  <c r="AA1193" i="4" l="1"/>
  <c r="AA1194" i="4" s="1"/>
  <c r="AA1196" i="4" s="1"/>
  <c r="AA1198" i="4" s="1"/>
  <c r="AA1164" i="4" s="1"/>
  <c r="AA49" i="64"/>
  <c r="AA52" i="64"/>
  <c r="AA1214" i="4" l="1"/>
  <c r="AA1165" i="4"/>
  <c r="AB1162" i="4" l="1"/>
  <c r="AB1207" i="4"/>
  <c r="AB1225" i="4" s="1"/>
  <c r="AA1324" i="4"/>
  <c r="AA1424" i="4"/>
  <c r="AA88" i="11"/>
  <c r="AA1302" i="4"/>
  <c r="AA1303" i="4" s="1"/>
  <c r="AA1481" i="4"/>
  <c r="AA1483" i="4" s="1"/>
  <c r="AA38" i="66"/>
  <c r="O88" i="67"/>
  <c r="O24" i="13"/>
  <c r="AA1215" i="4"/>
  <c r="AA1281" i="4" l="1"/>
  <c r="AA1271" i="4"/>
  <c r="O31" i="67"/>
  <c r="O30" i="67" s="1"/>
  <c r="O1525" i="4"/>
  <c r="AA31" i="11"/>
  <c r="AA1489" i="4"/>
  <c r="AA1490" i="4" s="1"/>
  <c r="AA1515" i="4"/>
  <c r="AB1212" i="4"/>
  <c r="AA1505" i="4"/>
  <c r="AB1163" i="4"/>
  <c r="AB1492" i="4" l="1"/>
  <c r="AA1495" i="4"/>
  <c r="AA1493" i="4"/>
  <c r="AA30" i="11"/>
  <c r="AA45" i="62"/>
  <c r="AA1252" i="4"/>
  <c r="AA1274" i="4"/>
  <c r="AA1275" i="4" s="1"/>
  <c r="AA1265" i="4" s="1"/>
  <c r="AB1178" i="4"/>
  <c r="AB1213" i="4"/>
  <c r="AB1206" i="4"/>
  <c r="AB1224" i="4" s="1"/>
  <c r="AB1226" i="4" s="1"/>
  <c r="AB1202" i="4"/>
  <c r="AA1496" i="4" l="1"/>
  <c r="AA1266" i="4"/>
  <c r="AA1264" i="4"/>
  <c r="AA1253" i="4" s="1"/>
  <c r="AA1257" i="4"/>
  <c r="AA1261" i="4"/>
  <c r="AA1268" i="4" s="1"/>
  <c r="AB1326" i="4"/>
  <c r="AB37" i="66"/>
  <c r="AB72" i="11"/>
  <c r="AB1295" i="4"/>
  <c r="AB297" i="4"/>
  <c r="AB305" i="4" s="1"/>
  <c r="AB330" i="4" s="1"/>
  <c r="AB1076" i="4"/>
  <c r="AB50" i="11"/>
  <c r="AB1122" i="4"/>
  <c r="AB1310" i="4"/>
  <c r="AB1336" i="4"/>
  <c r="AB87" i="11"/>
  <c r="AB18" i="66"/>
  <c r="AB1423" i="4"/>
  <c r="AB1189" i="4"/>
  <c r="AB1218" i="4" s="1"/>
  <c r="AB1179" i="4"/>
  <c r="AB1180" i="4"/>
  <c r="AB1169" i="4" s="1"/>
  <c r="AB1170" i="4" s="1"/>
  <c r="AB1188" i="4" s="1"/>
  <c r="AB1181" i="4" l="1"/>
  <c r="AB1219" i="4"/>
  <c r="AB294" i="4" s="1"/>
  <c r="AB1220" i="4"/>
  <c r="AB1074" i="4"/>
  <c r="AB49" i="11"/>
  <c r="AA86" i="11"/>
  <c r="AA19" i="66"/>
  <c r="AA1309" i="4"/>
  <c r="AA1338" i="4"/>
  <c r="O86" i="67"/>
  <c r="AA1480" i="4"/>
  <c r="O25" i="13" s="1"/>
  <c r="AB456" i="4"/>
  <c r="AB458" i="4" s="1"/>
  <c r="AB459" i="4" s="1"/>
  <c r="AC479" i="4"/>
  <c r="AC468" i="4"/>
  <c r="AB478" i="4"/>
  <c r="AB480" i="4" s="1"/>
  <c r="AB481" i="4" s="1"/>
  <c r="AB482" i="4" s="1"/>
  <c r="AB483" i="4" s="1"/>
  <c r="AC477" i="4" s="1"/>
  <c r="AC457" i="4"/>
  <c r="AB467" i="4"/>
  <c r="AB469" i="4" s="1"/>
  <c r="AB470" i="4" s="1"/>
  <c r="AB471" i="4" s="1"/>
  <c r="AB472" i="4" s="1"/>
  <c r="AC466" i="4" s="1"/>
  <c r="AA74" i="11"/>
  <c r="AA78" i="11" s="1"/>
  <c r="AA1327" i="4"/>
  <c r="AA1304" i="4"/>
  <c r="AA1272" i="4"/>
  <c r="AA1276" i="4" s="1"/>
  <c r="AA1254" i="4" s="1"/>
  <c r="O74" i="67"/>
  <c r="O78" i="67" s="1"/>
  <c r="AA1386" i="4"/>
  <c r="AA36" i="66"/>
  <c r="AB494" i="4" l="1"/>
  <c r="AB1071" i="4" s="1"/>
  <c r="AB460" i="4"/>
  <c r="AB461" i="4" s="1"/>
  <c r="AC455" i="4" s="1"/>
  <c r="AA1305" i="4"/>
  <c r="AA1282" i="4" s="1"/>
  <c r="AA1328" i="4"/>
  <c r="AA89" i="11"/>
  <c r="AA39" i="66"/>
  <c r="AA35" i="66" s="1"/>
  <c r="O89" i="67"/>
  <c r="AA1255" i="4"/>
  <c r="AC495" i="4"/>
  <c r="AC1072" i="4" s="1"/>
  <c r="AB53" i="11"/>
  <c r="AB52" i="11" s="1"/>
  <c r="AB299" i="4"/>
  <c r="AB302" i="4"/>
  <c r="AA17" i="66"/>
  <c r="K144" i="15"/>
  <c r="AB1197" i="4"/>
  <c r="AB1190" i="4"/>
  <c r="AB1221" i="4" s="1"/>
  <c r="K162" i="15"/>
  <c r="AA1421" i="4"/>
  <c r="AA1385" i="4"/>
  <c r="AA1388" i="4" s="1"/>
  <c r="K161" i="15" l="1"/>
  <c r="AB307" i="4"/>
  <c r="AB331" i="4"/>
  <c r="AA1425" i="4"/>
  <c r="O13" i="13"/>
  <c r="AA1390" i="4"/>
  <c r="AA1402" i="4"/>
  <c r="AA1284" i="4"/>
  <c r="AA1286" i="4" s="1"/>
  <c r="K142" i="15"/>
  <c r="AB1325" i="4"/>
  <c r="AB1121" i="4"/>
  <c r="AB1144" i="4" s="1"/>
  <c r="AB1301" i="4"/>
  <c r="AB73" i="11"/>
  <c r="O27" i="67"/>
  <c r="AA27" i="11"/>
  <c r="AB1250" i="4"/>
  <c r="AA1506" i="4"/>
  <c r="AA1440" i="4" l="1"/>
  <c r="AA1441" i="4" s="1"/>
  <c r="AA1442" i="4" s="1"/>
  <c r="AB332" i="4"/>
  <c r="AB14" i="11" s="1"/>
  <c r="AA1285" i="4"/>
  <c r="AB1145" i="4"/>
  <c r="AB1234" i="4"/>
  <c r="AB1235" i="4"/>
  <c r="AB1251" i="4" s="1"/>
  <c r="AB405" i="4"/>
  <c r="AB406" i="4" s="1"/>
  <c r="AB407" i="4" s="1"/>
  <c r="AB408" i="4" s="1"/>
  <c r="AB409" i="4" s="1"/>
  <c r="AC404" i="4" s="1"/>
  <c r="AB395" i="4"/>
  <c r="AB396" i="4" s="1"/>
  <c r="AB397" i="4" s="1"/>
  <c r="AB398" i="4" s="1"/>
  <c r="AB399" i="4" s="1"/>
  <c r="AC394" i="4" s="1"/>
  <c r="AB385" i="4"/>
  <c r="AA1509" i="4"/>
  <c r="AA1507" i="4"/>
  <c r="AA1508" i="4" s="1"/>
  <c r="AA90" i="11"/>
  <c r="AA91" i="11" s="1"/>
  <c r="AA93" i="11" s="1"/>
  <c r="AA96" i="11" s="1"/>
  <c r="AA97" i="11" s="1"/>
  <c r="AA58" i="11"/>
  <c r="AA59" i="11" s="1"/>
  <c r="AA28" i="11" s="1"/>
  <c r="AA1329" i="4"/>
  <c r="AA48" i="62"/>
  <c r="AA24" i="62" s="1"/>
  <c r="AA26" i="62" s="1"/>
  <c r="AA1306" i="4"/>
  <c r="AA1307" i="4" s="1"/>
  <c r="AA1311" i="4" s="1"/>
  <c r="AB1290" i="4" s="1"/>
  <c r="O90" i="67"/>
  <c r="O91" i="67" s="1"/>
  <c r="O93" i="67" s="1"/>
  <c r="O96" i="67" s="1"/>
  <c r="O97" i="67" s="1"/>
  <c r="O58" i="67"/>
  <c r="O59" i="67" s="1"/>
  <c r="AA22" i="66"/>
  <c r="K148" i="15" s="1"/>
  <c r="AA1403" i="4"/>
  <c r="AA1404" i="4" s="1"/>
  <c r="P95" i="67" l="1"/>
  <c r="AB1236" i="4"/>
  <c r="AB1241" i="4"/>
  <c r="AB1128" i="4"/>
  <c r="AA25" i="11"/>
  <c r="O28" i="67"/>
  <c r="O25" i="67" s="1"/>
  <c r="O37" i="67" s="1"/>
  <c r="AB489" i="4"/>
  <c r="AB500" i="4"/>
  <c r="AB386" i="4"/>
  <c r="AB387" i="4" s="1"/>
  <c r="AA1330" i="4"/>
  <c r="AA1331" i="4" s="1"/>
  <c r="AA100" i="11"/>
  <c r="AA21" i="11"/>
  <c r="AA17" i="11" s="1"/>
  <c r="AA44" i="66"/>
  <c r="AA40" i="66" s="1"/>
  <c r="AA46" i="62"/>
  <c r="O1527" i="4"/>
  <c r="O1534" i="4" s="1"/>
  <c r="AA101" i="67"/>
  <c r="AA24" i="66"/>
  <c r="O21" i="67"/>
  <c r="O17" i="67" s="1"/>
  <c r="O23" i="67" s="1"/>
  <c r="AB95" i="11"/>
  <c r="AA101" i="11"/>
  <c r="AA1462" i="4"/>
  <c r="AA1461" i="4" s="1"/>
  <c r="AA100" i="67"/>
  <c r="AA1340" i="4"/>
  <c r="AA1341" i="4" s="1"/>
  <c r="AA1343" i="4" l="1"/>
  <c r="AA20" i="66"/>
  <c r="K150" i="15"/>
  <c r="K171" i="15"/>
  <c r="AB490" i="4"/>
  <c r="AB491" i="4" s="1"/>
  <c r="AB501" i="4"/>
  <c r="AB502" i="4" s="1"/>
  <c r="AB388" i="4"/>
  <c r="AB389" i="4" s="1"/>
  <c r="AC384" i="4" s="1"/>
  <c r="AB1244" i="4"/>
  <c r="AB1245" i="4" s="1"/>
  <c r="AB1337" i="4"/>
  <c r="AB85" i="11"/>
  <c r="AB42" i="62"/>
  <c r="AB1308" i="4"/>
  <c r="O99" i="67"/>
  <c r="AA99" i="11"/>
  <c r="K167" i="15"/>
  <c r="AA46" i="66"/>
  <c r="O39" i="67"/>
  <c r="O40" i="67" s="1"/>
  <c r="AA1463" i="4"/>
  <c r="AA1460" i="4" s="1"/>
  <c r="AA23" i="11"/>
  <c r="AA1474" i="4"/>
  <c r="AA1469" i="4" s="1"/>
  <c r="AA1475" i="4"/>
  <c r="AA1470" i="4" s="1"/>
  <c r="AA37" i="11"/>
  <c r="AB15" i="11" l="1"/>
  <c r="AB13" i="11" s="1"/>
  <c r="AC488" i="4"/>
  <c r="AB1101" i="4"/>
  <c r="AB1103" i="4" s="1"/>
  <c r="AB1104" i="4" s="1"/>
  <c r="AB1105" i="4" s="1"/>
  <c r="AC499" i="4"/>
  <c r="AC1100" i="4" s="1"/>
  <c r="AA39" i="11"/>
  <c r="AA40" i="11" s="1"/>
  <c r="AA1516" i="4"/>
  <c r="AA1517" i="4" s="1"/>
  <c r="AA1473" i="4"/>
  <c r="AA1468" i="4" s="1"/>
  <c r="AB51" i="11"/>
  <c r="AB64" i="62"/>
  <c r="AB52" i="62"/>
  <c r="AB43" i="62"/>
  <c r="AB23" i="62" s="1"/>
  <c r="AB16" i="66" s="1"/>
  <c r="K146" i="15"/>
  <c r="AA26" i="66"/>
  <c r="AA48" i="66" s="1"/>
  <c r="K173" i="15"/>
  <c r="AB26" i="11"/>
  <c r="AC1240" i="4"/>
  <c r="K152" i="15" l="1"/>
  <c r="AB14" i="66"/>
  <c r="AB984" i="4"/>
  <c r="AB988" i="4" s="1"/>
  <c r="AB62" i="64"/>
  <c r="AB78" i="64" l="1"/>
  <c r="AB70" i="64"/>
  <c r="AB1120" i="4"/>
  <c r="AB1320" i="4"/>
  <c r="AB71" i="11"/>
  <c r="AB992" i="4"/>
  <c r="AB1294" i="4"/>
  <c r="AB1298" i="4" s="1"/>
  <c r="AB13" i="66"/>
  <c r="AB1073" i="4" l="1"/>
  <c r="AB1077" i="4" s="1"/>
  <c r="AB1081" i="4" s="1"/>
  <c r="AB47" i="11"/>
  <c r="AB28" i="66"/>
  <c r="AB27" i="66" s="1"/>
  <c r="AB62" i="11" l="1"/>
  <c r="AB61" i="11"/>
  <c r="AB48" i="11"/>
  <c r="AB55" i="11" s="1"/>
  <c r="AB1082" i="4"/>
  <c r="AB1089" i="4"/>
  <c r="AB63" i="11" l="1"/>
  <c r="AB1093" i="4"/>
  <c r="AB1090" i="4" s="1"/>
  <c r="AB1091" i="4" s="1"/>
  <c r="AC1088" i="4" s="1"/>
  <c r="AB64" i="11"/>
  <c r="AB62" i="62"/>
  <c r="AB1472" i="4"/>
  <c r="AB1083" i="4" l="1"/>
  <c r="AB1084" i="4" s="1"/>
  <c r="AB1123" i="4" l="1"/>
  <c r="AB1130" i="4" s="1"/>
  <c r="AB1132" i="4" s="1"/>
  <c r="AB1135" i="4" s="1"/>
  <c r="AB1299" i="4"/>
  <c r="AB1300" i="4" s="1"/>
  <c r="AB75" i="11"/>
  <c r="AB1323" i="4"/>
  <c r="AB61" i="64"/>
  <c r="AB56" i="11"/>
  <c r="AB57" i="11" s="1"/>
  <c r="AB63" i="62"/>
  <c r="AB67" i="62" s="1"/>
  <c r="AB68" i="62" s="1"/>
  <c r="AB1471" i="4" l="1"/>
  <c r="AB1283" i="4"/>
  <c r="AB77" i="64"/>
  <c r="AB82" i="64" s="1"/>
  <c r="AB69" i="64"/>
  <c r="AB74" i="64" s="1"/>
  <c r="AB66" i="64"/>
  <c r="AB40" i="64" s="1"/>
  <c r="AB42" i="64" s="1"/>
  <c r="AB1313" i="4"/>
  <c r="AB1193" i="4" l="1"/>
  <c r="AB1194" i="4" s="1"/>
  <c r="AB1196" i="4" s="1"/>
  <c r="AB1198" i="4" s="1"/>
  <c r="AB1164" i="4" s="1"/>
  <c r="AB52" i="64"/>
  <c r="AB49" i="64"/>
  <c r="AB1214" i="4" l="1"/>
  <c r="AB1165" i="4"/>
  <c r="AC1162" i="4" l="1"/>
  <c r="AC1207" i="4"/>
  <c r="AC1225" i="4" s="1"/>
  <c r="AB1424" i="4"/>
  <c r="AB88" i="11"/>
  <c r="AB1324" i="4"/>
  <c r="AB1302" i="4"/>
  <c r="AB1303" i="4" s="1"/>
  <c r="AB38" i="66"/>
  <c r="AB1481" i="4"/>
  <c r="AB1483" i="4" s="1"/>
  <c r="AB1215" i="4"/>
  <c r="AB1281" i="4" l="1"/>
  <c r="AB1271" i="4"/>
  <c r="AB31" i="11"/>
  <c r="AB1489" i="4"/>
  <c r="AB1490" i="4" s="1"/>
  <c r="AB1505" i="4"/>
  <c r="AC1212" i="4"/>
  <c r="AB1515" i="4"/>
  <c r="AC1163" i="4"/>
  <c r="AB1495" i="4" l="1"/>
  <c r="AB1493" i="4"/>
  <c r="AB30" i="11"/>
  <c r="AB45" i="62"/>
  <c r="AB1252" i="4"/>
  <c r="AB1274" i="4"/>
  <c r="AB1275" i="4" s="1"/>
  <c r="AB1265" i="4" s="1"/>
  <c r="AC1492" i="4"/>
  <c r="AC1178" i="4"/>
  <c r="AC1206" i="4"/>
  <c r="AC1224" i="4" s="1"/>
  <c r="AC1226" i="4" s="1"/>
  <c r="AC1213" i="4"/>
  <c r="AC1202" i="4"/>
  <c r="AB1496" i="4" l="1"/>
  <c r="AB1266" i="4"/>
  <c r="AB1264" i="4"/>
  <c r="AB1253" i="4" s="1"/>
  <c r="AC297" i="4"/>
  <c r="AC305" i="4" s="1"/>
  <c r="AC330" i="4" s="1"/>
  <c r="AC1326" i="4"/>
  <c r="AC1295" i="4"/>
  <c r="AC37" i="66"/>
  <c r="AC50" i="11"/>
  <c r="AC1076" i="4"/>
  <c r="AC1122" i="4"/>
  <c r="AC72" i="11"/>
  <c r="AC1179" i="4"/>
  <c r="AC1180" i="4"/>
  <c r="AC1189" i="4"/>
  <c r="AC1218" i="4" s="1"/>
  <c r="AC87" i="11"/>
  <c r="AC1310" i="4"/>
  <c r="AC1336" i="4"/>
  <c r="AC18" i="66"/>
  <c r="AC1423" i="4"/>
  <c r="AB1257" i="4"/>
  <c r="AB1261" i="4"/>
  <c r="AB1268" i="4" s="1"/>
  <c r="AC49" i="11" l="1"/>
  <c r="AC1169" i="4"/>
  <c r="AC1168" i="4"/>
  <c r="AC1220" i="4"/>
  <c r="AC1074" i="4"/>
  <c r="AC1219" i="4"/>
  <c r="AC294" i="4" s="1"/>
  <c r="AB1309" i="4"/>
  <c r="AB1338" i="4"/>
  <c r="AB19" i="66"/>
  <c r="AB86" i="11"/>
  <c r="AB1480" i="4"/>
  <c r="AC1181" i="4"/>
  <c r="AC467" i="4"/>
  <c r="AC469" i="4" s="1"/>
  <c r="AC470" i="4" s="1"/>
  <c r="AC471" i="4" s="1"/>
  <c r="AC472" i="4" s="1"/>
  <c r="AD466" i="4" s="1"/>
  <c r="AD479" i="4"/>
  <c r="AD457" i="4"/>
  <c r="AD468" i="4"/>
  <c r="AC478" i="4"/>
  <c r="AC480" i="4" s="1"/>
  <c r="AC481" i="4" s="1"/>
  <c r="AC482" i="4" s="1"/>
  <c r="AC483" i="4" s="1"/>
  <c r="AD477" i="4" s="1"/>
  <c r="AC456" i="4"/>
  <c r="AC458" i="4" s="1"/>
  <c r="AC459" i="4" s="1"/>
  <c r="AB1272" i="4"/>
  <c r="AB1276" i="4" s="1"/>
  <c r="AB1254" i="4" s="1"/>
  <c r="AB74" i="11"/>
  <c r="AB78" i="11" s="1"/>
  <c r="AB1304" i="4"/>
  <c r="AB1327" i="4"/>
  <c r="AB1386" i="4"/>
  <c r="AB36" i="66"/>
  <c r="AC1170" i="4" l="1"/>
  <c r="AC1188" i="4" s="1"/>
  <c r="AC299" i="4"/>
  <c r="AC302" i="4"/>
  <c r="AC1190" i="4"/>
  <c r="AC1221" i="4" s="1"/>
  <c r="AC1197" i="4"/>
  <c r="AC53" i="11"/>
  <c r="AC52" i="11" s="1"/>
  <c r="AC494" i="4"/>
  <c r="AC1071" i="4" s="1"/>
  <c r="AC460" i="4"/>
  <c r="AC461" i="4" s="1"/>
  <c r="AD455" i="4" s="1"/>
  <c r="AB1385" i="4"/>
  <c r="AB1388" i="4" s="1"/>
  <c r="AB1421" i="4"/>
  <c r="AB1328" i="4"/>
  <c r="AB89" i="11"/>
  <c r="AB1305" i="4"/>
  <c r="AB1282" i="4" s="1"/>
  <c r="AB39" i="66"/>
  <c r="AB1255" i="4"/>
  <c r="AB17" i="66"/>
  <c r="AD495" i="4"/>
  <c r="AD1072" i="4" s="1"/>
  <c r="AB1284" i="4" l="1"/>
  <c r="AB1286" i="4" s="1"/>
  <c r="AB35" i="66"/>
  <c r="AB1425" i="4"/>
  <c r="AC73" i="11"/>
  <c r="AC1301" i="4"/>
  <c r="AC1325" i="4"/>
  <c r="AC1121" i="4"/>
  <c r="AC1144" i="4" s="1"/>
  <c r="AB1390" i="4"/>
  <c r="AB1402" i="4"/>
  <c r="AC307" i="4"/>
  <c r="AC331" i="4"/>
  <c r="AC1250" i="4"/>
  <c r="AB27" i="11"/>
  <c r="AB1506" i="4"/>
  <c r="AB1440" i="4" l="1"/>
  <c r="AB1441" i="4" s="1"/>
  <c r="AB1442" i="4" s="1"/>
  <c r="AC1235" i="4"/>
  <c r="AC1251" i="4" s="1"/>
  <c r="AC1145" i="4"/>
  <c r="AC1234" i="4"/>
  <c r="AC332" i="4"/>
  <c r="AC14" i="11" s="1"/>
  <c r="AB1403" i="4"/>
  <c r="AB1404" i="4" s="1"/>
  <c r="AB1285" i="4"/>
  <c r="AC385" i="4"/>
  <c r="AC405" i="4"/>
  <c r="AC406" i="4" s="1"/>
  <c r="AC407" i="4" s="1"/>
  <c r="AC408" i="4" s="1"/>
  <c r="AC409" i="4" s="1"/>
  <c r="AD404" i="4" s="1"/>
  <c r="AC395" i="4"/>
  <c r="AC396" i="4" s="1"/>
  <c r="AC397" i="4" s="1"/>
  <c r="AC398" i="4" s="1"/>
  <c r="AC399" i="4" s="1"/>
  <c r="AD394" i="4" s="1"/>
  <c r="AB1507" i="4"/>
  <c r="AB1508" i="4" s="1"/>
  <c r="AB1509" i="4"/>
  <c r="AB58" i="11"/>
  <c r="AB59" i="11" s="1"/>
  <c r="AB28" i="11" s="1"/>
  <c r="AB1306" i="4"/>
  <c r="AB1307" i="4" s="1"/>
  <c r="AB1311" i="4" s="1"/>
  <c r="AC1290" i="4" s="1"/>
  <c r="AB90" i="11"/>
  <c r="AB91" i="11" s="1"/>
  <c r="AB93" i="11" s="1"/>
  <c r="AB96" i="11" s="1"/>
  <c r="AB97" i="11" s="1"/>
  <c r="AB1329" i="4"/>
  <c r="AB48" i="62"/>
  <c r="AB24" i="62" s="1"/>
  <c r="AB26" i="62" s="1"/>
  <c r="AB22" i="66"/>
  <c r="AC386" i="4" l="1"/>
  <c r="AC387" i="4" s="1"/>
  <c r="AC489" i="4"/>
  <c r="AC500" i="4"/>
  <c r="AC1236" i="4"/>
  <c r="AC1241" i="4"/>
  <c r="AB44" i="66"/>
  <c r="AB40" i="66" s="1"/>
  <c r="AB21" i="11"/>
  <c r="AB17" i="11" s="1"/>
  <c r="AB101" i="67"/>
  <c r="AB101" i="11"/>
  <c r="AB46" i="62"/>
  <c r="AB1462" i="4"/>
  <c r="AB1461" i="4" s="1"/>
  <c r="AB100" i="67"/>
  <c r="AB24" i="66"/>
  <c r="AB20" i="66" s="1"/>
  <c r="AB1330" i="4"/>
  <c r="AB1331" i="4" s="1"/>
  <c r="AC95" i="11"/>
  <c r="AB100" i="11"/>
  <c r="AB1340" i="4"/>
  <c r="AB1341" i="4" s="1"/>
  <c r="AC1128" i="4"/>
  <c r="AB25" i="11"/>
  <c r="AB1343" i="4" l="1"/>
  <c r="AB99" i="11"/>
  <c r="AB1463" i="4"/>
  <c r="AB1460" i="4" s="1"/>
  <c r="AB23" i="11"/>
  <c r="AB26" i="66"/>
  <c r="AB46" i="66"/>
  <c r="AC1308" i="4"/>
  <c r="AC42" i="62"/>
  <c r="AC85" i="11"/>
  <c r="AC1337" i="4"/>
  <c r="AC1244" i="4"/>
  <c r="AC1245" i="4" s="1"/>
  <c r="AB1475" i="4"/>
  <c r="AB1470" i="4" s="1"/>
  <c r="AB37" i="11"/>
  <c r="AB1474" i="4"/>
  <c r="AB1469" i="4" s="1"/>
  <c r="AC501" i="4"/>
  <c r="AC502" i="4" s="1"/>
  <c r="AC490" i="4"/>
  <c r="AC388" i="4"/>
  <c r="AC389" i="4" s="1"/>
  <c r="AD384" i="4" s="1"/>
  <c r="AB48" i="66" l="1"/>
  <c r="AB39" i="11"/>
  <c r="AB40" i="11" s="1"/>
  <c r="AC64" i="62"/>
  <c r="AC51" i="11"/>
  <c r="AC491" i="4"/>
  <c r="AD1240" i="4"/>
  <c r="AC26" i="11"/>
  <c r="AD499" i="4"/>
  <c r="AD1100" i="4" s="1"/>
  <c r="AC1101" i="4"/>
  <c r="AC1103" i="4" s="1"/>
  <c r="AC1104" i="4" s="1"/>
  <c r="AC1105" i="4" s="1"/>
  <c r="AC52" i="62"/>
  <c r="AC43" i="62"/>
  <c r="AC23" i="62" s="1"/>
  <c r="AC16" i="66" s="1"/>
  <c r="AB1516" i="4"/>
  <c r="AB1517" i="4" s="1"/>
  <c r="AB1473" i="4"/>
  <c r="AB1468" i="4" s="1"/>
  <c r="AC984" i="4" l="1"/>
  <c r="AC988" i="4" s="1"/>
  <c r="AC62" i="64"/>
  <c r="AD488" i="4"/>
  <c r="AC15" i="11"/>
  <c r="AC13" i="11" s="1"/>
  <c r="AC14" i="66"/>
  <c r="AC78" i="64" l="1"/>
  <c r="AC70" i="64"/>
  <c r="AC13" i="66"/>
  <c r="AC1120" i="4"/>
  <c r="AC992" i="4"/>
  <c r="AC1294" i="4"/>
  <c r="AC1298" i="4" s="1"/>
  <c r="AC71" i="11"/>
  <c r="AC1320" i="4"/>
  <c r="AC47" i="11" l="1"/>
  <c r="AC1073" i="4"/>
  <c r="AC1077" i="4" s="1"/>
  <c r="AC1081" i="4" s="1"/>
  <c r="AC1082" i="4" l="1"/>
  <c r="AC1089" i="4"/>
  <c r="AC62" i="11"/>
  <c r="AC61" i="11"/>
  <c r="AC48" i="11"/>
  <c r="AC55" i="11" s="1"/>
  <c r="AC63" i="11" l="1"/>
  <c r="AC1472" i="4"/>
  <c r="AC64" i="11"/>
  <c r="AC62" i="62"/>
  <c r="AC1093" i="4"/>
  <c r="AC1090" i="4" s="1"/>
  <c r="AC1091" i="4" s="1"/>
  <c r="AD1088" i="4" s="1"/>
  <c r="AC1083" i="4" l="1"/>
  <c r="AC1084" i="4" s="1"/>
  <c r="AC63" i="62" s="1"/>
  <c r="AC67" i="62" s="1"/>
  <c r="AC68" i="62" l="1"/>
  <c r="AC61" i="64"/>
  <c r="AC1323" i="4"/>
  <c r="AC56" i="11"/>
  <c r="AC57" i="11" s="1"/>
  <c r="AC1123" i="4"/>
  <c r="AC1130" i="4" s="1"/>
  <c r="AC1132" i="4" s="1"/>
  <c r="AC1135" i="4" s="1"/>
  <c r="AC75" i="11"/>
  <c r="AC1299" i="4"/>
  <c r="AC1300" i="4" s="1"/>
  <c r="AC1313" i="4" l="1"/>
  <c r="AC1471" i="4"/>
  <c r="AC1283" i="4"/>
  <c r="AC77" i="64"/>
  <c r="AC82" i="64" s="1"/>
  <c r="AC69" i="64"/>
  <c r="AC74" i="64" s="1"/>
  <c r="AC66" i="64"/>
  <c r="AC40" i="64" s="1"/>
  <c r="AC42" i="64" s="1"/>
  <c r="AC52" i="64" l="1"/>
  <c r="AC49" i="64"/>
  <c r="AC1193" i="4"/>
  <c r="AC1194" i="4" s="1"/>
  <c r="AC1196" i="4" s="1"/>
  <c r="AC1198" i="4" s="1"/>
  <c r="AC1164" i="4" s="1"/>
  <c r="AC1214" i="4" l="1"/>
  <c r="AC1165" i="4"/>
  <c r="AD1162" i="4" l="1"/>
  <c r="AD1207" i="4"/>
  <c r="AD1225" i="4" s="1"/>
  <c r="AC1424" i="4"/>
  <c r="AC38" i="66"/>
  <c r="AC88" i="11"/>
  <c r="AC1481" i="4"/>
  <c r="AC1302" i="4"/>
  <c r="AC1303" i="4" s="1"/>
  <c r="AC1324" i="4"/>
  <c r="AC1215" i="4"/>
  <c r="AC31" i="11" l="1"/>
  <c r="AC1489" i="4"/>
  <c r="AC1490" i="4" s="1"/>
  <c r="AC1515" i="4"/>
  <c r="AD1212" i="4"/>
  <c r="AC1505" i="4"/>
  <c r="AC1281" i="4"/>
  <c r="AC1271" i="4"/>
  <c r="AD1163" i="4"/>
  <c r="AC1274" i="4" l="1"/>
  <c r="AC1275" i="4" s="1"/>
  <c r="AC1265" i="4" s="1"/>
  <c r="AC1252" i="4"/>
  <c r="AD1492" i="4"/>
  <c r="AD1178" i="4"/>
  <c r="AD1206" i="4"/>
  <c r="AD1224" i="4" s="1"/>
  <c r="AD1226" i="4" s="1"/>
  <c r="AD1213" i="4"/>
  <c r="AD1202" i="4"/>
  <c r="AC1495" i="4"/>
  <c r="AC1493" i="4"/>
  <c r="AC30" i="11"/>
  <c r="AC45" i="62"/>
  <c r="AC1496" i="4" l="1"/>
  <c r="AD1189" i="4"/>
  <c r="AD1218" i="4" s="1"/>
  <c r="AD1180" i="4"/>
  <c r="AD1179" i="4"/>
  <c r="AC1257" i="4"/>
  <c r="AC1261" i="4"/>
  <c r="AC1268" i="4" s="1"/>
  <c r="AD297" i="4"/>
  <c r="AD305" i="4" s="1"/>
  <c r="AD330" i="4" s="1"/>
  <c r="AD50" i="11"/>
  <c r="AD1295" i="4"/>
  <c r="AD72" i="11"/>
  <c r="AD1076" i="4"/>
  <c r="AD1122" i="4"/>
  <c r="AD37" i="66"/>
  <c r="AD1326" i="4"/>
  <c r="AD87" i="11"/>
  <c r="AD1310" i="4"/>
  <c r="AD18" i="66"/>
  <c r="AD1336" i="4"/>
  <c r="AD1423" i="4"/>
  <c r="AC1266" i="4"/>
  <c r="AC1264" i="4"/>
  <c r="AC1253" i="4" s="1"/>
  <c r="AD1181" i="4" l="1"/>
  <c r="AD1197" i="4" s="1"/>
  <c r="AD456" i="4"/>
  <c r="AD458" i="4" s="1"/>
  <c r="AD459" i="4" s="1"/>
  <c r="AE468" i="4"/>
  <c r="AD467" i="4"/>
  <c r="AD469" i="4" s="1"/>
  <c r="AD470" i="4" s="1"/>
  <c r="AD471" i="4" s="1"/>
  <c r="AD472" i="4" s="1"/>
  <c r="AE466" i="4" s="1"/>
  <c r="AD478" i="4"/>
  <c r="AD480" i="4" s="1"/>
  <c r="AD481" i="4" s="1"/>
  <c r="AD482" i="4" s="1"/>
  <c r="AD483" i="4" s="1"/>
  <c r="AE477" i="4" s="1"/>
  <c r="AE457" i="4"/>
  <c r="AE479" i="4"/>
  <c r="AC86" i="11"/>
  <c r="AC19" i="66"/>
  <c r="AC1309" i="4"/>
  <c r="AC1338" i="4"/>
  <c r="AC1480" i="4"/>
  <c r="AC1483" i="4" s="1"/>
  <c r="AC1272" i="4"/>
  <c r="AC1276" i="4" s="1"/>
  <c r="AC1254" i="4" s="1"/>
  <c r="AC1304" i="4"/>
  <c r="AC1327" i="4"/>
  <c r="AC74" i="11"/>
  <c r="AC78" i="11" s="1"/>
  <c r="AC36" i="66"/>
  <c r="AC1386" i="4"/>
  <c r="AD1168" i="4"/>
  <c r="AD1169" i="4"/>
  <c r="AD49" i="11"/>
  <c r="AD1074" i="4"/>
  <c r="AD1220" i="4"/>
  <c r="AD1219" i="4"/>
  <c r="AD294" i="4" s="1"/>
  <c r="AD1170" i="4" l="1"/>
  <c r="AD1188" i="4" s="1"/>
  <c r="AD1190" i="4"/>
  <c r="AD1221" i="4" s="1"/>
  <c r="AD1325" i="4" s="1"/>
  <c r="AE495" i="4"/>
  <c r="AE1072" i="4" s="1"/>
  <c r="AC17" i="66"/>
  <c r="AD299" i="4"/>
  <c r="AD302" i="4"/>
  <c r="AC1421" i="4"/>
  <c r="AC1385" i="4"/>
  <c r="AC1388" i="4" s="1"/>
  <c r="AD53" i="11"/>
  <c r="AD52" i="11" s="1"/>
  <c r="AD494" i="4"/>
  <c r="AD1071" i="4" s="1"/>
  <c r="AD460" i="4"/>
  <c r="AD461" i="4" s="1"/>
  <c r="AE455" i="4" s="1"/>
  <c r="AC1328" i="4"/>
  <c r="AC89" i="11"/>
  <c r="AC1305" i="4"/>
  <c r="AC1282" i="4" s="1"/>
  <c r="AC39" i="66"/>
  <c r="AC1255" i="4"/>
  <c r="AD1121" i="4" l="1"/>
  <c r="AD1144" i="4" s="1"/>
  <c r="AD1235" i="4" s="1"/>
  <c r="AD1251" i="4" s="1"/>
  <c r="AD1301" i="4"/>
  <c r="AD73" i="11"/>
  <c r="AC1284" i="4"/>
  <c r="AC1286" i="4" s="1"/>
  <c r="AC1425" i="4"/>
  <c r="AD331" i="4"/>
  <c r="AD307" i="4"/>
  <c r="AC1390" i="4"/>
  <c r="AC1402" i="4"/>
  <c r="AC27" i="11"/>
  <c r="AD1250" i="4"/>
  <c r="AC1506" i="4"/>
  <c r="AC35" i="66"/>
  <c r="AC1440" i="4" l="1"/>
  <c r="AC1441" i="4" s="1"/>
  <c r="AC1442" i="4" s="1"/>
  <c r="AD1234" i="4"/>
  <c r="AD1236" i="4" s="1"/>
  <c r="AD1145" i="4"/>
  <c r="AD332" i="4"/>
  <c r="AD14" i="11" s="1"/>
  <c r="AC1285" i="4"/>
  <c r="AD395" i="4"/>
  <c r="AD396" i="4" s="1"/>
  <c r="AD397" i="4" s="1"/>
  <c r="AD398" i="4" s="1"/>
  <c r="AD399" i="4" s="1"/>
  <c r="AE394" i="4" s="1"/>
  <c r="AD385" i="4"/>
  <c r="AD405" i="4"/>
  <c r="AD406" i="4" s="1"/>
  <c r="AD407" i="4" s="1"/>
  <c r="AD408" i="4" s="1"/>
  <c r="AD409" i="4" s="1"/>
  <c r="AE404" i="4" s="1"/>
  <c r="AC1507" i="4"/>
  <c r="AC1508" i="4" s="1"/>
  <c r="AC1509" i="4"/>
  <c r="AC1403" i="4"/>
  <c r="AC1404" i="4" s="1"/>
  <c r="AC1306" i="4"/>
  <c r="AC1307" i="4" s="1"/>
  <c r="AC1311" i="4" s="1"/>
  <c r="AD1290" i="4" s="1"/>
  <c r="AC90" i="11"/>
  <c r="AC91" i="11" s="1"/>
  <c r="AC93" i="11" s="1"/>
  <c r="AC96" i="11" s="1"/>
  <c r="AC97" i="11" s="1"/>
  <c r="AC1329" i="4"/>
  <c r="AC58" i="11"/>
  <c r="AC59" i="11" s="1"/>
  <c r="AC28" i="11" s="1"/>
  <c r="AC48" i="62"/>
  <c r="AC24" i="62" s="1"/>
  <c r="AC26" i="62" s="1"/>
  <c r="AC22" i="66"/>
  <c r="AD1241" i="4" l="1"/>
  <c r="AD42" i="62" s="1"/>
  <c r="AC100" i="11"/>
  <c r="AC1330" i="4"/>
  <c r="AC1331" i="4" s="1"/>
  <c r="AD95" i="11"/>
  <c r="AC1340" i="4"/>
  <c r="AC1341" i="4" s="1"/>
  <c r="AC46" i="62"/>
  <c r="AC101" i="11"/>
  <c r="AC1462" i="4"/>
  <c r="AC1461" i="4" s="1"/>
  <c r="AC24" i="66"/>
  <c r="AC20" i="66" s="1"/>
  <c r="AC100" i="67"/>
  <c r="AC21" i="11"/>
  <c r="AC17" i="11" s="1"/>
  <c r="AC101" i="67"/>
  <c r="AC44" i="66"/>
  <c r="AC40" i="66" s="1"/>
  <c r="AD386" i="4"/>
  <c r="AD387" i="4" s="1"/>
  <c r="AD489" i="4"/>
  <c r="AD500" i="4"/>
  <c r="AD1128" i="4"/>
  <c r="AC25" i="11"/>
  <c r="AD1244" i="4" l="1"/>
  <c r="AD1245" i="4" s="1"/>
  <c r="AE1240" i="4" s="1"/>
  <c r="AD1308" i="4"/>
  <c r="AD85" i="11"/>
  <c r="AD1337" i="4"/>
  <c r="AD388" i="4"/>
  <c r="AD389" i="4" s="1"/>
  <c r="AE384" i="4" s="1"/>
  <c r="AD490" i="4"/>
  <c r="AD501" i="4"/>
  <c r="AD502" i="4" s="1"/>
  <c r="AC1474" i="4"/>
  <c r="AC1469" i="4" s="1"/>
  <c r="AC1475" i="4"/>
  <c r="AC1470" i="4" s="1"/>
  <c r="AC37" i="11"/>
  <c r="AC99" i="11"/>
  <c r="AC46" i="66"/>
  <c r="AC26" i="66"/>
  <c r="AC1463" i="4"/>
  <c r="AC1460" i="4" s="1"/>
  <c r="AC23" i="11"/>
  <c r="AC1343" i="4"/>
  <c r="AD52" i="62"/>
  <c r="AD43" i="62"/>
  <c r="AD23" i="62" s="1"/>
  <c r="AD16" i="66" s="1"/>
  <c r="AD26" i="11" l="1"/>
  <c r="AC39" i="11"/>
  <c r="AC40" i="11" s="1"/>
  <c r="AD1101" i="4"/>
  <c r="AD1103" i="4" s="1"/>
  <c r="AD1104" i="4" s="1"/>
  <c r="AD1105" i="4" s="1"/>
  <c r="AE499" i="4"/>
  <c r="AE1100" i="4" s="1"/>
  <c r="AD491" i="4"/>
  <c r="AD64" i="62"/>
  <c r="AD51" i="11"/>
  <c r="AD14" i="66"/>
  <c r="AC1516" i="4"/>
  <c r="AC1517" i="4" s="1"/>
  <c r="AC1473" i="4"/>
  <c r="AC1468" i="4" s="1"/>
  <c r="AC48" i="66"/>
  <c r="AD13" i="66" l="1"/>
  <c r="AE488" i="4"/>
  <c r="AD15" i="11"/>
  <c r="AD13" i="11" s="1"/>
  <c r="AD62" i="64"/>
  <c r="AD984" i="4"/>
  <c r="AD988" i="4" s="1"/>
  <c r="AD71" i="11" l="1"/>
  <c r="AD1320" i="4"/>
  <c r="AD1294" i="4"/>
  <c r="AD1298" i="4" s="1"/>
  <c r="AD1120" i="4"/>
  <c r="AD992" i="4"/>
  <c r="AD70" i="64"/>
  <c r="AD78" i="64"/>
  <c r="AD47" i="11" l="1"/>
  <c r="AD1073" i="4"/>
  <c r="AD1077" i="4" s="1"/>
  <c r="AD1081" i="4" s="1"/>
  <c r="AD1089" i="4" l="1"/>
  <c r="AD1082" i="4"/>
  <c r="AD61" i="11"/>
  <c r="AD62" i="11"/>
  <c r="AD48" i="11"/>
  <c r="AD55" i="11" s="1"/>
  <c r="AD1472" i="4" l="1"/>
  <c r="AD64" i="11"/>
  <c r="AD62" i="62"/>
  <c r="AD63" i="11"/>
  <c r="AD1093" i="4"/>
  <c r="AD1090" i="4" s="1"/>
  <c r="AD1083" i="4" s="1"/>
  <c r="AD1084" i="4" s="1"/>
  <c r="AD1091" i="4" l="1"/>
  <c r="AE1088" i="4" s="1"/>
  <c r="AD61" i="64"/>
  <c r="AD1323" i="4"/>
  <c r="AD75" i="11"/>
  <c r="AD1123" i="4"/>
  <c r="AD1130" i="4" s="1"/>
  <c r="AD1132" i="4" s="1"/>
  <c r="AD1135" i="4" s="1"/>
  <c r="AD1299" i="4"/>
  <c r="AD1300" i="4" s="1"/>
  <c r="AD56" i="11"/>
  <c r="AD57" i="11" s="1"/>
  <c r="AD63" i="62"/>
  <c r="AD67" i="62" s="1"/>
  <c r="AD68" i="62" l="1"/>
  <c r="AD1471" i="4"/>
  <c r="AD1283" i="4"/>
  <c r="AD1313" i="4"/>
  <c r="AD69" i="64"/>
  <c r="AD74" i="64" s="1"/>
  <c r="AD77" i="64"/>
  <c r="AD82" i="64" s="1"/>
  <c r="AD66" i="64"/>
  <c r="AD40" i="64" s="1"/>
  <c r="AD42" i="64" s="1"/>
  <c r="AD1193" i="4" l="1"/>
  <c r="AD1194" i="4" s="1"/>
  <c r="AD1196" i="4" s="1"/>
  <c r="AD1198" i="4" s="1"/>
  <c r="AD1164" i="4" s="1"/>
  <c r="AD52" i="64"/>
  <c r="AD49" i="64"/>
  <c r="AD1214" i="4" l="1"/>
  <c r="AD1165" i="4"/>
  <c r="AE1162" i="4" l="1"/>
  <c r="AE1207" i="4"/>
  <c r="AE1225" i="4" s="1"/>
  <c r="AD1424" i="4"/>
  <c r="AD38" i="66"/>
  <c r="AD1324" i="4"/>
  <c r="AD1481" i="4"/>
  <c r="AD88" i="11"/>
  <c r="AD1302" i="4"/>
  <c r="AD1303" i="4" s="1"/>
  <c r="AD1215" i="4"/>
  <c r="AD1281" i="4" l="1"/>
  <c r="AD1271" i="4"/>
  <c r="AD31" i="11"/>
  <c r="AD1489" i="4"/>
  <c r="AD1490" i="4" s="1"/>
  <c r="AD1505" i="4"/>
  <c r="AD1515" i="4"/>
  <c r="AE1212" i="4"/>
  <c r="AE1163" i="4"/>
  <c r="AE1492" i="4" l="1"/>
  <c r="AD1495" i="4"/>
  <c r="AD1493" i="4"/>
  <c r="AD45" i="62"/>
  <c r="AD30" i="11"/>
  <c r="AE1178" i="4"/>
  <c r="AE1213" i="4"/>
  <c r="AE1206" i="4"/>
  <c r="AE1224" i="4" s="1"/>
  <c r="AE1226" i="4" s="1"/>
  <c r="AE1202" i="4"/>
  <c r="AD1252" i="4"/>
  <c r="AD1274" i="4"/>
  <c r="AD1275" i="4" s="1"/>
  <c r="AD1265" i="4" s="1"/>
  <c r="AD1496" i="4" l="1"/>
  <c r="AD1261" i="4"/>
  <c r="AD1268" i="4" s="1"/>
  <c r="AD1257" i="4"/>
  <c r="P72" i="67"/>
  <c r="AE1295" i="4"/>
  <c r="AE297" i="4"/>
  <c r="AE305" i="4" s="1"/>
  <c r="AE330" i="4" s="1"/>
  <c r="AE1076" i="4"/>
  <c r="AE50" i="11"/>
  <c r="AE1326" i="4"/>
  <c r="AE1122" i="4"/>
  <c r="AE72" i="11"/>
  <c r="AE37" i="66"/>
  <c r="AD1266" i="4"/>
  <c r="AD1264" i="4"/>
  <c r="AD1253" i="4" s="1"/>
  <c r="P87" i="67"/>
  <c r="AE1310" i="4"/>
  <c r="AE87" i="11"/>
  <c r="AE1336" i="4"/>
  <c r="AE18" i="66"/>
  <c r="AE1423" i="4"/>
  <c r="AE1189" i="4"/>
  <c r="AE1218" i="4" s="1"/>
  <c r="AE1180" i="4"/>
  <c r="AE1179" i="4"/>
  <c r="AE1169" i="4" l="1"/>
  <c r="AE1168" i="4"/>
  <c r="AE1074" i="4"/>
  <c r="AE1219" i="4"/>
  <c r="AE294" i="4" s="1"/>
  <c r="AE1220" i="4"/>
  <c r="AD1272" i="4"/>
  <c r="AD1276" i="4" s="1"/>
  <c r="AD1254" i="4" s="1"/>
  <c r="AD1304" i="4"/>
  <c r="AD1327" i="4"/>
  <c r="AD74" i="11"/>
  <c r="AD78" i="11" s="1"/>
  <c r="AD1386" i="4"/>
  <c r="AD36" i="66"/>
  <c r="AF468" i="4"/>
  <c r="AE456" i="4"/>
  <c r="AE458" i="4" s="1"/>
  <c r="AE459" i="4" s="1"/>
  <c r="AE467" i="4"/>
  <c r="AE469" i="4" s="1"/>
  <c r="AE470" i="4" s="1"/>
  <c r="AE471" i="4" s="1"/>
  <c r="AE472" i="4" s="1"/>
  <c r="AF466" i="4" s="1"/>
  <c r="AE478" i="4"/>
  <c r="AE480" i="4" s="1"/>
  <c r="AE481" i="4" s="1"/>
  <c r="AE482" i="4" s="1"/>
  <c r="AE483" i="4" s="1"/>
  <c r="AF477" i="4" s="1"/>
  <c r="AF457" i="4"/>
  <c r="AF479" i="4"/>
  <c r="AD19" i="66"/>
  <c r="AD1309" i="4"/>
  <c r="AD86" i="11"/>
  <c r="AD1338" i="4"/>
  <c r="AD1480" i="4"/>
  <c r="AD1483" i="4" s="1"/>
  <c r="L143" i="15"/>
  <c r="AE1181" i="4"/>
  <c r="AE49" i="11"/>
  <c r="P50" i="67"/>
  <c r="AE1170" i="4" l="1"/>
  <c r="AE1188" i="4" s="1"/>
  <c r="AE1190" i="4"/>
  <c r="AE1221" i="4" s="1"/>
  <c r="AE1197" i="4"/>
  <c r="AD17" i="66"/>
  <c r="AE494" i="4"/>
  <c r="AE1071" i="4" s="1"/>
  <c r="AE460" i="4"/>
  <c r="AE461" i="4" s="1"/>
  <c r="AF455" i="4" s="1"/>
  <c r="AD1328" i="4"/>
  <c r="AD89" i="11"/>
  <c r="AD39" i="66"/>
  <c r="AD35" i="66" s="1"/>
  <c r="AD1305" i="4"/>
  <c r="AD1282" i="4" s="1"/>
  <c r="AE53" i="11"/>
  <c r="AE52" i="11" s="1"/>
  <c r="P53" i="67"/>
  <c r="AE299" i="4"/>
  <c r="AE302" i="4"/>
  <c r="AF495" i="4"/>
  <c r="AF1072" i="4" s="1"/>
  <c r="AD1421" i="4"/>
  <c r="AD1385" i="4"/>
  <c r="AD1388" i="4" s="1"/>
  <c r="P49" i="67"/>
  <c r="AD1255" i="4"/>
  <c r="AE307" i="4" l="1"/>
  <c r="AE331" i="4"/>
  <c r="AE1250" i="4"/>
  <c r="AD27" i="11"/>
  <c r="AD1506" i="4"/>
  <c r="P52" i="67"/>
  <c r="AD1425" i="4"/>
  <c r="AD1390" i="4"/>
  <c r="AD1402" i="4"/>
  <c r="AD1284" i="4"/>
  <c r="AD1286" i="4" s="1"/>
  <c r="AE73" i="11"/>
  <c r="AE1325" i="4"/>
  <c r="AE1301" i="4"/>
  <c r="AE1121" i="4"/>
  <c r="AE1144" i="4" s="1"/>
  <c r="P73" i="67"/>
  <c r="P23" i="13"/>
  <c r="AD1440" i="4" l="1"/>
  <c r="AD1441" i="4" s="1"/>
  <c r="AD1442" i="4" s="1"/>
  <c r="AE332" i="4"/>
  <c r="AE14" i="11" s="1"/>
  <c r="AE1234" i="4"/>
  <c r="AE1235" i="4"/>
  <c r="AE1251" i="4" s="1"/>
  <c r="AE1145" i="4"/>
  <c r="AD1509" i="4"/>
  <c r="AD1507" i="4"/>
  <c r="AD1508" i="4" s="1"/>
  <c r="AD1285" i="4"/>
  <c r="AD58" i="11"/>
  <c r="AD59" i="11" s="1"/>
  <c r="AD28" i="11" s="1"/>
  <c r="AD25" i="11" s="1"/>
  <c r="AD1306" i="4"/>
  <c r="AD1307" i="4" s="1"/>
  <c r="AD1311" i="4" s="1"/>
  <c r="AE1290" i="4" s="1"/>
  <c r="AD90" i="11"/>
  <c r="AD91" i="11" s="1"/>
  <c r="AD93" i="11" s="1"/>
  <c r="AD96" i="11" s="1"/>
  <c r="AD97" i="11" s="1"/>
  <c r="AD1329" i="4"/>
  <c r="AD48" i="62"/>
  <c r="AD24" i="62" s="1"/>
  <c r="AD26" i="62" s="1"/>
  <c r="AD22" i="66"/>
  <c r="AE405" i="4"/>
  <c r="AE406" i="4" s="1"/>
  <c r="AE407" i="4" s="1"/>
  <c r="AE408" i="4" s="1"/>
  <c r="AE409" i="4" s="1"/>
  <c r="AF404" i="4" s="1"/>
  <c r="AE385" i="4"/>
  <c r="AE395" i="4"/>
  <c r="AE396" i="4" s="1"/>
  <c r="AE397" i="4" s="1"/>
  <c r="AE398" i="4" s="1"/>
  <c r="AE399" i="4" s="1"/>
  <c r="AF394" i="4" s="1"/>
  <c r="AD1403" i="4"/>
  <c r="AD1404" i="4" s="1"/>
  <c r="P14" i="67" l="1"/>
  <c r="AD1474" i="4"/>
  <c r="AD1469" i="4" s="1"/>
  <c r="AD37" i="11"/>
  <c r="AD1475" i="4"/>
  <c r="AD1470" i="4" s="1"/>
  <c r="AD1462" i="4"/>
  <c r="AD1461" i="4" s="1"/>
  <c r="AD100" i="11"/>
  <c r="AD44" i="66"/>
  <c r="AD40" i="66" s="1"/>
  <c r="AD21" i="11"/>
  <c r="AD17" i="11" s="1"/>
  <c r="AD1330" i="4"/>
  <c r="AD1331" i="4" s="1"/>
  <c r="AD24" i="66"/>
  <c r="AD20" i="66" s="1"/>
  <c r="AD1340" i="4"/>
  <c r="AD1341" i="4" s="1"/>
  <c r="AE95" i="11"/>
  <c r="AD100" i="67"/>
  <c r="AD101" i="67"/>
  <c r="AD46" i="62"/>
  <c r="AD101" i="11"/>
  <c r="AE500" i="4"/>
  <c r="AE489" i="4"/>
  <c r="AE386" i="4"/>
  <c r="AE387" i="4" s="1"/>
  <c r="AE1128" i="4"/>
  <c r="AE1241" i="4"/>
  <c r="AE1236" i="4"/>
  <c r="AD99" i="11" l="1"/>
  <c r="AD1343" i="4"/>
  <c r="AD26" i="66"/>
  <c r="AD1463" i="4"/>
  <c r="AD1460" i="4" s="1"/>
  <c r="AD23" i="11"/>
  <c r="AD39" i="11" s="1"/>
  <c r="AD40" i="11" s="1"/>
  <c r="AD46" i="66"/>
  <c r="P85" i="67"/>
  <c r="AE1337" i="4"/>
  <c r="AE42" i="62"/>
  <c r="AE85" i="11"/>
  <c r="AE1308" i="4"/>
  <c r="AE1244" i="4"/>
  <c r="AE1245" i="4" s="1"/>
  <c r="AE501" i="4"/>
  <c r="AE502" i="4" s="1"/>
  <c r="AE388" i="4"/>
  <c r="AE389" i="4" s="1"/>
  <c r="AF384" i="4" s="1"/>
  <c r="AE490" i="4"/>
  <c r="AE491" i="4" s="1"/>
  <c r="P15" i="67" l="1"/>
  <c r="P13" i="67" s="1"/>
  <c r="AF488" i="4"/>
  <c r="AE15" i="11"/>
  <c r="AE13" i="11" s="1"/>
  <c r="AE1101" i="4"/>
  <c r="AE1103" i="4" s="1"/>
  <c r="AE1104" i="4" s="1"/>
  <c r="AE1105" i="4" s="1"/>
  <c r="AF499" i="4"/>
  <c r="AF1100" i="4" s="1"/>
  <c r="P26" i="67"/>
  <c r="AF1240" i="4"/>
  <c r="AE26" i="11"/>
  <c r="AD1516" i="4"/>
  <c r="AD1517" i="4" s="1"/>
  <c r="AD1473" i="4"/>
  <c r="AD1468" i="4" s="1"/>
  <c r="AE52" i="62"/>
  <c r="AE43" i="62"/>
  <c r="AE23" i="62" s="1"/>
  <c r="AE16" i="66" s="1"/>
  <c r="AD48" i="66"/>
  <c r="P51" i="67"/>
  <c r="AE64" i="62"/>
  <c r="AE51" i="11"/>
  <c r="L140" i="15" l="1"/>
  <c r="AE14" i="66"/>
  <c r="AE984" i="4"/>
  <c r="AE988" i="4" s="1"/>
  <c r="AE62" i="64"/>
  <c r="AE78" i="64" l="1"/>
  <c r="AE70" i="64"/>
  <c r="AE71" i="11"/>
  <c r="AE1294" i="4"/>
  <c r="AE1298" i="4" s="1"/>
  <c r="AE992" i="4"/>
  <c r="AE1120" i="4"/>
  <c r="AE1320" i="4"/>
  <c r="P40" i="13"/>
  <c r="P71" i="67"/>
  <c r="AE13" i="66"/>
  <c r="L138" i="15"/>
  <c r="P47" i="67" l="1"/>
  <c r="AE1073" i="4"/>
  <c r="AE1077" i="4" s="1"/>
  <c r="AE1081" i="4" s="1"/>
  <c r="AE47" i="11"/>
  <c r="P20" i="72"/>
  <c r="L137" i="15"/>
  <c r="AE62" i="11" l="1"/>
  <c r="AE61" i="11"/>
  <c r="AE48" i="11"/>
  <c r="AE55" i="11" s="1"/>
  <c r="AE1082" i="4"/>
  <c r="AE1093" i="4" s="1"/>
  <c r="AE1090" i="4" s="1"/>
  <c r="AE1083" i="4" s="1"/>
  <c r="AE1084" i="4" s="1"/>
  <c r="AE1089" i="4"/>
  <c r="P62" i="67"/>
  <c r="P61" i="67"/>
  <c r="P48" i="67"/>
  <c r="P55" i="67" l="1"/>
  <c r="P63" i="67"/>
  <c r="P64" i="67"/>
  <c r="AE1091" i="4"/>
  <c r="AF1088" i="4" s="1"/>
  <c r="AE1323" i="4"/>
  <c r="AE1299" i="4"/>
  <c r="AE1300" i="4" s="1"/>
  <c r="AE56" i="11"/>
  <c r="AE57" i="11" s="1"/>
  <c r="AE1123" i="4"/>
  <c r="AE1130" i="4" s="1"/>
  <c r="AE1132" i="4" s="1"/>
  <c r="AE1135" i="4" s="1"/>
  <c r="AE61" i="64"/>
  <c r="AE75" i="11"/>
  <c r="P41" i="13"/>
  <c r="P75" i="67"/>
  <c r="P56" i="67"/>
  <c r="AE63" i="11"/>
  <c r="P1526" i="4"/>
  <c r="AE1472" i="4"/>
  <c r="AE62" i="62"/>
  <c r="AE64" i="11"/>
  <c r="P43" i="13" l="1"/>
  <c r="AE63" i="62"/>
  <c r="AE67" i="62" s="1"/>
  <c r="AE69" i="64"/>
  <c r="AE74" i="64" s="1"/>
  <c r="AE77" i="64"/>
  <c r="AE82" i="64" s="1"/>
  <c r="AE66" i="64"/>
  <c r="AE40" i="64" s="1"/>
  <c r="AE42" i="64" s="1"/>
  <c r="AE1471" i="4"/>
  <c r="AE1283" i="4"/>
  <c r="AE1313" i="4"/>
  <c r="P57" i="67"/>
  <c r="AE68" i="62" l="1"/>
  <c r="AE1193" i="4"/>
  <c r="AE1194" i="4" s="1"/>
  <c r="AE1196" i="4" s="1"/>
  <c r="AE1198" i="4" s="1"/>
  <c r="AE1164" i="4" s="1"/>
  <c r="AE52" i="64"/>
  <c r="AE49" i="64"/>
  <c r="AE1214" i="4" l="1"/>
  <c r="AE1165" i="4"/>
  <c r="AF1162" i="4" l="1"/>
  <c r="AF1163" i="4" s="1"/>
  <c r="AF1207" i="4"/>
  <c r="AF1225" i="4" s="1"/>
  <c r="AE1324" i="4"/>
  <c r="AE38" i="66"/>
  <c r="AE1302" i="4"/>
  <c r="AE1303" i="4" s="1"/>
  <c r="AE88" i="11"/>
  <c r="AE1481" i="4"/>
  <c r="AE1424" i="4"/>
  <c r="P24" i="13"/>
  <c r="P88" i="67"/>
  <c r="AE1215" i="4"/>
  <c r="AE1271" i="4" l="1"/>
  <c r="AE1281" i="4"/>
  <c r="P1525" i="4"/>
  <c r="P1529" i="4" s="1"/>
  <c r="AE1515" i="4"/>
  <c r="P31" i="67"/>
  <c r="P30" i="67" s="1"/>
  <c r="AF1212" i="4"/>
  <c r="AE31" i="11"/>
  <c r="AE1489" i="4"/>
  <c r="AE1490" i="4" s="1"/>
  <c r="AE1505" i="4"/>
  <c r="AF1178" i="4"/>
  <c r="AF1213" i="4"/>
  <c r="AF1206" i="4"/>
  <c r="AF1224" i="4" s="1"/>
  <c r="AF1226" i="4" s="1"/>
  <c r="AF1202" i="4"/>
  <c r="AE1495" i="4" l="1"/>
  <c r="AE1493" i="4"/>
  <c r="AE30" i="11"/>
  <c r="AE45" i="62"/>
  <c r="AF1492" i="4"/>
  <c r="AF1326" i="4"/>
  <c r="AF37" i="66"/>
  <c r="AF297" i="4"/>
  <c r="AF305" i="4" s="1"/>
  <c r="AF330" i="4" s="1"/>
  <c r="AF1122" i="4"/>
  <c r="AF1076" i="4"/>
  <c r="AF72" i="11"/>
  <c r="AF1295" i="4"/>
  <c r="AF50" i="11"/>
  <c r="AF1336" i="4"/>
  <c r="AF18" i="66"/>
  <c r="AF1310" i="4"/>
  <c r="AF87" i="11"/>
  <c r="AF1423" i="4"/>
  <c r="AF1179" i="4"/>
  <c r="AF1180" i="4"/>
  <c r="AF1189" i="4"/>
  <c r="AF1218" i="4" s="1"/>
  <c r="AE1252" i="4"/>
  <c r="AE1274" i="4"/>
  <c r="AE1275" i="4" s="1"/>
  <c r="AE1265" i="4" s="1"/>
  <c r="AE1496" i="4" l="1"/>
  <c r="AF49" i="11"/>
  <c r="AF1181" i="4"/>
  <c r="AE1257" i="4"/>
  <c r="AE1261" i="4"/>
  <c r="AE1268" i="4" s="1"/>
  <c r="AF1169" i="4"/>
  <c r="AF1168" i="4"/>
  <c r="AE1266" i="4"/>
  <c r="AE1264" i="4"/>
  <c r="AE1253" i="4" s="1"/>
  <c r="AF1219" i="4"/>
  <c r="AF294" i="4" s="1"/>
  <c r="AF1074" i="4"/>
  <c r="AF1220" i="4"/>
  <c r="AF53" i="11" s="1"/>
  <c r="AF52" i="11" s="1"/>
  <c r="AF467" i="4"/>
  <c r="AF469" i="4" s="1"/>
  <c r="AF470" i="4" s="1"/>
  <c r="AF471" i="4" s="1"/>
  <c r="AF472" i="4" s="1"/>
  <c r="AG466" i="4" s="1"/>
  <c r="AG468" i="4"/>
  <c r="AG457" i="4"/>
  <c r="AF478" i="4"/>
  <c r="AF480" i="4" s="1"/>
  <c r="AF481" i="4" s="1"/>
  <c r="AF482" i="4" s="1"/>
  <c r="AF483" i="4" s="1"/>
  <c r="AG477" i="4" s="1"/>
  <c r="AF456" i="4"/>
  <c r="AF458" i="4" s="1"/>
  <c r="AF459" i="4" s="1"/>
  <c r="AG479" i="4"/>
  <c r="AE1309" i="4" l="1"/>
  <c r="AE1338" i="4"/>
  <c r="AE19" i="66"/>
  <c r="AE86" i="11"/>
  <c r="P86" i="67"/>
  <c r="AE1480" i="4"/>
  <c r="AE1483" i="4" s="1"/>
  <c r="AF299" i="4"/>
  <c r="AF302" i="4"/>
  <c r="AF460" i="4"/>
  <c r="AF461" i="4" s="1"/>
  <c r="AG455" i="4" s="1"/>
  <c r="AF494" i="4"/>
  <c r="AF1071" i="4" s="1"/>
  <c r="AF1190" i="4"/>
  <c r="AF1221" i="4" s="1"/>
  <c r="AF1197" i="4"/>
  <c r="AG495" i="4"/>
  <c r="AG1072" i="4" s="1"/>
  <c r="AE1304" i="4"/>
  <c r="AE1272" i="4"/>
  <c r="AE1276" i="4" s="1"/>
  <c r="AE1254" i="4" s="1"/>
  <c r="AE74" i="11"/>
  <c r="AE78" i="11" s="1"/>
  <c r="AE1327" i="4"/>
  <c r="P74" i="67"/>
  <c r="P78" i="67" s="1"/>
  <c r="AE36" i="66"/>
  <c r="AE1386" i="4"/>
  <c r="AF1170" i="4"/>
  <c r="AF1188" i="4" s="1"/>
  <c r="AE1328" i="4" l="1"/>
  <c r="AE39" i="66"/>
  <c r="AE35" i="66" s="1"/>
  <c r="AE89" i="11"/>
  <c r="AE1305" i="4"/>
  <c r="AE1282" i="4" s="1"/>
  <c r="P89" i="67"/>
  <c r="AF1121" i="4"/>
  <c r="AF1144" i="4" s="1"/>
  <c r="AF1301" i="4"/>
  <c r="AF73" i="11"/>
  <c r="AF1325" i="4"/>
  <c r="AE17" i="66"/>
  <c r="L144" i="15"/>
  <c r="L162" i="15"/>
  <c r="AE1421" i="4"/>
  <c r="AE1385" i="4"/>
  <c r="AE1388" i="4" s="1"/>
  <c r="AF307" i="4"/>
  <c r="AF331" i="4"/>
  <c r="AE1255" i="4"/>
  <c r="AF332" i="4" l="1"/>
  <c r="AF14" i="11" s="1"/>
  <c r="L142" i="15"/>
  <c r="AF1145" i="4"/>
  <c r="AF1234" i="4"/>
  <c r="AF1235" i="4"/>
  <c r="AF1251" i="4" s="1"/>
  <c r="L161" i="15"/>
  <c r="AF395" i="4"/>
  <c r="AF396" i="4" s="1"/>
  <c r="AF397" i="4" s="1"/>
  <c r="AF398" i="4" s="1"/>
  <c r="AF399" i="4" s="1"/>
  <c r="AG394" i="4" s="1"/>
  <c r="AF405" i="4"/>
  <c r="AF406" i="4" s="1"/>
  <c r="AF407" i="4" s="1"/>
  <c r="AF408" i="4" s="1"/>
  <c r="AF409" i="4" s="1"/>
  <c r="AG404" i="4" s="1"/>
  <c r="AF385" i="4"/>
  <c r="AE1390" i="4"/>
  <c r="AE1402" i="4"/>
  <c r="AE1284" i="4"/>
  <c r="AE1286" i="4" s="1"/>
  <c r="AE1425" i="4"/>
  <c r="P13" i="13"/>
  <c r="P27" i="67"/>
  <c r="AE27" i="11"/>
  <c r="AF1250" i="4"/>
  <c r="AE1506" i="4"/>
  <c r="AE1440" i="4" l="1"/>
  <c r="AE1441" i="4" s="1"/>
  <c r="AE1442" i="4" s="1"/>
  <c r="AE48" i="62"/>
  <c r="AE24" i="62" s="1"/>
  <c r="AE26" i="62" s="1"/>
  <c r="AE1306" i="4"/>
  <c r="AE1307" i="4" s="1"/>
  <c r="AE1311" i="4" s="1"/>
  <c r="AF1290" i="4" s="1"/>
  <c r="AE1329" i="4"/>
  <c r="AE58" i="11"/>
  <c r="AE59" i="11" s="1"/>
  <c r="AE28" i="11" s="1"/>
  <c r="AE25" i="11" s="1"/>
  <c r="AE90" i="11"/>
  <c r="AE91" i="11" s="1"/>
  <c r="AE93" i="11" s="1"/>
  <c r="AE96" i="11" s="1"/>
  <c r="AE97" i="11" s="1"/>
  <c r="P58" i="67"/>
  <c r="P59" i="67" s="1"/>
  <c r="P90" i="67"/>
  <c r="P91" i="67" s="1"/>
  <c r="P93" i="67" s="1"/>
  <c r="P96" i="67" s="1"/>
  <c r="P97" i="67" s="1"/>
  <c r="AE22" i="66"/>
  <c r="L148" i="15" s="1"/>
  <c r="AE1403" i="4"/>
  <c r="AE1404" i="4" s="1"/>
  <c r="AF1241" i="4"/>
  <c r="AF1236" i="4"/>
  <c r="AE1509" i="4"/>
  <c r="AE1507" i="4"/>
  <c r="AE1508" i="4" s="1"/>
  <c r="AE1285" i="4"/>
  <c r="AF386" i="4"/>
  <c r="AF387" i="4" s="1"/>
  <c r="AF489" i="4"/>
  <c r="AF500" i="4"/>
  <c r="AF388" i="4" l="1"/>
  <c r="AF389" i="4" s="1"/>
  <c r="AG384" i="4" s="1"/>
  <c r="AF490" i="4"/>
  <c r="AF491" i="4" s="1"/>
  <c r="AF501" i="4"/>
  <c r="AF502" i="4" s="1"/>
  <c r="AF1128" i="4"/>
  <c r="Q95" i="67"/>
  <c r="AE37" i="11"/>
  <c r="AE1474" i="4"/>
  <c r="AE1469" i="4" s="1"/>
  <c r="AE1475" i="4"/>
  <c r="AE1470" i="4" s="1"/>
  <c r="AE1462" i="4"/>
  <c r="AE1461" i="4" s="1"/>
  <c r="AE1330" i="4"/>
  <c r="AE1331" i="4" s="1"/>
  <c r="AE100" i="67"/>
  <c r="AE44" i="66"/>
  <c r="AE40" i="66" s="1"/>
  <c r="AF95" i="11"/>
  <c r="AE101" i="11"/>
  <c r="AE101" i="67"/>
  <c r="AE100" i="11"/>
  <c r="P1527" i="4"/>
  <c r="P1534" i="4" s="1"/>
  <c r="AE46" i="62"/>
  <c r="AE21" i="11"/>
  <c r="AE17" i="11" s="1"/>
  <c r="AE1340" i="4"/>
  <c r="AE1341" i="4" s="1"/>
  <c r="P21" i="67"/>
  <c r="P17" i="67" s="1"/>
  <c r="P23" i="67" s="1"/>
  <c r="AE24" i="66"/>
  <c r="AF1308" i="4"/>
  <c r="AF85" i="11"/>
  <c r="AF42" i="62"/>
  <c r="AF1337" i="4"/>
  <c r="AF1244" i="4"/>
  <c r="AF1245" i="4" s="1"/>
  <c r="P28" i="67"/>
  <c r="P25" i="67" s="1"/>
  <c r="P37" i="67" s="1"/>
  <c r="P39" i="67" l="1"/>
  <c r="P40" i="67" s="1"/>
  <c r="AE99" i="11"/>
  <c r="P99" i="67"/>
  <c r="AE1463" i="4"/>
  <c r="AE1460" i="4" s="1"/>
  <c r="AE23" i="11"/>
  <c r="L167" i="15"/>
  <c r="AE46" i="66"/>
  <c r="AF52" i="62"/>
  <c r="AF43" i="62"/>
  <c r="AF23" i="62" s="1"/>
  <c r="AF16" i="66" s="1"/>
  <c r="AE1343" i="4"/>
  <c r="AF26" i="11"/>
  <c r="AG1240" i="4"/>
  <c r="AF1101" i="4"/>
  <c r="AF1103" i="4" s="1"/>
  <c r="AF1104" i="4" s="1"/>
  <c r="AF1105" i="4" s="1"/>
  <c r="AG499" i="4"/>
  <c r="AG1100" i="4" s="1"/>
  <c r="AG488" i="4"/>
  <c r="AF15" i="11"/>
  <c r="AF13" i="11" s="1"/>
  <c r="AF51" i="11"/>
  <c r="AF64" i="62"/>
  <c r="AE20" i="66"/>
  <c r="L171" i="15"/>
  <c r="L150" i="15"/>
  <c r="AF14" i="66" l="1"/>
  <c r="AF62" i="64"/>
  <c r="AF984" i="4"/>
  <c r="AF988" i="4" s="1"/>
  <c r="L173" i="15"/>
  <c r="L146" i="15"/>
  <c r="AE26" i="66"/>
  <c r="AE48" i="66" s="1"/>
  <c r="AE1516" i="4"/>
  <c r="AE1517" i="4" s="1"/>
  <c r="AE1473" i="4"/>
  <c r="AE1468" i="4" s="1"/>
  <c r="AE39" i="11"/>
  <c r="AE40" i="11" s="1"/>
  <c r="AF1320" i="4" l="1"/>
  <c r="AF992" i="4"/>
  <c r="AF1120" i="4"/>
  <c r="AF1294" i="4"/>
  <c r="AF1298" i="4" s="1"/>
  <c r="AF71" i="11"/>
  <c r="AF70" i="64"/>
  <c r="AF78" i="64"/>
  <c r="AF13" i="66"/>
  <c r="L152" i="15"/>
  <c r="AF1073" i="4" l="1"/>
  <c r="AF1077" i="4" s="1"/>
  <c r="AF1081" i="4" s="1"/>
  <c r="AF47" i="11"/>
  <c r="AF61" i="11" l="1"/>
  <c r="AF62" i="11"/>
  <c r="AF48" i="11"/>
  <c r="AF55" i="11" s="1"/>
  <c r="AF1089" i="4"/>
  <c r="AF1082" i="4"/>
  <c r="AF1093" i="4" l="1"/>
  <c r="AF1090" i="4" s="1"/>
  <c r="AF1083" i="4" s="1"/>
  <c r="AF1084" i="4" s="1"/>
  <c r="AF64" i="11"/>
  <c r="AF1472" i="4"/>
  <c r="AF62" i="62"/>
  <c r="AF63" i="11"/>
  <c r="AF1091" i="4" l="1"/>
  <c r="AG1088" i="4" s="1"/>
  <c r="AF61" i="64"/>
  <c r="AF1299" i="4"/>
  <c r="AF1300" i="4" s="1"/>
  <c r="AF75" i="11"/>
  <c r="AF56" i="11"/>
  <c r="AF57" i="11" s="1"/>
  <c r="AF1323" i="4"/>
  <c r="AF1123" i="4"/>
  <c r="AF1130" i="4" s="1"/>
  <c r="AF1132" i="4" s="1"/>
  <c r="AF1135" i="4" s="1"/>
  <c r="AF63" i="62"/>
  <c r="AF67" i="62" s="1"/>
  <c r="AF68" i="62" l="1"/>
  <c r="AF1471" i="4"/>
  <c r="AF1283" i="4"/>
  <c r="AF1313" i="4"/>
  <c r="AF69" i="64"/>
  <c r="AF74" i="64" s="1"/>
  <c r="AF77" i="64"/>
  <c r="AF82" i="64" s="1"/>
  <c r="AF66" i="64"/>
  <c r="AF40" i="64" s="1"/>
  <c r="AF42" i="64" s="1"/>
  <c r="AF1193" i="4" l="1"/>
  <c r="AF1194" i="4" s="1"/>
  <c r="AF1196" i="4" s="1"/>
  <c r="AF1198" i="4" s="1"/>
  <c r="AF1164" i="4" s="1"/>
  <c r="AF52" i="64"/>
  <c r="AF49" i="64"/>
  <c r="AF1165" i="4" l="1"/>
  <c r="AF1214" i="4"/>
  <c r="AF1302" i="4" l="1"/>
  <c r="AF1303" i="4" s="1"/>
  <c r="AF38" i="66"/>
  <c r="AF1324" i="4"/>
  <c r="AF88" i="11"/>
  <c r="AF1481" i="4"/>
  <c r="AF1424" i="4"/>
  <c r="AF1215" i="4"/>
  <c r="AG1162" i="4"/>
  <c r="AG1207" i="4"/>
  <c r="AG1225" i="4" s="1"/>
  <c r="AG1163" i="4" l="1"/>
  <c r="AF1489" i="4"/>
  <c r="AF1490" i="4" s="1"/>
  <c r="AF1505" i="4"/>
  <c r="AG1212" i="4"/>
  <c r="AF31" i="11"/>
  <c r="AF1515" i="4"/>
  <c r="AF1271" i="4"/>
  <c r="AF1281" i="4"/>
  <c r="AF30" i="11" l="1"/>
  <c r="AF45" i="62"/>
  <c r="AG1492" i="4"/>
  <c r="AF1495" i="4"/>
  <c r="AF1493" i="4"/>
  <c r="AG1213" i="4"/>
  <c r="AG1206" i="4"/>
  <c r="AG1224" i="4" s="1"/>
  <c r="AG1226" i="4" s="1"/>
  <c r="AG1202" i="4"/>
  <c r="AG1178" i="4"/>
  <c r="AF1274" i="4"/>
  <c r="AF1275" i="4" s="1"/>
  <c r="AF1265" i="4" s="1"/>
  <c r="AF1252" i="4"/>
  <c r="AF1266" i="4" l="1"/>
  <c r="AF1264" i="4"/>
  <c r="AF1253" i="4" s="1"/>
  <c r="AG1189" i="4"/>
  <c r="AG1218" i="4" s="1"/>
  <c r="AG1180" i="4"/>
  <c r="AG1179" i="4"/>
  <c r="AG297" i="4"/>
  <c r="AG305" i="4" s="1"/>
  <c r="AG330" i="4" s="1"/>
  <c r="AG72" i="11"/>
  <c r="AG1076" i="4"/>
  <c r="AG1122" i="4"/>
  <c r="AG37" i="66"/>
  <c r="AG1295" i="4"/>
  <c r="AG50" i="11"/>
  <c r="AG1326" i="4"/>
  <c r="AG18" i="66"/>
  <c r="AG1336" i="4"/>
  <c r="AG1310" i="4"/>
  <c r="AG87" i="11"/>
  <c r="AG1423" i="4"/>
  <c r="AF1257" i="4"/>
  <c r="AF1261" i="4"/>
  <c r="AF1268" i="4" s="1"/>
  <c r="AF1496" i="4"/>
  <c r="AG1181" i="4" l="1"/>
  <c r="AG1197" i="4" s="1"/>
  <c r="AG467" i="4"/>
  <c r="AG469" i="4" s="1"/>
  <c r="AG470" i="4" s="1"/>
  <c r="AG471" i="4" s="1"/>
  <c r="AG472" i="4" s="1"/>
  <c r="AH466" i="4" s="1"/>
  <c r="AH457" i="4"/>
  <c r="AG478" i="4"/>
  <c r="AG480" i="4" s="1"/>
  <c r="AG481" i="4" s="1"/>
  <c r="AG482" i="4" s="1"/>
  <c r="AG483" i="4" s="1"/>
  <c r="AH477" i="4" s="1"/>
  <c r="AH468" i="4"/>
  <c r="AH479" i="4"/>
  <c r="AG456" i="4"/>
  <c r="AG458" i="4" s="1"/>
  <c r="AG459" i="4" s="1"/>
  <c r="AF1338" i="4"/>
  <c r="AF1309" i="4"/>
  <c r="AF19" i="66"/>
  <c r="AF86" i="11"/>
  <c r="AF1480" i="4"/>
  <c r="AG49" i="11"/>
  <c r="AG1169" i="4"/>
  <c r="AG1168" i="4"/>
  <c r="AG1220" i="4"/>
  <c r="AG53" i="11" s="1"/>
  <c r="AG52" i="11" s="1"/>
  <c r="AG1219" i="4"/>
  <c r="AG294" i="4" s="1"/>
  <c r="AG1074" i="4"/>
  <c r="AF1327" i="4"/>
  <c r="AF1304" i="4"/>
  <c r="AF74" i="11"/>
  <c r="AF78" i="11" s="1"/>
  <c r="AF1272" i="4"/>
  <c r="AF1276" i="4" s="1"/>
  <c r="AF1254" i="4" s="1"/>
  <c r="AF36" i="66"/>
  <c r="AF1386" i="4"/>
  <c r="AG1190" i="4" l="1"/>
  <c r="AG1221" i="4" s="1"/>
  <c r="AG1301" i="4" s="1"/>
  <c r="AG1170" i="4"/>
  <c r="AG1188" i="4" s="1"/>
  <c r="AG299" i="4"/>
  <c r="AG302" i="4"/>
  <c r="AF1483" i="4"/>
  <c r="AG494" i="4"/>
  <c r="AG1071" i="4" s="1"/>
  <c r="AG460" i="4"/>
  <c r="AG461" i="4" s="1"/>
  <c r="AH455" i="4" s="1"/>
  <c r="AF17" i="66"/>
  <c r="AH495" i="4"/>
  <c r="AH1072" i="4" s="1"/>
  <c r="AF1385" i="4"/>
  <c r="AF1388" i="4" s="1"/>
  <c r="AF1421" i="4"/>
  <c r="AF1328" i="4"/>
  <c r="AF89" i="11"/>
  <c r="AF1305" i="4"/>
  <c r="AF1282" i="4" s="1"/>
  <c r="AF39" i="66"/>
  <c r="AF1255" i="4"/>
  <c r="AG1325" i="4" l="1"/>
  <c r="AG73" i="11"/>
  <c r="AG1121" i="4"/>
  <c r="AG1144" i="4" s="1"/>
  <c r="AG1145" i="4" s="1"/>
  <c r="AF1284" i="4"/>
  <c r="AF1286" i="4" s="1"/>
  <c r="AF1425" i="4"/>
  <c r="AF1390" i="4"/>
  <c r="AF1402" i="4"/>
  <c r="AG331" i="4"/>
  <c r="AG307" i="4"/>
  <c r="AF35" i="66"/>
  <c r="AF27" i="11"/>
  <c r="AG1250" i="4"/>
  <c r="AF1506" i="4"/>
  <c r="AF1440" i="4" l="1"/>
  <c r="AF1441" i="4" s="1"/>
  <c r="AF1442" i="4" s="1"/>
  <c r="AG1234" i="4"/>
  <c r="AG1241" i="4" s="1"/>
  <c r="AG1235" i="4"/>
  <c r="AG1251" i="4" s="1"/>
  <c r="AF1285" i="4"/>
  <c r="AF1507" i="4"/>
  <c r="AF1508" i="4" s="1"/>
  <c r="AF1509" i="4"/>
  <c r="AG332" i="4"/>
  <c r="AG14" i="11" s="1"/>
  <c r="AF58" i="11"/>
  <c r="AF59" i="11" s="1"/>
  <c r="AF28" i="11" s="1"/>
  <c r="AF25" i="11" s="1"/>
  <c r="AF1306" i="4"/>
  <c r="AF1307" i="4" s="1"/>
  <c r="AF1311" i="4" s="1"/>
  <c r="AG1290" i="4" s="1"/>
  <c r="AF48" i="62"/>
  <c r="AF24" i="62" s="1"/>
  <c r="AF26" i="62" s="1"/>
  <c r="AF1329" i="4"/>
  <c r="AF90" i="11"/>
  <c r="AF91" i="11" s="1"/>
  <c r="AF93" i="11" s="1"/>
  <c r="AF96" i="11" s="1"/>
  <c r="AF97" i="11" s="1"/>
  <c r="AF22" i="66"/>
  <c r="AG395" i="4"/>
  <c r="AG396" i="4" s="1"/>
  <c r="AG397" i="4" s="1"/>
  <c r="AG398" i="4" s="1"/>
  <c r="AG399" i="4" s="1"/>
  <c r="AH394" i="4" s="1"/>
  <c r="AG405" i="4"/>
  <c r="AG406" i="4" s="1"/>
  <c r="AG407" i="4" s="1"/>
  <c r="AG408" i="4" s="1"/>
  <c r="AG409" i="4" s="1"/>
  <c r="AH404" i="4" s="1"/>
  <c r="AG385" i="4"/>
  <c r="AF1403" i="4"/>
  <c r="AF1404" i="4" s="1"/>
  <c r="AG1236" i="4" l="1"/>
  <c r="AF46" i="62"/>
  <c r="AF21" i="11"/>
  <c r="AF17" i="11" s="1"/>
  <c r="AG95" i="11"/>
  <c r="AF24" i="66"/>
  <c r="AF20" i="66" s="1"/>
  <c r="AF100" i="67"/>
  <c r="AF100" i="11"/>
  <c r="AF101" i="11"/>
  <c r="AF101" i="67"/>
  <c r="AF1462" i="4"/>
  <c r="AF1461" i="4" s="1"/>
  <c r="AF44" i="66"/>
  <c r="AF40" i="66" s="1"/>
  <c r="AF1340" i="4"/>
  <c r="AF1341" i="4" s="1"/>
  <c r="AF1330" i="4"/>
  <c r="AF1331" i="4" s="1"/>
  <c r="AF1474" i="4"/>
  <c r="AF1469" i="4" s="1"/>
  <c r="AF1475" i="4"/>
  <c r="AF1470" i="4" s="1"/>
  <c r="AF37" i="11"/>
  <c r="AG1337" i="4"/>
  <c r="AG85" i="11"/>
  <c r="AG1244" i="4"/>
  <c r="AG1245" i="4" s="1"/>
  <c r="AG1308" i="4"/>
  <c r="AG42" i="62"/>
  <c r="AG500" i="4"/>
  <c r="AG386" i="4"/>
  <c r="AG387" i="4" s="1"/>
  <c r="AG489" i="4"/>
  <c r="AG1128" i="4"/>
  <c r="AF99" i="11" l="1"/>
  <c r="AF26" i="66"/>
  <c r="AG52" i="62"/>
  <c r="AG43" i="62"/>
  <c r="AG23" i="62" s="1"/>
  <c r="AG16" i="66" s="1"/>
  <c r="AF1343" i="4"/>
  <c r="AH1240" i="4"/>
  <c r="AG26" i="11"/>
  <c r="AF46" i="66"/>
  <c r="AF1463" i="4"/>
  <c r="AF1460" i="4" s="1"/>
  <c r="AF23" i="11"/>
  <c r="AG388" i="4"/>
  <c r="AG389" i="4" s="1"/>
  <c r="AH384" i="4" s="1"/>
  <c r="AG501" i="4"/>
  <c r="AG502" i="4" s="1"/>
  <c r="AG490" i="4"/>
  <c r="AG491" i="4" s="1"/>
  <c r="AF48" i="66" l="1"/>
  <c r="AG15" i="11"/>
  <c r="AG13" i="11" s="1"/>
  <c r="AH488" i="4"/>
  <c r="AG14" i="66"/>
  <c r="AG64" i="62"/>
  <c r="AG51" i="11"/>
  <c r="AG1101" i="4"/>
  <c r="AG1103" i="4" s="1"/>
  <c r="AG1104" i="4" s="1"/>
  <c r="AG1105" i="4" s="1"/>
  <c r="AH499" i="4"/>
  <c r="AF1516" i="4"/>
  <c r="AF1517" i="4" s="1"/>
  <c r="AF1473" i="4"/>
  <c r="AF1468" i="4" s="1"/>
  <c r="AF39" i="11"/>
  <c r="AF40" i="11" s="1"/>
  <c r="AG984" i="4" l="1"/>
  <c r="AG988" i="4" s="1"/>
  <c r="AG62" i="64"/>
  <c r="AG13" i="66"/>
  <c r="AH1100" i="4"/>
  <c r="AG78" i="64" l="1"/>
  <c r="AG70" i="64"/>
  <c r="AG1120" i="4"/>
  <c r="AG71" i="11"/>
  <c r="AG1294" i="4"/>
  <c r="AG1298" i="4" s="1"/>
  <c r="AG992" i="4"/>
  <c r="AG1320" i="4"/>
  <c r="AG47" i="11" l="1"/>
  <c r="AG1073" i="4"/>
  <c r="AG1077" i="4" s="1"/>
  <c r="AG1081" i="4" s="1"/>
  <c r="AG1082" i="4" l="1"/>
  <c r="AG1093" i="4" s="1"/>
  <c r="AG1090" i="4" s="1"/>
  <c r="AG1083" i="4" s="1"/>
  <c r="AG1084" i="4" s="1"/>
  <c r="AG1089" i="4"/>
  <c r="AG61" i="11"/>
  <c r="AG62" i="11"/>
  <c r="AG48" i="11"/>
  <c r="AG55" i="11" s="1"/>
  <c r="AG1472" i="4" l="1"/>
  <c r="AG62" i="62"/>
  <c r="AG64" i="11"/>
  <c r="AG63" i="11"/>
  <c r="AG1091" i="4"/>
  <c r="AH1088" i="4" s="1"/>
  <c r="AG1123" i="4"/>
  <c r="AG1130" i="4" s="1"/>
  <c r="AG1132" i="4" s="1"/>
  <c r="AG1135" i="4" s="1"/>
  <c r="AG56" i="11"/>
  <c r="AG57" i="11" s="1"/>
  <c r="AG75" i="11"/>
  <c r="AG1299" i="4"/>
  <c r="AG1300" i="4" s="1"/>
  <c r="AG1323" i="4"/>
  <c r="AG61" i="64"/>
  <c r="AG1471" i="4" l="1"/>
  <c r="AG1283" i="4"/>
  <c r="AG69" i="64"/>
  <c r="AG74" i="64" s="1"/>
  <c r="AG77" i="64"/>
  <c r="AG82" i="64" s="1"/>
  <c r="AG66" i="64"/>
  <c r="AG40" i="64" s="1"/>
  <c r="AG42" i="64" s="1"/>
  <c r="AG1313" i="4"/>
  <c r="AG63" i="62"/>
  <c r="AG67" i="62" s="1"/>
  <c r="AG68" i="62" l="1"/>
  <c r="AG1193" i="4"/>
  <c r="AG1194" i="4" s="1"/>
  <c r="AG1196" i="4" s="1"/>
  <c r="AG1198" i="4" s="1"/>
  <c r="AG1164" i="4" s="1"/>
  <c r="AG52" i="64"/>
  <c r="AG49" i="64"/>
  <c r="AG1214" i="4" l="1"/>
  <c r="AG1165" i="4"/>
  <c r="AH1162" i="4" l="1"/>
  <c r="AH1207" i="4"/>
  <c r="AH1225" i="4" s="1"/>
  <c r="AG1302" i="4"/>
  <c r="AG1303" i="4" s="1"/>
  <c r="AG38" i="66"/>
  <c r="AG88" i="11"/>
  <c r="AG1324" i="4"/>
  <c r="AG1481" i="4"/>
  <c r="AG1424" i="4"/>
  <c r="AG1215" i="4"/>
  <c r="AG31" i="11" l="1"/>
  <c r="AG1489" i="4"/>
  <c r="AG1490" i="4" s="1"/>
  <c r="AG1515" i="4"/>
  <c r="AH1212" i="4"/>
  <c r="AG1505" i="4"/>
  <c r="AG1271" i="4"/>
  <c r="AG1281" i="4"/>
  <c r="AH1163" i="4"/>
  <c r="AG1252" i="4" l="1"/>
  <c r="AG1274" i="4"/>
  <c r="AG1275" i="4" s="1"/>
  <c r="AG1265" i="4" s="1"/>
  <c r="AH1492" i="4"/>
  <c r="AG1495" i="4"/>
  <c r="AG1493" i="4"/>
  <c r="AH1213" i="4"/>
  <c r="AH1206" i="4"/>
  <c r="AH1224" i="4" s="1"/>
  <c r="AH1226" i="4" s="1"/>
  <c r="AH1202" i="4"/>
  <c r="AH1178" i="4"/>
  <c r="AG30" i="11"/>
  <c r="AG45" i="62"/>
  <c r="AH1189" i="4" l="1"/>
  <c r="AH1218" i="4" s="1"/>
  <c r="AH1180" i="4"/>
  <c r="AH1179" i="4"/>
  <c r="AG1264" i="4"/>
  <c r="AG1253" i="4" s="1"/>
  <c r="AG1266" i="4"/>
  <c r="AH1310" i="4"/>
  <c r="AH87" i="11"/>
  <c r="AH18" i="66"/>
  <c r="AH1336" i="4"/>
  <c r="AH1423" i="4"/>
  <c r="AG1257" i="4"/>
  <c r="AG1261" i="4"/>
  <c r="AG1268" i="4" s="1"/>
  <c r="AH1326" i="4"/>
  <c r="AH1076" i="4"/>
  <c r="AH72" i="11"/>
  <c r="AH50" i="11"/>
  <c r="AH37" i="66"/>
  <c r="AH297" i="4"/>
  <c r="AH305" i="4" s="1"/>
  <c r="AH330" i="4" s="1"/>
  <c r="AH1295" i="4"/>
  <c r="AH1122" i="4"/>
  <c r="AG1496" i="4"/>
  <c r="AH1181" i="4" l="1"/>
  <c r="AH1190" i="4" s="1"/>
  <c r="AH1221" i="4" s="1"/>
  <c r="AG1272" i="4"/>
  <c r="AG1276" i="4" s="1"/>
  <c r="AG1254" i="4" s="1"/>
  <c r="AG74" i="11"/>
  <c r="AG78" i="11" s="1"/>
  <c r="AG1304" i="4"/>
  <c r="AG1327" i="4"/>
  <c r="AG1386" i="4"/>
  <c r="AG36" i="66"/>
  <c r="AI457" i="4"/>
  <c r="AH478" i="4"/>
  <c r="AH480" i="4" s="1"/>
  <c r="AH481" i="4" s="1"/>
  <c r="AH482" i="4" s="1"/>
  <c r="AH483" i="4" s="1"/>
  <c r="AI477" i="4" s="1"/>
  <c r="AI468" i="4"/>
  <c r="AH456" i="4"/>
  <c r="AH458" i="4" s="1"/>
  <c r="AH459" i="4" s="1"/>
  <c r="AI479" i="4"/>
  <c r="AH467" i="4"/>
  <c r="AH469" i="4" s="1"/>
  <c r="AH470" i="4" s="1"/>
  <c r="AH471" i="4" s="1"/>
  <c r="AH472" i="4" s="1"/>
  <c r="AI466" i="4" s="1"/>
  <c r="AG1338" i="4"/>
  <c r="AG1309" i="4"/>
  <c r="AG86" i="11"/>
  <c r="AG19" i="66"/>
  <c r="AG1480" i="4"/>
  <c r="AH49" i="11"/>
  <c r="AH1168" i="4"/>
  <c r="AH1169" i="4"/>
  <c r="AH1219" i="4"/>
  <c r="AH294" i="4" s="1"/>
  <c r="AH1220" i="4"/>
  <c r="AH53" i="11" s="1"/>
  <c r="AH52" i="11" s="1"/>
  <c r="AH1074" i="4"/>
  <c r="AH1197" i="4" l="1"/>
  <c r="AH299" i="4"/>
  <c r="AH302" i="4"/>
  <c r="AI495" i="4"/>
  <c r="AI1072" i="4" s="1"/>
  <c r="AH1170" i="4"/>
  <c r="AH1188" i="4" s="1"/>
  <c r="AG1483" i="4"/>
  <c r="AG17" i="66"/>
  <c r="AH460" i="4"/>
  <c r="AH461" i="4" s="1"/>
  <c r="AI455" i="4" s="1"/>
  <c r="AH494" i="4"/>
  <c r="AH1071" i="4" s="1"/>
  <c r="AG1421" i="4"/>
  <c r="AG1385" i="4"/>
  <c r="AG1388" i="4" s="1"/>
  <c r="AH1121" i="4"/>
  <c r="AH1144" i="4" s="1"/>
  <c r="AH73" i="11"/>
  <c r="AH1301" i="4"/>
  <c r="AH1325" i="4"/>
  <c r="AG1305" i="4"/>
  <c r="AG1282" i="4" s="1"/>
  <c r="AG39" i="66"/>
  <c r="AG1328" i="4"/>
  <c r="AG89" i="11"/>
  <c r="AG1255" i="4"/>
  <c r="AG1284" i="4" l="1"/>
  <c r="AG1286" i="4" s="1"/>
  <c r="AH1145" i="4"/>
  <c r="AH1234" i="4"/>
  <c r="AH1235" i="4"/>
  <c r="AH1251" i="4" s="1"/>
  <c r="AG1390" i="4"/>
  <c r="AG1402" i="4"/>
  <c r="AG1425" i="4"/>
  <c r="AG35" i="66"/>
  <c r="AH1250" i="4"/>
  <c r="AG27" i="11"/>
  <c r="AG1506" i="4"/>
  <c r="AH307" i="4"/>
  <c r="AH331" i="4"/>
  <c r="AG1440" i="4" l="1"/>
  <c r="AG1441" i="4" s="1"/>
  <c r="AG1442" i="4" s="1"/>
  <c r="AH332" i="4"/>
  <c r="AH14" i="11" s="1"/>
  <c r="AH1241" i="4"/>
  <c r="AH1236" i="4"/>
  <c r="AG1329" i="4"/>
  <c r="AG58" i="11"/>
  <c r="AG59" i="11" s="1"/>
  <c r="AG28" i="11" s="1"/>
  <c r="AG25" i="11" s="1"/>
  <c r="AG1306" i="4"/>
  <c r="AG1307" i="4" s="1"/>
  <c r="AG1311" i="4" s="1"/>
  <c r="AH1290" i="4" s="1"/>
  <c r="AG48" i="62"/>
  <c r="AG24" i="62" s="1"/>
  <c r="AG26" i="62" s="1"/>
  <c r="AG90" i="11"/>
  <c r="AG91" i="11" s="1"/>
  <c r="AG93" i="11" s="1"/>
  <c r="AG96" i="11" s="1"/>
  <c r="AG97" i="11" s="1"/>
  <c r="AG22" i="66"/>
  <c r="AG1285" i="4"/>
  <c r="AH405" i="4"/>
  <c r="AH406" i="4" s="1"/>
  <c r="AH407" i="4" s="1"/>
  <c r="AH408" i="4" s="1"/>
  <c r="AH409" i="4" s="1"/>
  <c r="AI404" i="4" s="1"/>
  <c r="AH385" i="4"/>
  <c r="AH395" i="4"/>
  <c r="AH396" i="4" s="1"/>
  <c r="AH397" i="4" s="1"/>
  <c r="AH398" i="4" s="1"/>
  <c r="AH399" i="4" s="1"/>
  <c r="AI394" i="4" s="1"/>
  <c r="AG1403" i="4"/>
  <c r="AG1404" i="4" s="1"/>
  <c r="AG1509" i="4"/>
  <c r="AG1507" i="4"/>
  <c r="AG1508" i="4" s="1"/>
  <c r="AG1474" i="4" l="1"/>
  <c r="AG1469" i="4" s="1"/>
  <c r="AG1475" i="4"/>
  <c r="AG1470" i="4" s="1"/>
  <c r="AG37" i="11"/>
  <c r="AG46" i="62"/>
  <c r="AG1462" i="4"/>
  <c r="AG1461" i="4" s="1"/>
  <c r="AG1340" i="4"/>
  <c r="AG1341" i="4" s="1"/>
  <c r="AG101" i="67"/>
  <c r="AG21" i="11"/>
  <c r="AG17" i="11" s="1"/>
  <c r="AG44" i="66"/>
  <c r="AG40" i="66" s="1"/>
  <c r="AG100" i="11"/>
  <c r="AG24" i="66"/>
  <c r="AG100" i="67"/>
  <c r="AG101" i="11"/>
  <c r="AH95" i="11"/>
  <c r="AG1330" i="4"/>
  <c r="AG1331" i="4" s="1"/>
  <c r="AH1422" i="4"/>
  <c r="AH1337" i="4"/>
  <c r="AH1308" i="4"/>
  <c r="AH42" i="62"/>
  <c r="AH85" i="11"/>
  <c r="AH1244" i="4"/>
  <c r="AH1245" i="4" s="1"/>
  <c r="AH489" i="4"/>
  <c r="AH500" i="4"/>
  <c r="AH386" i="4"/>
  <c r="AH387" i="4" s="1"/>
  <c r="AH1128" i="4"/>
  <c r="AG1343" i="4" l="1"/>
  <c r="AG99" i="11"/>
  <c r="AH26" i="11"/>
  <c r="AI1240" i="4"/>
  <c r="AH43" i="62"/>
  <c r="AH23" i="62" s="1"/>
  <c r="AH16" i="66" s="1"/>
  <c r="AH52" i="62"/>
  <c r="AH501" i="4"/>
  <c r="AH502" i="4" s="1"/>
  <c r="AH388" i="4"/>
  <c r="AH389" i="4" s="1"/>
  <c r="AI384" i="4" s="1"/>
  <c r="AH490" i="4"/>
  <c r="AH491" i="4" s="1"/>
  <c r="AG20" i="66"/>
  <c r="Q12" i="13"/>
  <c r="Q47" i="13"/>
  <c r="I47" i="13" s="1"/>
  <c r="I1422" i="4"/>
  <c r="AG46" i="66"/>
  <c r="AG1463" i="4"/>
  <c r="AG1460" i="4" s="1"/>
  <c r="AG23" i="11"/>
  <c r="AI488" i="4" l="1"/>
  <c r="AH15" i="11"/>
  <c r="AH13" i="11" s="1"/>
  <c r="I12" i="13"/>
  <c r="AG1516" i="4"/>
  <c r="AG1517" i="4" s="1"/>
  <c r="AG1473" i="4"/>
  <c r="AG1468" i="4" s="1"/>
  <c r="AG39" i="11"/>
  <c r="AG40" i="11" s="1"/>
  <c r="AH14" i="66"/>
  <c r="AH1101" i="4"/>
  <c r="AH1103" i="4" s="1"/>
  <c r="AH1104" i="4" s="1"/>
  <c r="AH1105" i="4" s="1"/>
  <c r="AI499" i="4"/>
  <c r="AG26" i="66"/>
  <c r="AG48" i="66" s="1"/>
  <c r="AH51" i="11"/>
  <c r="AH64" i="62"/>
  <c r="AI1100" i="4" l="1"/>
  <c r="AH62" i="64"/>
  <c r="AH984" i="4"/>
  <c r="AH988" i="4" s="1"/>
  <c r="AH13" i="66"/>
  <c r="AH71" i="11" l="1"/>
  <c r="AH1294" i="4"/>
  <c r="AH1298" i="4" s="1"/>
  <c r="AH992" i="4"/>
  <c r="AH1320" i="4"/>
  <c r="AH1120" i="4"/>
  <c r="AH70" i="64"/>
  <c r="AH78" i="64"/>
  <c r="AH1073" i="4" l="1"/>
  <c r="AH1077" i="4" s="1"/>
  <c r="AH1081" i="4" s="1"/>
  <c r="AH47" i="11"/>
  <c r="AH62" i="11" l="1"/>
  <c r="AH61" i="11"/>
  <c r="AH48" i="11"/>
  <c r="AH55" i="11" s="1"/>
  <c r="AH1089" i="4"/>
  <c r="AH1082" i="4"/>
  <c r="AH1093" i="4" l="1"/>
  <c r="AH1090" i="4" s="1"/>
  <c r="AH1083" i="4" s="1"/>
  <c r="AH1084" i="4" s="1"/>
  <c r="AH63" i="11"/>
  <c r="AH62" i="62"/>
  <c r="AH1472" i="4"/>
  <c r="AH64" i="11"/>
  <c r="AH75" i="11" l="1"/>
  <c r="AH61" i="64"/>
  <c r="AH1323" i="4"/>
  <c r="AH1299" i="4"/>
  <c r="AH1300" i="4" s="1"/>
  <c r="AH1123" i="4"/>
  <c r="AH1130" i="4" s="1"/>
  <c r="AH1132" i="4" s="1"/>
  <c r="AH1135" i="4" s="1"/>
  <c r="AH56" i="11"/>
  <c r="AH57" i="11" s="1"/>
  <c r="AH63" i="62"/>
  <c r="AH67" i="62" s="1"/>
  <c r="AH1091" i="4"/>
  <c r="AI1088" i="4" s="1"/>
  <c r="AH68" i="62" l="1"/>
  <c r="AH1471" i="4"/>
  <c r="AH1283" i="4"/>
  <c r="AH1313" i="4"/>
  <c r="AH69" i="64"/>
  <c r="AH74" i="64" s="1"/>
  <c r="AH77" i="64"/>
  <c r="AH82" i="64" s="1"/>
  <c r="AH66" i="64"/>
  <c r="AH40" i="64" s="1"/>
  <c r="AH42" i="64" s="1"/>
  <c r="AH49" i="64" l="1"/>
  <c r="AH52" i="64"/>
  <c r="AH1193" i="4"/>
  <c r="AH1194" i="4" s="1"/>
  <c r="AH1196" i="4" s="1"/>
  <c r="AH1198" i="4" s="1"/>
  <c r="AH1164" i="4" s="1"/>
  <c r="AH1214" i="4" l="1"/>
  <c r="AH1165" i="4"/>
  <c r="AI1162" i="4" l="1"/>
  <c r="AI1207" i="4"/>
  <c r="AI1225" i="4" s="1"/>
  <c r="AH38" i="66"/>
  <c r="AH1324" i="4"/>
  <c r="AH1481" i="4"/>
  <c r="AH1302" i="4"/>
  <c r="AH1303" i="4" s="1"/>
  <c r="AH88" i="11"/>
  <c r="AH1424" i="4"/>
  <c r="AH1215" i="4"/>
  <c r="AH1271" i="4" l="1"/>
  <c r="AH1281" i="4"/>
  <c r="AH31" i="11"/>
  <c r="AH1489" i="4"/>
  <c r="AH1490" i="4" s="1"/>
  <c r="AH1505" i="4"/>
  <c r="AI1212" i="4"/>
  <c r="AH1515" i="4"/>
  <c r="AI1163" i="4"/>
  <c r="AI1492" i="4" l="1"/>
  <c r="AH1495" i="4"/>
  <c r="AH1493" i="4"/>
  <c r="AH45" i="62"/>
  <c r="AH30" i="11"/>
  <c r="AI1213" i="4"/>
  <c r="AI1206" i="4"/>
  <c r="AI1224" i="4" s="1"/>
  <c r="AI1226" i="4" s="1"/>
  <c r="AI1202" i="4"/>
  <c r="AI1178" i="4"/>
  <c r="AH1252" i="4"/>
  <c r="AH1274" i="4"/>
  <c r="AH1275" i="4" s="1"/>
  <c r="AH1265" i="4" s="1"/>
  <c r="AH1496" i="4" l="1"/>
  <c r="AH1266" i="4"/>
  <c r="AH1264" i="4"/>
  <c r="AH1253" i="4" s="1"/>
  <c r="AI1179" i="4"/>
  <c r="AI1180" i="4"/>
  <c r="AI1189" i="4"/>
  <c r="AI1218" i="4" s="1"/>
  <c r="Q72" i="67"/>
  <c r="AI1076" i="4"/>
  <c r="AI37" i="66"/>
  <c r="AI1326" i="4"/>
  <c r="AI72" i="11"/>
  <c r="AI1122" i="4"/>
  <c r="AI297" i="4"/>
  <c r="AI305" i="4" s="1"/>
  <c r="AI330" i="4" s="1"/>
  <c r="AI50" i="11"/>
  <c r="AI1295" i="4"/>
  <c r="AH1261" i="4"/>
  <c r="AH1268" i="4" s="1"/>
  <c r="AH1257" i="4"/>
  <c r="Q87" i="67"/>
  <c r="AI87" i="11"/>
  <c r="AI1310" i="4"/>
  <c r="AI1336" i="4"/>
  <c r="AI18" i="66"/>
  <c r="AI1423" i="4"/>
  <c r="AI49" i="11" l="1"/>
  <c r="Q50" i="67"/>
  <c r="AJ479" i="4"/>
  <c r="AJ468" i="4"/>
  <c r="AJ457" i="4"/>
  <c r="AI456" i="4"/>
  <c r="AI458" i="4" s="1"/>
  <c r="AI459" i="4" s="1"/>
  <c r="AI467" i="4"/>
  <c r="AI469" i="4" s="1"/>
  <c r="AI470" i="4" s="1"/>
  <c r="AI471" i="4" s="1"/>
  <c r="AI472" i="4" s="1"/>
  <c r="AJ466" i="4" s="1"/>
  <c r="AI478" i="4"/>
  <c r="AI480" i="4" s="1"/>
  <c r="AI481" i="4" s="1"/>
  <c r="AI482" i="4" s="1"/>
  <c r="AI483" i="4" s="1"/>
  <c r="AJ477" i="4" s="1"/>
  <c r="AI1074" i="4"/>
  <c r="AI1219" i="4"/>
  <c r="AI294" i="4" s="1"/>
  <c r="AI1220" i="4"/>
  <c r="AI1168" i="4"/>
  <c r="AI1169" i="4"/>
  <c r="AI1181" i="4"/>
  <c r="AH19" i="66"/>
  <c r="AH1338" i="4"/>
  <c r="AH1309" i="4"/>
  <c r="AH86" i="11"/>
  <c r="AH1480" i="4"/>
  <c r="AH74" i="11"/>
  <c r="AH78" i="11" s="1"/>
  <c r="AH1304" i="4"/>
  <c r="AH1272" i="4"/>
  <c r="AH1276" i="4" s="1"/>
  <c r="AH1254" i="4" s="1"/>
  <c r="AH1327" i="4"/>
  <c r="AH36" i="66"/>
  <c r="AH1386" i="4"/>
  <c r="M143" i="15"/>
  <c r="G143" i="15" s="1"/>
  <c r="AJ495" i="4" l="1"/>
  <c r="AJ1072" i="4" s="1"/>
  <c r="AI1170" i="4"/>
  <c r="AI1188" i="4" s="1"/>
  <c r="AH1385" i="4"/>
  <c r="AH1388" i="4" s="1"/>
  <c r="AH1421" i="4"/>
  <c r="AH1483" i="4"/>
  <c r="Q53" i="67"/>
  <c r="AI53" i="11"/>
  <c r="AI52" i="11" s="1"/>
  <c r="AI460" i="4"/>
  <c r="AI461" i="4" s="1"/>
  <c r="AJ455" i="4" s="1"/>
  <c r="AI494" i="4"/>
  <c r="AI1071" i="4" s="1"/>
  <c r="AI299" i="4"/>
  <c r="AI302" i="4"/>
  <c r="Q49" i="67"/>
  <c r="AH1328" i="4"/>
  <c r="AH39" i="66"/>
  <c r="AH89" i="11"/>
  <c r="AH1305" i="4"/>
  <c r="AH1282" i="4" s="1"/>
  <c r="AH1255" i="4"/>
  <c r="AH17" i="66"/>
  <c r="AI1190" i="4"/>
  <c r="AI1221" i="4" s="1"/>
  <c r="AI1197" i="4"/>
  <c r="AI1325" i="4" l="1"/>
  <c r="AI1301" i="4"/>
  <c r="AI1121" i="4"/>
  <c r="AI1144" i="4" s="1"/>
  <c r="AI73" i="11"/>
  <c r="Q23" i="13"/>
  <c r="Q73" i="67"/>
  <c r="Q52" i="67"/>
  <c r="AI1250" i="4"/>
  <c r="AH27" i="11"/>
  <c r="AH1506" i="4"/>
  <c r="AH35" i="66"/>
  <c r="AI307" i="4"/>
  <c r="AI331" i="4"/>
  <c r="AH1425" i="4"/>
  <c r="AH1284" i="4"/>
  <c r="AH1286" i="4" s="1"/>
  <c r="AH1390" i="4"/>
  <c r="AH1402" i="4"/>
  <c r="AH1440" i="4" l="1"/>
  <c r="AH1441" i="4" s="1"/>
  <c r="AH1442" i="4" s="1"/>
  <c r="AI332" i="4"/>
  <c r="AI14" i="11" s="1"/>
  <c r="AH1329" i="4"/>
  <c r="AH90" i="11"/>
  <c r="AH91" i="11" s="1"/>
  <c r="AH93" i="11" s="1"/>
  <c r="AH96" i="11" s="1"/>
  <c r="AH97" i="11" s="1"/>
  <c r="AH58" i="11"/>
  <c r="AH59" i="11" s="1"/>
  <c r="AH28" i="11" s="1"/>
  <c r="AH25" i="11" s="1"/>
  <c r="AH1306" i="4"/>
  <c r="AH1307" i="4" s="1"/>
  <c r="AH1311" i="4" s="1"/>
  <c r="AI1290" i="4" s="1"/>
  <c r="AH48" i="62"/>
  <c r="AH24" i="62" s="1"/>
  <c r="AH26" i="62" s="1"/>
  <c r="AH22" i="66"/>
  <c r="AH1507" i="4"/>
  <c r="AH1508" i="4" s="1"/>
  <c r="AH1509" i="4"/>
  <c r="AI405" i="4"/>
  <c r="AI406" i="4" s="1"/>
  <c r="AI407" i="4" s="1"/>
  <c r="AI408" i="4" s="1"/>
  <c r="AI409" i="4" s="1"/>
  <c r="AJ404" i="4" s="1"/>
  <c r="AI395" i="4"/>
  <c r="AI396" i="4" s="1"/>
  <c r="AI397" i="4" s="1"/>
  <c r="AI398" i="4" s="1"/>
  <c r="AI399" i="4" s="1"/>
  <c r="AJ394" i="4" s="1"/>
  <c r="AI385" i="4"/>
  <c r="AI1235" i="4"/>
  <c r="AI1251" i="4" s="1"/>
  <c r="AI1234" i="4"/>
  <c r="AI1145" i="4"/>
  <c r="AH1403" i="4"/>
  <c r="AH1404" i="4" s="1"/>
  <c r="AH1285" i="4"/>
  <c r="Q14" i="67" l="1"/>
  <c r="AI489" i="4"/>
  <c r="AI500" i="4"/>
  <c r="AI386" i="4"/>
  <c r="AI387" i="4" s="1"/>
  <c r="AI1236" i="4"/>
  <c r="AI1241" i="4"/>
  <c r="AI1128" i="4"/>
  <c r="AH1475" i="4"/>
  <c r="AH1470" i="4" s="1"/>
  <c r="AH1474" i="4"/>
  <c r="AH1469" i="4" s="1"/>
  <c r="AH37" i="11"/>
  <c r="AH44" i="66"/>
  <c r="AH40" i="66" s="1"/>
  <c r="AH100" i="67"/>
  <c r="AH1340" i="4"/>
  <c r="AH1341" i="4" s="1"/>
  <c r="AH101" i="67"/>
  <c r="AH1462" i="4"/>
  <c r="AH1461" i="4" s="1"/>
  <c r="AH21" i="11"/>
  <c r="AH17" i="11" s="1"/>
  <c r="AH24" i="66"/>
  <c r="AI95" i="11"/>
  <c r="AH1330" i="4"/>
  <c r="AH1331" i="4" s="1"/>
  <c r="AH100" i="11"/>
  <c r="AH101" i="11"/>
  <c r="AH46" i="62"/>
  <c r="AH99" i="11" l="1"/>
  <c r="AH1343" i="4"/>
  <c r="AH46" i="66"/>
  <c r="AI1244" i="4"/>
  <c r="AI1245" i="4" s="1"/>
  <c r="AI1308" i="4"/>
  <c r="AI85" i="11"/>
  <c r="AI1337" i="4"/>
  <c r="AI42" i="62"/>
  <c r="Q85" i="67"/>
  <c r="AH1463" i="4"/>
  <c r="AH1460" i="4" s="1"/>
  <c r="AH23" i="11"/>
  <c r="AH39" i="11" s="1"/>
  <c r="AH40" i="11" s="1"/>
  <c r="AH20" i="66"/>
  <c r="AI501" i="4"/>
  <c r="AI502" i="4" s="1"/>
  <c r="AI490" i="4"/>
  <c r="AI388" i="4"/>
  <c r="AI389" i="4" s="1"/>
  <c r="AJ384" i="4" s="1"/>
  <c r="AJ499" i="4" l="1"/>
  <c r="AI1101" i="4"/>
  <c r="AI1103" i="4" s="1"/>
  <c r="AI1104" i="4" s="1"/>
  <c r="AI1105" i="4" s="1"/>
  <c r="AH26" i="66"/>
  <c r="AH48" i="66" s="1"/>
  <c r="AI51" i="11"/>
  <c r="AI64" i="62"/>
  <c r="Q51" i="67"/>
  <c r="AH1516" i="4"/>
  <c r="AH1517" i="4" s="1"/>
  <c r="AH1473" i="4"/>
  <c r="AH1468" i="4" s="1"/>
  <c r="Q26" i="67"/>
  <c r="AJ1240" i="4"/>
  <c r="AI26" i="11"/>
  <c r="AI491" i="4"/>
  <c r="AI52" i="62"/>
  <c r="AI43" i="62"/>
  <c r="AI23" i="62" s="1"/>
  <c r="AI16" i="66" s="1"/>
  <c r="Q15" i="67" l="1"/>
  <c r="Q13" i="67" s="1"/>
  <c r="AI15" i="11"/>
  <c r="AI13" i="11" s="1"/>
  <c r="AJ488" i="4"/>
  <c r="AI984" i="4"/>
  <c r="AI988" i="4" s="1"/>
  <c r="AI62" i="64"/>
  <c r="M140" i="15"/>
  <c r="G140" i="15" s="1"/>
  <c r="AI14" i="66"/>
  <c r="AJ1100" i="4"/>
  <c r="AI13" i="66" l="1"/>
  <c r="M138" i="15"/>
  <c r="G138" i="15" s="1"/>
  <c r="AI78" i="64"/>
  <c r="AI70" i="64"/>
  <c r="AI1294" i="4"/>
  <c r="AI1298" i="4" s="1"/>
  <c r="AI1320" i="4"/>
  <c r="AI1120" i="4"/>
  <c r="AI992" i="4"/>
  <c r="AI71" i="11"/>
  <c r="Q71" i="67"/>
  <c r="Q40" i="13"/>
  <c r="Q47" i="67" l="1"/>
  <c r="AI1073" i="4"/>
  <c r="AI1077" i="4" s="1"/>
  <c r="AI1081" i="4" s="1"/>
  <c r="AI47" i="11"/>
  <c r="Q20" i="72"/>
  <c r="M137" i="15"/>
  <c r="G137" i="15" l="1"/>
  <c r="AI62" i="11"/>
  <c r="AI61" i="11"/>
  <c r="AI48" i="11"/>
  <c r="AI55" i="11" s="1"/>
  <c r="AI1089" i="4"/>
  <c r="AI1082" i="4"/>
  <c r="AI1093" i="4" s="1"/>
  <c r="AI1090" i="4" s="1"/>
  <c r="AI1083" i="4" s="1"/>
  <c r="AI1084" i="4" s="1"/>
  <c r="Q62" i="67"/>
  <c r="Q61" i="67"/>
  <c r="Q48" i="67"/>
  <c r="Q64" i="67" l="1"/>
  <c r="AI1123" i="4"/>
  <c r="AI1130" i="4" s="1"/>
  <c r="AI1132" i="4" s="1"/>
  <c r="AI1135" i="4" s="1"/>
  <c r="AI75" i="11"/>
  <c r="AI61" i="64"/>
  <c r="AI1299" i="4"/>
  <c r="AI1300" i="4" s="1"/>
  <c r="AI56" i="11"/>
  <c r="AI57" i="11" s="1"/>
  <c r="AI1323" i="4"/>
  <c r="Q56" i="67"/>
  <c r="Q41" i="13"/>
  <c r="Q75" i="67"/>
  <c r="AI1091" i="4"/>
  <c r="AJ1088" i="4" s="1"/>
  <c r="AI63" i="11"/>
  <c r="Q1526" i="4"/>
  <c r="AI64" i="11"/>
  <c r="AI1472" i="4"/>
  <c r="AI62" i="62"/>
  <c r="Q55" i="67"/>
  <c r="Q63" i="67"/>
  <c r="AI1471" i="4" l="1"/>
  <c r="AI1283" i="4"/>
  <c r="AI1313" i="4"/>
  <c r="AI77" i="64"/>
  <c r="AI82" i="64" s="1"/>
  <c r="AI69" i="64"/>
  <c r="AI74" i="64" s="1"/>
  <c r="AI66" i="64"/>
  <c r="AI40" i="64" s="1"/>
  <c r="AI42" i="64" s="1"/>
  <c r="Q43" i="13"/>
  <c r="AI63" i="62"/>
  <c r="AI67" i="62" s="1"/>
  <c r="Q57" i="67"/>
  <c r="AI68" i="62" l="1"/>
  <c r="AI1193" i="4"/>
  <c r="AI1194" i="4" s="1"/>
  <c r="AI1196" i="4" s="1"/>
  <c r="AI1198" i="4" s="1"/>
  <c r="AI1164" i="4" s="1"/>
  <c r="AI52" i="64"/>
  <c r="AI49" i="64"/>
  <c r="AI1214" i="4" l="1"/>
  <c r="AI1165" i="4"/>
  <c r="AJ1162" i="4" l="1"/>
  <c r="AJ1207" i="4"/>
  <c r="AJ1225" i="4" s="1"/>
  <c r="AI38" i="66"/>
  <c r="AI1481" i="4"/>
  <c r="AI1302" i="4"/>
  <c r="AI1303" i="4" s="1"/>
  <c r="AI1324" i="4"/>
  <c r="AI88" i="11"/>
  <c r="AI1424" i="4"/>
  <c r="Q88" i="67"/>
  <c r="Q24" i="13"/>
  <c r="AI1215" i="4"/>
  <c r="AI1281" i="4" l="1"/>
  <c r="AI1271" i="4"/>
  <c r="Q31" i="67"/>
  <c r="Q30" i="67" s="1"/>
  <c r="Q1525" i="4"/>
  <c r="Q1529" i="4" s="1"/>
  <c r="AI31" i="11"/>
  <c r="AI1489" i="4"/>
  <c r="AI1490" i="4" s="1"/>
  <c r="AI1505" i="4"/>
  <c r="AJ1212" i="4"/>
  <c r="AI1515" i="4"/>
  <c r="AJ1163" i="4"/>
  <c r="AI1495" i="4" l="1"/>
  <c r="AI1493" i="4"/>
  <c r="AI45" i="62"/>
  <c r="AI30" i="11"/>
  <c r="AJ1492" i="4"/>
  <c r="AI1274" i="4"/>
  <c r="AI1275" i="4" s="1"/>
  <c r="AI1265" i="4" s="1"/>
  <c r="AI1252" i="4"/>
  <c r="AJ1206" i="4"/>
  <c r="AJ1224" i="4" s="1"/>
  <c r="AJ1226" i="4" s="1"/>
  <c r="AJ1213" i="4"/>
  <c r="AJ1202" i="4"/>
  <c r="AJ1178" i="4"/>
  <c r="AI1496" i="4" l="1"/>
  <c r="AJ1179" i="4"/>
  <c r="AJ1180" i="4"/>
  <c r="AJ1189" i="4"/>
  <c r="AJ1218" i="4" s="1"/>
  <c r="AJ1310" i="4"/>
  <c r="AJ18" i="66"/>
  <c r="AJ1336" i="4"/>
  <c r="AJ87" i="11"/>
  <c r="AJ1423" i="4"/>
  <c r="AJ297" i="4"/>
  <c r="AJ305" i="4" s="1"/>
  <c r="AJ330" i="4" s="1"/>
  <c r="AJ37" i="66"/>
  <c r="AJ1295" i="4"/>
  <c r="AJ1326" i="4"/>
  <c r="AJ72" i="11"/>
  <c r="AJ1076" i="4"/>
  <c r="AJ50" i="11"/>
  <c r="AJ49" i="11" s="1"/>
  <c r="AJ1122" i="4"/>
  <c r="AI1257" i="4"/>
  <c r="AI1261" i="4"/>
  <c r="AI1268" i="4" s="1"/>
  <c r="AI1266" i="4"/>
  <c r="AI1264" i="4"/>
  <c r="AI1253" i="4" s="1"/>
  <c r="AJ1181" i="4" l="1"/>
  <c r="AJ1197" i="4" s="1"/>
  <c r="AI1304" i="4"/>
  <c r="AI1272" i="4"/>
  <c r="AI1276" i="4" s="1"/>
  <c r="AI1254" i="4" s="1"/>
  <c r="AI74" i="11"/>
  <c r="AI78" i="11" s="1"/>
  <c r="AI1327" i="4"/>
  <c r="Q74" i="67"/>
  <c r="Q78" i="67" s="1"/>
  <c r="AI36" i="66"/>
  <c r="AI1386" i="4"/>
  <c r="AJ1074" i="4"/>
  <c r="AJ1220" i="4"/>
  <c r="AJ53" i="11" s="1"/>
  <c r="AJ52" i="11" s="1"/>
  <c r="AJ1219" i="4"/>
  <c r="AJ294" i="4" s="1"/>
  <c r="AI19" i="66"/>
  <c r="AI1338" i="4"/>
  <c r="AI86" i="11"/>
  <c r="AI1309" i="4"/>
  <c r="Q86" i="67"/>
  <c r="AI1480" i="4"/>
  <c r="AJ1169" i="4"/>
  <c r="AJ1168" i="4"/>
  <c r="AJ456" i="4"/>
  <c r="AJ458" i="4" s="1"/>
  <c r="AJ459" i="4" s="1"/>
  <c r="AK457" i="4"/>
  <c r="AJ467" i="4"/>
  <c r="AJ469" i="4" s="1"/>
  <c r="AJ470" i="4" s="1"/>
  <c r="AJ471" i="4" s="1"/>
  <c r="AJ472" i="4" s="1"/>
  <c r="AK466" i="4" s="1"/>
  <c r="AK479" i="4"/>
  <c r="AJ478" i="4"/>
  <c r="AJ480" i="4" s="1"/>
  <c r="AJ481" i="4" s="1"/>
  <c r="AJ482" i="4" s="1"/>
  <c r="AJ483" i="4" s="1"/>
  <c r="AK477" i="4" s="1"/>
  <c r="AK468" i="4"/>
  <c r="AJ1190" i="4" l="1"/>
  <c r="AJ1221" i="4" s="1"/>
  <c r="AJ73" i="11" s="1"/>
  <c r="Q25" i="13"/>
  <c r="AI1483" i="4"/>
  <c r="AK495" i="4"/>
  <c r="AK1072" i="4" s="1"/>
  <c r="AJ494" i="4"/>
  <c r="AJ1071" i="4" s="1"/>
  <c r="AJ460" i="4"/>
  <c r="AJ461" i="4" s="1"/>
  <c r="AK455" i="4" s="1"/>
  <c r="AI17" i="66"/>
  <c r="M144" i="15"/>
  <c r="G144" i="15" s="1"/>
  <c r="AI1421" i="4"/>
  <c r="AI1385" i="4"/>
  <c r="AI1388" i="4" s="1"/>
  <c r="AJ1170" i="4"/>
  <c r="AJ1188" i="4" s="1"/>
  <c r="AJ299" i="4"/>
  <c r="AJ302" i="4"/>
  <c r="AI39" i="66"/>
  <c r="AI35" i="66" s="1"/>
  <c r="AI89" i="11"/>
  <c r="AI1305" i="4"/>
  <c r="AI1282" i="4" s="1"/>
  <c r="AI1328" i="4"/>
  <c r="Q89" i="67"/>
  <c r="AI1255" i="4"/>
  <c r="AJ1121" i="4" l="1"/>
  <c r="AJ1144" i="4" s="1"/>
  <c r="AJ1234" i="4" s="1"/>
  <c r="AJ1301" i="4"/>
  <c r="AJ1325" i="4"/>
  <c r="M161" i="15"/>
  <c r="AI1390" i="4"/>
  <c r="AI1402" i="4"/>
  <c r="AI1425" i="4"/>
  <c r="Q13" i="13"/>
  <c r="M142" i="15"/>
  <c r="AI1284" i="4"/>
  <c r="AI1286" i="4" s="1"/>
  <c r="AJ307" i="4"/>
  <c r="AJ331" i="4"/>
  <c r="Q27" i="67"/>
  <c r="AI27" i="11"/>
  <c r="AJ1250" i="4"/>
  <c r="AI1506" i="4"/>
  <c r="AI1440" i="4" l="1"/>
  <c r="AI1441" i="4" s="1"/>
  <c r="AI1442" i="4" s="1"/>
  <c r="AJ1235" i="4"/>
  <c r="AJ1251" i="4" s="1"/>
  <c r="AJ1145" i="4"/>
  <c r="AJ332" i="4"/>
  <c r="AJ14" i="11" s="1"/>
  <c r="AJ385" i="4"/>
  <c r="AJ405" i="4"/>
  <c r="AJ406" i="4" s="1"/>
  <c r="AJ407" i="4" s="1"/>
  <c r="AJ408" i="4" s="1"/>
  <c r="AJ409" i="4" s="1"/>
  <c r="AK404" i="4" s="1"/>
  <c r="AJ395" i="4"/>
  <c r="AJ396" i="4" s="1"/>
  <c r="AJ397" i="4" s="1"/>
  <c r="AJ398" i="4" s="1"/>
  <c r="AJ399" i="4" s="1"/>
  <c r="AK394" i="4" s="1"/>
  <c r="G142" i="15"/>
  <c r="AI1403" i="4"/>
  <c r="AI1404" i="4" s="1"/>
  <c r="AI1509" i="4"/>
  <c r="AI1507" i="4"/>
  <c r="AI1508" i="4" s="1"/>
  <c r="AJ1241" i="4"/>
  <c r="AI1329" i="4"/>
  <c r="AI58" i="11"/>
  <c r="AI59" i="11" s="1"/>
  <c r="AI28" i="11" s="1"/>
  <c r="AI90" i="11"/>
  <c r="AI91" i="11" s="1"/>
  <c r="AI93" i="11" s="1"/>
  <c r="AI96" i="11" s="1"/>
  <c r="AI97" i="11" s="1"/>
  <c r="AI1306" i="4"/>
  <c r="AI1307" i="4" s="1"/>
  <c r="AI1311" i="4" s="1"/>
  <c r="AJ1290" i="4" s="1"/>
  <c r="AI48" i="62"/>
  <c r="AI24" i="62" s="1"/>
  <c r="AI26" i="62" s="1"/>
  <c r="Q58" i="67"/>
  <c r="Q59" i="67" s="1"/>
  <c r="Q90" i="67"/>
  <c r="Q91" i="67" s="1"/>
  <c r="Q93" i="67" s="1"/>
  <c r="Q96" i="67" s="1"/>
  <c r="Q97" i="67" s="1"/>
  <c r="AI22" i="66"/>
  <c r="G161" i="15"/>
  <c r="AI1285" i="4"/>
  <c r="AJ1236" i="4" l="1"/>
  <c r="AJ1128" i="4"/>
  <c r="AI46" i="62"/>
  <c r="Q1527" i="4"/>
  <c r="Q1534" i="4" s="1"/>
  <c r="AJ95" i="11"/>
  <c r="AI100" i="67"/>
  <c r="AI44" i="66"/>
  <c r="AI40" i="66" s="1"/>
  <c r="AI1340" i="4"/>
  <c r="AI1341" i="4" s="1"/>
  <c r="Q21" i="67"/>
  <c r="Q17" i="67" s="1"/>
  <c r="Q23" i="67" s="1"/>
  <c r="AI1330" i="4"/>
  <c r="AI1331" i="4" s="1"/>
  <c r="AI1462" i="4"/>
  <c r="AI1461" i="4" s="1"/>
  <c r="AI100" i="11"/>
  <c r="AI101" i="67"/>
  <c r="AI24" i="66"/>
  <c r="AI20" i="66" s="1"/>
  <c r="AI21" i="11"/>
  <c r="AI17" i="11" s="1"/>
  <c r="AI101" i="11"/>
  <c r="Q28" i="67"/>
  <c r="Q25" i="67" s="1"/>
  <c r="Q37" i="67" s="1"/>
  <c r="AI25" i="11"/>
  <c r="R95" i="67"/>
  <c r="AJ1244" i="4"/>
  <c r="AJ1245" i="4" s="1"/>
  <c r="AJ42" i="62"/>
  <c r="AJ1337" i="4"/>
  <c r="AJ85" i="11"/>
  <c r="AJ1308" i="4"/>
  <c r="AJ500" i="4"/>
  <c r="AJ386" i="4"/>
  <c r="AJ387" i="4" s="1"/>
  <c r="AJ489" i="4"/>
  <c r="Q39" i="67" l="1"/>
  <c r="Q40" i="67" s="1"/>
  <c r="Q99" i="67"/>
  <c r="AK1240" i="4"/>
  <c r="AJ26" i="11"/>
  <c r="AI1463" i="4"/>
  <c r="AI1460" i="4" s="1"/>
  <c r="AI23" i="11"/>
  <c r="M171" i="15"/>
  <c r="G171" i="15" s="1"/>
  <c r="M150" i="15"/>
  <c r="G150" i="15" s="1"/>
  <c r="M167" i="15"/>
  <c r="AI46" i="66"/>
  <c r="AJ501" i="4"/>
  <c r="AJ502" i="4" s="1"/>
  <c r="AJ388" i="4"/>
  <c r="AJ389" i="4" s="1"/>
  <c r="AK384" i="4" s="1"/>
  <c r="AJ490" i="4"/>
  <c r="AI1474" i="4"/>
  <c r="AI1469" i="4" s="1"/>
  <c r="AI1475" i="4"/>
  <c r="AI1470" i="4" s="1"/>
  <c r="AI37" i="11"/>
  <c r="M146" i="15"/>
  <c r="AI26" i="66"/>
  <c r="AI99" i="11"/>
  <c r="AI1343" i="4"/>
  <c r="AJ52" i="62"/>
  <c r="AJ43" i="62"/>
  <c r="AJ23" i="62" s="1"/>
  <c r="AJ16" i="66" s="1"/>
  <c r="AJ14" i="66" s="1"/>
  <c r="AJ13" i="66" s="1"/>
  <c r="AI39" i="11" l="1"/>
  <c r="AI40" i="11" s="1"/>
  <c r="AI48" i="66"/>
  <c r="AK499" i="4"/>
  <c r="AJ1101" i="4"/>
  <c r="AJ1103" i="4" s="1"/>
  <c r="AJ1104" i="4" s="1"/>
  <c r="AJ1105" i="4" s="1"/>
  <c r="G167" i="15"/>
  <c r="M173" i="15"/>
  <c r="G173" i="15" s="1"/>
  <c r="AI1516" i="4"/>
  <c r="AI1517" i="4" s="1"/>
  <c r="AI1473" i="4"/>
  <c r="AI1468" i="4" s="1"/>
  <c r="AJ64" i="62"/>
  <c r="AJ51" i="11"/>
  <c r="AJ491" i="4"/>
  <c r="G146" i="15"/>
  <c r="M152" i="15"/>
  <c r="G152" i="15" s="1"/>
  <c r="AJ15" i="11" l="1"/>
  <c r="AJ13" i="11" s="1"/>
  <c r="AK488" i="4"/>
  <c r="AJ984" i="4"/>
  <c r="AJ988" i="4" s="1"/>
  <c r="AJ62" i="64"/>
  <c r="AK1100" i="4"/>
  <c r="AJ70" i="64" l="1"/>
  <c r="AJ78" i="64"/>
  <c r="AJ1320" i="4"/>
  <c r="AJ71" i="11"/>
  <c r="AJ992" i="4"/>
  <c r="AJ1120" i="4"/>
  <c r="AJ1294" i="4"/>
  <c r="AJ1298" i="4" s="1"/>
  <c r="AJ47" i="11" l="1"/>
  <c r="AJ1073" i="4"/>
  <c r="AJ1077" i="4" s="1"/>
  <c r="AJ1081" i="4" s="1"/>
  <c r="AJ1089" i="4" l="1"/>
  <c r="AJ1082" i="4"/>
  <c r="AJ61" i="11"/>
  <c r="AJ62" i="11"/>
  <c r="AJ48" i="11"/>
  <c r="AJ55" i="11" s="1"/>
  <c r="AJ64" i="11" l="1"/>
  <c r="AJ62" i="62"/>
  <c r="AJ1472" i="4"/>
  <c r="AJ63" i="11"/>
  <c r="AJ1093" i="4"/>
  <c r="AJ1090" i="4" s="1"/>
  <c r="AJ1083" i="4" s="1"/>
  <c r="AJ1084" i="4" s="1"/>
  <c r="AJ56" i="11" l="1"/>
  <c r="AJ57" i="11" s="1"/>
  <c r="AJ1323" i="4"/>
  <c r="AJ1123" i="4"/>
  <c r="AJ1130" i="4" s="1"/>
  <c r="AJ1132" i="4" s="1"/>
  <c r="AJ1135" i="4" s="1"/>
  <c r="AJ61" i="64"/>
  <c r="AJ75" i="11"/>
  <c r="AJ1299" i="4"/>
  <c r="AJ1300" i="4" s="1"/>
  <c r="AJ1091" i="4"/>
  <c r="AK1088" i="4" s="1"/>
  <c r="AJ63" i="62"/>
  <c r="AJ67" i="62" s="1"/>
  <c r="AJ68" i="62" l="1"/>
  <c r="AJ1313" i="4"/>
  <c r="AJ69" i="64"/>
  <c r="AJ74" i="64" s="1"/>
  <c r="AJ77" i="64"/>
  <c r="AJ82" i="64" s="1"/>
  <c r="AJ66" i="64"/>
  <c r="AJ40" i="64" s="1"/>
  <c r="AJ42" i="64" s="1"/>
  <c r="AJ1471" i="4"/>
  <c r="AJ1283" i="4"/>
  <c r="AJ52" i="64" l="1"/>
  <c r="AJ49" i="64"/>
  <c r="AJ1193" i="4"/>
  <c r="AJ1194" i="4" s="1"/>
  <c r="AJ1196" i="4" s="1"/>
  <c r="AJ1198" i="4" s="1"/>
  <c r="AJ1164" i="4" s="1"/>
  <c r="AJ1214" i="4" l="1"/>
  <c r="AJ1165" i="4"/>
  <c r="AK1162" i="4" l="1"/>
  <c r="AK1207" i="4"/>
  <c r="AK1225" i="4" s="1"/>
  <c r="AJ38" i="66"/>
  <c r="AJ1324" i="4"/>
  <c r="AJ88" i="11"/>
  <c r="AJ1302" i="4"/>
  <c r="AJ1303" i="4" s="1"/>
  <c r="AJ1481" i="4"/>
  <c r="AJ1424" i="4"/>
  <c r="AJ1215" i="4"/>
  <c r="AJ1271" i="4" l="1"/>
  <c r="AJ1281" i="4"/>
  <c r="AJ31" i="11"/>
  <c r="AJ1489" i="4"/>
  <c r="AJ1490" i="4" s="1"/>
  <c r="AK1212" i="4"/>
  <c r="AJ1505" i="4"/>
  <c r="AJ1515" i="4"/>
  <c r="AK1163" i="4"/>
  <c r="AK1492" i="4" l="1"/>
  <c r="AJ1495" i="4"/>
  <c r="AJ1493" i="4"/>
  <c r="AJ30" i="11"/>
  <c r="AJ45" i="62"/>
  <c r="AK1213" i="4"/>
  <c r="AK1206" i="4"/>
  <c r="AK1224" i="4" s="1"/>
  <c r="AK1226" i="4" s="1"/>
  <c r="AK1202" i="4"/>
  <c r="AK1178" i="4"/>
  <c r="AJ1252" i="4"/>
  <c r="AJ1274" i="4"/>
  <c r="AJ1275" i="4" s="1"/>
  <c r="AJ1265" i="4" s="1"/>
  <c r="AJ1496" i="4" l="1"/>
  <c r="AJ1264" i="4"/>
  <c r="AJ1253" i="4" s="1"/>
  <c r="AJ1266" i="4"/>
  <c r="AK1180" i="4"/>
  <c r="AK1179" i="4"/>
  <c r="AK1189" i="4"/>
  <c r="AK1218" i="4" s="1"/>
  <c r="AK1076" i="4"/>
  <c r="AK37" i="66"/>
  <c r="AK1326" i="4"/>
  <c r="AK72" i="11"/>
  <c r="AK1122" i="4"/>
  <c r="AK50" i="11"/>
  <c r="AK49" i="11" s="1"/>
  <c r="AK1295" i="4"/>
  <c r="AK297" i="4"/>
  <c r="AK305" i="4" s="1"/>
  <c r="AK330" i="4" s="1"/>
  <c r="AJ1257" i="4"/>
  <c r="AJ1261" i="4"/>
  <c r="AJ1268" i="4" s="1"/>
  <c r="AK1310" i="4"/>
  <c r="AK87" i="11"/>
  <c r="AK18" i="66"/>
  <c r="AK1336" i="4"/>
  <c r="AK1423" i="4"/>
  <c r="AK1181" i="4" l="1"/>
  <c r="AK1190" i="4" s="1"/>
  <c r="AK1221" i="4" s="1"/>
  <c r="AJ86" i="11"/>
  <c r="AJ1309" i="4"/>
  <c r="AJ19" i="66"/>
  <c r="AJ17" i="66" s="1"/>
  <c r="AJ1338" i="4"/>
  <c r="AJ1480" i="4"/>
  <c r="AL457" i="4"/>
  <c r="AK478" i="4"/>
  <c r="AK480" i="4" s="1"/>
  <c r="AK481" i="4" s="1"/>
  <c r="AK482" i="4" s="1"/>
  <c r="AK483" i="4" s="1"/>
  <c r="AL477" i="4" s="1"/>
  <c r="AK456" i="4"/>
  <c r="AK458" i="4" s="1"/>
  <c r="AK459" i="4" s="1"/>
  <c r="AL479" i="4"/>
  <c r="AK467" i="4"/>
  <c r="AK469" i="4" s="1"/>
  <c r="AK470" i="4" s="1"/>
  <c r="AK471" i="4" s="1"/>
  <c r="AK472" i="4" s="1"/>
  <c r="AL466" i="4" s="1"/>
  <c r="AL468" i="4"/>
  <c r="AK1219" i="4"/>
  <c r="AK294" i="4" s="1"/>
  <c r="AK1074" i="4"/>
  <c r="AK1220" i="4"/>
  <c r="AK53" i="11" s="1"/>
  <c r="AK52" i="11" s="1"/>
  <c r="AK1169" i="4"/>
  <c r="AK1168" i="4"/>
  <c r="AJ1327" i="4"/>
  <c r="AJ74" i="11"/>
  <c r="AJ78" i="11" s="1"/>
  <c r="AJ1272" i="4"/>
  <c r="AJ1276" i="4" s="1"/>
  <c r="AJ1254" i="4" s="1"/>
  <c r="AJ1304" i="4"/>
  <c r="AJ36" i="66"/>
  <c r="AJ1386" i="4"/>
  <c r="AK1197" i="4" l="1"/>
  <c r="AJ1385" i="4"/>
  <c r="AJ1388" i="4" s="1"/>
  <c r="AJ1421" i="4"/>
  <c r="AK299" i="4"/>
  <c r="AK302" i="4"/>
  <c r="AL495" i="4"/>
  <c r="AL1072" i="4" s="1"/>
  <c r="AK1170" i="4"/>
  <c r="AK1188" i="4" s="1"/>
  <c r="AJ1483" i="4"/>
  <c r="AK73" i="11"/>
  <c r="AK1301" i="4"/>
  <c r="AK1325" i="4"/>
  <c r="AK1121" i="4"/>
  <c r="AK1144" i="4" s="1"/>
  <c r="AJ89" i="11"/>
  <c r="AJ39" i="66"/>
  <c r="AJ35" i="66" s="1"/>
  <c r="AJ1328" i="4"/>
  <c r="AJ1305" i="4"/>
  <c r="AJ1282" i="4" s="1"/>
  <c r="AJ1255" i="4"/>
  <c r="AK494" i="4"/>
  <c r="AK1071" i="4" s="1"/>
  <c r="AK460" i="4"/>
  <c r="AK461" i="4" s="1"/>
  <c r="AL455" i="4" s="1"/>
  <c r="AK1250" i="4" l="1"/>
  <c r="AJ27" i="11"/>
  <c r="AJ1506" i="4"/>
  <c r="AJ1284" i="4"/>
  <c r="AJ1286" i="4" s="1"/>
  <c r="AK1235" i="4"/>
  <c r="AK1251" i="4" s="1"/>
  <c r="AK1145" i="4"/>
  <c r="AK1234" i="4"/>
  <c r="AK331" i="4"/>
  <c r="AK307" i="4"/>
  <c r="AJ1425" i="4"/>
  <c r="AJ1390" i="4"/>
  <c r="AJ1402" i="4"/>
  <c r="AJ1440" i="4" l="1"/>
  <c r="AJ1441" i="4" s="1"/>
  <c r="AJ1442" i="4" s="1"/>
  <c r="AK332" i="4"/>
  <c r="AK14" i="11" s="1"/>
  <c r="AJ1285" i="4"/>
  <c r="AJ1403" i="4"/>
  <c r="AJ1404" i="4" s="1"/>
  <c r="AJ1509" i="4"/>
  <c r="AJ1507" i="4"/>
  <c r="AJ1508" i="4" s="1"/>
  <c r="AJ58" i="11"/>
  <c r="AJ59" i="11" s="1"/>
  <c r="AJ28" i="11" s="1"/>
  <c r="AJ1306" i="4"/>
  <c r="AJ1307" i="4" s="1"/>
  <c r="AJ1311" i="4" s="1"/>
  <c r="AK1290" i="4" s="1"/>
  <c r="AJ1329" i="4"/>
  <c r="AJ90" i="11"/>
  <c r="AJ91" i="11" s="1"/>
  <c r="AJ93" i="11" s="1"/>
  <c r="AJ96" i="11" s="1"/>
  <c r="AJ97" i="11" s="1"/>
  <c r="AJ48" i="62"/>
  <c r="AJ24" i="62" s="1"/>
  <c r="AJ26" i="62" s="1"/>
  <c r="AJ22" i="66"/>
  <c r="AK1241" i="4"/>
  <c r="AK1236" i="4"/>
  <c r="AK395" i="4"/>
  <c r="AK396" i="4" s="1"/>
  <c r="AK397" i="4" s="1"/>
  <c r="AK398" i="4" s="1"/>
  <c r="AK399" i="4" s="1"/>
  <c r="AL394" i="4" s="1"/>
  <c r="AK385" i="4"/>
  <c r="AK405" i="4"/>
  <c r="AK406" i="4" s="1"/>
  <c r="AK407" i="4" s="1"/>
  <c r="AK408" i="4" s="1"/>
  <c r="AK409" i="4" s="1"/>
  <c r="AL404" i="4" s="1"/>
  <c r="AJ25" i="11" l="1"/>
  <c r="AK489" i="4"/>
  <c r="AK500" i="4"/>
  <c r="AK386" i="4"/>
  <c r="AK387" i="4" s="1"/>
  <c r="AJ1462" i="4"/>
  <c r="AJ1461" i="4" s="1"/>
  <c r="AJ1340" i="4"/>
  <c r="AJ1341" i="4" s="1"/>
  <c r="AJ101" i="11"/>
  <c r="AJ100" i="11"/>
  <c r="AJ1330" i="4"/>
  <c r="AJ1331" i="4" s="1"/>
  <c r="AJ24" i="66"/>
  <c r="AJ20" i="66" s="1"/>
  <c r="AJ26" i="66" s="1"/>
  <c r="AJ100" i="67"/>
  <c r="AK95" i="11"/>
  <c r="AJ44" i="66"/>
  <c r="AJ40" i="66" s="1"/>
  <c r="AJ46" i="66" s="1"/>
  <c r="AJ21" i="11"/>
  <c r="AJ17" i="11" s="1"/>
  <c r="AJ46" i="62"/>
  <c r="AJ101" i="67"/>
  <c r="AK1244" i="4"/>
  <c r="AK1245" i="4" s="1"/>
  <c r="AK1308" i="4"/>
  <c r="AK42" i="62"/>
  <c r="AK85" i="11"/>
  <c r="AK1337" i="4"/>
  <c r="AK1128" i="4"/>
  <c r="AJ48" i="66" l="1"/>
  <c r="AJ99" i="11"/>
  <c r="AK501" i="4"/>
  <c r="AK502" i="4" s="1"/>
  <c r="AK490" i="4"/>
  <c r="AK491" i="4" s="1"/>
  <c r="AK388" i="4"/>
  <c r="AK389" i="4" s="1"/>
  <c r="AL384" i="4" s="1"/>
  <c r="AK52" i="62"/>
  <c r="AK43" i="62"/>
  <c r="AK23" i="62" s="1"/>
  <c r="AK16" i="66" s="1"/>
  <c r="AK14" i="66" s="1"/>
  <c r="AK13" i="66" s="1"/>
  <c r="AJ1463" i="4"/>
  <c r="AJ1460" i="4" s="1"/>
  <c r="AJ23" i="11"/>
  <c r="AL1240" i="4"/>
  <c r="AK26" i="11"/>
  <c r="AJ1343" i="4"/>
  <c r="AJ1475" i="4"/>
  <c r="AJ1470" i="4" s="1"/>
  <c r="AJ1474" i="4"/>
  <c r="AJ1469" i="4" s="1"/>
  <c r="AJ37" i="11"/>
  <c r="AJ39" i="11" l="1"/>
  <c r="AJ40" i="11" s="1"/>
  <c r="AL499" i="4"/>
  <c r="AK1101" i="4"/>
  <c r="AK1103" i="4" s="1"/>
  <c r="AK1104" i="4" s="1"/>
  <c r="AK1105" i="4" s="1"/>
  <c r="AK15" i="11"/>
  <c r="AK13" i="11" s="1"/>
  <c r="AL488" i="4"/>
  <c r="AK64" i="62"/>
  <c r="AK51" i="11"/>
  <c r="AJ1516" i="4"/>
  <c r="AJ1517" i="4" s="1"/>
  <c r="AJ1473" i="4"/>
  <c r="AJ1468" i="4" s="1"/>
  <c r="AK62" i="64" l="1"/>
  <c r="AK984" i="4"/>
  <c r="AK988" i="4" s="1"/>
  <c r="AL1100" i="4"/>
  <c r="AK1120" i="4" l="1"/>
  <c r="AK71" i="11"/>
  <c r="AK992" i="4"/>
  <c r="AK1294" i="4"/>
  <c r="AK1298" i="4" s="1"/>
  <c r="AK1320" i="4"/>
  <c r="AK78" i="64"/>
  <c r="AK70" i="64"/>
  <c r="AK1073" i="4" l="1"/>
  <c r="AK1077" i="4" s="1"/>
  <c r="AK1081" i="4" s="1"/>
  <c r="AK47" i="11"/>
  <c r="AK62" i="11" l="1"/>
  <c r="AK61" i="11"/>
  <c r="AK48" i="11"/>
  <c r="AK55" i="11" s="1"/>
  <c r="AK1089" i="4"/>
  <c r="AK1082" i="4"/>
  <c r="AK1093" i="4" s="1"/>
  <c r="AK1090" i="4" s="1"/>
  <c r="AK1083" i="4" s="1"/>
  <c r="AK1084" i="4" s="1"/>
  <c r="AK61" i="64" l="1"/>
  <c r="AK1323" i="4"/>
  <c r="AK1299" i="4"/>
  <c r="AK1300" i="4" s="1"/>
  <c r="AK75" i="11"/>
  <c r="AK1123" i="4"/>
  <c r="AK1130" i="4" s="1"/>
  <c r="AK1132" i="4" s="1"/>
  <c r="AK1135" i="4" s="1"/>
  <c r="AK56" i="11"/>
  <c r="AK57" i="11" s="1"/>
  <c r="AK1091" i="4"/>
  <c r="AL1088" i="4" s="1"/>
  <c r="AK63" i="11"/>
  <c r="AK64" i="11"/>
  <c r="AK1472" i="4"/>
  <c r="AK62" i="62"/>
  <c r="AK1471" i="4" l="1"/>
  <c r="AK1283" i="4"/>
  <c r="AK63" i="62"/>
  <c r="AK67" i="62" s="1"/>
  <c r="AK1313" i="4"/>
  <c r="AK69" i="64"/>
  <c r="AK74" i="64" s="1"/>
  <c r="AK77" i="64"/>
  <c r="AK82" i="64" s="1"/>
  <c r="AK66" i="64"/>
  <c r="AK40" i="64" s="1"/>
  <c r="AK42" i="64" s="1"/>
  <c r="AK1193" i="4" l="1"/>
  <c r="AK1194" i="4" s="1"/>
  <c r="AK1196" i="4" s="1"/>
  <c r="AK1198" i="4" s="1"/>
  <c r="AK1164" i="4" s="1"/>
  <c r="AK68" i="62"/>
  <c r="AK49" i="64"/>
  <c r="AK52" i="64"/>
  <c r="AK1214" i="4" l="1"/>
  <c r="AK1165" i="4"/>
  <c r="AL1162" i="4" l="1"/>
  <c r="AL1207" i="4"/>
  <c r="AL1225" i="4" s="1"/>
  <c r="AK1481" i="4"/>
  <c r="AK38" i="66"/>
  <c r="AK88" i="11"/>
  <c r="AK1302" i="4"/>
  <c r="AK1303" i="4" s="1"/>
  <c r="AK1324" i="4"/>
  <c r="AK1424" i="4"/>
  <c r="AK1215" i="4"/>
  <c r="AK1281" i="4" l="1"/>
  <c r="AK1271" i="4"/>
  <c r="AK31" i="11"/>
  <c r="AK1489" i="4"/>
  <c r="AK1490" i="4" s="1"/>
  <c r="AL1212" i="4"/>
  <c r="AK1505" i="4"/>
  <c r="AK1515" i="4"/>
  <c r="AL1163" i="4"/>
  <c r="AL1492" i="4" l="1"/>
  <c r="AK1495" i="4"/>
  <c r="AK1493" i="4"/>
  <c r="AK45" i="62"/>
  <c r="AK30" i="11"/>
  <c r="AK1252" i="4"/>
  <c r="AK1274" i="4"/>
  <c r="AK1275" i="4" s="1"/>
  <c r="AK1265" i="4" s="1"/>
  <c r="AL1213" i="4"/>
  <c r="AL1206" i="4"/>
  <c r="AL1224" i="4" s="1"/>
  <c r="AL1226" i="4" s="1"/>
  <c r="AL1202" i="4"/>
  <c r="AL1178" i="4"/>
  <c r="AK1496" i="4" l="1"/>
  <c r="AL1180" i="4"/>
  <c r="AL1179" i="4"/>
  <c r="AL1189" i="4"/>
  <c r="AL1218" i="4" s="1"/>
  <c r="AL72" i="11"/>
  <c r="AL37" i="66"/>
  <c r="AL1295" i="4"/>
  <c r="AL1076" i="4"/>
  <c r="AL297" i="4"/>
  <c r="AL305" i="4" s="1"/>
  <c r="AL330" i="4" s="1"/>
  <c r="AL50" i="11"/>
  <c r="AL49" i="11" s="1"/>
  <c r="AL1326" i="4"/>
  <c r="AL1122" i="4"/>
  <c r="AL1336" i="4"/>
  <c r="AL87" i="11"/>
  <c r="AL18" i="66"/>
  <c r="AL1310" i="4"/>
  <c r="AL1423" i="4"/>
  <c r="AK1264" i="4"/>
  <c r="AK1253" i="4" s="1"/>
  <c r="AK1266" i="4"/>
  <c r="AK1261" i="4"/>
  <c r="AK1268" i="4" s="1"/>
  <c r="AK1257" i="4"/>
  <c r="AL1181" i="4" l="1"/>
  <c r="AL1190" i="4" s="1"/>
  <c r="AL1221" i="4" s="1"/>
  <c r="AK19" i="66"/>
  <c r="AK17" i="66" s="1"/>
  <c r="AK1309" i="4"/>
  <c r="AK86" i="11"/>
  <c r="AK1338" i="4"/>
  <c r="AK1480" i="4"/>
  <c r="AK1327" i="4"/>
  <c r="AK1304" i="4"/>
  <c r="AK74" i="11"/>
  <c r="AK78" i="11" s="1"/>
  <c r="AK1272" i="4"/>
  <c r="AK1276" i="4" s="1"/>
  <c r="AK1254" i="4" s="1"/>
  <c r="AK1386" i="4"/>
  <c r="AK36" i="66"/>
  <c r="AL1220" i="4"/>
  <c r="AL53" i="11" s="1"/>
  <c r="AL52" i="11" s="1"/>
  <c r="AL1219" i="4"/>
  <c r="AL294" i="4" s="1"/>
  <c r="AL1074" i="4"/>
  <c r="AL467" i="4"/>
  <c r="AL469" i="4" s="1"/>
  <c r="AL470" i="4" s="1"/>
  <c r="AL471" i="4" s="1"/>
  <c r="AL472" i="4" s="1"/>
  <c r="AM466" i="4" s="1"/>
  <c r="AL456" i="4"/>
  <c r="AL458" i="4" s="1"/>
  <c r="AL459" i="4" s="1"/>
  <c r="AL478" i="4"/>
  <c r="AL480" i="4" s="1"/>
  <c r="AL481" i="4" s="1"/>
  <c r="AL482" i="4" s="1"/>
  <c r="AL483" i="4" s="1"/>
  <c r="AM477" i="4" s="1"/>
  <c r="AM479" i="4"/>
  <c r="AM468" i="4"/>
  <c r="AM457" i="4"/>
  <c r="AL1168" i="4"/>
  <c r="AL1169" i="4"/>
  <c r="AL1197" i="4" l="1"/>
  <c r="AL1170" i="4"/>
  <c r="AL1188" i="4" s="1"/>
  <c r="AM495" i="4"/>
  <c r="AM1072" i="4" s="1"/>
  <c r="AL299" i="4"/>
  <c r="AL302" i="4"/>
  <c r="AK1483" i="4"/>
  <c r="AL460" i="4"/>
  <c r="AL461" i="4" s="1"/>
  <c r="AM455" i="4" s="1"/>
  <c r="AL494" i="4"/>
  <c r="AL1071" i="4" s="1"/>
  <c r="AL73" i="11"/>
  <c r="AL1301" i="4"/>
  <c r="AL1121" i="4"/>
  <c r="AL1144" i="4" s="1"/>
  <c r="AL1325" i="4"/>
  <c r="AK1328" i="4"/>
  <c r="AK39" i="66"/>
  <c r="AK35" i="66" s="1"/>
  <c r="AK89" i="11"/>
  <c r="AK1305" i="4"/>
  <c r="AK1282" i="4" s="1"/>
  <c r="AK1255" i="4"/>
  <c r="AK1385" i="4"/>
  <c r="AK1388" i="4" s="1"/>
  <c r="AK1421" i="4"/>
  <c r="AK1390" i="4" l="1"/>
  <c r="AK1402" i="4"/>
  <c r="AK1425" i="4"/>
  <c r="AK27" i="11"/>
  <c r="AL1250" i="4"/>
  <c r="AK1506" i="4"/>
  <c r="AK1284" i="4"/>
  <c r="AK1286" i="4" s="1"/>
  <c r="AL331" i="4"/>
  <c r="AL307" i="4"/>
  <c r="AL1235" i="4"/>
  <c r="AL1251" i="4" s="1"/>
  <c r="AL1145" i="4"/>
  <c r="AL1234" i="4"/>
  <c r="AK1440" i="4" l="1"/>
  <c r="AK1441" i="4" s="1"/>
  <c r="AK1442" i="4" s="1"/>
  <c r="AL332" i="4"/>
  <c r="AL14" i="11" s="1"/>
  <c r="AK58" i="11"/>
  <c r="AK59" i="11" s="1"/>
  <c r="AK28" i="11" s="1"/>
  <c r="AK48" i="62"/>
  <c r="AK24" i="62" s="1"/>
  <c r="AK26" i="62" s="1"/>
  <c r="AK90" i="11"/>
  <c r="AK91" i="11" s="1"/>
  <c r="AK93" i="11" s="1"/>
  <c r="AK96" i="11" s="1"/>
  <c r="AK97" i="11" s="1"/>
  <c r="AK1306" i="4"/>
  <c r="AK1307" i="4" s="1"/>
  <c r="AK1311" i="4" s="1"/>
  <c r="AL1290" i="4" s="1"/>
  <c r="AK1329" i="4"/>
  <c r="AK22" i="66"/>
  <c r="AL385" i="4"/>
  <c r="AL405" i="4"/>
  <c r="AL406" i="4" s="1"/>
  <c r="AL407" i="4" s="1"/>
  <c r="AL408" i="4" s="1"/>
  <c r="AL409" i="4" s="1"/>
  <c r="AM404" i="4" s="1"/>
  <c r="AL395" i="4"/>
  <c r="AL396" i="4" s="1"/>
  <c r="AL397" i="4" s="1"/>
  <c r="AL398" i="4" s="1"/>
  <c r="AL399" i="4" s="1"/>
  <c r="AM394" i="4" s="1"/>
  <c r="AK1285" i="4"/>
  <c r="AL1241" i="4"/>
  <c r="AL1236" i="4"/>
  <c r="AK1403" i="4"/>
  <c r="AK1404" i="4" s="1"/>
  <c r="AK1509" i="4"/>
  <c r="AK1507" i="4"/>
  <c r="AK1508" i="4" s="1"/>
  <c r="AL1128" i="4" l="1"/>
  <c r="AL500" i="4"/>
  <c r="AL386" i="4"/>
  <c r="AL387" i="4" s="1"/>
  <c r="AL489" i="4"/>
  <c r="AL95" i="11"/>
  <c r="AK101" i="11"/>
  <c r="AK21" i="11"/>
  <c r="AK17" i="11" s="1"/>
  <c r="AK1340" i="4"/>
  <c r="AK1341" i="4" s="1"/>
  <c r="AK44" i="66"/>
  <c r="AK40" i="66" s="1"/>
  <c r="AK46" i="66" s="1"/>
  <c r="AK24" i="66"/>
  <c r="AK20" i="66" s="1"/>
  <c r="AK26" i="66" s="1"/>
  <c r="AK46" i="62"/>
  <c r="AK101" i="67"/>
  <c r="AK1330" i="4"/>
  <c r="AK1331" i="4" s="1"/>
  <c r="AK100" i="67"/>
  <c r="AK1462" i="4"/>
  <c r="AK1461" i="4" s="1"/>
  <c r="AK100" i="11"/>
  <c r="AK25" i="11"/>
  <c r="AL1308" i="4"/>
  <c r="AL1244" i="4"/>
  <c r="AL1245" i="4" s="1"/>
  <c r="AL1337" i="4"/>
  <c r="AL85" i="11"/>
  <c r="AL42" i="62"/>
  <c r="AK1343" i="4" l="1"/>
  <c r="AK1463" i="4"/>
  <c r="AK1460" i="4" s="1"/>
  <c r="AK23" i="11"/>
  <c r="AM1240" i="4"/>
  <c r="AL26" i="11"/>
  <c r="AL501" i="4"/>
  <c r="AL502" i="4" s="1"/>
  <c r="AL490" i="4"/>
  <c r="AL388" i="4"/>
  <c r="AL389" i="4" s="1"/>
  <c r="AM384" i="4" s="1"/>
  <c r="AK48" i="66"/>
  <c r="AK37" i="11"/>
  <c r="AK1474" i="4"/>
  <c r="AK1469" i="4" s="1"/>
  <c r="AK1475" i="4"/>
  <c r="AK1470" i="4" s="1"/>
  <c r="AL52" i="62"/>
  <c r="AL43" i="62"/>
  <c r="AL23" i="62" s="1"/>
  <c r="AL16" i="66" s="1"/>
  <c r="AL14" i="66" s="1"/>
  <c r="AL13" i="66" s="1"/>
  <c r="AK99" i="11"/>
  <c r="AK39" i="11" l="1"/>
  <c r="AK40" i="11" s="1"/>
  <c r="AL1101" i="4"/>
  <c r="AL1103" i="4" s="1"/>
  <c r="AL1104" i="4" s="1"/>
  <c r="AL1105" i="4" s="1"/>
  <c r="AM499" i="4"/>
  <c r="AL491" i="4"/>
  <c r="AL64" i="62"/>
  <c r="AL51" i="11"/>
  <c r="AK1516" i="4"/>
  <c r="AK1517" i="4" s="1"/>
  <c r="AK1473" i="4"/>
  <c r="AK1468" i="4" s="1"/>
  <c r="AM488" i="4" l="1"/>
  <c r="AL15" i="11"/>
  <c r="AL13" i="11" s="1"/>
  <c r="AM1100" i="4"/>
  <c r="AL984" i="4"/>
  <c r="AL988" i="4" s="1"/>
  <c r="AL62" i="64"/>
  <c r="AL78" i="64" l="1"/>
  <c r="AL70" i="64"/>
  <c r="AL992" i="4"/>
  <c r="AL1320" i="4"/>
  <c r="AL1120" i="4"/>
  <c r="AL1294" i="4"/>
  <c r="AL1298" i="4" s="1"/>
  <c r="AL71" i="11"/>
  <c r="AL1073" i="4" l="1"/>
  <c r="AL1077" i="4" s="1"/>
  <c r="AL1081" i="4" s="1"/>
  <c r="AL47" i="11"/>
  <c r="AL62" i="11" l="1"/>
  <c r="AL61" i="11"/>
  <c r="AL48" i="11"/>
  <c r="AL55" i="11" s="1"/>
  <c r="AL1089" i="4"/>
  <c r="AL1082" i="4"/>
  <c r="AL1093" i="4" s="1"/>
  <c r="AL1090" i="4" s="1"/>
  <c r="AL1083" i="4" s="1"/>
  <c r="AL1084" i="4" s="1"/>
  <c r="AL1299" i="4" l="1"/>
  <c r="AL1300" i="4" s="1"/>
  <c r="AL61" i="64"/>
  <c r="AL1323" i="4"/>
  <c r="AL1123" i="4"/>
  <c r="AL1130" i="4" s="1"/>
  <c r="AL1132" i="4" s="1"/>
  <c r="AL1135" i="4" s="1"/>
  <c r="AL75" i="11"/>
  <c r="AL56" i="11"/>
  <c r="AL57" i="11" s="1"/>
  <c r="AL1091" i="4"/>
  <c r="AM1088" i="4" s="1"/>
  <c r="AL63" i="11"/>
  <c r="AL64" i="11"/>
  <c r="AL1472" i="4"/>
  <c r="AL62" i="62"/>
  <c r="AL63" i="62" l="1"/>
  <c r="AL67" i="62" s="1"/>
  <c r="AL1471" i="4"/>
  <c r="AL1283" i="4"/>
  <c r="AL69" i="64"/>
  <c r="AL74" i="64" s="1"/>
  <c r="AL77" i="64"/>
  <c r="AL82" i="64" s="1"/>
  <c r="AL66" i="64"/>
  <c r="AL40" i="64" s="1"/>
  <c r="AL42" i="64" s="1"/>
  <c r="AL1313" i="4"/>
  <c r="AL68" i="62" l="1"/>
  <c r="AL1193" i="4"/>
  <c r="AL1194" i="4" s="1"/>
  <c r="AL1196" i="4" s="1"/>
  <c r="AL1198" i="4" s="1"/>
  <c r="AL1164" i="4" s="1"/>
  <c r="AL52" i="64"/>
  <c r="AL49" i="64"/>
  <c r="AL1214" i="4" l="1"/>
  <c r="AL1165" i="4"/>
  <c r="AM1162" i="4" l="1"/>
  <c r="AM1207" i="4"/>
  <c r="AM1225" i="4" s="1"/>
  <c r="AL1324" i="4"/>
  <c r="AL1481" i="4"/>
  <c r="AL1302" i="4"/>
  <c r="AL1303" i="4" s="1"/>
  <c r="AL88" i="11"/>
  <c r="AL38" i="66"/>
  <c r="AL1424" i="4"/>
  <c r="AL1215" i="4"/>
  <c r="AL1281" i="4" l="1"/>
  <c r="AL1271" i="4"/>
  <c r="AL31" i="11"/>
  <c r="AL1505" i="4"/>
  <c r="AL1489" i="4"/>
  <c r="AL1490" i="4" s="1"/>
  <c r="AM1212" i="4"/>
  <c r="AL1515" i="4"/>
  <c r="AM1163" i="4"/>
  <c r="AM1492" i="4" l="1"/>
  <c r="AL1495" i="4"/>
  <c r="AL1493" i="4"/>
  <c r="AL30" i="11"/>
  <c r="AL45" i="62"/>
  <c r="AL1274" i="4"/>
  <c r="AL1275" i="4" s="1"/>
  <c r="AL1265" i="4" s="1"/>
  <c r="AL1252" i="4"/>
  <c r="AM1213" i="4"/>
  <c r="AM1206" i="4"/>
  <c r="AM1224" i="4" s="1"/>
  <c r="AM1226" i="4" s="1"/>
  <c r="AM1202" i="4"/>
  <c r="AM1178" i="4"/>
  <c r="AL1496" i="4" l="1"/>
  <c r="AM1189" i="4"/>
  <c r="AM1218" i="4" s="1"/>
  <c r="AM1179" i="4"/>
  <c r="AM1180" i="4"/>
  <c r="R72" i="67"/>
  <c r="AM297" i="4"/>
  <c r="AM305" i="4" s="1"/>
  <c r="AM330" i="4" s="1"/>
  <c r="AM72" i="11"/>
  <c r="AM1076" i="4"/>
  <c r="AM1326" i="4"/>
  <c r="AM50" i="11"/>
  <c r="AM1122" i="4"/>
  <c r="AM1295" i="4"/>
  <c r="AM37" i="66"/>
  <c r="R87" i="67"/>
  <c r="AM1336" i="4"/>
  <c r="AM1310" i="4"/>
  <c r="AM18" i="66"/>
  <c r="AM87" i="11"/>
  <c r="AM1423" i="4"/>
  <c r="AL1257" i="4"/>
  <c r="AL1261" i="4"/>
  <c r="AL1268" i="4" s="1"/>
  <c r="AL1266" i="4"/>
  <c r="AL1264" i="4"/>
  <c r="AL1253" i="4" s="1"/>
  <c r="AM1181" i="4" l="1"/>
  <c r="AM1197" i="4" s="1"/>
  <c r="AN468" i="4"/>
  <c r="AN457" i="4"/>
  <c r="AM456" i="4"/>
  <c r="AM458" i="4" s="1"/>
  <c r="AM459" i="4" s="1"/>
  <c r="AM478" i="4"/>
  <c r="AM480" i="4" s="1"/>
  <c r="AM481" i="4" s="1"/>
  <c r="AM482" i="4" s="1"/>
  <c r="AM483" i="4" s="1"/>
  <c r="AN477" i="4" s="1"/>
  <c r="AM467" i="4"/>
  <c r="AM469" i="4" s="1"/>
  <c r="AM470" i="4" s="1"/>
  <c r="AM471" i="4" s="1"/>
  <c r="AM472" i="4" s="1"/>
  <c r="AN466" i="4" s="1"/>
  <c r="AN479" i="4"/>
  <c r="AL1309" i="4"/>
  <c r="AL1338" i="4"/>
  <c r="AL19" i="66"/>
  <c r="AL17" i="66" s="1"/>
  <c r="AL86" i="11"/>
  <c r="AL1480" i="4"/>
  <c r="AM1169" i="4"/>
  <c r="AM1168" i="4"/>
  <c r="R50" i="67"/>
  <c r="R49" i="67" s="1"/>
  <c r="AM49" i="11"/>
  <c r="AL1304" i="4"/>
  <c r="AL1327" i="4"/>
  <c r="AL74" i="11"/>
  <c r="AL78" i="11" s="1"/>
  <c r="AL1272" i="4"/>
  <c r="AL1276" i="4" s="1"/>
  <c r="AL1254" i="4" s="1"/>
  <c r="AL36" i="66"/>
  <c r="AL1386" i="4"/>
  <c r="AM1074" i="4"/>
  <c r="AM1219" i="4"/>
  <c r="AM294" i="4" s="1"/>
  <c r="AM1220" i="4"/>
  <c r="AM1190" i="4" l="1"/>
  <c r="AM1221" i="4" s="1"/>
  <c r="AM1121" i="4" s="1"/>
  <c r="AM1144" i="4" s="1"/>
  <c r="AL1385" i="4"/>
  <c r="AL1388" i="4" s="1"/>
  <c r="AL1421" i="4"/>
  <c r="AM299" i="4"/>
  <c r="AM302" i="4"/>
  <c r="R53" i="67"/>
  <c r="R52" i="67" s="1"/>
  <c r="AM53" i="11"/>
  <c r="AM52" i="11" s="1"/>
  <c r="AL1483" i="4"/>
  <c r="AM460" i="4"/>
  <c r="AM461" i="4" s="1"/>
  <c r="AN455" i="4" s="1"/>
  <c r="AM494" i="4"/>
  <c r="AM1071" i="4" s="1"/>
  <c r="AN495" i="4"/>
  <c r="AN1072" i="4" s="1"/>
  <c r="AL1305" i="4"/>
  <c r="AL1282" i="4" s="1"/>
  <c r="AL39" i="66"/>
  <c r="AL35" i="66" s="1"/>
  <c r="AL1328" i="4"/>
  <c r="AL89" i="11"/>
  <c r="AL1255" i="4"/>
  <c r="AM1170" i="4"/>
  <c r="AM1188" i="4" s="1"/>
  <c r="R23" i="13" l="1"/>
  <c r="AM1325" i="4"/>
  <c r="R73" i="67"/>
  <c r="AM73" i="11"/>
  <c r="AM1301" i="4"/>
  <c r="AM331" i="4"/>
  <c r="AM307" i="4"/>
  <c r="AL1284" i="4"/>
  <c r="AL1286" i="4" s="1"/>
  <c r="AM1235" i="4"/>
  <c r="AM1251" i="4" s="1"/>
  <c r="AM1145" i="4"/>
  <c r="AM1234" i="4"/>
  <c r="AM1250" i="4"/>
  <c r="AL27" i="11"/>
  <c r="AL1506" i="4"/>
  <c r="AL1425" i="4"/>
  <c r="AL1390" i="4"/>
  <c r="AL1402" i="4"/>
  <c r="AL1440" i="4" l="1"/>
  <c r="AL1441" i="4" s="1"/>
  <c r="AL1442" i="4" s="1"/>
  <c r="AM332" i="4"/>
  <c r="AM14" i="11" s="1"/>
  <c r="AL1403" i="4"/>
  <c r="AL1404" i="4" s="1"/>
  <c r="AM1241" i="4"/>
  <c r="AM1236" i="4"/>
  <c r="AL1507" i="4"/>
  <c r="AL1508" i="4" s="1"/>
  <c r="AL1509" i="4"/>
  <c r="AL1285" i="4"/>
  <c r="AL1306" i="4"/>
  <c r="AL1307" i="4" s="1"/>
  <c r="AL1311" i="4" s="1"/>
  <c r="AM1290" i="4" s="1"/>
  <c r="AL90" i="11"/>
  <c r="AL91" i="11" s="1"/>
  <c r="AL93" i="11" s="1"/>
  <c r="AL96" i="11" s="1"/>
  <c r="AL97" i="11" s="1"/>
  <c r="AL58" i="11"/>
  <c r="AL59" i="11" s="1"/>
  <c r="AL28" i="11" s="1"/>
  <c r="AL25" i="11" s="1"/>
  <c r="AL48" i="62"/>
  <c r="AL24" i="62" s="1"/>
  <c r="AL26" i="62" s="1"/>
  <c r="AL1329" i="4"/>
  <c r="AL22" i="66"/>
  <c r="AM395" i="4"/>
  <c r="AM396" i="4" s="1"/>
  <c r="AM397" i="4" s="1"/>
  <c r="AM398" i="4" s="1"/>
  <c r="AM399" i="4" s="1"/>
  <c r="AN394" i="4" s="1"/>
  <c r="AM385" i="4"/>
  <c r="AM405" i="4"/>
  <c r="AM406" i="4" s="1"/>
  <c r="AM407" i="4" s="1"/>
  <c r="AM408" i="4" s="1"/>
  <c r="AM409" i="4" s="1"/>
  <c r="AN404" i="4" s="1"/>
  <c r="R14" i="67" l="1"/>
  <c r="AM500" i="4"/>
  <c r="AM489" i="4"/>
  <c r="AM386" i="4"/>
  <c r="AM387" i="4" s="1"/>
  <c r="AM1337" i="4"/>
  <c r="AM1244" i="4"/>
  <c r="AM1245" i="4" s="1"/>
  <c r="AM42" i="62"/>
  <c r="AM1308" i="4"/>
  <c r="AM85" i="11"/>
  <c r="R85" i="67"/>
  <c r="AL1474" i="4"/>
  <c r="AL1469" i="4" s="1"/>
  <c r="AL37" i="11"/>
  <c r="AL1475" i="4"/>
  <c r="AL1470" i="4" s="1"/>
  <c r="AL101" i="11"/>
  <c r="AL100" i="67"/>
  <c r="AL1340" i="4"/>
  <c r="AL1341" i="4" s="1"/>
  <c r="AL21" i="11"/>
  <c r="AL17" i="11" s="1"/>
  <c r="AL101" i="67"/>
  <c r="AL44" i="66"/>
  <c r="AL40" i="66" s="1"/>
  <c r="AL46" i="66" s="1"/>
  <c r="AL1330" i="4"/>
  <c r="AL1331" i="4" s="1"/>
  <c r="AL46" i="62"/>
  <c r="AL24" i="66"/>
  <c r="AL20" i="66" s="1"/>
  <c r="AL26" i="66" s="1"/>
  <c r="AL1462" i="4"/>
  <c r="AL1461" i="4" s="1"/>
  <c r="AM95" i="11"/>
  <c r="AL100" i="11"/>
  <c r="AM1128" i="4"/>
  <c r="AM52" i="62" l="1"/>
  <c r="AM43" i="62"/>
  <c r="AM23" i="62" s="1"/>
  <c r="AM16" i="66" s="1"/>
  <c r="AM14" i="66" s="1"/>
  <c r="AM13" i="66" s="1"/>
  <c r="R26" i="67"/>
  <c r="AN1240" i="4"/>
  <c r="AM26" i="11"/>
  <c r="AL1343" i="4"/>
  <c r="AL48" i="66"/>
  <c r="AM501" i="4"/>
  <c r="AM502" i="4" s="1"/>
  <c r="AM388" i="4"/>
  <c r="AM389" i="4" s="1"/>
  <c r="AN384" i="4" s="1"/>
  <c r="AM490" i="4"/>
  <c r="AM491" i="4" s="1"/>
  <c r="AL99" i="11"/>
  <c r="AL1463" i="4"/>
  <c r="AL1460" i="4" s="1"/>
  <c r="AL23" i="11"/>
  <c r="AL39" i="11" s="1"/>
  <c r="AL40" i="11" s="1"/>
  <c r="AN499" i="4" l="1"/>
  <c r="AM1101" i="4"/>
  <c r="AM1103" i="4" s="1"/>
  <c r="AM1104" i="4" s="1"/>
  <c r="AM1105" i="4" s="1"/>
  <c r="R15" i="67"/>
  <c r="R13" i="67" s="1"/>
  <c r="AM15" i="11"/>
  <c r="AM13" i="11" s="1"/>
  <c r="AN488" i="4"/>
  <c r="R51" i="67"/>
  <c r="AM64" i="62"/>
  <c r="AM51" i="11"/>
  <c r="AL1516" i="4"/>
  <c r="AL1517" i="4" s="1"/>
  <c r="AL1473" i="4"/>
  <c r="AL1468" i="4" s="1"/>
  <c r="AM984" i="4" l="1"/>
  <c r="AM988" i="4" s="1"/>
  <c r="AM62" i="64"/>
  <c r="AN1100" i="4"/>
  <c r="AM78" i="64" l="1"/>
  <c r="AM70" i="64"/>
  <c r="AM992" i="4"/>
  <c r="AM1320" i="4"/>
  <c r="AM1294" i="4"/>
  <c r="AM1298" i="4" s="1"/>
  <c r="AM1120" i="4"/>
  <c r="AM71" i="11"/>
  <c r="R40" i="13"/>
  <c r="R71" i="67"/>
  <c r="R47" i="67" l="1"/>
  <c r="AM1073" i="4"/>
  <c r="AM1077" i="4" s="1"/>
  <c r="AM1081" i="4" s="1"/>
  <c r="AM47" i="11"/>
  <c r="R20" i="72"/>
  <c r="AM1089" i="4" l="1"/>
  <c r="AM1082" i="4"/>
  <c r="R61" i="67"/>
  <c r="R63" i="67" s="1"/>
  <c r="R62" i="67"/>
  <c r="R64" i="67" s="1"/>
  <c r="R48" i="67"/>
  <c r="R55" i="67" s="1"/>
  <c r="AM61" i="11"/>
  <c r="AM62" i="11"/>
  <c r="AM48" i="11"/>
  <c r="AM55" i="11" s="1"/>
  <c r="AM62" i="62" l="1"/>
  <c r="AM64" i="11"/>
  <c r="AM1472" i="4"/>
  <c r="AM63" i="11"/>
  <c r="R1526" i="4"/>
  <c r="AM1093" i="4"/>
  <c r="AM1090" i="4" s="1"/>
  <c r="AM1083" i="4" s="1"/>
  <c r="AM1084" i="4" s="1"/>
  <c r="AM1091" i="4" l="1"/>
  <c r="AN1088" i="4" s="1"/>
  <c r="AM56" i="11"/>
  <c r="AM57" i="11" s="1"/>
  <c r="AM61" i="64"/>
  <c r="AM75" i="11"/>
  <c r="AM1299" i="4"/>
  <c r="AM1300" i="4" s="1"/>
  <c r="AM1123" i="4"/>
  <c r="AM1130" i="4" s="1"/>
  <c r="AM1132" i="4" s="1"/>
  <c r="AM1135" i="4" s="1"/>
  <c r="AM1323" i="4"/>
  <c r="R56" i="67"/>
  <c r="R57" i="67" s="1"/>
  <c r="R75" i="67"/>
  <c r="R41" i="13"/>
  <c r="AM63" i="62"/>
  <c r="AM67" i="62" s="1"/>
  <c r="AM68" i="62" l="1"/>
  <c r="AM1313" i="4"/>
  <c r="AM69" i="64"/>
  <c r="AM74" i="64" s="1"/>
  <c r="AM77" i="64"/>
  <c r="AM82" i="64" s="1"/>
  <c r="AM66" i="64"/>
  <c r="AM40" i="64" s="1"/>
  <c r="AM42" i="64" s="1"/>
  <c r="R43" i="13"/>
  <c r="AM1471" i="4"/>
  <c r="AM1283" i="4"/>
  <c r="AM1193" i="4" l="1"/>
  <c r="AM1194" i="4" s="1"/>
  <c r="AM1196" i="4" s="1"/>
  <c r="AM1198" i="4" s="1"/>
  <c r="AM1164" i="4" s="1"/>
  <c r="AM52" i="64"/>
  <c r="AM49" i="64"/>
  <c r="AM1214" i="4" l="1"/>
  <c r="AM1165" i="4"/>
  <c r="AN1162" i="4" l="1"/>
  <c r="AN1207" i="4"/>
  <c r="AN1225" i="4" s="1"/>
  <c r="AM38" i="66"/>
  <c r="AM88" i="11"/>
  <c r="AM1324" i="4"/>
  <c r="AM1481" i="4"/>
  <c r="AM1302" i="4"/>
  <c r="AM1303" i="4" s="1"/>
  <c r="AM1424" i="4"/>
  <c r="R24" i="13"/>
  <c r="R88" i="67"/>
  <c r="AM1215" i="4"/>
  <c r="AM1271" i="4" l="1"/>
  <c r="AM1281" i="4"/>
  <c r="R31" i="67"/>
  <c r="R30" i="67" s="1"/>
  <c r="R1525" i="4"/>
  <c r="R1529" i="4" s="1"/>
  <c r="AM31" i="11"/>
  <c r="AM1489" i="4"/>
  <c r="AM1490" i="4" s="1"/>
  <c r="AM1515" i="4"/>
  <c r="AM1505" i="4"/>
  <c r="AN1212" i="4"/>
  <c r="AN1163" i="4"/>
  <c r="AM1495" i="4" l="1"/>
  <c r="AM1493" i="4"/>
  <c r="AM45" i="62"/>
  <c r="AM30" i="11"/>
  <c r="AN1213" i="4"/>
  <c r="AN1206" i="4"/>
  <c r="AN1224" i="4" s="1"/>
  <c r="AN1226" i="4" s="1"/>
  <c r="AN1202" i="4"/>
  <c r="AN1178" i="4"/>
  <c r="AN1492" i="4"/>
  <c r="AM1252" i="4"/>
  <c r="AM1274" i="4"/>
  <c r="AM1275" i="4" s="1"/>
  <c r="AM1265" i="4" s="1"/>
  <c r="AM1496" i="4" l="1"/>
  <c r="AN1326" i="4"/>
  <c r="AN37" i="66"/>
  <c r="AN297" i="4"/>
  <c r="AN305" i="4" s="1"/>
  <c r="AN330" i="4" s="1"/>
  <c r="AN1122" i="4"/>
  <c r="AN50" i="11"/>
  <c r="AN49" i="11" s="1"/>
  <c r="AN72" i="11"/>
  <c r="AN1076" i="4"/>
  <c r="AN1295" i="4"/>
  <c r="AN18" i="66"/>
  <c r="AN87" i="11"/>
  <c r="AN1336" i="4"/>
  <c r="AN1310" i="4"/>
  <c r="AN1423" i="4"/>
  <c r="AM1261" i="4"/>
  <c r="AM1268" i="4" s="1"/>
  <c r="AM1257" i="4"/>
  <c r="AM1264" i="4"/>
  <c r="AM1253" i="4" s="1"/>
  <c r="AM1266" i="4"/>
  <c r="AN1179" i="4"/>
  <c r="AN1180" i="4"/>
  <c r="AN1189" i="4"/>
  <c r="AN1218" i="4" s="1"/>
  <c r="AM1338" i="4" l="1"/>
  <c r="AM19" i="66"/>
  <c r="AM17" i="66" s="1"/>
  <c r="AM1309" i="4"/>
  <c r="AM86" i="11"/>
  <c r="R86" i="67"/>
  <c r="AM1480" i="4"/>
  <c r="AN1220" i="4"/>
  <c r="AN53" i="11" s="1"/>
  <c r="AN52" i="11" s="1"/>
  <c r="AN1074" i="4"/>
  <c r="AN1219" i="4"/>
  <c r="AN294" i="4" s="1"/>
  <c r="AN1169" i="4"/>
  <c r="AN1168" i="4"/>
  <c r="AN1181" i="4"/>
  <c r="AM1272" i="4"/>
  <c r="AM1276" i="4" s="1"/>
  <c r="AM1254" i="4" s="1"/>
  <c r="AM1304" i="4"/>
  <c r="AM1327" i="4"/>
  <c r="AM74" i="11"/>
  <c r="AM78" i="11" s="1"/>
  <c r="R74" i="67"/>
  <c r="R78" i="67" s="1"/>
  <c r="AM36" i="66"/>
  <c r="AM1386" i="4"/>
  <c r="AN478" i="4"/>
  <c r="AN480" i="4" s="1"/>
  <c r="AN481" i="4" s="1"/>
  <c r="AN482" i="4" s="1"/>
  <c r="AN483" i="4" s="1"/>
  <c r="AO477" i="4" s="1"/>
  <c r="AO457" i="4"/>
  <c r="AN467" i="4"/>
  <c r="AN469" i="4" s="1"/>
  <c r="AN470" i="4" s="1"/>
  <c r="AN471" i="4" s="1"/>
  <c r="AN472" i="4" s="1"/>
  <c r="AO466" i="4" s="1"/>
  <c r="AN456" i="4"/>
  <c r="AN458" i="4" s="1"/>
  <c r="AN459" i="4" s="1"/>
  <c r="AO479" i="4"/>
  <c r="AO468" i="4"/>
  <c r="R25" i="13" l="1"/>
  <c r="AM1483" i="4"/>
  <c r="AO495" i="4"/>
  <c r="AO1072" i="4" s="1"/>
  <c r="AN1170" i="4"/>
  <c r="AN1188" i="4" s="1"/>
  <c r="AM39" i="66"/>
  <c r="AM35" i="66" s="1"/>
  <c r="AM89" i="11"/>
  <c r="AM1305" i="4"/>
  <c r="AM1282" i="4" s="1"/>
  <c r="AM1328" i="4"/>
  <c r="R89" i="67"/>
  <c r="AN1197" i="4"/>
  <c r="AN1190" i="4"/>
  <c r="AN1221" i="4" s="1"/>
  <c r="AM1421" i="4"/>
  <c r="AM1385" i="4"/>
  <c r="AM1388" i="4" s="1"/>
  <c r="AN299" i="4"/>
  <c r="AN302" i="4"/>
  <c r="AN494" i="4"/>
  <c r="AN1071" i="4" s="1"/>
  <c r="AN460" i="4"/>
  <c r="AN461" i="4" s="1"/>
  <c r="AO455" i="4" s="1"/>
  <c r="AM1255" i="4"/>
  <c r="AM1425" i="4" l="1"/>
  <c r="R13" i="13"/>
  <c r="AN1301" i="4"/>
  <c r="AN73" i="11"/>
  <c r="AN1121" i="4"/>
  <c r="AN1144" i="4" s="1"/>
  <c r="AN1325" i="4"/>
  <c r="AN1250" i="4"/>
  <c r="R27" i="67"/>
  <c r="AM27" i="11"/>
  <c r="AM1506" i="4"/>
  <c r="AN307" i="4"/>
  <c r="AN331" i="4"/>
  <c r="AM1284" i="4"/>
  <c r="AM1286" i="4" s="1"/>
  <c r="AM1390" i="4"/>
  <c r="AM1402" i="4"/>
  <c r="AM1440" i="4" l="1"/>
  <c r="AM1441" i="4" s="1"/>
  <c r="AM1442" i="4" s="1"/>
  <c r="AM1285" i="4"/>
  <c r="AM1507" i="4"/>
  <c r="AM1508" i="4" s="1"/>
  <c r="AM1509" i="4"/>
  <c r="AM1403" i="4"/>
  <c r="AM1404" i="4" s="1"/>
  <c r="AN1145" i="4"/>
  <c r="AN1234" i="4"/>
  <c r="AN1235" i="4"/>
  <c r="AN1251" i="4" s="1"/>
  <c r="AM90" i="11"/>
  <c r="AM91" i="11" s="1"/>
  <c r="AM93" i="11" s="1"/>
  <c r="AM96" i="11" s="1"/>
  <c r="AM97" i="11" s="1"/>
  <c r="AM58" i="11"/>
  <c r="AM59" i="11" s="1"/>
  <c r="AM28" i="11" s="1"/>
  <c r="AM25" i="11" s="1"/>
  <c r="AM1329" i="4"/>
  <c r="AM1306" i="4"/>
  <c r="AM1307" i="4" s="1"/>
  <c r="AM1311" i="4" s="1"/>
  <c r="AN1290" i="4" s="1"/>
  <c r="AM48" i="62"/>
  <c r="AM24" i="62" s="1"/>
  <c r="AM26" i="62" s="1"/>
  <c r="R58" i="67"/>
  <c r="R59" i="67" s="1"/>
  <c r="R90" i="67"/>
  <c r="R91" i="67" s="1"/>
  <c r="R93" i="67" s="1"/>
  <c r="R96" i="67" s="1"/>
  <c r="R97" i="67" s="1"/>
  <c r="AM22" i="66"/>
  <c r="AN405" i="4"/>
  <c r="AN406" i="4" s="1"/>
  <c r="AN407" i="4" s="1"/>
  <c r="AN408" i="4" s="1"/>
  <c r="AN409" i="4" s="1"/>
  <c r="AO404" i="4" s="1"/>
  <c r="AN395" i="4"/>
  <c r="AN396" i="4" s="1"/>
  <c r="AN397" i="4" s="1"/>
  <c r="AN398" i="4" s="1"/>
  <c r="AN399" i="4" s="1"/>
  <c r="AO394" i="4" s="1"/>
  <c r="AN385" i="4"/>
  <c r="AN332" i="4"/>
  <c r="AN14" i="11" s="1"/>
  <c r="AM1474" i="4" l="1"/>
  <c r="AM1469" i="4" s="1"/>
  <c r="AM37" i="11"/>
  <c r="AM1475" i="4"/>
  <c r="AM1470" i="4" s="1"/>
  <c r="AN1241" i="4"/>
  <c r="AN1236" i="4"/>
  <c r="AN1128" i="4"/>
  <c r="AN489" i="4"/>
  <c r="AN386" i="4"/>
  <c r="AN387" i="4" s="1"/>
  <c r="AN500" i="4"/>
  <c r="R28" i="67"/>
  <c r="R25" i="67" s="1"/>
  <c r="R37" i="67" s="1"/>
  <c r="S95" i="67"/>
  <c r="AM101" i="11"/>
  <c r="AM44" i="66"/>
  <c r="AM40" i="66" s="1"/>
  <c r="AM46" i="66" s="1"/>
  <c r="AN95" i="11"/>
  <c r="AM1462" i="4"/>
  <c r="AM1461" i="4" s="1"/>
  <c r="AM100" i="11"/>
  <c r="AM21" i="11"/>
  <c r="AM17" i="11" s="1"/>
  <c r="AM1340" i="4"/>
  <c r="AM1341" i="4" s="1"/>
  <c r="AM101" i="67"/>
  <c r="AM1330" i="4"/>
  <c r="AM1331" i="4" s="1"/>
  <c r="R21" i="67"/>
  <c r="R17" i="67" s="1"/>
  <c r="R23" i="67" s="1"/>
  <c r="AM46" i="62"/>
  <c r="AM24" i="66"/>
  <c r="AM20" i="66" s="1"/>
  <c r="AM26" i="66" s="1"/>
  <c r="R1527" i="4"/>
  <c r="R1534" i="4" s="1"/>
  <c r="AM100" i="67"/>
  <c r="AM1343" i="4" l="1"/>
  <c r="R99" i="67"/>
  <c r="AM1463" i="4"/>
  <c r="AM1460" i="4" s="1"/>
  <c r="AM23" i="11"/>
  <c r="AM39" i="11" s="1"/>
  <c r="AM40" i="11" s="1"/>
  <c r="AN1308" i="4"/>
  <c r="AN1244" i="4"/>
  <c r="AN1245" i="4" s="1"/>
  <c r="AN42" i="62"/>
  <c r="AN1337" i="4"/>
  <c r="AN85" i="11"/>
  <c r="R39" i="67"/>
  <c r="R40" i="67" s="1"/>
  <c r="AM48" i="66"/>
  <c r="AN501" i="4"/>
  <c r="AN502" i="4" s="1"/>
  <c r="AN388" i="4"/>
  <c r="AN389" i="4" s="1"/>
  <c r="AO384" i="4" s="1"/>
  <c r="AN490" i="4"/>
  <c r="AM99" i="11"/>
  <c r="AN51" i="11" l="1"/>
  <c r="AN64" i="62"/>
  <c r="AN52" i="62"/>
  <c r="AN43" i="62"/>
  <c r="AN23" i="62" s="1"/>
  <c r="AN16" i="66" s="1"/>
  <c r="AN14" i="66" s="1"/>
  <c r="AN13" i="66" s="1"/>
  <c r="AO1240" i="4"/>
  <c r="AN26" i="11"/>
  <c r="AO499" i="4"/>
  <c r="AN1101" i="4"/>
  <c r="AN1103" i="4" s="1"/>
  <c r="AN1104" i="4" s="1"/>
  <c r="AN1105" i="4" s="1"/>
  <c r="AM1516" i="4"/>
  <c r="AM1517" i="4" s="1"/>
  <c r="AM1473" i="4"/>
  <c r="AM1468" i="4" s="1"/>
  <c r="AN491" i="4"/>
  <c r="AO488" i="4" l="1"/>
  <c r="AN15" i="11"/>
  <c r="AN13" i="11" s="1"/>
  <c r="AN62" i="64"/>
  <c r="AN984" i="4"/>
  <c r="AN988" i="4" s="1"/>
  <c r="AO1100" i="4"/>
  <c r="AN1294" i="4" l="1"/>
  <c r="AN1298" i="4" s="1"/>
  <c r="AN1120" i="4"/>
  <c r="AN992" i="4"/>
  <c r="AN71" i="11"/>
  <c r="AN1320" i="4"/>
  <c r="AN70" i="64"/>
  <c r="AN78" i="64"/>
  <c r="AN1073" i="4" l="1"/>
  <c r="AN1077" i="4" s="1"/>
  <c r="AN1081" i="4" s="1"/>
  <c r="AN47" i="11"/>
  <c r="AN62" i="11" l="1"/>
  <c r="AN61" i="11"/>
  <c r="AN48" i="11"/>
  <c r="AN55" i="11" s="1"/>
  <c r="AN1082" i="4"/>
  <c r="AN1093" i="4" s="1"/>
  <c r="AN1090" i="4" s="1"/>
  <c r="AN1083" i="4" s="1"/>
  <c r="AN1084" i="4" s="1"/>
  <c r="AN1089" i="4"/>
  <c r="AN1091" i="4" l="1"/>
  <c r="AO1088" i="4" s="1"/>
  <c r="AN1299" i="4"/>
  <c r="AN1300" i="4" s="1"/>
  <c r="AN1123" i="4"/>
  <c r="AN1130" i="4" s="1"/>
  <c r="AN1132" i="4" s="1"/>
  <c r="AN1135" i="4" s="1"/>
  <c r="AN1323" i="4"/>
  <c r="AN75" i="11"/>
  <c r="AN56" i="11"/>
  <c r="AN57" i="11" s="1"/>
  <c r="AN61" i="64"/>
  <c r="AN63" i="11"/>
  <c r="AN1472" i="4"/>
  <c r="AN62" i="62"/>
  <c r="AN64" i="11"/>
  <c r="AN63" i="62" l="1"/>
  <c r="AN67" i="62" s="1"/>
  <c r="AN77" i="64"/>
  <c r="AN82" i="64" s="1"/>
  <c r="AN69" i="64"/>
  <c r="AN74" i="64" s="1"/>
  <c r="AN66" i="64"/>
  <c r="AN40" i="64" s="1"/>
  <c r="AN42" i="64" s="1"/>
  <c r="AN1471" i="4"/>
  <c r="AN1283" i="4"/>
  <c r="AN1313" i="4"/>
  <c r="AN68" i="62" l="1"/>
  <c r="AN52" i="64"/>
  <c r="AN49" i="64"/>
  <c r="AN1193" i="4"/>
  <c r="AN1194" i="4" s="1"/>
  <c r="AN1196" i="4" s="1"/>
  <c r="AN1198" i="4" s="1"/>
  <c r="AN1164" i="4" s="1"/>
  <c r="AN1214" i="4" l="1"/>
  <c r="AN1165" i="4"/>
  <c r="AO1162" i="4" l="1"/>
  <c r="AO1207" i="4"/>
  <c r="AO1225" i="4" s="1"/>
  <c r="AN88" i="11"/>
  <c r="AN38" i="66"/>
  <c r="AN1302" i="4"/>
  <c r="AN1303" i="4" s="1"/>
  <c r="AN1324" i="4"/>
  <c r="AN1481" i="4"/>
  <c r="AN1424" i="4"/>
  <c r="AN1215" i="4"/>
  <c r="AN1281" i="4" l="1"/>
  <c r="AN1271" i="4"/>
  <c r="AN31" i="11"/>
  <c r="AN1515" i="4"/>
  <c r="AN1489" i="4"/>
  <c r="AN1490" i="4" s="1"/>
  <c r="AN1505" i="4"/>
  <c r="AO1212" i="4"/>
  <c r="AO1163" i="4"/>
  <c r="AO1492" i="4" l="1"/>
  <c r="AN1495" i="4"/>
  <c r="AN1493" i="4"/>
  <c r="AN30" i="11"/>
  <c r="AN45" i="62"/>
  <c r="AN1252" i="4"/>
  <c r="AN1274" i="4"/>
  <c r="AN1275" i="4" s="1"/>
  <c r="AN1265" i="4" s="1"/>
  <c r="AO1206" i="4"/>
  <c r="AO1224" i="4" s="1"/>
  <c r="AO1226" i="4" s="1"/>
  <c r="AO1213" i="4"/>
  <c r="AO1202" i="4"/>
  <c r="AO1178" i="4"/>
  <c r="AN1496" i="4" l="1"/>
  <c r="AO1179" i="4"/>
  <c r="AO1189" i="4"/>
  <c r="AO1218" i="4" s="1"/>
  <c r="AO1180" i="4"/>
  <c r="AO18" i="66"/>
  <c r="AO1310" i="4"/>
  <c r="AO1336" i="4"/>
  <c r="AO87" i="11"/>
  <c r="AO1423" i="4"/>
  <c r="AN1264" i="4"/>
  <c r="AN1253" i="4" s="1"/>
  <c r="AN1266" i="4"/>
  <c r="AO50" i="11"/>
  <c r="AO49" i="11" s="1"/>
  <c r="AO297" i="4"/>
  <c r="AO305" i="4" s="1"/>
  <c r="AO330" i="4" s="1"/>
  <c r="AO1295" i="4"/>
  <c r="AO72" i="11"/>
  <c r="AO37" i="66"/>
  <c r="AO1076" i="4"/>
  <c r="AO1122" i="4"/>
  <c r="AO1326" i="4"/>
  <c r="AN1257" i="4"/>
  <c r="AN1261" i="4"/>
  <c r="AN1268" i="4" s="1"/>
  <c r="AO478" i="4" l="1"/>
  <c r="AO480" i="4" s="1"/>
  <c r="AO481" i="4" s="1"/>
  <c r="AO482" i="4" s="1"/>
  <c r="AO483" i="4" s="1"/>
  <c r="AP477" i="4" s="1"/>
  <c r="AO456" i="4"/>
  <c r="AO458" i="4" s="1"/>
  <c r="AO459" i="4" s="1"/>
  <c r="AP468" i="4"/>
  <c r="AP479" i="4"/>
  <c r="AO467" i="4"/>
  <c r="AO469" i="4" s="1"/>
  <c r="AO470" i="4" s="1"/>
  <c r="AO471" i="4" s="1"/>
  <c r="AO472" i="4" s="1"/>
  <c r="AP466" i="4" s="1"/>
  <c r="AP457" i="4"/>
  <c r="AN86" i="11"/>
  <c r="AN1309" i="4"/>
  <c r="AN19" i="66"/>
  <c r="AN17" i="66" s="1"/>
  <c r="AN1338" i="4"/>
  <c r="AN1480" i="4"/>
  <c r="AN1327" i="4"/>
  <c r="AN1272" i="4"/>
  <c r="AN1276" i="4" s="1"/>
  <c r="AN1254" i="4" s="1"/>
  <c r="AN1304" i="4"/>
  <c r="AN74" i="11"/>
  <c r="AN78" i="11" s="1"/>
  <c r="AN1386" i="4"/>
  <c r="AN36" i="66"/>
  <c r="AO1168" i="4"/>
  <c r="AO1169" i="4"/>
  <c r="AO1220" i="4"/>
  <c r="AO53" i="11" s="1"/>
  <c r="AO52" i="11" s="1"/>
  <c r="AO1219" i="4"/>
  <c r="AO294" i="4" s="1"/>
  <c r="AO1074" i="4"/>
  <c r="AO1181" i="4"/>
  <c r="AP495" i="4" l="1"/>
  <c r="AP1072" i="4" s="1"/>
  <c r="AO1170" i="4"/>
  <c r="AO1188" i="4" s="1"/>
  <c r="AN1483" i="4"/>
  <c r="AO1190" i="4"/>
  <c r="AO1221" i="4" s="1"/>
  <c r="AO1197" i="4"/>
  <c r="AN1421" i="4"/>
  <c r="AN1385" i="4"/>
  <c r="AN1388" i="4" s="1"/>
  <c r="AO299" i="4"/>
  <c r="AO302" i="4"/>
  <c r="AO494" i="4"/>
  <c r="AO1071" i="4" s="1"/>
  <c r="AO460" i="4"/>
  <c r="AO461" i="4" s="1"/>
  <c r="AP455" i="4" s="1"/>
  <c r="AN39" i="66"/>
  <c r="AN35" i="66" s="1"/>
  <c r="AN1305" i="4"/>
  <c r="AN1282" i="4" s="1"/>
  <c r="AN89" i="11"/>
  <c r="AN1328" i="4"/>
  <c r="AN1255" i="4"/>
  <c r="AO1250" i="4" l="1"/>
  <c r="AN27" i="11"/>
  <c r="AN1506" i="4"/>
  <c r="AO331" i="4"/>
  <c r="AO307" i="4"/>
  <c r="AN1390" i="4"/>
  <c r="AN1402" i="4"/>
  <c r="AN1425" i="4"/>
  <c r="AN1284" i="4"/>
  <c r="AN1286" i="4" s="1"/>
  <c r="AO1121" i="4"/>
  <c r="AO1144" i="4" s="1"/>
  <c r="AO1325" i="4"/>
  <c r="AO73" i="11"/>
  <c r="AO1301" i="4"/>
  <c r="AN1440" i="4" l="1"/>
  <c r="AN1441" i="4" s="1"/>
  <c r="AN1442" i="4" s="1"/>
  <c r="AO332" i="4"/>
  <c r="AO14" i="11" s="1"/>
  <c r="AN1285" i="4"/>
  <c r="AN1403" i="4"/>
  <c r="AN1404" i="4" s="1"/>
  <c r="AO1235" i="4"/>
  <c r="AO1251" i="4" s="1"/>
  <c r="AO1234" i="4"/>
  <c r="AO1145" i="4"/>
  <c r="AO395" i="4"/>
  <c r="AO396" i="4" s="1"/>
  <c r="AO397" i="4" s="1"/>
  <c r="AO398" i="4" s="1"/>
  <c r="AO399" i="4" s="1"/>
  <c r="AP394" i="4" s="1"/>
  <c r="AO385" i="4"/>
  <c r="AO405" i="4"/>
  <c r="AO406" i="4" s="1"/>
  <c r="AO407" i="4" s="1"/>
  <c r="AO408" i="4" s="1"/>
  <c r="AO409" i="4" s="1"/>
  <c r="AP404" i="4" s="1"/>
  <c r="AN1509" i="4"/>
  <c r="AN1507" i="4"/>
  <c r="AN1508" i="4" s="1"/>
  <c r="AN1329" i="4"/>
  <c r="AN48" i="62"/>
  <c r="AN24" i="62" s="1"/>
  <c r="AN26" i="62" s="1"/>
  <c r="AN90" i="11"/>
  <c r="AN91" i="11" s="1"/>
  <c r="AN93" i="11" s="1"/>
  <c r="AN96" i="11" s="1"/>
  <c r="AN97" i="11" s="1"/>
  <c r="AN1306" i="4"/>
  <c r="AN1307" i="4" s="1"/>
  <c r="AN1311" i="4" s="1"/>
  <c r="AO1290" i="4" s="1"/>
  <c r="AN58" i="11"/>
  <c r="AN59" i="11" s="1"/>
  <c r="AN28" i="11" s="1"/>
  <c r="AN22" i="66"/>
  <c r="AO489" i="4" l="1"/>
  <c r="AO386" i="4"/>
  <c r="AO387" i="4" s="1"/>
  <c r="AO500" i="4"/>
  <c r="AO1128" i="4"/>
  <c r="AN46" i="62"/>
  <c r="AN21" i="11"/>
  <c r="AN17" i="11" s="1"/>
  <c r="AN100" i="67"/>
  <c r="AN24" i="66"/>
  <c r="AN20" i="66" s="1"/>
  <c r="AN26" i="66" s="1"/>
  <c r="AN100" i="11"/>
  <c r="AN101" i="11"/>
  <c r="AO95" i="11"/>
  <c r="AN44" i="66"/>
  <c r="AN40" i="66" s="1"/>
  <c r="AN46" i="66" s="1"/>
  <c r="AN1330" i="4"/>
  <c r="AN1331" i="4" s="1"/>
  <c r="AN1340" i="4"/>
  <c r="AN1341" i="4" s="1"/>
  <c r="AN1462" i="4"/>
  <c r="AN1461" i="4" s="1"/>
  <c r="AN101" i="67"/>
  <c r="AO1241" i="4"/>
  <c r="AO1236" i="4"/>
  <c r="AN25" i="11"/>
  <c r="AN1343" i="4" l="1"/>
  <c r="AN48" i="66"/>
  <c r="AN1463" i="4"/>
  <c r="AN1460" i="4" s="1"/>
  <c r="AN23" i="11"/>
  <c r="AN37" i="11"/>
  <c r="AN1474" i="4"/>
  <c r="AN1469" i="4" s="1"/>
  <c r="AN1475" i="4"/>
  <c r="AN1470" i="4" s="1"/>
  <c r="AO1337" i="4"/>
  <c r="AO1244" i="4"/>
  <c r="AO1245" i="4" s="1"/>
  <c r="AO42" i="62"/>
  <c r="AO85" i="11"/>
  <c r="AO1308" i="4"/>
  <c r="AO501" i="4"/>
  <c r="AO502" i="4" s="1"/>
  <c r="AO490" i="4"/>
  <c r="AO388" i="4"/>
  <c r="AO389" i="4" s="1"/>
  <c r="AP384" i="4" s="1"/>
  <c r="AN99" i="11"/>
  <c r="AN39" i="11" l="1"/>
  <c r="AN40" i="11" s="1"/>
  <c r="AP499" i="4"/>
  <c r="AO1101" i="4"/>
  <c r="AO1103" i="4" s="1"/>
  <c r="AO1104" i="4" s="1"/>
  <c r="AO1105" i="4" s="1"/>
  <c r="AO26" i="11"/>
  <c r="AP1240" i="4"/>
  <c r="AO64" i="62"/>
  <c r="AO51" i="11"/>
  <c r="AN1516" i="4"/>
  <c r="AN1517" i="4" s="1"/>
  <c r="AN1473" i="4"/>
  <c r="AN1468" i="4" s="1"/>
  <c r="AO491" i="4"/>
  <c r="AO52" i="62"/>
  <c r="AO43" i="62"/>
  <c r="AO23" i="62" s="1"/>
  <c r="AO16" i="66" s="1"/>
  <c r="AO14" i="66" s="1"/>
  <c r="AO13" i="66" s="1"/>
  <c r="AO15" i="11" l="1"/>
  <c r="AO13" i="11" s="1"/>
  <c r="AP488" i="4"/>
  <c r="AO984" i="4"/>
  <c r="AO988" i="4" s="1"/>
  <c r="AO62" i="64"/>
  <c r="AP1100" i="4"/>
  <c r="AO1320" i="4" l="1"/>
  <c r="AO1294" i="4"/>
  <c r="AO1298" i="4" s="1"/>
  <c r="AO992" i="4"/>
  <c r="AO71" i="11"/>
  <c r="AO1120" i="4"/>
  <c r="AO70" i="64"/>
  <c r="AO78" i="64"/>
  <c r="AO1073" i="4" l="1"/>
  <c r="AO1077" i="4" s="1"/>
  <c r="AO1081" i="4" s="1"/>
  <c r="AO47" i="11"/>
  <c r="AO62" i="11" l="1"/>
  <c r="AO61" i="11"/>
  <c r="AO48" i="11"/>
  <c r="AO55" i="11" s="1"/>
  <c r="AO1082" i="4"/>
  <c r="AO1089" i="4"/>
  <c r="AO1093" i="4" l="1"/>
  <c r="AO1090" i="4" s="1"/>
  <c r="AO1091" i="4" s="1"/>
  <c r="AP1088" i="4" s="1"/>
  <c r="AO63" i="11"/>
  <c r="AO62" i="62"/>
  <c r="AO64" i="11"/>
  <c r="AO1472" i="4"/>
  <c r="AO1083" i="4" l="1"/>
  <c r="AO1084" i="4" s="1"/>
  <c r="AO63" i="62" s="1"/>
  <c r="AO67" i="62" s="1"/>
  <c r="AO68" i="62" l="1"/>
  <c r="AO75" i="11"/>
  <c r="AO1123" i="4"/>
  <c r="AO1130" i="4" s="1"/>
  <c r="AO1132" i="4" s="1"/>
  <c r="AO1135" i="4" s="1"/>
  <c r="AO1323" i="4"/>
  <c r="AO61" i="64"/>
  <c r="AO1299" i="4"/>
  <c r="AO1300" i="4" s="1"/>
  <c r="AO56" i="11"/>
  <c r="AO57" i="11" s="1"/>
  <c r="AO69" i="64" l="1"/>
  <c r="AO74" i="64" s="1"/>
  <c r="AO77" i="64"/>
  <c r="AO82" i="64" s="1"/>
  <c r="AO66" i="64"/>
  <c r="AO40" i="64" s="1"/>
  <c r="AO42" i="64" s="1"/>
  <c r="AO1471" i="4"/>
  <c r="AO1283" i="4"/>
  <c r="AO1313" i="4"/>
  <c r="AO1193" i="4" l="1"/>
  <c r="AO1194" i="4" s="1"/>
  <c r="AO1196" i="4" s="1"/>
  <c r="AO1198" i="4" s="1"/>
  <c r="AO1164" i="4" s="1"/>
  <c r="AO52" i="64"/>
  <c r="AO49" i="64"/>
  <c r="AO1214" i="4" l="1"/>
  <c r="AO1165" i="4"/>
  <c r="AP1162" i="4" l="1"/>
  <c r="AP1207" i="4"/>
  <c r="AP1225" i="4" s="1"/>
  <c r="AO88" i="11"/>
  <c r="AO1302" i="4"/>
  <c r="AO1303" i="4" s="1"/>
  <c r="AO38" i="66"/>
  <c r="AO1324" i="4"/>
  <c r="AO1481" i="4"/>
  <c r="AO1424" i="4"/>
  <c r="AO1215" i="4"/>
  <c r="AO1281" i="4" l="1"/>
  <c r="AO1271" i="4"/>
  <c r="AO31" i="11"/>
  <c r="AP1212" i="4"/>
  <c r="AO1489" i="4"/>
  <c r="AO1490" i="4" s="1"/>
  <c r="AO1515" i="4"/>
  <c r="AO1505" i="4"/>
  <c r="AP1163" i="4"/>
  <c r="AO1495" i="4" l="1"/>
  <c r="AO1493" i="4"/>
  <c r="AP1492" i="4"/>
  <c r="AO30" i="11"/>
  <c r="AO45" i="62"/>
  <c r="AO1252" i="4"/>
  <c r="AO1274" i="4"/>
  <c r="AO1275" i="4" s="1"/>
  <c r="AO1265" i="4" s="1"/>
  <c r="AP1206" i="4"/>
  <c r="AP1224" i="4" s="1"/>
  <c r="AP1226" i="4" s="1"/>
  <c r="AP1213" i="4"/>
  <c r="AP1202" i="4"/>
  <c r="AP1178" i="4"/>
  <c r="AO1496" i="4" l="1"/>
  <c r="AP1179" i="4"/>
  <c r="AP1189" i="4"/>
  <c r="AP1218" i="4" s="1"/>
  <c r="AP1180" i="4"/>
  <c r="AP1310" i="4"/>
  <c r="AP18" i="66"/>
  <c r="AP1336" i="4"/>
  <c r="AP87" i="11"/>
  <c r="AP1423" i="4"/>
  <c r="AP72" i="11"/>
  <c r="AP1295" i="4"/>
  <c r="AP50" i="11"/>
  <c r="AP49" i="11" s="1"/>
  <c r="AP1326" i="4"/>
  <c r="AP37" i="66"/>
  <c r="AP1122" i="4"/>
  <c r="AP1076" i="4"/>
  <c r="AP297" i="4"/>
  <c r="AP305" i="4" s="1"/>
  <c r="AP330" i="4" s="1"/>
  <c r="AO1264" i="4"/>
  <c r="AO1253" i="4" s="1"/>
  <c r="AO1266" i="4"/>
  <c r="AO1257" i="4"/>
  <c r="AO1261" i="4"/>
  <c r="AO1268" i="4" s="1"/>
  <c r="AO1309" i="4" l="1"/>
  <c r="AO86" i="11"/>
  <c r="AO1338" i="4"/>
  <c r="AO19" i="66"/>
  <c r="AO17" i="66" s="1"/>
  <c r="AO1480" i="4"/>
  <c r="AO1304" i="4"/>
  <c r="AO74" i="11"/>
  <c r="AO78" i="11" s="1"/>
  <c r="AO1272" i="4"/>
  <c r="AO1276" i="4" s="1"/>
  <c r="AO1254" i="4" s="1"/>
  <c r="AO1327" i="4"/>
  <c r="AO36" i="66"/>
  <c r="AO1386" i="4"/>
  <c r="AP1168" i="4"/>
  <c r="AP1169" i="4"/>
  <c r="AP1074" i="4"/>
  <c r="AP1219" i="4"/>
  <c r="AP294" i="4" s="1"/>
  <c r="AP1220" i="4"/>
  <c r="AP53" i="11" s="1"/>
  <c r="AP52" i="11" s="1"/>
  <c r="AP1181" i="4"/>
  <c r="AQ457" i="4"/>
  <c r="AP478" i="4"/>
  <c r="AP480" i="4" s="1"/>
  <c r="AP481" i="4" s="1"/>
  <c r="AP482" i="4" s="1"/>
  <c r="AP483" i="4" s="1"/>
  <c r="AQ477" i="4" s="1"/>
  <c r="AQ468" i="4"/>
  <c r="AP456" i="4"/>
  <c r="AP458" i="4" s="1"/>
  <c r="AP459" i="4" s="1"/>
  <c r="AP467" i="4"/>
  <c r="AP469" i="4" s="1"/>
  <c r="AP470" i="4" s="1"/>
  <c r="AP471" i="4" s="1"/>
  <c r="AP472" i="4" s="1"/>
  <c r="AQ466" i="4" s="1"/>
  <c r="AQ479" i="4"/>
  <c r="AP1170" i="4" l="1"/>
  <c r="AP1188" i="4" s="1"/>
  <c r="AQ495" i="4"/>
  <c r="AQ1072" i="4" s="1"/>
  <c r="AP460" i="4"/>
  <c r="AP461" i="4" s="1"/>
  <c r="AQ455" i="4" s="1"/>
  <c r="AP494" i="4"/>
  <c r="AP1071" i="4" s="1"/>
  <c r="AO1421" i="4"/>
  <c r="AO1385" i="4"/>
  <c r="AO1388" i="4" s="1"/>
  <c r="AO1483" i="4"/>
  <c r="AP1190" i="4"/>
  <c r="AP1221" i="4" s="1"/>
  <c r="AP1197" i="4"/>
  <c r="AP299" i="4"/>
  <c r="AP302" i="4"/>
  <c r="AO1305" i="4"/>
  <c r="AO1282" i="4" s="1"/>
  <c r="AO89" i="11"/>
  <c r="AO39" i="66"/>
  <c r="AO35" i="66" s="1"/>
  <c r="AO1328" i="4"/>
  <c r="AO1255" i="4"/>
  <c r="AP1250" i="4" l="1"/>
  <c r="AO27" i="11"/>
  <c r="AO1506" i="4"/>
  <c r="AP1301" i="4"/>
  <c r="AP1121" i="4"/>
  <c r="AP1144" i="4" s="1"/>
  <c r="AP1325" i="4"/>
  <c r="AP73" i="11"/>
  <c r="AO1390" i="4"/>
  <c r="AO1402" i="4"/>
  <c r="AO1284" i="4"/>
  <c r="AO1286" i="4" s="1"/>
  <c r="AO1425" i="4"/>
  <c r="AP307" i="4"/>
  <c r="AP331" i="4"/>
  <c r="AO1440" i="4" l="1"/>
  <c r="AO1441" i="4" s="1"/>
  <c r="AO1442" i="4" s="1"/>
  <c r="AP332" i="4"/>
  <c r="AP14" i="11" s="1"/>
  <c r="AO1285" i="4"/>
  <c r="AO1403" i="4"/>
  <c r="AO1404" i="4" s="1"/>
  <c r="AP1145" i="4"/>
  <c r="AP1234" i="4"/>
  <c r="AP1235" i="4"/>
  <c r="AP1251" i="4" s="1"/>
  <c r="AO1507" i="4"/>
  <c r="AO1508" i="4" s="1"/>
  <c r="AO1509" i="4"/>
  <c r="AP405" i="4"/>
  <c r="AP406" i="4" s="1"/>
  <c r="AP407" i="4" s="1"/>
  <c r="AP408" i="4" s="1"/>
  <c r="AP409" i="4" s="1"/>
  <c r="AQ404" i="4" s="1"/>
  <c r="AP385" i="4"/>
  <c r="AP395" i="4"/>
  <c r="AP396" i="4" s="1"/>
  <c r="AP397" i="4" s="1"/>
  <c r="AP398" i="4" s="1"/>
  <c r="AP399" i="4" s="1"/>
  <c r="AQ394" i="4" s="1"/>
  <c r="AO48" i="62"/>
  <c r="AO24" i="62" s="1"/>
  <c r="AO26" i="62" s="1"/>
  <c r="AO58" i="11"/>
  <c r="AO59" i="11" s="1"/>
  <c r="AO28" i="11" s="1"/>
  <c r="AO1306" i="4"/>
  <c r="AO1307" i="4" s="1"/>
  <c r="AO1311" i="4" s="1"/>
  <c r="AP1290" i="4" s="1"/>
  <c r="AO1329" i="4"/>
  <c r="AO90" i="11"/>
  <c r="AO91" i="11" s="1"/>
  <c r="AO93" i="11" s="1"/>
  <c r="AO96" i="11" s="1"/>
  <c r="AO97" i="11" s="1"/>
  <c r="AO22" i="66"/>
  <c r="AP1128" i="4" l="1"/>
  <c r="AP1241" i="4"/>
  <c r="AP1236" i="4"/>
  <c r="AP489" i="4"/>
  <c r="AP386" i="4"/>
  <c r="AP387" i="4" s="1"/>
  <c r="AP500" i="4"/>
  <c r="AO46" i="62"/>
  <c r="AO44" i="66"/>
  <c r="AO40" i="66" s="1"/>
  <c r="AO46" i="66" s="1"/>
  <c r="AO21" i="11"/>
  <c r="AO17" i="11" s="1"/>
  <c r="AO101" i="67"/>
  <c r="AO100" i="67"/>
  <c r="AP95" i="11"/>
  <c r="AO1462" i="4"/>
  <c r="AO1461" i="4" s="1"/>
  <c r="AO101" i="11"/>
  <c r="AO1330" i="4"/>
  <c r="AO1331" i="4" s="1"/>
  <c r="AO100" i="11"/>
  <c r="AO24" i="66"/>
  <c r="AO20" i="66" s="1"/>
  <c r="AO26" i="66" s="1"/>
  <c r="AO1340" i="4"/>
  <c r="AO1341" i="4" s="1"/>
  <c r="AO25" i="11"/>
  <c r="AO99" i="11" l="1"/>
  <c r="AP85" i="11"/>
  <c r="AP1337" i="4"/>
  <c r="AP42" i="62"/>
  <c r="AP1244" i="4"/>
  <c r="AP1245" i="4" s="1"/>
  <c r="AP1308" i="4"/>
  <c r="AO1475" i="4"/>
  <c r="AO1470" i="4" s="1"/>
  <c r="AO37" i="11"/>
  <c r="AO1474" i="4"/>
  <c r="AO1469" i="4" s="1"/>
  <c r="AO1463" i="4"/>
  <c r="AO1460" i="4" s="1"/>
  <c r="AO23" i="11"/>
  <c r="AO48" i="66"/>
  <c r="AO1343" i="4"/>
  <c r="AP501" i="4"/>
  <c r="AP502" i="4" s="1"/>
  <c r="AP490" i="4"/>
  <c r="AP388" i="4"/>
  <c r="AP389" i="4" s="1"/>
  <c r="AQ384" i="4" s="1"/>
  <c r="AP1101" i="4" l="1"/>
  <c r="AP1103" i="4" s="1"/>
  <c r="AP1104" i="4" s="1"/>
  <c r="AP1105" i="4" s="1"/>
  <c r="AQ499" i="4"/>
  <c r="AP26" i="11"/>
  <c r="AQ1240" i="4"/>
  <c r="AO1516" i="4"/>
  <c r="AO1517" i="4" s="1"/>
  <c r="AO1473" i="4"/>
  <c r="AO1468" i="4" s="1"/>
  <c r="AP52" i="62"/>
  <c r="AP43" i="62"/>
  <c r="AP23" i="62" s="1"/>
  <c r="AP16" i="66" s="1"/>
  <c r="AP14" i="66" s="1"/>
  <c r="AP13" i="66" s="1"/>
  <c r="AP491" i="4"/>
  <c r="AP51" i="11"/>
  <c r="AP64" i="62"/>
  <c r="AO39" i="11"/>
  <c r="AO40" i="11" s="1"/>
  <c r="AQ488" i="4" l="1"/>
  <c r="AP15" i="11"/>
  <c r="AP13" i="11" s="1"/>
  <c r="AQ1100" i="4"/>
  <c r="AP984" i="4"/>
  <c r="AP988" i="4" s="1"/>
  <c r="AP62" i="64"/>
  <c r="AP70" i="64" l="1"/>
  <c r="AP78" i="64"/>
  <c r="AP992" i="4"/>
  <c r="AP71" i="11"/>
  <c r="AP1294" i="4"/>
  <c r="AP1298" i="4" s="1"/>
  <c r="AP1120" i="4"/>
  <c r="AP1320" i="4"/>
  <c r="AP1073" i="4" l="1"/>
  <c r="AP1077" i="4" s="1"/>
  <c r="AP1081" i="4" s="1"/>
  <c r="AP47" i="11"/>
  <c r="AP62" i="11" l="1"/>
  <c r="AP61" i="11"/>
  <c r="AP48" i="11"/>
  <c r="AP55" i="11" s="1"/>
  <c r="AP1082" i="4"/>
  <c r="AP1093" i="4" s="1"/>
  <c r="AP1090" i="4" s="1"/>
  <c r="AP1083" i="4" s="1"/>
  <c r="AP1084" i="4" s="1"/>
  <c r="AP1089" i="4"/>
  <c r="AP1091" i="4" l="1"/>
  <c r="AQ1088" i="4" s="1"/>
  <c r="AP61" i="64"/>
  <c r="AP56" i="11"/>
  <c r="AP57" i="11" s="1"/>
  <c r="AP1323" i="4"/>
  <c r="AP1299" i="4"/>
  <c r="AP1300" i="4" s="1"/>
  <c r="AP1123" i="4"/>
  <c r="AP1130" i="4" s="1"/>
  <c r="AP1132" i="4" s="1"/>
  <c r="AP1135" i="4" s="1"/>
  <c r="AP75" i="11"/>
  <c r="AP63" i="11"/>
  <c r="AP62" i="62"/>
  <c r="AP64" i="11"/>
  <c r="AP1472" i="4"/>
  <c r="AP1313" i="4" l="1"/>
  <c r="AP63" i="62"/>
  <c r="AP67" i="62" s="1"/>
  <c r="AP1471" i="4"/>
  <c r="AP1283" i="4"/>
  <c r="AP69" i="64"/>
  <c r="AP74" i="64" s="1"/>
  <c r="AP77" i="64"/>
  <c r="AP82" i="64" s="1"/>
  <c r="AP66" i="64"/>
  <c r="AP40" i="64" s="1"/>
  <c r="AP42" i="64" s="1"/>
  <c r="AP68" i="62" l="1"/>
  <c r="AP1193" i="4"/>
  <c r="AP1194" i="4" s="1"/>
  <c r="AP1196" i="4" s="1"/>
  <c r="AP1198" i="4" s="1"/>
  <c r="AP1164" i="4" s="1"/>
  <c r="AP52" i="64"/>
  <c r="AP49" i="64"/>
  <c r="AP1214" i="4" l="1"/>
  <c r="AP1165" i="4"/>
  <c r="AQ1162" i="4" l="1"/>
  <c r="AQ1207" i="4"/>
  <c r="AQ1225" i="4" s="1"/>
  <c r="AP1324" i="4"/>
  <c r="AP1481" i="4"/>
  <c r="AP1302" i="4"/>
  <c r="AP1303" i="4" s="1"/>
  <c r="AP38" i="66"/>
  <c r="AP88" i="11"/>
  <c r="AP1424" i="4"/>
  <c r="AP1215" i="4"/>
  <c r="AP1271" i="4" l="1"/>
  <c r="AP1281" i="4"/>
  <c r="AP31" i="11"/>
  <c r="AP1489" i="4"/>
  <c r="AP1490" i="4" s="1"/>
  <c r="AQ1212" i="4"/>
  <c r="AP1515" i="4"/>
  <c r="AP1505" i="4"/>
  <c r="AQ1163" i="4"/>
  <c r="AQ1492" i="4" l="1"/>
  <c r="AP1495" i="4"/>
  <c r="AP1493" i="4"/>
  <c r="AP30" i="11"/>
  <c r="AP45" i="62"/>
  <c r="AQ1213" i="4"/>
  <c r="AQ1206" i="4"/>
  <c r="AQ1224" i="4" s="1"/>
  <c r="AQ1226" i="4" s="1"/>
  <c r="AQ1202" i="4"/>
  <c r="AQ1178" i="4"/>
  <c r="AP1274" i="4"/>
  <c r="AP1275" i="4" s="1"/>
  <c r="AP1265" i="4" s="1"/>
  <c r="AP1252" i="4"/>
  <c r="AP1496" i="4" l="1"/>
  <c r="AP1264" i="4"/>
  <c r="AP1253" i="4" s="1"/>
  <c r="AP1266" i="4"/>
  <c r="AQ1179" i="4"/>
  <c r="AQ1189" i="4"/>
  <c r="AQ1218" i="4" s="1"/>
  <c r="AQ1180" i="4"/>
  <c r="AP1257" i="4"/>
  <c r="AP1261" i="4"/>
  <c r="AP1268" i="4" s="1"/>
  <c r="S72" i="67"/>
  <c r="AQ1076" i="4"/>
  <c r="AQ50" i="11"/>
  <c r="AQ37" i="66"/>
  <c r="AQ1122" i="4"/>
  <c r="AQ1295" i="4"/>
  <c r="AQ297" i="4"/>
  <c r="AQ305" i="4" s="1"/>
  <c r="AQ330" i="4" s="1"/>
  <c r="AQ72" i="11"/>
  <c r="AQ1326" i="4"/>
  <c r="S87" i="67"/>
  <c r="AQ87" i="11"/>
  <c r="AQ1336" i="4"/>
  <c r="AQ1310" i="4"/>
  <c r="AQ18" i="66"/>
  <c r="AQ1423" i="4"/>
  <c r="AR479" i="4" l="1"/>
  <c r="AR457" i="4"/>
  <c r="AQ478" i="4"/>
  <c r="AQ480" i="4" s="1"/>
  <c r="AQ481" i="4" s="1"/>
  <c r="AQ482" i="4" s="1"/>
  <c r="AQ483" i="4" s="1"/>
  <c r="AR477" i="4" s="1"/>
  <c r="AR468" i="4"/>
  <c r="AQ467" i="4"/>
  <c r="AQ469" i="4" s="1"/>
  <c r="AQ470" i="4" s="1"/>
  <c r="AQ471" i="4" s="1"/>
  <c r="AQ472" i="4" s="1"/>
  <c r="AR466" i="4" s="1"/>
  <c r="AQ456" i="4"/>
  <c r="AQ458" i="4" s="1"/>
  <c r="AQ459" i="4" s="1"/>
  <c r="AP1338" i="4"/>
  <c r="AP1309" i="4"/>
  <c r="AP86" i="11"/>
  <c r="AP19" i="66"/>
  <c r="AP17" i="66" s="1"/>
  <c r="AP1480" i="4"/>
  <c r="AQ1168" i="4"/>
  <c r="AQ1169" i="4"/>
  <c r="S50" i="67"/>
  <c r="S49" i="67" s="1"/>
  <c r="AQ49" i="11"/>
  <c r="AQ1220" i="4"/>
  <c r="AQ1074" i="4"/>
  <c r="AQ1219" i="4"/>
  <c r="AQ294" i="4" s="1"/>
  <c r="AQ1181" i="4"/>
  <c r="AP1304" i="4"/>
  <c r="AP74" i="11"/>
  <c r="AP78" i="11" s="1"/>
  <c r="AP1272" i="4"/>
  <c r="AP1276" i="4" s="1"/>
  <c r="AP1254" i="4" s="1"/>
  <c r="AP1327" i="4"/>
  <c r="AP1386" i="4"/>
  <c r="AP36" i="66"/>
  <c r="AQ1170" i="4" l="1"/>
  <c r="AQ1188" i="4" s="1"/>
  <c r="AQ1197" i="4"/>
  <c r="AQ1190" i="4"/>
  <c r="AQ1221" i="4" s="1"/>
  <c r="AP1483" i="4"/>
  <c r="AQ460" i="4"/>
  <c r="AQ461" i="4" s="1"/>
  <c r="AR455" i="4" s="1"/>
  <c r="AQ494" i="4"/>
  <c r="AQ1071" i="4" s="1"/>
  <c r="S53" i="67"/>
  <c r="S52" i="67" s="1"/>
  <c r="AQ53" i="11"/>
  <c r="AQ52" i="11" s="1"/>
  <c r="AR495" i="4"/>
  <c r="AR1072" i="4" s="1"/>
  <c r="AQ299" i="4"/>
  <c r="AQ302" i="4"/>
  <c r="AP1305" i="4"/>
  <c r="AP1282" i="4" s="1"/>
  <c r="AP1328" i="4"/>
  <c r="AP89" i="11"/>
  <c r="AP39" i="66"/>
  <c r="AP35" i="66" s="1"/>
  <c r="AP1255" i="4"/>
  <c r="AP1421" i="4"/>
  <c r="AP1385" i="4"/>
  <c r="AP1388" i="4" s="1"/>
  <c r="AP1284" i="4" l="1"/>
  <c r="AP1286" i="4" s="1"/>
  <c r="AP1390" i="4"/>
  <c r="AP1402" i="4"/>
  <c r="AQ331" i="4"/>
  <c r="AQ307" i="4"/>
  <c r="AP1425" i="4"/>
  <c r="AQ1325" i="4"/>
  <c r="AQ1301" i="4"/>
  <c r="AQ73" i="11"/>
  <c r="AQ1121" i="4"/>
  <c r="AQ1144" i="4" s="1"/>
  <c r="S23" i="13"/>
  <c r="S73" i="67"/>
  <c r="AQ1250" i="4"/>
  <c r="AP27" i="11"/>
  <c r="AP1506" i="4"/>
  <c r="AP1440" i="4" l="1"/>
  <c r="AP1441" i="4" s="1"/>
  <c r="AP1442" i="4" s="1"/>
  <c r="AQ332" i="4"/>
  <c r="AQ14" i="11" s="1"/>
  <c r="AQ1234" i="4"/>
  <c r="AQ1145" i="4"/>
  <c r="AQ1235" i="4"/>
  <c r="AQ1251" i="4" s="1"/>
  <c r="AP1507" i="4"/>
  <c r="AP1508" i="4" s="1"/>
  <c r="AP1509" i="4"/>
  <c r="AQ385" i="4"/>
  <c r="AQ405" i="4"/>
  <c r="AQ406" i="4" s="1"/>
  <c r="AQ407" i="4" s="1"/>
  <c r="AQ408" i="4" s="1"/>
  <c r="AQ409" i="4" s="1"/>
  <c r="AR404" i="4" s="1"/>
  <c r="AQ395" i="4"/>
  <c r="AQ396" i="4" s="1"/>
  <c r="AQ397" i="4" s="1"/>
  <c r="AQ398" i="4" s="1"/>
  <c r="AQ399" i="4" s="1"/>
  <c r="AR394" i="4" s="1"/>
  <c r="AP1403" i="4"/>
  <c r="AP1404" i="4" s="1"/>
  <c r="AP1285" i="4"/>
  <c r="AP48" i="62"/>
  <c r="AP24" i="62" s="1"/>
  <c r="AP26" i="62" s="1"/>
  <c r="AP1329" i="4"/>
  <c r="AP58" i="11"/>
  <c r="AP59" i="11" s="1"/>
  <c r="AP28" i="11" s="1"/>
  <c r="AP25" i="11" s="1"/>
  <c r="AP90" i="11"/>
  <c r="AP91" i="11" s="1"/>
  <c r="AP93" i="11" s="1"/>
  <c r="AP96" i="11" s="1"/>
  <c r="AP97" i="11" s="1"/>
  <c r="AP1306" i="4"/>
  <c r="AP1307" i="4" s="1"/>
  <c r="AP1311" i="4" s="1"/>
  <c r="AQ1290" i="4" s="1"/>
  <c r="AP22" i="66"/>
  <c r="S14" i="67" l="1"/>
  <c r="AP37" i="11"/>
  <c r="AP1474" i="4"/>
  <c r="AP1469" i="4" s="1"/>
  <c r="AP1475" i="4"/>
  <c r="AP1470" i="4" s="1"/>
  <c r="AP100" i="11"/>
  <c r="AP101" i="11"/>
  <c r="AP44" i="66"/>
  <c r="AP40" i="66" s="1"/>
  <c r="AP46" i="66" s="1"/>
  <c r="AP24" i="66"/>
  <c r="AP20" i="66" s="1"/>
  <c r="AP26" i="66" s="1"/>
  <c r="AQ95" i="11"/>
  <c r="AP21" i="11"/>
  <c r="AP17" i="11" s="1"/>
  <c r="AP46" i="62"/>
  <c r="AP1462" i="4"/>
  <c r="AP1461" i="4" s="1"/>
  <c r="AP100" i="67"/>
  <c r="AP1330" i="4"/>
  <c r="AP1331" i="4" s="1"/>
  <c r="AP101" i="67"/>
  <c r="AP1340" i="4"/>
  <c r="AP1341" i="4" s="1"/>
  <c r="AQ1128" i="4"/>
  <c r="AQ386" i="4"/>
  <c r="AQ387" i="4" s="1"/>
  <c r="AQ500" i="4"/>
  <c r="AQ489" i="4"/>
  <c r="AQ1236" i="4"/>
  <c r="AQ1241" i="4"/>
  <c r="AP99" i="11" l="1"/>
  <c r="AP48" i="66"/>
  <c r="AP1343" i="4"/>
  <c r="AQ501" i="4"/>
  <c r="AQ502" i="4" s="1"/>
  <c r="AQ388" i="4"/>
  <c r="AQ389" i="4" s="1"/>
  <c r="AR384" i="4" s="1"/>
  <c r="AQ490" i="4"/>
  <c r="AQ1337" i="4"/>
  <c r="AQ85" i="11"/>
  <c r="AQ1308" i="4"/>
  <c r="AQ42" i="62"/>
  <c r="AQ1244" i="4"/>
  <c r="AQ1245" i="4" s="1"/>
  <c r="S85" i="67"/>
  <c r="AP1463" i="4"/>
  <c r="AP1460" i="4" s="1"/>
  <c r="AP23" i="11"/>
  <c r="AP39" i="11" s="1"/>
  <c r="AP40" i="11" s="1"/>
  <c r="AQ1101" i="4" l="1"/>
  <c r="AQ1103" i="4" s="1"/>
  <c r="AQ1104" i="4" s="1"/>
  <c r="AQ1105" i="4" s="1"/>
  <c r="AR499" i="4"/>
  <c r="AP1516" i="4"/>
  <c r="AP1517" i="4" s="1"/>
  <c r="AP1473" i="4"/>
  <c r="AP1468" i="4" s="1"/>
  <c r="AQ64" i="62"/>
  <c r="AQ51" i="11"/>
  <c r="S51" i="67"/>
  <c r="AQ52" i="62"/>
  <c r="AQ43" i="62"/>
  <c r="AQ23" i="62" s="1"/>
  <c r="AQ16" i="66" s="1"/>
  <c r="AQ14" i="66" s="1"/>
  <c r="AQ13" i="66" s="1"/>
  <c r="S26" i="67"/>
  <c r="AQ26" i="11"/>
  <c r="AR1240" i="4"/>
  <c r="AQ491" i="4"/>
  <c r="S15" i="67" l="1"/>
  <c r="S13" i="67" s="1"/>
  <c r="AR488" i="4"/>
  <c r="AQ15" i="11"/>
  <c r="AQ13" i="11" s="1"/>
  <c r="AR1100" i="4"/>
  <c r="AQ984" i="4"/>
  <c r="AQ988" i="4" s="1"/>
  <c r="AQ62" i="64"/>
  <c r="AQ70" i="64" l="1"/>
  <c r="AQ78" i="64"/>
  <c r="AQ992" i="4"/>
  <c r="AQ1320" i="4"/>
  <c r="AQ71" i="11"/>
  <c r="AQ1294" i="4"/>
  <c r="AQ1298" i="4" s="1"/>
  <c r="AQ1120" i="4"/>
  <c r="S71" i="67"/>
  <c r="S40" i="13"/>
  <c r="S47" i="67" l="1"/>
  <c r="AQ47" i="11"/>
  <c r="AQ1073" i="4"/>
  <c r="AQ1077" i="4" s="1"/>
  <c r="AQ1081" i="4" s="1"/>
  <c r="S20" i="72"/>
  <c r="AQ61" i="11" l="1"/>
  <c r="AQ62" i="11"/>
  <c r="AQ48" i="11"/>
  <c r="AQ55" i="11" s="1"/>
  <c r="S61" i="67"/>
  <c r="S63" i="67" s="1"/>
  <c r="S62" i="67"/>
  <c r="S64" i="67" s="1"/>
  <c r="S48" i="67"/>
  <c r="S55" i="67" s="1"/>
  <c r="AQ1089" i="4"/>
  <c r="AQ1082" i="4"/>
  <c r="AQ1093" i="4" s="1"/>
  <c r="AQ1090" i="4" s="1"/>
  <c r="AQ1083" i="4" s="1"/>
  <c r="AQ1084" i="4" s="1"/>
  <c r="AQ75" i="11" l="1"/>
  <c r="AQ56" i="11"/>
  <c r="AQ57" i="11" s="1"/>
  <c r="AQ61" i="64"/>
  <c r="AQ1123" i="4"/>
  <c r="AQ1130" i="4" s="1"/>
  <c r="AQ1132" i="4" s="1"/>
  <c r="AQ1135" i="4" s="1"/>
  <c r="AQ1323" i="4"/>
  <c r="AQ1299" i="4"/>
  <c r="AQ1300" i="4" s="1"/>
  <c r="S41" i="13"/>
  <c r="S43" i="13" s="1"/>
  <c r="S75" i="67"/>
  <c r="S56" i="67"/>
  <c r="S57" i="67" s="1"/>
  <c r="AQ1091" i="4"/>
  <c r="AR1088" i="4" s="1"/>
  <c r="AQ62" i="62"/>
  <c r="AQ64" i="11"/>
  <c r="AQ1472" i="4"/>
  <c r="AQ63" i="11"/>
  <c r="S1526" i="4"/>
  <c r="AQ1313" i="4" l="1"/>
  <c r="AQ63" i="62"/>
  <c r="AQ67" i="62" s="1"/>
  <c r="AQ69" i="64"/>
  <c r="AQ74" i="64" s="1"/>
  <c r="AQ77" i="64"/>
  <c r="AQ82" i="64" s="1"/>
  <c r="AQ66" i="64"/>
  <c r="AQ40" i="64" s="1"/>
  <c r="AQ42" i="64" s="1"/>
  <c r="AQ1471" i="4"/>
  <c r="AQ1283" i="4"/>
  <c r="AQ68" i="62" l="1"/>
  <c r="AQ52" i="64"/>
  <c r="AQ49" i="64"/>
  <c r="AQ1193" i="4"/>
  <c r="AQ1194" i="4" s="1"/>
  <c r="AQ1196" i="4" s="1"/>
  <c r="AQ1198" i="4" s="1"/>
  <c r="AQ1164" i="4" s="1"/>
  <c r="AQ1214" i="4" l="1"/>
  <c r="AQ1165" i="4"/>
  <c r="AR1162" i="4" l="1"/>
  <c r="AR1207" i="4"/>
  <c r="AR1225" i="4" s="1"/>
  <c r="AQ1481" i="4"/>
  <c r="AQ1302" i="4"/>
  <c r="AQ1303" i="4" s="1"/>
  <c r="AQ1324" i="4"/>
  <c r="AQ38" i="66"/>
  <c r="AQ88" i="11"/>
  <c r="AQ1424" i="4"/>
  <c r="S88" i="67"/>
  <c r="S24" i="13"/>
  <c r="AQ1215" i="4"/>
  <c r="AQ1271" i="4" l="1"/>
  <c r="AQ1281" i="4"/>
  <c r="S1525" i="4"/>
  <c r="S1529" i="4" s="1"/>
  <c r="S31" i="67"/>
  <c r="S30" i="67" s="1"/>
  <c r="AQ31" i="11"/>
  <c r="AQ1489" i="4"/>
  <c r="AQ1490" i="4" s="1"/>
  <c r="AQ1515" i="4"/>
  <c r="AR1212" i="4"/>
  <c r="AQ1505" i="4"/>
  <c r="AR1163" i="4"/>
  <c r="AQ1495" i="4" l="1"/>
  <c r="AQ1493" i="4"/>
  <c r="AQ30" i="11"/>
  <c r="AQ45" i="62"/>
  <c r="AR1213" i="4"/>
  <c r="AR1206" i="4"/>
  <c r="AR1224" i="4" s="1"/>
  <c r="AR1226" i="4" s="1"/>
  <c r="AR1202" i="4"/>
  <c r="AR1178" i="4"/>
  <c r="AR1492" i="4"/>
  <c r="AQ1274" i="4"/>
  <c r="AQ1275" i="4" s="1"/>
  <c r="AQ1265" i="4" s="1"/>
  <c r="AQ1252" i="4"/>
  <c r="AQ1496" i="4" l="1"/>
  <c r="AQ1257" i="4"/>
  <c r="AQ1261" i="4"/>
  <c r="AQ1268" i="4" s="1"/>
  <c r="AR50" i="11"/>
  <c r="AR49" i="11" s="1"/>
  <c r="AR1295" i="4"/>
  <c r="AR1122" i="4"/>
  <c r="AR37" i="66"/>
  <c r="AR1076" i="4"/>
  <c r="AR72" i="11"/>
  <c r="AR1326" i="4"/>
  <c r="AR297" i="4"/>
  <c r="AR305" i="4" s="1"/>
  <c r="AR330" i="4" s="1"/>
  <c r="AQ1266" i="4"/>
  <c r="AQ1264" i="4"/>
  <c r="AQ1253" i="4" s="1"/>
  <c r="AR1336" i="4"/>
  <c r="AR18" i="66"/>
  <c r="AR1310" i="4"/>
  <c r="AR87" i="11"/>
  <c r="AR1423" i="4"/>
  <c r="AR1189" i="4"/>
  <c r="AR1218" i="4" s="1"/>
  <c r="AR1179" i="4"/>
  <c r="AR1180" i="4"/>
  <c r="AR1169" i="4" l="1"/>
  <c r="AR1168" i="4"/>
  <c r="AR1181" i="4"/>
  <c r="AQ1327" i="4"/>
  <c r="AQ1272" i="4"/>
  <c r="AQ1276" i="4" s="1"/>
  <c r="AQ1254" i="4" s="1"/>
  <c r="AQ74" i="11"/>
  <c r="AQ78" i="11" s="1"/>
  <c r="AQ1304" i="4"/>
  <c r="S74" i="67"/>
  <c r="S78" i="67" s="1"/>
  <c r="AQ1386" i="4"/>
  <c r="AQ36" i="66"/>
  <c r="AR1219" i="4"/>
  <c r="AR294" i="4" s="1"/>
  <c r="AR1220" i="4"/>
  <c r="AR53" i="11" s="1"/>
  <c r="AR52" i="11" s="1"/>
  <c r="AR1074" i="4"/>
  <c r="AS457" i="4"/>
  <c r="AS479" i="4"/>
  <c r="AR478" i="4"/>
  <c r="AR480" i="4" s="1"/>
  <c r="AR481" i="4" s="1"/>
  <c r="AR482" i="4" s="1"/>
  <c r="AR483" i="4" s="1"/>
  <c r="AS477" i="4" s="1"/>
  <c r="AR456" i="4"/>
  <c r="AR458" i="4" s="1"/>
  <c r="AR459" i="4" s="1"/>
  <c r="AR467" i="4"/>
  <c r="AR469" i="4" s="1"/>
  <c r="AR470" i="4" s="1"/>
  <c r="AR471" i="4" s="1"/>
  <c r="AR472" i="4" s="1"/>
  <c r="AS466" i="4" s="1"/>
  <c r="AS468" i="4"/>
  <c r="AQ19" i="66"/>
  <c r="AQ17" i="66" s="1"/>
  <c r="AQ1309" i="4"/>
  <c r="AQ1338" i="4"/>
  <c r="AQ86" i="11"/>
  <c r="S86" i="67"/>
  <c r="AQ1480" i="4"/>
  <c r="AR1170" i="4" l="1"/>
  <c r="AR1188" i="4" s="1"/>
  <c r="S25" i="13"/>
  <c r="AQ1483" i="4"/>
  <c r="AS495" i="4"/>
  <c r="AS1072" i="4" s="1"/>
  <c r="AQ1421" i="4"/>
  <c r="AQ1385" i="4"/>
  <c r="AQ1388" i="4" s="1"/>
  <c r="AQ39" i="66"/>
  <c r="AQ35" i="66" s="1"/>
  <c r="AQ89" i="11"/>
  <c r="AQ1305" i="4"/>
  <c r="AQ1282" i="4" s="1"/>
  <c r="AQ1328" i="4"/>
  <c r="S89" i="67"/>
  <c r="AR299" i="4"/>
  <c r="AR302" i="4"/>
  <c r="AR1190" i="4"/>
  <c r="AR1221" i="4" s="1"/>
  <c r="AR1197" i="4"/>
  <c r="AR494" i="4"/>
  <c r="AR1071" i="4" s="1"/>
  <c r="AR460" i="4"/>
  <c r="AR461" i="4" s="1"/>
  <c r="AS455" i="4" s="1"/>
  <c r="AQ1255" i="4"/>
  <c r="AQ27" i="11" l="1"/>
  <c r="AR1250" i="4"/>
  <c r="S27" i="67"/>
  <c r="AQ1506" i="4"/>
  <c r="AQ1284" i="4"/>
  <c r="AQ1286" i="4" s="1"/>
  <c r="AR73" i="11"/>
  <c r="AR1121" i="4"/>
  <c r="AR1144" i="4" s="1"/>
  <c r="AR1325" i="4"/>
  <c r="AR1301" i="4"/>
  <c r="AQ1390" i="4"/>
  <c r="AQ1402" i="4"/>
  <c r="AR307" i="4"/>
  <c r="AR331" i="4"/>
  <c r="AQ1425" i="4"/>
  <c r="S13" i="13"/>
  <c r="AR332" i="4" l="1"/>
  <c r="AR14" i="11" s="1"/>
  <c r="AQ1440" i="4"/>
  <c r="AQ1441" i="4" s="1"/>
  <c r="AQ1442" i="4" s="1"/>
  <c r="S15" i="72"/>
  <c r="AQ1285" i="4"/>
  <c r="AQ58" i="11"/>
  <c r="AQ59" i="11" s="1"/>
  <c r="AQ28" i="11" s="1"/>
  <c r="AQ25" i="11" s="1"/>
  <c r="AQ1306" i="4"/>
  <c r="AQ1307" i="4" s="1"/>
  <c r="AQ1311" i="4" s="1"/>
  <c r="AR1290" i="4" s="1"/>
  <c r="AQ48" i="62"/>
  <c r="AQ24" i="62" s="1"/>
  <c r="AQ26" i="62" s="1"/>
  <c r="AQ90" i="11"/>
  <c r="AQ91" i="11" s="1"/>
  <c r="AQ93" i="11" s="1"/>
  <c r="AQ96" i="11" s="1"/>
  <c r="AQ97" i="11" s="1"/>
  <c r="AQ1329" i="4"/>
  <c r="S58" i="67"/>
  <c r="S59" i="67" s="1"/>
  <c r="S90" i="67"/>
  <c r="S91" i="67" s="1"/>
  <c r="S93" i="67" s="1"/>
  <c r="S96" i="67" s="1"/>
  <c r="S97" i="67" s="1"/>
  <c r="AQ22" i="66"/>
  <c r="AQ1507" i="4"/>
  <c r="AQ1508" i="4" s="1"/>
  <c r="AQ1509" i="4"/>
  <c r="AR385" i="4"/>
  <c r="AR395" i="4"/>
  <c r="AR396" i="4" s="1"/>
  <c r="AR397" i="4" s="1"/>
  <c r="AR398" i="4" s="1"/>
  <c r="AR399" i="4" s="1"/>
  <c r="AS394" i="4" s="1"/>
  <c r="AR405" i="4"/>
  <c r="AR406" i="4" s="1"/>
  <c r="AR407" i="4" s="1"/>
  <c r="AR408" i="4" s="1"/>
  <c r="AR409" i="4" s="1"/>
  <c r="AS404" i="4" s="1"/>
  <c r="AQ1403" i="4"/>
  <c r="AQ1404" i="4" s="1"/>
  <c r="AR1235" i="4"/>
  <c r="AR1251" i="4" s="1"/>
  <c r="AR1145" i="4"/>
  <c r="AR1234" i="4"/>
  <c r="AQ1475" i="4" l="1"/>
  <c r="AQ1470" i="4" s="1"/>
  <c r="AQ1474" i="4"/>
  <c r="AQ1469" i="4" s="1"/>
  <c r="AQ37" i="11"/>
  <c r="T95" i="67"/>
  <c r="AR500" i="4"/>
  <c r="AR489" i="4"/>
  <c r="AR386" i="4"/>
  <c r="AR387" i="4" s="1"/>
  <c r="AQ24" i="66"/>
  <c r="AQ20" i="66" s="1"/>
  <c r="AQ26" i="66" s="1"/>
  <c r="S1527" i="4"/>
  <c r="S1534" i="4" s="1"/>
  <c r="AQ46" i="62"/>
  <c r="AQ1340" i="4"/>
  <c r="AQ1341" i="4" s="1"/>
  <c r="AQ100" i="11"/>
  <c r="AQ1330" i="4"/>
  <c r="AQ1331" i="4" s="1"/>
  <c r="AQ21" i="11"/>
  <c r="AQ17" i="11" s="1"/>
  <c r="AQ101" i="11"/>
  <c r="S21" i="67"/>
  <c r="S17" i="67" s="1"/>
  <c r="S23" i="67" s="1"/>
  <c r="AQ100" i="67"/>
  <c r="AQ101" i="67"/>
  <c r="AQ44" i="66"/>
  <c r="AQ40" i="66" s="1"/>
  <c r="AQ46" i="66" s="1"/>
  <c r="AR95" i="11"/>
  <c r="AQ1462" i="4"/>
  <c r="AQ1461" i="4" s="1"/>
  <c r="AR1241" i="4"/>
  <c r="AR1236" i="4"/>
  <c r="AR1128" i="4"/>
  <c r="S28" i="67"/>
  <c r="S25" i="67" s="1"/>
  <c r="S37" i="67" s="1"/>
  <c r="AQ48" i="66" l="1"/>
  <c r="AQ99" i="11"/>
  <c r="S39" i="67"/>
  <c r="S40" i="67" s="1"/>
  <c r="S99" i="67"/>
  <c r="AQ1463" i="4"/>
  <c r="AQ1460" i="4" s="1"/>
  <c r="AQ23" i="11"/>
  <c r="AR1308" i="4"/>
  <c r="AR1337" i="4"/>
  <c r="AR42" i="62"/>
  <c r="AR1244" i="4"/>
  <c r="AR1245" i="4" s="1"/>
  <c r="AR85" i="11"/>
  <c r="AQ1343" i="4"/>
  <c r="AR501" i="4"/>
  <c r="AR502" i="4" s="1"/>
  <c r="AR388" i="4"/>
  <c r="AR389" i="4" s="1"/>
  <c r="AS384" i="4" s="1"/>
  <c r="AR490" i="4"/>
  <c r="AR1101" i="4" l="1"/>
  <c r="AR1103" i="4" s="1"/>
  <c r="AR1104" i="4" s="1"/>
  <c r="AR1105" i="4" s="1"/>
  <c r="AS499" i="4"/>
  <c r="AQ1516" i="4"/>
  <c r="AQ1517" i="4" s="1"/>
  <c r="AQ1473" i="4"/>
  <c r="AQ1468" i="4" s="1"/>
  <c r="AQ39" i="11"/>
  <c r="AQ40" i="11" s="1"/>
  <c r="AS1240" i="4"/>
  <c r="AR26" i="11"/>
  <c r="AR52" i="62"/>
  <c r="AR43" i="62"/>
  <c r="AR23" i="62" s="1"/>
  <c r="AR16" i="66" s="1"/>
  <c r="AR14" i="66" s="1"/>
  <c r="AR13" i="66" s="1"/>
  <c r="AR64" i="62"/>
  <c r="AR51" i="11"/>
  <c r="AR491" i="4"/>
  <c r="AR15" i="11" l="1"/>
  <c r="AR13" i="11" s="1"/>
  <c r="AS488" i="4"/>
  <c r="AS1100" i="4"/>
  <c r="AR984" i="4"/>
  <c r="AR988" i="4" s="1"/>
  <c r="AR62" i="64"/>
  <c r="AR70" i="64" l="1"/>
  <c r="AR78" i="64"/>
  <c r="AR1320" i="4"/>
  <c r="AR71" i="11"/>
  <c r="AR1294" i="4"/>
  <c r="AR1298" i="4" s="1"/>
  <c r="AR1120" i="4"/>
  <c r="AR992" i="4"/>
  <c r="AR47" i="11" l="1"/>
  <c r="AR1073" i="4"/>
  <c r="AR1077" i="4" s="1"/>
  <c r="AR1081" i="4" s="1"/>
  <c r="AR1089" i="4" l="1"/>
  <c r="AR1082" i="4"/>
  <c r="AR1093" i="4" s="1"/>
  <c r="AR1090" i="4" s="1"/>
  <c r="AR1083" i="4" s="1"/>
  <c r="AR1084" i="4" s="1"/>
  <c r="AR62" i="11"/>
  <c r="AR61" i="11"/>
  <c r="AR48" i="11"/>
  <c r="AR55" i="11" s="1"/>
  <c r="AR63" i="11" l="1"/>
  <c r="AR64" i="11"/>
  <c r="AR62" i="62"/>
  <c r="AR1472" i="4"/>
  <c r="AR1299" i="4"/>
  <c r="AR1300" i="4" s="1"/>
  <c r="AR56" i="11"/>
  <c r="AR57" i="11" s="1"/>
  <c r="AR1323" i="4"/>
  <c r="AR61" i="64"/>
  <c r="AR1123" i="4"/>
  <c r="AR1130" i="4" s="1"/>
  <c r="AR1132" i="4" s="1"/>
  <c r="AR1135" i="4" s="1"/>
  <c r="AR75" i="11"/>
  <c r="AR1091" i="4"/>
  <c r="AS1088" i="4" s="1"/>
  <c r="AR1471" i="4" l="1"/>
  <c r="AR1283" i="4"/>
  <c r="AR1313" i="4"/>
  <c r="AR63" i="62"/>
  <c r="AR67" i="62" s="1"/>
  <c r="AR77" i="64"/>
  <c r="AR82" i="64" s="1"/>
  <c r="AR69" i="64"/>
  <c r="AR74" i="64" s="1"/>
  <c r="AR66" i="64"/>
  <c r="AR40" i="64" s="1"/>
  <c r="AR42" i="64" s="1"/>
  <c r="AR68" i="62" l="1"/>
  <c r="AR1193" i="4"/>
  <c r="AR1194" i="4" s="1"/>
  <c r="AR1196" i="4" s="1"/>
  <c r="AR1198" i="4" s="1"/>
  <c r="AR1164" i="4" s="1"/>
  <c r="AR52" i="64"/>
  <c r="AR49" i="64"/>
  <c r="AR1214" i="4" l="1"/>
  <c r="AR1165" i="4"/>
  <c r="AS1162" i="4" l="1"/>
  <c r="AS1207" i="4"/>
  <c r="AS1225" i="4" s="1"/>
  <c r="AR38" i="66"/>
  <c r="AR1324" i="4"/>
  <c r="AR1481" i="4"/>
  <c r="AR88" i="11"/>
  <c r="AR1302" i="4"/>
  <c r="AR1303" i="4" s="1"/>
  <c r="AR1424" i="4"/>
  <c r="AR1215" i="4"/>
  <c r="AR1281" i="4" l="1"/>
  <c r="AR1271" i="4"/>
  <c r="AR31" i="11"/>
  <c r="AR1489" i="4"/>
  <c r="AR1490" i="4" s="1"/>
  <c r="AS1212" i="4"/>
  <c r="AR1505" i="4"/>
  <c r="AR1515" i="4"/>
  <c r="AS1163" i="4"/>
  <c r="AS1492" i="4" l="1"/>
  <c r="AR1495" i="4"/>
  <c r="AR1493" i="4"/>
  <c r="AR45" i="62"/>
  <c r="AR30" i="11"/>
  <c r="AR1274" i="4"/>
  <c r="AR1275" i="4" s="1"/>
  <c r="AR1265" i="4" s="1"/>
  <c r="AR1252" i="4"/>
  <c r="AS1206" i="4"/>
  <c r="AS1224" i="4" s="1"/>
  <c r="AS1226" i="4" s="1"/>
  <c r="AS1213" i="4"/>
  <c r="AS1202" i="4"/>
  <c r="AS1178" i="4"/>
  <c r="AR1496" i="4" l="1"/>
  <c r="AS18" i="66"/>
  <c r="AS87" i="11"/>
  <c r="AS1310" i="4"/>
  <c r="AS1336" i="4"/>
  <c r="AS1423" i="4"/>
  <c r="AS1076" i="4"/>
  <c r="AS72" i="11"/>
  <c r="AS1122" i="4"/>
  <c r="AS37" i="66"/>
  <c r="AS1326" i="4"/>
  <c r="AS297" i="4"/>
  <c r="AS305" i="4" s="1"/>
  <c r="AS330" i="4" s="1"/>
  <c r="AS1295" i="4"/>
  <c r="AS50" i="11"/>
  <c r="AS49" i="11" s="1"/>
  <c r="AR1257" i="4"/>
  <c r="AR1261" i="4"/>
  <c r="AR1268" i="4" s="1"/>
  <c r="AS1189" i="4"/>
  <c r="AS1218" i="4" s="1"/>
  <c r="AS1179" i="4"/>
  <c r="AS1180" i="4"/>
  <c r="AR1266" i="4"/>
  <c r="AR1264" i="4"/>
  <c r="AR1253" i="4" s="1"/>
  <c r="AS456" i="4" l="1"/>
  <c r="AS458" i="4" s="1"/>
  <c r="AS459" i="4" s="1"/>
  <c r="AS478" i="4"/>
  <c r="AS480" i="4" s="1"/>
  <c r="AS481" i="4" s="1"/>
  <c r="AS482" i="4" s="1"/>
  <c r="AS483" i="4" s="1"/>
  <c r="AT477" i="4" s="1"/>
  <c r="AT479" i="4"/>
  <c r="AT457" i="4"/>
  <c r="AT468" i="4"/>
  <c r="AS467" i="4"/>
  <c r="AS469" i="4" s="1"/>
  <c r="AS470" i="4" s="1"/>
  <c r="AS471" i="4" s="1"/>
  <c r="AS472" i="4" s="1"/>
  <c r="AT466" i="4" s="1"/>
  <c r="AS1181" i="4"/>
  <c r="AS1220" i="4"/>
  <c r="AS53" i="11" s="1"/>
  <c r="AS52" i="11" s="1"/>
  <c r="AS1219" i="4"/>
  <c r="AS294" i="4" s="1"/>
  <c r="AS1074" i="4"/>
  <c r="AR1272" i="4"/>
  <c r="AR1276" i="4" s="1"/>
  <c r="AR1254" i="4" s="1"/>
  <c r="AR1327" i="4"/>
  <c r="AR1304" i="4"/>
  <c r="AR74" i="11"/>
  <c r="AR78" i="11" s="1"/>
  <c r="AR36" i="66"/>
  <c r="AR1386" i="4"/>
  <c r="AS1168" i="4"/>
  <c r="AS1169" i="4"/>
  <c r="AR1338" i="4"/>
  <c r="AR1309" i="4"/>
  <c r="AR86" i="11"/>
  <c r="AR19" i="66"/>
  <c r="AR17" i="66" s="1"/>
  <c r="AR1480" i="4"/>
  <c r="AR1328" i="4" l="1"/>
  <c r="AR1305" i="4"/>
  <c r="AR1282" i="4" s="1"/>
  <c r="AR39" i="66"/>
  <c r="AR35" i="66" s="1"/>
  <c r="AR89" i="11"/>
  <c r="AR1255" i="4"/>
  <c r="AS1170" i="4"/>
  <c r="AS1188" i="4" s="1"/>
  <c r="AR1483" i="4"/>
  <c r="AS299" i="4"/>
  <c r="AS302" i="4"/>
  <c r="AT495" i="4"/>
  <c r="AT1072" i="4" s="1"/>
  <c r="AS1197" i="4"/>
  <c r="AS1190" i="4"/>
  <c r="AS1221" i="4" s="1"/>
  <c r="AR1385" i="4"/>
  <c r="AR1388" i="4" s="1"/>
  <c r="AR1421" i="4"/>
  <c r="AS460" i="4"/>
  <c r="AS461" i="4" s="1"/>
  <c r="AT455" i="4" s="1"/>
  <c r="AS494" i="4"/>
  <c r="AS1071" i="4" s="1"/>
  <c r="AR1425" i="4" l="1"/>
  <c r="AR1390" i="4"/>
  <c r="AR1402" i="4"/>
  <c r="AS1325" i="4"/>
  <c r="AS1301" i="4"/>
  <c r="AS1121" i="4"/>
  <c r="AS1144" i="4" s="1"/>
  <c r="AS73" i="11"/>
  <c r="AR27" i="11"/>
  <c r="AS1250" i="4"/>
  <c r="AR1506" i="4"/>
  <c r="AS307" i="4"/>
  <c r="AS331" i="4"/>
  <c r="AR1284" i="4"/>
  <c r="AR1286" i="4" s="1"/>
  <c r="AR1440" i="4" l="1"/>
  <c r="AR1441" i="4" s="1"/>
  <c r="AR1442" i="4" s="1"/>
  <c r="AS332" i="4"/>
  <c r="AS14" i="11" s="1"/>
  <c r="AR1285" i="4"/>
  <c r="AR1306" i="4"/>
  <c r="AR1307" i="4" s="1"/>
  <c r="AR1311" i="4" s="1"/>
  <c r="AS1290" i="4" s="1"/>
  <c r="AR48" i="62"/>
  <c r="AR24" i="62" s="1"/>
  <c r="AR26" i="62" s="1"/>
  <c r="AR1329" i="4"/>
  <c r="AR90" i="11"/>
  <c r="AR91" i="11" s="1"/>
  <c r="AR93" i="11" s="1"/>
  <c r="AR96" i="11" s="1"/>
  <c r="AR97" i="11" s="1"/>
  <c r="AR58" i="11"/>
  <c r="AR59" i="11" s="1"/>
  <c r="AR28" i="11" s="1"/>
  <c r="AR22" i="66"/>
  <c r="AR1403" i="4"/>
  <c r="AR1404" i="4" s="1"/>
  <c r="AR1507" i="4"/>
  <c r="AR1508" i="4" s="1"/>
  <c r="AR1509" i="4"/>
  <c r="AS385" i="4"/>
  <c r="AS405" i="4"/>
  <c r="AS406" i="4" s="1"/>
  <c r="AS407" i="4" s="1"/>
  <c r="AS408" i="4" s="1"/>
  <c r="AS409" i="4" s="1"/>
  <c r="AT404" i="4" s="1"/>
  <c r="AS395" i="4"/>
  <c r="AS396" i="4" s="1"/>
  <c r="AS397" i="4" s="1"/>
  <c r="AS398" i="4" s="1"/>
  <c r="AS399" i="4" s="1"/>
  <c r="AT394" i="4" s="1"/>
  <c r="AS1235" i="4"/>
  <c r="AS1251" i="4" s="1"/>
  <c r="AS1145" i="4"/>
  <c r="AS1234" i="4"/>
  <c r="AR1330" i="4" l="1"/>
  <c r="AR1331" i="4" s="1"/>
  <c r="AR100" i="11"/>
  <c r="AR46" i="62"/>
  <c r="AR101" i="11"/>
  <c r="AR1340" i="4"/>
  <c r="AR1341" i="4" s="1"/>
  <c r="AR1462" i="4"/>
  <c r="AR1461" i="4" s="1"/>
  <c r="AR100" i="67"/>
  <c r="AR21" i="11"/>
  <c r="AR17" i="11" s="1"/>
  <c r="AR24" i="66"/>
  <c r="AR20" i="66" s="1"/>
  <c r="AR26" i="66" s="1"/>
  <c r="AR44" i="66"/>
  <c r="AR40" i="66" s="1"/>
  <c r="AR46" i="66" s="1"/>
  <c r="AR101" i="67"/>
  <c r="AS95" i="11"/>
  <c r="AS386" i="4"/>
  <c r="AS387" i="4" s="1"/>
  <c r="AS489" i="4"/>
  <c r="AS500" i="4"/>
  <c r="AS1236" i="4"/>
  <c r="AS1241" i="4"/>
  <c r="AS1128" i="4"/>
  <c r="AR25" i="11"/>
  <c r="AR48" i="66" l="1"/>
  <c r="AS501" i="4"/>
  <c r="AS502" i="4" s="1"/>
  <c r="AS490" i="4"/>
  <c r="AS388" i="4"/>
  <c r="AS389" i="4" s="1"/>
  <c r="AT384" i="4" s="1"/>
  <c r="AR37" i="11"/>
  <c r="AR1474" i="4"/>
  <c r="AR1469" i="4" s="1"/>
  <c r="AR1475" i="4"/>
  <c r="AR1470" i="4" s="1"/>
  <c r="AR99" i="11"/>
  <c r="AR1463" i="4"/>
  <c r="AR1460" i="4" s="1"/>
  <c r="AR23" i="11"/>
  <c r="AR1343" i="4"/>
  <c r="AS1337" i="4"/>
  <c r="AS1244" i="4"/>
  <c r="AS1245" i="4" s="1"/>
  <c r="AS42" i="62"/>
  <c r="AS85" i="11"/>
  <c r="AS1308" i="4"/>
  <c r="AR39" i="11" l="1"/>
  <c r="AR40" i="11" s="1"/>
  <c r="AS52" i="62"/>
  <c r="AS43" i="62"/>
  <c r="AS23" i="62" s="1"/>
  <c r="AS16" i="66" s="1"/>
  <c r="AS14" i="66" s="1"/>
  <c r="AS13" i="66" s="1"/>
  <c r="AS26" i="11"/>
  <c r="AT1240" i="4"/>
  <c r="AS1101" i="4"/>
  <c r="AS1103" i="4" s="1"/>
  <c r="AS1104" i="4" s="1"/>
  <c r="AS1105" i="4" s="1"/>
  <c r="AT499" i="4"/>
  <c r="AS51" i="11"/>
  <c r="AS64" i="62"/>
  <c r="AR1516" i="4"/>
  <c r="AR1517" i="4" s="1"/>
  <c r="AR1473" i="4"/>
  <c r="AR1468" i="4" s="1"/>
  <c r="AS491" i="4"/>
  <c r="AT1100" i="4" l="1"/>
  <c r="AS984" i="4"/>
  <c r="AS988" i="4" s="1"/>
  <c r="AS62" i="64"/>
  <c r="AS15" i="11"/>
  <c r="AS13" i="11" s="1"/>
  <c r="AT488" i="4"/>
  <c r="AS78" i="64" l="1"/>
  <c r="AS70" i="64"/>
  <c r="AS1320" i="4"/>
  <c r="AS992" i="4"/>
  <c r="AS71" i="11"/>
  <c r="AS1120" i="4"/>
  <c r="AS1294" i="4"/>
  <c r="AS1298" i="4" s="1"/>
  <c r="AS47" i="11" l="1"/>
  <c r="AS1073" i="4"/>
  <c r="AS1077" i="4" s="1"/>
  <c r="AS1081" i="4" s="1"/>
  <c r="AS1089" i="4" l="1"/>
  <c r="AS1082" i="4"/>
  <c r="AS62" i="11"/>
  <c r="AS61" i="11"/>
  <c r="AS48" i="11"/>
  <c r="AS55" i="11" s="1"/>
  <c r="AS63" i="11" l="1"/>
  <c r="AS64" i="11"/>
  <c r="AS1472" i="4"/>
  <c r="AS62" i="62"/>
  <c r="AS1093" i="4"/>
  <c r="AS1090" i="4" s="1"/>
  <c r="AS1083" i="4" s="1"/>
  <c r="AS1084" i="4" s="1"/>
  <c r="AS1123" i="4" l="1"/>
  <c r="AS1130" i="4" s="1"/>
  <c r="AS1132" i="4" s="1"/>
  <c r="AS1135" i="4" s="1"/>
  <c r="AS56" i="11"/>
  <c r="AS57" i="11" s="1"/>
  <c r="AS75" i="11"/>
  <c r="AS1299" i="4"/>
  <c r="AS1300" i="4" s="1"/>
  <c r="AS61" i="64"/>
  <c r="AS1323" i="4"/>
  <c r="AS1091" i="4"/>
  <c r="AT1088" i="4" s="1"/>
  <c r="AS63" i="62"/>
  <c r="AS67" i="62" s="1"/>
  <c r="AS68" i="62" l="1"/>
  <c r="AS77" i="64"/>
  <c r="AS82" i="64" s="1"/>
  <c r="AS69" i="64"/>
  <c r="AS74" i="64" s="1"/>
  <c r="AS66" i="64"/>
  <c r="AS40" i="64" s="1"/>
  <c r="AS42" i="64" s="1"/>
  <c r="AS1313" i="4"/>
  <c r="AS1471" i="4"/>
  <c r="AS1283" i="4"/>
  <c r="AS1193" i="4" l="1"/>
  <c r="AS1194" i="4" s="1"/>
  <c r="AS1196" i="4" s="1"/>
  <c r="AS1198" i="4" s="1"/>
  <c r="AS1164" i="4" s="1"/>
  <c r="AS52" i="64"/>
  <c r="AS49" i="64"/>
  <c r="AS1214" i="4" l="1"/>
  <c r="AS1165" i="4"/>
  <c r="AT1162" i="4" l="1"/>
  <c r="AT1207" i="4"/>
  <c r="AT1225" i="4" s="1"/>
  <c r="AS88" i="11"/>
  <c r="AS1324" i="4"/>
  <c r="AS38" i="66"/>
  <c r="AS1481" i="4"/>
  <c r="AS1302" i="4"/>
  <c r="AS1303" i="4" s="1"/>
  <c r="AS1424" i="4"/>
  <c r="AS1215" i="4"/>
  <c r="AS1271" i="4" l="1"/>
  <c r="AS1281" i="4"/>
  <c r="AS31" i="11"/>
  <c r="AS1515" i="4"/>
  <c r="AS1489" i="4"/>
  <c r="AS1490" i="4" s="1"/>
  <c r="AS1505" i="4"/>
  <c r="AT1212" i="4"/>
  <c r="AT1163" i="4"/>
  <c r="AT1492" i="4" l="1"/>
  <c r="AS1495" i="4"/>
  <c r="AS1493" i="4"/>
  <c r="AS45" i="62"/>
  <c r="AS30" i="11"/>
  <c r="AT1206" i="4"/>
  <c r="AT1224" i="4" s="1"/>
  <c r="AT1226" i="4" s="1"/>
  <c r="AT1213" i="4"/>
  <c r="AT1202" i="4"/>
  <c r="AT1178" i="4"/>
  <c r="AS1274" i="4"/>
  <c r="AS1275" i="4" s="1"/>
  <c r="AS1265" i="4" s="1"/>
  <c r="AS1252" i="4"/>
  <c r="AS1496" i="4" l="1"/>
  <c r="AS1264" i="4"/>
  <c r="AS1253" i="4" s="1"/>
  <c r="AS1266" i="4"/>
  <c r="AT1180" i="4"/>
  <c r="AT1179" i="4"/>
  <c r="AT1189" i="4"/>
  <c r="AT1218" i="4" s="1"/>
  <c r="AS1261" i="4"/>
  <c r="AS1268" i="4" s="1"/>
  <c r="AS1257" i="4"/>
  <c r="AT1310" i="4"/>
  <c r="AT87" i="11"/>
  <c r="AT18" i="66"/>
  <c r="AT1336" i="4"/>
  <c r="AT1423" i="4"/>
  <c r="AT50" i="11"/>
  <c r="AT49" i="11" s="1"/>
  <c r="AT297" i="4"/>
  <c r="AT305" i="4" s="1"/>
  <c r="AT330" i="4" s="1"/>
  <c r="AT1122" i="4"/>
  <c r="AT1295" i="4"/>
  <c r="AT72" i="11"/>
  <c r="AT1326" i="4"/>
  <c r="AT37" i="66"/>
  <c r="AT1076" i="4"/>
  <c r="AT1181" i="4" l="1"/>
  <c r="AT1190" i="4" s="1"/>
  <c r="AT1221" i="4" s="1"/>
  <c r="AS19" i="66"/>
  <c r="AS17" i="66" s="1"/>
  <c r="AS1338" i="4"/>
  <c r="AS86" i="11"/>
  <c r="AS1309" i="4"/>
  <c r="AS1480" i="4"/>
  <c r="AT1219" i="4"/>
  <c r="AT294" i="4" s="1"/>
  <c r="AT1220" i="4"/>
  <c r="AT53" i="11" s="1"/>
  <c r="AT52" i="11" s="1"/>
  <c r="AT1074" i="4"/>
  <c r="AT1168" i="4"/>
  <c r="AT1169" i="4"/>
  <c r="AS74" i="11"/>
  <c r="AS78" i="11" s="1"/>
  <c r="AS1272" i="4"/>
  <c r="AS1276" i="4" s="1"/>
  <c r="AS1254" i="4" s="1"/>
  <c r="AS1304" i="4"/>
  <c r="AS1327" i="4"/>
  <c r="AS36" i="66"/>
  <c r="AS1386" i="4"/>
  <c r="AT456" i="4"/>
  <c r="AT458" i="4" s="1"/>
  <c r="AT459" i="4" s="1"/>
  <c r="AU457" i="4"/>
  <c r="AU479" i="4"/>
  <c r="AU468" i="4"/>
  <c r="AT467" i="4"/>
  <c r="AT469" i="4" s="1"/>
  <c r="AT470" i="4" s="1"/>
  <c r="AT471" i="4" s="1"/>
  <c r="AT472" i="4" s="1"/>
  <c r="AU466" i="4" s="1"/>
  <c r="AT478" i="4"/>
  <c r="AT480" i="4" s="1"/>
  <c r="AT481" i="4" s="1"/>
  <c r="AT482" i="4" s="1"/>
  <c r="AT483" i="4" s="1"/>
  <c r="AU477" i="4" s="1"/>
  <c r="AT1197" i="4" l="1"/>
  <c r="AT1170" i="4"/>
  <c r="AT1188" i="4" s="1"/>
  <c r="AU495" i="4"/>
  <c r="AU1072" i="4" s="1"/>
  <c r="AS1328" i="4"/>
  <c r="AS89" i="11"/>
  <c r="AS39" i="66"/>
  <c r="AS35" i="66" s="1"/>
  <c r="AS1305" i="4"/>
  <c r="AS1282" i="4" s="1"/>
  <c r="AS1255" i="4"/>
  <c r="AT299" i="4"/>
  <c r="AT302" i="4"/>
  <c r="AS1385" i="4"/>
  <c r="AS1388" i="4" s="1"/>
  <c r="AS1421" i="4"/>
  <c r="AT494" i="4"/>
  <c r="AT1071" i="4" s="1"/>
  <c r="AT460" i="4"/>
  <c r="AT461" i="4" s="1"/>
  <c r="AU455" i="4" s="1"/>
  <c r="AS1483" i="4"/>
  <c r="AT1301" i="4"/>
  <c r="AT73" i="11"/>
  <c r="AT1325" i="4"/>
  <c r="AT1121" i="4"/>
  <c r="AT1144" i="4" s="1"/>
  <c r="AT307" i="4" l="1"/>
  <c r="AT331" i="4"/>
  <c r="AT1250" i="4"/>
  <c r="AS27" i="11"/>
  <c r="AS1506" i="4"/>
  <c r="AS1284" i="4"/>
  <c r="AS1286" i="4" s="1"/>
  <c r="AS1425" i="4"/>
  <c r="AT1234" i="4"/>
  <c r="AT1235" i="4"/>
  <c r="AT1251" i="4" s="1"/>
  <c r="AT1145" i="4"/>
  <c r="AS1390" i="4"/>
  <c r="AS1402" i="4"/>
  <c r="AS1440" i="4" l="1"/>
  <c r="AS1441" i="4" s="1"/>
  <c r="AS1442" i="4" s="1"/>
  <c r="AT332" i="4"/>
  <c r="AT14" i="11" s="1"/>
  <c r="AS1285" i="4"/>
  <c r="AS1329" i="4"/>
  <c r="AS1306" i="4"/>
  <c r="AS1307" i="4" s="1"/>
  <c r="AS1311" i="4" s="1"/>
  <c r="AT1290" i="4" s="1"/>
  <c r="AS58" i="11"/>
  <c r="AS59" i="11" s="1"/>
  <c r="AS28" i="11" s="1"/>
  <c r="AS48" i="62"/>
  <c r="AS24" i="62" s="1"/>
  <c r="AS26" i="62" s="1"/>
  <c r="AS90" i="11"/>
  <c r="AS91" i="11" s="1"/>
  <c r="AS93" i="11" s="1"/>
  <c r="AS96" i="11" s="1"/>
  <c r="AS97" i="11" s="1"/>
  <c r="AS22" i="66"/>
  <c r="AS1403" i="4"/>
  <c r="AS1404" i="4" s="1"/>
  <c r="AT1241" i="4"/>
  <c r="AT1236" i="4"/>
  <c r="AS1507" i="4"/>
  <c r="AS1508" i="4" s="1"/>
  <c r="AS1509" i="4"/>
  <c r="AT395" i="4"/>
  <c r="AT396" i="4" s="1"/>
  <c r="AT397" i="4" s="1"/>
  <c r="AT398" i="4" s="1"/>
  <c r="AT399" i="4" s="1"/>
  <c r="AU394" i="4" s="1"/>
  <c r="AT405" i="4"/>
  <c r="AT406" i="4" s="1"/>
  <c r="AT407" i="4" s="1"/>
  <c r="AT408" i="4" s="1"/>
  <c r="AT409" i="4" s="1"/>
  <c r="AU404" i="4" s="1"/>
  <c r="AT385" i="4"/>
  <c r="AS100" i="67" l="1"/>
  <c r="AS44" i="66"/>
  <c r="AS40" i="66" s="1"/>
  <c r="AS46" i="66" s="1"/>
  <c r="AS21" i="11"/>
  <c r="AS17" i="11" s="1"/>
  <c r="AS1330" i="4"/>
  <c r="AS1331" i="4" s="1"/>
  <c r="AS101" i="67"/>
  <c r="AT95" i="11"/>
  <c r="AS24" i="66"/>
  <c r="AS20" i="66" s="1"/>
  <c r="AS26" i="66" s="1"/>
  <c r="AS101" i="11"/>
  <c r="AS100" i="11"/>
  <c r="AS1340" i="4"/>
  <c r="AS1341" i="4" s="1"/>
  <c r="AS1462" i="4"/>
  <c r="AS1461" i="4" s="1"/>
  <c r="AS46" i="62"/>
  <c r="AS25" i="11"/>
  <c r="AT1128" i="4"/>
  <c r="AT489" i="4"/>
  <c r="AT500" i="4"/>
  <c r="AT386" i="4"/>
  <c r="AT387" i="4" s="1"/>
  <c r="AT42" i="62"/>
  <c r="AT1244" i="4"/>
  <c r="AT1245" i="4" s="1"/>
  <c r="AT85" i="11"/>
  <c r="AT1308" i="4"/>
  <c r="AT1337" i="4"/>
  <c r="AT501" i="4" l="1"/>
  <c r="AT502" i="4" s="1"/>
  <c r="AT388" i="4"/>
  <c r="AT389" i="4" s="1"/>
  <c r="AU384" i="4" s="1"/>
  <c r="AT490" i="4"/>
  <c r="AT491" i="4" s="1"/>
  <c r="AS1475" i="4"/>
  <c r="AS1470" i="4" s="1"/>
  <c r="AS1474" i="4"/>
  <c r="AS1469" i="4" s="1"/>
  <c r="AS37" i="11"/>
  <c r="AT26" i="11"/>
  <c r="AU1240" i="4"/>
  <c r="AT52" i="62"/>
  <c r="AT43" i="62"/>
  <c r="AT23" i="62" s="1"/>
  <c r="AT16" i="66" s="1"/>
  <c r="AT14" i="66" s="1"/>
  <c r="AT13" i="66" s="1"/>
  <c r="AS1343" i="4"/>
  <c r="AS1463" i="4"/>
  <c r="AS1460" i="4" s="1"/>
  <c r="AS23" i="11"/>
  <c r="AS48" i="66"/>
  <c r="AS99" i="11"/>
  <c r="AU499" i="4" l="1"/>
  <c r="AT1101" i="4"/>
  <c r="AT1103" i="4" s="1"/>
  <c r="AT1104" i="4" s="1"/>
  <c r="AT1105" i="4" s="1"/>
  <c r="AS1516" i="4"/>
  <c r="AS1517" i="4" s="1"/>
  <c r="AS1473" i="4"/>
  <c r="AS1468" i="4" s="1"/>
  <c r="AS39" i="11"/>
  <c r="AS40" i="11" s="1"/>
  <c r="AT64" i="62"/>
  <c r="AT51" i="11"/>
  <c r="AU488" i="4"/>
  <c r="AT15" i="11"/>
  <c r="AT13" i="11" s="1"/>
  <c r="AT984" i="4" l="1"/>
  <c r="AT988" i="4" s="1"/>
  <c r="AT62" i="64"/>
  <c r="AU1100" i="4"/>
  <c r="AT78" i="64" l="1"/>
  <c r="AT70" i="64"/>
  <c r="AT71" i="11"/>
  <c r="AT1120" i="4"/>
  <c r="AT992" i="4"/>
  <c r="AT1294" i="4"/>
  <c r="AT1298" i="4" s="1"/>
  <c r="AT1320" i="4"/>
  <c r="AT1073" i="4" l="1"/>
  <c r="AT1077" i="4" s="1"/>
  <c r="AT1081" i="4" s="1"/>
  <c r="AT47" i="11"/>
  <c r="AT62" i="11" l="1"/>
  <c r="AT61" i="11"/>
  <c r="AT48" i="11"/>
  <c r="AT55" i="11" s="1"/>
  <c r="AT1082" i="4"/>
  <c r="AT1093" i="4" s="1"/>
  <c r="AT1090" i="4" s="1"/>
  <c r="AT1083" i="4" s="1"/>
  <c r="AT1084" i="4" s="1"/>
  <c r="AT1089" i="4"/>
  <c r="AT1091" i="4" l="1"/>
  <c r="AU1088" i="4" s="1"/>
  <c r="AT1123" i="4"/>
  <c r="AT1130" i="4" s="1"/>
  <c r="AT1132" i="4" s="1"/>
  <c r="AT1135" i="4" s="1"/>
  <c r="AT75" i="11"/>
  <c r="AT56" i="11"/>
  <c r="AT57" i="11" s="1"/>
  <c r="AT1323" i="4"/>
  <c r="AT1299" i="4"/>
  <c r="AT1300" i="4" s="1"/>
  <c r="AT61" i="64"/>
  <c r="AT63" i="11"/>
  <c r="AT1472" i="4"/>
  <c r="AT64" i="11"/>
  <c r="AT62" i="62"/>
  <c r="AT69" i="64" l="1"/>
  <c r="AT74" i="64" s="1"/>
  <c r="AT77" i="64"/>
  <c r="AT82" i="64" s="1"/>
  <c r="AT66" i="64"/>
  <c r="AT40" i="64" s="1"/>
  <c r="AT42" i="64" s="1"/>
  <c r="AT1313" i="4"/>
  <c r="AT1471" i="4"/>
  <c r="AT1283" i="4"/>
  <c r="AT63" i="62"/>
  <c r="AT67" i="62" s="1"/>
  <c r="AT68" i="62" l="1"/>
  <c r="AT1193" i="4"/>
  <c r="AT1194" i="4" s="1"/>
  <c r="AT1196" i="4" s="1"/>
  <c r="AT1198" i="4" s="1"/>
  <c r="AT1164" i="4" s="1"/>
  <c r="AT52" i="64"/>
  <c r="AT49" i="64"/>
  <c r="AT1214" i="4" l="1"/>
  <c r="AT1165" i="4"/>
  <c r="AU1162" i="4" l="1"/>
  <c r="AU1207" i="4"/>
  <c r="AU1225" i="4" s="1"/>
  <c r="AT38" i="66"/>
  <c r="AT1481" i="4"/>
  <c r="AT1324" i="4"/>
  <c r="AT1302" i="4"/>
  <c r="AT1303" i="4" s="1"/>
  <c r="AT88" i="11"/>
  <c r="AT1424" i="4"/>
  <c r="AT1215" i="4"/>
  <c r="AT1281" i="4" l="1"/>
  <c r="AT1271" i="4"/>
  <c r="AT31" i="11"/>
  <c r="AT1489" i="4"/>
  <c r="AT1490" i="4" s="1"/>
  <c r="AT1505" i="4"/>
  <c r="AT1515" i="4"/>
  <c r="AU1212" i="4"/>
  <c r="AU1163" i="4"/>
  <c r="AU1492" i="4" l="1"/>
  <c r="AT1495" i="4"/>
  <c r="AT1493" i="4"/>
  <c r="AT45" i="62"/>
  <c r="AT30" i="11"/>
  <c r="AT1252" i="4"/>
  <c r="AT1274" i="4"/>
  <c r="AT1275" i="4" s="1"/>
  <c r="AT1265" i="4" s="1"/>
  <c r="AU1213" i="4"/>
  <c r="AU1206" i="4"/>
  <c r="AU1224" i="4" s="1"/>
  <c r="AU1226" i="4" s="1"/>
  <c r="AU1202" i="4"/>
  <c r="AU1178" i="4"/>
  <c r="AT1496" i="4" l="1"/>
  <c r="AU1179" i="4"/>
  <c r="AU1180" i="4"/>
  <c r="AU1189" i="4"/>
  <c r="AU1218" i="4" s="1"/>
  <c r="T72" i="67"/>
  <c r="AU1122" i="4"/>
  <c r="AU1295" i="4"/>
  <c r="AU297" i="4"/>
  <c r="AU305" i="4" s="1"/>
  <c r="AU330" i="4" s="1"/>
  <c r="AU37" i="66"/>
  <c r="AU72" i="11"/>
  <c r="AU1076" i="4"/>
  <c r="AU1326" i="4"/>
  <c r="AU50" i="11"/>
  <c r="T87" i="67"/>
  <c r="AU87" i="11"/>
  <c r="AU18" i="66"/>
  <c r="AU1336" i="4"/>
  <c r="AU1310" i="4"/>
  <c r="AU1423" i="4"/>
  <c r="AT1264" i="4"/>
  <c r="AT1253" i="4" s="1"/>
  <c r="AT1266" i="4"/>
  <c r="AT1261" i="4"/>
  <c r="AT1268" i="4" s="1"/>
  <c r="AT1257" i="4"/>
  <c r="AU467" i="4" l="1"/>
  <c r="AU469" i="4" s="1"/>
  <c r="AU470" i="4" s="1"/>
  <c r="AU471" i="4" s="1"/>
  <c r="AU472" i="4" s="1"/>
  <c r="AV466" i="4" s="1"/>
  <c r="AU456" i="4"/>
  <c r="AU458" i="4" s="1"/>
  <c r="AU459" i="4" s="1"/>
  <c r="AV479" i="4"/>
  <c r="AU478" i="4"/>
  <c r="AU480" i="4" s="1"/>
  <c r="AU481" i="4" s="1"/>
  <c r="AU482" i="4" s="1"/>
  <c r="AU483" i="4" s="1"/>
  <c r="AV477" i="4" s="1"/>
  <c r="AV468" i="4"/>
  <c r="AV457" i="4"/>
  <c r="AT1327" i="4"/>
  <c r="AT1272" i="4"/>
  <c r="AT1276" i="4" s="1"/>
  <c r="AT1254" i="4" s="1"/>
  <c r="AT1304" i="4"/>
  <c r="AT74" i="11"/>
  <c r="AT78" i="11" s="1"/>
  <c r="AT1386" i="4"/>
  <c r="AT36" i="66"/>
  <c r="T50" i="67"/>
  <c r="T49" i="67" s="1"/>
  <c r="AU49" i="11"/>
  <c r="AU1074" i="4"/>
  <c r="AU1220" i="4"/>
  <c r="AU1219" i="4"/>
  <c r="AU294" i="4" s="1"/>
  <c r="AU1168" i="4"/>
  <c r="AU1169" i="4"/>
  <c r="AT1309" i="4"/>
  <c r="AT19" i="66"/>
  <c r="AT17" i="66" s="1"/>
  <c r="AT86" i="11"/>
  <c r="AT1338" i="4"/>
  <c r="AT1480" i="4"/>
  <c r="AU1181" i="4"/>
  <c r="AV495" i="4" l="1"/>
  <c r="AV1072" i="4" s="1"/>
  <c r="AU1170" i="4"/>
  <c r="AU1188" i="4" s="1"/>
  <c r="AU1190" i="4"/>
  <c r="AU1221" i="4" s="1"/>
  <c r="AU1197" i="4"/>
  <c r="AU299" i="4"/>
  <c r="AU302" i="4"/>
  <c r="AT1421" i="4"/>
  <c r="AT1385" i="4"/>
  <c r="AT1388" i="4" s="1"/>
  <c r="AT1483" i="4"/>
  <c r="T53" i="67"/>
  <c r="T52" i="67" s="1"/>
  <c r="AU53" i="11"/>
  <c r="AU52" i="11" s="1"/>
  <c r="AT1328" i="4"/>
  <c r="AT39" i="66"/>
  <c r="AT35" i="66" s="1"/>
  <c r="AT1305" i="4"/>
  <c r="AT1282" i="4" s="1"/>
  <c r="AT89" i="11"/>
  <c r="AU494" i="4"/>
  <c r="AU1071" i="4" s="1"/>
  <c r="AU460" i="4"/>
  <c r="AU461" i="4" s="1"/>
  <c r="AV455" i="4" s="1"/>
  <c r="AT1255" i="4"/>
  <c r="AT1390" i="4" l="1"/>
  <c r="AT1402" i="4"/>
  <c r="AT1284" i="4"/>
  <c r="AT1286" i="4" s="1"/>
  <c r="AT1425" i="4"/>
  <c r="AU331" i="4"/>
  <c r="AU307" i="4"/>
  <c r="AT27" i="11"/>
  <c r="AU1250" i="4"/>
  <c r="AT1506" i="4"/>
  <c r="AU1301" i="4"/>
  <c r="AU1325" i="4"/>
  <c r="AU73" i="11"/>
  <c r="AU1121" i="4"/>
  <c r="AU1144" i="4" s="1"/>
  <c r="T23" i="13"/>
  <c r="T73" i="67"/>
  <c r="AT1440" i="4" l="1"/>
  <c r="AT1441" i="4" s="1"/>
  <c r="AT1442" i="4" s="1"/>
  <c r="AU332" i="4"/>
  <c r="AU14" i="11" s="1"/>
  <c r="AT1285" i="4"/>
  <c r="AT1509" i="4"/>
  <c r="AT1507" i="4"/>
  <c r="AT1508" i="4" s="1"/>
  <c r="AU405" i="4"/>
  <c r="AU406" i="4" s="1"/>
  <c r="AU407" i="4" s="1"/>
  <c r="AU408" i="4" s="1"/>
  <c r="AU409" i="4" s="1"/>
  <c r="AV404" i="4" s="1"/>
  <c r="AU385" i="4"/>
  <c r="AU395" i="4"/>
  <c r="AU396" i="4" s="1"/>
  <c r="AU397" i="4" s="1"/>
  <c r="AU398" i="4" s="1"/>
  <c r="AU399" i="4" s="1"/>
  <c r="AV394" i="4" s="1"/>
  <c r="AT48" i="62"/>
  <c r="AT24" i="62" s="1"/>
  <c r="AT26" i="62" s="1"/>
  <c r="AT90" i="11"/>
  <c r="AT91" i="11" s="1"/>
  <c r="AT93" i="11" s="1"/>
  <c r="AT96" i="11" s="1"/>
  <c r="AT97" i="11" s="1"/>
  <c r="AT58" i="11"/>
  <c r="AT59" i="11" s="1"/>
  <c r="AT28" i="11" s="1"/>
  <c r="AT25" i="11" s="1"/>
  <c r="AT1329" i="4"/>
  <c r="AT1306" i="4"/>
  <c r="AT1307" i="4" s="1"/>
  <c r="AT1311" i="4" s="1"/>
  <c r="AU1290" i="4" s="1"/>
  <c r="AT22" i="66"/>
  <c r="AT1403" i="4"/>
  <c r="AT1404" i="4" s="1"/>
  <c r="AU1145" i="4"/>
  <c r="AU1234" i="4"/>
  <c r="AU1235" i="4"/>
  <c r="AU1251" i="4" s="1"/>
  <c r="T14" i="67" l="1"/>
  <c r="AU386" i="4"/>
  <c r="AU387" i="4" s="1"/>
  <c r="AU500" i="4"/>
  <c r="AU489" i="4"/>
  <c r="AU1128" i="4"/>
  <c r="AU1241" i="4"/>
  <c r="AU1236" i="4"/>
  <c r="AT1462" i="4"/>
  <c r="AT1461" i="4" s="1"/>
  <c r="AT100" i="11"/>
  <c r="AT100" i="67"/>
  <c r="AT21" i="11"/>
  <c r="AT17" i="11" s="1"/>
  <c r="AT44" i="66"/>
  <c r="AT40" i="66" s="1"/>
  <c r="AT46" i="66" s="1"/>
  <c r="AT101" i="67"/>
  <c r="AT24" i="66"/>
  <c r="AT20" i="66" s="1"/>
  <c r="AT26" i="66" s="1"/>
  <c r="AU95" i="11"/>
  <c r="AT46" i="62"/>
  <c r="AT1340" i="4"/>
  <c r="AT1341" i="4" s="1"/>
  <c r="AT101" i="11"/>
  <c r="AT1330" i="4"/>
  <c r="AT1331" i="4" s="1"/>
  <c r="AT37" i="11"/>
  <c r="AT1475" i="4"/>
  <c r="AT1470" i="4" s="1"/>
  <c r="AT1474" i="4"/>
  <c r="AT1469" i="4" s="1"/>
  <c r="AT48" i="66" l="1"/>
  <c r="AU1308" i="4"/>
  <c r="AU1337" i="4"/>
  <c r="AU42" i="62"/>
  <c r="AU85" i="11"/>
  <c r="AU1244" i="4"/>
  <c r="AU1245" i="4" s="1"/>
  <c r="T85" i="67"/>
  <c r="AT1463" i="4"/>
  <c r="AT1460" i="4" s="1"/>
  <c r="AT23" i="11"/>
  <c r="AU501" i="4"/>
  <c r="AU502" i="4" s="1"/>
  <c r="AU490" i="4"/>
  <c r="AU388" i="4"/>
  <c r="AU389" i="4" s="1"/>
  <c r="AV384" i="4" s="1"/>
  <c r="AT1343" i="4"/>
  <c r="AT99" i="11"/>
  <c r="AV499" i="4" l="1"/>
  <c r="AU1101" i="4"/>
  <c r="AU1103" i="4" s="1"/>
  <c r="AU1104" i="4" s="1"/>
  <c r="AU1105" i="4" s="1"/>
  <c r="AU51" i="11"/>
  <c r="AU64" i="62"/>
  <c r="T51" i="67"/>
  <c r="T26" i="67"/>
  <c r="AV1240" i="4"/>
  <c r="AU26" i="11"/>
  <c r="AU52" i="62"/>
  <c r="AU43" i="62"/>
  <c r="AU23" i="62" s="1"/>
  <c r="AU16" i="66" s="1"/>
  <c r="AU14" i="66" s="1"/>
  <c r="AU13" i="66" s="1"/>
  <c r="AU491" i="4"/>
  <c r="AT1516" i="4"/>
  <c r="AT1517" i="4" s="1"/>
  <c r="AT1473" i="4"/>
  <c r="AT1468" i="4" s="1"/>
  <c r="AT39" i="11"/>
  <c r="AT40" i="11" s="1"/>
  <c r="AU984" i="4" l="1"/>
  <c r="AU988" i="4" s="1"/>
  <c r="AU62" i="64"/>
  <c r="T15" i="67"/>
  <c r="T13" i="67" s="1"/>
  <c r="AU15" i="11"/>
  <c r="AU13" i="11" s="1"/>
  <c r="AV488" i="4"/>
  <c r="AV1100" i="4"/>
  <c r="AU70" i="64" l="1"/>
  <c r="AU78" i="64"/>
  <c r="AU1120" i="4"/>
  <c r="AU1320" i="4"/>
  <c r="AU992" i="4"/>
  <c r="AU1294" i="4"/>
  <c r="AU1298" i="4" s="1"/>
  <c r="AU71" i="11"/>
  <c r="T40" i="13"/>
  <c r="T71" i="67"/>
  <c r="T47" i="67" l="1"/>
  <c r="AU1073" i="4"/>
  <c r="AU1077" i="4" s="1"/>
  <c r="AU1081" i="4" s="1"/>
  <c r="AU47" i="11"/>
  <c r="T20" i="72"/>
  <c r="AU61" i="11" l="1"/>
  <c r="AU62" i="11"/>
  <c r="AU48" i="11"/>
  <c r="AU55" i="11" s="1"/>
  <c r="AU1089" i="4"/>
  <c r="AU1082" i="4"/>
  <c r="AU1093" i="4" s="1"/>
  <c r="AU1090" i="4" s="1"/>
  <c r="AU1083" i="4" s="1"/>
  <c r="AU1084" i="4" s="1"/>
  <c r="T62" i="67"/>
  <c r="T64" i="67" s="1"/>
  <c r="T61" i="67"/>
  <c r="T63" i="67" s="1"/>
  <c r="T48" i="67"/>
  <c r="T55" i="67" s="1"/>
  <c r="AU1299" i="4" l="1"/>
  <c r="AU1300" i="4" s="1"/>
  <c r="AU1123" i="4"/>
  <c r="AU1130" i="4" s="1"/>
  <c r="AU1132" i="4" s="1"/>
  <c r="AU1135" i="4" s="1"/>
  <c r="AU1323" i="4"/>
  <c r="AU75" i="11"/>
  <c r="AU61" i="64"/>
  <c r="AU56" i="11"/>
  <c r="AU57" i="11" s="1"/>
  <c r="T41" i="13"/>
  <c r="T43" i="13" s="1"/>
  <c r="T75" i="67"/>
  <c r="T56" i="67"/>
  <c r="T57" i="67" s="1"/>
  <c r="AU1091" i="4"/>
  <c r="AV1088" i="4" s="1"/>
  <c r="AU64" i="11"/>
  <c r="AU1472" i="4"/>
  <c r="AU62" i="62"/>
  <c r="AU63" i="11"/>
  <c r="T1526" i="4"/>
  <c r="AU1471" i="4" l="1"/>
  <c r="AU1283" i="4"/>
  <c r="AU63" i="62"/>
  <c r="AU67" i="62" s="1"/>
  <c r="AU77" i="64"/>
  <c r="AU82" i="64" s="1"/>
  <c r="AU69" i="64"/>
  <c r="AU74" i="64" s="1"/>
  <c r="AU66" i="64"/>
  <c r="AU40" i="64" s="1"/>
  <c r="AU42" i="64" s="1"/>
  <c r="AU1313" i="4"/>
  <c r="AU52" i="64" l="1"/>
  <c r="AU49" i="64"/>
  <c r="AU68" i="62"/>
  <c r="AU1193" i="4"/>
  <c r="AU1194" i="4" s="1"/>
  <c r="AU1196" i="4" s="1"/>
  <c r="AU1198" i="4" s="1"/>
  <c r="AU1164" i="4" s="1"/>
  <c r="AU1214" i="4" l="1"/>
  <c r="AU1165" i="4"/>
  <c r="AV1162" i="4" l="1"/>
  <c r="AV1207" i="4"/>
  <c r="AV1225" i="4" s="1"/>
  <c r="AU88" i="11"/>
  <c r="AU1302" i="4"/>
  <c r="AU1303" i="4" s="1"/>
  <c r="AU1481" i="4"/>
  <c r="AU38" i="66"/>
  <c r="AU1324" i="4"/>
  <c r="AU1424" i="4"/>
  <c r="T88" i="67"/>
  <c r="T24" i="13"/>
  <c r="AU1215" i="4"/>
  <c r="AU1271" i="4" l="1"/>
  <c r="AU1281" i="4"/>
  <c r="T1525" i="4"/>
  <c r="T1529" i="4" s="1"/>
  <c r="T31" i="67"/>
  <c r="T30" i="67" s="1"/>
  <c r="AU31" i="11"/>
  <c r="AU1515" i="4"/>
  <c r="AU1489" i="4"/>
  <c r="AU1490" i="4" s="1"/>
  <c r="AV1212" i="4"/>
  <c r="AU1505" i="4"/>
  <c r="AV1163" i="4"/>
  <c r="AU1495" i="4" l="1"/>
  <c r="AU1493" i="4"/>
  <c r="AU45" i="62"/>
  <c r="AU30" i="11"/>
  <c r="AV1206" i="4"/>
  <c r="AV1224" i="4" s="1"/>
  <c r="AV1226" i="4" s="1"/>
  <c r="AV1213" i="4"/>
  <c r="AV1202" i="4"/>
  <c r="AV1178" i="4"/>
  <c r="AU1252" i="4"/>
  <c r="AU1274" i="4"/>
  <c r="AU1275" i="4" s="1"/>
  <c r="AU1265" i="4" s="1"/>
  <c r="AV1492" i="4"/>
  <c r="AU1496" i="4" l="1"/>
  <c r="AV87" i="11"/>
  <c r="AV1310" i="4"/>
  <c r="AV18" i="66"/>
  <c r="AV1336" i="4"/>
  <c r="AV1423" i="4"/>
  <c r="AV37" i="66"/>
  <c r="AV297" i="4"/>
  <c r="AV305" i="4" s="1"/>
  <c r="AV330" i="4" s="1"/>
  <c r="AV72" i="11"/>
  <c r="AV1076" i="4"/>
  <c r="AV1326" i="4"/>
  <c r="AV50" i="11"/>
  <c r="AV49" i="11" s="1"/>
  <c r="AV1122" i="4"/>
  <c r="AV1295" i="4"/>
  <c r="AU1266" i="4"/>
  <c r="AU1264" i="4"/>
  <c r="AU1253" i="4" s="1"/>
  <c r="AU1257" i="4"/>
  <c r="AU1261" i="4"/>
  <c r="AU1268" i="4" s="1"/>
  <c r="AV1189" i="4"/>
  <c r="AV1218" i="4" s="1"/>
  <c r="AV1180" i="4"/>
  <c r="AV1179" i="4"/>
  <c r="AV1181" i="4" l="1"/>
  <c r="AV1190" i="4" s="1"/>
  <c r="AV1221" i="4" s="1"/>
  <c r="AV467" i="4"/>
  <c r="AV469" i="4" s="1"/>
  <c r="AV470" i="4" s="1"/>
  <c r="AV471" i="4" s="1"/>
  <c r="AV472" i="4" s="1"/>
  <c r="AW466" i="4" s="1"/>
  <c r="AW457" i="4"/>
  <c r="AW468" i="4"/>
  <c r="AW479" i="4"/>
  <c r="AV456" i="4"/>
  <c r="AV458" i="4" s="1"/>
  <c r="AV459" i="4" s="1"/>
  <c r="AV478" i="4"/>
  <c r="AV480" i="4" s="1"/>
  <c r="AV481" i="4" s="1"/>
  <c r="AV482" i="4" s="1"/>
  <c r="AV483" i="4" s="1"/>
  <c r="AW477" i="4" s="1"/>
  <c r="AV1168" i="4"/>
  <c r="AV1169" i="4"/>
  <c r="AV1074" i="4"/>
  <c r="AV1220" i="4"/>
  <c r="AV53" i="11" s="1"/>
  <c r="AV52" i="11" s="1"/>
  <c r="AV1219" i="4"/>
  <c r="AV294" i="4" s="1"/>
  <c r="AU1272" i="4"/>
  <c r="AU1276" i="4" s="1"/>
  <c r="AU1254" i="4" s="1"/>
  <c r="AU1327" i="4"/>
  <c r="AU1304" i="4"/>
  <c r="AU74" i="11"/>
  <c r="AU78" i="11" s="1"/>
  <c r="T74" i="67"/>
  <c r="T78" i="67" s="1"/>
  <c r="AU36" i="66"/>
  <c r="AU1386" i="4"/>
  <c r="AU86" i="11"/>
  <c r="AU1309" i="4"/>
  <c r="AU1338" i="4"/>
  <c r="AU19" i="66"/>
  <c r="AU17" i="66" s="1"/>
  <c r="T86" i="67"/>
  <c r="AU1480" i="4"/>
  <c r="AV1197" i="4" l="1"/>
  <c r="AV1170" i="4"/>
  <c r="AV1188" i="4" s="1"/>
  <c r="T25" i="13"/>
  <c r="AU1483" i="4"/>
  <c r="AU1421" i="4"/>
  <c r="AU1385" i="4"/>
  <c r="AU1388" i="4" s="1"/>
  <c r="AV494" i="4"/>
  <c r="AV1071" i="4" s="1"/>
  <c r="AV460" i="4"/>
  <c r="AV461" i="4" s="1"/>
  <c r="AW455" i="4" s="1"/>
  <c r="AV1121" i="4"/>
  <c r="AV1144" i="4" s="1"/>
  <c r="AV1325" i="4"/>
  <c r="AV1301" i="4"/>
  <c r="AV73" i="11"/>
  <c r="AW495" i="4"/>
  <c r="AW1072" i="4" s="1"/>
  <c r="AU1328" i="4"/>
  <c r="AU39" i="66"/>
  <c r="AU35" i="66" s="1"/>
  <c r="AU89" i="11"/>
  <c r="AU1305" i="4"/>
  <c r="AU1282" i="4" s="1"/>
  <c r="T89" i="67"/>
  <c r="AV299" i="4"/>
  <c r="AV302" i="4"/>
  <c r="AU1255" i="4"/>
  <c r="AV1235" i="4" l="1"/>
  <c r="AV1251" i="4" s="1"/>
  <c r="AV1145" i="4"/>
  <c r="AV1234" i="4"/>
  <c r="AV1250" i="4"/>
  <c r="AU27" i="11"/>
  <c r="T27" i="67"/>
  <c r="AU1506" i="4"/>
  <c r="AV307" i="4"/>
  <c r="AV332" i="4" s="1"/>
  <c r="AV14" i="11" s="1"/>
  <c r="AV331" i="4"/>
  <c r="AU1390" i="4"/>
  <c r="AU1402" i="4"/>
  <c r="AU1284" i="4"/>
  <c r="AU1286" i="4" s="1"/>
  <c r="AU1425" i="4"/>
  <c r="T13" i="13"/>
  <c r="AU1440" i="4" l="1"/>
  <c r="AU1441" i="4" s="1"/>
  <c r="AU1442" i="4" s="1"/>
  <c r="AU1507" i="4"/>
  <c r="AU1508" i="4" s="1"/>
  <c r="AU1509" i="4"/>
  <c r="AU1285" i="4"/>
  <c r="AU1403" i="4"/>
  <c r="AU1404" i="4" s="1"/>
  <c r="AU90" i="11"/>
  <c r="AU91" i="11" s="1"/>
  <c r="AU93" i="11" s="1"/>
  <c r="AU96" i="11" s="1"/>
  <c r="AU97" i="11" s="1"/>
  <c r="AU58" i="11"/>
  <c r="AU59" i="11" s="1"/>
  <c r="AU28" i="11" s="1"/>
  <c r="AU1306" i="4"/>
  <c r="AU1307" i="4" s="1"/>
  <c r="AU1311" i="4" s="1"/>
  <c r="AV1290" i="4" s="1"/>
  <c r="AU1329" i="4"/>
  <c r="AU48" i="62"/>
  <c r="AU24" i="62" s="1"/>
  <c r="AU26" i="62" s="1"/>
  <c r="T90" i="67"/>
  <c r="T91" i="67" s="1"/>
  <c r="T93" i="67" s="1"/>
  <c r="T96" i="67" s="1"/>
  <c r="T97" i="67" s="1"/>
  <c r="T58" i="67"/>
  <c r="T59" i="67" s="1"/>
  <c r="AU22" i="66"/>
  <c r="AV1236" i="4"/>
  <c r="AV1241" i="4"/>
  <c r="AV405" i="4"/>
  <c r="AV406" i="4" s="1"/>
  <c r="AV407" i="4" s="1"/>
  <c r="AV408" i="4" s="1"/>
  <c r="AV409" i="4" s="1"/>
  <c r="AW404" i="4" s="1"/>
  <c r="AV385" i="4"/>
  <c r="AV395" i="4"/>
  <c r="AV396" i="4" s="1"/>
  <c r="AV397" i="4" s="1"/>
  <c r="AV398" i="4" s="1"/>
  <c r="AV399" i="4" s="1"/>
  <c r="AW394" i="4" s="1"/>
  <c r="U95" i="67" l="1"/>
  <c r="AV500" i="4"/>
  <c r="AV489" i="4"/>
  <c r="AV386" i="4"/>
  <c r="AV387" i="4" s="1"/>
  <c r="AV1244" i="4"/>
  <c r="AV1245" i="4" s="1"/>
  <c r="AV1308" i="4"/>
  <c r="AV1337" i="4"/>
  <c r="AV85" i="11"/>
  <c r="AV42" i="62"/>
  <c r="AV1128" i="4"/>
  <c r="T28" i="67"/>
  <c r="T25" i="67" s="1"/>
  <c r="T37" i="67" s="1"/>
  <c r="AU101" i="67"/>
  <c r="AU1462" i="4"/>
  <c r="AU1461" i="4" s="1"/>
  <c r="AU101" i="11"/>
  <c r="T1527" i="4"/>
  <c r="T1534" i="4" s="1"/>
  <c r="AU1330" i="4"/>
  <c r="AU1331" i="4" s="1"/>
  <c r="AU100" i="11"/>
  <c r="AU100" i="67"/>
  <c r="AU1340" i="4"/>
  <c r="AU1341" i="4" s="1"/>
  <c r="AU44" i="66"/>
  <c r="AU40" i="66" s="1"/>
  <c r="AU46" i="66" s="1"/>
  <c r="AU46" i="62"/>
  <c r="T21" i="67"/>
  <c r="T17" i="67" s="1"/>
  <c r="T23" i="67" s="1"/>
  <c r="AU21" i="11"/>
  <c r="AU17" i="11" s="1"/>
  <c r="AV95" i="11"/>
  <c r="AU24" i="66"/>
  <c r="AU20" i="66" s="1"/>
  <c r="AU26" i="66" s="1"/>
  <c r="AU25" i="11"/>
  <c r="T39" i="67" l="1"/>
  <c r="T40" i="67" s="1"/>
  <c r="AU48" i="66"/>
  <c r="AU37" i="11"/>
  <c r="AU1474" i="4"/>
  <c r="AU1469" i="4" s="1"/>
  <c r="AU1475" i="4"/>
  <c r="AU1470" i="4" s="1"/>
  <c r="AW1240" i="4"/>
  <c r="AV26" i="11"/>
  <c r="AV501" i="4"/>
  <c r="AV502" i="4" s="1"/>
  <c r="AV490" i="4"/>
  <c r="AV491" i="4" s="1"/>
  <c r="AV388" i="4"/>
  <c r="AV389" i="4" s="1"/>
  <c r="AW384" i="4" s="1"/>
  <c r="AU99" i="11"/>
  <c r="AU1343" i="4"/>
  <c r="AV52" i="62"/>
  <c r="AV43" i="62"/>
  <c r="AV23" i="62" s="1"/>
  <c r="AV16" i="66" s="1"/>
  <c r="AV14" i="66" s="1"/>
  <c r="AV13" i="66" s="1"/>
  <c r="T99" i="67"/>
  <c r="AU1463" i="4"/>
  <c r="AU1460" i="4" s="1"/>
  <c r="AU23" i="11"/>
  <c r="AW499" i="4" l="1"/>
  <c r="AV1101" i="4"/>
  <c r="AV1103" i="4" s="1"/>
  <c r="AV1104" i="4" s="1"/>
  <c r="AV1105" i="4" s="1"/>
  <c r="AW488" i="4"/>
  <c r="AV15" i="11"/>
  <c r="AV13" i="11" s="1"/>
  <c r="AU1516" i="4"/>
  <c r="AU1517" i="4" s="1"/>
  <c r="AU1473" i="4"/>
  <c r="AU1468" i="4" s="1"/>
  <c r="AU39" i="11"/>
  <c r="AU40" i="11" s="1"/>
  <c r="AV51" i="11"/>
  <c r="AV64" i="62"/>
  <c r="AV62" i="64" l="1"/>
  <c r="AV984" i="4"/>
  <c r="AV988" i="4" s="1"/>
  <c r="AW1100" i="4"/>
  <c r="AV992" i="4" l="1"/>
  <c r="AV1320" i="4"/>
  <c r="AV71" i="11"/>
  <c r="AV1120" i="4"/>
  <c r="AV1294" i="4"/>
  <c r="AV1298" i="4" s="1"/>
  <c r="AV70" i="64"/>
  <c r="AV78" i="64"/>
  <c r="AV47" i="11" l="1"/>
  <c r="AV1073" i="4"/>
  <c r="AV1077" i="4" s="1"/>
  <c r="AV1081" i="4" s="1"/>
  <c r="AV1089" i="4" l="1"/>
  <c r="AV1082" i="4"/>
  <c r="AV61" i="11"/>
  <c r="AV62" i="11"/>
  <c r="AV48" i="11"/>
  <c r="AV55" i="11" s="1"/>
  <c r="AV63" i="11" l="1"/>
  <c r="AV1093" i="4"/>
  <c r="AV1090" i="4" s="1"/>
  <c r="AV1083" i="4" s="1"/>
  <c r="AV1084" i="4" s="1"/>
  <c r="AV64" i="11"/>
  <c r="AV62" i="62"/>
  <c r="AV1472" i="4"/>
  <c r="AV1091" i="4" l="1"/>
  <c r="AW1088" i="4" s="1"/>
  <c r="AV1123" i="4"/>
  <c r="AV1130" i="4" s="1"/>
  <c r="AV1132" i="4" s="1"/>
  <c r="AV1135" i="4" s="1"/>
  <c r="AV1323" i="4"/>
  <c r="AV75" i="11"/>
  <c r="AV1299" i="4"/>
  <c r="AV1300" i="4" s="1"/>
  <c r="AV56" i="11"/>
  <c r="AV57" i="11" s="1"/>
  <c r="AV61" i="64"/>
  <c r="AV63" i="62"/>
  <c r="AV67" i="62" s="1"/>
  <c r="AV68" i="62" l="1"/>
  <c r="AV69" i="64"/>
  <c r="AV74" i="64" s="1"/>
  <c r="AV77" i="64"/>
  <c r="AV82" i="64" s="1"/>
  <c r="AV66" i="64"/>
  <c r="AV40" i="64" s="1"/>
  <c r="AV42" i="64" s="1"/>
  <c r="AV1471" i="4"/>
  <c r="AV1283" i="4"/>
  <c r="AV1313" i="4"/>
  <c r="AV49" i="64" l="1"/>
  <c r="AV52" i="64"/>
  <c r="AV1193" i="4"/>
  <c r="AV1194" i="4" s="1"/>
  <c r="AV1196" i="4" s="1"/>
  <c r="AV1198" i="4" s="1"/>
  <c r="AV1164" i="4" s="1"/>
  <c r="AV1214" i="4" l="1"/>
  <c r="AV1165" i="4"/>
  <c r="AW1162" i="4" l="1"/>
  <c r="AW1207" i="4"/>
  <c r="AW1225" i="4" s="1"/>
  <c r="AV38" i="66"/>
  <c r="AV88" i="11"/>
  <c r="AV1481" i="4"/>
  <c r="AV1324" i="4"/>
  <c r="AV1302" i="4"/>
  <c r="AV1303" i="4" s="1"/>
  <c r="AV1424" i="4"/>
  <c r="AV1215" i="4"/>
  <c r="AV1281" i="4" l="1"/>
  <c r="AV1271" i="4"/>
  <c r="AV31" i="11"/>
  <c r="AV1489" i="4"/>
  <c r="AV1490" i="4" s="1"/>
  <c r="AV1515" i="4"/>
  <c r="AV1505" i="4"/>
  <c r="AW1212" i="4"/>
  <c r="AW1163" i="4"/>
  <c r="AW1492" i="4" l="1"/>
  <c r="AV1495" i="4"/>
  <c r="AV1493" i="4"/>
  <c r="AV45" i="62"/>
  <c r="AV30" i="11"/>
  <c r="AV1252" i="4"/>
  <c r="AV1274" i="4"/>
  <c r="AV1275" i="4" s="1"/>
  <c r="AV1265" i="4" s="1"/>
  <c r="AW1213" i="4"/>
  <c r="AW1206" i="4"/>
  <c r="AW1224" i="4" s="1"/>
  <c r="AW1226" i="4" s="1"/>
  <c r="AW1202" i="4"/>
  <c r="AW1178" i="4"/>
  <c r="AV1496" i="4" l="1"/>
  <c r="AW1179" i="4"/>
  <c r="AW1180" i="4"/>
  <c r="AW1189" i="4"/>
  <c r="AW1218" i="4" s="1"/>
  <c r="AV1264" i="4"/>
  <c r="AV1253" i="4" s="1"/>
  <c r="AV1266" i="4"/>
  <c r="AW50" i="11"/>
  <c r="AW49" i="11" s="1"/>
  <c r="AW1295" i="4"/>
  <c r="AW297" i="4"/>
  <c r="AW305" i="4" s="1"/>
  <c r="AW330" i="4" s="1"/>
  <c r="AW1326" i="4"/>
  <c r="AW37" i="66"/>
  <c r="AW72" i="11"/>
  <c r="AW1076" i="4"/>
  <c r="AW1122" i="4"/>
  <c r="AW1310" i="4"/>
  <c r="AW87" i="11"/>
  <c r="AW1336" i="4"/>
  <c r="AW18" i="66"/>
  <c r="AW1423" i="4"/>
  <c r="AV1261" i="4"/>
  <c r="AV1268" i="4" s="1"/>
  <c r="AV1257" i="4"/>
  <c r="AV1338" i="4" l="1"/>
  <c r="AV86" i="11"/>
  <c r="AV19" i="66"/>
  <c r="AV17" i="66" s="1"/>
  <c r="AV1309" i="4"/>
  <c r="AV1480" i="4"/>
  <c r="AV74" i="11"/>
  <c r="AV78" i="11" s="1"/>
  <c r="AV1272" i="4"/>
  <c r="AV1276" i="4" s="1"/>
  <c r="AV1254" i="4" s="1"/>
  <c r="AV1304" i="4"/>
  <c r="AV1327" i="4"/>
  <c r="AV36" i="66"/>
  <c r="AV1386" i="4"/>
  <c r="AW1220" i="4"/>
  <c r="AW53" i="11" s="1"/>
  <c r="AW52" i="11" s="1"/>
  <c r="AW1074" i="4"/>
  <c r="AW1219" i="4"/>
  <c r="AW294" i="4" s="1"/>
  <c r="AW1168" i="4"/>
  <c r="AW1169" i="4"/>
  <c r="AW1181" i="4"/>
  <c r="AW478" i="4"/>
  <c r="AW480" i="4" s="1"/>
  <c r="AW481" i="4" s="1"/>
  <c r="AW482" i="4" s="1"/>
  <c r="AW483" i="4" s="1"/>
  <c r="AX477" i="4" s="1"/>
  <c r="AW456" i="4"/>
  <c r="AW458" i="4" s="1"/>
  <c r="AW459" i="4" s="1"/>
  <c r="AX479" i="4"/>
  <c r="AW467" i="4"/>
  <c r="AW469" i="4" s="1"/>
  <c r="AW470" i="4" s="1"/>
  <c r="AW471" i="4" s="1"/>
  <c r="AW472" i="4" s="1"/>
  <c r="AX466" i="4" s="1"/>
  <c r="AX457" i="4"/>
  <c r="AX468" i="4"/>
  <c r="AW460" i="4" l="1"/>
  <c r="AW461" i="4" s="1"/>
  <c r="AX455" i="4" s="1"/>
  <c r="AW494" i="4"/>
  <c r="AW1071" i="4" s="1"/>
  <c r="AW299" i="4"/>
  <c r="AW302" i="4"/>
  <c r="AV89" i="11"/>
  <c r="AV1305" i="4"/>
  <c r="AV1282" i="4" s="1"/>
  <c r="AV1328" i="4"/>
  <c r="AV39" i="66"/>
  <c r="AV35" i="66" s="1"/>
  <c r="AV1255" i="4"/>
  <c r="AV1421" i="4"/>
  <c r="AV1385" i="4"/>
  <c r="AV1388" i="4" s="1"/>
  <c r="AV1483" i="4"/>
  <c r="AW1197" i="4"/>
  <c r="AW1190" i="4"/>
  <c r="AW1221" i="4" s="1"/>
  <c r="AX495" i="4"/>
  <c r="AX1072" i="4" s="1"/>
  <c r="AW1170" i="4"/>
  <c r="AW1188" i="4" s="1"/>
  <c r="AW1325" i="4" l="1"/>
  <c r="AW73" i="11"/>
  <c r="AW1301" i="4"/>
  <c r="AW1121" i="4"/>
  <c r="AW1144" i="4" s="1"/>
  <c r="AV1284" i="4"/>
  <c r="AV1286" i="4" s="1"/>
  <c r="AV1390" i="4"/>
  <c r="AV1402" i="4"/>
  <c r="AW331" i="4"/>
  <c r="AW307" i="4"/>
  <c r="AV1425" i="4"/>
  <c r="AV27" i="11"/>
  <c r="AW1250" i="4"/>
  <c r="AV1506" i="4"/>
  <c r="AV1440" i="4" l="1"/>
  <c r="AV1441" i="4" s="1"/>
  <c r="AV1442" i="4" s="1"/>
  <c r="AW332" i="4"/>
  <c r="AW14" i="11" s="1"/>
  <c r="AV1285" i="4"/>
  <c r="AV1507" i="4"/>
  <c r="AV1508" i="4" s="1"/>
  <c r="AV1509" i="4"/>
  <c r="AV1403" i="4"/>
  <c r="AV1404" i="4" s="1"/>
  <c r="AW395" i="4"/>
  <c r="AW396" i="4" s="1"/>
  <c r="AW397" i="4" s="1"/>
  <c r="AW398" i="4" s="1"/>
  <c r="AW399" i="4" s="1"/>
  <c r="AX394" i="4" s="1"/>
  <c r="AW405" i="4"/>
  <c r="AW406" i="4" s="1"/>
  <c r="AW407" i="4" s="1"/>
  <c r="AW408" i="4" s="1"/>
  <c r="AW409" i="4" s="1"/>
  <c r="AX404" i="4" s="1"/>
  <c r="AW385" i="4"/>
  <c r="AW1145" i="4"/>
  <c r="AW1235" i="4"/>
  <c r="AW1251" i="4" s="1"/>
  <c r="AW1234" i="4"/>
  <c r="AV1329" i="4"/>
  <c r="AV48" i="62"/>
  <c r="AV24" i="62" s="1"/>
  <c r="AV26" i="62" s="1"/>
  <c r="AV58" i="11"/>
  <c r="AV59" i="11" s="1"/>
  <c r="AV28" i="11" s="1"/>
  <c r="AV25" i="11" s="1"/>
  <c r="AV90" i="11"/>
  <c r="AV91" i="11" s="1"/>
  <c r="AV93" i="11" s="1"/>
  <c r="AV96" i="11" s="1"/>
  <c r="AV97" i="11" s="1"/>
  <c r="AV1306" i="4"/>
  <c r="AV1307" i="4" s="1"/>
  <c r="AV1311" i="4" s="1"/>
  <c r="AW1290" i="4" s="1"/>
  <c r="AV22" i="66"/>
  <c r="AV1474" i="4" l="1"/>
  <c r="AV1469" i="4" s="1"/>
  <c r="AV37" i="11"/>
  <c r="AV1475" i="4"/>
  <c r="AV1470" i="4" s="1"/>
  <c r="AW500" i="4"/>
  <c r="AW386" i="4"/>
  <c r="AW387" i="4" s="1"/>
  <c r="AW489" i="4"/>
  <c r="AW1128" i="4"/>
  <c r="AV100" i="67"/>
  <c r="AV101" i="67"/>
  <c r="AV44" i="66"/>
  <c r="AV40" i="66" s="1"/>
  <c r="AV46" i="66" s="1"/>
  <c r="AV46" i="62"/>
  <c r="AV1462" i="4"/>
  <c r="AV1461" i="4" s="1"/>
  <c r="AV101" i="11"/>
  <c r="AV21" i="11"/>
  <c r="AV17" i="11" s="1"/>
  <c r="AV100" i="11"/>
  <c r="AV1330" i="4"/>
  <c r="AV1331" i="4" s="1"/>
  <c r="AV24" i="66"/>
  <c r="AV20" i="66" s="1"/>
  <c r="AV26" i="66" s="1"/>
  <c r="AV1340" i="4"/>
  <c r="AV1341" i="4" s="1"/>
  <c r="AW95" i="11"/>
  <c r="AW1236" i="4"/>
  <c r="AW1241" i="4"/>
  <c r="AV99" i="11" l="1"/>
  <c r="AV1463" i="4"/>
  <c r="AV1460" i="4" s="1"/>
  <c r="AV23" i="11"/>
  <c r="AV39" i="11" s="1"/>
  <c r="AV40" i="11" s="1"/>
  <c r="AW1308" i="4"/>
  <c r="AW85" i="11"/>
  <c r="AW42" i="62"/>
  <c r="AW1337" i="4"/>
  <c r="AW1244" i="4"/>
  <c r="AW1245" i="4" s="1"/>
  <c r="AW501" i="4"/>
  <c r="AW502" i="4" s="1"/>
  <c r="AW388" i="4"/>
  <c r="AW389" i="4" s="1"/>
  <c r="AX384" i="4" s="1"/>
  <c r="AW490" i="4"/>
  <c r="AV48" i="66"/>
  <c r="AV1343" i="4"/>
  <c r="AX1240" i="4" l="1"/>
  <c r="AW26" i="11"/>
  <c r="AW52" i="62"/>
  <c r="AW43" i="62"/>
  <c r="AW23" i="62" s="1"/>
  <c r="AW16" i="66" s="1"/>
  <c r="AW14" i="66" s="1"/>
  <c r="AW13" i="66" s="1"/>
  <c r="AW1101" i="4"/>
  <c r="AW1103" i="4" s="1"/>
  <c r="AW1104" i="4" s="1"/>
  <c r="AW1105" i="4" s="1"/>
  <c r="AX499" i="4"/>
  <c r="AW64" i="62"/>
  <c r="AW51" i="11"/>
  <c r="AW491" i="4"/>
  <c r="AV1516" i="4"/>
  <c r="AV1517" i="4" s="1"/>
  <c r="AV1473" i="4"/>
  <c r="AV1468" i="4" s="1"/>
  <c r="AX1100" i="4" l="1"/>
  <c r="AW984" i="4"/>
  <c r="AW988" i="4" s="1"/>
  <c r="AW62" i="64"/>
  <c r="AX488" i="4"/>
  <c r="AW15" i="11"/>
  <c r="AW13" i="11" s="1"/>
  <c r="AW992" i="4" l="1"/>
  <c r="AW1294" i="4"/>
  <c r="AW1298" i="4" s="1"/>
  <c r="AW71" i="11"/>
  <c r="AW1120" i="4"/>
  <c r="AW1320" i="4"/>
  <c r="AW70" i="64"/>
  <c r="AW78" i="64"/>
  <c r="AW1073" i="4" l="1"/>
  <c r="AW1077" i="4" s="1"/>
  <c r="AW1081" i="4" s="1"/>
  <c r="AW47" i="11"/>
  <c r="AW61" i="11" l="1"/>
  <c r="AW62" i="11"/>
  <c r="AW48" i="11"/>
  <c r="AW55" i="11" s="1"/>
  <c r="AW1089" i="4"/>
  <c r="AW1082" i="4"/>
  <c r="AW1093" i="4" s="1"/>
  <c r="AW1090" i="4" s="1"/>
  <c r="AW1083" i="4" s="1"/>
  <c r="AW1084" i="4" s="1"/>
  <c r="AW1323" i="4" l="1"/>
  <c r="AW1123" i="4"/>
  <c r="AW1130" i="4" s="1"/>
  <c r="AW1132" i="4" s="1"/>
  <c r="AW1135" i="4" s="1"/>
  <c r="AW61" i="64"/>
  <c r="AW1299" i="4"/>
  <c r="AW1300" i="4" s="1"/>
  <c r="AW56" i="11"/>
  <c r="AW57" i="11" s="1"/>
  <c r="AW75" i="11"/>
  <c r="AW1091" i="4"/>
  <c r="AX1088" i="4" s="1"/>
  <c r="AW64" i="11"/>
  <c r="AW1472" i="4"/>
  <c r="AW62" i="62"/>
  <c r="AW63" i="11"/>
  <c r="AW1471" i="4" l="1"/>
  <c r="AW1283" i="4"/>
  <c r="AW1313" i="4"/>
  <c r="AW69" i="64"/>
  <c r="AW74" i="64" s="1"/>
  <c r="AW77" i="64"/>
  <c r="AW82" i="64" s="1"/>
  <c r="AW66" i="64"/>
  <c r="AW40" i="64" s="1"/>
  <c r="AW42" i="64" s="1"/>
  <c r="AW63" i="62"/>
  <c r="AW67" i="62" s="1"/>
  <c r="AW68" i="62" l="1"/>
  <c r="AW1193" i="4"/>
  <c r="AW1194" i="4" s="1"/>
  <c r="AW1196" i="4" s="1"/>
  <c r="AW1198" i="4" s="1"/>
  <c r="AW1164" i="4" s="1"/>
  <c r="AW52" i="64"/>
  <c r="AW49" i="64"/>
  <c r="AW1214" i="4" l="1"/>
  <c r="AW1165" i="4"/>
  <c r="AX1162" i="4" l="1"/>
  <c r="AX1207" i="4"/>
  <c r="AX1225" i="4" s="1"/>
  <c r="AW1324" i="4"/>
  <c r="AW38" i="66"/>
  <c r="AW1302" i="4"/>
  <c r="AW1303" i="4" s="1"/>
  <c r="AW1481" i="4"/>
  <c r="AW88" i="11"/>
  <c r="AW1424" i="4"/>
  <c r="AW1215" i="4"/>
  <c r="AW1271" i="4" l="1"/>
  <c r="AW1281" i="4"/>
  <c r="AW31" i="11"/>
  <c r="AW1489" i="4"/>
  <c r="AW1490" i="4" s="1"/>
  <c r="AW1515" i="4"/>
  <c r="AW1505" i="4"/>
  <c r="AX1212" i="4"/>
  <c r="AX1163" i="4"/>
  <c r="AX1492" i="4" l="1"/>
  <c r="AW1495" i="4"/>
  <c r="AW1493" i="4"/>
  <c r="AW30" i="11"/>
  <c r="AW45" i="62"/>
  <c r="AX1206" i="4"/>
  <c r="AX1224" i="4" s="1"/>
  <c r="AX1226" i="4" s="1"/>
  <c r="AX1213" i="4"/>
  <c r="AX1202" i="4"/>
  <c r="AX1178" i="4"/>
  <c r="AW1252" i="4"/>
  <c r="AW1274" i="4"/>
  <c r="AW1275" i="4" s="1"/>
  <c r="AW1265" i="4" s="1"/>
  <c r="AW1496" i="4" l="1"/>
  <c r="AW1264" i="4"/>
  <c r="AW1253" i="4" s="1"/>
  <c r="AW1266" i="4"/>
  <c r="AX1189" i="4"/>
  <c r="AX1218" i="4" s="1"/>
  <c r="AX1180" i="4"/>
  <c r="AX1179" i="4"/>
  <c r="AW1257" i="4"/>
  <c r="AW1261" i="4"/>
  <c r="AW1268" i="4" s="1"/>
  <c r="AX1310" i="4"/>
  <c r="AX18" i="66"/>
  <c r="AX1336" i="4"/>
  <c r="AX87" i="11"/>
  <c r="AX1423" i="4"/>
  <c r="AX1076" i="4"/>
  <c r="AX1295" i="4"/>
  <c r="AX72" i="11"/>
  <c r="AX50" i="11"/>
  <c r="AX49" i="11" s="1"/>
  <c r="AX1122" i="4"/>
  <c r="AX297" i="4"/>
  <c r="AX305" i="4" s="1"/>
  <c r="AX330" i="4" s="1"/>
  <c r="AX1326" i="4"/>
  <c r="AX37" i="66"/>
  <c r="AX1181" i="4" l="1"/>
  <c r="AX1197" i="4" s="1"/>
  <c r="AX1168" i="4"/>
  <c r="AX1169" i="4"/>
  <c r="AY479" i="4"/>
  <c r="AX467" i="4"/>
  <c r="AX469" i="4" s="1"/>
  <c r="AX470" i="4" s="1"/>
  <c r="AX471" i="4" s="1"/>
  <c r="AX472" i="4" s="1"/>
  <c r="AY466" i="4" s="1"/>
  <c r="AY468" i="4"/>
  <c r="AX478" i="4"/>
  <c r="AX480" i="4" s="1"/>
  <c r="AX481" i="4" s="1"/>
  <c r="AX482" i="4" s="1"/>
  <c r="AX483" i="4" s="1"/>
  <c r="AY477" i="4" s="1"/>
  <c r="AY457" i="4"/>
  <c r="AX456" i="4"/>
  <c r="AX458" i="4" s="1"/>
  <c r="AX459" i="4" s="1"/>
  <c r="AX1219" i="4"/>
  <c r="AX294" i="4" s="1"/>
  <c r="AX1220" i="4"/>
  <c r="AX53" i="11" s="1"/>
  <c r="AX52" i="11" s="1"/>
  <c r="AX1074" i="4"/>
  <c r="AW74" i="11"/>
  <c r="AW78" i="11" s="1"/>
  <c r="AW1272" i="4"/>
  <c r="AW1276" i="4" s="1"/>
  <c r="AW1254" i="4" s="1"/>
  <c r="AW1304" i="4"/>
  <c r="AW1327" i="4"/>
  <c r="AW36" i="66"/>
  <c r="AW1386" i="4"/>
  <c r="AW1309" i="4"/>
  <c r="AW86" i="11"/>
  <c r="AW19" i="66"/>
  <c r="AW17" i="66" s="1"/>
  <c r="AW1338" i="4"/>
  <c r="AW1480" i="4"/>
  <c r="AX1190" i="4" l="1"/>
  <c r="AX1221" i="4" s="1"/>
  <c r="AX73" i="11" s="1"/>
  <c r="AX1170" i="4"/>
  <c r="AX1188" i="4" s="1"/>
  <c r="AX299" i="4"/>
  <c r="AX302" i="4"/>
  <c r="AW1483" i="4"/>
  <c r="AW39" i="66"/>
  <c r="AW35" i="66" s="1"/>
  <c r="AW1328" i="4"/>
  <c r="AW1305" i="4"/>
  <c r="AW1282" i="4" s="1"/>
  <c r="AW89" i="11"/>
  <c r="AW1255" i="4"/>
  <c r="AX494" i="4"/>
  <c r="AX1071" i="4" s="1"/>
  <c r="AX460" i="4"/>
  <c r="AX461" i="4" s="1"/>
  <c r="AY455" i="4" s="1"/>
  <c r="AW1385" i="4"/>
  <c r="AW1388" i="4" s="1"/>
  <c r="AW1421" i="4"/>
  <c r="AY495" i="4"/>
  <c r="AY1072" i="4" s="1"/>
  <c r="AX1301" i="4" l="1"/>
  <c r="AX1325" i="4"/>
  <c r="AX1121" i="4"/>
  <c r="AX1144" i="4" s="1"/>
  <c r="AX1234" i="4" s="1"/>
  <c r="AW1284" i="4"/>
  <c r="AW1286" i="4" s="1"/>
  <c r="AW1425" i="4"/>
  <c r="AW1390" i="4"/>
  <c r="AW1402" i="4"/>
  <c r="AX1250" i="4"/>
  <c r="AW27" i="11"/>
  <c r="AW1506" i="4"/>
  <c r="AX331" i="4"/>
  <c r="AX307" i="4"/>
  <c r="AW1440" i="4" l="1"/>
  <c r="AW1441" i="4" s="1"/>
  <c r="AW1442" i="4" s="1"/>
  <c r="AX332" i="4"/>
  <c r="AX14" i="11" s="1"/>
  <c r="AX1145" i="4"/>
  <c r="AX1235" i="4"/>
  <c r="AX1251" i="4" s="1"/>
  <c r="AW1285" i="4"/>
  <c r="AW1509" i="4"/>
  <c r="AW1507" i="4"/>
  <c r="AW1508" i="4" s="1"/>
  <c r="AX1241" i="4"/>
  <c r="AW1403" i="4"/>
  <c r="AW1404" i="4" s="1"/>
  <c r="AX395" i="4"/>
  <c r="AX396" i="4" s="1"/>
  <c r="AX397" i="4" s="1"/>
  <c r="AX398" i="4" s="1"/>
  <c r="AX399" i="4" s="1"/>
  <c r="AY394" i="4" s="1"/>
  <c r="AX405" i="4"/>
  <c r="AX406" i="4" s="1"/>
  <c r="AX407" i="4" s="1"/>
  <c r="AX408" i="4" s="1"/>
  <c r="AX409" i="4" s="1"/>
  <c r="AY404" i="4" s="1"/>
  <c r="AX385" i="4"/>
  <c r="AW48" i="62"/>
  <c r="AW24" i="62" s="1"/>
  <c r="AW26" i="62" s="1"/>
  <c r="AW1306" i="4"/>
  <c r="AW1307" i="4" s="1"/>
  <c r="AW1311" i="4" s="1"/>
  <c r="AX1290" i="4" s="1"/>
  <c r="AW1329" i="4"/>
  <c r="AW90" i="11"/>
  <c r="AW91" i="11" s="1"/>
  <c r="AW93" i="11" s="1"/>
  <c r="AW96" i="11" s="1"/>
  <c r="AW97" i="11" s="1"/>
  <c r="AW58" i="11"/>
  <c r="AW59" i="11" s="1"/>
  <c r="AW28" i="11" s="1"/>
  <c r="AW22" i="66"/>
  <c r="AX1236" i="4" l="1"/>
  <c r="AX1128" i="4"/>
  <c r="AX500" i="4"/>
  <c r="AX386" i="4"/>
  <c r="AX387" i="4" s="1"/>
  <c r="AX489" i="4"/>
  <c r="AW25" i="11"/>
  <c r="AX1337" i="4"/>
  <c r="AX1308" i="4"/>
  <c r="AX42" i="62"/>
  <c r="AX1244" i="4"/>
  <c r="AX1245" i="4" s="1"/>
  <c r="AX85" i="11"/>
  <c r="AW101" i="11"/>
  <c r="AW21" i="11"/>
  <c r="AW17" i="11" s="1"/>
  <c r="AW100" i="11"/>
  <c r="AW1330" i="4"/>
  <c r="AW1331" i="4" s="1"/>
  <c r="AX95" i="11"/>
  <c r="AW46" i="62"/>
  <c r="AW1340" i="4"/>
  <c r="AW1341" i="4" s="1"/>
  <c r="AW44" i="66"/>
  <c r="AW40" i="66" s="1"/>
  <c r="AW46" i="66" s="1"/>
  <c r="AW100" i="67"/>
  <c r="AW1462" i="4"/>
  <c r="AW1461" i="4" s="1"/>
  <c r="AW24" i="66"/>
  <c r="AW20" i="66" s="1"/>
  <c r="AW26" i="66" s="1"/>
  <c r="AW101" i="67"/>
  <c r="AW48" i="66" l="1"/>
  <c r="AW1463" i="4"/>
  <c r="AW1460" i="4" s="1"/>
  <c r="AW23" i="11"/>
  <c r="AW1474" i="4"/>
  <c r="AW1469" i="4" s="1"/>
  <c r="AW37" i="11"/>
  <c r="AW1475" i="4"/>
  <c r="AW1470" i="4" s="1"/>
  <c r="AX501" i="4"/>
  <c r="AX502" i="4" s="1"/>
  <c r="AX490" i="4"/>
  <c r="AX388" i="4"/>
  <c r="AX389" i="4" s="1"/>
  <c r="AY384" i="4" s="1"/>
  <c r="AX26" i="11"/>
  <c r="AY1240" i="4"/>
  <c r="AW99" i="11"/>
  <c r="AX52" i="62"/>
  <c r="AX43" i="62"/>
  <c r="AX23" i="62" s="1"/>
  <c r="AX16" i="66" s="1"/>
  <c r="AX14" i="66" s="1"/>
  <c r="AX13" i="66" s="1"/>
  <c r="AW1343" i="4"/>
  <c r="AW39" i="11" l="1"/>
  <c r="AW40" i="11" s="1"/>
  <c r="AX1101" i="4"/>
  <c r="AX1103" i="4" s="1"/>
  <c r="AX1104" i="4" s="1"/>
  <c r="AX1105" i="4" s="1"/>
  <c r="AY499" i="4"/>
  <c r="AX51" i="11"/>
  <c r="AX64" i="62"/>
  <c r="AX491" i="4"/>
  <c r="AW1516" i="4"/>
  <c r="AW1517" i="4" s="1"/>
  <c r="AW1473" i="4"/>
  <c r="AW1468" i="4" s="1"/>
  <c r="AY1100" i="4" l="1"/>
  <c r="AX15" i="11"/>
  <c r="AX13" i="11" s="1"/>
  <c r="AY488" i="4"/>
  <c r="AX62" i="64"/>
  <c r="AX984" i="4"/>
  <c r="AX988" i="4" s="1"/>
  <c r="AX1120" i="4" l="1"/>
  <c r="AX992" i="4"/>
  <c r="AX71" i="11"/>
  <c r="AX1320" i="4"/>
  <c r="AX1294" i="4"/>
  <c r="AX1298" i="4" s="1"/>
  <c r="AX78" i="64"/>
  <c r="AX70" i="64"/>
  <c r="AX1073" i="4" l="1"/>
  <c r="AX1077" i="4" s="1"/>
  <c r="AX1081" i="4" s="1"/>
  <c r="AX47" i="11"/>
  <c r="AX62" i="11" l="1"/>
  <c r="AX61" i="11"/>
  <c r="AX48" i="11"/>
  <c r="AX55" i="11" s="1"/>
  <c r="AX1082" i="4"/>
  <c r="AX1093" i="4" s="1"/>
  <c r="AX1090" i="4" s="1"/>
  <c r="AX1083" i="4" s="1"/>
  <c r="AX1084" i="4" s="1"/>
  <c r="AX1089" i="4"/>
  <c r="AX1091" i="4" l="1"/>
  <c r="AY1088" i="4" s="1"/>
  <c r="AX61" i="64"/>
  <c r="AX1323" i="4"/>
  <c r="AX75" i="11"/>
  <c r="AX56" i="11"/>
  <c r="AX57" i="11" s="1"/>
  <c r="AX1123" i="4"/>
  <c r="AX1130" i="4" s="1"/>
  <c r="AX1132" i="4" s="1"/>
  <c r="AX1135" i="4" s="1"/>
  <c r="AX1299" i="4"/>
  <c r="AX1300" i="4" s="1"/>
  <c r="AX63" i="11"/>
  <c r="AX1472" i="4"/>
  <c r="AX64" i="11"/>
  <c r="AX62" i="62"/>
  <c r="AX63" i="62" l="1"/>
  <c r="AX67" i="62" s="1"/>
  <c r="AX1313" i="4"/>
  <c r="AX1471" i="4"/>
  <c r="AX1283" i="4"/>
  <c r="AX69" i="64"/>
  <c r="AX74" i="64" s="1"/>
  <c r="AX77" i="64"/>
  <c r="AX82" i="64" s="1"/>
  <c r="AX66" i="64"/>
  <c r="AX40" i="64" s="1"/>
  <c r="AX42" i="64" s="1"/>
  <c r="AX68" i="62" l="1"/>
  <c r="AX1193" i="4"/>
  <c r="AX1194" i="4" s="1"/>
  <c r="AX1196" i="4" s="1"/>
  <c r="AX1198" i="4" s="1"/>
  <c r="AX1164" i="4" s="1"/>
  <c r="AX49" i="64"/>
  <c r="AX52" i="64"/>
  <c r="AX1214" i="4" l="1"/>
  <c r="AX1165" i="4"/>
  <c r="AY1162" i="4" l="1"/>
  <c r="AY1207" i="4"/>
  <c r="AY1225" i="4" s="1"/>
  <c r="AX1324" i="4"/>
  <c r="AX1302" i="4"/>
  <c r="AX1303" i="4" s="1"/>
  <c r="AX88" i="11"/>
  <c r="AX38" i="66"/>
  <c r="AX1481" i="4"/>
  <c r="AX1424" i="4"/>
  <c r="AX1215" i="4"/>
  <c r="AX1281" i="4" l="1"/>
  <c r="AX1271" i="4"/>
  <c r="AX31" i="11"/>
  <c r="AX1505" i="4"/>
  <c r="AX1489" i="4"/>
  <c r="AX1490" i="4" s="1"/>
  <c r="AY1212" i="4"/>
  <c r="AX1515" i="4"/>
  <c r="AY1163" i="4"/>
  <c r="AY1492" i="4" l="1"/>
  <c r="AX1495" i="4"/>
  <c r="AX1493" i="4"/>
  <c r="AX45" i="62"/>
  <c r="AX30" i="11"/>
  <c r="AX1252" i="4"/>
  <c r="AX1274" i="4"/>
  <c r="AX1275" i="4" s="1"/>
  <c r="AX1265" i="4" s="1"/>
  <c r="AY1213" i="4"/>
  <c r="AY1206" i="4"/>
  <c r="AY1224" i="4" s="1"/>
  <c r="AY1226" i="4" s="1"/>
  <c r="AY1202" i="4"/>
  <c r="AY1178" i="4"/>
  <c r="AX1496" i="4" l="1"/>
  <c r="AY1179" i="4"/>
  <c r="AY1189" i="4"/>
  <c r="AY1218" i="4" s="1"/>
  <c r="AY1180" i="4"/>
  <c r="U72" i="67"/>
  <c r="AY1076" i="4"/>
  <c r="AY297" i="4"/>
  <c r="AY305" i="4" s="1"/>
  <c r="AY330" i="4" s="1"/>
  <c r="AY50" i="11"/>
  <c r="AY72" i="11"/>
  <c r="AY1295" i="4"/>
  <c r="AY1326" i="4"/>
  <c r="AY1122" i="4"/>
  <c r="AY37" i="66"/>
  <c r="U87" i="67"/>
  <c r="AY18" i="66"/>
  <c r="AY1310" i="4"/>
  <c r="AY87" i="11"/>
  <c r="AY1336" i="4"/>
  <c r="AY1423" i="4"/>
  <c r="AX1266" i="4"/>
  <c r="AX1264" i="4"/>
  <c r="AX1261" i="4"/>
  <c r="AX1257" i="4"/>
  <c r="M162" i="15"/>
  <c r="G162" i="15" s="1"/>
  <c r="AX1268" i="4" l="1"/>
  <c r="U50" i="67"/>
  <c r="U49" i="67" s="1"/>
  <c r="AY49" i="11"/>
  <c r="AZ468" i="4"/>
  <c r="AY456" i="4"/>
  <c r="AY458" i="4" s="1"/>
  <c r="AY459" i="4" s="1"/>
  <c r="AY467" i="4"/>
  <c r="AY469" i="4" s="1"/>
  <c r="AY470" i="4" s="1"/>
  <c r="AY471" i="4" s="1"/>
  <c r="AY472" i="4" s="1"/>
  <c r="AZ466" i="4" s="1"/>
  <c r="AZ457" i="4"/>
  <c r="AY478" i="4"/>
  <c r="AY480" i="4" s="1"/>
  <c r="AY481" i="4" s="1"/>
  <c r="AY482" i="4" s="1"/>
  <c r="AY483" i="4" s="1"/>
  <c r="AZ477" i="4" s="1"/>
  <c r="AZ479" i="4"/>
  <c r="AX1304" i="4"/>
  <c r="AX74" i="11"/>
  <c r="AX1272" i="4"/>
  <c r="AX1327" i="4"/>
  <c r="AX36" i="66"/>
  <c r="AX1386" i="4"/>
  <c r="AY1169" i="4"/>
  <c r="AY1168" i="4"/>
  <c r="AY1220" i="4"/>
  <c r="AY1219" i="4"/>
  <c r="AY294" i="4" s="1"/>
  <c r="AY1074" i="4"/>
  <c r="AX1253" i="4"/>
  <c r="AX1309" i="4"/>
  <c r="AX86" i="11"/>
  <c r="AX19" i="66"/>
  <c r="AX1338" i="4"/>
  <c r="AX1480" i="4"/>
  <c r="AY1181" i="4"/>
  <c r="AZ495" i="4" l="1"/>
  <c r="AZ1072" i="4" s="1"/>
  <c r="AY1170" i="4"/>
  <c r="AY1188" i="4" s="1"/>
  <c r="U53" i="67"/>
  <c r="U52" i="67" s="1"/>
  <c r="AY53" i="11"/>
  <c r="AY52" i="11" s="1"/>
  <c r="AX1276" i="4"/>
  <c r="AX1254" i="4" s="1"/>
  <c r="AX78" i="11"/>
  <c r="AY460" i="4"/>
  <c r="AY461" i="4" s="1"/>
  <c r="AZ455" i="4" s="1"/>
  <c r="AY494" i="4"/>
  <c r="AY1071" i="4" s="1"/>
  <c r="AY1197" i="4"/>
  <c r="AY1190" i="4"/>
  <c r="AY1221" i="4" s="1"/>
  <c r="AX17" i="66"/>
  <c r="AX1483" i="4"/>
  <c r="AY299" i="4"/>
  <c r="AY302" i="4"/>
  <c r="AY331" i="4" l="1"/>
  <c r="AY307" i="4"/>
  <c r="AX1421" i="4"/>
  <c r="AX1385" i="4"/>
  <c r="AY1121" i="4"/>
  <c r="AY1144" i="4" s="1"/>
  <c r="AY73" i="11"/>
  <c r="AY1325" i="4"/>
  <c r="AY1301" i="4"/>
  <c r="U23" i="13"/>
  <c r="U73" i="67"/>
  <c r="AX39" i="66"/>
  <c r="AX1305" i="4"/>
  <c r="AX1328" i="4"/>
  <c r="AX89" i="11"/>
  <c r="AX1255" i="4"/>
  <c r="AY332" i="4" l="1"/>
  <c r="AY14" i="11" s="1"/>
  <c r="AX35" i="66"/>
  <c r="AY1234" i="4"/>
  <c r="AY1235" i="4"/>
  <c r="AY1251" i="4" s="1"/>
  <c r="AY1145" i="4"/>
  <c r="AX1388" i="4"/>
  <c r="AX1425" i="4"/>
  <c r="AY1250" i="4"/>
  <c r="AX27" i="11"/>
  <c r="AX1506" i="4"/>
  <c r="AX1282" i="4"/>
  <c r="AY405" i="4"/>
  <c r="AY406" i="4" s="1"/>
  <c r="AY407" i="4" s="1"/>
  <c r="AY408" i="4" s="1"/>
  <c r="AY409" i="4" s="1"/>
  <c r="AZ404" i="4" s="1"/>
  <c r="AY385" i="4"/>
  <c r="AY395" i="4"/>
  <c r="AY396" i="4" s="1"/>
  <c r="AY397" i="4" s="1"/>
  <c r="AY398" i="4" s="1"/>
  <c r="AY399" i="4" s="1"/>
  <c r="AZ394" i="4" s="1"/>
  <c r="U14" i="67" l="1"/>
  <c r="AX1440" i="4"/>
  <c r="AY500" i="4"/>
  <c r="AY386" i="4"/>
  <c r="AY387" i="4" s="1"/>
  <c r="AY489" i="4"/>
  <c r="AX1390" i="4"/>
  <c r="AX1402" i="4"/>
  <c r="AX1284" i="4"/>
  <c r="AX1286" i="4" s="1"/>
  <c r="AY1241" i="4"/>
  <c r="AY1236" i="4"/>
  <c r="AX1507" i="4"/>
  <c r="AX1508" i="4" s="1"/>
  <c r="AX1509" i="4"/>
  <c r="M148" i="15"/>
  <c r="G148" i="15" s="1"/>
  <c r="N1393" i="4"/>
  <c r="O1393" i="4"/>
  <c r="P1393" i="4"/>
  <c r="Q1393" i="4"/>
  <c r="R1393" i="4"/>
  <c r="S1393" i="4"/>
  <c r="T1393" i="4"/>
  <c r="AX58" i="11" l="1"/>
  <c r="AX90" i="11"/>
  <c r="AX1329" i="4"/>
  <c r="AX1306" i="4"/>
  <c r="AX48" i="62"/>
  <c r="AX22" i="66"/>
  <c r="AX1403" i="4"/>
  <c r="AX1404" i="4" s="1"/>
  <c r="AY1244" i="4"/>
  <c r="AY1245" i="4" s="1"/>
  <c r="AY1337" i="4"/>
  <c r="AY85" i="11"/>
  <c r="AY1308" i="4"/>
  <c r="AY42" i="62"/>
  <c r="U85" i="67"/>
  <c r="AY501" i="4"/>
  <c r="AY502" i="4" s="1"/>
  <c r="AY490" i="4"/>
  <c r="AY388" i="4"/>
  <c r="AY389" i="4" s="1"/>
  <c r="AZ384" i="4" s="1"/>
  <c r="AX1441" i="4"/>
  <c r="AX1442" i="4" s="1"/>
  <c r="AX1285" i="4"/>
  <c r="S1396" i="4"/>
  <c r="Q1396" i="4"/>
  <c r="O1396" i="4"/>
  <c r="T1396" i="4"/>
  <c r="R1396" i="4"/>
  <c r="N1396" i="4"/>
  <c r="P1396" i="4"/>
  <c r="U26" i="67" l="1"/>
  <c r="AZ1240" i="4"/>
  <c r="AY26" i="11"/>
  <c r="AY64" i="62"/>
  <c r="AY51" i="11"/>
  <c r="U51" i="67"/>
  <c r="AY491" i="4"/>
  <c r="AX24" i="62"/>
  <c r="AX1307" i="4"/>
  <c r="AX1311" i="4" s="1"/>
  <c r="AY1290" i="4" s="1"/>
  <c r="AZ499" i="4"/>
  <c r="AY1101" i="4"/>
  <c r="AY1103" i="4" s="1"/>
  <c r="AY1104" i="4" s="1"/>
  <c r="AY1105" i="4" s="1"/>
  <c r="AY52" i="62"/>
  <c r="AY43" i="62"/>
  <c r="AY23" i="62" s="1"/>
  <c r="AY16" i="66" s="1"/>
  <c r="AY14" i="66" s="1"/>
  <c r="AY13" i="66" s="1"/>
  <c r="AX91" i="11"/>
  <c r="AX59" i="11"/>
  <c r="AY984" i="4" l="1"/>
  <c r="AY988" i="4" s="1"/>
  <c r="AY62" i="64"/>
  <c r="AZ1100" i="4"/>
  <c r="AX28" i="11"/>
  <c r="AY1128" i="4"/>
  <c r="AX93" i="11"/>
  <c r="AX96" i="11" s="1"/>
  <c r="AX97" i="11" s="1"/>
  <c r="AX26" i="62"/>
  <c r="U15" i="67"/>
  <c r="U13" i="67" s="1"/>
  <c r="AY15" i="11"/>
  <c r="AY13" i="11" s="1"/>
  <c r="AZ488" i="4"/>
  <c r="AX25" i="11" l="1"/>
  <c r="AY78" i="64"/>
  <c r="AY70" i="64"/>
  <c r="AX100" i="67"/>
  <c r="AX21" i="11"/>
  <c r="AX17" i="11" s="1"/>
  <c r="AX46" i="62"/>
  <c r="AX101" i="67"/>
  <c r="AX1330" i="4"/>
  <c r="AX1462" i="4"/>
  <c r="AX1461" i="4" s="1"/>
  <c r="AX101" i="11"/>
  <c r="AX24" i="66"/>
  <c r="AX1340" i="4"/>
  <c r="AY95" i="11"/>
  <c r="AX100" i="11"/>
  <c r="AX44" i="66"/>
  <c r="AY71" i="11"/>
  <c r="AY992" i="4"/>
  <c r="AY1294" i="4"/>
  <c r="AY1298" i="4" s="1"/>
  <c r="AY1320" i="4"/>
  <c r="AY1120" i="4"/>
  <c r="U40" i="13"/>
  <c r="U71" i="67"/>
  <c r="AX99" i="11" l="1"/>
  <c r="AX20" i="66"/>
  <c r="U47" i="67"/>
  <c r="AY1073" i="4"/>
  <c r="AY1077" i="4" s="1"/>
  <c r="AY1081" i="4" s="1"/>
  <c r="AY47" i="11"/>
  <c r="U20" i="72"/>
  <c r="AX1474" i="4"/>
  <c r="AX1469" i="4" s="1"/>
  <c r="AX1475" i="4"/>
  <c r="AX1470" i="4" s="1"/>
  <c r="AX37" i="11"/>
  <c r="AX1331" i="4"/>
  <c r="AX40" i="66"/>
  <c r="AX1463" i="4"/>
  <c r="AX1460" i="4" s="1"/>
  <c r="AX23" i="11"/>
  <c r="AX1341" i="4"/>
  <c r="AX39" i="11" l="1"/>
  <c r="AX40" i="11" s="1"/>
  <c r="AX46" i="66"/>
  <c r="AY61" i="11"/>
  <c r="AY62" i="11"/>
  <c r="AY48" i="11"/>
  <c r="AY55" i="11" s="1"/>
  <c r="AY1082" i="4"/>
  <c r="AY1093" i="4" s="1"/>
  <c r="AY1090" i="4" s="1"/>
  <c r="AY1083" i="4" s="1"/>
  <c r="AY1084" i="4" s="1"/>
  <c r="AY1089" i="4"/>
  <c r="AX1343" i="4"/>
  <c r="U62" i="67"/>
  <c r="U64" i="67" s="1"/>
  <c r="U61" i="67"/>
  <c r="U63" i="67" s="1"/>
  <c r="U48" i="67"/>
  <c r="U55" i="67" s="1"/>
  <c r="AX1516" i="4"/>
  <c r="AX1517" i="4" s="1"/>
  <c r="AX1473" i="4"/>
  <c r="AX1468" i="4" s="1"/>
  <c r="AX26" i="66"/>
  <c r="AY1091" i="4" l="1"/>
  <c r="AZ1088" i="4" s="1"/>
  <c r="AY1299" i="4"/>
  <c r="AY1300" i="4" s="1"/>
  <c r="AY75" i="11"/>
  <c r="AY1123" i="4"/>
  <c r="AY1130" i="4" s="1"/>
  <c r="AY1323" i="4"/>
  <c r="AY61" i="64"/>
  <c r="AY56" i="11"/>
  <c r="AY57" i="11" s="1"/>
  <c r="U56" i="67"/>
  <c r="U57" i="67" s="1"/>
  <c r="U75" i="67"/>
  <c r="U41" i="13"/>
  <c r="U43" i="13" s="1"/>
  <c r="AY62" i="62"/>
  <c r="AY64" i="11"/>
  <c r="AY1472" i="4"/>
  <c r="AY63" i="11"/>
  <c r="U1526" i="4"/>
  <c r="AX48" i="66"/>
  <c r="AY1471" i="4" l="1"/>
  <c r="AY1283" i="4"/>
  <c r="AY63" i="62"/>
  <c r="AY67" i="62" s="1"/>
  <c r="AY69" i="64"/>
  <c r="AY74" i="64" s="1"/>
  <c r="AY77" i="64"/>
  <c r="AY82" i="64" s="1"/>
  <c r="AY66" i="64"/>
  <c r="AY40" i="64" s="1"/>
  <c r="AY42" i="64" s="1"/>
  <c r="AY1132" i="4"/>
  <c r="AY1313" i="4"/>
  <c r="AY68" i="62" l="1"/>
  <c r="AY1135" i="4"/>
  <c r="AY52" i="64"/>
  <c r="AY49" i="64"/>
  <c r="AY1193" i="4"/>
  <c r="AY1194" i="4" l="1"/>
  <c r="AY1196" i="4" l="1"/>
  <c r="AY1198" i="4" l="1"/>
  <c r="AY1164" i="4" s="1"/>
  <c r="AY1214" i="4" l="1"/>
  <c r="AY1165" i="4"/>
  <c r="AZ1162" i="4" l="1"/>
  <c r="AZ1207" i="4"/>
  <c r="AZ1225" i="4" s="1"/>
  <c r="AY1481" i="4"/>
  <c r="AY38" i="66"/>
  <c r="AY1302" i="4"/>
  <c r="AY1303" i="4" s="1"/>
  <c r="AY1324" i="4"/>
  <c r="AY88" i="11"/>
  <c r="AY1424" i="4"/>
  <c r="U88" i="67"/>
  <c r="U24" i="13"/>
  <c r="AY1215" i="4"/>
  <c r="AY1281" i="4" l="1"/>
  <c r="AY1271" i="4"/>
  <c r="U31" i="67"/>
  <c r="U30" i="67" s="1"/>
  <c r="U1525" i="4"/>
  <c r="U1529" i="4" s="1"/>
  <c r="AY31" i="11"/>
  <c r="AY1489" i="4"/>
  <c r="AY1490" i="4" s="1"/>
  <c r="AY1505" i="4"/>
  <c r="AZ1212" i="4"/>
  <c r="AY1515" i="4"/>
  <c r="AZ1163" i="4"/>
  <c r="AY1495" i="4" l="1"/>
  <c r="AY1493" i="4"/>
  <c r="AY45" i="62"/>
  <c r="AY30" i="11"/>
  <c r="AZ1492" i="4"/>
  <c r="AY1274" i="4"/>
  <c r="AY1275" i="4" s="1"/>
  <c r="AY1265" i="4" s="1"/>
  <c r="AY1252" i="4"/>
  <c r="AZ1213" i="4"/>
  <c r="AZ1206" i="4"/>
  <c r="AZ1224" i="4" s="1"/>
  <c r="AZ1226" i="4" s="1"/>
  <c r="AZ1202" i="4"/>
  <c r="AZ1178" i="4"/>
  <c r="AY1496" i="4" l="1"/>
  <c r="AZ18" i="66"/>
  <c r="AZ1310" i="4"/>
  <c r="AZ87" i="11"/>
  <c r="AZ1336" i="4"/>
  <c r="AZ1423" i="4"/>
  <c r="AZ297" i="4"/>
  <c r="AZ305" i="4" s="1"/>
  <c r="AZ330" i="4" s="1"/>
  <c r="AZ1326" i="4"/>
  <c r="AZ37" i="66"/>
  <c r="AZ72" i="11"/>
  <c r="AZ50" i="11"/>
  <c r="AZ49" i="11" s="1"/>
  <c r="AZ1076" i="4"/>
  <c r="AZ1122" i="4"/>
  <c r="AZ1295" i="4"/>
  <c r="AY1264" i="4"/>
  <c r="AY1266" i="4"/>
  <c r="AZ1189" i="4"/>
  <c r="AZ1218" i="4" s="1"/>
  <c r="AZ1179" i="4"/>
  <c r="AZ1180" i="4"/>
  <c r="AY1261" i="4"/>
  <c r="AY1257" i="4"/>
  <c r="AY1309" i="4" l="1"/>
  <c r="AY1338" i="4"/>
  <c r="AY86" i="11"/>
  <c r="AY19" i="66"/>
  <c r="U86" i="67"/>
  <c r="AY1480" i="4"/>
  <c r="AY1253" i="4"/>
  <c r="AY1268" i="4"/>
  <c r="BA468" i="4"/>
  <c r="AZ478" i="4"/>
  <c r="AZ480" i="4" s="1"/>
  <c r="AZ481" i="4" s="1"/>
  <c r="AZ482" i="4" s="1"/>
  <c r="AZ483" i="4" s="1"/>
  <c r="BA477" i="4" s="1"/>
  <c r="BA479" i="4"/>
  <c r="AZ456" i="4"/>
  <c r="AZ458" i="4" s="1"/>
  <c r="AZ459" i="4" s="1"/>
  <c r="BA457" i="4"/>
  <c r="AZ467" i="4"/>
  <c r="AZ469" i="4" s="1"/>
  <c r="AZ470" i="4" s="1"/>
  <c r="AZ471" i="4" s="1"/>
  <c r="AZ472" i="4" s="1"/>
  <c r="BA466" i="4" s="1"/>
  <c r="AZ1181" i="4"/>
  <c r="AZ1219" i="4"/>
  <c r="AZ294" i="4" s="1"/>
  <c r="AZ1220" i="4"/>
  <c r="AZ53" i="11" s="1"/>
  <c r="AZ52" i="11" s="1"/>
  <c r="AZ1074" i="4"/>
  <c r="AZ1169" i="4"/>
  <c r="AZ1168" i="4"/>
  <c r="AY1304" i="4"/>
  <c r="AY1272" i="4"/>
  <c r="AY74" i="11"/>
  <c r="AY1327" i="4"/>
  <c r="U74" i="67"/>
  <c r="AY36" i="66"/>
  <c r="AY1386" i="4"/>
  <c r="AZ1170" i="4" l="1"/>
  <c r="AZ1188" i="4" s="1"/>
  <c r="U25" i="13"/>
  <c r="AY1483" i="4"/>
  <c r="AZ460" i="4"/>
  <c r="AZ461" i="4" s="1"/>
  <c r="BA455" i="4" s="1"/>
  <c r="AZ494" i="4"/>
  <c r="AZ1071" i="4" s="1"/>
  <c r="AY78" i="11"/>
  <c r="AZ1190" i="4"/>
  <c r="AZ1221" i="4" s="1"/>
  <c r="AZ1197" i="4"/>
  <c r="AY17" i="66"/>
  <c r="AZ299" i="4"/>
  <c r="AZ302" i="4"/>
  <c r="AY1276" i="4"/>
  <c r="AY1254" i="4" s="1"/>
  <c r="U78" i="67"/>
  <c r="BA495" i="4"/>
  <c r="BA1072" i="4" s="1"/>
  <c r="AY39" i="66" l="1"/>
  <c r="AY1305" i="4"/>
  <c r="AY1328" i="4"/>
  <c r="AY89" i="11"/>
  <c r="U89" i="67"/>
  <c r="AZ331" i="4"/>
  <c r="AZ307" i="4"/>
  <c r="AY1255" i="4"/>
  <c r="AZ1301" i="4"/>
  <c r="AZ73" i="11"/>
  <c r="AZ1325" i="4"/>
  <c r="AZ1121" i="4"/>
  <c r="AZ1144" i="4" s="1"/>
  <c r="AY1385" i="4"/>
  <c r="AY1421" i="4"/>
  <c r="AZ332" i="4" l="1"/>
  <c r="AZ14" i="11" s="1"/>
  <c r="AZ385" i="4"/>
  <c r="AZ395" i="4"/>
  <c r="AZ396" i="4" s="1"/>
  <c r="AZ397" i="4" s="1"/>
  <c r="AZ398" i="4" s="1"/>
  <c r="AZ399" i="4" s="1"/>
  <c r="BA394" i="4" s="1"/>
  <c r="AZ405" i="4"/>
  <c r="AZ406" i="4" s="1"/>
  <c r="AZ407" i="4" s="1"/>
  <c r="AZ408" i="4" s="1"/>
  <c r="AZ409" i="4" s="1"/>
  <c r="BA404" i="4" s="1"/>
  <c r="AY1425" i="4"/>
  <c r="U13" i="13"/>
  <c r="AY1282" i="4"/>
  <c r="AZ1234" i="4"/>
  <c r="AZ1145" i="4"/>
  <c r="AZ1235" i="4"/>
  <c r="AZ1251" i="4" s="1"/>
  <c r="AY1388" i="4"/>
  <c r="AZ1250" i="4"/>
  <c r="U27" i="67"/>
  <c r="AY27" i="11"/>
  <c r="AY1506" i="4"/>
  <c r="AY35" i="66"/>
  <c r="AY1390" i="4" l="1"/>
  <c r="AY1402" i="4"/>
  <c r="AY1440" i="4"/>
  <c r="AY1507" i="4"/>
  <c r="AY1508" i="4" s="1"/>
  <c r="AY1509" i="4"/>
  <c r="AZ1236" i="4"/>
  <c r="AZ1241" i="4"/>
  <c r="AY1284" i="4"/>
  <c r="AY1286" i="4" s="1"/>
  <c r="AZ500" i="4"/>
  <c r="AZ489" i="4"/>
  <c r="AZ386" i="4"/>
  <c r="AZ387" i="4" s="1"/>
  <c r="AY1285" i="4" l="1"/>
  <c r="AY1403" i="4"/>
  <c r="AY1404" i="4" s="1"/>
  <c r="AY48" i="62"/>
  <c r="AY58" i="11"/>
  <c r="AY90" i="11"/>
  <c r="AY1306" i="4"/>
  <c r="AY1329" i="4"/>
  <c r="U90" i="67"/>
  <c r="U58" i="67"/>
  <c r="AY22" i="66"/>
  <c r="AY1441" i="4"/>
  <c r="AY1442" i="4" s="1"/>
  <c r="U1393" i="4"/>
  <c r="AZ501" i="4"/>
  <c r="AZ502" i="4" s="1"/>
  <c r="AZ490" i="4"/>
  <c r="AZ491" i="4" s="1"/>
  <c r="AZ388" i="4"/>
  <c r="AZ389" i="4" s="1"/>
  <c r="BA384" i="4" s="1"/>
  <c r="AZ42" i="62"/>
  <c r="AZ1244" i="4"/>
  <c r="AZ1245" i="4" s="1"/>
  <c r="AZ1308" i="4"/>
  <c r="AZ1337" i="4"/>
  <c r="AZ85" i="11"/>
  <c r="BA488" i="4" l="1"/>
  <c r="AZ15" i="11"/>
  <c r="AZ13" i="11" s="1"/>
  <c r="BA499" i="4"/>
  <c r="AZ1101" i="4"/>
  <c r="AZ1103" i="4" s="1"/>
  <c r="AZ1104" i="4" s="1"/>
  <c r="AZ1105" i="4" s="1"/>
  <c r="AY59" i="11"/>
  <c r="AY24" i="62"/>
  <c r="BA1240" i="4"/>
  <c r="AZ26" i="11"/>
  <c r="U59" i="67"/>
  <c r="AZ64" i="62"/>
  <c r="AZ51" i="11"/>
  <c r="U1396" i="4"/>
  <c r="U91" i="67"/>
  <c r="AY1307" i="4"/>
  <c r="AY1311" i="4" s="1"/>
  <c r="AZ1290" i="4" s="1"/>
  <c r="AZ52" i="62"/>
  <c r="AZ43" i="62"/>
  <c r="AZ23" i="62" s="1"/>
  <c r="AY91" i="11"/>
  <c r="AY26" i="62" l="1"/>
  <c r="AZ1128" i="4"/>
  <c r="U93" i="67"/>
  <c r="U96" i="67" s="1"/>
  <c r="U97" i="67" s="1"/>
  <c r="AY28" i="11"/>
  <c r="AZ984" i="4"/>
  <c r="AZ988" i="4" s="1"/>
  <c r="AZ62" i="64"/>
  <c r="BA1100" i="4"/>
  <c r="AZ16" i="66"/>
  <c r="AZ14" i="66" s="1"/>
  <c r="AZ13" i="66" s="1"/>
  <c r="AY93" i="11"/>
  <c r="AY96" i="11" s="1"/>
  <c r="AY97" i="11" s="1"/>
  <c r="AY25" i="11" l="1"/>
  <c r="U28" i="67"/>
  <c r="U25" i="67" s="1"/>
  <c r="U37" i="67" s="1"/>
  <c r="V95" i="67"/>
  <c r="AY101" i="11"/>
  <c r="AY100" i="67"/>
  <c r="AY1462" i="4"/>
  <c r="AY1461" i="4" s="1"/>
  <c r="U21" i="67"/>
  <c r="U17" i="67" s="1"/>
  <c r="U23" i="67" s="1"/>
  <c r="AY100" i="11"/>
  <c r="U1527" i="4"/>
  <c r="U1534" i="4" s="1"/>
  <c r="AY46" i="62"/>
  <c r="AY101" i="67"/>
  <c r="AY1340" i="4"/>
  <c r="AY1330" i="4"/>
  <c r="AY44" i="66"/>
  <c r="AY24" i="66"/>
  <c r="AY21" i="11"/>
  <c r="AY17" i="11" s="1"/>
  <c r="AZ95" i="11"/>
  <c r="AZ70" i="64"/>
  <c r="AZ78" i="64"/>
  <c r="AZ71" i="11"/>
  <c r="AZ1320" i="4"/>
  <c r="AZ1294" i="4"/>
  <c r="AZ1298" i="4" s="1"/>
  <c r="AZ1120" i="4"/>
  <c r="AZ992" i="4"/>
  <c r="AY99" i="11" l="1"/>
  <c r="U99" i="67"/>
  <c r="AY1341" i="4"/>
  <c r="AZ1073" i="4"/>
  <c r="AZ1077" i="4" s="1"/>
  <c r="AZ1081" i="4" s="1"/>
  <c r="AZ47" i="11"/>
  <c r="AY1463" i="4"/>
  <c r="AY1460" i="4" s="1"/>
  <c r="AY23" i="11"/>
  <c r="AY40" i="66"/>
  <c r="U39" i="67"/>
  <c r="AY20" i="66"/>
  <c r="AY1331" i="4"/>
  <c r="AY1474" i="4"/>
  <c r="AY1469" i="4" s="1"/>
  <c r="AY37" i="11"/>
  <c r="AY1475" i="4"/>
  <c r="AY1470" i="4" s="1"/>
  <c r="AY39" i="11" l="1"/>
  <c r="AY40" i="11" s="1"/>
  <c r="AY46" i="66"/>
  <c r="AZ62" i="11"/>
  <c r="AZ61" i="11"/>
  <c r="AZ48" i="11"/>
  <c r="AZ55" i="11" s="1"/>
  <c r="AY26" i="66"/>
  <c r="AZ1082" i="4"/>
  <c r="AZ1089" i="4"/>
  <c r="U40" i="67"/>
  <c r="AY1516" i="4"/>
  <c r="AY1517" i="4" s="1"/>
  <c r="AY1473" i="4"/>
  <c r="AY1468" i="4" s="1"/>
  <c r="AY1343" i="4"/>
  <c r="AZ63" i="11" l="1"/>
  <c r="AZ62" i="62"/>
  <c r="AZ64" i="11"/>
  <c r="AZ1472" i="4"/>
  <c r="AZ1093" i="4"/>
  <c r="AZ1090" i="4" s="1"/>
  <c r="AZ1083" i="4" s="1"/>
  <c r="AZ1084" i="4" s="1"/>
  <c r="AY48" i="66"/>
  <c r="AZ1091" i="4" l="1"/>
  <c r="BA1088" i="4" s="1"/>
  <c r="AZ63" i="62"/>
  <c r="AZ67" i="62" s="1"/>
  <c r="AZ1323" i="4"/>
  <c r="AZ75" i="11"/>
  <c r="AZ1123" i="4"/>
  <c r="AZ1130" i="4" s="1"/>
  <c r="AZ56" i="11"/>
  <c r="AZ57" i="11" s="1"/>
  <c r="AZ1299" i="4"/>
  <c r="AZ1300" i="4" s="1"/>
  <c r="AZ61" i="64"/>
  <c r="AZ68" i="62" l="1"/>
  <c r="AZ1471" i="4"/>
  <c r="AZ1283" i="4"/>
  <c r="AZ1132" i="4"/>
  <c r="AZ77" i="64"/>
  <c r="AZ82" i="64" s="1"/>
  <c r="AZ69" i="64"/>
  <c r="AZ74" i="64" s="1"/>
  <c r="AZ66" i="64"/>
  <c r="AZ40" i="64" s="1"/>
  <c r="AZ42" i="64" s="1"/>
  <c r="AZ1313" i="4"/>
  <c r="AZ1135" i="4" l="1"/>
  <c r="AZ52" i="64"/>
  <c r="AZ49" i="64"/>
  <c r="AZ1193" i="4"/>
  <c r="AZ1194" i="4" l="1"/>
  <c r="AZ1196" i="4" l="1"/>
  <c r="AZ1198" i="4" l="1"/>
  <c r="AZ1164" i="4" s="1"/>
  <c r="AZ1214" i="4" l="1"/>
  <c r="AZ1165" i="4"/>
  <c r="BA1162" i="4" l="1"/>
  <c r="BA1207" i="4"/>
  <c r="BA1225" i="4" s="1"/>
  <c r="AZ1481" i="4"/>
  <c r="AZ1302" i="4"/>
  <c r="AZ1303" i="4" s="1"/>
  <c r="AZ1324" i="4"/>
  <c r="AZ38" i="66"/>
  <c r="AZ88" i="11"/>
  <c r="AZ1424" i="4"/>
  <c r="AZ1215" i="4"/>
  <c r="AZ1281" i="4" l="1"/>
  <c r="AZ1271" i="4"/>
  <c r="AZ31" i="11"/>
  <c r="AZ1489" i="4"/>
  <c r="AZ1490" i="4" s="1"/>
  <c r="AZ1505" i="4"/>
  <c r="AZ1515" i="4"/>
  <c r="BA1212" i="4"/>
  <c r="BA1163" i="4"/>
  <c r="BA1492" i="4" l="1"/>
  <c r="AZ1495" i="4"/>
  <c r="AZ1493" i="4"/>
  <c r="AZ45" i="62"/>
  <c r="AZ30" i="11"/>
  <c r="AZ1252" i="4"/>
  <c r="AZ1274" i="4"/>
  <c r="AZ1275" i="4" s="1"/>
  <c r="AZ1265" i="4" s="1"/>
  <c r="BA1213" i="4"/>
  <c r="BA1206" i="4"/>
  <c r="BA1224" i="4" s="1"/>
  <c r="BA1226" i="4" s="1"/>
  <c r="BA1202" i="4"/>
  <c r="BA1178" i="4"/>
  <c r="AZ1496" i="4" l="1"/>
  <c r="BA1189" i="4"/>
  <c r="BA1218" i="4" s="1"/>
  <c r="BA1180" i="4"/>
  <c r="BA1179" i="4"/>
  <c r="BA18" i="66"/>
  <c r="BA1310" i="4"/>
  <c r="BA1336" i="4"/>
  <c r="BA87" i="11"/>
  <c r="BA1423" i="4"/>
  <c r="AZ1264" i="4"/>
  <c r="AZ1266" i="4"/>
  <c r="BA297" i="4"/>
  <c r="BA305" i="4" s="1"/>
  <c r="BA330" i="4" s="1"/>
  <c r="BA72" i="11"/>
  <c r="BA50" i="11"/>
  <c r="BA49" i="11" s="1"/>
  <c r="BA1122" i="4"/>
  <c r="BA1326" i="4"/>
  <c r="BA37" i="66"/>
  <c r="BA1076" i="4"/>
  <c r="BA1295" i="4"/>
  <c r="AZ1261" i="4"/>
  <c r="AZ1257" i="4"/>
  <c r="BA1181" i="4" l="1"/>
  <c r="BA1190" i="4" s="1"/>
  <c r="BA1221" i="4" s="1"/>
  <c r="BA478" i="4"/>
  <c r="BA480" i="4" s="1"/>
  <c r="BA481" i="4" s="1"/>
  <c r="BA482" i="4" s="1"/>
  <c r="BA483" i="4" s="1"/>
  <c r="BB477" i="4" s="1"/>
  <c r="BB468" i="4"/>
  <c r="BA467" i="4"/>
  <c r="BA469" i="4" s="1"/>
  <c r="BA470" i="4" s="1"/>
  <c r="BA471" i="4" s="1"/>
  <c r="BA472" i="4" s="1"/>
  <c r="BB466" i="4" s="1"/>
  <c r="BB479" i="4"/>
  <c r="BA456" i="4"/>
  <c r="BA458" i="4" s="1"/>
  <c r="BA459" i="4" s="1"/>
  <c r="BB457" i="4"/>
  <c r="AZ1327" i="4"/>
  <c r="AZ1304" i="4"/>
  <c r="AZ1272" i="4"/>
  <c r="AZ74" i="11"/>
  <c r="AZ1386" i="4"/>
  <c r="AZ36" i="66"/>
  <c r="AZ1253" i="4"/>
  <c r="BA1168" i="4"/>
  <c r="BA1169" i="4"/>
  <c r="AZ19" i="66"/>
  <c r="AZ1309" i="4"/>
  <c r="AZ86" i="11"/>
  <c r="AZ1338" i="4"/>
  <c r="AZ1480" i="4"/>
  <c r="AZ1268" i="4"/>
  <c r="BA1219" i="4"/>
  <c r="BA294" i="4" s="1"/>
  <c r="BA1074" i="4"/>
  <c r="BA1220" i="4"/>
  <c r="BA53" i="11" s="1"/>
  <c r="BA52" i="11" s="1"/>
  <c r="BA1197" i="4" l="1"/>
  <c r="BB495" i="4"/>
  <c r="BB1072" i="4" s="1"/>
  <c r="AZ1483" i="4"/>
  <c r="BA1170" i="4"/>
  <c r="BA1188" i="4" s="1"/>
  <c r="AZ78" i="11"/>
  <c r="BA494" i="4"/>
  <c r="BA1071" i="4" s="1"/>
  <c r="BA460" i="4"/>
  <c r="BA461" i="4" s="1"/>
  <c r="BB455" i="4" s="1"/>
  <c r="BA1325" i="4"/>
  <c r="BA1301" i="4"/>
  <c r="BA1121" i="4"/>
  <c r="BA1144" i="4" s="1"/>
  <c r="BA73" i="11"/>
  <c r="AZ1276" i="4"/>
  <c r="AZ1254" i="4" s="1"/>
  <c r="AZ1255" i="4" s="1"/>
  <c r="BA299" i="4"/>
  <c r="BA302" i="4"/>
  <c r="AZ17" i="66"/>
  <c r="BA1250" i="4" l="1"/>
  <c r="AZ27" i="11"/>
  <c r="AZ1506" i="4"/>
  <c r="BA331" i="4"/>
  <c r="BA307" i="4"/>
  <c r="AZ1421" i="4"/>
  <c r="AZ1385" i="4"/>
  <c r="BA1235" i="4"/>
  <c r="BA1251" i="4" s="1"/>
  <c r="BA1234" i="4"/>
  <c r="BA1145" i="4"/>
  <c r="AZ89" i="11"/>
  <c r="AZ1305" i="4"/>
  <c r="AZ39" i="66"/>
  <c r="AZ1328" i="4"/>
  <c r="BA332" i="4" l="1"/>
  <c r="BA14" i="11" s="1"/>
  <c r="AZ1282" i="4"/>
  <c r="AZ1425" i="4"/>
  <c r="BA395" i="4"/>
  <c r="BA396" i="4" s="1"/>
  <c r="BA397" i="4" s="1"/>
  <c r="BA398" i="4" s="1"/>
  <c r="BA399" i="4" s="1"/>
  <c r="BB394" i="4" s="1"/>
  <c r="BA385" i="4"/>
  <c r="BA405" i="4"/>
  <c r="BA406" i="4" s="1"/>
  <c r="BA407" i="4" s="1"/>
  <c r="BA408" i="4" s="1"/>
  <c r="BA409" i="4" s="1"/>
  <c r="BB404" i="4" s="1"/>
  <c r="BA1241" i="4"/>
  <c r="BA1236" i="4"/>
  <c r="AZ1509" i="4"/>
  <c r="AZ1507" i="4"/>
  <c r="AZ1508" i="4" s="1"/>
  <c r="AZ35" i="66"/>
  <c r="AZ1388" i="4"/>
  <c r="BA500" i="4" l="1"/>
  <c r="BA489" i="4"/>
  <c r="BA386" i="4"/>
  <c r="BA387" i="4" s="1"/>
  <c r="AZ1440" i="4"/>
  <c r="AZ1390" i="4"/>
  <c r="AZ1402" i="4"/>
  <c r="BA1308" i="4"/>
  <c r="BA42" i="62"/>
  <c r="BA85" i="11"/>
  <c r="BA1244" i="4"/>
  <c r="BA1245" i="4" s="1"/>
  <c r="BA1337" i="4"/>
  <c r="AZ1284" i="4"/>
  <c r="AZ1286" i="4" s="1"/>
  <c r="AZ1285" i="4" l="1"/>
  <c r="AZ48" i="62"/>
  <c r="AZ1306" i="4"/>
  <c r="AZ58" i="11"/>
  <c r="AZ1329" i="4"/>
  <c r="AZ90" i="11"/>
  <c r="AZ22" i="66"/>
  <c r="AZ1403" i="4"/>
  <c r="AZ1404" i="4" s="1"/>
  <c r="BB1240" i="4"/>
  <c r="BA26" i="11"/>
  <c r="AZ1441" i="4"/>
  <c r="AZ1442" i="4" s="1"/>
  <c r="BA501" i="4"/>
  <c r="BA502" i="4" s="1"/>
  <c r="BA490" i="4"/>
  <c r="BA491" i="4" s="1"/>
  <c r="BA388" i="4"/>
  <c r="BA389" i="4" s="1"/>
  <c r="BB384" i="4" s="1"/>
  <c r="BA52" i="62"/>
  <c r="BA43" i="62"/>
  <c r="BA23" i="62" s="1"/>
  <c r="BA15" i="11" l="1"/>
  <c r="BA13" i="11" s="1"/>
  <c r="BB488" i="4"/>
  <c r="BA1101" i="4"/>
  <c r="BA1103" i="4" s="1"/>
  <c r="BA1104" i="4" s="1"/>
  <c r="BA1105" i="4" s="1"/>
  <c r="BB499" i="4"/>
  <c r="BA16" i="66"/>
  <c r="BA14" i="66" s="1"/>
  <c r="BA13" i="66" s="1"/>
  <c r="AZ91" i="11"/>
  <c r="AZ59" i="11"/>
  <c r="BA51" i="11"/>
  <c r="BA64" i="62"/>
  <c r="AZ1307" i="4"/>
  <c r="AZ1311" i="4" s="1"/>
  <c r="BA1290" i="4" s="1"/>
  <c r="AZ24" i="62"/>
  <c r="BA1128" i="4" l="1"/>
  <c r="AZ93" i="11"/>
  <c r="AZ96" i="11" s="1"/>
  <c r="AZ97" i="11" s="1"/>
  <c r="BB1100" i="4"/>
  <c r="BA62" i="64"/>
  <c r="BA984" i="4"/>
  <c r="BA988" i="4" s="1"/>
  <c r="AZ28" i="11"/>
  <c r="AZ26" i="62"/>
  <c r="BA71" i="11" l="1"/>
  <c r="BA992" i="4"/>
  <c r="BA1320" i="4"/>
  <c r="BA1120" i="4"/>
  <c r="BA1294" i="4"/>
  <c r="BA1298" i="4" s="1"/>
  <c r="BA70" i="64"/>
  <c r="BA78" i="64"/>
  <c r="AZ101" i="67"/>
  <c r="AZ100" i="11"/>
  <c r="AZ46" i="62"/>
  <c r="AZ1340" i="4"/>
  <c r="AZ1462" i="4"/>
  <c r="AZ1461" i="4" s="1"/>
  <c r="AZ1330" i="4"/>
  <c r="AZ101" i="11"/>
  <c r="AZ100" i="67"/>
  <c r="AZ24" i="66"/>
  <c r="BA95" i="11"/>
  <c r="AZ21" i="11"/>
  <c r="AZ17" i="11" s="1"/>
  <c r="AZ44" i="66"/>
  <c r="AZ25" i="11"/>
  <c r="AZ99" i="11" l="1"/>
  <c r="AZ1475" i="4"/>
  <c r="AZ1470" i="4" s="1"/>
  <c r="AZ1474" i="4"/>
  <c r="AZ1469" i="4" s="1"/>
  <c r="AZ37" i="11"/>
  <c r="AZ1331" i="4"/>
  <c r="AZ40" i="66"/>
  <c r="AZ1341" i="4"/>
  <c r="AZ1463" i="4"/>
  <c r="AZ1460" i="4" s="1"/>
  <c r="AZ23" i="11"/>
  <c r="BA1073" i="4"/>
  <c r="BA1077" i="4" s="1"/>
  <c r="BA1081" i="4" s="1"/>
  <c r="BA47" i="11"/>
  <c r="AZ20" i="66"/>
  <c r="AZ39" i="11" l="1"/>
  <c r="AZ40" i="11" s="1"/>
  <c r="AZ46" i="66"/>
  <c r="BA61" i="11"/>
  <c r="BA62" i="11"/>
  <c r="BA48" i="11"/>
  <c r="BA55" i="11" s="1"/>
  <c r="BA1082" i="4"/>
  <c r="BA1089" i="4"/>
  <c r="AZ1516" i="4"/>
  <c r="AZ1517" i="4" s="1"/>
  <c r="AZ1473" i="4"/>
  <c r="AZ1468" i="4" s="1"/>
  <c r="AZ1343" i="4"/>
  <c r="AZ26" i="66"/>
  <c r="BA1093" i="4" l="1"/>
  <c r="BA1090" i="4" s="1"/>
  <c r="BA1091" i="4" s="1"/>
  <c r="BB1088" i="4" s="1"/>
  <c r="BA64" i="11"/>
  <c r="BA62" i="62"/>
  <c r="BA1472" i="4"/>
  <c r="BA63" i="11"/>
  <c r="AZ48" i="66"/>
  <c r="BA1083" i="4" l="1"/>
  <c r="BA1084" i="4" s="1"/>
  <c r="BA63" i="62" s="1"/>
  <c r="BA67" i="62" s="1"/>
  <c r="BA68" i="62" l="1"/>
  <c r="BA1323" i="4"/>
  <c r="BA1299" i="4"/>
  <c r="BA1300" i="4" s="1"/>
  <c r="BA61" i="64"/>
  <c r="BA1123" i="4"/>
  <c r="BA1130" i="4" s="1"/>
  <c r="BA56" i="11"/>
  <c r="BA57" i="11" s="1"/>
  <c r="BA75" i="11"/>
  <c r="BA1132" i="4" l="1"/>
  <c r="BA77" i="64"/>
  <c r="BA82" i="64" s="1"/>
  <c r="BA69" i="64"/>
  <c r="BA74" i="64" s="1"/>
  <c r="BA66" i="64"/>
  <c r="BA40" i="64" s="1"/>
  <c r="BA42" i="64" s="1"/>
  <c r="BA1313" i="4"/>
  <c r="BA1471" i="4"/>
  <c r="BA1283" i="4"/>
  <c r="BA1193" i="4" l="1"/>
  <c r="BA52" i="64"/>
  <c r="BA49" i="64"/>
  <c r="BA1135" i="4"/>
  <c r="BA1194" i="4" l="1"/>
  <c r="BA1196" i="4" l="1"/>
  <c r="BA1198" i="4" l="1"/>
  <c r="BA1164" i="4" s="1"/>
  <c r="BA1214" i="4" l="1"/>
  <c r="BA1165" i="4"/>
  <c r="BB1162" i="4" l="1"/>
  <c r="BB1207" i="4"/>
  <c r="BB1225" i="4" s="1"/>
  <c r="BA1302" i="4"/>
  <c r="BA1303" i="4" s="1"/>
  <c r="BA1324" i="4"/>
  <c r="BA1481" i="4"/>
  <c r="BA88" i="11"/>
  <c r="BA38" i="66"/>
  <c r="BA1424" i="4"/>
  <c r="BA1215" i="4"/>
  <c r="BA31" i="11" l="1"/>
  <c r="BA1489" i="4"/>
  <c r="BA1490" i="4" s="1"/>
  <c r="BA1505" i="4"/>
  <c r="BB1212" i="4"/>
  <c r="BA1515" i="4"/>
  <c r="BA1281" i="4"/>
  <c r="BA1271" i="4"/>
  <c r="BB1163" i="4"/>
  <c r="BA1274" i="4" l="1"/>
  <c r="BA1275" i="4" s="1"/>
  <c r="BA1265" i="4" s="1"/>
  <c r="BA1252" i="4"/>
  <c r="BB1492" i="4"/>
  <c r="BA1495" i="4"/>
  <c r="BA1493" i="4"/>
  <c r="BB1213" i="4"/>
  <c r="BB1206" i="4"/>
  <c r="BB1224" i="4" s="1"/>
  <c r="BB1226" i="4" s="1"/>
  <c r="BB1202" i="4"/>
  <c r="BB1178" i="4"/>
  <c r="BA45" i="62"/>
  <c r="BA30" i="11"/>
  <c r="BA1496" i="4" l="1"/>
  <c r="BB1180" i="4"/>
  <c r="BB1179" i="4"/>
  <c r="BB1189" i="4"/>
  <c r="BB1218" i="4" s="1"/>
  <c r="BB297" i="4"/>
  <c r="BB305" i="4" s="1"/>
  <c r="BB330" i="4" s="1"/>
  <c r="BB72" i="11"/>
  <c r="BB37" i="66"/>
  <c r="BB50" i="11"/>
  <c r="BB49" i="11" s="1"/>
  <c r="BB1326" i="4"/>
  <c r="BB1295" i="4"/>
  <c r="BB1076" i="4"/>
  <c r="BB1122" i="4"/>
  <c r="BA1257" i="4"/>
  <c r="BA1261" i="4"/>
  <c r="BB18" i="66"/>
  <c r="BB87" i="11"/>
  <c r="BB1336" i="4"/>
  <c r="BB1310" i="4"/>
  <c r="BB1423" i="4"/>
  <c r="BA1264" i="4"/>
  <c r="BA1266" i="4"/>
  <c r="BB1181" i="4" l="1"/>
  <c r="BB1190" i="4" s="1"/>
  <c r="BB1221" i="4" s="1"/>
  <c r="BB478" i="4"/>
  <c r="BB480" i="4" s="1"/>
  <c r="BB481" i="4" s="1"/>
  <c r="BB482" i="4" s="1"/>
  <c r="BB483" i="4" s="1"/>
  <c r="BC477" i="4" s="1"/>
  <c r="BB456" i="4"/>
  <c r="BB458" i="4" s="1"/>
  <c r="BB459" i="4" s="1"/>
  <c r="BC468" i="4"/>
  <c r="BB467" i="4"/>
  <c r="BB469" i="4" s="1"/>
  <c r="BB470" i="4" s="1"/>
  <c r="BB471" i="4" s="1"/>
  <c r="BB472" i="4" s="1"/>
  <c r="BC466" i="4" s="1"/>
  <c r="BC457" i="4"/>
  <c r="BC479" i="4"/>
  <c r="BB1220" i="4"/>
  <c r="BB53" i="11" s="1"/>
  <c r="BB52" i="11" s="1"/>
  <c r="BB1219" i="4"/>
  <c r="BB294" i="4" s="1"/>
  <c r="BB1074" i="4"/>
  <c r="BB1169" i="4"/>
  <c r="BB1168" i="4"/>
  <c r="BA1268" i="4"/>
  <c r="BA1304" i="4"/>
  <c r="BA1272" i="4"/>
  <c r="BA1327" i="4"/>
  <c r="BA74" i="11"/>
  <c r="BA1386" i="4"/>
  <c r="BA36" i="66"/>
  <c r="BA1253" i="4"/>
  <c r="BA1338" i="4"/>
  <c r="BA1309" i="4"/>
  <c r="BA86" i="11"/>
  <c r="BA19" i="66"/>
  <c r="BA1480" i="4"/>
  <c r="BB1197" i="4" l="1"/>
  <c r="BB1170" i="4"/>
  <c r="BB1188" i="4" s="1"/>
  <c r="BC495" i="4"/>
  <c r="BC1072" i="4" s="1"/>
  <c r="BA78" i="11"/>
  <c r="BB1301" i="4"/>
  <c r="BB1325" i="4"/>
  <c r="BB73" i="11"/>
  <c r="BB1121" i="4"/>
  <c r="BB1144" i="4" s="1"/>
  <c r="BA1483" i="4"/>
  <c r="BA1276" i="4"/>
  <c r="BA1254" i="4" s="1"/>
  <c r="BA1255" i="4" s="1"/>
  <c r="BB299" i="4"/>
  <c r="BB302" i="4"/>
  <c r="BB460" i="4"/>
  <c r="BB461" i="4" s="1"/>
  <c r="BC455" i="4" s="1"/>
  <c r="BB494" i="4"/>
  <c r="BB1071" i="4" s="1"/>
  <c r="BA17" i="66"/>
  <c r="BB1250" i="4" l="1"/>
  <c r="BA27" i="11"/>
  <c r="BA1506" i="4"/>
  <c r="BB331" i="4"/>
  <c r="BB307" i="4"/>
  <c r="BB1145" i="4"/>
  <c r="BB1235" i="4"/>
  <c r="BB1251" i="4" s="1"/>
  <c r="BB1234" i="4"/>
  <c r="BA39" i="66"/>
  <c r="BA1328" i="4"/>
  <c r="BA1305" i="4"/>
  <c r="BA89" i="11"/>
  <c r="BA1421" i="4"/>
  <c r="BA1385" i="4"/>
  <c r="BB332" i="4" l="1"/>
  <c r="BB14" i="11" s="1"/>
  <c r="BB405" i="4"/>
  <c r="BB406" i="4" s="1"/>
  <c r="BB407" i="4" s="1"/>
  <c r="BB408" i="4" s="1"/>
  <c r="BB409" i="4" s="1"/>
  <c r="BC404" i="4" s="1"/>
  <c r="BB385" i="4"/>
  <c r="BB395" i="4"/>
  <c r="BB396" i="4" s="1"/>
  <c r="BB397" i="4" s="1"/>
  <c r="BB398" i="4" s="1"/>
  <c r="BB399" i="4" s="1"/>
  <c r="BC394" i="4" s="1"/>
  <c r="BA1388" i="4"/>
  <c r="BA1282" i="4"/>
  <c r="BA1509" i="4"/>
  <c r="BA1507" i="4"/>
  <c r="BA1508" i="4" s="1"/>
  <c r="BA1425" i="4"/>
  <c r="BA35" i="66"/>
  <c r="BB1236" i="4"/>
  <c r="BB1241" i="4"/>
  <c r="BA1284" i="4" l="1"/>
  <c r="BA1286" i="4" s="1"/>
  <c r="BA1390" i="4"/>
  <c r="BA1402" i="4"/>
  <c r="BB1337" i="4"/>
  <c r="BB1244" i="4"/>
  <c r="BB1245" i="4" s="1"/>
  <c r="BB42" i="62"/>
  <c r="BB85" i="11"/>
  <c r="BB1308" i="4"/>
  <c r="BA1440" i="4"/>
  <c r="BB386" i="4"/>
  <c r="BB387" i="4" s="1"/>
  <c r="BB500" i="4"/>
  <c r="BB489" i="4"/>
  <c r="BB52" i="62" l="1"/>
  <c r="BB43" i="62"/>
  <c r="BB23" i="62" s="1"/>
  <c r="BC1240" i="4"/>
  <c r="BB26" i="11"/>
  <c r="BA1403" i="4"/>
  <c r="BA1404" i="4" s="1"/>
  <c r="BB501" i="4"/>
  <c r="BB502" i="4" s="1"/>
  <c r="BB388" i="4"/>
  <c r="BB389" i="4" s="1"/>
  <c r="BC384" i="4" s="1"/>
  <c r="BB490" i="4"/>
  <c r="BB491" i="4" s="1"/>
  <c r="BA1306" i="4"/>
  <c r="BA1329" i="4"/>
  <c r="BA48" i="62"/>
  <c r="BA58" i="11"/>
  <c r="BA90" i="11"/>
  <c r="BA22" i="66"/>
  <c r="BA1441" i="4"/>
  <c r="BA1442" i="4" s="1"/>
  <c r="BA1285" i="4"/>
  <c r="BC488" i="4" l="1"/>
  <c r="BB15" i="11"/>
  <c r="BB13" i="11" s="1"/>
  <c r="BA24" i="62"/>
  <c r="BB1101" i="4"/>
  <c r="BB1103" i="4" s="1"/>
  <c r="BB1104" i="4" s="1"/>
  <c r="BB1105" i="4" s="1"/>
  <c r="BC499" i="4"/>
  <c r="BC1100" i="4" s="1"/>
  <c r="BA1307" i="4"/>
  <c r="BA1311" i="4" s="1"/>
  <c r="BB1290" i="4" s="1"/>
  <c r="BB51" i="11"/>
  <c r="BB64" i="62"/>
  <c r="BB16" i="66"/>
  <c r="BB14" i="66" s="1"/>
  <c r="BB13" i="66" s="1"/>
  <c r="BA91" i="11"/>
  <c r="BA59" i="11"/>
  <c r="BA28" i="11" l="1"/>
  <c r="BB1128" i="4"/>
  <c r="BA93" i="11"/>
  <c r="BA96" i="11" s="1"/>
  <c r="BA97" i="11" s="1"/>
  <c r="BB984" i="4"/>
  <c r="BB988" i="4" s="1"/>
  <c r="BB62" i="64"/>
  <c r="BA26" i="62"/>
  <c r="BB70" i="64" l="1"/>
  <c r="BB78" i="64"/>
  <c r="BB71" i="11"/>
  <c r="BB1294" i="4"/>
  <c r="BB1298" i="4" s="1"/>
  <c r="BB992" i="4"/>
  <c r="BB1120" i="4"/>
  <c r="BB1320" i="4"/>
  <c r="BA21" i="11"/>
  <c r="BA17" i="11" s="1"/>
  <c r="BA46" i="62"/>
  <c r="BA1330" i="4"/>
  <c r="BA24" i="66"/>
  <c r="BA1462" i="4"/>
  <c r="BA1461" i="4" s="1"/>
  <c r="BA100" i="11"/>
  <c r="BA101" i="11"/>
  <c r="BB95" i="11"/>
  <c r="BA44" i="66"/>
  <c r="BA101" i="67"/>
  <c r="BA100" i="67"/>
  <c r="BA1340" i="4"/>
  <c r="BA25" i="11"/>
  <c r="BA99" i="11" l="1"/>
  <c r="BA20" i="66"/>
  <c r="BA1331" i="4"/>
  <c r="BB1073" i="4"/>
  <c r="BB1077" i="4" s="1"/>
  <c r="BB1081" i="4" s="1"/>
  <c r="BB47" i="11"/>
  <c r="BA40" i="66"/>
  <c r="BA1341" i="4"/>
  <c r="BA1475" i="4"/>
  <c r="BA1470" i="4" s="1"/>
  <c r="BA1474" i="4"/>
  <c r="BA1469" i="4" s="1"/>
  <c r="BA37" i="11"/>
  <c r="BA1463" i="4"/>
  <c r="BA1460" i="4" s="1"/>
  <c r="BA23" i="11"/>
  <c r="BA39" i="11" l="1"/>
  <c r="BA40" i="11" s="1"/>
  <c r="BB61" i="11"/>
  <c r="BB62" i="11"/>
  <c r="BB48" i="11"/>
  <c r="BB55" i="11" s="1"/>
  <c r="BB1089" i="4"/>
  <c r="BB1082" i="4"/>
  <c r="BA1343" i="4"/>
  <c r="BA1516" i="4"/>
  <c r="BA1517" i="4" s="1"/>
  <c r="BA1473" i="4"/>
  <c r="BA1468" i="4" s="1"/>
  <c r="BA46" i="66"/>
  <c r="BA26" i="66"/>
  <c r="BA48" i="66" l="1"/>
  <c r="BB1093" i="4"/>
  <c r="BB1090" i="4" s="1"/>
  <c r="BB1091" i="4" s="1"/>
  <c r="BC1088" i="4" s="1"/>
  <c r="BB1472" i="4"/>
  <c r="BB64" i="11"/>
  <c r="BB62" i="62"/>
  <c r="BB63" i="11"/>
  <c r="BB1083" i="4" l="1"/>
  <c r="BB1084" i="4" s="1"/>
  <c r="BB1299" i="4" s="1"/>
  <c r="BB1300" i="4" s="1"/>
  <c r="BB63" i="62" l="1"/>
  <c r="BB67" i="62" s="1"/>
  <c r="BB68" i="62" s="1"/>
  <c r="BB56" i="11"/>
  <c r="BB57" i="11" s="1"/>
  <c r="BB1283" i="4" s="1"/>
  <c r="BB61" i="64"/>
  <c r="BB77" i="64" s="1"/>
  <c r="BB82" i="64" s="1"/>
  <c r="BB75" i="11"/>
  <c r="BB1123" i="4"/>
  <c r="BB1130" i="4" s="1"/>
  <c r="BB1132" i="4" s="1"/>
  <c r="BB1323" i="4"/>
  <c r="BB1313" i="4"/>
  <c r="BB1471" i="4" l="1"/>
  <c r="BB66" i="64"/>
  <c r="BB40" i="64" s="1"/>
  <c r="BB42" i="64" s="1"/>
  <c r="BB52" i="64" s="1"/>
  <c r="BB69" i="64"/>
  <c r="BB74" i="64" s="1"/>
  <c r="BB1135" i="4"/>
  <c r="BB1193" i="4"/>
  <c r="BB49" i="64" l="1"/>
  <c r="BB1194" i="4"/>
  <c r="BB1196" i="4" l="1"/>
  <c r="BB1198" i="4" l="1"/>
  <c r="BB1164" i="4" s="1"/>
  <c r="BB1214" i="4" l="1"/>
  <c r="BB1165" i="4"/>
  <c r="BC1162" i="4" l="1"/>
  <c r="BC1207" i="4"/>
  <c r="BC1225" i="4" s="1"/>
  <c r="BB1324" i="4"/>
  <c r="BB1302" i="4"/>
  <c r="BB1303" i="4" s="1"/>
  <c r="BB88" i="11"/>
  <c r="BB38" i="66"/>
  <c r="BB1481" i="4"/>
  <c r="BB1424" i="4"/>
  <c r="BB1215" i="4"/>
  <c r="BB1281" i="4" l="1"/>
  <c r="BB1271" i="4"/>
  <c r="BB31" i="11"/>
  <c r="BB1505" i="4"/>
  <c r="BB1489" i="4"/>
  <c r="BB1490" i="4" s="1"/>
  <c r="BB1515" i="4"/>
  <c r="BC1212" i="4"/>
  <c r="BC1163" i="4"/>
  <c r="BC1492" i="4" l="1"/>
  <c r="BB30" i="11"/>
  <c r="BB45" i="62"/>
  <c r="BB1495" i="4"/>
  <c r="BB1493" i="4"/>
  <c r="BB1252" i="4"/>
  <c r="BB1274" i="4"/>
  <c r="BB1275" i="4" s="1"/>
  <c r="BB1265" i="4" s="1"/>
  <c r="BC1213" i="4"/>
  <c r="BC1206" i="4"/>
  <c r="BC1224" i="4" s="1"/>
  <c r="BC1226" i="4" s="1"/>
  <c r="BC1202" i="4"/>
  <c r="BC1178" i="4"/>
  <c r="BB1496" i="4" l="1"/>
  <c r="V72" i="67"/>
  <c r="BC1326" i="4"/>
  <c r="BC72" i="11"/>
  <c r="BC37" i="66"/>
  <c r="BC1122" i="4"/>
  <c r="BC297" i="4"/>
  <c r="BC305" i="4" s="1"/>
  <c r="BC330" i="4" s="1"/>
  <c r="BC50" i="11"/>
  <c r="BC1295" i="4"/>
  <c r="BC1076" i="4"/>
  <c r="V87" i="67"/>
  <c r="BC1336" i="4"/>
  <c r="BC87" i="11"/>
  <c r="BC1310" i="4"/>
  <c r="BC18" i="66"/>
  <c r="BC1423" i="4"/>
  <c r="BC1189" i="4"/>
  <c r="BC1218" i="4" s="1"/>
  <c r="BC1180" i="4"/>
  <c r="BC1179" i="4"/>
  <c r="BB1264" i="4"/>
  <c r="BB1266" i="4"/>
  <c r="BB1257" i="4"/>
  <c r="BB1261" i="4"/>
  <c r="BC1181" i="4" l="1"/>
  <c r="BC1197" i="4" s="1"/>
  <c r="BD479" i="4"/>
  <c r="BD468" i="4"/>
  <c r="BC456" i="4"/>
  <c r="BC458" i="4" s="1"/>
  <c r="BC459" i="4" s="1"/>
  <c r="BC478" i="4"/>
  <c r="BC480" i="4" s="1"/>
  <c r="BC481" i="4" s="1"/>
  <c r="BC482" i="4" s="1"/>
  <c r="BC483" i="4" s="1"/>
  <c r="BD477" i="4" s="1"/>
  <c r="BC467" i="4"/>
  <c r="BC469" i="4" s="1"/>
  <c r="BC470" i="4" s="1"/>
  <c r="BC471" i="4" s="1"/>
  <c r="BC472" i="4" s="1"/>
  <c r="BD466" i="4" s="1"/>
  <c r="BD457" i="4"/>
  <c r="BB1272" i="4"/>
  <c r="BB74" i="11"/>
  <c r="BB1304" i="4"/>
  <c r="BB1327" i="4"/>
  <c r="BB36" i="66"/>
  <c r="BB1386" i="4"/>
  <c r="BB1253" i="4"/>
  <c r="BC1169" i="4"/>
  <c r="BC1168" i="4"/>
  <c r="BB19" i="66"/>
  <c r="BB1338" i="4"/>
  <c r="BB1309" i="4"/>
  <c r="BB86" i="11"/>
  <c r="BB1480" i="4"/>
  <c r="BC1219" i="4"/>
  <c r="BC294" i="4" s="1"/>
  <c r="BC1220" i="4"/>
  <c r="BC1074" i="4"/>
  <c r="BB1268" i="4"/>
  <c r="V50" i="67"/>
  <c r="V49" i="67" s="1"/>
  <c r="BC49" i="11"/>
  <c r="BC1190" i="4" l="1"/>
  <c r="BC1221" i="4" s="1"/>
  <c r="BC1121" i="4" s="1"/>
  <c r="BC1144" i="4" s="1"/>
  <c r="BD495" i="4"/>
  <c r="BD1072" i="4" s="1"/>
  <c r="BC1170" i="4"/>
  <c r="BC1188" i="4" s="1"/>
  <c r="BC299" i="4"/>
  <c r="BC302" i="4"/>
  <c r="BB17" i="66"/>
  <c r="BB1483" i="4"/>
  <c r="V23" i="13"/>
  <c r="V73" i="67"/>
  <c r="BB78" i="11"/>
  <c r="BC494" i="4"/>
  <c r="BC1071" i="4" s="1"/>
  <c r="BC460" i="4"/>
  <c r="BC461" i="4" s="1"/>
  <c r="BD455" i="4" s="1"/>
  <c r="BB1276" i="4"/>
  <c r="BB1254" i="4" s="1"/>
  <c r="V53" i="67"/>
  <c r="V52" i="67" s="1"/>
  <c r="BC53" i="11"/>
  <c r="BC52" i="11" s="1"/>
  <c r="BC1325" i="4" l="1"/>
  <c r="BC1301" i="4"/>
  <c r="BC73" i="11"/>
  <c r="BB1421" i="4"/>
  <c r="BB1385" i="4"/>
  <c r="BB1328" i="4"/>
  <c r="BB89" i="11"/>
  <c r="BB1305" i="4"/>
  <c r="BB39" i="66"/>
  <c r="BB1255" i="4"/>
  <c r="BC307" i="4"/>
  <c r="BC331" i="4"/>
  <c r="BC1235" i="4"/>
  <c r="BC1251" i="4" s="1"/>
  <c r="BC1234" i="4"/>
  <c r="BC1145" i="4"/>
  <c r="BC332" i="4" l="1"/>
  <c r="BC14" i="11" s="1"/>
  <c r="BB1282" i="4"/>
  <c r="BC405" i="4"/>
  <c r="BC406" i="4" s="1"/>
  <c r="BC407" i="4" s="1"/>
  <c r="BC408" i="4" s="1"/>
  <c r="BC409" i="4" s="1"/>
  <c r="BD404" i="4" s="1"/>
  <c r="BC395" i="4"/>
  <c r="BC396" i="4" s="1"/>
  <c r="BC397" i="4" s="1"/>
  <c r="BC398" i="4" s="1"/>
  <c r="BC399" i="4" s="1"/>
  <c r="BD394" i="4" s="1"/>
  <c r="BC385" i="4"/>
  <c r="BC1250" i="4"/>
  <c r="BB27" i="11"/>
  <c r="BB1506" i="4"/>
  <c r="BB1388" i="4"/>
  <c r="BC1241" i="4"/>
  <c r="BC1236" i="4"/>
  <c r="BB35" i="66"/>
  <c r="BB1425" i="4"/>
  <c r="V14" i="67" l="1"/>
  <c r="BC500" i="4"/>
  <c r="BC489" i="4"/>
  <c r="BC386" i="4"/>
  <c r="BC387" i="4" s="1"/>
  <c r="BC1337" i="4"/>
  <c r="BC85" i="11"/>
  <c r="BC1308" i="4"/>
  <c r="BC42" i="62"/>
  <c r="BC1244" i="4"/>
  <c r="BC1245" i="4" s="1"/>
  <c r="V85" i="67"/>
  <c r="BB1390" i="4"/>
  <c r="BB1402" i="4"/>
  <c r="BB1507" i="4"/>
  <c r="BB1508" i="4" s="1"/>
  <c r="BB1509" i="4"/>
  <c r="BB1440" i="4"/>
  <c r="BB1284" i="4"/>
  <c r="BB1286" i="4" s="1"/>
  <c r="BB1285" i="4" l="1"/>
  <c r="BC52" i="62"/>
  <c r="BC43" i="62"/>
  <c r="BC23" i="62" s="1"/>
  <c r="BB1306" i="4"/>
  <c r="BB90" i="11"/>
  <c r="BB1329" i="4"/>
  <c r="BB48" i="62"/>
  <c r="BB58" i="11"/>
  <c r="BB22" i="66"/>
  <c r="BB1441" i="4"/>
  <c r="BB1442" i="4" s="1"/>
  <c r="BB1403" i="4"/>
  <c r="BB1404" i="4" s="1"/>
  <c r="BC490" i="4"/>
  <c r="BC491" i="4" s="1"/>
  <c r="BC388" i="4"/>
  <c r="BC389" i="4" s="1"/>
  <c r="BD384" i="4" s="1"/>
  <c r="BC501" i="4"/>
  <c r="BC502" i="4" s="1"/>
  <c r="V26" i="67"/>
  <c r="BD1240" i="4"/>
  <c r="BC26" i="11"/>
  <c r="V15" i="67" l="1"/>
  <c r="V13" i="67" s="1"/>
  <c r="BD488" i="4"/>
  <c r="BC15" i="11"/>
  <c r="BC13" i="11" s="1"/>
  <c r="BB59" i="11"/>
  <c r="BB24" i="62"/>
  <c r="BB91" i="11"/>
  <c r="BB1307" i="4"/>
  <c r="BB1311" i="4" s="1"/>
  <c r="BC1290" i="4" s="1"/>
  <c r="BC51" i="11"/>
  <c r="BC64" i="62"/>
  <c r="V51" i="67"/>
  <c r="BC16" i="66"/>
  <c r="BC14" i="66" s="1"/>
  <c r="BC13" i="66" s="1"/>
  <c r="BC1101" i="4"/>
  <c r="BC1103" i="4" s="1"/>
  <c r="BC1104" i="4" s="1"/>
  <c r="BC1105" i="4" s="1"/>
  <c r="BD499" i="4"/>
  <c r="BD1100" i="4" l="1"/>
  <c r="BB93" i="11"/>
  <c r="BB96" i="11" s="1"/>
  <c r="BB97" i="11" s="1"/>
  <c r="BB26" i="62"/>
  <c r="BC984" i="4"/>
  <c r="BC988" i="4" s="1"/>
  <c r="BC62" i="64"/>
  <c r="BB28" i="11"/>
  <c r="BC1128" i="4"/>
  <c r="BC78" i="64" l="1"/>
  <c r="BC70" i="64"/>
  <c r="BC1320" i="4"/>
  <c r="BC1120" i="4"/>
  <c r="BC992" i="4"/>
  <c r="BC71" i="11"/>
  <c r="BC1294" i="4"/>
  <c r="BC1298" i="4" s="1"/>
  <c r="V71" i="67"/>
  <c r="V40" i="13"/>
  <c r="BB101" i="67"/>
  <c r="BB21" i="11"/>
  <c r="BB17" i="11" s="1"/>
  <c r="BB1462" i="4"/>
  <c r="BB1461" i="4" s="1"/>
  <c r="BB24" i="66"/>
  <c r="BB46" i="62"/>
  <c r="BB101" i="11"/>
  <c r="BB100" i="11"/>
  <c r="BC95" i="11"/>
  <c r="BB1330" i="4"/>
  <c r="BB1340" i="4"/>
  <c r="BB100" i="67"/>
  <c r="BB44" i="66"/>
  <c r="BB25" i="11"/>
  <c r="BB99" i="11" l="1"/>
  <c r="BB20" i="66"/>
  <c r="BB40" i="66"/>
  <c r="BB1331" i="4"/>
  <c r="BB1463" i="4"/>
  <c r="BB1460" i="4" s="1"/>
  <c r="BB23" i="11"/>
  <c r="V47" i="67"/>
  <c r="BC1073" i="4"/>
  <c r="BC1077" i="4" s="1"/>
  <c r="BC1081" i="4" s="1"/>
  <c r="BC47" i="11"/>
  <c r="V20" i="72"/>
  <c r="BB1341" i="4"/>
  <c r="BB1475" i="4"/>
  <c r="BB1470" i="4" s="1"/>
  <c r="BB1474" i="4"/>
  <c r="BB1469" i="4" s="1"/>
  <c r="BB37" i="11"/>
  <c r="BB39" i="11" l="1"/>
  <c r="BB40" i="11" s="1"/>
  <c r="BB1343" i="4"/>
  <c r="BC61" i="11"/>
  <c r="BC62" i="11"/>
  <c r="BC48" i="11"/>
  <c r="BC55" i="11" s="1"/>
  <c r="BB46" i="66"/>
  <c r="BC1089" i="4"/>
  <c r="BC1082" i="4"/>
  <c r="BC1093" i="4" s="1"/>
  <c r="BC1090" i="4" s="1"/>
  <c r="BC1083" i="4" s="1"/>
  <c r="BC1084" i="4" s="1"/>
  <c r="V62" i="67"/>
  <c r="V64" i="67" s="1"/>
  <c r="V61" i="67"/>
  <c r="V63" i="67" s="1"/>
  <c r="V48" i="67"/>
  <c r="V55" i="67" s="1"/>
  <c r="BB1516" i="4"/>
  <c r="BB1517" i="4" s="1"/>
  <c r="BB1473" i="4"/>
  <c r="BB1468" i="4" s="1"/>
  <c r="BB26" i="66"/>
  <c r="BB48" i="66" l="1"/>
  <c r="BC62" i="62"/>
  <c r="BC1472" i="4"/>
  <c r="BC64" i="11"/>
  <c r="BC63" i="11"/>
  <c r="V1526" i="4"/>
  <c r="BC1091" i="4"/>
  <c r="BD1088" i="4" s="1"/>
  <c r="BC1123" i="4"/>
  <c r="BC1130" i="4" s="1"/>
  <c r="BC56" i="11"/>
  <c r="BC57" i="11" s="1"/>
  <c r="BC75" i="11"/>
  <c r="BC61" i="64"/>
  <c r="BC1323" i="4"/>
  <c r="BC1299" i="4"/>
  <c r="BC1300" i="4" s="1"/>
  <c r="V75" i="67"/>
  <c r="V41" i="13"/>
  <c r="V43" i="13" s="1"/>
  <c r="V56" i="67"/>
  <c r="V57" i="67" s="1"/>
  <c r="BC1132" i="4" l="1"/>
  <c r="BC1313" i="4"/>
  <c r="BC69" i="64"/>
  <c r="BC74" i="64" s="1"/>
  <c r="BC77" i="64"/>
  <c r="BC82" i="64" s="1"/>
  <c r="BC66" i="64"/>
  <c r="BC40" i="64" s="1"/>
  <c r="BC42" i="64" s="1"/>
  <c r="BC63" i="62"/>
  <c r="BC67" i="62" s="1"/>
  <c r="BC1471" i="4"/>
  <c r="BC1283" i="4"/>
  <c r="BC68" i="62" l="1"/>
  <c r="BC52" i="64"/>
  <c r="BC49" i="64"/>
  <c r="BC1193" i="4"/>
  <c r="BC1135" i="4"/>
  <c r="BC1194" i="4" l="1"/>
  <c r="BC1196" i="4" l="1"/>
  <c r="BC1198" i="4" l="1"/>
  <c r="BC1164" i="4" s="1"/>
  <c r="BC1214" i="4" l="1"/>
  <c r="BC1165" i="4"/>
  <c r="BD1162" i="4" l="1"/>
  <c r="BD1207" i="4"/>
  <c r="BD1225" i="4" s="1"/>
  <c r="BC1302" i="4"/>
  <c r="BC1303" i="4" s="1"/>
  <c r="BC38" i="66"/>
  <c r="BC1324" i="4"/>
  <c r="BC88" i="11"/>
  <c r="BC1481" i="4"/>
  <c r="BC1424" i="4"/>
  <c r="V88" i="67"/>
  <c r="V24" i="13"/>
  <c r="BC1215" i="4"/>
  <c r="BC1281" i="4" l="1"/>
  <c r="BC1271" i="4"/>
  <c r="V1525" i="4"/>
  <c r="V1529" i="4" s="1"/>
  <c r="V31" i="67"/>
  <c r="V30" i="67" s="1"/>
  <c r="BC31" i="11"/>
  <c r="BC1489" i="4"/>
  <c r="BC1490" i="4" s="1"/>
  <c r="BD1212" i="4"/>
  <c r="BC1505" i="4"/>
  <c r="BC1515" i="4"/>
  <c r="BD1163" i="4"/>
  <c r="BC1495" i="4" l="1"/>
  <c r="BC1493" i="4"/>
  <c r="BC30" i="11"/>
  <c r="BC45" i="62"/>
  <c r="BC1274" i="4"/>
  <c r="BC1275" i="4" s="1"/>
  <c r="BC1265" i="4" s="1"/>
  <c r="BC1252" i="4"/>
  <c r="BD1492" i="4"/>
  <c r="BD1213" i="4"/>
  <c r="BD1206" i="4"/>
  <c r="BD1224" i="4" s="1"/>
  <c r="BD1226" i="4" s="1"/>
  <c r="BD1202" i="4"/>
  <c r="BD1178" i="4"/>
  <c r="BC1496" i="4" l="1"/>
  <c r="BD1295" i="4"/>
  <c r="BD1122" i="4"/>
  <c r="BD50" i="11"/>
  <c r="BD49" i="11" s="1"/>
  <c r="BD72" i="11"/>
  <c r="BD297" i="4"/>
  <c r="BD305" i="4" s="1"/>
  <c r="BD330" i="4" s="1"/>
  <c r="BD1326" i="4"/>
  <c r="BD1076" i="4"/>
  <c r="BD37" i="66"/>
  <c r="BD1336" i="4"/>
  <c r="BD1310" i="4"/>
  <c r="BD18" i="66"/>
  <c r="BD87" i="11"/>
  <c r="BD1423" i="4"/>
  <c r="BC1264" i="4"/>
  <c r="BC1253" i="4" s="1"/>
  <c r="BC1266" i="4"/>
  <c r="BC1261" i="4"/>
  <c r="BC1268" i="4" s="1"/>
  <c r="BC1257" i="4"/>
  <c r="BD1180" i="4"/>
  <c r="BD1189" i="4"/>
  <c r="BD1218" i="4" s="1"/>
  <c r="BD1179" i="4"/>
  <c r="BD1181" i="4" l="1"/>
  <c r="BD1190" i="4" s="1"/>
  <c r="BD1221" i="4" s="1"/>
  <c r="BD1220" i="4"/>
  <c r="BD53" i="11" s="1"/>
  <c r="BD52" i="11" s="1"/>
  <c r="BD1219" i="4"/>
  <c r="BD294" i="4" s="1"/>
  <c r="BD1074" i="4"/>
  <c r="BC1272" i="4"/>
  <c r="BC1276" i="4" s="1"/>
  <c r="BC1254" i="4" s="1"/>
  <c r="BC1304" i="4"/>
  <c r="BC74" i="11"/>
  <c r="BC78" i="11" s="1"/>
  <c r="BC1327" i="4"/>
  <c r="V74" i="67"/>
  <c r="BC36" i="66"/>
  <c r="BC1386" i="4"/>
  <c r="BE457" i="4"/>
  <c r="BD467" i="4"/>
  <c r="BD469" i="4" s="1"/>
  <c r="BD470" i="4" s="1"/>
  <c r="BD471" i="4" s="1"/>
  <c r="BD472" i="4" s="1"/>
  <c r="BE466" i="4" s="1"/>
  <c r="BE479" i="4"/>
  <c r="BE468" i="4"/>
  <c r="BD478" i="4"/>
  <c r="BD480" i="4" s="1"/>
  <c r="BD481" i="4" s="1"/>
  <c r="BD482" i="4" s="1"/>
  <c r="BD483" i="4" s="1"/>
  <c r="BE477" i="4" s="1"/>
  <c r="BD456" i="4"/>
  <c r="BD458" i="4" s="1"/>
  <c r="BD459" i="4" s="1"/>
  <c r="BD1169" i="4"/>
  <c r="BD1168" i="4"/>
  <c r="BC1309" i="4"/>
  <c r="BC1338" i="4"/>
  <c r="BC86" i="11"/>
  <c r="BC19" i="66"/>
  <c r="BC17" i="66" s="1"/>
  <c r="V86" i="67"/>
  <c r="BC1480" i="4"/>
  <c r="BD1197" i="4" l="1"/>
  <c r="V25" i="13"/>
  <c r="BC1483" i="4"/>
  <c r="BD1170" i="4"/>
  <c r="BD1188" i="4" s="1"/>
  <c r="BC89" i="11"/>
  <c r="BC1328" i="4"/>
  <c r="BC1305" i="4"/>
  <c r="BC1282" i="4" s="1"/>
  <c r="BC39" i="66"/>
  <c r="BC35" i="66" s="1"/>
  <c r="V89" i="67"/>
  <c r="BE495" i="4"/>
  <c r="BE1072" i="4" s="1"/>
  <c r="BD299" i="4"/>
  <c r="BD302" i="4"/>
  <c r="V78" i="67"/>
  <c r="BD494" i="4"/>
  <c r="BD1071" i="4" s="1"/>
  <c r="BD460" i="4"/>
  <c r="BD461" i="4" s="1"/>
  <c r="BE455" i="4" s="1"/>
  <c r="BD1121" i="4"/>
  <c r="BD1144" i="4" s="1"/>
  <c r="BD1301" i="4"/>
  <c r="BD1325" i="4"/>
  <c r="BD73" i="11"/>
  <c r="BC1385" i="4"/>
  <c r="BC1388" i="4" s="1"/>
  <c r="BC1421" i="4"/>
  <c r="BC1255" i="4"/>
  <c r="BC27" i="11" l="1"/>
  <c r="BD1250" i="4"/>
  <c r="V27" i="67"/>
  <c r="BC1506" i="4"/>
  <c r="BC1425" i="4"/>
  <c r="V13" i="13"/>
  <c r="BC1390" i="4"/>
  <c r="BC1402" i="4"/>
  <c r="BD1145" i="4"/>
  <c r="BD1235" i="4"/>
  <c r="BD1251" i="4" s="1"/>
  <c r="BD1234" i="4"/>
  <c r="BC1284" i="4"/>
  <c r="BC1286" i="4" s="1"/>
  <c r="BD307" i="4"/>
  <c r="BD331" i="4"/>
  <c r="BD332" i="4" l="1"/>
  <c r="BD14" i="11" s="1"/>
  <c r="BC1285" i="4"/>
  <c r="V1393" i="4"/>
  <c r="BD385" i="4"/>
  <c r="BD395" i="4"/>
  <c r="BD396" i="4" s="1"/>
  <c r="BD397" i="4" s="1"/>
  <c r="BD398" i="4" s="1"/>
  <c r="BD399" i="4" s="1"/>
  <c r="BE394" i="4" s="1"/>
  <c r="BD405" i="4"/>
  <c r="BD406" i="4" s="1"/>
  <c r="BD407" i="4" s="1"/>
  <c r="BD408" i="4" s="1"/>
  <c r="BD409" i="4" s="1"/>
  <c r="BE404" i="4" s="1"/>
  <c r="BC1440" i="4"/>
  <c r="BC1306" i="4"/>
  <c r="BC1307" i="4" s="1"/>
  <c r="BC1311" i="4" s="1"/>
  <c r="BD1290" i="4" s="1"/>
  <c r="BC1329" i="4"/>
  <c r="BC48" i="62"/>
  <c r="BC24" i="62" s="1"/>
  <c r="BC26" i="62" s="1"/>
  <c r="BC58" i="11"/>
  <c r="BC59" i="11" s="1"/>
  <c r="BC28" i="11" s="1"/>
  <c r="BC25" i="11" s="1"/>
  <c r="BC90" i="11"/>
  <c r="BC91" i="11" s="1"/>
  <c r="BC93" i="11" s="1"/>
  <c r="BC96" i="11" s="1"/>
  <c r="BC97" i="11" s="1"/>
  <c r="V58" i="67"/>
  <c r="V90" i="67"/>
  <c r="BC22" i="66"/>
  <c r="BC1507" i="4"/>
  <c r="BC1508" i="4" s="1"/>
  <c r="BC1509" i="4"/>
  <c r="BD1236" i="4"/>
  <c r="BD1241" i="4"/>
  <c r="BC1403" i="4"/>
  <c r="BC1404" i="4" s="1"/>
  <c r="BC1474" i="4" l="1"/>
  <c r="BC1469" i="4" s="1"/>
  <c r="BC37" i="11"/>
  <c r="BC1475" i="4"/>
  <c r="BC1470" i="4" s="1"/>
  <c r="BD1128" i="4"/>
  <c r="BD386" i="4"/>
  <c r="BD387" i="4" s="1"/>
  <c r="BD489" i="4"/>
  <c r="BD500" i="4"/>
  <c r="BC1441" i="4"/>
  <c r="BC1442" i="4" s="1"/>
  <c r="V59" i="67"/>
  <c r="V91" i="67"/>
  <c r="V1396" i="4"/>
  <c r="V28" i="67"/>
  <c r="V25" i="67" s="1"/>
  <c r="V37" i="67" s="1"/>
  <c r="BC1462" i="4"/>
  <c r="BC1461" i="4" s="1"/>
  <c r="V21" i="67"/>
  <c r="V17" i="67" s="1"/>
  <c r="V23" i="67" s="1"/>
  <c r="BC24" i="66"/>
  <c r="BC20" i="66" s="1"/>
  <c r="BC26" i="66" s="1"/>
  <c r="BC101" i="67"/>
  <c r="BC21" i="11"/>
  <c r="BC17" i="11" s="1"/>
  <c r="BC100" i="67"/>
  <c r="V1527" i="4"/>
  <c r="V1534" i="4" s="1"/>
  <c r="BC100" i="11"/>
  <c r="BC1330" i="4"/>
  <c r="BC1331" i="4" s="1"/>
  <c r="BC46" i="62"/>
  <c r="BC44" i="66"/>
  <c r="BC40" i="66" s="1"/>
  <c r="BC46" i="66" s="1"/>
  <c r="BC101" i="11"/>
  <c r="BD95" i="11"/>
  <c r="BC1340" i="4"/>
  <c r="BC1341" i="4" s="1"/>
  <c r="BD42" i="62"/>
  <c r="BD1337" i="4"/>
  <c r="BD1308" i="4"/>
  <c r="BD1244" i="4"/>
  <c r="BD1245" i="4" s="1"/>
  <c r="BD85" i="11"/>
  <c r="BC48" i="66" l="1"/>
  <c r="BC99" i="11"/>
  <c r="BC1463" i="4"/>
  <c r="BC1460" i="4" s="1"/>
  <c r="BC23" i="11"/>
  <c r="BC39" i="11" s="1"/>
  <c r="BD501" i="4"/>
  <c r="BD502" i="4" s="1"/>
  <c r="BD388" i="4"/>
  <c r="BD389" i="4" s="1"/>
  <c r="BE384" i="4" s="1"/>
  <c r="BD490" i="4"/>
  <c r="V93" i="67"/>
  <c r="V96" i="67" s="1"/>
  <c r="V97" i="67" s="1"/>
  <c r="BC1343" i="4"/>
  <c r="BE1240" i="4"/>
  <c r="BD26" i="11"/>
  <c r="BD52" i="62"/>
  <c r="BD43" i="62"/>
  <c r="BD23" i="62" s="1"/>
  <c r="V39" i="67"/>
  <c r="BD1101" i="4" l="1"/>
  <c r="BD1103" i="4" s="1"/>
  <c r="BD1104" i="4" s="1"/>
  <c r="BD1105" i="4" s="1"/>
  <c r="BE499" i="4"/>
  <c r="W95" i="67"/>
  <c r="V99" i="67"/>
  <c r="BD51" i="11"/>
  <c r="BD64" i="62"/>
  <c r="BD491" i="4"/>
  <c r="BC1516" i="4"/>
  <c r="BC1517" i="4" s="1"/>
  <c r="BC1473" i="4"/>
  <c r="BC1468" i="4" s="1"/>
  <c r="BD16" i="66"/>
  <c r="BD14" i="66" s="1"/>
  <c r="BD13" i="66" s="1"/>
  <c r="V40" i="67"/>
  <c r="BC40" i="11"/>
  <c r="BD15" i="11" l="1"/>
  <c r="BD13" i="11" s="1"/>
  <c r="BE488" i="4"/>
  <c r="BE1100" i="4"/>
  <c r="BD984" i="4"/>
  <c r="BD988" i="4" s="1"/>
  <c r="BD62" i="64"/>
  <c r="BD70" i="64" l="1"/>
  <c r="BD78" i="64"/>
  <c r="BD1320" i="4"/>
  <c r="BD992" i="4"/>
  <c r="BD1294" i="4"/>
  <c r="BD1298" i="4" s="1"/>
  <c r="BD1120" i="4"/>
  <c r="BD71" i="11"/>
  <c r="BD47" i="11" l="1"/>
  <c r="BD1073" i="4"/>
  <c r="BD1077" i="4" s="1"/>
  <c r="BD1081" i="4" s="1"/>
  <c r="BD1082" i="4" l="1"/>
  <c r="BD1093" i="4" s="1"/>
  <c r="BD1090" i="4" s="1"/>
  <c r="BD1083" i="4" s="1"/>
  <c r="BD1084" i="4" s="1"/>
  <c r="BD1089" i="4"/>
  <c r="BD62" i="11"/>
  <c r="BD61" i="11"/>
  <c r="BD48" i="11"/>
  <c r="BD55" i="11" s="1"/>
  <c r="BD62" i="62" l="1"/>
  <c r="BD64" i="11"/>
  <c r="BD1472" i="4"/>
  <c r="BD63" i="11"/>
  <c r="BD1091" i="4"/>
  <c r="BE1088" i="4" s="1"/>
  <c r="BD1123" i="4"/>
  <c r="BD1130" i="4" s="1"/>
  <c r="BD1132" i="4" s="1"/>
  <c r="BD1135" i="4" s="1"/>
  <c r="BD1323" i="4"/>
  <c r="BD1299" i="4"/>
  <c r="BD1300" i="4" s="1"/>
  <c r="BD75" i="11"/>
  <c r="BD61" i="64"/>
  <c r="BD56" i="11"/>
  <c r="BD57" i="11" s="1"/>
  <c r="BD69" i="64" l="1"/>
  <c r="BD74" i="64" s="1"/>
  <c r="BD77" i="64"/>
  <c r="BD82" i="64" s="1"/>
  <c r="BD66" i="64"/>
  <c r="BD40" i="64" s="1"/>
  <c r="BD42" i="64" s="1"/>
  <c r="BD1471" i="4"/>
  <c r="BD1283" i="4"/>
  <c r="BD1313" i="4"/>
  <c r="BD63" i="62"/>
  <c r="BD67" i="62" s="1"/>
  <c r="BD68" i="62" l="1"/>
  <c r="BD1193" i="4"/>
  <c r="BD1194" i="4" s="1"/>
  <c r="BD1196" i="4" s="1"/>
  <c r="BD1198" i="4" s="1"/>
  <c r="BD1164" i="4" s="1"/>
  <c r="BD52" i="64"/>
  <c r="BD49" i="64"/>
  <c r="BD1214" i="4" l="1"/>
  <c r="BD1165" i="4"/>
  <c r="BE1162" i="4" l="1"/>
  <c r="BE1207" i="4"/>
  <c r="BE1225" i="4" s="1"/>
  <c r="BD1302" i="4"/>
  <c r="BD1303" i="4" s="1"/>
  <c r="BD88" i="11"/>
  <c r="BD1324" i="4"/>
  <c r="BD1481" i="4"/>
  <c r="BD38" i="66"/>
  <c r="BD1424" i="4"/>
  <c r="BD1215" i="4"/>
  <c r="BD31" i="11" l="1"/>
  <c r="BD1489" i="4"/>
  <c r="BD1490" i="4" s="1"/>
  <c r="BE1212" i="4"/>
  <c r="BD1505" i="4"/>
  <c r="BD1515" i="4"/>
  <c r="BD1271" i="4"/>
  <c r="BD1281" i="4"/>
  <c r="BE1163" i="4"/>
  <c r="BD1274" i="4" l="1"/>
  <c r="BD1275" i="4" s="1"/>
  <c r="BD1265" i="4" s="1"/>
  <c r="BD1252" i="4"/>
  <c r="BE1492" i="4"/>
  <c r="BD1495" i="4"/>
  <c r="BD1493" i="4"/>
  <c r="BE1206" i="4"/>
  <c r="BE1224" i="4" s="1"/>
  <c r="BE1226" i="4" s="1"/>
  <c r="BE1213" i="4"/>
  <c r="BE1202" i="4"/>
  <c r="BE1178" i="4"/>
  <c r="BD45" i="62"/>
  <c r="BD30" i="11"/>
  <c r="BE1310" i="4" l="1"/>
  <c r="BE87" i="11"/>
  <c r="BE1336" i="4"/>
  <c r="BE18" i="66"/>
  <c r="BE1423" i="4"/>
  <c r="BD1261" i="4"/>
  <c r="BD1268" i="4" s="1"/>
  <c r="BD1257" i="4"/>
  <c r="BD1264" i="4"/>
  <c r="BD1253" i="4" s="1"/>
  <c r="BD1266" i="4"/>
  <c r="BE1189" i="4"/>
  <c r="BE1218" i="4" s="1"/>
  <c r="BE1180" i="4"/>
  <c r="BE1179" i="4"/>
  <c r="BE297" i="4"/>
  <c r="BE305" i="4" s="1"/>
  <c r="BE330" i="4" s="1"/>
  <c r="BE72" i="11"/>
  <c r="BE1122" i="4"/>
  <c r="BE37" i="66"/>
  <c r="BE50" i="11"/>
  <c r="BE49" i="11" s="1"/>
  <c r="BE1295" i="4"/>
  <c r="BE1326" i="4"/>
  <c r="BE1076" i="4"/>
  <c r="BD1496" i="4"/>
  <c r="BD1309" i="4" l="1"/>
  <c r="BD19" i="66"/>
  <c r="BD17" i="66" s="1"/>
  <c r="BD1338" i="4"/>
  <c r="BD86" i="11"/>
  <c r="BD1480" i="4"/>
  <c r="BE467" i="4"/>
  <c r="BE469" i="4" s="1"/>
  <c r="BE470" i="4" s="1"/>
  <c r="BE471" i="4" s="1"/>
  <c r="BE472" i="4" s="1"/>
  <c r="BF466" i="4" s="1"/>
  <c r="BE456" i="4"/>
  <c r="BE458" i="4" s="1"/>
  <c r="BE459" i="4" s="1"/>
  <c r="BE478" i="4"/>
  <c r="BE480" i="4" s="1"/>
  <c r="BE481" i="4" s="1"/>
  <c r="BE482" i="4" s="1"/>
  <c r="BE483" i="4" s="1"/>
  <c r="BF477" i="4" s="1"/>
  <c r="BF468" i="4"/>
  <c r="BF457" i="4"/>
  <c r="BF479" i="4"/>
  <c r="BE1181" i="4"/>
  <c r="BE1220" i="4"/>
  <c r="BE53" i="11" s="1"/>
  <c r="BE52" i="11" s="1"/>
  <c r="BE1219" i="4"/>
  <c r="BE294" i="4" s="1"/>
  <c r="BE1074" i="4"/>
  <c r="BE1169" i="4"/>
  <c r="BE1168" i="4"/>
  <c r="BD1272" i="4"/>
  <c r="BD1276" i="4" s="1"/>
  <c r="BD1254" i="4" s="1"/>
  <c r="BD1327" i="4"/>
  <c r="BD74" i="11"/>
  <c r="BD78" i="11" s="1"/>
  <c r="BD1304" i="4"/>
  <c r="BD36" i="66"/>
  <c r="BD1386" i="4"/>
  <c r="BE460" i="4" l="1"/>
  <c r="BE461" i="4" s="1"/>
  <c r="BF455" i="4" s="1"/>
  <c r="BE494" i="4"/>
  <c r="BE1071" i="4" s="1"/>
  <c r="BD1483" i="4"/>
  <c r="BE1190" i="4"/>
  <c r="BE1221" i="4" s="1"/>
  <c r="BE1197" i="4"/>
  <c r="BD1305" i="4"/>
  <c r="BD1282" i="4" s="1"/>
  <c r="BD39" i="66"/>
  <c r="BD35" i="66" s="1"/>
  <c r="BD1328" i="4"/>
  <c r="BD89" i="11"/>
  <c r="BE1170" i="4"/>
  <c r="BE1188" i="4" s="1"/>
  <c r="BD1385" i="4"/>
  <c r="BD1388" i="4" s="1"/>
  <c r="BD1421" i="4"/>
  <c r="BF495" i="4"/>
  <c r="BF1072" i="4" s="1"/>
  <c r="BE299" i="4"/>
  <c r="BE302" i="4"/>
  <c r="BD1255" i="4"/>
  <c r="BD1284" i="4" l="1"/>
  <c r="BD1286" i="4" s="1"/>
  <c r="BD1425" i="4"/>
  <c r="BD1390" i="4"/>
  <c r="BD1402" i="4"/>
  <c r="BE73" i="11"/>
  <c r="BE1121" i="4"/>
  <c r="BE1144" i="4" s="1"/>
  <c r="BE1301" i="4"/>
  <c r="BE1325" i="4"/>
  <c r="BE1250" i="4"/>
  <c r="BD27" i="11"/>
  <c r="BD1506" i="4"/>
  <c r="BE331" i="4"/>
  <c r="BE307" i="4"/>
  <c r="BE332" i="4" s="1"/>
  <c r="BE14" i="11" s="1"/>
  <c r="BD1285" i="4" l="1"/>
  <c r="BE1235" i="4"/>
  <c r="BE1251" i="4" s="1"/>
  <c r="BE1145" i="4"/>
  <c r="BE1234" i="4"/>
  <c r="BD1403" i="4"/>
  <c r="BD1404" i="4" s="1"/>
  <c r="BD1440" i="4"/>
  <c r="BE405" i="4"/>
  <c r="BE406" i="4" s="1"/>
  <c r="BE407" i="4" s="1"/>
  <c r="BE408" i="4" s="1"/>
  <c r="BE409" i="4" s="1"/>
  <c r="BF404" i="4" s="1"/>
  <c r="BE395" i="4"/>
  <c r="BE396" i="4" s="1"/>
  <c r="BE397" i="4" s="1"/>
  <c r="BE398" i="4" s="1"/>
  <c r="BE399" i="4" s="1"/>
  <c r="BF394" i="4" s="1"/>
  <c r="BE385" i="4"/>
  <c r="BD1507" i="4"/>
  <c r="BD1508" i="4" s="1"/>
  <c r="BD1509" i="4"/>
  <c r="BD1329" i="4"/>
  <c r="BD90" i="11"/>
  <c r="BD91" i="11" s="1"/>
  <c r="BD93" i="11" s="1"/>
  <c r="BD96" i="11" s="1"/>
  <c r="BD97" i="11" s="1"/>
  <c r="BD58" i="11"/>
  <c r="BD59" i="11" s="1"/>
  <c r="BD28" i="11" s="1"/>
  <c r="BD25" i="11" s="1"/>
  <c r="BD1306" i="4"/>
  <c r="BD1307" i="4" s="1"/>
  <c r="BD1311" i="4" s="1"/>
  <c r="BE1290" i="4" s="1"/>
  <c r="BD48" i="62"/>
  <c r="BD24" i="62" s="1"/>
  <c r="BD26" i="62" s="1"/>
  <c r="BD22" i="66"/>
  <c r="BD1474" i="4" l="1"/>
  <c r="BD1469" i="4" s="1"/>
  <c r="BD37" i="11"/>
  <c r="BD1475" i="4"/>
  <c r="BD1470" i="4" s="1"/>
  <c r="BD24" i="66"/>
  <c r="BD20" i="66" s="1"/>
  <c r="BD26" i="66" s="1"/>
  <c r="BD101" i="67"/>
  <c r="BD44" i="66"/>
  <c r="BD40" i="66" s="1"/>
  <c r="BD46" i="66" s="1"/>
  <c r="BD101" i="11"/>
  <c r="BD100" i="67"/>
  <c r="BD100" i="11"/>
  <c r="BD21" i="11"/>
  <c r="BD17" i="11" s="1"/>
  <c r="BE95" i="11"/>
  <c r="BD1330" i="4"/>
  <c r="BD1331" i="4" s="1"/>
  <c r="BD1462" i="4"/>
  <c r="BD1461" i="4" s="1"/>
  <c r="BD1340" i="4"/>
  <c r="BD1341" i="4" s="1"/>
  <c r="BD46" i="62"/>
  <c r="BE1128" i="4"/>
  <c r="BE500" i="4"/>
  <c r="BE489" i="4"/>
  <c r="BE386" i="4"/>
  <c r="BE387" i="4" s="1"/>
  <c r="BD1441" i="4"/>
  <c r="BD1442" i="4" s="1"/>
  <c r="BE1236" i="4"/>
  <c r="BE1241" i="4"/>
  <c r="BD48" i="66" l="1"/>
  <c r="BD99" i="11"/>
  <c r="BE501" i="4"/>
  <c r="BE502" i="4" s="1"/>
  <c r="BE490" i="4"/>
  <c r="BE491" i="4" s="1"/>
  <c r="BE388" i="4"/>
  <c r="BE389" i="4" s="1"/>
  <c r="BF384" i="4" s="1"/>
  <c r="BD1343" i="4"/>
  <c r="BD1463" i="4"/>
  <c r="BD1460" i="4" s="1"/>
  <c r="BD23" i="11"/>
  <c r="BD39" i="11" s="1"/>
  <c r="BD40" i="11" s="1"/>
  <c r="BE1308" i="4"/>
  <c r="BE42" i="62"/>
  <c r="BE1244" i="4"/>
  <c r="BE1245" i="4" s="1"/>
  <c r="BE85" i="11"/>
  <c r="BE1337" i="4"/>
  <c r="BD1516" i="4" l="1"/>
  <c r="BD1517" i="4" s="1"/>
  <c r="BD1473" i="4"/>
  <c r="BD1468" i="4" s="1"/>
  <c r="BE1101" i="4"/>
  <c r="BE1103" i="4" s="1"/>
  <c r="BE1104" i="4" s="1"/>
  <c r="BE1105" i="4" s="1"/>
  <c r="BF499" i="4"/>
  <c r="BE26" i="11"/>
  <c r="BF1240" i="4"/>
  <c r="BE64" i="62"/>
  <c r="BE51" i="11"/>
  <c r="BE52" i="62"/>
  <c r="BE43" i="62"/>
  <c r="BE23" i="62" s="1"/>
  <c r="BE15" i="11"/>
  <c r="BE13" i="11" s="1"/>
  <c r="BF488" i="4"/>
  <c r="BF1100" i="4" l="1"/>
  <c r="BE16" i="66"/>
  <c r="BE14" i="66" s="1"/>
  <c r="BE13" i="66" s="1"/>
  <c r="BE62" i="64"/>
  <c r="BE984" i="4"/>
  <c r="BE988" i="4" s="1"/>
  <c r="BE992" i="4" l="1"/>
  <c r="BE1320" i="4"/>
  <c r="BE1120" i="4"/>
  <c r="BE71" i="11"/>
  <c r="BE1294" i="4"/>
  <c r="BE1298" i="4" s="1"/>
  <c r="BE78" i="64"/>
  <c r="BE70" i="64"/>
  <c r="BE47" i="11" l="1"/>
  <c r="BE1073" i="4"/>
  <c r="BE1077" i="4" s="1"/>
  <c r="BE1081" i="4" s="1"/>
  <c r="BE1089" i="4" l="1"/>
  <c r="BE1082" i="4"/>
  <c r="BE1093" i="4" s="1"/>
  <c r="BE1090" i="4" s="1"/>
  <c r="BE1083" i="4" s="1"/>
  <c r="BE1084" i="4" s="1"/>
  <c r="BE62" i="11"/>
  <c r="BE61" i="11"/>
  <c r="BE48" i="11"/>
  <c r="BE55" i="11" s="1"/>
  <c r="BE64" i="11" l="1"/>
  <c r="BE62" i="62"/>
  <c r="BE1472" i="4"/>
  <c r="BE75" i="11"/>
  <c r="BE56" i="11"/>
  <c r="BE57" i="11" s="1"/>
  <c r="BE61" i="64"/>
  <c r="BE1323" i="4"/>
  <c r="BE1123" i="4"/>
  <c r="BE1130" i="4" s="1"/>
  <c r="BE1132" i="4" s="1"/>
  <c r="BE1135" i="4" s="1"/>
  <c r="BE1299" i="4"/>
  <c r="BE1300" i="4" s="1"/>
  <c r="BE63" i="11"/>
  <c r="BE1091" i="4"/>
  <c r="BF1088" i="4" s="1"/>
  <c r="BE77" i="64" l="1"/>
  <c r="BE82" i="64" s="1"/>
  <c r="BE69" i="64"/>
  <c r="BE74" i="64" s="1"/>
  <c r="BE66" i="64"/>
  <c r="BE40" i="64" s="1"/>
  <c r="BE42" i="64" s="1"/>
  <c r="BE1471" i="4"/>
  <c r="BE1283" i="4"/>
  <c r="BE63" i="62"/>
  <c r="BE67" i="62" s="1"/>
  <c r="BE1313" i="4"/>
  <c r="BE68" i="62" l="1"/>
  <c r="BE1193" i="4"/>
  <c r="BE1194" i="4" s="1"/>
  <c r="BE1196" i="4" s="1"/>
  <c r="BE1198" i="4" s="1"/>
  <c r="BE1164" i="4" s="1"/>
  <c r="BE52" i="64"/>
  <c r="BE49" i="64"/>
  <c r="BE1214" i="4" l="1"/>
  <c r="BE1165" i="4"/>
  <c r="BF1162" i="4" l="1"/>
  <c r="BF1207" i="4"/>
  <c r="BF1225" i="4" s="1"/>
  <c r="BE1302" i="4"/>
  <c r="BE1303" i="4" s="1"/>
  <c r="BE1481" i="4"/>
  <c r="BE88" i="11"/>
  <c r="BE1324" i="4"/>
  <c r="BE38" i="66"/>
  <c r="BE1424" i="4"/>
  <c r="BE1215" i="4"/>
  <c r="BE31" i="11" l="1"/>
  <c r="BE1489" i="4"/>
  <c r="BE1490" i="4" s="1"/>
  <c r="BF1212" i="4"/>
  <c r="BE1505" i="4"/>
  <c r="BE1515" i="4"/>
  <c r="BE1271" i="4"/>
  <c r="BE1281" i="4"/>
  <c r="BF1163" i="4"/>
  <c r="BE1252" i="4" l="1"/>
  <c r="BE1274" i="4"/>
  <c r="BE1275" i="4" s="1"/>
  <c r="BE1265" i="4" s="1"/>
  <c r="BF1492" i="4"/>
  <c r="BE1495" i="4"/>
  <c r="BE1493" i="4"/>
  <c r="BF1213" i="4"/>
  <c r="BF1206" i="4"/>
  <c r="BF1224" i="4" s="1"/>
  <c r="BF1226" i="4" s="1"/>
  <c r="BF1202" i="4"/>
  <c r="BF1178" i="4"/>
  <c r="BE30" i="11"/>
  <c r="BE45" i="62"/>
  <c r="BE1266" i="4" l="1"/>
  <c r="BE1264" i="4"/>
  <c r="BE1253" i="4" s="1"/>
  <c r="BF1180" i="4"/>
  <c r="BF1189" i="4"/>
  <c r="BF1218" i="4" s="1"/>
  <c r="BF1179" i="4"/>
  <c r="BE1257" i="4"/>
  <c r="BE1261" i="4"/>
  <c r="BE1268" i="4" s="1"/>
  <c r="BF37" i="66"/>
  <c r="BF1326" i="4"/>
  <c r="BF297" i="4"/>
  <c r="BF305" i="4" s="1"/>
  <c r="BF330" i="4" s="1"/>
  <c r="BF72" i="11"/>
  <c r="BF50" i="11"/>
  <c r="BF49" i="11" s="1"/>
  <c r="BF1076" i="4"/>
  <c r="BF1122" i="4"/>
  <c r="BF1295" i="4"/>
  <c r="BF1336" i="4"/>
  <c r="BF87" i="11"/>
  <c r="BF18" i="66"/>
  <c r="BF1310" i="4"/>
  <c r="BF1423" i="4"/>
  <c r="BE1496" i="4"/>
  <c r="BF1181" i="4" l="1"/>
  <c r="BF1197" i="4" s="1"/>
  <c r="BE1338" i="4"/>
  <c r="BE86" i="11"/>
  <c r="BE1309" i="4"/>
  <c r="BE19" i="66"/>
  <c r="BE17" i="66" s="1"/>
  <c r="BE1480" i="4"/>
  <c r="BF1074" i="4"/>
  <c r="BF1219" i="4"/>
  <c r="BF294" i="4" s="1"/>
  <c r="BF1220" i="4"/>
  <c r="BF53" i="11" s="1"/>
  <c r="BF52" i="11" s="1"/>
  <c r="BF456" i="4"/>
  <c r="BF458" i="4" s="1"/>
  <c r="BF459" i="4" s="1"/>
  <c r="BF478" i="4"/>
  <c r="BF480" i="4" s="1"/>
  <c r="BF481" i="4" s="1"/>
  <c r="BF482" i="4" s="1"/>
  <c r="BF483" i="4" s="1"/>
  <c r="BG477" i="4" s="1"/>
  <c r="BG479" i="4"/>
  <c r="BF467" i="4"/>
  <c r="BF469" i="4" s="1"/>
  <c r="BF470" i="4" s="1"/>
  <c r="BF471" i="4" s="1"/>
  <c r="BF472" i="4" s="1"/>
  <c r="BG466" i="4" s="1"/>
  <c r="BG457" i="4"/>
  <c r="BG468" i="4"/>
  <c r="BF1169" i="4"/>
  <c r="BF1168" i="4"/>
  <c r="BE74" i="11"/>
  <c r="BE78" i="11" s="1"/>
  <c r="BE1272" i="4"/>
  <c r="BE1276" i="4" s="1"/>
  <c r="BE1254" i="4" s="1"/>
  <c r="BE1304" i="4"/>
  <c r="BE1327" i="4"/>
  <c r="BE1386" i="4"/>
  <c r="BE36" i="66"/>
  <c r="BF1190" i="4" l="1"/>
  <c r="BF1221" i="4" s="1"/>
  <c r="BF1301" i="4" s="1"/>
  <c r="BF1170" i="4"/>
  <c r="BF1188" i="4" s="1"/>
  <c r="BF460" i="4"/>
  <c r="BF461" i="4" s="1"/>
  <c r="BG455" i="4" s="1"/>
  <c r="BF494" i="4"/>
  <c r="BF1071" i="4" s="1"/>
  <c r="BF299" i="4"/>
  <c r="BF302" i="4"/>
  <c r="BE39" i="66"/>
  <c r="BE35" i="66" s="1"/>
  <c r="BE1328" i="4"/>
  <c r="BE1305" i="4"/>
  <c r="BE1282" i="4" s="1"/>
  <c r="BE89" i="11"/>
  <c r="BE1255" i="4"/>
  <c r="BG495" i="4"/>
  <c r="BG1072" i="4" s="1"/>
  <c r="BF73" i="11"/>
  <c r="BE1421" i="4"/>
  <c r="BE1385" i="4"/>
  <c r="BE1388" i="4" s="1"/>
  <c r="BE1483" i="4"/>
  <c r="BF1325" i="4" l="1"/>
  <c r="BF1121" i="4"/>
  <c r="BF1144" i="4" s="1"/>
  <c r="BF1145" i="4" s="1"/>
  <c r="BE1284" i="4"/>
  <c r="BE1286" i="4" s="1"/>
  <c r="BE1390" i="4"/>
  <c r="BE1402" i="4"/>
  <c r="BE1425" i="4"/>
  <c r="BF331" i="4"/>
  <c r="BF307" i="4"/>
  <c r="BE27" i="11"/>
  <c r="BF1250" i="4"/>
  <c r="BE1506" i="4"/>
  <c r="BF1234" i="4" l="1"/>
  <c r="BF1241" i="4" s="1"/>
  <c r="BF1235" i="4"/>
  <c r="BF1251" i="4" s="1"/>
  <c r="BF332" i="4"/>
  <c r="BF14" i="11" s="1"/>
  <c r="BE1285" i="4"/>
  <c r="BF395" i="4"/>
  <c r="BF396" i="4" s="1"/>
  <c r="BF397" i="4" s="1"/>
  <c r="BF398" i="4" s="1"/>
  <c r="BF399" i="4" s="1"/>
  <c r="BG394" i="4" s="1"/>
  <c r="BF385" i="4"/>
  <c r="BF405" i="4"/>
  <c r="BF406" i="4" s="1"/>
  <c r="BF407" i="4" s="1"/>
  <c r="BF408" i="4" s="1"/>
  <c r="BF409" i="4" s="1"/>
  <c r="BG404" i="4" s="1"/>
  <c r="BE1306" i="4"/>
  <c r="BE1307" i="4" s="1"/>
  <c r="BE1311" i="4" s="1"/>
  <c r="BF1290" i="4" s="1"/>
  <c r="BE1329" i="4"/>
  <c r="BE90" i="11"/>
  <c r="BE91" i="11" s="1"/>
  <c r="BE93" i="11" s="1"/>
  <c r="BE96" i="11" s="1"/>
  <c r="BE97" i="11" s="1"/>
  <c r="BE48" i="62"/>
  <c r="BE24" i="62" s="1"/>
  <c r="BE26" i="62" s="1"/>
  <c r="BE58" i="11"/>
  <c r="BE59" i="11" s="1"/>
  <c r="BE28" i="11" s="1"/>
  <c r="BE25" i="11" s="1"/>
  <c r="BE22" i="66"/>
  <c r="BE1440" i="4"/>
  <c r="BE1507" i="4"/>
  <c r="BE1508" i="4" s="1"/>
  <c r="BE1509" i="4"/>
  <c r="BE1403" i="4"/>
  <c r="BE1404" i="4" s="1"/>
  <c r="BF1236" i="4" l="1"/>
  <c r="BE1462" i="4"/>
  <c r="BE1461" i="4" s="1"/>
  <c r="BE44" i="66"/>
  <c r="BE40" i="66" s="1"/>
  <c r="BE46" i="66" s="1"/>
  <c r="BE24" i="66"/>
  <c r="BE20" i="66" s="1"/>
  <c r="BE26" i="66" s="1"/>
  <c r="BF95" i="11"/>
  <c r="BE101" i="11"/>
  <c r="BE1340" i="4"/>
  <c r="BE1341" i="4" s="1"/>
  <c r="BE46" i="62"/>
  <c r="BE100" i="11"/>
  <c r="BE101" i="67"/>
  <c r="BE100" i="67"/>
  <c r="BE21" i="11"/>
  <c r="BE17" i="11" s="1"/>
  <c r="BE1330" i="4"/>
  <c r="BE1331" i="4" s="1"/>
  <c r="BE1475" i="4"/>
  <c r="BE1470" i="4" s="1"/>
  <c r="BE37" i="11"/>
  <c r="BE1474" i="4"/>
  <c r="BE1469" i="4" s="1"/>
  <c r="BE1441" i="4"/>
  <c r="BE1442" i="4" s="1"/>
  <c r="BF85" i="11"/>
  <c r="BF1308" i="4"/>
  <c r="BF42" i="62"/>
  <c r="BF1337" i="4"/>
  <c r="BF1244" i="4"/>
  <c r="BF1245" i="4" s="1"/>
  <c r="BF1128" i="4"/>
  <c r="BF386" i="4"/>
  <c r="BF387" i="4" s="1"/>
  <c r="BF489" i="4"/>
  <c r="BF500" i="4"/>
  <c r="BE1343" i="4" l="1"/>
  <c r="BG1240" i="4"/>
  <c r="BF26" i="11"/>
  <c r="BF52" i="62"/>
  <c r="BF43" i="62"/>
  <c r="BF23" i="62" s="1"/>
  <c r="BF501" i="4"/>
  <c r="BF502" i="4" s="1"/>
  <c r="BF388" i="4"/>
  <c r="BF389" i="4" s="1"/>
  <c r="BG384" i="4" s="1"/>
  <c r="BF490" i="4"/>
  <c r="BE99" i="11"/>
  <c r="BE1463" i="4"/>
  <c r="BE1460" i="4" s="1"/>
  <c r="BE23" i="11"/>
  <c r="BE39" i="11" s="1"/>
  <c r="BE40" i="11" s="1"/>
  <c r="BE48" i="66"/>
  <c r="BF1101" i="4" l="1"/>
  <c r="BF1103" i="4" s="1"/>
  <c r="BF1104" i="4" s="1"/>
  <c r="BF1105" i="4" s="1"/>
  <c r="BG499" i="4"/>
  <c r="BF16" i="66"/>
  <c r="BF14" i="66" s="1"/>
  <c r="BF13" i="66" s="1"/>
  <c r="BE1516" i="4"/>
  <c r="BE1517" i="4" s="1"/>
  <c r="BE1473" i="4"/>
  <c r="BE1468" i="4" s="1"/>
  <c r="BF491" i="4"/>
  <c r="BF64" i="62"/>
  <c r="BF51" i="11"/>
  <c r="BG1100" i="4" l="1"/>
  <c r="BG488" i="4"/>
  <c r="BF15" i="11"/>
  <c r="BF13" i="11" s="1"/>
  <c r="BF984" i="4"/>
  <c r="BF988" i="4" s="1"/>
  <c r="BF62" i="64"/>
  <c r="BF78" i="64" l="1"/>
  <c r="BF70" i="64"/>
  <c r="BF71" i="11"/>
  <c r="BF1320" i="4"/>
  <c r="BF1120" i="4"/>
  <c r="BF992" i="4"/>
  <c r="BF1294" i="4"/>
  <c r="BF1298" i="4" s="1"/>
  <c r="BF47" i="11" l="1"/>
  <c r="BF1073" i="4"/>
  <c r="BF1077" i="4" s="1"/>
  <c r="BF1081" i="4" s="1"/>
  <c r="BF61" i="11" l="1"/>
  <c r="BF62" i="11"/>
  <c r="BF48" i="11"/>
  <c r="BF55" i="11" s="1"/>
  <c r="BF1089" i="4"/>
  <c r="BF1082" i="4"/>
  <c r="BF1093" i="4" s="1"/>
  <c r="BF1090" i="4" s="1"/>
  <c r="BF1083" i="4" s="1"/>
  <c r="BF1084" i="4" s="1"/>
  <c r="BF1323" i="4" l="1"/>
  <c r="BF75" i="11"/>
  <c r="BF1123" i="4"/>
  <c r="BF1130" i="4" s="1"/>
  <c r="BF1132" i="4" s="1"/>
  <c r="BF1135" i="4" s="1"/>
  <c r="BF61" i="64"/>
  <c r="BF56" i="11"/>
  <c r="BF57" i="11" s="1"/>
  <c r="BF1299" i="4"/>
  <c r="BF1300" i="4" s="1"/>
  <c r="BF62" i="62"/>
  <c r="BF1472" i="4"/>
  <c r="BF64" i="11"/>
  <c r="BF1091" i="4"/>
  <c r="BG1088" i="4" s="1"/>
  <c r="BF63" i="11"/>
  <c r="BF1313" i="4" l="1"/>
  <c r="BF1471" i="4"/>
  <c r="BF1283" i="4"/>
  <c r="BF69" i="64"/>
  <c r="BF74" i="64" s="1"/>
  <c r="BF77" i="64"/>
  <c r="BF82" i="64" s="1"/>
  <c r="BF66" i="64"/>
  <c r="BF40" i="64" s="1"/>
  <c r="BF42" i="64" s="1"/>
  <c r="BF63" i="62"/>
  <c r="BF67" i="62" s="1"/>
  <c r="BF68" i="62" l="1"/>
  <c r="BF1193" i="4"/>
  <c r="BF1194" i="4" s="1"/>
  <c r="BF1196" i="4" s="1"/>
  <c r="BF1198" i="4" s="1"/>
  <c r="BF1164" i="4" s="1"/>
  <c r="BF52" i="64"/>
  <c r="BF49" i="64"/>
  <c r="BF1214" i="4" l="1"/>
  <c r="BF1165" i="4"/>
  <c r="BG1162" i="4" l="1"/>
  <c r="BG1207" i="4"/>
  <c r="BG1225" i="4" s="1"/>
  <c r="BF38" i="66"/>
  <c r="BF1324" i="4"/>
  <c r="BF88" i="11"/>
  <c r="BF1302" i="4"/>
  <c r="BF1303" i="4" s="1"/>
  <c r="BF1481" i="4"/>
  <c r="BF1424" i="4"/>
  <c r="BF1215" i="4"/>
  <c r="BF1281" i="4" l="1"/>
  <c r="BF1271" i="4"/>
  <c r="BF31" i="11"/>
  <c r="BF1489" i="4"/>
  <c r="BF1490" i="4" s="1"/>
  <c r="BF1515" i="4"/>
  <c r="BF1505" i="4"/>
  <c r="BG1212" i="4"/>
  <c r="BG1163" i="4"/>
  <c r="BF1495" i="4" l="1"/>
  <c r="BF1493" i="4"/>
  <c r="BF30" i="11"/>
  <c r="BF45" i="62"/>
  <c r="BF1252" i="4"/>
  <c r="BF1274" i="4"/>
  <c r="BF1275" i="4" s="1"/>
  <c r="BF1265" i="4" s="1"/>
  <c r="BG1492" i="4"/>
  <c r="BG1206" i="4"/>
  <c r="BG1224" i="4" s="1"/>
  <c r="BG1226" i="4" s="1"/>
  <c r="BG1213" i="4"/>
  <c r="BG1202" i="4"/>
  <c r="BG1178" i="4"/>
  <c r="BF1496" i="4" l="1"/>
  <c r="BF1266" i="4"/>
  <c r="BF1264" i="4"/>
  <c r="BF1253" i="4" s="1"/>
  <c r="BG1179" i="4"/>
  <c r="BG1189" i="4"/>
  <c r="BG1218" i="4" s="1"/>
  <c r="BG1180" i="4"/>
  <c r="W87" i="67"/>
  <c r="BG1336" i="4"/>
  <c r="BG87" i="11"/>
  <c r="BG18" i="66"/>
  <c r="BG1310" i="4"/>
  <c r="BG1423" i="4"/>
  <c r="W72" i="67"/>
  <c r="BG1076" i="4"/>
  <c r="BG297" i="4"/>
  <c r="BG305" i="4" s="1"/>
  <c r="BG330" i="4" s="1"/>
  <c r="BG37" i="66"/>
  <c r="BG1122" i="4"/>
  <c r="BG72" i="11"/>
  <c r="BG1326" i="4"/>
  <c r="BG50" i="11"/>
  <c r="BG1295" i="4"/>
  <c r="BF1261" i="4"/>
  <c r="BF1268" i="4" s="1"/>
  <c r="BF1257" i="4"/>
  <c r="BG1168" i="4" l="1"/>
  <c r="BG1169" i="4"/>
  <c r="BG1219" i="4"/>
  <c r="BG294" i="4" s="1"/>
  <c r="BG1074" i="4"/>
  <c r="BG1220" i="4"/>
  <c r="BG478" i="4"/>
  <c r="BG480" i="4" s="1"/>
  <c r="BG481" i="4" s="1"/>
  <c r="BG482" i="4" s="1"/>
  <c r="BG483" i="4" s="1"/>
  <c r="BH477" i="4" s="1"/>
  <c r="BG467" i="4"/>
  <c r="BG469" i="4" s="1"/>
  <c r="BG470" i="4" s="1"/>
  <c r="BG471" i="4" s="1"/>
  <c r="BG472" i="4" s="1"/>
  <c r="BH466" i="4" s="1"/>
  <c r="BH468" i="4"/>
  <c r="BG456" i="4"/>
  <c r="BG458" i="4" s="1"/>
  <c r="BG459" i="4" s="1"/>
  <c r="BH479" i="4"/>
  <c r="BH457" i="4"/>
  <c r="W50" i="67"/>
  <c r="W49" i="67" s="1"/>
  <c r="BG49" i="11"/>
  <c r="BG1181" i="4"/>
  <c r="BF1309" i="4"/>
  <c r="BF1338" i="4"/>
  <c r="BF86" i="11"/>
  <c r="BF19" i="66"/>
  <c r="BF17" i="66" s="1"/>
  <c r="BF1480" i="4"/>
  <c r="BF1327" i="4"/>
  <c r="BF74" i="11"/>
  <c r="BF78" i="11" s="1"/>
  <c r="BF1304" i="4"/>
  <c r="BF1272" i="4"/>
  <c r="BF1276" i="4" s="1"/>
  <c r="BF1254" i="4" s="1"/>
  <c r="BF1386" i="4"/>
  <c r="BF36" i="66"/>
  <c r="BG1170" i="4" l="1"/>
  <c r="BG1188" i="4" s="1"/>
  <c r="W53" i="67"/>
  <c r="W52" i="67" s="1"/>
  <c r="BG53" i="11"/>
  <c r="BG52" i="11" s="1"/>
  <c r="BH495" i="4"/>
  <c r="BH1072" i="4" s="1"/>
  <c r="BG299" i="4"/>
  <c r="BG302" i="4"/>
  <c r="BF1305" i="4"/>
  <c r="BF1282" i="4" s="1"/>
  <c r="BF1328" i="4"/>
  <c r="BF89" i="11"/>
  <c r="BF39" i="66"/>
  <c r="BF35" i="66" s="1"/>
  <c r="BF1255" i="4"/>
  <c r="BF1483" i="4"/>
  <c r="BF1421" i="4"/>
  <c r="BF1385" i="4"/>
  <c r="BF1388" i="4" s="1"/>
  <c r="BG1197" i="4"/>
  <c r="BG1190" i="4"/>
  <c r="BG1221" i="4" s="1"/>
  <c r="BG460" i="4"/>
  <c r="BG461" i="4" s="1"/>
  <c r="BH455" i="4" s="1"/>
  <c r="BG494" i="4"/>
  <c r="BG1071" i="4" s="1"/>
  <c r="BG1325" i="4" l="1"/>
  <c r="BG73" i="11"/>
  <c r="BG1121" i="4"/>
  <c r="BG1144" i="4" s="1"/>
  <c r="BG1301" i="4"/>
  <c r="W73" i="67"/>
  <c r="W23" i="13"/>
  <c r="BF1390" i="4"/>
  <c r="BF1402" i="4"/>
  <c r="BF1284" i="4"/>
  <c r="BF1286" i="4" s="1"/>
  <c r="BF1425" i="4"/>
  <c r="BG307" i="4"/>
  <c r="BG331" i="4"/>
  <c r="BG1250" i="4"/>
  <c r="BF27" i="11"/>
  <c r="BF1506" i="4"/>
  <c r="BG332" i="4" l="1"/>
  <c r="BG14" i="11" s="1"/>
  <c r="BF1285" i="4"/>
  <c r="BG385" i="4"/>
  <c r="BG405" i="4"/>
  <c r="BG406" i="4" s="1"/>
  <c r="BG407" i="4" s="1"/>
  <c r="BG408" i="4" s="1"/>
  <c r="BG409" i="4" s="1"/>
  <c r="BH404" i="4" s="1"/>
  <c r="BG395" i="4"/>
  <c r="BG396" i="4" s="1"/>
  <c r="BG397" i="4" s="1"/>
  <c r="BG398" i="4" s="1"/>
  <c r="BG399" i="4" s="1"/>
  <c r="BH394" i="4" s="1"/>
  <c r="BF1507" i="4"/>
  <c r="BF1508" i="4" s="1"/>
  <c r="BF1509" i="4"/>
  <c r="BF1440" i="4"/>
  <c r="BF1306" i="4"/>
  <c r="BF1307" i="4" s="1"/>
  <c r="BF1311" i="4" s="1"/>
  <c r="BG1290" i="4" s="1"/>
  <c r="BF1329" i="4"/>
  <c r="BF48" i="62"/>
  <c r="BF24" i="62" s="1"/>
  <c r="BF26" i="62" s="1"/>
  <c r="BF90" i="11"/>
  <c r="BF91" i="11" s="1"/>
  <c r="BF93" i="11" s="1"/>
  <c r="BF96" i="11" s="1"/>
  <c r="BF97" i="11" s="1"/>
  <c r="BF58" i="11"/>
  <c r="BF59" i="11" s="1"/>
  <c r="BF28" i="11" s="1"/>
  <c r="BF25" i="11" s="1"/>
  <c r="BF22" i="66"/>
  <c r="BF1403" i="4"/>
  <c r="BF1404" i="4" s="1"/>
  <c r="BG1235" i="4"/>
  <c r="BG1251" i="4" s="1"/>
  <c r="BG1145" i="4"/>
  <c r="BG1234" i="4"/>
  <c r="W14" i="67" l="1"/>
  <c r="BF1475" i="4"/>
  <c r="BF1470" i="4" s="1"/>
  <c r="BF1474" i="4"/>
  <c r="BF1469" i="4" s="1"/>
  <c r="BF37" i="11"/>
  <c r="BF46" i="62"/>
  <c r="BF1462" i="4"/>
  <c r="BF1461" i="4" s="1"/>
  <c r="BF44" i="66"/>
  <c r="BF40" i="66" s="1"/>
  <c r="BF46" i="66" s="1"/>
  <c r="BF100" i="11"/>
  <c r="BF101" i="11"/>
  <c r="BG95" i="11"/>
  <c r="BF24" i="66"/>
  <c r="BF20" i="66" s="1"/>
  <c r="BF26" i="66" s="1"/>
  <c r="BF101" i="67"/>
  <c r="BF21" i="11"/>
  <c r="BF17" i="11" s="1"/>
  <c r="BF1340" i="4"/>
  <c r="BF1341" i="4" s="1"/>
  <c r="BF1330" i="4"/>
  <c r="BF1331" i="4" s="1"/>
  <c r="BF100" i="67"/>
  <c r="BF1441" i="4"/>
  <c r="BF1442" i="4" s="1"/>
  <c r="BG1236" i="4"/>
  <c r="BG1241" i="4"/>
  <c r="BG500" i="4"/>
  <c r="BG386" i="4"/>
  <c r="BG387" i="4" s="1"/>
  <c r="BG489" i="4"/>
  <c r="BG1128" i="4"/>
  <c r="BF1343" i="4" l="1"/>
  <c r="BF48" i="66"/>
  <c r="BG1337" i="4"/>
  <c r="BG1244" i="4"/>
  <c r="BG1245" i="4" s="1"/>
  <c r="BG1308" i="4"/>
  <c r="BG42" i="62"/>
  <c r="BG85" i="11"/>
  <c r="W85" i="67"/>
  <c r="BF99" i="11"/>
  <c r="BF1463" i="4"/>
  <c r="BF1460" i="4" s="1"/>
  <c r="BF23" i="11"/>
  <c r="BF39" i="11" s="1"/>
  <c r="BF40" i="11" s="1"/>
  <c r="BG501" i="4"/>
  <c r="BG502" i="4" s="1"/>
  <c r="BG490" i="4"/>
  <c r="BG491" i="4" s="1"/>
  <c r="BG388" i="4"/>
  <c r="BG389" i="4" s="1"/>
  <c r="BH384" i="4" s="1"/>
  <c r="BG52" i="62" l="1"/>
  <c r="BG43" i="62"/>
  <c r="BG23" i="62" s="1"/>
  <c r="W15" i="67"/>
  <c r="W13" i="67" s="1"/>
  <c r="BG15" i="11"/>
  <c r="BG13" i="11" s="1"/>
  <c r="BH488" i="4"/>
  <c r="W51" i="67"/>
  <c r="BG51" i="11"/>
  <c r="BG64" i="62"/>
  <c r="W26" i="67"/>
  <c r="BH1240" i="4"/>
  <c r="BG26" i="11"/>
  <c r="BG1101" i="4"/>
  <c r="BG1103" i="4" s="1"/>
  <c r="BG1104" i="4" s="1"/>
  <c r="BG1105" i="4" s="1"/>
  <c r="BH499" i="4"/>
  <c r="BF1516" i="4"/>
  <c r="BF1517" i="4" s="1"/>
  <c r="BF1473" i="4"/>
  <c r="BF1468" i="4" s="1"/>
  <c r="BH1100" i="4" l="1"/>
  <c r="BG62" i="64"/>
  <c r="BG984" i="4"/>
  <c r="BG988" i="4" s="1"/>
  <c r="BG16" i="66"/>
  <c r="BG14" i="66" s="1"/>
  <c r="BG13" i="66" s="1"/>
  <c r="BG70" i="64" l="1"/>
  <c r="BG78" i="64"/>
  <c r="BG1120" i="4"/>
  <c r="BG1320" i="4"/>
  <c r="BG992" i="4"/>
  <c r="BG71" i="11"/>
  <c r="BG1294" i="4"/>
  <c r="BG1298" i="4" s="1"/>
  <c r="W40" i="13"/>
  <c r="W71" i="67"/>
  <c r="W47" i="67" l="1"/>
  <c r="BG1073" i="4"/>
  <c r="BG1077" i="4" s="1"/>
  <c r="BG1081" i="4" s="1"/>
  <c r="BG47" i="11"/>
  <c r="W20" i="72"/>
  <c r="BG61" i="11" l="1"/>
  <c r="BG62" i="11"/>
  <c r="BG48" i="11"/>
  <c r="BG55" i="11" s="1"/>
  <c r="W62" i="67"/>
  <c r="W64" i="67" s="1"/>
  <c r="W61" i="67"/>
  <c r="W63" i="67" s="1"/>
  <c r="W48" i="67"/>
  <c r="W55" i="67" s="1"/>
  <c r="BG1089" i="4"/>
  <c r="BG1082" i="4"/>
  <c r="BG1093" i="4" s="1"/>
  <c r="BG1090" i="4" s="1"/>
  <c r="BG1083" i="4" s="1"/>
  <c r="BG1084" i="4" s="1"/>
  <c r="BG1323" i="4" l="1"/>
  <c r="BG1299" i="4"/>
  <c r="BG1300" i="4" s="1"/>
  <c r="BG61" i="64"/>
  <c r="BG75" i="11"/>
  <c r="BG56" i="11"/>
  <c r="BG57" i="11" s="1"/>
  <c r="BG1123" i="4"/>
  <c r="BG1130" i="4" s="1"/>
  <c r="BG1132" i="4" s="1"/>
  <c r="BG1135" i="4" s="1"/>
  <c r="W75" i="67"/>
  <c r="W56" i="67"/>
  <c r="W57" i="67" s="1"/>
  <c r="W41" i="13"/>
  <c r="W43" i="13" s="1"/>
  <c r="BG64" i="11"/>
  <c r="BG1472" i="4"/>
  <c r="BG62" i="62"/>
  <c r="BG1091" i="4"/>
  <c r="BH1088" i="4" s="1"/>
  <c r="BG63" i="11"/>
  <c r="W1526" i="4"/>
  <c r="BG63" i="62" l="1"/>
  <c r="BG67" i="62" s="1"/>
  <c r="BG1471" i="4"/>
  <c r="BG1283" i="4"/>
  <c r="BG69" i="64"/>
  <c r="BG74" i="64" s="1"/>
  <c r="BG77" i="64"/>
  <c r="BG82" i="64" s="1"/>
  <c r="BG66" i="64"/>
  <c r="BG40" i="64" s="1"/>
  <c r="BG42" i="64" s="1"/>
  <c r="BG1313" i="4"/>
  <c r="BG68" i="62" l="1"/>
  <c r="BG1193" i="4"/>
  <c r="BG1194" i="4" s="1"/>
  <c r="BG1196" i="4" s="1"/>
  <c r="BG1198" i="4" s="1"/>
  <c r="BG1164" i="4" s="1"/>
  <c r="BG52" i="64"/>
  <c r="BG49" i="64"/>
  <c r="BG1214" i="4" l="1"/>
  <c r="BG1165" i="4"/>
  <c r="BH1162" i="4" l="1"/>
  <c r="BH1207" i="4"/>
  <c r="BH1225" i="4" s="1"/>
  <c r="BG1302" i="4"/>
  <c r="BG1303" i="4" s="1"/>
  <c r="BG88" i="11"/>
  <c r="BG38" i="66"/>
  <c r="BG1481" i="4"/>
  <c r="BG1324" i="4"/>
  <c r="BG1424" i="4"/>
  <c r="W24" i="13"/>
  <c r="W88" i="67"/>
  <c r="BG1215" i="4"/>
  <c r="W31" i="67" l="1"/>
  <c r="W30" i="67" s="1"/>
  <c r="W1525" i="4"/>
  <c r="W1529" i="4" s="1"/>
  <c r="BG31" i="11"/>
  <c r="BH1212" i="4"/>
  <c r="BG1489" i="4"/>
  <c r="BG1490" i="4" s="1"/>
  <c r="BG1515" i="4"/>
  <c r="BG1505" i="4"/>
  <c r="BG1281" i="4"/>
  <c r="BG1271" i="4"/>
  <c r="BH1163" i="4"/>
  <c r="BG1274" i="4" l="1"/>
  <c r="BG1275" i="4" s="1"/>
  <c r="BG1265" i="4" s="1"/>
  <c r="BG1252" i="4"/>
  <c r="BG1495" i="4"/>
  <c r="BG1493" i="4"/>
  <c r="BH1206" i="4"/>
  <c r="BH1224" i="4" s="1"/>
  <c r="BH1226" i="4" s="1"/>
  <c r="BH1213" i="4"/>
  <c r="BH1202" i="4"/>
  <c r="BH1178" i="4"/>
  <c r="BH1492" i="4"/>
  <c r="BG30" i="11"/>
  <c r="BG45" i="62"/>
  <c r="BG1496" i="4" l="1"/>
  <c r="BH1180" i="4"/>
  <c r="BH1169" i="4" s="1"/>
  <c r="BH1170" i="4" s="1"/>
  <c r="BH1188" i="4" s="1"/>
  <c r="BH1189" i="4"/>
  <c r="BH1218" i="4" s="1"/>
  <c r="BH1179" i="4"/>
  <c r="BH87" i="11"/>
  <c r="BH18" i="66"/>
  <c r="BH1310" i="4"/>
  <c r="BH1336" i="4"/>
  <c r="BH1423" i="4"/>
  <c r="BG1257" i="4"/>
  <c r="BG1261" i="4"/>
  <c r="BG1268" i="4" s="1"/>
  <c r="BH1122" i="4"/>
  <c r="BH1326" i="4"/>
  <c r="BH1295" i="4"/>
  <c r="BH50" i="11"/>
  <c r="BH49" i="11" s="1"/>
  <c r="BH297" i="4"/>
  <c r="BH305" i="4" s="1"/>
  <c r="BH330" i="4" s="1"/>
  <c r="BH72" i="11"/>
  <c r="BH37" i="66"/>
  <c r="BH1076" i="4"/>
  <c r="BG1266" i="4"/>
  <c r="BG1264" i="4"/>
  <c r="BG1253" i="4" s="1"/>
  <c r="BH1181" i="4" l="1"/>
  <c r="BH1190" i="4" s="1"/>
  <c r="BH1221" i="4" s="1"/>
  <c r="BG1338" i="4"/>
  <c r="BG1309" i="4"/>
  <c r="BG19" i="66"/>
  <c r="BG17" i="66" s="1"/>
  <c r="BG86" i="11"/>
  <c r="W86" i="67"/>
  <c r="BG1480" i="4"/>
  <c r="BI457" i="4"/>
  <c r="BI479" i="4"/>
  <c r="BH467" i="4"/>
  <c r="BH469" i="4" s="1"/>
  <c r="BH470" i="4" s="1"/>
  <c r="BH471" i="4" s="1"/>
  <c r="BH472" i="4" s="1"/>
  <c r="BI466" i="4" s="1"/>
  <c r="BH478" i="4"/>
  <c r="BH480" i="4" s="1"/>
  <c r="BH481" i="4" s="1"/>
  <c r="BH482" i="4" s="1"/>
  <c r="BH483" i="4" s="1"/>
  <c r="BI477" i="4" s="1"/>
  <c r="BH456" i="4"/>
  <c r="BH458" i="4" s="1"/>
  <c r="BH459" i="4" s="1"/>
  <c r="BI468" i="4"/>
  <c r="BG1304" i="4"/>
  <c r="BG1327" i="4"/>
  <c r="BG1272" i="4"/>
  <c r="BG1276" i="4" s="1"/>
  <c r="BG1254" i="4" s="1"/>
  <c r="BG74" i="11"/>
  <c r="BG78" i="11" s="1"/>
  <c r="W74" i="67"/>
  <c r="BG1386" i="4"/>
  <c r="BG36" i="66"/>
  <c r="BH1220" i="4"/>
  <c r="BH53" i="11" s="1"/>
  <c r="BH52" i="11" s="1"/>
  <c r="BH1074" i="4"/>
  <c r="BH1219" i="4"/>
  <c r="BH294" i="4" s="1"/>
  <c r="BH1197" i="4" l="1"/>
  <c r="W25" i="13"/>
  <c r="BG1483" i="4"/>
  <c r="BG1421" i="4"/>
  <c r="BG1385" i="4"/>
  <c r="BG1388" i="4" s="1"/>
  <c r="BH494" i="4"/>
  <c r="BH1071" i="4" s="1"/>
  <c r="BH460" i="4"/>
  <c r="BH461" i="4" s="1"/>
  <c r="BI455" i="4" s="1"/>
  <c r="BG1305" i="4"/>
  <c r="BG1282" i="4" s="1"/>
  <c r="BG39" i="66"/>
  <c r="BG35" i="66" s="1"/>
  <c r="BG89" i="11"/>
  <c r="BG1328" i="4"/>
  <c r="W89" i="67"/>
  <c r="BH299" i="4"/>
  <c r="BH302" i="4"/>
  <c r="BH1121" i="4"/>
  <c r="BH1144" i="4" s="1"/>
  <c r="BH73" i="11"/>
  <c r="BH1301" i="4"/>
  <c r="BH1325" i="4"/>
  <c r="W78" i="67"/>
  <c r="BI495" i="4"/>
  <c r="BI1072" i="4" s="1"/>
  <c r="BG1255" i="4"/>
  <c r="BG1284" i="4" l="1"/>
  <c r="BG1286" i="4" s="1"/>
  <c r="BH1250" i="4"/>
  <c r="W27" i="67"/>
  <c r="BG27" i="11"/>
  <c r="BG1506" i="4"/>
  <c r="BH1234" i="4"/>
  <c r="BH1145" i="4"/>
  <c r="BH1235" i="4"/>
  <c r="BH1251" i="4" s="1"/>
  <c r="BH331" i="4"/>
  <c r="BH307" i="4"/>
  <c r="BG1390" i="4"/>
  <c r="BG1402" i="4"/>
  <c r="BG1425" i="4"/>
  <c r="W13" i="13"/>
  <c r="BH332" i="4" l="1"/>
  <c r="BH14" i="11" s="1"/>
  <c r="BG1285" i="4"/>
  <c r="BH1241" i="4"/>
  <c r="BH1236" i="4"/>
  <c r="BH405" i="4"/>
  <c r="BH406" i="4" s="1"/>
  <c r="BH407" i="4" s="1"/>
  <c r="BH408" i="4" s="1"/>
  <c r="BH409" i="4" s="1"/>
  <c r="BI404" i="4" s="1"/>
  <c r="BH385" i="4"/>
  <c r="BH395" i="4"/>
  <c r="BH396" i="4" s="1"/>
  <c r="BH397" i="4" s="1"/>
  <c r="BH398" i="4" s="1"/>
  <c r="BH399" i="4" s="1"/>
  <c r="BI394" i="4" s="1"/>
  <c r="BG1507" i="4"/>
  <c r="BG1508" i="4" s="1"/>
  <c r="BG1509" i="4"/>
  <c r="BG1403" i="4"/>
  <c r="BG1404" i="4" s="1"/>
  <c r="BG1440" i="4"/>
  <c r="BG48" i="62"/>
  <c r="BG24" i="62" s="1"/>
  <c r="BG26" i="62" s="1"/>
  <c r="BG1329" i="4"/>
  <c r="BG58" i="11"/>
  <c r="BG59" i="11" s="1"/>
  <c r="BG28" i="11" s="1"/>
  <c r="BG1306" i="4"/>
  <c r="BG1307" i="4" s="1"/>
  <c r="BG1311" i="4" s="1"/>
  <c r="BH1290" i="4" s="1"/>
  <c r="BG90" i="11"/>
  <c r="BG91" i="11" s="1"/>
  <c r="BG93" i="11" s="1"/>
  <c r="BG96" i="11" s="1"/>
  <c r="BG97" i="11" s="1"/>
  <c r="W58" i="67"/>
  <c r="W90" i="67"/>
  <c r="BG22" i="66"/>
  <c r="BH1128" i="4" l="1"/>
  <c r="BG25" i="11"/>
  <c r="W28" i="67"/>
  <c r="W25" i="67" s="1"/>
  <c r="W37" i="67" s="1"/>
  <c r="BH386" i="4"/>
  <c r="BH387" i="4" s="1"/>
  <c r="BH489" i="4"/>
  <c r="BH500" i="4"/>
  <c r="W91" i="67"/>
  <c r="BG1441" i="4"/>
  <c r="BG1442" i="4" s="1"/>
  <c r="W59" i="67"/>
  <c r="BH42" i="62"/>
  <c r="BH1337" i="4"/>
  <c r="BH1244" i="4"/>
  <c r="BH1245" i="4" s="1"/>
  <c r="BH1308" i="4"/>
  <c r="BH85" i="11"/>
  <c r="BG1462" i="4"/>
  <c r="BG1461" i="4" s="1"/>
  <c r="BG44" i="66"/>
  <c r="BG40" i="66" s="1"/>
  <c r="BG46" i="66" s="1"/>
  <c r="BG46" i="62"/>
  <c r="W21" i="67"/>
  <c r="W17" i="67" s="1"/>
  <c r="W23" i="67" s="1"/>
  <c r="BG100" i="67"/>
  <c r="BG1330" i="4"/>
  <c r="BG1331" i="4" s="1"/>
  <c r="BG1340" i="4"/>
  <c r="BG1341" i="4" s="1"/>
  <c r="BG101" i="11"/>
  <c r="BG24" i="66"/>
  <c r="BG20" i="66" s="1"/>
  <c r="BG26" i="66" s="1"/>
  <c r="BH95" i="11"/>
  <c r="BG21" i="11"/>
  <c r="BG17" i="11" s="1"/>
  <c r="BG101" i="67"/>
  <c r="BG100" i="11"/>
  <c r="W1527" i="4"/>
  <c r="W1534" i="4" s="1"/>
  <c r="BG99" i="11" l="1"/>
  <c r="BG1343" i="4"/>
  <c r="W39" i="67"/>
  <c r="W40" i="67" s="1"/>
  <c r="BG48" i="66"/>
  <c r="BH501" i="4"/>
  <c r="BH502" i="4" s="1"/>
  <c r="BH490" i="4"/>
  <c r="BH491" i="4" s="1"/>
  <c r="BH388" i="4"/>
  <c r="BH389" i="4" s="1"/>
  <c r="BI384" i="4" s="1"/>
  <c r="BG1474" i="4"/>
  <c r="BG1469" i="4" s="1"/>
  <c r="BG1475" i="4"/>
  <c r="BG1470" i="4" s="1"/>
  <c r="BG37" i="11"/>
  <c r="BH26" i="11"/>
  <c r="BI1240" i="4"/>
  <c r="W93" i="67"/>
  <c r="W96" i="67" s="1"/>
  <c r="W97" i="67" s="1"/>
  <c r="BG1463" i="4"/>
  <c r="BG1460" i="4" s="1"/>
  <c r="BG23" i="11"/>
  <c r="BH52" i="62"/>
  <c r="BH43" i="62"/>
  <c r="BH23" i="62" s="1"/>
  <c r="BH15" i="11" l="1"/>
  <c r="BH13" i="11" s="1"/>
  <c r="BI488" i="4"/>
  <c r="BG39" i="11"/>
  <c r="BG40" i="11" s="1"/>
  <c r="BG1516" i="4"/>
  <c r="BG1517" i="4" s="1"/>
  <c r="BG1473" i="4"/>
  <c r="BG1468" i="4" s="1"/>
  <c r="BI499" i="4"/>
  <c r="BH1101" i="4"/>
  <c r="BH1103" i="4" s="1"/>
  <c r="BH1104" i="4" s="1"/>
  <c r="BH1105" i="4" s="1"/>
  <c r="BH51" i="11"/>
  <c r="BH64" i="62"/>
  <c r="BH16" i="66"/>
  <c r="BH14" i="66" s="1"/>
  <c r="BH13" i="66" s="1"/>
  <c r="X95" i="67"/>
  <c r="W99" i="67"/>
  <c r="BH984" i="4" l="1"/>
  <c r="BH988" i="4" s="1"/>
  <c r="BH62" i="64"/>
  <c r="BI1100" i="4"/>
  <c r="BH78" i="64" l="1"/>
  <c r="BH70" i="64"/>
  <c r="BH1320" i="4"/>
  <c r="BH1294" i="4"/>
  <c r="BH1298" i="4" s="1"/>
  <c r="BH1120" i="4"/>
  <c r="BH992" i="4"/>
  <c r="BH71" i="11"/>
  <c r="BH1073" i="4" l="1"/>
  <c r="BH1077" i="4" s="1"/>
  <c r="BH1081" i="4" s="1"/>
  <c r="BH47" i="11"/>
  <c r="BH1082" i="4" l="1"/>
  <c r="BH1089" i="4"/>
  <c r="BH61" i="11"/>
  <c r="BH62" i="11"/>
  <c r="BH48" i="11"/>
  <c r="BH55" i="11" s="1"/>
  <c r="BH63" i="11" l="1"/>
  <c r="BH62" i="62"/>
  <c r="BH64" i="11"/>
  <c r="BH1472" i="4"/>
  <c r="BH1093" i="4"/>
  <c r="BH1090" i="4" s="1"/>
  <c r="BH1091" i="4" s="1"/>
  <c r="BI1088" i="4" s="1"/>
  <c r="BH1083" i="4" l="1"/>
  <c r="BH1084" i="4" s="1"/>
  <c r="BH63" i="62" s="1"/>
  <c r="BH67" i="62" s="1"/>
  <c r="BH68" i="62" l="1"/>
  <c r="BH1323" i="4"/>
  <c r="BH56" i="11"/>
  <c r="BH57" i="11" s="1"/>
  <c r="BH75" i="11"/>
  <c r="BH1123" i="4"/>
  <c r="BH1130" i="4" s="1"/>
  <c r="BH1132" i="4" s="1"/>
  <c r="BH1135" i="4" s="1"/>
  <c r="BH61" i="64"/>
  <c r="BH1299" i="4"/>
  <c r="BH1300" i="4" s="1"/>
  <c r="BH69" i="64" l="1"/>
  <c r="BH74" i="64" s="1"/>
  <c r="BH77" i="64"/>
  <c r="BH82" i="64" s="1"/>
  <c r="BH66" i="64"/>
  <c r="BH40" i="64" s="1"/>
  <c r="BH42" i="64" s="1"/>
  <c r="BH1471" i="4"/>
  <c r="BH1283" i="4"/>
  <c r="BH1313" i="4"/>
  <c r="BH52" i="64" l="1"/>
  <c r="BH49" i="64"/>
  <c r="BH1193" i="4"/>
  <c r="BH1194" i="4" s="1"/>
  <c r="BH1196" i="4" s="1"/>
  <c r="BH1198" i="4" s="1"/>
  <c r="BH1164" i="4" s="1"/>
  <c r="BH1214" i="4" l="1"/>
  <c r="BH1165" i="4"/>
  <c r="BI1162" i="4" l="1"/>
  <c r="BI1207" i="4"/>
  <c r="BI1225" i="4" s="1"/>
  <c r="BH1324" i="4"/>
  <c r="BH38" i="66"/>
  <c r="BH1481" i="4"/>
  <c r="BH1483" i="4" s="1"/>
  <c r="BH88" i="11"/>
  <c r="BH1302" i="4"/>
  <c r="BH1303" i="4" s="1"/>
  <c r="BH1424" i="4"/>
  <c r="BH1215" i="4"/>
  <c r="BH1271" i="4" l="1"/>
  <c r="BH1281" i="4"/>
  <c r="BH31" i="11"/>
  <c r="BH1489" i="4"/>
  <c r="BH1490" i="4" s="1"/>
  <c r="BH1505" i="4"/>
  <c r="BI1212" i="4"/>
  <c r="BH1515" i="4"/>
  <c r="BI1163" i="4"/>
  <c r="BI1492" i="4" l="1"/>
  <c r="BH1495" i="4"/>
  <c r="BH1493" i="4"/>
  <c r="BH45" i="62"/>
  <c r="BH30" i="11"/>
  <c r="BI1213" i="4"/>
  <c r="BI1206" i="4"/>
  <c r="BI1224" i="4" s="1"/>
  <c r="BI1226" i="4" s="1"/>
  <c r="BI1202" i="4"/>
  <c r="BI1178" i="4"/>
  <c r="BH1274" i="4"/>
  <c r="BH1275" i="4" s="1"/>
  <c r="BH1265" i="4" s="1"/>
  <c r="BH1252" i="4"/>
  <c r="BH1496" i="4" l="1"/>
  <c r="BH1266" i="4"/>
  <c r="BH1264" i="4"/>
  <c r="BH1253" i="4" s="1"/>
  <c r="BI1180" i="4"/>
  <c r="BI1169" i="4" s="1"/>
  <c r="BI1170" i="4" s="1"/>
  <c r="BI1188" i="4" s="1"/>
  <c r="BI1179" i="4"/>
  <c r="BI1189" i="4"/>
  <c r="BI1218" i="4" s="1"/>
  <c r="BH1261" i="4"/>
  <c r="BH1268" i="4" s="1"/>
  <c r="BH1257" i="4"/>
  <c r="BI297" i="4"/>
  <c r="BI305" i="4" s="1"/>
  <c r="BI330" i="4" s="1"/>
  <c r="BI1295" i="4"/>
  <c r="BI50" i="11"/>
  <c r="BI49" i="11" s="1"/>
  <c r="BI1326" i="4"/>
  <c r="BI72" i="11"/>
  <c r="BI37" i="66"/>
  <c r="BI1076" i="4"/>
  <c r="BI1122" i="4"/>
  <c r="BI1336" i="4"/>
  <c r="BI87" i="11"/>
  <c r="BI18" i="66"/>
  <c r="BI1310" i="4"/>
  <c r="BI1423" i="4"/>
  <c r="BI1181" i="4" l="1"/>
  <c r="BI1190" i="4" s="1"/>
  <c r="BI1221" i="4" s="1"/>
  <c r="BI467" i="4"/>
  <c r="BI469" i="4" s="1"/>
  <c r="BI470" i="4" s="1"/>
  <c r="BI471" i="4" s="1"/>
  <c r="BI472" i="4" s="1"/>
  <c r="BJ466" i="4" s="1"/>
  <c r="BI478" i="4"/>
  <c r="BI480" i="4" s="1"/>
  <c r="BI481" i="4" s="1"/>
  <c r="BI482" i="4" s="1"/>
  <c r="BI483" i="4" s="1"/>
  <c r="BJ477" i="4" s="1"/>
  <c r="BI456" i="4"/>
  <c r="BI458" i="4" s="1"/>
  <c r="BI459" i="4" s="1"/>
  <c r="BJ457" i="4"/>
  <c r="BJ479" i="4"/>
  <c r="BJ468" i="4"/>
  <c r="BI1219" i="4"/>
  <c r="BI294" i="4" s="1"/>
  <c r="BI1074" i="4"/>
  <c r="BI1220" i="4"/>
  <c r="BI53" i="11" s="1"/>
  <c r="BI52" i="11" s="1"/>
  <c r="BH1327" i="4"/>
  <c r="BH1304" i="4"/>
  <c r="BH1272" i="4"/>
  <c r="BH1276" i="4" s="1"/>
  <c r="BH1254" i="4" s="1"/>
  <c r="BH74" i="11"/>
  <c r="BH78" i="11" s="1"/>
  <c r="BH36" i="66"/>
  <c r="BH1386" i="4"/>
  <c r="BH19" i="66"/>
  <c r="BH17" i="66" s="1"/>
  <c r="BH86" i="11"/>
  <c r="BH1309" i="4"/>
  <c r="BH1338" i="4"/>
  <c r="BH1480" i="4"/>
  <c r="BI1197" i="4" l="1"/>
  <c r="BI73" i="11"/>
  <c r="BI1121" i="4"/>
  <c r="BI1144" i="4" s="1"/>
  <c r="BI1325" i="4"/>
  <c r="BI1301" i="4"/>
  <c r="BJ495" i="4"/>
  <c r="BJ1072" i="4" s="1"/>
  <c r="BH1385" i="4"/>
  <c r="BH1388" i="4" s="1"/>
  <c r="BH1421" i="4"/>
  <c r="BI494" i="4"/>
  <c r="BI1071" i="4" s="1"/>
  <c r="BI460" i="4"/>
  <c r="BI461" i="4" s="1"/>
  <c r="BJ455" i="4" s="1"/>
  <c r="BI299" i="4"/>
  <c r="BI302" i="4"/>
  <c r="BH1328" i="4"/>
  <c r="BH89" i="11"/>
  <c r="BH1305" i="4"/>
  <c r="BH1282" i="4" s="1"/>
  <c r="BH39" i="66"/>
  <c r="BH35" i="66" s="1"/>
  <c r="BH1255" i="4"/>
  <c r="BI307" i="4" l="1"/>
  <c r="BI331" i="4"/>
  <c r="BI1250" i="4"/>
  <c r="BH27" i="11"/>
  <c r="BH1506" i="4"/>
  <c r="BH1284" i="4"/>
  <c r="BH1286" i="4" s="1"/>
  <c r="BH1425" i="4"/>
  <c r="BH1390" i="4"/>
  <c r="BH1402" i="4"/>
  <c r="BI1145" i="4"/>
  <c r="BI1235" i="4"/>
  <c r="BI1251" i="4" s="1"/>
  <c r="BI1234" i="4"/>
  <c r="BI332" i="4" l="1"/>
  <c r="BI14" i="11" s="1"/>
  <c r="BH1285" i="4"/>
  <c r="BH1306" i="4"/>
  <c r="BH1307" i="4" s="1"/>
  <c r="BH1311" i="4" s="1"/>
  <c r="BI1290" i="4" s="1"/>
  <c r="BH1329" i="4"/>
  <c r="BH48" i="62"/>
  <c r="BH24" i="62" s="1"/>
  <c r="BH26" i="62" s="1"/>
  <c r="BH90" i="11"/>
  <c r="BH91" i="11" s="1"/>
  <c r="BH93" i="11" s="1"/>
  <c r="BH96" i="11" s="1"/>
  <c r="BH97" i="11" s="1"/>
  <c r="BH58" i="11"/>
  <c r="BH59" i="11" s="1"/>
  <c r="BH28" i="11" s="1"/>
  <c r="BH22" i="66"/>
  <c r="BH1507" i="4"/>
  <c r="BH1508" i="4" s="1"/>
  <c r="BH1509" i="4"/>
  <c r="BH1403" i="4"/>
  <c r="BH1404" i="4" s="1"/>
  <c r="BI1236" i="4"/>
  <c r="BI1241" i="4"/>
  <c r="BH1440" i="4"/>
  <c r="BI405" i="4"/>
  <c r="BI406" i="4" s="1"/>
  <c r="BI407" i="4" s="1"/>
  <c r="BI408" i="4" s="1"/>
  <c r="BI409" i="4" s="1"/>
  <c r="BJ404" i="4" s="1"/>
  <c r="BI395" i="4"/>
  <c r="BI396" i="4" s="1"/>
  <c r="BI397" i="4" s="1"/>
  <c r="BI398" i="4" s="1"/>
  <c r="BI399" i="4" s="1"/>
  <c r="BJ394" i="4" s="1"/>
  <c r="BI385" i="4"/>
  <c r="BI85" i="11" l="1"/>
  <c r="BI42" i="62"/>
  <c r="BI1244" i="4"/>
  <c r="BI1245" i="4" s="1"/>
  <c r="BI1337" i="4"/>
  <c r="BI1308" i="4"/>
  <c r="BH101" i="67"/>
  <c r="BH100" i="67"/>
  <c r="BH1340" i="4"/>
  <c r="BH1341" i="4" s="1"/>
  <c r="BH101" i="11"/>
  <c r="BH44" i="66"/>
  <c r="BH40" i="66" s="1"/>
  <c r="BH46" i="66" s="1"/>
  <c r="BH100" i="11"/>
  <c r="BH1462" i="4"/>
  <c r="BH1461" i="4" s="1"/>
  <c r="BI95" i="11"/>
  <c r="BH46" i="62"/>
  <c r="BH24" i="66"/>
  <c r="BH20" i="66" s="1"/>
  <c r="BH26" i="66" s="1"/>
  <c r="BH21" i="11"/>
  <c r="BH17" i="11" s="1"/>
  <c r="BH1330" i="4"/>
  <c r="BH1331" i="4" s="1"/>
  <c r="BH1441" i="4"/>
  <c r="BH1442" i="4" s="1"/>
  <c r="BI386" i="4"/>
  <c r="BI387" i="4" s="1"/>
  <c r="BI500" i="4"/>
  <c r="BI489" i="4"/>
  <c r="BH25" i="11"/>
  <c r="BI1128" i="4"/>
  <c r="BH1343" i="4" l="1"/>
  <c r="BH99" i="11"/>
  <c r="BH37" i="11"/>
  <c r="BH1475" i="4"/>
  <c r="BH1470" i="4" s="1"/>
  <c r="BH1474" i="4"/>
  <c r="BH1469" i="4" s="1"/>
  <c r="BI501" i="4"/>
  <c r="BI502" i="4" s="1"/>
  <c r="BI388" i="4"/>
  <c r="BI389" i="4" s="1"/>
  <c r="BJ384" i="4" s="1"/>
  <c r="BI490" i="4"/>
  <c r="BH48" i="66"/>
  <c r="BJ1240" i="4"/>
  <c r="BI26" i="11"/>
  <c r="BH1463" i="4"/>
  <c r="BH1460" i="4" s="1"/>
  <c r="BH23" i="11"/>
  <c r="BI52" i="62"/>
  <c r="BI43" i="62"/>
  <c r="BI23" i="62" s="1"/>
  <c r="BJ499" i="4" l="1"/>
  <c r="BI1101" i="4"/>
  <c r="BI1103" i="4" s="1"/>
  <c r="BI1104" i="4" s="1"/>
  <c r="BI1105" i="4" s="1"/>
  <c r="BI51" i="11"/>
  <c r="BI64" i="62"/>
  <c r="BH1516" i="4"/>
  <c r="BH1517" i="4" s="1"/>
  <c r="BH1473" i="4"/>
  <c r="BH1468" i="4" s="1"/>
  <c r="BI16" i="66"/>
  <c r="BI14" i="66" s="1"/>
  <c r="BI13" i="66" s="1"/>
  <c r="BI491" i="4"/>
  <c r="BH39" i="11"/>
  <c r="BH40" i="11" s="1"/>
  <c r="BJ488" i="4" l="1"/>
  <c r="BI15" i="11"/>
  <c r="BI13" i="11" s="1"/>
  <c r="BI984" i="4"/>
  <c r="BI988" i="4" s="1"/>
  <c r="BI62" i="64"/>
  <c r="BJ1100" i="4"/>
  <c r="BI78" i="64" l="1"/>
  <c r="BI70" i="64"/>
  <c r="BI1320" i="4"/>
  <c r="BI1120" i="4"/>
  <c r="BI992" i="4"/>
  <c r="BI1294" i="4"/>
  <c r="BI1298" i="4" s="1"/>
  <c r="BI71" i="11"/>
  <c r="BI1073" i="4" l="1"/>
  <c r="BI1077" i="4" s="1"/>
  <c r="BI1081" i="4" s="1"/>
  <c r="BI47" i="11"/>
  <c r="BI61" i="11" l="1"/>
  <c r="BI62" i="11"/>
  <c r="BI48" i="11"/>
  <c r="BI55" i="11" s="1"/>
  <c r="BI1082" i="4"/>
  <c r="BI1093" i="4" s="1"/>
  <c r="BI1090" i="4" s="1"/>
  <c r="BI1083" i="4" s="1"/>
  <c r="BI1084" i="4" s="1"/>
  <c r="BI1089" i="4"/>
  <c r="BI1091" i="4" l="1"/>
  <c r="BJ1088" i="4" s="1"/>
  <c r="BI61" i="64"/>
  <c r="BI56" i="11"/>
  <c r="BI57" i="11" s="1"/>
  <c r="BI1323" i="4"/>
  <c r="BI75" i="11"/>
  <c r="BI1299" i="4"/>
  <c r="BI1300" i="4" s="1"/>
  <c r="BI1123" i="4"/>
  <c r="BI1130" i="4" s="1"/>
  <c r="BI1132" i="4" s="1"/>
  <c r="BI1135" i="4" s="1"/>
  <c r="BI64" i="11"/>
  <c r="BI62" i="62"/>
  <c r="BI1472" i="4"/>
  <c r="BI63" i="11"/>
  <c r="BI1313" i="4" l="1"/>
  <c r="BI63" i="62"/>
  <c r="BI67" i="62" s="1"/>
  <c r="BI1471" i="4"/>
  <c r="BI1283" i="4"/>
  <c r="BI77" i="64"/>
  <c r="BI82" i="64" s="1"/>
  <c r="BI69" i="64"/>
  <c r="BI74" i="64" s="1"/>
  <c r="BI66" i="64"/>
  <c r="BI40" i="64" s="1"/>
  <c r="BI42" i="64" s="1"/>
  <c r="BI68" i="62" l="1"/>
  <c r="BI49" i="64"/>
  <c r="BI52" i="64"/>
  <c r="BI1193" i="4"/>
  <c r="BI1194" i="4" s="1"/>
  <c r="BI1196" i="4" s="1"/>
  <c r="BI1198" i="4" s="1"/>
  <c r="BI1164" i="4" s="1"/>
  <c r="BI1214" i="4" l="1"/>
  <c r="BI1165" i="4"/>
  <c r="BJ1162" i="4" l="1"/>
  <c r="BJ1207" i="4"/>
  <c r="BJ1225" i="4" s="1"/>
  <c r="BI1324" i="4"/>
  <c r="BI38" i="66"/>
  <c r="BI1302" i="4"/>
  <c r="BI1303" i="4" s="1"/>
  <c r="BI88" i="11"/>
  <c r="BI1481" i="4"/>
  <c r="BI1483" i="4" s="1"/>
  <c r="BI1424" i="4"/>
  <c r="BI1215" i="4"/>
  <c r="BI1271" i="4" l="1"/>
  <c r="BI1281" i="4"/>
  <c r="BI31" i="11"/>
  <c r="BI1489" i="4"/>
  <c r="BI1490" i="4" s="1"/>
  <c r="BJ1212" i="4"/>
  <c r="BI1515" i="4"/>
  <c r="BI1505" i="4"/>
  <c r="BJ1163" i="4"/>
  <c r="BJ1492" i="4" l="1"/>
  <c r="BI1495" i="4"/>
  <c r="BI1493" i="4"/>
  <c r="BI45" i="62"/>
  <c r="BI30" i="11"/>
  <c r="BJ1213" i="4"/>
  <c r="BJ1206" i="4"/>
  <c r="BJ1224" i="4" s="1"/>
  <c r="BJ1226" i="4" s="1"/>
  <c r="BJ1202" i="4"/>
  <c r="BJ1178" i="4"/>
  <c r="BI1252" i="4"/>
  <c r="BI1274" i="4"/>
  <c r="BI1275" i="4" s="1"/>
  <c r="BI1265" i="4" s="1"/>
  <c r="BI1496" i="4" l="1"/>
  <c r="BI1266" i="4"/>
  <c r="BI1264" i="4"/>
  <c r="BI1253" i="4" s="1"/>
  <c r="BI1261" i="4"/>
  <c r="BI1268" i="4" s="1"/>
  <c r="BI1257" i="4"/>
  <c r="BJ1180" i="4"/>
  <c r="BJ1169" i="4" s="1"/>
  <c r="BJ1170" i="4" s="1"/>
  <c r="BJ1188" i="4" s="1"/>
  <c r="BJ1179" i="4"/>
  <c r="BJ1189" i="4"/>
  <c r="BJ1218" i="4" s="1"/>
  <c r="BJ297" i="4"/>
  <c r="BJ305" i="4" s="1"/>
  <c r="BJ330" i="4" s="1"/>
  <c r="BJ37" i="66"/>
  <c r="BJ72" i="11"/>
  <c r="BJ1326" i="4"/>
  <c r="BJ1295" i="4"/>
  <c r="BJ1122" i="4"/>
  <c r="BJ1076" i="4"/>
  <c r="BJ50" i="11"/>
  <c r="BJ49" i="11" s="1"/>
  <c r="BJ18" i="66"/>
  <c r="BJ1310" i="4"/>
  <c r="BJ1336" i="4"/>
  <c r="BJ87" i="11"/>
  <c r="BJ1423" i="4"/>
  <c r="BJ1181" i="4" l="1"/>
  <c r="BJ1197" i="4" s="1"/>
  <c r="BJ467" i="4"/>
  <c r="BJ469" i="4" s="1"/>
  <c r="BJ470" i="4" s="1"/>
  <c r="BJ471" i="4" s="1"/>
  <c r="BJ472" i="4" s="1"/>
  <c r="BK466" i="4" s="1"/>
  <c r="BK479" i="4"/>
  <c r="BJ456" i="4"/>
  <c r="BJ458" i="4" s="1"/>
  <c r="BJ459" i="4" s="1"/>
  <c r="BK457" i="4"/>
  <c r="BK468" i="4"/>
  <c r="BJ478" i="4"/>
  <c r="BJ480" i="4" s="1"/>
  <c r="BJ481" i="4" s="1"/>
  <c r="BJ482" i="4" s="1"/>
  <c r="BJ483" i="4" s="1"/>
  <c r="BK477" i="4" s="1"/>
  <c r="BJ1219" i="4"/>
  <c r="BJ294" i="4" s="1"/>
  <c r="BJ1220" i="4"/>
  <c r="BJ53" i="11" s="1"/>
  <c r="BJ52" i="11" s="1"/>
  <c r="BJ1074" i="4"/>
  <c r="BI19" i="66"/>
  <c r="BI17" i="66" s="1"/>
  <c r="BI86" i="11"/>
  <c r="BI1309" i="4"/>
  <c r="BI1338" i="4"/>
  <c r="BI1480" i="4"/>
  <c r="BI1304" i="4"/>
  <c r="BI74" i="11"/>
  <c r="BI78" i="11" s="1"/>
  <c r="BI1327" i="4"/>
  <c r="BI1272" i="4"/>
  <c r="BI1276" i="4" s="1"/>
  <c r="BI1254" i="4" s="1"/>
  <c r="BI1386" i="4"/>
  <c r="BI36" i="66"/>
  <c r="BJ1190" i="4" l="1"/>
  <c r="BJ1221" i="4" s="1"/>
  <c r="BJ1121" i="4" s="1"/>
  <c r="BJ1144" i="4" s="1"/>
  <c r="BK495" i="4"/>
  <c r="BK1072" i="4" s="1"/>
  <c r="BI1385" i="4"/>
  <c r="BI1388" i="4" s="1"/>
  <c r="BI1421" i="4"/>
  <c r="BJ299" i="4"/>
  <c r="BJ302" i="4"/>
  <c r="BJ494" i="4"/>
  <c r="BJ1071" i="4" s="1"/>
  <c r="BJ460" i="4"/>
  <c r="BJ461" i="4" s="1"/>
  <c r="BK455" i="4" s="1"/>
  <c r="BI39" i="66"/>
  <c r="BI35" i="66" s="1"/>
  <c r="BI1305" i="4"/>
  <c r="BI1282" i="4" s="1"/>
  <c r="BI89" i="11"/>
  <c r="BI1328" i="4"/>
  <c r="BI1255" i="4"/>
  <c r="BJ73" i="11" l="1"/>
  <c r="BJ1325" i="4"/>
  <c r="BJ1301" i="4"/>
  <c r="BJ1250" i="4"/>
  <c r="BI27" i="11"/>
  <c r="BI1506" i="4"/>
  <c r="BJ331" i="4"/>
  <c r="BJ307" i="4"/>
  <c r="BI1425" i="4"/>
  <c r="BI1284" i="4"/>
  <c r="BI1286" i="4" s="1"/>
  <c r="BJ1235" i="4"/>
  <c r="BJ1251" i="4" s="1"/>
  <c r="BJ1145" i="4"/>
  <c r="BJ1234" i="4"/>
  <c r="BI1390" i="4"/>
  <c r="BI1402" i="4"/>
  <c r="BJ332" i="4" l="1"/>
  <c r="BJ14" i="11" s="1"/>
  <c r="BI1440" i="4"/>
  <c r="BJ405" i="4"/>
  <c r="BJ406" i="4" s="1"/>
  <c r="BJ407" i="4" s="1"/>
  <c r="BJ408" i="4" s="1"/>
  <c r="BJ409" i="4" s="1"/>
  <c r="BK404" i="4" s="1"/>
  <c r="BJ385" i="4"/>
  <c r="BJ395" i="4"/>
  <c r="BJ396" i="4" s="1"/>
  <c r="BJ397" i="4" s="1"/>
  <c r="BJ398" i="4" s="1"/>
  <c r="BJ399" i="4" s="1"/>
  <c r="BK394" i="4" s="1"/>
  <c r="BJ1241" i="4"/>
  <c r="BJ1236" i="4"/>
  <c r="BI1509" i="4"/>
  <c r="BI1507" i="4"/>
  <c r="BI1508" i="4" s="1"/>
  <c r="BI1403" i="4"/>
  <c r="BI1404" i="4" s="1"/>
  <c r="BI1285" i="4"/>
  <c r="BI90" i="11"/>
  <c r="BI91" i="11" s="1"/>
  <c r="BI93" i="11" s="1"/>
  <c r="BI96" i="11" s="1"/>
  <c r="BI97" i="11" s="1"/>
  <c r="BI58" i="11"/>
  <c r="BI59" i="11" s="1"/>
  <c r="BI28" i="11" s="1"/>
  <c r="BI25" i="11" s="1"/>
  <c r="BI1306" i="4"/>
  <c r="BI1307" i="4" s="1"/>
  <c r="BI1311" i="4" s="1"/>
  <c r="BJ1290" i="4" s="1"/>
  <c r="BI1329" i="4"/>
  <c r="BI48" i="62"/>
  <c r="BI24" i="62" s="1"/>
  <c r="BI26" i="62" s="1"/>
  <c r="BI22" i="66"/>
  <c r="BI1475" i="4" l="1"/>
  <c r="BI1470" i="4" s="1"/>
  <c r="BI1474" i="4"/>
  <c r="BI1469" i="4" s="1"/>
  <c r="BI37" i="11"/>
  <c r="BJ386" i="4"/>
  <c r="BJ387" i="4" s="1"/>
  <c r="BJ500" i="4"/>
  <c r="BJ489" i="4"/>
  <c r="BJ1128" i="4"/>
  <c r="BI1441" i="4"/>
  <c r="BI1442" i="4" s="1"/>
  <c r="BI101" i="67"/>
  <c r="BI21" i="11"/>
  <c r="BI17" i="11" s="1"/>
  <c r="BI1462" i="4"/>
  <c r="BI1461" i="4" s="1"/>
  <c r="BI24" i="66"/>
  <c r="BI20" i="66" s="1"/>
  <c r="BI26" i="66" s="1"/>
  <c r="BJ95" i="11"/>
  <c r="BI100" i="67"/>
  <c r="BI46" i="62"/>
  <c r="BI1330" i="4"/>
  <c r="BI1331" i="4" s="1"/>
  <c r="BI101" i="11"/>
  <c r="BI100" i="11"/>
  <c r="BI44" i="66"/>
  <c r="BI40" i="66" s="1"/>
  <c r="BI46" i="66" s="1"/>
  <c r="BI1340" i="4"/>
  <c r="BI1341" i="4" s="1"/>
  <c r="BJ42" i="62"/>
  <c r="BJ1337" i="4"/>
  <c r="BJ85" i="11"/>
  <c r="BJ1244" i="4"/>
  <c r="BJ1245" i="4" s="1"/>
  <c r="BJ1308" i="4"/>
  <c r="BI48" i="66" l="1"/>
  <c r="BI1343" i="4"/>
  <c r="BI1463" i="4"/>
  <c r="BI1460" i="4" s="1"/>
  <c r="BI23" i="11"/>
  <c r="BI39" i="11" s="1"/>
  <c r="BI40" i="11" s="1"/>
  <c r="BI99" i="11"/>
  <c r="BJ501" i="4"/>
  <c r="BJ502" i="4" s="1"/>
  <c r="BJ490" i="4"/>
  <c r="BJ388" i="4"/>
  <c r="BJ389" i="4" s="1"/>
  <c r="BK384" i="4" s="1"/>
  <c r="BJ26" i="11"/>
  <c r="BK1240" i="4"/>
  <c r="BJ52" i="62"/>
  <c r="BJ43" i="62"/>
  <c r="BJ23" i="62" s="1"/>
  <c r="BJ1101" i="4" l="1"/>
  <c r="BJ1103" i="4" s="1"/>
  <c r="BJ1104" i="4" s="1"/>
  <c r="BJ1105" i="4" s="1"/>
  <c r="BK499" i="4"/>
  <c r="BJ51" i="11"/>
  <c r="BJ64" i="62"/>
  <c r="BJ16" i="66"/>
  <c r="BJ14" i="66" s="1"/>
  <c r="BJ13" i="66" s="1"/>
  <c r="BJ491" i="4"/>
  <c r="BI1516" i="4"/>
  <c r="BI1517" i="4" s="1"/>
  <c r="BI1473" i="4"/>
  <c r="BI1468" i="4" s="1"/>
  <c r="BJ15" i="11" l="1"/>
  <c r="BJ13" i="11" s="1"/>
  <c r="BK488" i="4"/>
  <c r="BK1100" i="4"/>
  <c r="BJ62" i="64"/>
  <c r="BJ984" i="4"/>
  <c r="BJ988" i="4" s="1"/>
  <c r="BJ992" i="4" l="1"/>
  <c r="BJ1294" i="4"/>
  <c r="BJ1298" i="4" s="1"/>
  <c r="BJ1120" i="4"/>
  <c r="BJ71" i="11"/>
  <c r="BJ1320" i="4"/>
  <c r="BJ70" i="64"/>
  <c r="BJ78" i="64"/>
  <c r="BJ1073" i="4" l="1"/>
  <c r="BJ1077" i="4" s="1"/>
  <c r="BJ1081" i="4" s="1"/>
  <c r="BJ47" i="11"/>
  <c r="BJ61" i="11" l="1"/>
  <c r="BJ62" i="11"/>
  <c r="BJ48" i="11"/>
  <c r="BJ55" i="11" s="1"/>
  <c r="BJ1082" i="4"/>
  <c r="BJ1089" i="4"/>
  <c r="BJ64" i="11" l="1"/>
  <c r="BJ62" i="62"/>
  <c r="BJ1472" i="4"/>
  <c r="BJ1093" i="4"/>
  <c r="BJ1090" i="4" s="1"/>
  <c r="BJ1091" i="4" s="1"/>
  <c r="BK1088" i="4" s="1"/>
  <c r="BJ63" i="11"/>
  <c r="BJ1083" i="4" l="1"/>
  <c r="BJ1084" i="4" s="1"/>
  <c r="BJ63" i="62" s="1"/>
  <c r="BJ67" i="62" s="1"/>
  <c r="BJ56" i="11" l="1"/>
  <c r="BJ57" i="11" s="1"/>
  <c r="BJ1471" i="4" s="1"/>
  <c r="BJ1123" i="4"/>
  <c r="BJ1130" i="4" s="1"/>
  <c r="BJ1132" i="4" s="1"/>
  <c r="BJ1135" i="4" s="1"/>
  <c r="BJ1299" i="4"/>
  <c r="BJ1300" i="4" s="1"/>
  <c r="BJ1313" i="4" s="1"/>
  <c r="BJ61" i="64"/>
  <c r="BJ66" i="64" s="1"/>
  <c r="BJ40" i="64" s="1"/>
  <c r="BJ42" i="64" s="1"/>
  <c r="BJ1323" i="4"/>
  <c r="BJ75" i="11"/>
  <c r="BJ68" i="62"/>
  <c r="BJ1283" i="4" l="1"/>
  <c r="BJ69" i="64"/>
  <c r="BJ74" i="64" s="1"/>
  <c r="BJ77" i="64"/>
  <c r="BJ82" i="64" s="1"/>
  <c r="BJ52" i="64"/>
  <c r="BJ49" i="64"/>
  <c r="BJ1193" i="4"/>
  <c r="BJ1194" i="4" s="1"/>
  <c r="BJ1196" i="4" s="1"/>
  <c r="BJ1198" i="4" s="1"/>
  <c r="BJ1164" i="4" s="1"/>
  <c r="BJ1214" i="4" l="1"/>
  <c r="BJ1165" i="4"/>
  <c r="BK1162" i="4" l="1"/>
  <c r="BK1207" i="4"/>
  <c r="BK1225" i="4" s="1"/>
  <c r="BJ88" i="11"/>
  <c r="BJ38" i="66"/>
  <c r="BJ1302" i="4"/>
  <c r="BJ1303" i="4" s="1"/>
  <c r="BJ1324" i="4"/>
  <c r="BJ1481" i="4"/>
  <c r="BJ1483" i="4" s="1"/>
  <c r="BJ1424" i="4"/>
  <c r="BJ1215" i="4"/>
  <c r="BJ1281" i="4" l="1"/>
  <c r="BJ1271" i="4"/>
  <c r="BJ31" i="11"/>
  <c r="BK1212" i="4"/>
  <c r="BJ1489" i="4"/>
  <c r="BJ1490" i="4" s="1"/>
  <c r="BJ1505" i="4"/>
  <c r="BJ1515" i="4"/>
  <c r="BK1163" i="4"/>
  <c r="BJ1495" i="4" l="1"/>
  <c r="BJ1493" i="4"/>
  <c r="BK1492" i="4"/>
  <c r="BJ45" i="62"/>
  <c r="BJ30" i="11"/>
  <c r="BJ1274" i="4"/>
  <c r="BJ1275" i="4" s="1"/>
  <c r="BJ1265" i="4" s="1"/>
  <c r="BJ1252" i="4"/>
  <c r="BK1206" i="4"/>
  <c r="BK1224" i="4" s="1"/>
  <c r="BK1226" i="4" s="1"/>
  <c r="BK1213" i="4"/>
  <c r="BK1202" i="4"/>
  <c r="BK1178" i="4"/>
  <c r="BJ1496" i="4" l="1"/>
  <c r="BK1179" i="4"/>
  <c r="BK1180" i="4"/>
  <c r="BK1169" i="4" s="1"/>
  <c r="BK1170" i="4" s="1"/>
  <c r="BK1188" i="4" s="1"/>
  <c r="BK1189" i="4"/>
  <c r="BK1218" i="4" s="1"/>
  <c r="X87" i="67"/>
  <c r="BK1310" i="4"/>
  <c r="BK87" i="11"/>
  <c r="BK18" i="66"/>
  <c r="BK1336" i="4"/>
  <c r="BK1423" i="4"/>
  <c r="X72" i="67"/>
  <c r="BK1295" i="4"/>
  <c r="BK1076" i="4"/>
  <c r="BK50" i="11"/>
  <c r="BK297" i="4"/>
  <c r="BK305" i="4" s="1"/>
  <c r="BK330" i="4" s="1"/>
  <c r="BK1326" i="4"/>
  <c r="BK37" i="66"/>
  <c r="BK72" i="11"/>
  <c r="BK1122" i="4"/>
  <c r="BJ1266" i="4"/>
  <c r="BJ1264" i="4"/>
  <c r="BJ1253" i="4" s="1"/>
  <c r="BJ1261" i="4"/>
  <c r="BJ1268" i="4" s="1"/>
  <c r="BJ1257" i="4"/>
  <c r="BK1181" i="4" l="1"/>
  <c r="BK1197" i="4" s="1"/>
  <c r="BK1220" i="4"/>
  <c r="BK1074" i="4"/>
  <c r="BK1219" i="4"/>
  <c r="BK294" i="4" s="1"/>
  <c r="BJ1309" i="4"/>
  <c r="BJ19" i="66"/>
  <c r="BJ17" i="66" s="1"/>
  <c r="BJ1338" i="4"/>
  <c r="BJ86" i="11"/>
  <c r="BJ1480" i="4"/>
  <c r="BL468" i="4"/>
  <c r="BK456" i="4"/>
  <c r="BK458" i="4" s="1"/>
  <c r="BK459" i="4" s="1"/>
  <c r="BL479" i="4"/>
  <c r="BL457" i="4"/>
  <c r="BK478" i="4"/>
  <c r="BK480" i="4" s="1"/>
  <c r="BK481" i="4" s="1"/>
  <c r="BK482" i="4" s="1"/>
  <c r="BK483" i="4" s="1"/>
  <c r="BL477" i="4" s="1"/>
  <c r="BK467" i="4"/>
  <c r="BK469" i="4" s="1"/>
  <c r="BK470" i="4" s="1"/>
  <c r="BK471" i="4" s="1"/>
  <c r="BK472" i="4" s="1"/>
  <c r="BL466" i="4" s="1"/>
  <c r="BJ74" i="11"/>
  <c r="BJ78" i="11" s="1"/>
  <c r="BJ1304" i="4"/>
  <c r="BJ1327" i="4"/>
  <c r="BJ1272" i="4"/>
  <c r="BJ1276" i="4" s="1"/>
  <c r="BJ1254" i="4" s="1"/>
  <c r="BJ36" i="66"/>
  <c r="BJ1386" i="4"/>
  <c r="X50" i="67"/>
  <c r="X49" i="67" s="1"/>
  <c r="BK49" i="11"/>
  <c r="BK1190" i="4" l="1"/>
  <c r="BK1221" i="4" s="1"/>
  <c r="BK1325" i="4" s="1"/>
  <c r="BL495" i="4"/>
  <c r="BL1072" i="4" s="1"/>
  <c r="BJ1305" i="4"/>
  <c r="BJ1282" i="4" s="1"/>
  <c r="BJ39" i="66"/>
  <c r="BJ35" i="66" s="1"/>
  <c r="BJ89" i="11"/>
  <c r="BJ1328" i="4"/>
  <c r="BJ1255" i="4"/>
  <c r="BJ1421" i="4"/>
  <c r="BJ1385" i="4"/>
  <c r="BJ1388" i="4" s="1"/>
  <c r="BK299" i="4"/>
  <c r="BK302" i="4"/>
  <c r="BK460" i="4"/>
  <c r="BK461" i="4" s="1"/>
  <c r="BL455" i="4" s="1"/>
  <c r="BK494" i="4"/>
  <c r="BK1071" i="4" s="1"/>
  <c r="X53" i="67"/>
  <c r="X52" i="67" s="1"/>
  <c r="BK53" i="11"/>
  <c r="BK52" i="11" s="1"/>
  <c r="X23" i="13" l="1"/>
  <c r="X73" i="67"/>
  <c r="BK1121" i="4"/>
  <c r="BK1144" i="4" s="1"/>
  <c r="BK1145" i="4" s="1"/>
  <c r="BK73" i="11"/>
  <c r="BK1301" i="4"/>
  <c r="BJ1390" i="4"/>
  <c r="BJ1402" i="4"/>
  <c r="BJ1425" i="4"/>
  <c r="BK1250" i="4"/>
  <c r="BJ27" i="11"/>
  <c r="BJ1506" i="4"/>
  <c r="BK307" i="4"/>
  <c r="BK331" i="4"/>
  <c r="BJ1284" i="4"/>
  <c r="BJ1286" i="4" s="1"/>
  <c r="BK1235" i="4" l="1"/>
  <c r="BK1251" i="4" s="1"/>
  <c r="BK1234" i="4"/>
  <c r="BK1241" i="4" s="1"/>
  <c r="BK332" i="4"/>
  <c r="BK14" i="11" s="1"/>
  <c r="BJ1509" i="4"/>
  <c r="BJ1507" i="4"/>
  <c r="BJ1508" i="4" s="1"/>
  <c r="BJ1285" i="4"/>
  <c r="BJ1440" i="4"/>
  <c r="BJ1329" i="4"/>
  <c r="BJ58" i="11"/>
  <c r="BJ59" i="11" s="1"/>
  <c r="BJ28" i="11" s="1"/>
  <c r="BJ48" i="62"/>
  <c r="BJ24" i="62" s="1"/>
  <c r="BJ26" i="62" s="1"/>
  <c r="BJ90" i="11"/>
  <c r="BJ91" i="11" s="1"/>
  <c r="BJ93" i="11" s="1"/>
  <c r="BJ96" i="11" s="1"/>
  <c r="BJ97" i="11" s="1"/>
  <c r="BJ1306" i="4"/>
  <c r="BJ1307" i="4" s="1"/>
  <c r="BJ1311" i="4" s="1"/>
  <c r="BK1290" i="4" s="1"/>
  <c r="BJ22" i="66"/>
  <c r="BK385" i="4"/>
  <c r="BK395" i="4"/>
  <c r="BK396" i="4" s="1"/>
  <c r="BK397" i="4" s="1"/>
  <c r="BK398" i="4" s="1"/>
  <c r="BK399" i="4" s="1"/>
  <c r="BL394" i="4" s="1"/>
  <c r="BK405" i="4"/>
  <c r="BK406" i="4" s="1"/>
  <c r="BK407" i="4" s="1"/>
  <c r="BK408" i="4" s="1"/>
  <c r="BK409" i="4" s="1"/>
  <c r="BL404" i="4" s="1"/>
  <c r="BJ1403" i="4"/>
  <c r="BJ1404" i="4" s="1"/>
  <c r="BK1236" i="4" l="1"/>
  <c r="X14" i="67"/>
  <c r="BK500" i="4"/>
  <c r="BK489" i="4"/>
  <c r="BK386" i="4"/>
  <c r="BK387" i="4" s="1"/>
  <c r="BJ1441" i="4"/>
  <c r="BJ1442" i="4" s="1"/>
  <c r="BJ25" i="11"/>
  <c r="BK1128" i="4"/>
  <c r="BK85" i="11"/>
  <c r="BK42" i="62"/>
  <c r="BK1244" i="4"/>
  <c r="BK1245" i="4" s="1"/>
  <c r="BK1337" i="4"/>
  <c r="BK1308" i="4"/>
  <c r="X85" i="67"/>
  <c r="BJ1330" i="4"/>
  <c r="BJ1331" i="4" s="1"/>
  <c r="BJ44" i="66"/>
  <c r="BJ40" i="66" s="1"/>
  <c r="BJ46" i="66" s="1"/>
  <c r="BJ101" i="67"/>
  <c r="BJ24" i="66"/>
  <c r="BJ20" i="66" s="1"/>
  <c r="BJ26" i="66" s="1"/>
  <c r="BJ100" i="67"/>
  <c r="BJ100" i="11"/>
  <c r="BJ21" i="11"/>
  <c r="BJ17" i="11" s="1"/>
  <c r="BK95" i="11"/>
  <c r="BJ1462" i="4"/>
  <c r="BJ1461" i="4" s="1"/>
  <c r="BJ101" i="11"/>
  <c r="BJ46" i="62"/>
  <c r="BJ1340" i="4"/>
  <c r="BJ1341" i="4" s="1"/>
  <c r="BJ99" i="11" l="1"/>
  <c r="BJ48" i="66"/>
  <c r="BJ1343" i="4"/>
  <c r="BJ1463" i="4"/>
  <c r="BJ1460" i="4" s="1"/>
  <c r="BJ23" i="11"/>
  <c r="BJ1474" i="4"/>
  <c r="BJ1469" i="4" s="1"/>
  <c r="BJ1475" i="4"/>
  <c r="BJ1470" i="4" s="1"/>
  <c r="BJ37" i="11"/>
  <c r="X26" i="67"/>
  <c r="BK26" i="11"/>
  <c r="BL1240" i="4"/>
  <c r="BK52" i="62"/>
  <c r="BK43" i="62"/>
  <c r="BK23" i="62" s="1"/>
  <c r="BK501" i="4"/>
  <c r="BK502" i="4" s="1"/>
  <c r="BK490" i="4"/>
  <c r="BK491" i="4" s="1"/>
  <c r="BK388" i="4"/>
  <c r="BK389" i="4" s="1"/>
  <c r="BL384" i="4" s="1"/>
  <c r="BJ39" i="11" l="1"/>
  <c r="BJ40" i="11" s="1"/>
  <c r="X15" i="67"/>
  <c r="X13" i="67" s="1"/>
  <c r="BK15" i="11"/>
  <c r="BK13" i="11" s="1"/>
  <c r="BL488" i="4"/>
  <c r="BL499" i="4"/>
  <c r="BK1101" i="4"/>
  <c r="BK1103" i="4" s="1"/>
  <c r="BK1104" i="4" s="1"/>
  <c r="BK1105" i="4" s="1"/>
  <c r="X51" i="67"/>
  <c r="BK51" i="11"/>
  <c r="BK64" i="62"/>
  <c r="BK16" i="66"/>
  <c r="BK14" i="66" s="1"/>
  <c r="BK13" i="66" s="1"/>
  <c r="BJ1516" i="4"/>
  <c r="BJ1517" i="4" s="1"/>
  <c r="BJ1473" i="4"/>
  <c r="BJ1468" i="4" s="1"/>
  <c r="BK984" i="4" l="1"/>
  <c r="BK988" i="4" s="1"/>
  <c r="BK62" i="64"/>
  <c r="BL1100" i="4"/>
  <c r="BK70" i="64" l="1"/>
  <c r="BK78" i="64"/>
  <c r="BK1120" i="4"/>
  <c r="BK1294" i="4"/>
  <c r="BK1298" i="4" s="1"/>
  <c r="BK1320" i="4"/>
  <c r="BK992" i="4"/>
  <c r="BK71" i="11"/>
  <c r="X40" i="13"/>
  <c r="X71" i="67"/>
  <c r="X47" i="67" l="1"/>
  <c r="BK1073" i="4"/>
  <c r="BK1077" i="4" s="1"/>
  <c r="BK1081" i="4" s="1"/>
  <c r="BK47" i="11"/>
  <c r="X20" i="72"/>
  <c r="BK1082" i="4" l="1"/>
  <c r="BK1093" i="4" s="1"/>
  <c r="BK1090" i="4" s="1"/>
  <c r="BK1083" i="4" s="1"/>
  <c r="BK1084" i="4" s="1"/>
  <c r="BK1089" i="4"/>
  <c r="X61" i="67"/>
  <c r="X63" i="67" s="1"/>
  <c r="X62" i="67"/>
  <c r="X64" i="67" s="1"/>
  <c r="X48" i="67"/>
  <c r="X55" i="67" s="1"/>
  <c r="BK62" i="11"/>
  <c r="BK61" i="11"/>
  <c r="BK48" i="11"/>
  <c r="BK55" i="11" s="1"/>
  <c r="BK1091" i="4" l="1"/>
  <c r="BL1088" i="4" s="1"/>
  <c r="BK1472" i="4"/>
  <c r="BK62" i="62"/>
  <c r="BK64" i="11"/>
  <c r="BK63" i="11"/>
  <c r="X1526" i="4"/>
  <c r="BK56" i="11"/>
  <c r="BK57" i="11" s="1"/>
  <c r="BK1299" i="4"/>
  <c r="BK1300" i="4" s="1"/>
  <c r="BK1323" i="4"/>
  <c r="BK61" i="64"/>
  <c r="BK1123" i="4"/>
  <c r="BK1130" i="4" s="1"/>
  <c r="BK1132" i="4" s="1"/>
  <c r="BK1135" i="4" s="1"/>
  <c r="BK75" i="11"/>
  <c r="X56" i="67"/>
  <c r="X57" i="67" s="1"/>
  <c r="X41" i="13"/>
  <c r="X43" i="13" s="1"/>
  <c r="X75" i="67"/>
  <c r="BK1471" i="4" l="1"/>
  <c r="BK1283" i="4"/>
  <c r="BK77" i="64"/>
  <c r="BK82" i="64" s="1"/>
  <c r="BK69" i="64"/>
  <c r="BK74" i="64" s="1"/>
  <c r="BK66" i="64"/>
  <c r="BK40" i="64" s="1"/>
  <c r="BK42" i="64" s="1"/>
  <c r="BK63" i="62"/>
  <c r="BK67" i="62" s="1"/>
  <c r="BK1313" i="4"/>
  <c r="BK68" i="62" l="1"/>
  <c r="BK52" i="64"/>
  <c r="BK49" i="64"/>
  <c r="BK1193" i="4"/>
  <c r="BK1194" i="4" s="1"/>
  <c r="BK1196" i="4" s="1"/>
  <c r="BK1198" i="4" s="1"/>
  <c r="BK1164" i="4" s="1"/>
  <c r="BK1214" i="4" l="1"/>
  <c r="BK1165" i="4"/>
  <c r="BL1162" i="4" l="1"/>
  <c r="BL1207" i="4"/>
  <c r="BL1225" i="4" s="1"/>
  <c r="BK1324" i="4"/>
  <c r="BK1481" i="4"/>
  <c r="BK1483" i="4" s="1"/>
  <c r="BK1302" i="4"/>
  <c r="BK1303" i="4" s="1"/>
  <c r="BK38" i="66"/>
  <c r="BK88" i="11"/>
  <c r="BK1424" i="4"/>
  <c r="X24" i="13"/>
  <c r="X88" i="67"/>
  <c r="BK1215" i="4"/>
  <c r="BK1281" i="4" l="1"/>
  <c r="BK1271" i="4"/>
  <c r="X31" i="67"/>
  <c r="X30" i="67" s="1"/>
  <c r="X1525" i="4"/>
  <c r="X1529" i="4" s="1"/>
  <c r="BK31" i="11"/>
  <c r="BK1489" i="4"/>
  <c r="BK1490" i="4" s="1"/>
  <c r="BK1515" i="4"/>
  <c r="BL1212" i="4"/>
  <c r="BK1505" i="4"/>
  <c r="BL1163" i="4"/>
  <c r="BK1495" i="4" l="1"/>
  <c r="BK1493" i="4"/>
  <c r="BK45" i="62"/>
  <c r="BK30" i="11"/>
  <c r="BK1252" i="4"/>
  <c r="BK1274" i="4"/>
  <c r="BK1275" i="4" s="1"/>
  <c r="BK1265" i="4" s="1"/>
  <c r="BL1206" i="4"/>
  <c r="BL1224" i="4" s="1"/>
  <c r="BL1226" i="4" s="1"/>
  <c r="BL1213" i="4"/>
  <c r="BL1202" i="4"/>
  <c r="BL1178" i="4"/>
  <c r="BL1492" i="4"/>
  <c r="BK1496" i="4" l="1"/>
  <c r="BK1261" i="4"/>
  <c r="BK1268" i="4" s="1"/>
  <c r="BK1257" i="4"/>
  <c r="BK1264" i="4"/>
  <c r="BK1253" i="4" s="1"/>
  <c r="BK1266" i="4"/>
  <c r="BL1189" i="4"/>
  <c r="BL1218" i="4" s="1"/>
  <c r="BL1180" i="4"/>
  <c r="BL1169" i="4" s="1"/>
  <c r="BL1170" i="4" s="1"/>
  <c r="BL1188" i="4" s="1"/>
  <c r="BL1179" i="4"/>
  <c r="BL87" i="11"/>
  <c r="BL1310" i="4"/>
  <c r="BL1336" i="4"/>
  <c r="BL18" i="66"/>
  <c r="BL1423" i="4"/>
  <c r="BL1326" i="4"/>
  <c r="BL37" i="66"/>
  <c r="BL1122" i="4"/>
  <c r="BL297" i="4"/>
  <c r="BL305" i="4" s="1"/>
  <c r="BL330" i="4" s="1"/>
  <c r="BL1076" i="4"/>
  <c r="BL72" i="11"/>
  <c r="BL1295" i="4"/>
  <c r="BL50" i="11"/>
  <c r="BL49" i="11" s="1"/>
  <c r="BL1181" i="4" l="1"/>
  <c r="BL1197" i="4" s="1"/>
  <c r="BL478" i="4"/>
  <c r="BL480" i="4" s="1"/>
  <c r="BL481" i="4" s="1"/>
  <c r="BL482" i="4" s="1"/>
  <c r="BL483" i="4" s="1"/>
  <c r="BM477" i="4" s="1"/>
  <c r="BL456" i="4"/>
  <c r="BL458" i="4" s="1"/>
  <c r="BL459" i="4" s="1"/>
  <c r="BM479" i="4"/>
  <c r="BM457" i="4"/>
  <c r="BM468" i="4"/>
  <c r="BL467" i="4"/>
  <c r="BL469" i="4" s="1"/>
  <c r="BL470" i="4" s="1"/>
  <c r="BL471" i="4" s="1"/>
  <c r="BL472" i="4" s="1"/>
  <c r="BM466" i="4" s="1"/>
  <c r="BK1272" i="4"/>
  <c r="BK1276" i="4" s="1"/>
  <c r="BK1254" i="4" s="1"/>
  <c r="BK1304" i="4"/>
  <c r="BK74" i="11"/>
  <c r="BK78" i="11" s="1"/>
  <c r="BK1327" i="4"/>
  <c r="X74" i="67"/>
  <c r="BK36" i="66"/>
  <c r="BK1386" i="4"/>
  <c r="BL1074" i="4"/>
  <c r="BL1220" i="4"/>
  <c r="BL53" i="11" s="1"/>
  <c r="BL52" i="11" s="1"/>
  <c r="BL1219" i="4"/>
  <c r="BL294" i="4" s="1"/>
  <c r="BK1309" i="4"/>
  <c r="BK1338" i="4"/>
  <c r="BK19" i="66"/>
  <c r="BK17" i="66" s="1"/>
  <c r="BK86" i="11"/>
  <c r="X86" i="67"/>
  <c r="BK1480" i="4"/>
  <c r="BL1190" i="4" l="1"/>
  <c r="BL1221" i="4" s="1"/>
  <c r="BL73" i="11" s="1"/>
  <c r="BM495" i="4"/>
  <c r="BM1072" i="4" s="1"/>
  <c r="BK1385" i="4"/>
  <c r="BK1388" i="4" s="1"/>
  <c r="BK1421" i="4"/>
  <c r="BL299" i="4"/>
  <c r="BL302" i="4"/>
  <c r="BK1328" i="4"/>
  <c r="BK1305" i="4"/>
  <c r="BK1282" i="4" s="1"/>
  <c r="BK89" i="11"/>
  <c r="BK39" i="66"/>
  <c r="BK35" i="66" s="1"/>
  <c r="X89" i="67"/>
  <c r="BL460" i="4"/>
  <c r="BL461" i="4" s="1"/>
  <c r="BM455" i="4" s="1"/>
  <c r="BL494" i="4"/>
  <c r="BL1071" i="4" s="1"/>
  <c r="X78" i="67"/>
  <c r="BK1255" i="4"/>
  <c r="BL1121" i="4" l="1"/>
  <c r="BL1144" i="4" s="1"/>
  <c r="BL1145" i="4" s="1"/>
  <c r="BL1301" i="4"/>
  <c r="BL1325" i="4"/>
  <c r="BK1284" i="4"/>
  <c r="BK1286" i="4" s="1"/>
  <c r="BL331" i="4"/>
  <c r="BL307" i="4"/>
  <c r="BK1425" i="4"/>
  <c r="X13" i="13"/>
  <c r="BL1250" i="4"/>
  <c r="X27" i="67"/>
  <c r="BK27" i="11"/>
  <c r="BK1506" i="4"/>
  <c r="BK1390" i="4"/>
  <c r="BK1402" i="4"/>
  <c r="BL332" i="4" l="1"/>
  <c r="BL14" i="11" s="1"/>
  <c r="BL1235" i="4"/>
  <c r="BL1251" i="4" s="1"/>
  <c r="BL1234" i="4"/>
  <c r="BL1241" i="4" s="1"/>
  <c r="BK1285" i="4"/>
  <c r="BL395" i="4"/>
  <c r="BL396" i="4" s="1"/>
  <c r="BL397" i="4" s="1"/>
  <c r="BL398" i="4" s="1"/>
  <c r="BL399" i="4" s="1"/>
  <c r="BM394" i="4" s="1"/>
  <c r="BL405" i="4"/>
  <c r="BL406" i="4" s="1"/>
  <c r="BL407" i="4" s="1"/>
  <c r="BL408" i="4" s="1"/>
  <c r="BL409" i="4" s="1"/>
  <c r="BM404" i="4" s="1"/>
  <c r="BL385" i="4"/>
  <c r="BK1509" i="4"/>
  <c r="BK1507" i="4"/>
  <c r="BK1508" i="4" s="1"/>
  <c r="BK1403" i="4"/>
  <c r="BK1404" i="4" s="1"/>
  <c r="BK1440" i="4"/>
  <c r="BK1306" i="4"/>
  <c r="BK1307" i="4" s="1"/>
  <c r="BK1311" i="4" s="1"/>
  <c r="BL1290" i="4" s="1"/>
  <c r="BK48" i="62"/>
  <c r="BK24" i="62" s="1"/>
  <c r="BK26" i="62" s="1"/>
  <c r="BK58" i="11"/>
  <c r="BK59" i="11" s="1"/>
  <c r="BK28" i="11" s="1"/>
  <c r="BK1329" i="4"/>
  <c r="BK90" i="11"/>
  <c r="BK91" i="11" s="1"/>
  <c r="BK93" i="11" s="1"/>
  <c r="BK96" i="11" s="1"/>
  <c r="BK97" i="11" s="1"/>
  <c r="X58" i="67"/>
  <c r="X90" i="67"/>
  <c r="BK22" i="66"/>
  <c r="BL1236" i="4" l="1"/>
  <c r="X28" i="67"/>
  <c r="X25" i="67" s="1"/>
  <c r="X37" i="67" s="1"/>
  <c r="BL1308" i="4"/>
  <c r="BL1244" i="4"/>
  <c r="BL1245" i="4" s="1"/>
  <c r="BL1337" i="4"/>
  <c r="BL42" i="62"/>
  <c r="BL85" i="11"/>
  <c r="BL1128" i="4"/>
  <c r="BK1441" i="4"/>
  <c r="BK1442" i="4" s="1"/>
  <c r="BK25" i="11"/>
  <c r="X91" i="67"/>
  <c r="X59" i="67"/>
  <c r="BL500" i="4"/>
  <c r="BL386" i="4"/>
  <c r="BL387" i="4" s="1"/>
  <c r="BL489" i="4"/>
  <c r="BK21" i="11"/>
  <c r="BK17" i="11" s="1"/>
  <c r="BK24" i="66"/>
  <c r="BK20" i="66" s="1"/>
  <c r="BK26" i="66" s="1"/>
  <c r="BK100" i="11"/>
  <c r="BK46" i="62"/>
  <c r="BK44" i="66"/>
  <c r="BK40" i="66" s="1"/>
  <c r="BK46" i="66" s="1"/>
  <c r="BK101" i="67"/>
  <c r="X1527" i="4"/>
  <c r="X1534" i="4" s="1"/>
  <c r="X21" i="67"/>
  <c r="X17" i="67" s="1"/>
  <c r="X23" i="67" s="1"/>
  <c r="BK101" i="11"/>
  <c r="BL95" i="11"/>
  <c r="BK1462" i="4"/>
  <c r="BK1461" i="4" s="1"/>
  <c r="BK1330" i="4"/>
  <c r="BK1331" i="4" s="1"/>
  <c r="BK1340" i="4"/>
  <c r="BK1341" i="4" s="1"/>
  <c r="BK100" i="67"/>
  <c r="BK99" i="11" l="1"/>
  <c r="BK48" i="66"/>
  <c r="BK1463" i="4"/>
  <c r="BK1460" i="4" s="1"/>
  <c r="BK23" i="11"/>
  <c r="X93" i="67"/>
  <c r="X96" i="67" s="1"/>
  <c r="X97" i="67" s="1"/>
  <c r="BL52" i="62"/>
  <c r="BL43" i="62"/>
  <c r="BL23" i="62" s="1"/>
  <c r="BL501" i="4"/>
  <c r="BL502" i="4" s="1"/>
  <c r="BL490" i="4"/>
  <c r="BL491" i="4" s="1"/>
  <c r="BL388" i="4"/>
  <c r="BL389" i="4" s="1"/>
  <c r="BM384" i="4" s="1"/>
  <c r="BK37" i="11"/>
  <c r="BK1474" i="4"/>
  <c r="BK1469" i="4" s="1"/>
  <c r="BK1475" i="4"/>
  <c r="BK1470" i="4" s="1"/>
  <c r="BM1240" i="4"/>
  <c r="BL26" i="11"/>
  <c r="BK1343" i="4"/>
  <c r="X39" i="67"/>
  <c r="BK39" i="11" l="1"/>
  <c r="BK40" i="11" s="1"/>
  <c r="BM488" i="4"/>
  <c r="BL15" i="11"/>
  <c r="BL13" i="11" s="1"/>
  <c r="BL16" i="66"/>
  <c r="BL14" i="66" s="1"/>
  <c r="BL13" i="66" s="1"/>
  <c r="BM499" i="4"/>
  <c r="BL1101" i="4"/>
  <c r="BL1103" i="4" s="1"/>
  <c r="BL1104" i="4" s="1"/>
  <c r="BL1105" i="4" s="1"/>
  <c r="X40" i="67"/>
  <c r="Y95" i="67"/>
  <c r="X99" i="67"/>
  <c r="BK1516" i="4"/>
  <c r="BK1517" i="4" s="1"/>
  <c r="BK1473" i="4"/>
  <c r="BK1468" i="4" s="1"/>
  <c r="BL64" i="62"/>
  <c r="BL51" i="11"/>
  <c r="BL62" i="64" l="1"/>
  <c r="BL984" i="4"/>
  <c r="BL988" i="4" s="1"/>
  <c r="BM1100" i="4"/>
  <c r="BL1294" i="4" l="1"/>
  <c r="BL1298" i="4" s="1"/>
  <c r="BL1120" i="4"/>
  <c r="BL992" i="4"/>
  <c r="BL1320" i="4"/>
  <c r="BL71" i="11"/>
  <c r="BL70" i="64"/>
  <c r="BL78" i="64"/>
  <c r="BL1073" i="4" l="1"/>
  <c r="BL1077" i="4" s="1"/>
  <c r="BL1081" i="4" s="1"/>
  <c r="BL47" i="11"/>
  <c r="BL61" i="11" l="1"/>
  <c r="BL62" i="11"/>
  <c r="BL48" i="11"/>
  <c r="BL55" i="11" s="1"/>
  <c r="BL1082" i="4"/>
  <c r="BL1093" i="4" s="1"/>
  <c r="BL1090" i="4" s="1"/>
  <c r="BL1083" i="4" s="1"/>
  <c r="BL1084" i="4" s="1"/>
  <c r="BL1089" i="4"/>
  <c r="BL1091" i="4" l="1"/>
  <c r="BM1088" i="4" s="1"/>
  <c r="BL56" i="11"/>
  <c r="BL57" i="11" s="1"/>
  <c r="BL1299" i="4"/>
  <c r="BL1300" i="4" s="1"/>
  <c r="BL75" i="11"/>
  <c r="BL1123" i="4"/>
  <c r="BL1130" i="4" s="1"/>
  <c r="BL1132" i="4" s="1"/>
  <c r="BL1135" i="4" s="1"/>
  <c r="BL1323" i="4"/>
  <c r="BL61" i="64"/>
  <c r="BL64" i="11"/>
  <c r="BL62" i="62"/>
  <c r="BL1472" i="4"/>
  <c r="BL63" i="11"/>
  <c r="BL69" i="64" l="1"/>
  <c r="BL74" i="64" s="1"/>
  <c r="BL77" i="64"/>
  <c r="BL82" i="64" s="1"/>
  <c r="BL66" i="64"/>
  <c r="BL40" i="64" s="1"/>
  <c r="BL42" i="64" s="1"/>
  <c r="BL63" i="62"/>
  <c r="BL67" i="62" s="1"/>
  <c r="BL1313" i="4"/>
  <c r="BL1471" i="4"/>
  <c r="BL1283" i="4"/>
  <c r="BL68" i="62" l="1"/>
  <c r="BL49" i="64"/>
  <c r="BL52" i="64"/>
  <c r="BL1193" i="4"/>
  <c r="BL1194" i="4" s="1"/>
  <c r="BL1196" i="4" s="1"/>
  <c r="BL1198" i="4" s="1"/>
  <c r="BL1164" i="4" s="1"/>
  <c r="BL1214" i="4" l="1"/>
  <c r="BL1165" i="4"/>
  <c r="BM1162" i="4" l="1"/>
  <c r="BM1207" i="4"/>
  <c r="BM1225" i="4" s="1"/>
  <c r="BL38" i="66"/>
  <c r="BL88" i="11"/>
  <c r="BL1302" i="4"/>
  <c r="BL1303" i="4" s="1"/>
  <c r="BL1324" i="4"/>
  <c r="BL1481" i="4"/>
  <c r="BL1483" i="4" s="1"/>
  <c r="BL1424" i="4"/>
  <c r="BL1215" i="4"/>
  <c r="BL31" i="11" l="1"/>
  <c r="BL1489" i="4"/>
  <c r="BL1490" i="4" s="1"/>
  <c r="BL1515" i="4"/>
  <c r="BM1212" i="4"/>
  <c r="BL1505" i="4"/>
  <c r="BL1281" i="4"/>
  <c r="BL1271" i="4"/>
  <c r="BM1163" i="4"/>
  <c r="BM1213" i="4" l="1"/>
  <c r="BM1206" i="4"/>
  <c r="BM1224" i="4" s="1"/>
  <c r="BM1226" i="4" s="1"/>
  <c r="BM1202" i="4"/>
  <c r="BM1178" i="4"/>
  <c r="BL1252" i="4"/>
  <c r="BL1274" i="4"/>
  <c r="BL1275" i="4" s="1"/>
  <c r="BL1265" i="4" s="1"/>
  <c r="BM1492" i="4"/>
  <c r="BL1495" i="4"/>
  <c r="BL1493" i="4"/>
  <c r="BL45" i="62"/>
  <c r="BL30" i="11"/>
  <c r="BL1496" i="4" l="1"/>
  <c r="BL1257" i="4"/>
  <c r="BL1261" i="4"/>
  <c r="BL1268" i="4" s="1"/>
  <c r="BM1179" i="4"/>
  <c r="BM1180" i="4"/>
  <c r="BM1169" i="4" s="1"/>
  <c r="BM1170" i="4" s="1"/>
  <c r="BM1188" i="4" s="1"/>
  <c r="BM1189" i="4"/>
  <c r="BM1218" i="4" s="1"/>
  <c r="BM1076" i="4"/>
  <c r="BM1122" i="4"/>
  <c r="BM1295" i="4"/>
  <c r="BM297" i="4"/>
  <c r="BM305" i="4" s="1"/>
  <c r="BM330" i="4" s="1"/>
  <c r="BM1326" i="4"/>
  <c r="BM50" i="11"/>
  <c r="BM49" i="11" s="1"/>
  <c r="BM72" i="11"/>
  <c r="BM37" i="66"/>
  <c r="BL1264" i="4"/>
  <c r="BL1253" i="4" s="1"/>
  <c r="BL1266" i="4"/>
  <c r="BM1336" i="4"/>
  <c r="BM87" i="11"/>
  <c r="BM1310" i="4"/>
  <c r="BM18" i="66"/>
  <c r="BM1423" i="4"/>
  <c r="BM467" i="4" l="1"/>
  <c r="BM469" i="4" s="1"/>
  <c r="BM470" i="4" s="1"/>
  <c r="BM471" i="4" s="1"/>
  <c r="BM472" i="4" s="1"/>
  <c r="BN466" i="4" s="1"/>
  <c r="BM456" i="4"/>
  <c r="BM458" i="4" s="1"/>
  <c r="BM459" i="4" s="1"/>
  <c r="BN457" i="4"/>
  <c r="BN468" i="4"/>
  <c r="BM478" i="4"/>
  <c r="BM480" i="4" s="1"/>
  <c r="BM481" i="4" s="1"/>
  <c r="BM482" i="4" s="1"/>
  <c r="BM483" i="4" s="1"/>
  <c r="BN477" i="4" s="1"/>
  <c r="BN479" i="4"/>
  <c r="BL74" i="11"/>
  <c r="BL78" i="11" s="1"/>
  <c r="BL1327" i="4"/>
  <c r="BL1272" i="4"/>
  <c r="BL1276" i="4" s="1"/>
  <c r="BL1254" i="4" s="1"/>
  <c r="BL1304" i="4"/>
  <c r="BL36" i="66"/>
  <c r="BL1386" i="4"/>
  <c r="BM1074" i="4"/>
  <c r="BM1220" i="4"/>
  <c r="BM53" i="11" s="1"/>
  <c r="BM52" i="11" s="1"/>
  <c r="BM1219" i="4"/>
  <c r="BM294" i="4" s="1"/>
  <c r="BM1181" i="4"/>
  <c r="BL1338" i="4"/>
  <c r="BL19" i="66"/>
  <c r="BL17" i="66" s="1"/>
  <c r="BL86" i="11"/>
  <c r="BL1309" i="4"/>
  <c r="BL1480" i="4"/>
  <c r="BL89" i="11" l="1"/>
  <c r="BL1328" i="4"/>
  <c r="BL39" i="66"/>
  <c r="BL35" i="66" s="1"/>
  <c r="BL1305" i="4"/>
  <c r="BL1282" i="4" s="1"/>
  <c r="BM1197" i="4"/>
  <c r="BM1190" i="4"/>
  <c r="BM1221" i="4" s="1"/>
  <c r="BM299" i="4"/>
  <c r="BM302" i="4"/>
  <c r="BL1421" i="4"/>
  <c r="BL1385" i="4"/>
  <c r="BL1388" i="4" s="1"/>
  <c r="BN495" i="4"/>
  <c r="BN1072" i="4" s="1"/>
  <c r="BM460" i="4"/>
  <c r="BM461" i="4" s="1"/>
  <c r="BN455" i="4" s="1"/>
  <c r="BM494" i="4"/>
  <c r="BM1071" i="4" s="1"/>
  <c r="BL1255" i="4"/>
  <c r="BM1250" i="4" l="1"/>
  <c r="BL27" i="11"/>
  <c r="BL1506" i="4"/>
  <c r="BM1325" i="4"/>
  <c r="BM73" i="11"/>
  <c r="BM1301" i="4"/>
  <c r="BM1121" i="4"/>
  <c r="BM1144" i="4" s="1"/>
  <c r="BL1284" i="4"/>
  <c r="BL1286" i="4" s="1"/>
  <c r="BL1390" i="4"/>
  <c r="BL1402" i="4"/>
  <c r="BL1425" i="4"/>
  <c r="BM307" i="4"/>
  <c r="BM331" i="4"/>
  <c r="BM332" i="4" l="1"/>
  <c r="BM14" i="11" s="1"/>
  <c r="BM1234" i="4"/>
  <c r="BM1235" i="4"/>
  <c r="BM1251" i="4" s="1"/>
  <c r="BM1145" i="4"/>
  <c r="BL1306" i="4"/>
  <c r="BL1307" i="4" s="1"/>
  <c r="BL1311" i="4" s="1"/>
  <c r="BM1290" i="4" s="1"/>
  <c r="BL1329" i="4"/>
  <c r="BL90" i="11"/>
  <c r="BL91" i="11" s="1"/>
  <c r="BL93" i="11" s="1"/>
  <c r="BL96" i="11" s="1"/>
  <c r="BL97" i="11" s="1"/>
  <c r="BL48" i="62"/>
  <c r="BL24" i="62" s="1"/>
  <c r="BL26" i="62" s="1"/>
  <c r="BL58" i="11"/>
  <c r="BL59" i="11" s="1"/>
  <c r="BL28" i="11" s="1"/>
  <c r="BL25" i="11" s="1"/>
  <c r="BL22" i="66"/>
  <c r="BL1285" i="4"/>
  <c r="BM385" i="4"/>
  <c r="BM395" i="4"/>
  <c r="BM396" i="4" s="1"/>
  <c r="BM397" i="4" s="1"/>
  <c r="BM398" i="4" s="1"/>
  <c r="BM399" i="4" s="1"/>
  <c r="BN394" i="4" s="1"/>
  <c r="BM405" i="4"/>
  <c r="BM406" i="4" s="1"/>
  <c r="BM407" i="4" s="1"/>
  <c r="BM408" i="4" s="1"/>
  <c r="BM409" i="4" s="1"/>
  <c r="BN404" i="4" s="1"/>
  <c r="BL1509" i="4"/>
  <c r="BL1507" i="4"/>
  <c r="BL1508" i="4" s="1"/>
  <c r="BL1440" i="4"/>
  <c r="BL1403" i="4"/>
  <c r="BL1404" i="4" s="1"/>
  <c r="BL1474" i="4" l="1"/>
  <c r="BL1469" i="4" s="1"/>
  <c r="BL37" i="11"/>
  <c r="BL1475" i="4"/>
  <c r="BL1470" i="4" s="1"/>
  <c r="BL1441" i="4"/>
  <c r="BL1442" i="4" s="1"/>
  <c r="BL100" i="67"/>
  <c r="BL100" i="11"/>
  <c r="BL24" i="66"/>
  <c r="BL20" i="66" s="1"/>
  <c r="BL26" i="66" s="1"/>
  <c r="BL21" i="11"/>
  <c r="BL17" i="11" s="1"/>
  <c r="BL46" i="62"/>
  <c r="BL44" i="66"/>
  <c r="BL40" i="66" s="1"/>
  <c r="BL46" i="66" s="1"/>
  <c r="BL1330" i="4"/>
  <c r="BL1331" i="4" s="1"/>
  <c r="BL1462" i="4"/>
  <c r="BL1461" i="4" s="1"/>
  <c r="BM95" i="11"/>
  <c r="BL101" i="67"/>
  <c r="BL1340" i="4"/>
  <c r="BL1341" i="4" s="1"/>
  <c r="BL101" i="11"/>
  <c r="BM500" i="4"/>
  <c r="BM386" i="4"/>
  <c r="BM387" i="4" s="1"/>
  <c r="BM489" i="4"/>
  <c r="BM1128" i="4"/>
  <c r="BM1241" i="4"/>
  <c r="BM1236" i="4"/>
  <c r="BL99" i="11" l="1"/>
  <c r="BL1343" i="4"/>
  <c r="BL48" i="66"/>
  <c r="BM501" i="4"/>
  <c r="BM502" i="4" s="1"/>
  <c r="BM388" i="4"/>
  <c r="BM389" i="4" s="1"/>
  <c r="BN384" i="4" s="1"/>
  <c r="BM490" i="4"/>
  <c r="BM1337" i="4"/>
  <c r="BM1244" i="4"/>
  <c r="BM1245" i="4" s="1"/>
  <c r="BM42" i="62"/>
  <c r="BM1308" i="4"/>
  <c r="BM85" i="11"/>
  <c r="BL1463" i="4"/>
  <c r="BL1460" i="4" s="1"/>
  <c r="BL23" i="11"/>
  <c r="BL39" i="11" s="1"/>
  <c r="BL40" i="11" s="1"/>
  <c r="BM1101" i="4" l="1"/>
  <c r="BM1103" i="4" s="1"/>
  <c r="BM1104" i="4" s="1"/>
  <c r="BM1105" i="4" s="1"/>
  <c r="BN499" i="4"/>
  <c r="BL1516" i="4"/>
  <c r="BL1517" i="4" s="1"/>
  <c r="BL1473" i="4"/>
  <c r="BL1468" i="4" s="1"/>
  <c r="BM64" i="62"/>
  <c r="BM51" i="11"/>
  <c r="BM52" i="62"/>
  <c r="BM43" i="62"/>
  <c r="BM23" i="62" s="1"/>
  <c r="BN1240" i="4"/>
  <c r="BM26" i="11"/>
  <c r="BM491" i="4"/>
  <c r="BM15" i="11" l="1"/>
  <c r="BM13" i="11" s="1"/>
  <c r="BN488" i="4"/>
  <c r="BM16" i="66"/>
  <c r="BM14" i="66" s="1"/>
  <c r="BM13" i="66" s="1"/>
  <c r="BN1100" i="4"/>
  <c r="BM62" i="64"/>
  <c r="BM984" i="4"/>
  <c r="BM988" i="4" s="1"/>
  <c r="BM1320" i="4" l="1"/>
  <c r="BM1120" i="4"/>
  <c r="BM71" i="11"/>
  <c r="BM1294" i="4"/>
  <c r="BM1298" i="4" s="1"/>
  <c r="BM992" i="4"/>
  <c r="BM70" i="64"/>
  <c r="BM78" i="64"/>
  <c r="BM47" i="11" l="1"/>
  <c r="BM1073" i="4"/>
  <c r="BM1077" i="4" s="1"/>
  <c r="BM1081" i="4" s="1"/>
  <c r="BM1089" i="4" l="1"/>
  <c r="BM1082" i="4"/>
  <c r="BM61" i="11"/>
  <c r="BM62" i="11"/>
  <c r="BM48" i="11"/>
  <c r="BM55" i="11" s="1"/>
  <c r="BM63" i="11" l="1"/>
  <c r="BM1093" i="4"/>
  <c r="BM1090" i="4" s="1"/>
  <c r="BM1083" i="4" s="1"/>
  <c r="BM1084" i="4" s="1"/>
  <c r="BM64" i="11"/>
  <c r="BM1472" i="4"/>
  <c r="BM62" i="62"/>
  <c r="BM1091" i="4" l="1"/>
  <c r="BN1088" i="4" s="1"/>
  <c r="BM1299" i="4"/>
  <c r="BM1300" i="4" s="1"/>
  <c r="BM1323" i="4"/>
  <c r="BM61" i="64"/>
  <c r="BM1123" i="4"/>
  <c r="BM1130" i="4" s="1"/>
  <c r="BM1132" i="4" s="1"/>
  <c r="BM1135" i="4" s="1"/>
  <c r="BM56" i="11"/>
  <c r="BM57" i="11" s="1"/>
  <c r="BM75" i="11"/>
  <c r="BM63" i="62"/>
  <c r="BM67" i="62" s="1"/>
  <c r="BM68" i="62" l="1"/>
  <c r="BM1471" i="4"/>
  <c r="BM1283" i="4"/>
  <c r="BM69" i="64"/>
  <c r="BM74" i="64" s="1"/>
  <c r="BM77" i="64"/>
  <c r="BM82" i="64" s="1"/>
  <c r="BM66" i="64"/>
  <c r="BM40" i="64" s="1"/>
  <c r="BM42" i="64" s="1"/>
  <c r="BM1313" i="4"/>
  <c r="BM1193" i="4" l="1"/>
  <c r="BM1194" i="4" s="1"/>
  <c r="BM1196" i="4" s="1"/>
  <c r="BM1198" i="4" s="1"/>
  <c r="BM1164" i="4" s="1"/>
  <c r="BM52" i="64"/>
  <c r="BM49" i="64"/>
  <c r="BM1214" i="4" l="1"/>
  <c r="BM1165" i="4"/>
  <c r="BN1162" i="4" l="1"/>
  <c r="BN1207" i="4"/>
  <c r="BN1225" i="4" s="1"/>
  <c r="BM88" i="11"/>
  <c r="BM1302" i="4"/>
  <c r="BM1303" i="4" s="1"/>
  <c r="BM1481" i="4"/>
  <c r="BM1483" i="4" s="1"/>
  <c r="BM1324" i="4"/>
  <c r="BM38" i="66"/>
  <c r="BM1424" i="4"/>
  <c r="BM1215" i="4"/>
  <c r="BM1271" i="4" l="1"/>
  <c r="BM1281" i="4"/>
  <c r="BM31" i="11"/>
  <c r="BM1515" i="4"/>
  <c r="BM1489" i="4"/>
  <c r="BM1490" i="4" s="1"/>
  <c r="BM1505" i="4"/>
  <c r="BN1212" i="4"/>
  <c r="BN1163" i="4"/>
  <c r="BM30" i="11" l="1"/>
  <c r="BM45" i="62"/>
  <c r="BM1495" i="4"/>
  <c r="BM1493" i="4"/>
  <c r="BN1492" i="4"/>
  <c r="BN1206" i="4"/>
  <c r="BN1224" i="4" s="1"/>
  <c r="BN1226" i="4" s="1"/>
  <c r="BN1213" i="4"/>
  <c r="BN1202" i="4"/>
  <c r="BN1178" i="4"/>
  <c r="BM1252" i="4"/>
  <c r="BM1274" i="4"/>
  <c r="BM1275" i="4" s="1"/>
  <c r="BM1265" i="4" s="1"/>
  <c r="BM1496" i="4" l="1"/>
  <c r="BM1266" i="4"/>
  <c r="BM1264" i="4"/>
  <c r="BM1253" i="4" s="1"/>
  <c r="BM1261" i="4"/>
  <c r="BM1268" i="4" s="1"/>
  <c r="BM1257" i="4"/>
  <c r="BN1179" i="4"/>
  <c r="BN1180" i="4"/>
  <c r="BN1169" i="4" s="1"/>
  <c r="BN1170" i="4" s="1"/>
  <c r="BN1188" i="4" s="1"/>
  <c r="BN1189" i="4"/>
  <c r="BN1218" i="4" s="1"/>
  <c r="BN1336" i="4"/>
  <c r="BN1310" i="4"/>
  <c r="BN87" i="11"/>
  <c r="BN18" i="66"/>
  <c r="BN1423" i="4"/>
  <c r="BN1295" i="4"/>
  <c r="BN1122" i="4"/>
  <c r="BN1076" i="4"/>
  <c r="BN37" i="66"/>
  <c r="BN72" i="11"/>
  <c r="BN1326" i="4"/>
  <c r="BN50" i="11"/>
  <c r="BN49" i="11" s="1"/>
  <c r="BN297" i="4"/>
  <c r="BN305" i="4" s="1"/>
  <c r="BN330" i="4" s="1"/>
  <c r="BN1219" i="4" l="1"/>
  <c r="BN294" i="4" s="1"/>
  <c r="BN1220" i="4"/>
  <c r="BN53" i="11" s="1"/>
  <c r="BN52" i="11" s="1"/>
  <c r="BN1074" i="4"/>
  <c r="BM1309" i="4"/>
  <c r="BM86" i="11"/>
  <c r="BM1338" i="4"/>
  <c r="BM19" i="66"/>
  <c r="BM17" i="66" s="1"/>
  <c r="BM1480" i="4"/>
  <c r="BN478" i="4"/>
  <c r="BN480" i="4" s="1"/>
  <c r="BN481" i="4" s="1"/>
  <c r="BN482" i="4" s="1"/>
  <c r="BN483" i="4" s="1"/>
  <c r="BO477" i="4" s="1"/>
  <c r="BO468" i="4"/>
  <c r="BN456" i="4"/>
  <c r="BN458" i="4" s="1"/>
  <c r="BN459" i="4" s="1"/>
  <c r="BO479" i="4"/>
  <c r="BN467" i="4"/>
  <c r="BN469" i="4" s="1"/>
  <c r="BN470" i="4" s="1"/>
  <c r="BN471" i="4" s="1"/>
  <c r="BN472" i="4" s="1"/>
  <c r="BO466" i="4" s="1"/>
  <c r="BO457" i="4"/>
  <c r="BN1181" i="4"/>
  <c r="BM1272" i="4"/>
  <c r="BM1276" i="4" s="1"/>
  <c r="BM1254" i="4" s="1"/>
  <c r="BM1304" i="4"/>
  <c r="BM1327" i="4"/>
  <c r="BM74" i="11"/>
  <c r="BM78" i="11" s="1"/>
  <c r="BM1386" i="4"/>
  <c r="BM36" i="66"/>
  <c r="BO495" i="4" l="1"/>
  <c r="BO1072" i="4" s="1"/>
  <c r="BM89" i="11"/>
  <c r="BM1328" i="4"/>
  <c r="BM39" i="66"/>
  <c r="BM35" i="66" s="1"/>
  <c r="BM1305" i="4"/>
  <c r="BM1282" i="4" s="1"/>
  <c r="BN494" i="4"/>
  <c r="BN1071" i="4" s="1"/>
  <c r="BN460" i="4"/>
  <c r="BN461" i="4" s="1"/>
  <c r="BO455" i="4" s="1"/>
  <c r="BN1197" i="4"/>
  <c r="BN1190" i="4"/>
  <c r="BN1221" i="4" s="1"/>
  <c r="BN299" i="4"/>
  <c r="BN302" i="4"/>
  <c r="BM1385" i="4"/>
  <c r="BM1388" i="4" s="1"/>
  <c r="BM1421" i="4"/>
  <c r="BM1255" i="4"/>
  <c r="BM1390" i="4" l="1"/>
  <c r="BM1402" i="4"/>
  <c r="BN307" i="4"/>
  <c r="BN331" i="4"/>
  <c r="BM1284" i="4"/>
  <c r="BM1286" i="4" s="1"/>
  <c r="BN1250" i="4"/>
  <c r="BM27" i="11"/>
  <c r="BM1506" i="4"/>
  <c r="BM1425" i="4"/>
  <c r="BN73" i="11"/>
  <c r="BN1301" i="4"/>
  <c r="BN1325" i="4"/>
  <c r="BN1121" i="4"/>
  <c r="BN1144" i="4" s="1"/>
  <c r="BN332" i="4" l="1"/>
  <c r="BN14" i="11" s="1"/>
  <c r="BN1235" i="4"/>
  <c r="BN1251" i="4" s="1"/>
  <c r="BN1145" i="4"/>
  <c r="BN1234" i="4"/>
  <c r="BM1285" i="4"/>
  <c r="BM90" i="11"/>
  <c r="BM91" i="11" s="1"/>
  <c r="BM93" i="11" s="1"/>
  <c r="BM96" i="11" s="1"/>
  <c r="BM97" i="11" s="1"/>
  <c r="BM48" i="62"/>
  <c r="BM24" i="62" s="1"/>
  <c r="BM26" i="62" s="1"/>
  <c r="BM58" i="11"/>
  <c r="BM59" i="11" s="1"/>
  <c r="BM28" i="11" s="1"/>
  <c r="BM1329" i="4"/>
  <c r="BM1306" i="4"/>
  <c r="BM1307" i="4" s="1"/>
  <c r="BM1311" i="4" s="1"/>
  <c r="BN1290" i="4" s="1"/>
  <c r="BM22" i="66"/>
  <c r="BN395" i="4"/>
  <c r="BN396" i="4" s="1"/>
  <c r="BN397" i="4" s="1"/>
  <c r="BN398" i="4" s="1"/>
  <c r="BN399" i="4" s="1"/>
  <c r="BO394" i="4" s="1"/>
  <c r="BN405" i="4"/>
  <c r="BN406" i="4" s="1"/>
  <c r="BN407" i="4" s="1"/>
  <c r="BN408" i="4" s="1"/>
  <c r="BN409" i="4" s="1"/>
  <c r="BO404" i="4" s="1"/>
  <c r="BN385" i="4"/>
  <c r="BM1440" i="4"/>
  <c r="BM1509" i="4"/>
  <c r="BM1507" i="4"/>
  <c r="BM1508" i="4" s="1"/>
  <c r="BM1403" i="4"/>
  <c r="BM1404" i="4" s="1"/>
  <c r="BN500" i="4" l="1"/>
  <c r="BN489" i="4"/>
  <c r="BN386" i="4"/>
  <c r="BN387" i="4" s="1"/>
  <c r="BM1330" i="4"/>
  <c r="BM1331" i="4" s="1"/>
  <c r="BM24" i="66"/>
  <c r="BM20" i="66" s="1"/>
  <c r="BM26" i="66" s="1"/>
  <c r="BM1340" i="4"/>
  <c r="BM1341" i="4" s="1"/>
  <c r="BN95" i="11"/>
  <c r="BM100" i="67"/>
  <c r="BM101" i="11"/>
  <c r="BM101" i="67"/>
  <c r="BM46" i="62"/>
  <c r="BM44" i="66"/>
  <c r="BM40" i="66" s="1"/>
  <c r="BM46" i="66" s="1"/>
  <c r="BM1462" i="4"/>
  <c r="BM1461" i="4" s="1"/>
  <c r="BM100" i="11"/>
  <c r="BM21" i="11"/>
  <c r="BM17" i="11" s="1"/>
  <c r="BM1441" i="4"/>
  <c r="BM1442" i="4" s="1"/>
  <c r="BN1236" i="4"/>
  <c r="BN1241" i="4"/>
  <c r="BN1128" i="4"/>
  <c r="BM25" i="11"/>
  <c r="BM48" i="66" l="1"/>
  <c r="BM1343" i="4"/>
  <c r="BM1463" i="4"/>
  <c r="BM1460" i="4" s="1"/>
  <c r="BM23" i="11"/>
  <c r="BN1337" i="4"/>
  <c r="BN1308" i="4"/>
  <c r="BN85" i="11"/>
  <c r="BN1244" i="4"/>
  <c r="BN1245" i="4" s="1"/>
  <c r="BN42" i="62"/>
  <c r="BN501" i="4"/>
  <c r="BN502" i="4" s="1"/>
  <c r="BN490" i="4"/>
  <c r="BN491" i="4" s="1"/>
  <c r="BN388" i="4"/>
  <c r="BN389" i="4" s="1"/>
  <c r="BO384" i="4" s="1"/>
  <c r="BM1475" i="4"/>
  <c r="BM1470" i="4" s="1"/>
  <c r="BM37" i="11"/>
  <c r="BM1474" i="4"/>
  <c r="BM1469" i="4" s="1"/>
  <c r="BM99" i="11"/>
  <c r="BM39" i="11" l="1"/>
  <c r="BM40" i="11" s="1"/>
  <c r="BN52" i="62"/>
  <c r="BN43" i="62"/>
  <c r="BN23" i="62" s="1"/>
  <c r="BO1240" i="4"/>
  <c r="BN26" i="11"/>
  <c r="BN64" i="62"/>
  <c r="BN51" i="11"/>
  <c r="BM1516" i="4"/>
  <c r="BM1517" i="4" s="1"/>
  <c r="BM1473" i="4"/>
  <c r="BM1468" i="4" s="1"/>
  <c r="BO488" i="4"/>
  <c r="BN15" i="11"/>
  <c r="BN13" i="11" s="1"/>
  <c r="BO499" i="4"/>
  <c r="BN1101" i="4"/>
  <c r="BN1103" i="4" s="1"/>
  <c r="BN1104" i="4" s="1"/>
  <c r="BN1105" i="4" s="1"/>
  <c r="BO1100" i="4" l="1"/>
  <c r="BN984" i="4"/>
  <c r="BN988" i="4" s="1"/>
  <c r="BN62" i="64"/>
  <c r="BN16" i="66"/>
  <c r="BN14" i="66" s="1"/>
  <c r="BN13" i="66" s="1"/>
  <c r="BN992" i="4" l="1"/>
  <c r="BN1294" i="4"/>
  <c r="BN1298" i="4" s="1"/>
  <c r="BN1320" i="4"/>
  <c r="BN71" i="11"/>
  <c r="BN1120" i="4"/>
  <c r="BN78" i="64"/>
  <c r="BN70" i="64"/>
  <c r="BN1073" i="4" l="1"/>
  <c r="BN1077" i="4" s="1"/>
  <c r="BN1081" i="4" s="1"/>
  <c r="BN47" i="11"/>
  <c r="BN61" i="11" l="1"/>
  <c r="BN62" i="11"/>
  <c r="BN48" i="11"/>
  <c r="BN55" i="11" s="1"/>
  <c r="BN1089" i="4"/>
  <c r="BN1082" i="4"/>
  <c r="BN1093" i="4" l="1"/>
  <c r="BN1090" i="4" s="1"/>
  <c r="BN1083" i="4" s="1"/>
  <c r="BN1084" i="4" s="1"/>
  <c r="BN64" i="11"/>
  <c r="BN62" i="62"/>
  <c r="BN1472" i="4"/>
  <c r="BN63" i="11"/>
  <c r="BN1091" i="4" l="1"/>
  <c r="BO1088" i="4" s="1"/>
  <c r="BN1323" i="4"/>
  <c r="BN75" i="11"/>
  <c r="BN1123" i="4"/>
  <c r="BN1130" i="4" s="1"/>
  <c r="BN1132" i="4" s="1"/>
  <c r="BN1135" i="4" s="1"/>
  <c r="BN61" i="64"/>
  <c r="BN1299" i="4"/>
  <c r="BN1300" i="4" s="1"/>
  <c r="BN56" i="11"/>
  <c r="BN57" i="11" s="1"/>
  <c r="BN63" i="62"/>
  <c r="BN67" i="62" s="1"/>
  <c r="BN68" i="62" l="1"/>
  <c r="BN1471" i="4"/>
  <c r="BN1283" i="4"/>
  <c r="BN1313" i="4"/>
  <c r="BN77" i="64"/>
  <c r="BN82" i="64" s="1"/>
  <c r="BN69" i="64"/>
  <c r="BN74" i="64" s="1"/>
  <c r="BN66" i="64"/>
  <c r="BN40" i="64" s="1"/>
  <c r="BN42" i="64" s="1"/>
  <c r="BN1193" i="4" l="1"/>
  <c r="BN1194" i="4" s="1"/>
  <c r="BN1196" i="4" s="1"/>
  <c r="BN1198" i="4" s="1"/>
  <c r="BN1164" i="4" s="1"/>
  <c r="BN49" i="64"/>
  <c r="BN52" i="64"/>
  <c r="BN1214" i="4" l="1"/>
  <c r="BN1165" i="4"/>
  <c r="BO1162" i="4" l="1"/>
  <c r="BO1207" i="4"/>
  <c r="BO1225" i="4" s="1"/>
  <c r="BN1481" i="4"/>
  <c r="BN1483" i="4" s="1"/>
  <c r="BN38" i="66"/>
  <c r="BN88" i="11"/>
  <c r="BN1302" i="4"/>
  <c r="BN1303" i="4" s="1"/>
  <c r="BN1324" i="4"/>
  <c r="BN1424" i="4"/>
  <c r="BN1215" i="4"/>
  <c r="BN1281" i="4" l="1"/>
  <c r="BN1271" i="4"/>
  <c r="BN31" i="11"/>
  <c r="BO1212" i="4"/>
  <c r="BN1489" i="4"/>
  <c r="BN1490" i="4" s="1"/>
  <c r="BN1505" i="4"/>
  <c r="BN1515" i="4"/>
  <c r="BO1163" i="4"/>
  <c r="BO1206" i="4" l="1"/>
  <c r="BO1224" i="4" s="1"/>
  <c r="BO1226" i="4" s="1"/>
  <c r="BO1213" i="4"/>
  <c r="BO1202" i="4"/>
  <c r="BO1178" i="4"/>
  <c r="BN1495" i="4"/>
  <c r="BN1493" i="4"/>
  <c r="BO1492" i="4"/>
  <c r="BN30" i="11"/>
  <c r="BN45" i="62"/>
  <c r="BN1252" i="4"/>
  <c r="BN1274" i="4"/>
  <c r="BN1275" i="4" s="1"/>
  <c r="BN1265" i="4" s="1"/>
  <c r="BN1496" i="4" l="1"/>
  <c r="BN1257" i="4"/>
  <c r="BN1261" i="4"/>
  <c r="BN1268" i="4" s="1"/>
  <c r="BO1179" i="4"/>
  <c r="BO1180" i="4"/>
  <c r="BO1169" i="4" s="1"/>
  <c r="BO1170" i="4" s="1"/>
  <c r="BO1188" i="4" s="1"/>
  <c r="BO1189" i="4"/>
  <c r="BO1218" i="4" s="1"/>
  <c r="BN1266" i="4"/>
  <c r="BN1264" i="4"/>
  <c r="BN1253" i="4" s="1"/>
  <c r="Y87" i="67"/>
  <c r="BO87" i="11"/>
  <c r="BO1310" i="4"/>
  <c r="BO1336" i="4"/>
  <c r="BO18" i="66"/>
  <c r="BO1423" i="4"/>
  <c r="Y72" i="67"/>
  <c r="BO37" i="66"/>
  <c r="BO297" i="4"/>
  <c r="BO305" i="4" s="1"/>
  <c r="BO330" i="4" s="1"/>
  <c r="BO1122" i="4"/>
  <c r="BO1326" i="4"/>
  <c r="BO1076" i="4"/>
  <c r="BO1295" i="4"/>
  <c r="BO72" i="11"/>
  <c r="BO50" i="11"/>
  <c r="BN86" i="11" l="1"/>
  <c r="BN19" i="66"/>
  <c r="BN17" i="66" s="1"/>
  <c r="BN1309" i="4"/>
  <c r="BN1338" i="4"/>
  <c r="BN1480" i="4"/>
  <c r="BN1272" i="4"/>
  <c r="BN1276" i="4" s="1"/>
  <c r="BN1254" i="4" s="1"/>
  <c r="BN1304" i="4"/>
  <c r="BN74" i="11"/>
  <c r="BN78" i="11" s="1"/>
  <c r="BN1327" i="4"/>
  <c r="BN36" i="66"/>
  <c r="BN1386" i="4"/>
  <c r="BO1219" i="4"/>
  <c r="BO294" i="4" s="1"/>
  <c r="BO1220" i="4"/>
  <c r="BO1074" i="4"/>
  <c r="Y50" i="67"/>
  <c r="Y49" i="67" s="1"/>
  <c r="BO49" i="11"/>
  <c r="BP479" i="4"/>
  <c r="BP457" i="4"/>
  <c r="BO456" i="4"/>
  <c r="BO458" i="4" s="1"/>
  <c r="BO459" i="4" s="1"/>
  <c r="BP468" i="4"/>
  <c r="BO478" i="4"/>
  <c r="BO480" i="4" s="1"/>
  <c r="BO481" i="4" s="1"/>
  <c r="BO482" i="4" s="1"/>
  <c r="BO483" i="4" s="1"/>
  <c r="BP477" i="4" s="1"/>
  <c r="BO467" i="4"/>
  <c r="BO469" i="4" s="1"/>
  <c r="BO470" i="4" s="1"/>
  <c r="BO471" i="4" s="1"/>
  <c r="BO472" i="4" s="1"/>
  <c r="BP466" i="4" s="1"/>
  <c r="BO1181" i="4"/>
  <c r="BO1190" i="4" l="1"/>
  <c r="BO1221" i="4" s="1"/>
  <c r="BO1197" i="4"/>
  <c r="Y53" i="67"/>
  <c r="Y52" i="67" s="1"/>
  <c r="BO53" i="11"/>
  <c r="BO52" i="11" s="1"/>
  <c r="BN1305" i="4"/>
  <c r="BN1282" i="4" s="1"/>
  <c r="BN39" i="66"/>
  <c r="BN35" i="66" s="1"/>
  <c r="BN1328" i="4"/>
  <c r="BN89" i="11"/>
  <c r="BP495" i="4"/>
  <c r="BP1072" i="4" s="1"/>
  <c r="BO299" i="4"/>
  <c r="BO302" i="4"/>
  <c r="BN1385" i="4"/>
  <c r="BN1388" i="4" s="1"/>
  <c r="BN1421" i="4"/>
  <c r="BO494" i="4"/>
  <c r="BO1071" i="4" s="1"/>
  <c r="BO460" i="4"/>
  <c r="BO461" i="4" s="1"/>
  <c r="BP455" i="4" s="1"/>
  <c r="BN1255" i="4"/>
  <c r="BN1425" i="4" l="1"/>
  <c r="BN1390" i="4"/>
  <c r="BN1402" i="4"/>
  <c r="BO307" i="4"/>
  <c r="BO331" i="4"/>
  <c r="BN1284" i="4"/>
  <c r="BN1286" i="4" s="1"/>
  <c r="BO1250" i="4"/>
  <c r="BN27" i="11"/>
  <c r="BN1506" i="4"/>
  <c r="BO1121" i="4"/>
  <c r="BO1144" i="4" s="1"/>
  <c r="BO1301" i="4"/>
  <c r="BO73" i="11"/>
  <c r="BO1325" i="4"/>
  <c r="Y23" i="13"/>
  <c r="Y73" i="67"/>
  <c r="BO332" i="4" l="1"/>
  <c r="BO14" i="11" s="1"/>
  <c r="BN1329" i="4"/>
  <c r="BN1306" i="4"/>
  <c r="BN1307" i="4" s="1"/>
  <c r="BN1311" i="4" s="1"/>
  <c r="BO1290" i="4" s="1"/>
  <c r="BN90" i="11"/>
  <c r="BN91" i="11" s="1"/>
  <c r="BN93" i="11" s="1"/>
  <c r="BN96" i="11" s="1"/>
  <c r="BN97" i="11" s="1"/>
  <c r="BN58" i="11"/>
  <c r="BN59" i="11" s="1"/>
  <c r="BN28" i="11" s="1"/>
  <c r="BN25" i="11" s="1"/>
  <c r="BN48" i="62"/>
  <c r="BN24" i="62" s="1"/>
  <c r="BN26" i="62" s="1"/>
  <c r="BN22" i="66"/>
  <c r="BO1145" i="4"/>
  <c r="BO1235" i="4"/>
  <c r="BO1251" i="4" s="1"/>
  <c r="BO1234" i="4"/>
  <c r="BO395" i="4"/>
  <c r="BO396" i="4" s="1"/>
  <c r="BO397" i="4" s="1"/>
  <c r="BO398" i="4" s="1"/>
  <c r="BO399" i="4" s="1"/>
  <c r="BP394" i="4" s="1"/>
  <c r="BO385" i="4"/>
  <c r="BO405" i="4"/>
  <c r="BO406" i="4" s="1"/>
  <c r="BO407" i="4" s="1"/>
  <c r="BO408" i="4" s="1"/>
  <c r="BO409" i="4" s="1"/>
  <c r="BP404" i="4" s="1"/>
  <c r="BN1509" i="4"/>
  <c r="BN1507" i="4"/>
  <c r="BN1508" i="4" s="1"/>
  <c r="BN1403" i="4"/>
  <c r="BN1404" i="4" s="1"/>
  <c r="BN1440" i="4"/>
  <c r="BN1285" i="4"/>
  <c r="Y14" i="67" l="1"/>
  <c r="BO386" i="4"/>
  <c r="BO387" i="4" s="1"/>
  <c r="BO489" i="4"/>
  <c r="BO500" i="4"/>
  <c r="BN1474" i="4"/>
  <c r="BN1469" i="4" s="1"/>
  <c r="BN37" i="11"/>
  <c r="BN1475" i="4"/>
  <c r="BN1470" i="4" s="1"/>
  <c r="BN1340" i="4"/>
  <c r="BN1341" i="4" s="1"/>
  <c r="BN24" i="66"/>
  <c r="BN20" i="66" s="1"/>
  <c r="BN26" i="66" s="1"/>
  <c r="BN1330" i="4"/>
  <c r="BN1331" i="4" s="1"/>
  <c r="BN1462" i="4"/>
  <c r="BN1461" i="4" s="1"/>
  <c r="BN101" i="11"/>
  <c r="BN100" i="67"/>
  <c r="BO95" i="11"/>
  <c r="BN46" i="62"/>
  <c r="BN100" i="11"/>
  <c r="BN44" i="66"/>
  <c r="BN40" i="66" s="1"/>
  <c r="BN46" i="66" s="1"/>
  <c r="BN21" i="11"/>
  <c r="BN17" i="11" s="1"/>
  <c r="BN101" i="67"/>
  <c r="BO1128" i="4"/>
  <c r="BO1236" i="4"/>
  <c r="BO1241" i="4"/>
  <c r="BN1441" i="4"/>
  <c r="BN1442" i="4" s="1"/>
  <c r="BN48" i="66" l="1"/>
  <c r="BN99" i="11"/>
  <c r="BO1337" i="4"/>
  <c r="BO85" i="11"/>
  <c r="BO1244" i="4"/>
  <c r="BO1245" i="4" s="1"/>
  <c r="BO1308" i="4"/>
  <c r="BO42" i="62"/>
  <c r="Y85" i="67"/>
  <c r="BN1463" i="4"/>
  <c r="BN1460" i="4" s="1"/>
  <c r="BN23" i="11"/>
  <c r="BN1343" i="4"/>
  <c r="BO501" i="4"/>
  <c r="BO502" i="4" s="1"/>
  <c r="BO388" i="4"/>
  <c r="BO389" i="4" s="1"/>
  <c r="BP384" i="4" s="1"/>
  <c r="BO490" i="4"/>
  <c r="BO491" i="4" s="1"/>
  <c r="BO1101" i="4" l="1"/>
  <c r="BO1103" i="4" s="1"/>
  <c r="BO1104" i="4" s="1"/>
  <c r="BO1105" i="4" s="1"/>
  <c r="BP499" i="4"/>
  <c r="Y26" i="67"/>
  <c r="BO26" i="11"/>
  <c r="BP1240" i="4"/>
  <c r="Y15" i="67"/>
  <c r="Y13" i="67" s="1"/>
  <c r="BO15" i="11"/>
  <c r="BO13" i="11" s="1"/>
  <c r="BP488" i="4"/>
  <c r="BN1516" i="4"/>
  <c r="BN1517" i="4" s="1"/>
  <c r="BN1473" i="4"/>
  <c r="BN1468" i="4" s="1"/>
  <c r="BN39" i="11"/>
  <c r="BN40" i="11" s="1"/>
  <c r="BO64" i="62"/>
  <c r="BO51" i="11"/>
  <c r="Y51" i="67"/>
  <c r="BO52" i="62"/>
  <c r="BO43" i="62"/>
  <c r="BO23" i="62" s="1"/>
  <c r="BO16" i="66" l="1"/>
  <c r="BO14" i="66" s="1"/>
  <c r="BO13" i="66" s="1"/>
  <c r="BP1100" i="4"/>
  <c r="BO62" i="64"/>
  <c r="BO984" i="4"/>
  <c r="BO988" i="4" s="1"/>
  <c r="BO78" i="64" l="1"/>
  <c r="BO70" i="64"/>
  <c r="BO71" i="11"/>
  <c r="BO1294" i="4"/>
  <c r="BO1298" i="4" s="1"/>
  <c r="BO992" i="4"/>
  <c r="BO1120" i="4"/>
  <c r="BO1320" i="4"/>
  <c r="Y71" i="67"/>
  <c r="Y40" i="13"/>
  <c r="Y47" i="67" l="1"/>
  <c r="BO1073" i="4"/>
  <c r="BO1077" i="4" s="1"/>
  <c r="BO1081" i="4" s="1"/>
  <c r="BO47" i="11"/>
  <c r="Y20" i="72"/>
  <c r="BO61" i="11" l="1"/>
  <c r="BO62" i="11"/>
  <c r="BO48" i="11"/>
  <c r="BO55" i="11" s="1"/>
  <c r="Y62" i="67"/>
  <c r="Y64" i="67" s="1"/>
  <c r="Y61" i="67"/>
  <c r="Y63" i="67" s="1"/>
  <c r="Y48" i="67"/>
  <c r="Y55" i="67" s="1"/>
  <c r="BO1089" i="4"/>
  <c r="BO1082" i="4"/>
  <c r="BO1093" i="4" s="1"/>
  <c r="BO1090" i="4" s="1"/>
  <c r="BO1083" i="4" s="1"/>
  <c r="BO1084" i="4" s="1"/>
  <c r="BO1091" i="4" l="1"/>
  <c r="BP1088" i="4" s="1"/>
  <c r="BO64" i="11"/>
  <c r="BO1472" i="4"/>
  <c r="BO62" i="62"/>
  <c r="BO1299" i="4"/>
  <c r="BO1300" i="4" s="1"/>
  <c r="BO61" i="64"/>
  <c r="BO56" i="11"/>
  <c r="BO57" i="11" s="1"/>
  <c r="BO1323" i="4"/>
  <c r="BO1123" i="4"/>
  <c r="BO1130" i="4" s="1"/>
  <c r="BO1132" i="4" s="1"/>
  <c r="BO1135" i="4" s="1"/>
  <c r="BO75" i="11"/>
  <c r="Y56" i="67"/>
  <c r="Y57" i="67" s="1"/>
  <c r="Y41" i="13"/>
  <c r="Y43" i="13" s="1"/>
  <c r="Y75" i="67"/>
  <c r="BO63" i="11"/>
  <c r="Y1526" i="4"/>
  <c r="BO1471" i="4" l="1"/>
  <c r="BO1283" i="4"/>
  <c r="BO77" i="64"/>
  <c r="BO82" i="64" s="1"/>
  <c r="BO69" i="64"/>
  <c r="BO74" i="64" s="1"/>
  <c r="BO66" i="64"/>
  <c r="BO40" i="64" s="1"/>
  <c r="BO42" i="64" s="1"/>
  <c r="BO1313" i="4"/>
  <c r="BO63" i="62"/>
  <c r="BO67" i="62" s="1"/>
  <c r="BO68" i="62" l="1"/>
  <c r="BO1193" i="4"/>
  <c r="BO1194" i="4" s="1"/>
  <c r="BO1196" i="4" s="1"/>
  <c r="BO1198" i="4" s="1"/>
  <c r="BO1164" i="4" s="1"/>
  <c r="BO52" i="64"/>
  <c r="BO49" i="64"/>
  <c r="BO1214" i="4" l="1"/>
  <c r="BO1165" i="4"/>
  <c r="BP1162" i="4" l="1"/>
  <c r="BP1207" i="4"/>
  <c r="BP1225" i="4" s="1"/>
  <c r="BO38" i="66"/>
  <c r="BO1324" i="4"/>
  <c r="BO1481" i="4"/>
  <c r="BO1483" i="4" s="1"/>
  <c r="BO88" i="11"/>
  <c r="BO1302" i="4"/>
  <c r="BO1303" i="4" s="1"/>
  <c r="BO1424" i="4"/>
  <c r="Y24" i="13"/>
  <c r="Y88" i="67"/>
  <c r="BO1215" i="4"/>
  <c r="BO1271" i="4" l="1"/>
  <c r="BO1281" i="4"/>
  <c r="Y1525" i="4"/>
  <c r="Y1529" i="4" s="1"/>
  <c r="Y31" i="67"/>
  <c r="Y30" i="67" s="1"/>
  <c r="BO31" i="11"/>
  <c r="BO1505" i="4"/>
  <c r="BO1489" i="4"/>
  <c r="BO1490" i="4" s="1"/>
  <c r="BP1212" i="4"/>
  <c r="BO1515" i="4"/>
  <c r="BP1163" i="4"/>
  <c r="BO45" i="62" l="1"/>
  <c r="BO30" i="11"/>
  <c r="BP1492" i="4"/>
  <c r="BP1213" i="4"/>
  <c r="BP1206" i="4"/>
  <c r="BP1224" i="4" s="1"/>
  <c r="BP1226" i="4" s="1"/>
  <c r="BP1202" i="4"/>
  <c r="BP1178" i="4"/>
  <c r="BO1495" i="4"/>
  <c r="BO1493" i="4"/>
  <c r="BO1274" i="4"/>
  <c r="BO1275" i="4" s="1"/>
  <c r="BO1265" i="4" s="1"/>
  <c r="BO1252" i="4"/>
  <c r="BO1496" i="4" l="1"/>
  <c r="BO1264" i="4"/>
  <c r="BO1253" i="4" s="1"/>
  <c r="BO1266" i="4"/>
  <c r="BP1179" i="4"/>
  <c r="BP1189" i="4"/>
  <c r="BP1218" i="4" s="1"/>
  <c r="BP1180" i="4"/>
  <c r="BP1169" i="4" s="1"/>
  <c r="BP1170" i="4" s="1"/>
  <c r="BP1188" i="4" s="1"/>
  <c r="BP37" i="66"/>
  <c r="BP50" i="11"/>
  <c r="BP49" i="11" s="1"/>
  <c r="BP297" i="4"/>
  <c r="BP305" i="4" s="1"/>
  <c r="BP330" i="4" s="1"/>
  <c r="BP1122" i="4"/>
  <c r="BP1326" i="4"/>
  <c r="BP1295" i="4"/>
  <c r="BP72" i="11"/>
  <c r="BP1076" i="4"/>
  <c r="BP1336" i="4"/>
  <c r="BP1310" i="4"/>
  <c r="BP18" i="66"/>
  <c r="BP87" i="11"/>
  <c r="BP1423" i="4"/>
  <c r="BO1257" i="4"/>
  <c r="BO1261" i="4"/>
  <c r="BO1268" i="4" s="1"/>
  <c r="BP1181" i="4" l="1"/>
  <c r="BP1197" i="4" s="1"/>
  <c r="BO1327" i="4"/>
  <c r="BO1304" i="4"/>
  <c r="BO1272" i="4"/>
  <c r="BO1276" i="4" s="1"/>
  <c r="BO1254" i="4" s="1"/>
  <c r="BO74" i="11"/>
  <c r="BO78" i="11" s="1"/>
  <c r="Y74" i="67"/>
  <c r="BO1386" i="4"/>
  <c r="BO36" i="66"/>
  <c r="BQ468" i="4"/>
  <c r="BQ479" i="4"/>
  <c r="BP456" i="4"/>
  <c r="BP458" i="4" s="1"/>
  <c r="BP459" i="4" s="1"/>
  <c r="BQ457" i="4"/>
  <c r="BP467" i="4"/>
  <c r="BP469" i="4" s="1"/>
  <c r="BP470" i="4" s="1"/>
  <c r="BP471" i="4" s="1"/>
  <c r="BP472" i="4" s="1"/>
  <c r="BQ466" i="4" s="1"/>
  <c r="BP478" i="4"/>
  <c r="BP480" i="4" s="1"/>
  <c r="BP481" i="4" s="1"/>
  <c r="BP482" i="4" s="1"/>
  <c r="BP483" i="4" s="1"/>
  <c r="BQ477" i="4" s="1"/>
  <c r="BO1338" i="4"/>
  <c r="BO19" i="66"/>
  <c r="BO17" i="66" s="1"/>
  <c r="BO1309" i="4"/>
  <c r="BO86" i="11"/>
  <c r="Y86" i="67"/>
  <c r="BO1480" i="4"/>
  <c r="BP1220" i="4"/>
  <c r="BP53" i="11" s="1"/>
  <c r="BP52" i="11" s="1"/>
  <c r="BP1219" i="4"/>
  <c r="BP294" i="4" s="1"/>
  <c r="BP1074" i="4"/>
  <c r="BQ495" i="4" l="1"/>
  <c r="BQ1072" i="4" s="1"/>
  <c r="BP1190" i="4"/>
  <c r="BP1221" i="4" s="1"/>
  <c r="BP1325" i="4" s="1"/>
  <c r="BO1421" i="4"/>
  <c r="BO1385" i="4"/>
  <c r="BO1388" i="4" s="1"/>
  <c r="BO1328" i="4"/>
  <c r="BO1305" i="4"/>
  <c r="BO1282" i="4" s="1"/>
  <c r="BO39" i="66"/>
  <c r="BO35" i="66" s="1"/>
  <c r="BO89" i="11"/>
  <c r="Y89" i="67"/>
  <c r="BP460" i="4"/>
  <c r="BP461" i="4" s="1"/>
  <c r="BQ455" i="4" s="1"/>
  <c r="BP494" i="4"/>
  <c r="BP1071" i="4" s="1"/>
  <c r="BP299" i="4"/>
  <c r="BP302" i="4"/>
  <c r="Y78" i="67"/>
  <c r="BO1255" i="4"/>
  <c r="BP73" i="11" l="1"/>
  <c r="BP1301" i="4"/>
  <c r="BP1121" i="4"/>
  <c r="BP1144" i="4" s="1"/>
  <c r="BP1235" i="4" s="1"/>
  <c r="BP1251" i="4" s="1"/>
  <c r="BO27" i="11"/>
  <c r="BP1250" i="4"/>
  <c r="Y27" i="67"/>
  <c r="BO1506" i="4"/>
  <c r="BO1284" i="4"/>
  <c r="BO1286" i="4" s="1"/>
  <c r="BP307" i="4"/>
  <c r="BP331" i="4"/>
  <c r="BO1390" i="4"/>
  <c r="BO1402" i="4"/>
  <c r="BO1425" i="4"/>
  <c r="Y13" i="13"/>
  <c r="BP332" i="4" l="1"/>
  <c r="BP14" i="11" s="1"/>
  <c r="BP1234" i="4"/>
  <c r="BP1236" i="4" s="1"/>
  <c r="BP1145" i="4"/>
  <c r="BO1285" i="4"/>
  <c r="BO1329" i="4"/>
  <c r="BO58" i="11"/>
  <c r="BO59" i="11" s="1"/>
  <c r="BO28" i="11" s="1"/>
  <c r="BO25" i="11" s="1"/>
  <c r="BO48" i="62"/>
  <c r="BO24" i="62" s="1"/>
  <c r="BO26" i="62" s="1"/>
  <c r="BO1306" i="4"/>
  <c r="BO1307" i="4" s="1"/>
  <c r="BO1311" i="4" s="1"/>
  <c r="BP1290" i="4" s="1"/>
  <c r="BO90" i="11"/>
  <c r="BO91" i="11" s="1"/>
  <c r="BO93" i="11" s="1"/>
  <c r="BO96" i="11" s="1"/>
  <c r="BO97" i="11" s="1"/>
  <c r="Y58" i="67"/>
  <c r="Y90" i="67"/>
  <c r="BO22" i="66"/>
  <c r="BO1509" i="4"/>
  <c r="BO1507" i="4"/>
  <c r="BO1508" i="4" s="1"/>
  <c r="BO1440" i="4"/>
  <c r="BO1403" i="4"/>
  <c r="BO1404" i="4" s="1"/>
  <c r="BP385" i="4"/>
  <c r="BP405" i="4"/>
  <c r="BP406" i="4" s="1"/>
  <c r="BP407" i="4" s="1"/>
  <c r="BP408" i="4" s="1"/>
  <c r="BP409" i="4" s="1"/>
  <c r="BQ404" i="4" s="1"/>
  <c r="BP395" i="4"/>
  <c r="BP396" i="4" s="1"/>
  <c r="BP397" i="4" s="1"/>
  <c r="BP398" i="4" s="1"/>
  <c r="BP399" i="4" s="1"/>
  <c r="BQ394" i="4" s="1"/>
  <c r="BP1241" i="4" l="1"/>
  <c r="BP1337" i="4" s="1"/>
  <c r="Y91" i="67"/>
  <c r="Y59" i="67"/>
  <c r="BO1441" i="4"/>
  <c r="BO1442" i="4" s="1"/>
  <c r="BO1462" i="4"/>
  <c r="BO1461" i="4" s="1"/>
  <c r="BO24" i="66"/>
  <c r="BO20" i="66" s="1"/>
  <c r="BO26" i="66" s="1"/>
  <c r="BO1330" i="4"/>
  <c r="BO1331" i="4" s="1"/>
  <c r="BO1340" i="4"/>
  <c r="BO1341" i="4" s="1"/>
  <c r="BO101" i="11"/>
  <c r="Y21" i="67"/>
  <c r="Y17" i="67" s="1"/>
  <c r="Y23" i="67" s="1"/>
  <c r="BP95" i="11"/>
  <c r="Y1527" i="4"/>
  <c r="Y1534" i="4" s="1"/>
  <c r="BO46" i="62"/>
  <c r="BO21" i="11"/>
  <c r="BO17" i="11" s="1"/>
  <c r="BO100" i="67"/>
  <c r="BO101" i="67"/>
  <c r="BO100" i="11"/>
  <c r="BO44" i="66"/>
  <c r="BO40" i="66" s="1"/>
  <c r="BO46" i="66" s="1"/>
  <c r="BP1128" i="4"/>
  <c r="BP500" i="4"/>
  <c r="BP386" i="4"/>
  <c r="BP387" i="4" s="1"/>
  <c r="BP489" i="4"/>
  <c r="Y28" i="67"/>
  <c r="Y25" i="67" s="1"/>
  <c r="Y37" i="67" s="1"/>
  <c r="BO37" i="11"/>
  <c r="BO1475" i="4"/>
  <c r="BO1470" i="4" s="1"/>
  <c r="BO1474" i="4"/>
  <c r="BO1469" i="4" s="1"/>
  <c r="BP1308" i="4" l="1"/>
  <c r="BP1244" i="4"/>
  <c r="BP1245" i="4" s="1"/>
  <c r="BP26" i="11" s="1"/>
  <c r="BP42" i="62"/>
  <c r="BP52" i="62" s="1"/>
  <c r="BP85" i="11"/>
  <c r="BO48" i="66"/>
  <c r="BO1463" i="4"/>
  <c r="BO1460" i="4" s="1"/>
  <c r="BO23" i="11"/>
  <c r="BP501" i="4"/>
  <c r="BP502" i="4" s="1"/>
  <c r="BP388" i="4"/>
  <c r="BP389" i="4" s="1"/>
  <c r="BQ384" i="4" s="1"/>
  <c r="BP490" i="4"/>
  <c r="BP491" i="4" s="1"/>
  <c r="Y39" i="67"/>
  <c r="BO99" i="11"/>
  <c r="BO1343" i="4"/>
  <c r="Y93" i="67"/>
  <c r="Y96" i="67" s="1"/>
  <c r="Y97" i="67" s="1"/>
  <c r="BP43" i="62" l="1"/>
  <c r="BP23" i="62" s="1"/>
  <c r="BP16" i="66" s="1"/>
  <c r="BP14" i="66" s="1"/>
  <c r="BP13" i="66" s="1"/>
  <c r="BQ1240" i="4"/>
  <c r="BP15" i="11"/>
  <c r="BP13" i="11" s="1"/>
  <c r="BQ488" i="4"/>
  <c r="BP1101" i="4"/>
  <c r="BP1103" i="4" s="1"/>
  <c r="BP1104" i="4" s="1"/>
  <c r="BP1105" i="4" s="1"/>
  <c r="BQ499" i="4"/>
  <c r="BO1516" i="4"/>
  <c r="BO1517" i="4" s="1"/>
  <c r="BO1473" i="4"/>
  <c r="BO1468" i="4" s="1"/>
  <c r="Z95" i="67"/>
  <c r="Y99" i="67"/>
  <c r="Y40" i="67"/>
  <c r="BP51" i="11"/>
  <c r="BP64" i="62"/>
  <c r="BO39" i="11"/>
  <c r="BO40" i="11" s="1"/>
  <c r="BQ1100" i="4" l="1"/>
  <c r="BP62" i="64"/>
  <c r="BP984" i="4"/>
  <c r="BP988" i="4" s="1"/>
  <c r="BP71" i="11" l="1"/>
  <c r="BP1320" i="4"/>
  <c r="BP1294" i="4"/>
  <c r="BP1298" i="4" s="1"/>
  <c r="BP992" i="4"/>
  <c r="BP1120" i="4"/>
  <c r="BP78" i="64"/>
  <c r="BP70" i="64"/>
  <c r="BP1073" i="4" l="1"/>
  <c r="BP1077" i="4" s="1"/>
  <c r="BP1081" i="4" s="1"/>
  <c r="BP47" i="11"/>
  <c r="BP1082" i="4" l="1"/>
  <c r="BP1093" i="4" s="1"/>
  <c r="BP1090" i="4" s="1"/>
  <c r="BP1083" i="4" s="1"/>
  <c r="BP1084" i="4" s="1"/>
  <c r="BP1089" i="4"/>
  <c r="BP61" i="11"/>
  <c r="BP62" i="11"/>
  <c r="BP48" i="11"/>
  <c r="BP55" i="11" s="1"/>
  <c r="BP1091" i="4" l="1"/>
  <c r="BQ1088" i="4" s="1"/>
  <c r="BP62" i="62"/>
  <c r="BP64" i="11"/>
  <c r="BP1472" i="4"/>
  <c r="BP63" i="11"/>
  <c r="BP1123" i="4"/>
  <c r="BP1130" i="4" s="1"/>
  <c r="BP1132" i="4" s="1"/>
  <c r="BP1135" i="4" s="1"/>
  <c r="BP61" i="64"/>
  <c r="BP56" i="11"/>
  <c r="BP57" i="11" s="1"/>
  <c r="BP1323" i="4"/>
  <c r="BP75" i="11"/>
  <c r="BP1299" i="4"/>
  <c r="BP1300" i="4" s="1"/>
  <c r="BP1313" i="4" l="1"/>
  <c r="BP1471" i="4"/>
  <c r="BP1283" i="4"/>
  <c r="BP69" i="64"/>
  <c r="BP74" i="64" s="1"/>
  <c r="BP77" i="64"/>
  <c r="BP82" i="64" s="1"/>
  <c r="BP66" i="64"/>
  <c r="BP40" i="64" s="1"/>
  <c r="BP42" i="64" s="1"/>
  <c r="BP63" i="62"/>
  <c r="BP67" i="62" s="1"/>
  <c r="BP68" i="62" s="1"/>
  <c r="BP52" i="64" l="1"/>
  <c r="BP49" i="64"/>
  <c r="BP1193" i="4"/>
  <c r="BP1194" i="4" s="1"/>
  <c r="BP1196" i="4" s="1"/>
  <c r="BP1198" i="4" s="1"/>
  <c r="BP1164" i="4" s="1"/>
  <c r="BP1214" i="4" l="1"/>
  <c r="BP1165" i="4"/>
  <c r="BQ1162" i="4" l="1"/>
  <c r="BQ1207" i="4"/>
  <c r="BQ1225" i="4" s="1"/>
  <c r="BP1481" i="4"/>
  <c r="BP1483" i="4" s="1"/>
  <c r="BP1324" i="4"/>
  <c r="BP1302" i="4"/>
  <c r="BP1303" i="4" s="1"/>
  <c r="BP38" i="66"/>
  <c r="BP88" i="11"/>
  <c r="BP1424" i="4"/>
  <c r="BP1215" i="4"/>
  <c r="BP1271" i="4" l="1"/>
  <c r="BP1281" i="4"/>
  <c r="BP31" i="11"/>
  <c r="BP1489" i="4"/>
  <c r="BP1490" i="4" s="1"/>
  <c r="BP1505" i="4"/>
  <c r="BP1515" i="4"/>
  <c r="BQ1212" i="4"/>
  <c r="BQ1163" i="4"/>
  <c r="BQ1492" i="4" l="1"/>
  <c r="BQ1206" i="4"/>
  <c r="BQ1224" i="4" s="1"/>
  <c r="BQ1226" i="4" s="1"/>
  <c r="BQ1213" i="4"/>
  <c r="BQ1202" i="4"/>
  <c r="BQ1178" i="4"/>
  <c r="BP1495" i="4"/>
  <c r="BP1493" i="4"/>
  <c r="BP45" i="62"/>
  <c r="BP30" i="11"/>
  <c r="BP1252" i="4"/>
  <c r="BP1274" i="4"/>
  <c r="BP1275" i="4" s="1"/>
  <c r="BP1265" i="4" s="1"/>
  <c r="BP1496" i="4" l="1"/>
  <c r="BP1261" i="4"/>
  <c r="BP1268" i="4" s="1"/>
  <c r="BP1257" i="4"/>
  <c r="BP1264" i="4"/>
  <c r="BP1253" i="4" s="1"/>
  <c r="BP1266" i="4"/>
  <c r="BQ1179" i="4"/>
  <c r="BQ1180" i="4"/>
  <c r="BQ1169" i="4" s="1"/>
  <c r="BQ1170" i="4" s="1"/>
  <c r="BQ1188" i="4" s="1"/>
  <c r="BQ1189" i="4"/>
  <c r="BQ1218" i="4" s="1"/>
  <c r="BQ18" i="66"/>
  <c r="BQ87" i="11"/>
  <c r="BQ1310" i="4"/>
  <c r="BQ1336" i="4"/>
  <c r="BQ1423" i="4"/>
  <c r="BQ1295" i="4"/>
  <c r="BQ1122" i="4"/>
  <c r="BQ297" i="4"/>
  <c r="BQ305" i="4" s="1"/>
  <c r="BQ330" i="4" s="1"/>
  <c r="BQ1326" i="4"/>
  <c r="BQ37" i="66"/>
  <c r="BQ72" i="11"/>
  <c r="BQ1076" i="4"/>
  <c r="BQ50" i="11"/>
  <c r="BQ49" i="11" s="1"/>
  <c r="BQ1181" i="4" l="1"/>
  <c r="BQ1197" i="4" s="1"/>
  <c r="BQ478" i="4"/>
  <c r="BQ480" i="4" s="1"/>
  <c r="BQ481" i="4" s="1"/>
  <c r="BQ482" i="4" s="1"/>
  <c r="BQ483" i="4" s="1"/>
  <c r="BR477" i="4" s="1"/>
  <c r="BR457" i="4"/>
  <c r="BR479" i="4"/>
  <c r="BQ467" i="4"/>
  <c r="BQ469" i="4" s="1"/>
  <c r="BQ470" i="4" s="1"/>
  <c r="BQ471" i="4" s="1"/>
  <c r="BQ472" i="4" s="1"/>
  <c r="BR466" i="4" s="1"/>
  <c r="BR468" i="4"/>
  <c r="BQ456" i="4"/>
  <c r="BQ458" i="4" s="1"/>
  <c r="BQ459" i="4" s="1"/>
  <c r="BQ1219" i="4"/>
  <c r="BQ294" i="4" s="1"/>
  <c r="BQ1074" i="4"/>
  <c r="BQ1220" i="4"/>
  <c r="BQ53" i="11" s="1"/>
  <c r="BQ52" i="11" s="1"/>
  <c r="BP1304" i="4"/>
  <c r="BP1327" i="4"/>
  <c r="BP1272" i="4"/>
  <c r="BP1276" i="4" s="1"/>
  <c r="BP1254" i="4" s="1"/>
  <c r="BP74" i="11"/>
  <c r="BP78" i="11" s="1"/>
  <c r="BP1386" i="4"/>
  <c r="BP36" i="66"/>
  <c r="BP86" i="11"/>
  <c r="BP1309" i="4"/>
  <c r="BP1338" i="4"/>
  <c r="BP19" i="66"/>
  <c r="BP17" i="66" s="1"/>
  <c r="BP1480" i="4"/>
  <c r="BQ1190" i="4" l="1"/>
  <c r="BQ1221" i="4" s="1"/>
  <c r="BQ1325" i="4" s="1"/>
  <c r="BQ494" i="4"/>
  <c r="BQ1071" i="4" s="1"/>
  <c r="BQ460" i="4"/>
  <c r="BQ461" i="4" s="1"/>
  <c r="BR455" i="4" s="1"/>
  <c r="BP1385" i="4"/>
  <c r="BP1388" i="4" s="1"/>
  <c r="BP1421" i="4"/>
  <c r="BQ299" i="4"/>
  <c r="BQ302" i="4"/>
  <c r="BR495" i="4"/>
  <c r="BR1072" i="4" s="1"/>
  <c r="BP1328" i="4"/>
  <c r="BP89" i="11"/>
  <c r="BP39" i="66"/>
  <c r="BP35" i="66" s="1"/>
  <c r="BP1305" i="4"/>
  <c r="BP1282" i="4" s="1"/>
  <c r="BP1255" i="4"/>
  <c r="BQ73" i="11" l="1"/>
  <c r="BQ1301" i="4"/>
  <c r="BQ1121" i="4"/>
  <c r="BQ1144" i="4" s="1"/>
  <c r="BQ1145" i="4" s="1"/>
  <c r="BQ331" i="4"/>
  <c r="BQ307" i="4"/>
  <c r="BP1284" i="4"/>
  <c r="BP1286" i="4" s="1"/>
  <c r="BP1425" i="4"/>
  <c r="BP1390" i="4"/>
  <c r="BP1402" i="4"/>
  <c r="BP27" i="11"/>
  <c r="BQ1250" i="4"/>
  <c r="BP1506" i="4"/>
  <c r="BQ1234" i="4" l="1"/>
  <c r="BQ1241" i="4" s="1"/>
  <c r="BQ1235" i="4"/>
  <c r="BQ1251" i="4" s="1"/>
  <c r="BQ332" i="4"/>
  <c r="BQ14" i="11" s="1"/>
  <c r="BP1285" i="4"/>
  <c r="BP1403" i="4"/>
  <c r="BP1404" i="4" s="1"/>
  <c r="BP1507" i="4"/>
  <c r="BP1508" i="4" s="1"/>
  <c r="BP1509" i="4"/>
  <c r="BP1440" i="4"/>
  <c r="BP1329" i="4"/>
  <c r="BP1306" i="4"/>
  <c r="BP1307" i="4" s="1"/>
  <c r="BP1311" i="4" s="1"/>
  <c r="BQ1290" i="4" s="1"/>
  <c r="BP58" i="11"/>
  <c r="BP59" i="11" s="1"/>
  <c r="BP28" i="11" s="1"/>
  <c r="BP90" i="11"/>
  <c r="BP91" i="11" s="1"/>
  <c r="BP93" i="11" s="1"/>
  <c r="BP96" i="11" s="1"/>
  <c r="BP97" i="11" s="1"/>
  <c r="BP48" i="62"/>
  <c r="BP24" i="62" s="1"/>
  <c r="BP26" i="62" s="1"/>
  <c r="BP22" i="66"/>
  <c r="BQ395" i="4"/>
  <c r="BQ396" i="4" s="1"/>
  <c r="BQ397" i="4" s="1"/>
  <c r="BQ398" i="4" s="1"/>
  <c r="BQ399" i="4" s="1"/>
  <c r="BR394" i="4" s="1"/>
  <c r="BQ405" i="4"/>
  <c r="BQ406" i="4" s="1"/>
  <c r="BQ407" i="4" s="1"/>
  <c r="BQ408" i="4" s="1"/>
  <c r="BQ409" i="4" s="1"/>
  <c r="BR404" i="4" s="1"/>
  <c r="BQ385" i="4"/>
  <c r="BQ1236" i="4" l="1"/>
  <c r="BP1340" i="4"/>
  <c r="BP1341" i="4" s="1"/>
  <c r="BQ95" i="11"/>
  <c r="BP101" i="11"/>
  <c r="BP1462" i="4"/>
  <c r="BP1461" i="4" s="1"/>
  <c r="BP100" i="67"/>
  <c r="BP24" i="66"/>
  <c r="BP20" i="66" s="1"/>
  <c r="BP26" i="66" s="1"/>
  <c r="BP46" i="62"/>
  <c r="BP101" i="67"/>
  <c r="BP44" i="66"/>
  <c r="BP40" i="66" s="1"/>
  <c r="BP46" i="66" s="1"/>
  <c r="BP21" i="11"/>
  <c r="BP17" i="11" s="1"/>
  <c r="BP100" i="11"/>
  <c r="BP1330" i="4"/>
  <c r="BP1331" i="4" s="1"/>
  <c r="BQ42" i="62"/>
  <c r="BQ1244" i="4"/>
  <c r="BQ1245" i="4" s="1"/>
  <c r="BQ1337" i="4"/>
  <c r="BQ85" i="11"/>
  <c r="BQ1308" i="4"/>
  <c r="BQ1128" i="4"/>
  <c r="BP25" i="11"/>
  <c r="BQ500" i="4"/>
  <c r="BQ489" i="4"/>
  <c r="BQ386" i="4"/>
  <c r="BQ387" i="4" s="1"/>
  <c r="BP1441" i="4"/>
  <c r="BP1442" i="4" s="1"/>
  <c r="BP1343" i="4" l="1"/>
  <c r="BQ26" i="11"/>
  <c r="BR1240" i="4"/>
  <c r="BQ52" i="62"/>
  <c r="BQ43" i="62"/>
  <c r="BQ23" i="62" s="1"/>
  <c r="BP1463" i="4"/>
  <c r="BP1460" i="4" s="1"/>
  <c r="BP23" i="11"/>
  <c r="BQ501" i="4"/>
  <c r="BQ502" i="4" s="1"/>
  <c r="BQ490" i="4"/>
  <c r="BQ491" i="4" s="1"/>
  <c r="BQ388" i="4"/>
  <c r="BQ389" i="4" s="1"/>
  <c r="BR384" i="4" s="1"/>
  <c r="BP99" i="11"/>
  <c r="BP37" i="11"/>
  <c r="BP1475" i="4"/>
  <c r="BP1470" i="4" s="1"/>
  <c r="BP1474" i="4"/>
  <c r="BP1469" i="4" s="1"/>
  <c r="BP48" i="66"/>
  <c r="BP39" i="11" l="1"/>
  <c r="BP40" i="11" s="1"/>
  <c r="BQ15" i="11"/>
  <c r="BQ13" i="11" s="1"/>
  <c r="BR488" i="4"/>
  <c r="BR499" i="4"/>
  <c r="BQ1101" i="4"/>
  <c r="BQ1103" i="4" s="1"/>
  <c r="BQ1104" i="4" s="1"/>
  <c r="BQ1105" i="4" s="1"/>
  <c r="BP1516" i="4"/>
  <c r="BP1517" i="4" s="1"/>
  <c r="BP1473" i="4"/>
  <c r="BP1468" i="4" s="1"/>
  <c r="BQ16" i="66"/>
  <c r="BQ14" i="66" s="1"/>
  <c r="BQ13" i="66" s="1"/>
  <c r="BQ51" i="11"/>
  <c r="BQ64" i="62"/>
  <c r="BQ984" i="4" l="1"/>
  <c r="BQ988" i="4" s="1"/>
  <c r="BQ62" i="64"/>
  <c r="BR1100" i="4"/>
  <c r="BQ78" i="64" l="1"/>
  <c r="BQ70" i="64"/>
  <c r="BQ992" i="4"/>
  <c r="BQ71" i="11"/>
  <c r="BQ1320" i="4"/>
  <c r="BQ1294" i="4"/>
  <c r="BQ1298" i="4" s="1"/>
  <c r="BQ1120" i="4"/>
  <c r="BQ1073" i="4" l="1"/>
  <c r="BQ1077" i="4" s="1"/>
  <c r="BQ1081" i="4" s="1"/>
  <c r="BQ47" i="11"/>
  <c r="BQ62" i="11" l="1"/>
  <c r="BQ61" i="11"/>
  <c r="BQ48" i="11"/>
  <c r="BQ55" i="11" s="1"/>
  <c r="BQ1089" i="4"/>
  <c r="BQ1082" i="4"/>
  <c r="BQ1093" i="4" s="1"/>
  <c r="BQ1090" i="4" s="1"/>
  <c r="BQ1083" i="4" s="1"/>
  <c r="BQ1084" i="4" s="1"/>
  <c r="BQ1323" i="4" l="1"/>
  <c r="BQ1299" i="4"/>
  <c r="BQ1300" i="4" s="1"/>
  <c r="BQ56" i="11"/>
  <c r="BQ57" i="11" s="1"/>
  <c r="BQ61" i="64"/>
  <c r="BQ75" i="11"/>
  <c r="BQ1123" i="4"/>
  <c r="BQ1130" i="4" s="1"/>
  <c r="BQ1132" i="4" s="1"/>
  <c r="BQ1135" i="4" s="1"/>
  <c r="BQ63" i="11"/>
  <c r="BQ1091" i="4"/>
  <c r="BR1088" i="4" s="1"/>
  <c r="BQ64" i="11"/>
  <c r="BQ62" i="62"/>
  <c r="BQ1472" i="4"/>
  <c r="BQ77" i="64" l="1"/>
  <c r="BQ82" i="64" s="1"/>
  <c r="BQ69" i="64"/>
  <c r="BQ74" i="64" s="1"/>
  <c r="BQ66" i="64"/>
  <c r="BQ40" i="64" s="1"/>
  <c r="BQ42" i="64" s="1"/>
  <c r="BQ1471" i="4"/>
  <c r="BQ1283" i="4"/>
  <c r="BQ1313" i="4"/>
  <c r="BQ63" i="62"/>
  <c r="BQ67" i="62" s="1"/>
  <c r="BQ68" i="62" l="1"/>
  <c r="BQ1193" i="4"/>
  <c r="BQ1194" i="4" s="1"/>
  <c r="BQ1196" i="4" s="1"/>
  <c r="BQ1198" i="4" s="1"/>
  <c r="BQ1164" i="4" s="1"/>
  <c r="BQ49" i="64"/>
  <c r="BQ52" i="64"/>
  <c r="BQ1214" i="4" l="1"/>
  <c r="BQ1165" i="4"/>
  <c r="BR1162" i="4" l="1"/>
  <c r="BR1207" i="4"/>
  <c r="BR1225" i="4" s="1"/>
  <c r="BQ88" i="11"/>
  <c r="BQ1481" i="4"/>
  <c r="BQ1483" i="4" s="1"/>
  <c r="BQ1324" i="4"/>
  <c r="BQ1302" i="4"/>
  <c r="BQ1303" i="4" s="1"/>
  <c r="BQ38" i="66"/>
  <c r="BQ1424" i="4"/>
  <c r="BQ1215" i="4"/>
  <c r="BQ1281" i="4" l="1"/>
  <c r="BQ1271" i="4"/>
  <c r="BQ1489" i="4"/>
  <c r="BQ1490" i="4" s="1"/>
  <c r="BQ1515" i="4"/>
  <c r="BR1212" i="4"/>
  <c r="BQ1505" i="4"/>
  <c r="BQ31" i="11"/>
  <c r="BR1163" i="4"/>
  <c r="BR1213" i="4" l="1"/>
  <c r="BR1206" i="4"/>
  <c r="BR1224" i="4" s="1"/>
  <c r="BR1226" i="4" s="1"/>
  <c r="BR1202" i="4"/>
  <c r="BR1178" i="4"/>
  <c r="BR1492" i="4"/>
  <c r="BQ1495" i="4"/>
  <c r="BQ1493" i="4"/>
  <c r="BQ1252" i="4"/>
  <c r="BQ1274" i="4"/>
  <c r="BQ1275" i="4" s="1"/>
  <c r="BQ1265" i="4" s="1"/>
  <c r="BQ30" i="11"/>
  <c r="BQ45" i="62"/>
  <c r="BQ1496" i="4" l="1"/>
  <c r="BR1180" i="4"/>
  <c r="BR1169" i="4" s="1"/>
  <c r="BR1170" i="4" s="1"/>
  <c r="BR1188" i="4" s="1"/>
  <c r="BR1179" i="4"/>
  <c r="BR1189" i="4"/>
  <c r="BR1218" i="4" s="1"/>
  <c r="BQ1264" i="4"/>
  <c r="BQ1253" i="4" s="1"/>
  <c r="BQ1266" i="4"/>
  <c r="BQ1261" i="4"/>
  <c r="BQ1268" i="4" s="1"/>
  <c r="BQ1257" i="4"/>
  <c r="BR1310" i="4"/>
  <c r="BR87" i="11"/>
  <c r="BR18" i="66"/>
  <c r="BR1336" i="4"/>
  <c r="BR1423" i="4"/>
  <c r="BR1076" i="4"/>
  <c r="BR1295" i="4"/>
  <c r="BR1326" i="4"/>
  <c r="BR297" i="4"/>
  <c r="BR305" i="4" s="1"/>
  <c r="BR330" i="4" s="1"/>
  <c r="BR1122" i="4"/>
  <c r="BR50" i="11"/>
  <c r="BR49" i="11" s="1"/>
  <c r="BR72" i="11"/>
  <c r="BR37" i="66"/>
  <c r="BR1181" i="4" l="1"/>
  <c r="BR1197" i="4" s="1"/>
  <c r="BQ1338" i="4"/>
  <c r="BQ1309" i="4"/>
  <c r="BQ86" i="11"/>
  <c r="BQ19" i="66"/>
  <c r="BQ17" i="66" s="1"/>
  <c r="BQ1480" i="4"/>
  <c r="BR478" i="4"/>
  <c r="BR480" i="4" s="1"/>
  <c r="BR481" i="4" s="1"/>
  <c r="BR482" i="4" s="1"/>
  <c r="BR483" i="4" s="1"/>
  <c r="BS477" i="4" s="1"/>
  <c r="BS479" i="4"/>
  <c r="BR467" i="4"/>
  <c r="BR469" i="4" s="1"/>
  <c r="BR470" i="4" s="1"/>
  <c r="BR471" i="4" s="1"/>
  <c r="BR472" i="4" s="1"/>
  <c r="BS466" i="4" s="1"/>
  <c r="BS468" i="4"/>
  <c r="BS457" i="4"/>
  <c r="BR456" i="4"/>
  <c r="BR458" i="4" s="1"/>
  <c r="BR459" i="4" s="1"/>
  <c r="BQ74" i="11"/>
  <c r="BQ78" i="11" s="1"/>
  <c r="BQ1304" i="4"/>
  <c r="BQ1327" i="4"/>
  <c r="BQ1272" i="4"/>
  <c r="BQ1276" i="4" s="1"/>
  <c r="BQ1254" i="4" s="1"/>
  <c r="BQ1386" i="4"/>
  <c r="BQ36" i="66"/>
  <c r="BR1220" i="4"/>
  <c r="BR53" i="11" s="1"/>
  <c r="BR52" i="11" s="1"/>
  <c r="BR1219" i="4"/>
  <c r="BR294" i="4" s="1"/>
  <c r="BR1074" i="4"/>
  <c r="BR1190" i="4" l="1"/>
  <c r="BR1221" i="4" s="1"/>
  <c r="BR73" i="11" s="1"/>
  <c r="BQ1421" i="4"/>
  <c r="BQ1385" i="4"/>
  <c r="BQ1388" i="4" s="1"/>
  <c r="BR299" i="4"/>
  <c r="BR302" i="4"/>
  <c r="BR494" i="4"/>
  <c r="BR1071" i="4" s="1"/>
  <c r="BR460" i="4"/>
  <c r="BR461" i="4" s="1"/>
  <c r="BS455" i="4" s="1"/>
  <c r="BS495" i="4"/>
  <c r="BS1072" i="4" s="1"/>
  <c r="BQ89" i="11"/>
  <c r="BQ1305" i="4"/>
  <c r="BQ1282" i="4" s="1"/>
  <c r="BQ1328" i="4"/>
  <c r="BQ39" i="66"/>
  <c r="BQ35" i="66" s="1"/>
  <c r="BQ1255" i="4"/>
  <c r="BR1121" i="4" l="1"/>
  <c r="BR1144" i="4" s="1"/>
  <c r="BR1145" i="4" s="1"/>
  <c r="BR1325" i="4"/>
  <c r="BR1301" i="4"/>
  <c r="BR1250" i="4"/>
  <c r="BQ27" i="11"/>
  <c r="BQ1506" i="4"/>
  <c r="BR331" i="4"/>
  <c r="BR307" i="4"/>
  <c r="BQ1390" i="4"/>
  <c r="BQ1402" i="4"/>
  <c r="BQ1284" i="4"/>
  <c r="BQ1286" i="4" s="1"/>
  <c r="BQ1425" i="4"/>
  <c r="BR332" i="4" l="1"/>
  <c r="BR14" i="11" s="1"/>
  <c r="BR1235" i="4"/>
  <c r="BR1251" i="4" s="1"/>
  <c r="BR1234" i="4"/>
  <c r="BR1241" i="4" s="1"/>
  <c r="BQ1285" i="4"/>
  <c r="BQ1440" i="4"/>
  <c r="BQ1509" i="4"/>
  <c r="BQ1507" i="4"/>
  <c r="BQ1508" i="4" s="1"/>
  <c r="BR385" i="4"/>
  <c r="BR395" i="4"/>
  <c r="BR396" i="4" s="1"/>
  <c r="BR397" i="4" s="1"/>
  <c r="BR398" i="4" s="1"/>
  <c r="BR399" i="4" s="1"/>
  <c r="BS394" i="4" s="1"/>
  <c r="BR405" i="4"/>
  <c r="BR406" i="4" s="1"/>
  <c r="BR407" i="4" s="1"/>
  <c r="BR408" i="4" s="1"/>
  <c r="BR409" i="4" s="1"/>
  <c r="BS404" i="4" s="1"/>
  <c r="BQ1306" i="4"/>
  <c r="BQ1307" i="4" s="1"/>
  <c r="BQ1311" i="4" s="1"/>
  <c r="BR1290" i="4" s="1"/>
  <c r="BQ48" i="62"/>
  <c r="BQ24" i="62" s="1"/>
  <c r="BQ26" i="62" s="1"/>
  <c r="BQ1329" i="4"/>
  <c r="BQ58" i="11"/>
  <c r="BQ59" i="11" s="1"/>
  <c r="BQ28" i="11" s="1"/>
  <c r="BQ25" i="11" s="1"/>
  <c r="BQ90" i="11"/>
  <c r="BQ91" i="11" s="1"/>
  <c r="BQ93" i="11" s="1"/>
  <c r="BQ96" i="11" s="1"/>
  <c r="BQ97" i="11" s="1"/>
  <c r="BQ22" i="66"/>
  <c r="BQ1403" i="4"/>
  <c r="BQ1404" i="4" s="1"/>
  <c r="BR1236" i="4" l="1"/>
  <c r="BQ1474" i="4"/>
  <c r="BQ1469" i="4" s="1"/>
  <c r="BQ1475" i="4"/>
  <c r="BQ1470" i="4" s="1"/>
  <c r="BQ37" i="11"/>
  <c r="BR85" i="11"/>
  <c r="BR1244" i="4"/>
  <c r="BR1245" i="4" s="1"/>
  <c r="BR42" i="62"/>
  <c r="BR1337" i="4"/>
  <c r="BR1308" i="4"/>
  <c r="BQ1441" i="4"/>
  <c r="BQ1442" i="4" s="1"/>
  <c r="BQ21" i="11"/>
  <c r="BQ17" i="11" s="1"/>
  <c r="BQ101" i="67"/>
  <c r="BQ44" i="66"/>
  <c r="BQ40" i="66" s="1"/>
  <c r="BQ46" i="66" s="1"/>
  <c r="BR95" i="11"/>
  <c r="BQ24" i="66"/>
  <c r="BQ20" i="66" s="1"/>
  <c r="BQ26" i="66" s="1"/>
  <c r="BQ1340" i="4"/>
  <c r="BQ1341" i="4" s="1"/>
  <c r="BQ100" i="11"/>
  <c r="BQ101" i="11"/>
  <c r="BQ46" i="62"/>
  <c r="BQ1462" i="4"/>
  <c r="BQ1461" i="4" s="1"/>
  <c r="BQ100" i="67"/>
  <c r="BQ1330" i="4"/>
  <c r="BQ1331" i="4" s="1"/>
  <c r="BR500" i="4"/>
  <c r="BR489" i="4"/>
  <c r="BR386" i="4"/>
  <c r="BR387" i="4" s="1"/>
  <c r="BR1128" i="4"/>
  <c r="BQ1343" i="4" l="1"/>
  <c r="BQ99" i="11"/>
  <c r="BQ48" i="66"/>
  <c r="BQ1463" i="4"/>
  <c r="BQ1460" i="4" s="1"/>
  <c r="BQ23" i="11"/>
  <c r="BQ39" i="11" s="1"/>
  <c r="BQ40" i="11" s="1"/>
  <c r="BR43" i="62"/>
  <c r="BR23" i="62" s="1"/>
  <c r="BR52" i="62"/>
  <c r="BR501" i="4"/>
  <c r="BR502" i="4" s="1"/>
  <c r="BR388" i="4"/>
  <c r="BR389" i="4" s="1"/>
  <c r="BS384" i="4" s="1"/>
  <c r="BR490" i="4"/>
  <c r="BR491" i="4" s="1"/>
  <c r="BR26" i="11"/>
  <c r="BS1240" i="4"/>
  <c r="BS488" i="4" l="1"/>
  <c r="BR15" i="11"/>
  <c r="BR13" i="11" s="1"/>
  <c r="BS499" i="4"/>
  <c r="BR1101" i="4"/>
  <c r="BR1103" i="4" s="1"/>
  <c r="BR1104" i="4" s="1"/>
  <c r="BR1105" i="4" s="1"/>
  <c r="BR16" i="66"/>
  <c r="BR14" i="66" s="1"/>
  <c r="BR13" i="66" s="1"/>
  <c r="BQ1516" i="4"/>
  <c r="BQ1517" i="4" s="1"/>
  <c r="BQ1473" i="4"/>
  <c r="BQ1468" i="4" s="1"/>
  <c r="BR64" i="62"/>
  <c r="BR51" i="11"/>
  <c r="BR62" i="64" l="1"/>
  <c r="BR984" i="4"/>
  <c r="BR988" i="4" s="1"/>
  <c r="BS1100" i="4"/>
  <c r="BR1294" i="4" l="1"/>
  <c r="BR1298" i="4" s="1"/>
  <c r="BR71" i="11"/>
  <c r="BR1320" i="4"/>
  <c r="BR1120" i="4"/>
  <c r="BR992" i="4"/>
  <c r="BR78" i="64"/>
  <c r="BR70" i="64"/>
  <c r="BR1073" i="4" l="1"/>
  <c r="BR1077" i="4" s="1"/>
  <c r="BR1081" i="4" s="1"/>
  <c r="BR47" i="11"/>
  <c r="BR61" i="11" l="1"/>
  <c r="BR62" i="11"/>
  <c r="BR48" i="11"/>
  <c r="BR55" i="11" s="1"/>
  <c r="BR1089" i="4"/>
  <c r="BR1082" i="4"/>
  <c r="BR1093" i="4" s="1"/>
  <c r="BR1090" i="4" s="1"/>
  <c r="BR1083" i="4" s="1"/>
  <c r="BR1084" i="4" s="1"/>
  <c r="BR56" i="11" l="1"/>
  <c r="BR57" i="11" s="1"/>
  <c r="BR61" i="64"/>
  <c r="BR75" i="11"/>
  <c r="BR1323" i="4"/>
  <c r="BR1123" i="4"/>
  <c r="BR1130" i="4" s="1"/>
  <c r="BR1132" i="4" s="1"/>
  <c r="BR1135" i="4" s="1"/>
  <c r="BR1299" i="4"/>
  <c r="BR1300" i="4" s="1"/>
  <c r="BR62" i="62"/>
  <c r="BR64" i="11"/>
  <c r="BR1472" i="4"/>
  <c r="BR1091" i="4"/>
  <c r="BS1088" i="4" s="1"/>
  <c r="BR63" i="11"/>
  <c r="BR1313" i="4" l="1"/>
  <c r="BR63" i="62"/>
  <c r="BR67" i="62" s="1"/>
  <c r="BR77" i="64"/>
  <c r="BR82" i="64" s="1"/>
  <c r="BR69" i="64"/>
  <c r="BR74" i="64" s="1"/>
  <c r="BR66" i="64"/>
  <c r="BR40" i="64" s="1"/>
  <c r="BR42" i="64" s="1"/>
  <c r="BR1471" i="4"/>
  <c r="BR1283" i="4"/>
  <c r="BR68" i="62" l="1"/>
  <c r="BR1193" i="4"/>
  <c r="BR1194" i="4" s="1"/>
  <c r="BR1196" i="4" s="1"/>
  <c r="BR1198" i="4" s="1"/>
  <c r="BR1164" i="4" s="1"/>
  <c r="BR52" i="64"/>
  <c r="BR49" i="64"/>
  <c r="BR1214" i="4" l="1"/>
  <c r="BR1165" i="4"/>
  <c r="BS1162" i="4" l="1"/>
  <c r="BS1207" i="4"/>
  <c r="BS1225" i="4" s="1"/>
  <c r="BR88" i="11"/>
  <c r="BR1302" i="4"/>
  <c r="BR1303" i="4" s="1"/>
  <c r="BR38" i="66"/>
  <c r="BR1481" i="4"/>
  <c r="BR1483" i="4" s="1"/>
  <c r="BR1324" i="4"/>
  <c r="BR1424" i="4"/>
  <c r="BR1215" i="4"/>
  <c r="BR1281" i="4" l="1"/>
  <c r="BR1271" i="4"/>
  <c r="BR31" i="11"/>
  <c r="BR1505" i="4"/>
  <c r="BR1489" i="4"/>
  <c r="BR1490" i="4" s="1"/>
  <c r="BR1515" i="4"/>
  <c r="BS1212" i="4"/>
  <c r="BS1163" i="4"/>
  <c r="BR1495" i="4" l="1"/>
  <c r="BR1493" i="4"/>
  <c r="BR45" i="62"/>
  <c r="BR30" i="11"/>
  <c r="BS1492" i="4"/>
  <c r="BR1252" i="4"/>
  <c r="BR1274" i="4"/>
  <c r="BR1275" i="4" s="1"/>
  <c r="BR1265" i="4" s="1"/>
  <c r="BS1213" i="4"/>
  <c r="BS1206" i="4"/>
  <c r="BS1224" i="4" s="1"/>
  <c r="BS1226" i="4" s="1"/>
  <c r="BS1202" i="4"/>
  <c r="BS1178" i="4"/>
  <c r="BR1496" i="4" l="1"/>
  <c r="BS1180" i="4"/>
  <c r="BS1169" i="4" s="1"/>
  <c r="BS1170" i="4" s="1"/>
  <c r="BS1188" i="4" s="1"/>
  <c r="BS1179" i="4"/>
  <c r="BS1189" i="4"/>
  <c r="BS1218" i="4" s="1"/>
  <c r="BR1264" i="4"/>
  <c r="BR1253" i="4" s="1"/>
  <c r="BR1266" i="4"/>
  <c r="Z72" i="67"/>
  <c r="BS297" i="4"/>
  <c r="BS305" i="4" s="1"/>
  <c r="BS330" i="4" s="1"/>
  <c r="BS1122" i="4"/>
  <c r="BS1295" i="4"/>
  <c r="BS37" i="66"/>
  <c r="BS72" i="11"/>
  <c r="BS1076" i="4"/>
  <c r="BS1326" i="4"/>
  <c r="BS50" i="11"/>
  <c r="Z87" i="67"/>
  <c r="BS87" i="11"/>
  <c r="BS1310" i="4"/>
  <c r="BS18" i="66"/>
  <c r="BS1336" i="4"/>
  <c r="BS1423" i="4"/>
  <c r="BR1257" i="4"/>
  <c r="BR1261" i="4"/>
  <c r="BR1268" i="4" s="1"/>
  <c r="BS1181" i="4" l="1"/>
  <c r="BS1190" i="4" s="1"/>
  <c r="BS1221" i="4" s="1"/>
  <c r="BT479" i="4"/>
  <c r="BS456" i="4"/>
  <c r="BS458" i="4" s="1"/>
  <c r="BS459" i="4" s="1"/>
  <c r="BT468" i="4"/>
  <c r="BS478" i="4"/>
  <c r="BS480" i="4" s="1"/>
  <c r="BS481" i="4" s="1"/>
  <c r="BS482" i="4" s="1"/>
  <c r="BS483" i="4" s="1"/>
  <c r="BT477" i="4" s="1"/>
  <c r="BT457" i="4"/>
  <c r="BS467" i="4"/>
  <c r="BS469" i="4" s="1"/>
  <c r="BS470" i="4" s="1"/>
  <c r="BS471" i="4" s="1"/>
  <c r="BS472" i="4" s="1"/>
  <c r="BT466" i="4" s="1"/>
  <c r="BR1309" i="4"/>
  <c r="BR1338" i="4"/>
  <c r="BR19" i="66"/>
  <c r="BR17" i="66" s="1"/>
  <c r="BR86" i="11"/>
  <c r="BR1480" i="4"/>
  <c r="BR74" i="11"/>
  <c r="BR78" i="11" s="1"/>
  <c r="BR1304" i="4"/>
  <c r="BR1272" i="4"/>
  <c r="BR1276" i="4" s="1"/>
  <c r="BR1254" i="4" s="1"/>
  <c r="BR1327" i="4"/>
  <c r="BR36" i="66"/>
  <c r="BR1386" i="4"/>
  <c r="Z50" i="67"/>
  <c r="Z49" i="67" s="1"/>
  <c r="BS49" i="11"/>
  <c r="BS1220" i="4"/>
  <c r="BS1074" i="4"/>
  <c r="BS1219" i="4"/>
  <c r="BS294" i="4" s="1"/>
  <c r="BS1197" i="4" l="1"/>
  <c r="BT495" i="4"/>
  <c r="BT1072" i="4" s="1"/>
  <c r="BR39" i="66"/>
  <c r="BR35" i="66" s="1"/>
  <c r="BR89" i="11"/>
  <c r="BR1305" i="4"/>
  <c r="BR1282" i="4" s="1"/>
  <c r="BR1328" i="4"/>
  <c r="BR1255" i="4"/>
  <c r="BS460" i="4"/>
  <c r="BS461" i="4" s="1"/>
  <c r="BT455" i="4" s="1"/>
  <c r="BS494" i="4"/>
  <c r="BS1071" i="4" s="1"/>
  <c r="BS299" i="4"/>
  <c r="BS302" i="4"/>
  <c r="Z53" i="67"/>
  <c r="Z52" i="67" s="1"/>
  <c r="BS53" i="11"/>
  <c r="BS52" i="11" s="1"/>
  <c r="BR1421" i="4"/>
  <c r="BR1385" i="4"/>
  <c r="BR1388" i="4" s="1"/>
  <c r="BS1325" i="4"/>
  <c r="BS1121" i="4"/>
  <c r="BS1144" i="4" s="1"/>
  <c r="BS73" i="11"/>
  <c r="BS1301" i="4"/>
  <c r="Z73" i="67"/>
  <c r="Z23" i="13"/>
  <c r="BR1390" i="4" l="1"/>
  <c r="BR1402" i="4"/>
  <c r="BS1250" i="4"/>
  <c r="BR27" i="11"/>
  <c r="BR1506" i="4"/>
  <c r="BR1425" i="4"/>
  <c r="BR1284" i="4"/>
  <c r="BR1286" i="4" s="1"/>
  <c r="BS331" i="4"/>
  <c r="BS307" i="4"/>
  <c r="BS1145" i="4"/>
  <c r="BS1235" i="4"/>
  <c r="BS1251" i="4" s="1"/>
  <c r="BS1234" i="4"/>
  <c r="BS332" i="4" l="1"/>
  <c r="BS14" i="11" s="1"/>
  <c r="BS1236" i="4"/>
  <c r="BS1241" i="4"/>
  <c r="BR1440" i="4"/>
  <c r="BR1507" i="4"/>
  <c r="BR1508" i="4" s="1"/>
  <c r="BR1509" i="4"/>
  <c r="BR1329" i="4"/>
  <c r="BR1306" i="4"/>
  <c r="BR1307" i="4" s="1"/>
  <c r="BR1311" i="4" s="1"/>
  <c r="BS1290" i="4" s="1"/>
  <c r="BR90" i="11"/>
  <c r="BR91" i="11" s="1"/>
  <c r="BR93" i="11" s="1"/>
  <c r="BR96" i="11" s="1"/>
  <c r="BR97" i="11" s="1"/>
  <c r="BR58" i="11"/>
  <c r="BR59" i="11" s="1"/>
  <c r="BR28" i="11" s="1"/>
  <c r="BR48" i="62"/>
  <c r="BR24" i="62" s="1"/>
  <c r="BR26" i="62" s="1"/>
  <c r="BR22" i="66"/>
  <c r="BS385" i="4"/>
  <c r="BS405" i="4"/>
  <c r="BS406" i="4" s="1"/>
  <c r="BS407" i="4" s="1"/>
  <c r="BS408" i="4" s="1"/>
  <c r="BS409" i="4" s="1"/>
  <c r="BT404" i="4" s="1"/>
  <c r="BS395" i="4"/>
  <c r="BS396" i="4" s="1"/>
  <c r="BS397" i="4" s="1"/>
  <c r="BS398" i="4" s="1"/>
  <c r="BS399" i="4" s="1"/>
  <c r="BT394" i="4" s="1"/>
  <c r="BR1285" i="4"/>
  <c r="BR1403" i="4"/>
  <c r="BR1404" i="4" s="1"/>
  <c r="Z14" i="67" l="1"/>
  <c r="BR1441" i="4"/>
  <c r="BR1442" i="4" s="1"/>
  <c r="BR100" i="67"/>
  <c r="BR101" i="67"/>
  <c r="BR100" i="11"/>
  <c r="BR46" i="62"/>
  <c r="BR1340" i="4"/>
  <c r="BR1341" i="4" s="1"/>
  <c r="BR1462" i="4"/>
  <c r="BR1461" i="4" s="1"/>
  <c r="BR1330" i="4"/>
  <c r="BR1331" i="4" s="1"/>
  <c r="BR21" i="11"/>
  <c r="BR17" i="11" s="1"/>
  <c r="BS95" i="11"/>
  <c r="BR44" i="66"/>
  <c r="BR40" i="66" s="1"/>
  <c r="BR46" i="66" s="1"/>
  <c r="BR101" i="11"/>
  <c r="BR24" i="66"/>
  <c r="BR20" i="66" s="1"/>
  <c r="BR26" i="66" s="1"/>
  <c r="BS1128" i="4"/>
  <c r="BS500" i="4"/>
  <c r="BS386" i="4"/>
  <c r="BS387" i="4" s="1"/>
  <c r="BS489" i="4"/>
  <c r="BR25" i="11"/>
  <c r="BS1308" i="4"/>
  <c r="BS1244" i="4"/>
  <c r="BS1245" i="4" s="1"/>
  <c r="BS42" i="62"/>
  <c r="BS1337" i="4"/>
  <c r="BS85" i="11"/>
  <c r="Z85" i="67"/>
  <c r="BR1343" i="4" l="1"/>
  <c r="Z26" i="67"/>
  <c r="BS26" i="11"/>
  <c r="BT1240" i="4"/>
  <c r="BR48" i="66"/>
  <c r="BR99" i="11"/>
  <c r="BR1475" i="4"/>
  <c r="BR1470" i="4" s="1"/>
  <c r="BR1474" i="4"/>
  <c r="BR1469" i="4" s="1"/>
  <c r="BR37" i="11"/>
  <c r="BS501" i="4"/>
  <c r="BS502" i="4" s="1"/>
  <c r="BS490" i="4"/>
  <c r="BS491" i="4" s="1"/>
  <c r="BS388" i="4"/>
  <c r="BS389" i="4" s="1"/>
  <c r="BT384" i="4" s="1"/>
  <c r="BR1463" i="4"/>
  <c r="BR1460" i="4" s="1"/>
  <c r="BR23" i="11"/>
  <c r="BS52" i="62"/>
  <c r="BS43" i="62"/>
  <c r="BS23" i="62" s="1"/>
  <c r="BS16" i="66" l="1"/>
  <c r="BS14" i="66" s="1"/>
  <c r="BS13" i="66" s="1"/>
  <c r="BR1516" i="4"/>
  <c r="BR1517" i="4" s="1"/>
  <c r="BR1473" i="4"/>
  <c r="BR1468" i="4" s="1"/>
  <c r="BT499" i="4"/>
  <c r="BS1101" i="4"/>
  <c r="BS1103" i="4" s="1"/>
  <c r="BS1104" i="4" s="1"/>
  <c r="BS1105" i="4" s="1"/>
  <c r="BS51" i="11"/>
  <c r="BS64" i="62"/>
  <c r="Z51" i="67"/>
  <c r="Z15" i="67"/>
  <c r="Z13" i="67" s="1"/>
  <c r="BS15" i="11"/>
  <c r="BS13" i="11" s="1"/>
  <c r="BT488" i="4"/>
  <c r="BR39" i="11"/>
  <c r="BR40" i="11" s="1"/>
  <c r="BS62" i="64" l="1"/>
  <c r="BS984" i="4"/>
  <c r="BS988" i="4" s="1"/>
  <c r="BT1100" i="4"/>
  <c r="BS1294" i="4" l="1"/>
  <c r="BS1298" i="4" s="1"/>
  <c r="BS71" i="11"/>
  <c r="BS992" i="4"/>
  <c r="BS1320" i="4"/>
  <c r="BS1120" i="4"/>
  <c r="Z71" i="67"/>
  <c r="Z40" i="13"/>
  <c r="BS78" i="64"/>
  <c r="BS70" i="64"/>
  <c r="BS1073" i="4" l="1"/>
  <c r="BS1077" i="4" s="1"/>
  <c r="BS1081" i="4" s="1"/>
  <c r="BS47" i="11"/>
  <c r="Z47" i="67"/>
  <c r="Z20" i="72"/>
  <c r="BS62" i="11" l="1"/>
  <c r="BS61" i="11"/>
  <c r="BS48" i="11"/>
  <c r="BS55" i="11" s="1"/>
  <c r="Z62" i="67"/>
  <c r="Z64" i="67" s="1"/>
  <c r="Z61" i="67"/>
  <c r="Z63" i="67" s="1"/>
  <c r="Z48" i="67"/>
  <c r="Z55" i="67" s="1"/>
  <c r="BS1089" i="4"/>
  <c r="BS1082" i="4"/>
  <c r="BS1093" i="4" s="1"/>
  <c r="BS1090" i="4" s="1"/>
  <c r="BS1083" i="4" s="1"/>
  <c r="BS1084" i="4" s="1"/>
  <c r="BS1091" i="4" l="1"/>
  <c r="BT1088" i="4" s="1"/>
  <c r="BS1123" i="4"/>
  <c r="BS1130" i="4" s="1"/>
  <c r="BS1132" i="4" s="1"/>
  <c r="BS1135" i="4" s="1"/>
  <c r="BS1323" i="4"/>
  <c r="BS1299" i="4"/>
  <c r="BS1300" i="4" s="1"/>
  <c r="BS56" i="11"/>
  <c r="BS57" i="11" s="1"/>
  <c r="BS75" i="11"/>
  <c r="BS61" i="64"/>
  <c r="Z56" i="67"/>
  <c r="Z57" i="67" s="1"/>
  <c r="Z41" i="13"/>
  <c r="Z43" i="13" s="1"/>
  <c r="Z75" i="67"/>
  <c r="BS63" i="11"/>
  <c r="Z1526" i="4"/>
  <c r="BS64" i="11"/>
  <c r="BS62" i="62"/>
  <c r="BS1472" i="4"/>
  <c r="BS63" i="62" l="1"/>
  <c r="BS67" i="62" s="1"/>
  <c r="BS69" i="64"/>
  <c r="BS74" i="64" s="1"/>
  <c r="BS77" i="64"/>
  <c r="BS82" i="64" s="1"/>
  <c r="BS66" i="64"/>
  <c r="BS40" i="64" s="1"/>
  <c r="BS42" i="64" s="1"/>
  <c r="BS1471" i="4"/>
  <c r="BS1283" i="4"/>
  <c r="BS1313" i="4"/>
  <c r="BS68" i="62" l="1"/>
  <c r="BS49" i="64"/>
  <c r="BS52" i="64"/>
  <c r="BS1193" i="4"/>
  <c r="BS1194" i="4" s="1"/>
  <c r="BS1196" i="4" s="1"/>
  <c r="BS1198" i="4" s="1"/>
  <c r="BS1164" i="4" s="1"/>
  <c r="BS1214" i="4" l="1"/>
  <c r="BS1165" i="4"/>
  <c r="BT1162" i="4" l="1"/>
  <c r="BT1207" i="4"/>
  <c r="BT1225" i="4" s="1"/>
  <c r="BS1302" i="4"/>
  <c r="BS1303" i="4" s="1"/>
  <c r="BS88" i="11"/>
  <c r="BS38" i="66"/>
  <c r="BS1324" i="4"/>
  <c r="BS1481" i="4"/>
  <c r="BS1483" i="4" s="1"/>
  <c r="BS1424" i="4"/>
  <c r="Z88" i="67"/>
  <c r="Z24" i="13"/>
  <c r="BS1215" i="4"/>
  <c r="BS1271" i="4" l="1"/>
  <c r="BS1281" i="4"/>
  <c r="Z31" i="67"/>
  <c r="Z30" i="67" s="1"/>
  <c r="Z1525" i="4"/>
  <c r="Z1529" i="4" s="1"/>
  <c r="BS31" i="11"/>
  <c r="BT1212" i="4"/>
  <c r="BS1489" i="4"/>
  <c r="BS1490" i="4" s="1"/>
  <c r="BS1515" i="4"/>
  <c r="BS1505" i="4"/>
  <c r="BT1163" i="4"/>
  <c r="BT1492" i="4" l="1"/>
  <c r="BS45" i="62"/>
  <c r="BS30" i="11"/>
  <c r="BS1495" i="4"/>
  <c r="BS1493" i="4"/>
  <c r="BT1213" i="4"/>
  <c r="BT1206" i="4"/>
  <c r="BT1224" i="4" s="1"/>
  <c r="BT1226" i="4" s="1"/>
  <c r="BT1202" i="4"/>
  <c r="BT1178" i="4"/>
  <c r="BS1252" i="4"/>
  <c r="BS1274" i="4"/>
  <c r="BS1275" i="4" s="1"/>
  <c r="BS1265" i="4" s="1"/>
  <c r="BS1496" i="4" l="1"/>
  <c r="BT297" i="4"/>
  <c r="BT305" i="4" s="1"/>
  <c r="BT330" i="4" s="1"/>
  <c r="BT50" i="11"/>
  <c r="BT49" i="11" s="1"/>
  <c r="BT1326" i="4"/>
  <c r="BT72" i="11"/>
  <c r="BT1122" i="4"/>
  <c r="BT1295" i="4"/>
  <c r="BT37" i="66"/>
  <c r="BT1076" i="4"/>
  <c r="BT1336" i="4"/>
  <c r="BT1310" i="4"/>
  <c r="BT87" i="11"/>
  <c r="BT18" i="66"/>
  <c r="BT1423" i="4"/>
  <c r="BT1179" i="4"/>
  <c r="BT1189" i="4"/>
  <c r="BT1218" i="4" s="1"/>
  <c r="BT1180" i="4"/>
  <c r="BT1169" i="4" s="1"/>
  <c r="BT1170" i="4" s="1"/>
  <c r="BT1188" i="4" s="1"/>
  <c r="BS1261" i="4"/>
  <c r="BS1268" i="4" s="1"/>
  <c r="BS1257" i="4"/>
  <c r="BS1266" i="4"/>
  <c r="BS1264" i="4"/>
  <c r="BS1253" i="4" s="1"/>
  <c r="BS1338" i="4" l="1"/>
  <c r="BS86" i="11"/>
  <c r="BS19" i="66"/>
  <c r="BS17" i="66" s="1"/>
  <c r="BS1309" i="4"/>
  <c r="Z86" i="67"/>
  <c r="BS1480" i="4"/>
  <c r="BT1220" i="4"/>
  <c r="BT53" i="11" s="1"/>
  <c r="BT52" i="11" s="1"/>
  <c r="BT1219" i="4"/>
  <c r="BT294" i="4" s="1"/>
  <c r="BT1074" i="4"/>
  <c r="BT1181" i="4"/>
  <c r="BS1327" i="4"/>
  <c r="BS74" i="11"/>
  <c r="BS78" i="11" s="1"/>
  <c r="BS1272" i="4"/>
  <c r="BS1276" i="4" s="1"/>
  <c r="BS1254" i="4" s="1"/>
  <c r="BS1304" i="4"/>
  <c r="Z74" i="67"/>
  <c r="Z78" i="67" s="1"/>
  <c r="BS1386" i="4"/>
  <c r="BS36" i="66"/>
  <c r="BU468" i="4"/>
  <c r="BT478" i="4"/>
  <c r="BT480" i="4" s="1"/>
  <c r="BT481" i="4" s="1"/>
  <c r="BT482" i="4" s="1"/>
  <c r="BT483" i="4" s="1"/>
  <c r="BU477" i="4" s="1"/>
  <c r="BU457" i="4"/>
  <c r="BU479" i="4"/>
  <c r="BT467" i="4"/>
  <c r="BT469" i="4" s="1"/>
  <c r="BT470" i="4" s="1"/>
  <c r="BT471" i="4" s="1"/>
  <c r="BT472" i="4" s="1"/>
  <c r="BU466" i="4" s="1"/>
  <c r="BT456" i="4"/>
  <c r="BT458" i="4" s="1"/>
  <c r="BT459" i="4" s="1"/>
  <c r="BU495" i="4" l="1"/>
  <c r="BU1072" i="4" s="1"/>
  <c r="BS1421" i="4"/>
  <c r="BS1385" i="4"/>
  <c r="BS1388" i="4" s="1"/>
  <c r="BT1197" i="4"/>
  <c r="BT1190" i="4"/>
  <c r="BT1221" i="4" s="1"/>
  <c r="BT494" i="4"/>
  <c r="BT1071" i="4" s="1"/>
  <c r="BT460" i="4"/>
  <c r="BT461" i="4" s="1"/>
  <c r="BU455" i="4" s="1"/>
  <c r="BS89" i="11"/>
  <c r="BS1305" i="4"/>
  <c r="BS1282" i="4" s="1"/>
  <c r="BS1328" i="4"/>
  <c r="BS39" i="66"/>
  <c r="BS35" i="66" s="1"/>
  <c r="Z89" i="67"/>
  <c r="BT299" i="4"/>
  <c r="BT302" i="4"/>
  <c r="BS1255" i="4"/>
  <c r="BS1284" i="4" l="1"/>
  <c r="BS1286" i="4" s="1"/>
  <c r="BS27" i="11"/>
  <c r="Z27" i="67"/>
  <c r="BT1250" i="4"/>
  <c r="BS1506" i="4"/>
  <c r="BT307" i="4"/>
  <c r="BT331" i="4"/>
  <c r="BT1121" i="4"/>
  <c r="BT1144" i="4" s="1"/>
  <c r="BT1301" i="4"/>
  <c r="BT1325" i="4"/>
  <c r="BT73" i="11"/>
  <c r="BS1390" i="4"/>
  <c r="BS1402" i="4"/>
  <c r="BS1425" i="4"/>
  <c r="Z13" i="13"/>
  <c r="BT332" i="4" l="1"/>
  <c r="BT14" i="11" s="1"/>
  <c r="BS1509" i="4"/>
  <c r="BS1507" i="4"/>
  <c r="BS1508" i="4" s="1"/>
  <c r="BS1440" i="4"/>
  <c r="BT1234" i="4"/>
  <c r="BT1145" i="4"/>
  <c r="BT1235" i="4"/>
  <c r="BT1251" i="4" s="1"/>
  <c r="BS1403" i="4"/>
  <c r="BS1404" i="4" s="1"/>
  <c r="BT395" i="4"/>
  <c r="BT396" i="4" s="1"/>
  <c r="BT397" i="4" s="1"/>
  <c r="BT398" i="4" s="1"/>
  <c r="BT399" i="4" s="1"/>
  <c r="BU394" i="4" s="1"/>
  <c r="BT405" i="4"/>
  <c r="BT406" i="4" s="1"/>
  <c r="BT407" i="4" s="1"/>
  <c r="BT408" i="4" s="1"/>
  <c r="BT409" i="4" s="1"/>
  <c r="BU404" i="4" s="1"/>
  <c r="BT385" i="4"/>
  <c r="BS1285" i="4"/>
  <c r="BS1329" i="4"/>
  <c r="BS90" i="11"/>
  <c r="BS91" i="11" s="1"/>
  <c r="BS93" i="11" s="1"/>
  <c r="BS96" i="11" s="1"/>
  <c r="BS97" i="11" s="1"/>
  <c r="BS1306" i="4"/>
  <c r="BS1307" i="4" s="1"/>
  <c r="BS1311" i="4" s="1"/>
  <c r="BT1290" i="4" s="1"/>
  <c r="BS48" i="62"/>
  <c r="BS24" i="62" s="1"/>
  <c r="BS26" i="62" s="1"/>
  <c r="BS58" i="11"/>
  <c r="BS59" i="11" s="1"/>
  <c r="BS28" i="11" s="1"/>
  <c r="BS25" i="11" s="1"/>
  <c r="Z58" i="67"/>
  <c r="Z59" i="67" s="1"/>
  <c r="Z90" i="67"/>
  <c r="Z91" i="67" s="1"/>
  <c r="Z93" i="67" s="1"/>
  <c r="Z96" i="67" s="1"/>
  <c r="Z97" i="67" s="1"/>
  <c r="BS22" i="66"/>
  <c r="BS37" i="11" l="1"/>
  <c r="BS1475" i="4"/>
  <c r="BS1470" i="4" s="1"/>
  <c r="BS1474" i="4"/>
  <c r="BS1469" i="4" s="1"/>
  <c r="AA95" i="67"/>
  <c r="BT1128" i="4"/>
  <c r="BS101" i="67"/>
  <c r="BS21" i="11"/>
  <c r="BS17" i="11" s="1"/>
  <c r="Z1527" i="4"/>
  <c r="Z1534" i="4" s="1"/>
  <c r="BS100" i="67"/>
  <c r="Z21" i="67"/>
  <c r="Z17" i="67" s="1"/>
  <c r="Z23" i="67" s="1"/>
  <c r="BS44" i="66"/>
  <c r="BS40" i="66" s="1"/>
  <c r="BS46" i="66" s="1"/>
  <c r="BS24" i="66"/>
  <c r="BS20" i="66" s="1"/>
  <c r="BS26" i="66" s="1"/>
  <c r="BS1340" i="4"/>
  <c r="BS1341" i="4" s="1"/>
  <c r="BT95" i="11"/>
  <c r="BS100" i="11"/>
  <c r="BS101" i="11"/>
  <c r="BS1462" i="4"/>
  <c r="BS1461" i="4" s="1"/>
  <c r="BS46" i="62"/>
  <c r="BS1330" i="4"/>
  <c r="BS1331" i="4" s="1"/>
  <c r="BT1241" i="4"/>
  <c r="BT1236" i="4"/>
  <c r="BT500" i="4"/>
  <c r="BT489" i="4"/>
  <c r="BT386" i="4"/>
  <c r="BT387" i="4" s="1"/>
  <c r="Z28" i="67"/>
  <c r="Z25" i="67" s="1"/>
  <c r="Z37" i="67" s="1"/>
  <c r="BS1441" i="4"/>
  <c r="BS1442" i="4" s="1"/>
  <c r="BS1343" i="4" l="1"/>
  <c r="Z39" i="67"/>
  <c r="Z40" i="67" s="1"/>
  <c r="BS48" i="66"/>
  <c r="BT501" i="4"/>
  <c r="BT502" i="4" s="1"/>
  <c r="BT388" i="4"/>
  <c r="BT389" i="4" s="1"/>
  <c r="BU384" i="4" s="1"/>
  <c r="BT490" i="4"/>
  <c r="BT491" i="4" s="1"/>
  <c r="Z99" i="67"/>
  <c r="BS1463" i="4"/>
  <c r="BS1460" i="4" s="1"/>
  <c r="BS23" i="11"/>
  <c r="BS39" i="11" s="1"/>
  <c r="BS40" i="11" s="1"/>
  <c r="BT1244" i="4"/>
  <c r="BT1245" i="4" s="1"/>
  <c r="BT42" i="62"/>
  <c r="BT1337" i="4"/>
  <c r="BT1308" i="4"/>
  <c r="BT85" i="11"/>
  <c r="BS99" i="11"/>
  <c r="BU499" i="4" l="1"/>
  <c r="BT1101" i="4"/>
  <c r="BT1103" i="4" s="1"/>
  <c r="BT1104" i="4" s="1"/>
  <c r="BT1105" i="4" s="1"/>
  <c r="BT52" i="62"/>
  <c r="BT43" i="62"/>
  <c r="BT23" i="62" s="1"/>
  <c r="BT26" i="11"/>
  <c r="BU1240" i="4"/>
  <c r="BT15" i="11"/>
  <c r="BT13" i="11" s="1"/>
  <c r="BU488" i="4"/>
  <c r="BT64" i="62"/>
  <c r="BT51" i="11"/>
  <c r="BS1516" i="4"/>
  <c r="BS1517" i="4" s="1"/>
  <c r="BS1473" i="4"/>
  <c r="BS1468" i="4" s="1"/>
  <c r="BT16" i="66" l="1"/>
  <c r="BT14" i="66" s="1"/>
  <c r="BT13" i="66" s="1"/>
  <c r="BT62" i="64"/>
  <c r="BT984" i="4"/>
  <c r="BT988" i="4" s="1"/>
  <c r="BU1100" i="4"/>
  <c r="BT1294" i="4" l="1"/>
  <c r="BT1298" i="4" s="1"/>
  <c r="BT1120" i="4"/>
  <c r="BT1320" i="4"/>
  <c r="BT71" i="11"/>
  <c r="BT992" i="4"/>
  <c r="BT78" i="64"/>
  <c r="BT70" i="64"/>
  <c r="BT47" i="11" l="1"/>
  <c r="BT1073" i="4"/>
  <c r="BT1077" i="4" s="1"/>
  <c r="BT1081" i="4" s="1"/>
  <c r="BT62" i="11" l="1"/>
  <c r="BT61" i="11"/>
  <c r="BT48" i="11"/>
  <c r="BT55" i="11" s="1"/>
  <c r="BT1082" i="4"/>
  <c r="BT1093" i="4" s="1"/>
  <c r="BT1090" i="4" s="1"/>
  <c r="BT1083" i="4" s="1"/>
  <c r="BT1084" i="4" s="1"/>
  <c r="BT1089" i="4"/>
  <c r="BT1091" i="4" l="1"/>
  <c r="BU1088" i="4" s="1"/>
  <c r="BT63" i="11"/>
  <c r="BT1323" i="4"/>
  <c r="BT56" i="11"/>
  <c r="BT57" i="11" s="1"/>
  <c r="BT1123" i="4"/>
  <c r="BT1130" i="4" s="1"/>
  <c r="BT1132" i="4" s="1"/>
  <c r="BT1135" i="4" s="1"/>
  <c r="BT75" i="11"/>
  <c r="BT1299" i="4"/>
  <c r="BT1300" i="4" s="1"/>
  <c r="BT61" i="64"/>
  <c r="BT1472" i="4"/>
  <c r="BT62" i="62"/>
  <c r="BT64" i="11"/>
  <c r="BT1313" i="4" l="1"/>
  <c r="BT63" i="62"/>
  <c r="BT67" i="62" s="1"/>
  <c r="BT1471" i="4"/>
  <c r="BT1283" i="4"/>
  <c r="BT69" i="64"/>
  <c r="BT74" i="64" s="1"/>
  <c r="BT77" i="64"/>
  <c r="BT82" i="64" s="1"/>
  <c r="BT66" i="64"/>
  <c r="BT40" i="64" s="1"/>
  <c r="BT42" i="64" s="1"/>
  <c r="BT68" i="62" l="1"/>
  <c r="BT1193" i="4"/>
  <c r="BT1194" i="4" s="1"/>
  <c r="BT1196" i="4" s="1"/>
  <c r="BT1198" i="4" s="1"/>
  <c r="BT1164" i="4" s="1"/>
  <c r="BT52" i="64"/>
  <c r="BT49" i="64"/>
  <c r="BT1214" i="4" l="1"/>
  <c r="BT1165" i="4"/>
  <c r="BU1162" i="4" l="1"/>
  <c r="BU1207" i="4"/>
  <c r="BU1225" i="4" s="1"/>
  <c r="BT88" i="11"/>
  <c r="BT38" i="66"/>
  <c r="BT1324" i="4"/>
  <c r="BT1302" i="4"/>
  <c r="BT1303" i="4" s="1"/>
  <c r="BT1481" i="4"/>
  <c r="BT1483" i="4" s="1"/>
  <c r="BT1424" i="4"/>
  <c r="BT1215" i="4"/>
  <c r="BT1281" i="4" l="1"/>
  <c r="BT1271" i="4"/>
  <c r="BT31" i="11"/>
  <c r="BT1505" i="4"/>
  <c r="BT1489" i="4"/>
  <c r="BT1490" i="4" s="1"/>
  <c r="BT1515" i="4"/>
  <c r="BU1212" i="4"/>
  <c r="BU1163" i="4"/>
  <c r="BT1495" i="4" l="1"/>
  <c r="BT1493" i="4"/>
  <c r="BT45" i="62"/>
  <c r="BT30" i="11"/>
  <c r="BU1492" i="4"/>
  <c r="BT1252" i="4"/>
  <c r="BT1274" i="4"/>
  <c r="BT1275" i="4" s="1"/>
  <c r="BT1265" i="4" s="1"/>
  <c r="BU1213" i="4"/>
  <c r="BU1206" i="4"/>
  <c r="BU1224" i="4" s="1"/>
  <c r="BU1226" i="4" s="1"/>
  <c r="BU1202" i="4"/>
  <c r="BU1178" i="4"/>
  <c r="BT1496" i="4" l="1"/>
  <c r="BU1122" i="4"/>
  <c r="BU1295" i="4"/>
  <c r="BU72" i="11"/>
  <c r="BU1326" i="4"/>
  <c r="BU50" i="11"/>
  <c r="BU49" i="11" s="1"/>
  <c r="BU37" i="66"/>
  <c r="BU297" i="4"/>
  <c r="BU305" i="4" s="1"/>
  <c r="BU330" i="4" s="1"/>
  <c r="BU1076" i="4"/>
  <c r="BU1179" i="4"/>
  <c r="BU1189" i="4"/>
  <c r="BU1218" i="4" s="1"/>
  <c r="BU1180" i="4"/>
  <c r="BU1169" i="4" s="1"/>
  <c r="BU1170" i="4" s="1"/>
  <c r="BU1188" i="4" s="1"/>
  <c r="BT1264" i="4"/>
  <c r="BT1253" i="4" s="1"/>
  <c r="BT1266" i="4"/>
  <c r="BU1336" i="4"/>
  <c r="BU18" i="66"/>
  <c r="BU1310" i="4"/>
  <c r="BU87" i="11"/>
  <c r="BU1423" i="4"/>
  <c r="BT1257" i="4"/>
  <c r="BT1261" i="4"/>
  <c r="BT1268" i="4" s="1"/>
  <c r="BU1181" i="4" l="1"/>
  <c r="BU1197" i="4" s="1"/>
  <c r="BU456" i="4"/>
  <c r="BU458" i="4" s="1"/>
  <c r="BU459" i="4" s="1"/>
  <c r="BV457" i="4"/>
  <c r="BU467" i="4"/>
  <c r="BU469" i="4" s="1"/>
  <c r="BU470" i="4" s="1"/>
  <c r="BU471" i="4" s="1"/>
  <c r="BU472" i="4" s="1"/>
  <c r="BV466" i="4" s="1"/>
  <c r="BV468" i="4"/>
  <c r="BV479" i="4"/>
  <c r="BU478" i="4"/>
  <c r="BU480" i="4" s="1"/>
  <c r="BU481" i="4" s="1"/>
  <c r="BU482" i="4" s="1"/>
  <c r="BU483" i="4" s="1"/>
  <c r="BV477" i="4" s="1"/>
  <c r="BT1304" i="4"/>
  <c r="BT1272" i="4"/>
  <c r="BT1276" i="4" s="1"/>
  <c r="BT1254" i="4" s="1"/>
  <c r="BT1327" i="4"/>
  <c r="BT74" i="11"/>
  <c r="BT78" i="11" s="1"/>
  <c r="BT1386" i="4"/>
  <c r="BT36" i="66"/>
  <c r="BT1309" i="4"/>
  <c r="BT1338" i="4"/>
  <c r="BT86" i="11"/>
  <c r="BT19" i="66"/>
  <c r="BT17" i="66" s="1"/>
  <c r="BT1480" i="4"/>
  <c r="BU1220" i="4"/>
  <c r="BU53" i="11" s="1"/>
  <c r="BU52" i="11" s="1"/>
  <c r="BU1219" i="4"/>
  <c r="BU294" i="4" s="1"/>
  <c r="BU1074" i="4"/>
  <c r="BU1190" i="4" l="1"/>
  <c r="BU1221" i="4" s="1"/>
  <c r="BU1325" i="4" s="1"/>
  <c r="BT1421" i="4"/>
  <c r="BT1385" i="4"/>
  <c r="BT1388" i="4" s="1"/>
  <c r="BV495" i="4"/>
  <c r="BV1072" i="4" s="1"/>
  <c r="BT89" i="11"/>
  <c r="BT39" i="66"/>
  <c r="BT35" i="66" s="1"/>
  <c r="BT1305" i="4"/>
  <c r="BT1282" i="4" s="1"/>
  <c r="BT1328" i="4"/>
  <c r="BU494" i="4"/>
  <c r="BU1071" i="4" s="1"/>
  <c r="BU460" i="4"/>
  <c r="BU461" i="4" s="1"/>
  <c r="BV455" i="4" s="1"/>
  <c r="BU299" i="4"/>
  <c r="BU302" i="4"/>
  <c r="BT1255" i="4"/>
  <c r="BU73" i="11" l="1"/>
  <c r="BU1121" i="4"/>
  <c r="BU1144" i="4" s="1"/>
  <c r="BU1145" i="4" s="1"/>
  <c r="BU1301" i="4"/>
  <c r="BT1284" i="4"/>
  <c r="BT1286" i="4" s="1"/>
  <c r="BU307" i="4"/>
  <c r="BU331" i="4"/>
  <c r="BT27" i="11"/>
  <c r="BU1250" i="4"/>
  <c r="BT1506" i="4"/>
  <c r="BT1390" i="4"/>
  <c r="BT1402" i="4"/>
  <c r="BT1425" i="4"/>
  <c r="BU332" i="4" l="1"/>
  <c r="BU14" i="11" s="1"/>
  <c r="BU1234" i="4"/>
  <c r="BU1241" i="4" s="1"/>
  <c r="BU1235" i="4"/>
  <c r="BU1251" i="4" s="1"/>
  <c r="BT1440" i="4"/>
  <c r="BT1329" i="4"/>
  <c r="BT90" i="11"/>
  <c r="BT91" i="11" s="1"/>
  <c r="BT93" i="11" s="1"/>
  <c r="BT96" i="11" s="1"/>
  <c r="BT97" i="11" s="1"/>
  <c r="BT58" i="11"/>
  <c r="BT59" i="11" s="1"/>
  <c r="BT28" i="11" s="1"/>
  <c r="BT1306" i="4"/>
  <c r="BT1307" i="4" s="1"/>
  <c r="BT1311" i="4" s="1"/>
  <c r="BU1290" i="4" s="1"/>
  <c r="BT48" i="62"/>
  <c r="BT24" i="62" s="1"/>
  <c r="BT26" i="62" s="1"/>
  <c r="BT22" i="66"/>
  <c r="BT1285" i="4"/>
  <c r="BU395" i="4"/>
  <c r="BU396" i="4" s="1"/>
  <c r="BU397" i="4" s="1"/>
  <c r="BU398" i="4" s="1"/>
  <c r="BU399" i="4" s="1"/>
  <c r="BV394" i="4" s="1"/>
  <c r="BU405" i="4"/>
  <c r="BU406" i="4" s="1"/>
  <c r="BU407" i="4" s="1"/>
  <c r="BU408" i="4" s="1"/>
  <c r="BU409" i="4" s="1"/>
  <c r="BV404" i="4" s="1"/>
  <c r="BU385" i="4"/>
  <c r="BT1509" i="4"/>
  <c r="BT1507" i="4"/>
  <c r="BT1508" i="4" s="1"/>
  <c r="BT1403" i="4"/>
  <c r="BT1404" i="4" s="1"/>
  <c r="BU1236" i="4" l="1"/>
  <c r="BT101" i="11"/>
  <c r="BT100" i="11"/>
  <c r="BT1462" i="4"/>
  <c r="BT1461" i="4" s="1"/>
  <c r="BT21" i="11"/>
  <c r="BT17" i="11" s="1"/>
  <c r="BT1340" i="4"/>
  <c r="BT1341" i="4" s="1"/>
  <c r="BT100" i="67"/>
  <c r="BT1330" i="4"/>
  <c r="BT1331" i="4" s="1"/>
  <c r="BU95" i="11"/>
  <c r="BT44" i="66"/>
  <c r="BT40" i="66" s="1"/>
  <c r="BT46" i="66" s="1"/>
  <c r="BT101" i="67"/>
  <c r="BT24" i="66"/>
  <c r="BT20" i="66" s="1"/>
  <c r="BT26" i="66" s="1"/>
  <c r="BT46" i="62"/>
  <c r="BU1308" i="4"/>
  <c r="BU85" i="11"/>
  <c r="BU42" i="62"/>
  <c r="BU1244" i="4"/>
  <c r="BU1245" i="4" s="1"/>
  <c r="BU1337" i="4"/>
  <c r="BT1441" i="4"/>
  <c r="BT1442" i="4" s="1"/>
  <c r="BU1128" i="4"/>
  <c r="BU500" i="4"/>
  <c r="BU386" i="4"/>
  <c r="BU387" i="4" s="1"/>
  <c r="BU489" i="4"/>
  <c r="BT25" i="11"/>
  <c r="BT99" i="11" l="1"/>
  <c r="BU52" i="62"/>
  <c r="BU43" i="62"/>
  <c r="BU23" i="62" s="1"/>
  <c r="BT1343" i="4"/>
  <c r="BT1463" i="4"/>
  <c r="BT1460" i="4" s="1"/>
  <c r="BT23" i="11"/>
  <c r="BT37" i="11"/>
  <c r="BT1475" i="4"/>
  <c r="BT1470" i="4" s="1"/>
  <c r="BT1474" i="4"/>
  <c r="BT1469" i="4" s="1"/>
  <c r="BU501" i="4"/>
  <c r="BU502" i="4" s="1"/>
  <c r="BU490" i="4"/>
  <c r="BU388" i="4"/>
  <c r="BU389" i="4" s="1"/>
  <c r="BV384" i="4" s="1"/>
  <c r="BU26" i="11"/>
  <c r="BV1240" i="4"/>
  <c r="BT48" i="66"/>
  <c r="BV499" i="4" l="1"/>
  <c r="BU1101" i="4"/>
  <c r="BU1103" i="4" s="1"/>
  <c r="BU1104" i="4" s="1"/>
  <c r="BU1105" i="4" s="1"/>
  <c r="BT1516" i="4"/>
  <c r="BT1517" i="4" s="1"/>
  <c r="BT1473" i="4"/>
  <c r="BT1468" i="4" s="1"/>
  <c r="BU51" i="11"/>
  <c r="BU64" i="62"/>
  <c r="BU491" i="4"/>
  <c r="BU16" i="66"/>
  <c r="BU14" i="66" s="1"/>
  <c r="BU13" i="66" s="1"/>
  <c r="BT39" i="11"/>
  <c r="BT40" i="11" s="1"/>
  <c r="BU15" i="11" l="1"/>
  <c r="BU13" i="11" s="1"/>
  <c r="BV488" i="4"/>
  <c r="BU62" i="64"/>
  <c r="BU984" i="4"/>
  <c r="BU988" i="4" s="1"/>
  <c r="BV1100" i="4"/>
  <c r="BU1120" i="4" l="1"/>
  <c r="BU1320" i="4"/>
  <c r="BU71" i="11"/>
  <c r="BU992" i="4"/>
  <c r="BU1294" i="4"/>
  <c r="BU1298" i="4" s="1"/>
  <c r="BU70" i="64"/>
  <c r="BU78" i="64"/>
  <c r="BU1073" i="4" l="1"/>
  <c r="BU1077" i="4" s="1"/>
  <c r="BU1081" i="4" s="1"/>
  <c r="BU47" i="11"/>
  <c r="BU1082" i="4" l="1"/>
  <c r="BU1089" i="4"/>
  <c r="BU61" i="11"/>
  <c r="BU62" i="11"/>
  <c r="BU48" i="11"/>
  <c r="BU55" i="11" s="1"/>
  <c r="BU62" i="62" l="1"/>
  <c r="BU64" i="11"/>
  <c r="BU1472" i="4"/>
  <c r="BU63" i="11"/>
  <c r="BU1093" i="4"/>
  <c r="BU1090" i="4" s="1"/>
  <c r="BU1091" i="4" s="1"/>
  <c r="BV1088" i="4" s="1"/>
  <c r="BU1083" i="4" l="1"/>
  <c r="BU1084" i="4" s="1"/>
  <c r="BU63" i="62" s="1"/>
  <c r="BU67" i="62" s="1"/>
  <c r="BU68" i="62" l="1"/>
  <c r="BU1323" i="4"/>
  <c r="BU61" i="64"/>
  <c r="BU75" i="11"/>
  <c r="BU56" i="11"/>
  <c r="BU57" i="11" s="1"/>
  <c r="BU1299" i="4"/>
  <c r="BU1300" i="4" s="1"/>
  <c r="BU1123" i="4"/>
  <c r="BU1130" i="4" s="1"/>
  <c r="BU1132" i="4" s="1"/>
  <c r="BU1135" i="4" s="1"/>
  <c r="BU1471" i="4" l="1"/>
  <c r="BU1283" i="4"/>
  <c r="BU77" i="64"/>
  <c r="BU82" i="64" s="1"/>
  <c r="BU69" i="64"/>
  <c r="BU74" i="64" s="1"/>
  <c r="BU66" i="64"/>
  <c r="BU40" i="64" s="1"/>
  <c r="BU42" i="64" s="1"/>
  <c r="BU1313" i="4"/>
  <c r="BU52" i="64" l="1"/>
  <c r="BU49" i="64"/>
  <c r="BU1193" i="4"/>
  <c r="BU1194" i="4" s="1"/>
  <c r="BU1196" i="4" s="1"/>
  <c r="BU1198" i="4" s="1"/>
  <c r="BU1164" i="4" s="1"/>
  <c r="BU1214" i="4" l="1"/>
  <c r="BU1165" i="4"/>
  <c r="BV1162" i="4" l="1"/>
  <c r="BV1207" i="4"/>
  <c r="BV1225" i="4" s="1"/>
  <c r="BU38" i="66"/>
  <c r="BU88" i="11"/>
  <c r="BU1302" i="4"/>
  <c r="BU1303" i="4" s="1"/>
  <c r="BU1324" i="4"/>
  <c r="BU1481" i="4"/>
  <c r="BU1483" i="4" s="1"/>
  <c r="BU1424" i="4"/>
  <c r="BU1215" i="4"/>
  <c r="BU1281" i="4" l="1"/>
  <c r="BU1271" i="4"/>
  <c r="BU31" i="11"/>
  <c r="BU1489" i="4"/>
  <c r="BU1490" i="4" s="1"/>
  <c r="BU1515" i="4"/>
  <c r="BU1505" i="4"/>
  <c r="BV1212" i="4"/>
  <c r="BV1163" i="4"/>
  <c r="BU1495" i="4" l="1"/>
  <c r="BU1493" i="4"/>
  <c r="BU45" i="62"/>
  <c r="BU30" i="11"/>
  <c r="BV1492" i="4"/>
  <c r="BU1252" i="4"/>
  <c r="BU1274" i="4"/>
  <c r="BU1275" i="4" s="1"/>
  <c r="BU1265" i="4" s="1"/>
  <c r="BV1213" i="4"/>
  <c r="BV1206" i="4"/>
  <c r="BV1224" i="4" s="1"/>
  <c r="BV1226" i="4" s="1"/>
  <c r="BV1202" i="4"/>
  <c r="BV1178" i="4"/>
  <c r="BU1496" i="4" l="1"/>
  <c r="BV50" i="11"/>
  <c r="BV49" i="11" s="1"/>
  <c r="BV1076" i="4"/>
  <c r="BV72" i="11"/>
  <c r="BV37" i="66"/>
  <c r="BV1122" i="4"/>
  <c r="BV1295" i="4"/>
  <c r="BV1326" i="4"/>
  <c r="BV297" i="4"/>
  <c r="BV305" i="4" s="1"/>
  <c r="BV330" i="4" s="1"/>
  <c r="BU1266" i="4"/>
  <c r="BU1264" i="4"/>
  <c r="BU1253" i="4" s="1"/>
  <c r="BV1189" i="4"/>
  <c r="BV1218" i="4" s="1"/>
  <c r="BV1179" i="4"/>
  <c r="BV1180" i="4"/>
  <c r="BV1169" i="4" s="1"/>
  <c r="BV1170" i="4" s="1"/>
  <c r="BV1188" i="4" s="1"/>
  <c r="BV87" i="11"/>
  <c r="BV1310" i="4"/>
  <c r="BV1336" i="4"/>
  <c r="BV18" i="66"/>
  <c r="BV1423" i="4"/>
  <c r="BU1261" i="4"/>
  <c r="BU1268" i="4" s="1"/>
  <c r="BU1257" i="4"/>
  <c r="BV1181" i="4" l="1"/>
  <c r="BV1197" i="4" s="1"/>
  <c r="BV1074" i="4"/>
  <c r="BV1219" i="4"/>
  <c r="BV294" i="4" s="1"/>
  <c r="BV1220" i="4"/>
  <c r="BV53" i="11" s="1"/>
  <c r="BV52" i="11" s="1"/>
  <c r="BU1338" i="4"/>
  <c r="BU1309" i="4"/>
  <c r="BU86" i="11"/>
  <c r="BU19" i="66"/>
  <c r="BU17" i="66" s="1"/>
  <c r="BU1480" i="4"/>
  <c r="BU1272" i="4"/>
  <c r="BU1276" i="4" s="1"/>
  <c r="BU1254" i="4" s="1"/>
  <c r="BU74" i="11"/>
  <c r="BU78" i="11" s="1"/>
  <c r="BU1304" i="4"/>
  <c r="BU1327" i="4"/>
  <c r="BU36" i="66"/>
  <c r="BU1386" i="4"/>
  <c r="BV467" i="4"/>
  <c r="BV469" i="4" s="1"/>
  <c r="BV470" i="4" s="1"/>
  <c r="BV471" i="4" s="1"/>
  <c r="BV472" i="4" s="1"/>
  <c r="BW466" i="4" s="1"/>
  <c r="BV456" i="4"/>
  <c r="BV458" i="4" s="1"/>
  <c r="BV459" i="4" s="1"/>
  <c r="BW479" i="4"/>
  <c r="BW468" i="4"/>
  <c r="BV478" i="4"/>
  <c r="BV480" i="4" s="1"/>
  <c r="BV481" i="4" s="1"/>
  <c r="BV482" i="4" s="1"/>
  <c r="BV483" i="4" s="1"/>
  <c r="BW477" i="4" s="1"/>
  <c r="BW457" i="4"/>
  <c r="BV1190" i="4" l="1"/>
  <c r="BV1221" i="4" s="1"/>
  <c r="BV1121" i="4" s="1"/>
  <c r="BV1144" i="4" s="1"/>
  <c r="BW495" i="4"/>
  <c r="BW1072" i="4" s="1"/>
  <c r="BU1421" i="4"/>
  <c r="BU1385" i="4"/>
  <c r="BU1388" i="4" s="1"/>
  <c r="BV494" i="4"/>
  <c r="BV1071" i="4" s="1"/>
  <c r="BV460" i="4"/>
  <c r="BV461" i="4" s="1"/>
  <c r="BW455" i="4" s="1"/>
  <c r="BU1305" i="4"/>
  <c r="BU1282" i="4" s="1"/>
  <c r="BU89" i="11"/>
  <c r="BU39" i="66"/>
  <c r="BU35" i="66" s="1"/>
  <c r="BU1328" i="4"/>
  <c r="BV299" i="4"/>
  <c r="BV302" i="4"/>
  <c r="BU1255" i="4"/>
  <c r="BV73" i="11" l="1"/>
  <c r="BV1301" i="4"/>
  <c r="BV1325" i="4"/>
  <c r="BU1284" i="4"/>
  <c r="BU1286" i="4" s="1"/>
  <c r="BV1235" i="4"/>
  <c r="BV1251" i="4" s="1"/>
  <c r="BV1234" i="4"/>
  <c r="BV1145" i="4"/>
  <c r="BV331" i="4"/>
  <c r="BV307" i="4"/>
  <c r="BU1390" i="4"/>
  <c r="BU1402" i="4"/>
  <c r="BU1425" i="4"/>
  <c r="BV1250" i="4"/>
  <c r="BU27" i="11"/>
  <c r="BU1506" i="4"/>
  <c r="BV332" i="4" l="1"/>
  <c r="BV14" i="11" s="1"/>
  <c r="BU1285" i="4"/>
  <c r="BV385" i="4"/>
  <c r="BV405" i="4"/>
  <c r="BV406" i="4" s="1"/>
  <c r="BV407" i="4" s="1"/>
  <c r="BV408" i="4" s="1"/>
  <c r="BV409" i="4" s="1"/>
  <c r="BW404" i="4" s="1"/>
  <c r="BV395" i="4"/>
  <c r="BV396" i="4" s="1"/>
  <c r="BV397" i="4" s="1"/>
  <c r="BV398" i="4" s="1"/>
  <c r="BV399" i="4" s="1"/>
  <c r="BW394" i="4" s="1"/>
  <c r="BV1241" i="4"/>
  <c r="BV1236" i="4"/>
  <c r="BU1509" i="4"/>
  <c r="BU1507" i="4"/>
  <c r="BU1508" i="4" s="1"/>
  <c r="BU1440" i="4"/>
  <c r="BU1403" i="4"/>
  <c r="BU1404" i="4" s="1"/>
  <c r="BU58" i="11"/>
  <c r="BU59" i="11" s="1"/>
  <c r="BU28" i="11" s="1"/>
  <c r="BU25" i="11" s="1"/>
  <c r="BU48" i="62"/>
  <c r="BU24" i="62" s="1"/>
  <c r="BU26" i="62" s="1"/>
  <c r="BU90" i="11"/>
  <c r="BU91" i="11" s="1"/>
  <c r="BU93" i="11" s="1"/>
  <c r="BU96" i="11" s="1"/>
  <c r="BU97" i="11" s="1"/>
  <c r="BU1306" i="4"/>
  <c r="BU1307" i="4" s="1"/>
  <c r="BU1311" i="4" s="1"/>
  <c r="BV1290" i="4" s="1"/>
  <c r="BU1329" i="4"/>
  <c r="BU22" i="66"/>
  <c r="BU1474" i="4" l="1"/>
  <c r="BU1469" i="4" s="1"/>
  <c r="BU37" i="11"/>
  <c r="BU1475" i="4"/>
  <c r="BU1470" i="4" s="1"/>
  <c r="BU1441" i="4"/>
  <c r="BU1442" i="4" s="1"/>
  <c r="BV1128" i="4"/>
  <c r="BV85" i="11"/>
  <c r="BV1308" i="4"/>
  <c r="BV42" i="62"/>
  <c r="BV1337" i="4"/>
  <c r="BV1244" i="4"/>
  <c r="BV1245" i="4" s="1"/>
  <c r="BU100" i="67"/>
  <c r="BU46" i="62"/>
  <c r="BU1340" i="4"/>
  <c r="BU1341" i="4" s="1"/>
  <c r="BU1330" i="4"/>
  <c r="BU1331" i="4" s="1"/>
  <c r="BU1462" i="4"/>
  <c r="BU1461" i="4" s="1"/>
  <c r="BU44" i="66"/>
  <c r="BU40" i="66" s="1"/>
  <c r="BU46" i="66" s="1"/>
  <c r="BU101" i="67"/>
  <c r="BU21" i="11"/>
  <c r="BU17" i="11" s="1"/>
  <c r="BU24" i="66"/>
  <c r="BU20" i="66" s="1"/>
  <c r="BU26" i="66" s="1"/>
  <c r="BV95" i="11"/>
  <c r="BU101" i="11"/>
  <c r="BU100" i="11"/>
  <c r="BV386" i="4"/>
  <c r="BV387" i="4" s="1"/>
  <c r="BV489" i="4"/>
  <c r="BV500" i="4"/>
  <c r="BU48" i="66" l="1"/>
  <c r="BU1463" i="4"/>
  <c r="BU1460" i="4" s="1"/>
  <c r="BU23" i="11"/>
  <c r="BU39" i="11" s="1"/>
  <c r="BU40" i="11" s="1"/>
  <c r="BV501" i="4"/>
  <c r="BV502" i="4" s="1"/>
  <c r="BV490" i="4"/>
  <c r="BV388" i="4"/>
  <c r="BV389" i="4" s="1"/>
  <c r="BW384" i="4" s="1"/>
  <c r="BV26" i="11"/>
  <c r="BW1240" i="4"/>
  <c r="BU99" i="11"/>
  <c r="BU1343" i="4"/>
  <c r="BV52" i="62"/>
  <c r="BV43" i="62"/>
  <c r="BV23" i="62" s="1"/>
  <c r="BW499" i="4" l="1"/>
  <c r="BW1100" i="4" s="1"/>
  <c r="BV1101" i="4"/>
  <c r="BV1103" i="4" s="1"/>
  <c r="BV1104" i="4" s="1"/>
  <c r="BV1105" i="4" s="1"/>
  <c r="BV51" i="11"/>
  <c r="BV64" i="62"/>
  <c r="BV16" i="66"/>
  <c r="BV14" i="66" s="1"/>
  <c r="BV13" i="66" s="1"/>
  <c r="BU1516" i="4"/>
  <c r="BU1517" i="4" s="1"/>
  <c r="BU1473" i="4"/>
  <c r="BU1468" i="4" s="1"/>
  <c r="BV491" i="4"/>
  <c r="BW488" i="4" l="1"/>
  <c r="BV15" i="11"/>
  <c r="BV13" i="11" s="1"/>
  <c r="BV62" i="64"/>
  <c r="BV984" i="4"/>
  <c r="BV988" i="4" s="1"/>
  <c r="BV1294" i="4" l="1"/>
  <c r="BV1298" i="4" s="1"/>
  <c r="BV71" i="11"/>
  <c r="BV992" i="4"/>
  <c r="BV1320" i="4"/>
  <c r="BV1120" i="4"/>
  <c r="BV78" i="64"/>
  <c r="BV70" i="64"/>
  <c r="BV47" i="11" l="1"/>
  <c r="BV1073" i="4"/>
  <c r="BV1077" i="4" s="1"/>
  <c r="BV1081" i="4" s="1"/>
  <c r="BV1082" i="4" l="1"/>
  <c r="BV1093" i="4" s="1"/>
  <c r="BV1090" i="4" s="1"/>
  <c r="BV1083" i="4" s="1"/>
  <c r="BV1084" i="4" s="1"/>
  <c r="BV1089" i="4"/>
  <c r="BV61" i="11"/>
  <c r="BV62" i="11"/>
  <c r="BV48" i="11"/>
  <c r="BV55" i="11" s="1"/>
  <c r="BV1091" i="4" l="1"/>
  <c r="BW1088" i="4" s="1"/>
  <c r="BV1472" i="4"/>
  <c r="BV62" i="62"/>
  <c r="BV64" i="11"/>
  <c r="BV63" i="11"/>
  <c r="BV75" i="11"/>
  <c r="BV61" i="64"/>
  <c r="BV1323" i="4"/>
  <c r="BV1299" i="4"/>
  <c r="BV1300" i="4" s="1"/>
  <c r="BV56" i="11"/>
  <c r="BV57" i="11" s="1"/>
  <c r="BV1123" i="4"/>
  <c r="BV1130" i="4" s="1"/>
  <c r="BV1132" i="4" s="1"/>
  <c r="BV1135" i="4" s="1"/>
  <c r="BV1471" i="4" l="1"/>
  <c r="BV1283" i="4"/>
  <c r="BV1313" i="4"/>
  <c r="BV63" i="62"/>
  <c r="BV67" i="62" s="1"/>
  <c r="BV69" i="64"/>
  <c r="BV74" i="64" s="1"/>
  <c r="BV77" i="64"/>
  <c r="BV82" i="64" s="1"/>
  <c r="BV66" i="64"/>
  <c r="BV40" i="64" s="1"/>
  <c r="BV42" i="64" s="1"/>
  <c r="BV68" i="62" l="1"/>
  <c r="BV1193" i="4"/>
  <c r="BV1194" i="4" s="1"/>
  <c r="BV1196" i="4" s="1"/>
  <c r="BV1198" i="4" s="1"/>
  <c r="BV1164" i="4" s="1"/>
  <c r="BV52" i="64"/>
  <c r="BV49" i="64"/>
  <c r="BV1214" i="4" l="1"/>
  <c r="BV1165" i="4"/>
  <c r="BW1162" i="4" l="1"/>
  <c r="BW1207" i="4"/>
  <c r="BW1225" i="4" s="1"/>
  <c r="BV88" i="11"/>
  <c r="BV1302" i="4"/>
  <c r="BV1303" i="4" s="1"/>
  <c r="BV1324" i="4"/>
  <c r="BV1481" i="4"/>
  <c r="BV1483" i="4" s="1"/>
  <c r="BV38" i="66"/>
  <c r="BV1424" i="4"/>
  <c r="BV1215" i="4"/>
  <c r="BV1271" i="4" l="1"/>
  <c r="BV1281" i="4"/>
  <c r="BV31" i="11"/>
  <c r="BW1212" i="4"/>
  <c r="BV1489" i="4"/>
  <c r="BV1490" i="4" s="1"/>
  <c r="BV1505" i="4"/>
  <c r="BV1515" i="4"/>
  <c r="BW1163" i="4"/>
  <c r="BV1495" i="4" l="1"/>
  <c r="BV1493" i="4"/>
  <c r="BW1492" i="4"/>
  <c r="BV30" i="11"/>
  <c r="BV45" i="62"/>
  <c r="BW1213" i="4"/>
  <c r="BW1206" i="4"/>
  <c r="BW1224" i="4" s="1"/>
  <c r="BW1226" i="4" s="1"/>
  <c r="BW1202" i="4"/>
  <c r="BW1178" i="4"/>
  <c r="BV1274" i="4"/>
  <c r="BV1275" i="4" s="1"/>
  <c r="BV1265" i="4" s="1"/>
  <c r="BV1252" i="4"/>
  <c r="BV1496" i="4" l="1"/>
  <c r="BV1261" i="4"/>
  <c r="BV1268" i="4" s="1"/>
  <c r="BV1257" i="4"/>
  <c r="BV1264" i="4"/>
  <c r="BV1253" i="4" s="1"/>
  <c r="BV1266" i="4"/>
  <c r="BW1180" i="4"/>
  <c r="BW1189" i="4"/>
  <c r="BW1218" i="4" s="1"/>
  <c r="BW1179" i="4"/>
  <c r="AA72" i="67"/>
  <c r="BW297" i="4"/>
  <c r="BW305" i="4" s="1"/>
  <c r="BW330" i="4" s="1"/>
  <c r="BW50" i="11"/>
  <c r="BW72" i="11"/>
  <c r="BW1295" i="4"/>
  <c r="BW1122" i="4"/>
  <c r="BW1076" i="4"/>
  <c r="BW1326" i="4"/>
  <c r="BW37" i="66"/>
  <c r="AA87" i="67"/>
  <c r="BW18" i="66"/>
  <c r="BW1310" i="4"/>
  <c r="BW1336" i="4"/>
  <c r="BW87" i="11"/>
  <c r="BW1423" i="4"/>
  <c r="AA14" i="13" s="1"/>
  <c r="BW1181" i="4" l="1"/>
  <c r="BW1197" i="4" s="1"/>
  <c r="BW456" i="4"/>
  <c r="BW458" i="4" s="1"/>
  <c r="BW459" i="4" s="1"/>
  <c r="BW467" i="4"/>
  <c r="BW469" i="4" s="1"/>
  <c r="BW470" i="4" s="1"/>
  <c r="BW471" i="4" s="1"/>
  <c r="BW472" i="4" s="1"/>
  <c r="BX466" i="4" s="1"/>
  <c r="BW478" i="4"/>
  <c r="BW480" i="4" s="1"/>
  <c r="BW481" i="4" s="1"/>
  <c r="BW482" i="4" s="1"/>
  <c r="BW483" i="4" s="1"/>
  <c r="BX477" i="4" s="1"/>
  <c r="BX457" i="4"/>
  <c r="BX479" i="4"/>
  <c r="BX468" i="4"/>
  <c r="BW1168" i="4"/>
  <c r="BW1169" i="4"/>
  <c r="BW1074" i="4"/>
  <c r="BW1219" i="4"/>
  <c r="BW294" i="4" s="1"/>
  <c r="BW1220" i="4"/>
  <c r="BV74" i="11"/>
  <c r="BV78" i="11" s="1"/>
  <c r="BV1327" i="4"/>
  <c r="BV1272" i="4"/>
  <c r="BV1276" i="4" s="1"/>
  <c r="BV1254" i="4" s="1"/>
  <c r="BV1304" i="4"/>
  <c r="BV1386" i="4"/>
  <c r="BV36" i="66"/>
  <c r="BV19" i="66"/>
  <c r="BV17" i="66" s="1"/>
  <c r="BV1309" i="4"/>
  <c r="BV1338" i="4"/>
  <c r="BV86" i="11"/>
  <c r="BV1480" i="4"/>
  <c r="AA50" i="67"/>
  <c r="AA49" i="67" s="1"/>
  <c r="BW49" i="11"/>
  <c r="BW1190" i="4" l="1"/>
  <c r="BW1221" i="4" s="1"/>
  <c r="BW1301" i="4" s="1"/>
  <c r="BW1170" i="4"/>
  <c r="BW1188" i="4" s="1"/>
  <c r="BW1164" i="4" s="1"/>
  <c r="BW1214" i="4" s="1"/>
  <c r="BW299" i="4"/>
  <c r="BW302" i="4"/>
  <c r="BX495" i="4"/>
  <c r="BX1072" i="4" s="1"/>
  <c r="BV89" i="11"/>
  <c r="BV39" i="66"/>
  <c r="BV35" i="66" s="1"/>
  <c r="BV1328" i="4"/>
  <c r="BV1305" i="4"/>
  <c r="BV1282" i="4" s="1"/>
  <c r="BV1385" i="4"/>
  <c r="BV1388" i="4" s="1"/>
  <c r="BV1421" i="4"/>
  <c r="BW460" i="4"/>
  <c r="BW461" i="4" s="1"/>
  <c r="BX455" i="4" s="1"/>
  <c r="BW494" i="4"/>
  <c r="BW1071" i="4" s="1"/>
  <c r="AA53" i="67"/>
  <c r="AA52" i="67" s="1"/>
  <c r="BW53" i="11"/>
  <c r="BW52" i="11" s="1"/>
  <c r="BV1255" i="4"/>
  <c r="AA73" i="67" l="1"/>
  <c r="BW73" i="11"/>
  <c r="BW1325" i="4"/>
  <c r="AA23" i="13"/>
  <c r="BW1121" i="4"/>
  <c r="BW1144" i="4" s="1"/>
  <c r="BW1235" i="4" s="1"/>
  <c r="BW1251" i="4" s="1"/>
  <c r="AA45" i="13"/>
  <c r="BW1165" i="4"/>
  <c r="BX1162" i="4" s="1"/>
  <c r="BV1284" i="4"/>
  <c r="BV1286" i="4" s="1"/>
  <c r="BV1425" i="4"/>
  <c r="BV1390" i="4"/>
  <c r="BV1402" i="4"/>
  <c r="BV27" i="11"/>
  <c r="BW1250" i="4"/>
  <c r="BV1506" i="4"/>
  <c r="BW88" i="11"/>
  <c r="BW1302" i="4"/>
  <c r="BW38" i="66"/>
  <c r="BW1324" i="4"/>
  <c r="BW1481" i="4"/>
  <c r="BW1483" i="4" s="1"/>
  <c r="BW1424" i="4"/>
  <c r="AA88" i="67"/>
  <c r="AA24" i="13"/>
  <c r="BW1215" i="4"/>
  <c r="BW307" i="4"/>
  <c r="BW331" i="4"/>
  <c r="BW1234" i="4" l="1"/>
  <c r="BW1236" i="4" s="1"/>
  <c r="BW1145" i="4"/>
  <c r="BW332" i="4"/>
  <c r="BW14" i="11" s="1"/>
  <c r="BX1207" i="4"/>
  <c r="BX1225" i="4" s="1"/>
  <c r="BV1440" i="4"/>
  <c r="BV1329" i="4"/>
  <c r="BV90" i="11"/>
  <c r="BV91" i="11" s="1"/>
  <c r="BV93" i="11" s="1"/>
  <c r="BV96" i="11" s="1"/>
  <c r="BV97" i="11" s="1"/>
  <c r="BV58" i="11"/>
  <c r="BV59" i="11" s="1"/>
  <c r="BV28" i="11" s="1"/>
  <c r="BV48" i="62"/>
  <c r="BV24" i="62" s="1"/>
  <c r="BV26" i="62" s="1"/>
  <c r="BV1306" i="4"/>
  <c r="BV1307" i="4" s="1"/>
  <c r="BV1311" i="4" s="1"/>
  <c r="BW1290" i="4" s="1"/>
  <c r="BV22" i="66"/>
  <c r="BV1285" i="4"/>
  <c r="BW405" i="4"/>
  <c r="BW406" i="4" s="1"/>
  <c r="BW407" i="4" s="1"/>
  <c r="BW408" i="4" s="1"/>
  <c r="BW409" i="4" s="1"/>
  <c r="BX404" i="4" s="1"/>
  <c r="BW385" i="4"/>
  <c r="BW395" i="4"/>
  <c r="BW396" i="4" s="1"/>
  <c r="BW397" i="4" s="1"/>
  <c r="BW398" i="4" s="1"/>
  <c r="BW399" i="4" s="1"/>
  <c r="BX394" i="4" s="1"/>
  <c r="AA1525" i="4"/>
  <c r="AA31" i="67"/>
  <c r="AA30" i="67" s="1"/>
  <c r="BW31" i="11"/>
  <c r="BW1489" i="4"/>
  <c r="BW1490" i="4" s="1"/>
  <c r="BW1495" i="4" s="1"/>
  <c r="BW1505" i="4"/>
  <c r="BW1515" i="4"/>
  <c r="BX1212" i="4"/>
  <c r="BV1403" i="4"/>
  <c r="BV1404" i="4" s="1"/>
  <c r="BV1507" i="4"/>
  <c r="BV1508" i="4" s="1"/>
  <c r="BV1509" i="4"/>
  <c r="BX1163" i="4"/>
  <c r="BW1241" i="4" l="1"/>
  <c r="BW1308" i="4" s="1"/>
  <c r="AA14" i="67"/>
  <c r="BW1128" i="4"/>
  <c r="BX1206" i="4"/>
  <c r="BX1224" i="4" s="1"/>
  <c r="BX1226" i="4" s="1"/>
  <c r="BX1213" i="4"/>
  <c r="BX1202" i="4"/>
  <c r="BX1178" i="4"/>
  <c r="BV1441" i="4"/>
  <c r="BV1442" i="4" s="1"/>
  <c r="BW45" i="62"/>
  <c r="BW30" i="11"/>
  <c r="BV44" i="66"/>
  <c r="BV40" i="66" s="1"/>
  <c r="BV46" i="66" s="1"/>
  <c r="BV100" i="11"/>
  <c r="BV100" i="67"/>
  <c r="BV24" i="66"/>
  <c r="BV20" i="66" s="1"/>
  <c r="BV26" i="66" s="1"/>
  <c r="BV46" i="62"/>
  <c r="BW95" i="11"/>
  <c r="BV1340" i="4"/>
  <c r="BV1341" i="4" s="1"/>
  <c r="BV101" i="11"/>
  <c r="BV1330" i="4"/>
  <c r="BV1331" i="4" s="1"/>
  <c r="BV101" i="67"/>
  <c r="BV21" i="11"/>
  <c r="BV17" i="11" s="1"/>
  <c r="BV1462" i="4"/>
  <c r="BV1461" i="4" s="1"/>
  <c r="BW85" i="11"/>
  <c r="AA85" i="67"/>
  <c r="BX1492" i="4"/>
  <c r="BW489" i="4"/>
  <c r="BW386" i="4"/>
  <c r="BW387" i="4" s="1"/>
  <c r="BW500" i="4"/>
  <c r="BV25" i="11"/>
  <c r="BW1244" i="4" l="1"/>
  <c r="BW1245" i="4" s="1"/>
  <c r="BX1240" i="4" s="1"/>
  <c r="BW1337" i="4"/>
  <c r="BW42" i="62"/>
  <c r="BW52" i="62" s="1"/>
  <c r="BV1343" i="4"/>
  <c r="AA26" i="67"/>
  <c r="BW501" i="4"/>
  <c r="BW502" i="4" s="1"/>
  <c r="BW388" i="4"/>
  <c r="BW389" i="4" s="1"/>
  <c r="BX384" i="4" s="1"/>
  <c r="BW490" i="4"/>
  <c r="BW491" i="4" s="1"/>
  <c r="BV48" i="66"/>
  <c r="BX1179" i="4"/>
  <c r="BX1189" i="4"/>
  <c r="BX1218" i="4" s="1"/>
  <c r="BX1180" i="4"/>
  <c r="BX1336" i="4"/>
  <c r="BX18" i="66"/>
  <c r="BX1310" i="4"/>
  <c r="BX87" i="11"/>
  <c r="BX1423" i="4"/>
  <c r="BX50" i="11"/>
  <c r="BX49" i="11" s="1"/>
  <c r="BX297" i="4"/>
  <c r="BX305" i="4" s="1"/>
  <c r="BX330" i="4" s="1"/>
  <c r="BX1326" i="4"/>
  <c r="BX1295" i="4"/>
  <c r="BX37" i="66"/>
  <c r="BX1122" i="4"/>
  <c r="BX72" i="11"/>
  <c r="BX1076" i="4"/>
  <c r="BV37" i="11"/>
  <c r="BV1474" i="4"/>
  <c r="BV1469" i="4" s="1"/>
  <c r="BV1475" i="4"/>
  <c r="BV1470" i="4" s="1"/>
  <c r="BV1463" i="4"/>
  <c r="BV1460" i="4" s="1"/>
  <c r="BV23" i="11"/>
  <c r="BV99" i="11"/>
  <c r="BW26" i="11" l="1"/>
  <c r="BW43" i="62"/>
  <c r="BW23" i="62" s="1"/>
  <c r="BW16" i="66" s="1"/>
  <c r="BW14" i="66" s="1"/>
  <c r="BW13" i="66" s="1"/>
  <c r="AA15" i="67"/>
  <c r="AA13" i="67" s="1"/>
  <c r="BW15" i="11"/>
  <c r="BW13" i="11" s="1"/>
  <c r="BX488" i="4"/>
  <c r="BV39" i="11"/>
  <c r="BV40" i="11" s="1"/>
  <c r="BW1101" i="4"/>
  <c r="BW1103" i="4" s="1"/>
  <c r="BW1104" i="4" s="1"/>
  <c r="BW1105" i="4" s="1"/>
  <c r="BX499" i="4"/>
  <c r="BX1100" i="4" s="1"/>
  <c r="BX478" i="4"/>
  <c r="BX480" i="4" s="1"/>
  <c r="BX481" i="4" s="1"/>
  <c r="BX482" i="4" s="1"/>
  <c r="BX483" i="4" s="1"/>
  <c r="BY477" i="4" s="1"/>
  <c r="BX456" i="4"/>
  <c r="BX458" i="4" s="1"/>
  <c r="BX459" i="4" s="1"/>
  <c r="BY457" i="4"/>
  <c r="BY468" i="4"/>
  <c r="BX467" i="4"/>
  <c r="BX469" i="4" s="1"/>
  <c r="BX470" i="4" s="1"/>
  <c r="BX471" i="4" s="1"/>
  <c r="BX472" i="4" s="1"/>
  <c r="BY466" i="4" s="1"/>
  <c r="BY479" i="4"/>
  <c r="BX1168" i="4"/>
  <c r="BX1169" i="4"/>
  <c r="BX1219" i="4"/>
  <c r="BX294" i="4" s="1"/>
  <c r="BX1220" i="4"/>
  <c r="BX53" i="11" s="1"/>
  <c r="BX52" i="11" s="1"/>
  <c r="BX1074" i="4"/>
  <c r="BX1181" i="4"/>
  <c r="BV1516" i="4"/>
  <c r="BV1517" i="4" s="1"/>
  <c r="BV1473" i="4"/>
  <c r="BV1468" i="4" s="1"/>
  <c r="AA51" i="67"/>
  <c r="BW64" i="62"/>
  <c r="BW51" i="11"/>
  <c r="BY495" i="4" l="1"/>
  <c r="BY1072" i="4" s="1"/>
  <c r="I1168" i="4"/>
  <c r="BX1170" i="4"/>
  <c r="BX1188" i="4" s="1"/>
  <c r="BX1164" i="4" s="1"/>
  <c r="BX460" i="4"/>
  <c r="BX461" i="4" s="1"/>
  <c r="BY455" i="4" s="1"/>
  <c r="BX494" i="4"/>
  <c r="BX1071" i="4" s="1"/>
  <c r="BX1197" i="4"/>
  <c r="BX1190" i="4"/>
  <c r="BX1221" i="4" s="1"/>
  <c r="BW984" i="4"/>
  <c r="BW988" i="4" s="1"/>
  <c r="BW62" i="64"/>
  <c r="BX299" i="4"/>
  <c r="BX302" i="4"/>
  <c r="BW1320" i="4" l="1"/>
  <c r="BW1120" i="4"/>
  <c r="BW992" i="4"/>
  <c r="BW1294" i="4"/>
  <c r="BW1298" i="4" s="1"/>
  <c r="BW71" i="11"/>
  <c r="AA40" i="13"/>
  <c r="AA71" i="67"/>
  <c r="BX1301" i="4"/>
  <c r="BX1121" i="4"/>
  <c r="BX1144" i="4" s="1"/>
  <c r="BX1325" i="4"/>
  <c r="BX73" i="11"/>
  <c r="BX307" i="4"/>
  <c r="BX331" i="4"/>
  <c r="BX1214" i="4"/>
  <c r="BX1165" i="4"/>
  <c r="BW70" i="64"/>
  <c r="BW78" i="64"/>
  <c r="BX332" i="4" l="1"/>
  <c r="BX14" i="11" s="1"/>
  <c r="BX1481" i="4"/>
  <c r="BX1483" i="4" s="1"/>
  <c r="BX38" i="66"/>
  <c r="BX1302" i="4"/>
  <c r="BX88" i="11"/>
  <c r="BX1324" i="4"/>
  <c r="BX1424" i="4"/>
  <c r="BX1215" i="4"/>
  <c r="BW47" i="11"/>
  <c r="BW1073" i="4"/>
  <c r="BW1077" i="4" s="1"/>
  <c r="BW1081" i="4" s="1"/>
  <c r="AA47" i="67"/>
  <c r="AA20" i="72"/>
  <c r="BY1162" i="4"/>
  <c r="BY1207" i="4"/>
  <c r="BY1225" i="4" s="1"/>
  <c r="BX385" i="4"/>
  <c r="BX405" i="4"/>
  <c r="BX406" i="4" s="1"/>
  <c r="BX407" i="4" s="1"/>
  <c r="BX408" i="4" s="1"/>
  <c r="BX409" i="4" s="1"/>
  <c r="BY404" i="4" s="1"/>
  <c r="BX395" i="4"/>
  <c r="BX396" i="4" s="1"/>
  <c r="BX397" i="4" s="1"/>
  <c r="BX398" i="4" s="1"/>
  <c r="BX399" i="4" s="1"/>
  <c r="BY394" i="4" s="1"/>
  <c r="BX1235" i="4"/>
  <c r="BX1251" i="4" s="1"/>
  <c r="BX1234" i="4"/>
  <c r="BX1145" i="4"/>
  <c r="AA62" i="67" l="1"/>
  <c r="AA64" i="67" s="1"/>
  <c r="AA61" i="67"/>
  <c r="AA63" i="67" s="1"/>
  <c r="AA48" i="67"/>
  <c r="AA55" i="67" s="1"/>
  <c r="BW1082" i="4"/>
  <c r="BW1093" i="4" s="1"/>
  <c r="BW1090" i="4" s="1"/>
  <c r="BW1083" i="4" s="1"/>
  <c r="BW1084" i="4" s="1"/>
  <c r="BW1089" i="4"/>
  <c r="BX500" i="4"/>
  <c r="BX489" i="4"/>
  <c r="BX386" i="4"/>
  <c r="BX387" i="4" s="1"/>
  <c r="BW61" i="11"/>
  <c r="BW62" i="11"/>
  <c r="BW48" i="11"/>
  <c r="BW55" i="11" s="1"/>
  <c r="BX31" i="11"/>
  <c r="BY1212" i="4"/>
  <c r="BX1489" i="4"/>
  <c r="BX1490" i="4" s="1"/>
  <c r="BX1495" i="4" s="1"/>
  <c r="BX1505" i="4"/>
  <c r="BX1515" i="4"/>
  <c r="BX1241" i="4"/>
  <c r="BX1236" i="4"/>
  <c r="BY1163" i="4"/>
  <c r="BW1091" i="4" l="1"/>
  <c r="BX1088" i="4" s="1"/>
  <c r="BY1492" i="4"/>
  <c r="BX45" i="62"/>
  <c r="BX30" i="11"/>
  <c r="BW1299" i="4"/>
  <c r="BW1300" i="4" s="1"/>
  <c r="BW56" i="11"/>
  <c r="BW57" i="11" s="1"/>
  <c r="BW1123" i="4"/>
  <c r="BW1130" i="4" s="1"/>
  <c r="BW1132" i="4" s="1"/>
  <c r="BW1135" i="4" s="1"/>
  <c r="BW61" i="64"/>
  <c r="BW1323" i="4"/>
  <c r="BW75" i="11"/>
  <c r="AA75" i="67"/>
  <c r="AA41" i="13"/>
  <c r="AA43" i="13" s="1"/>
  <c r="AA49" i="13" s="1"/>
  <c r="AA56" i="67"/>
  <c r="AA57" i="67" s="1"/>
  <c r="BY1213" i="4"/>
  <c r="BY1206" i="4"/>
  <c r="BY1224" i="4" s="1"/>
  <c r="BY1226" i="4" s="1"/>
  <c r="BY1202" i="4"/>
  <c r="BY1178" i="4"/>
  <c r="BX85" i="11"/>
  <c r="BX1337" i="4"/>
  <c r="BX1244" i="4"/>
  <c r="BX1245" i="4" s="1"/>
  <c r="BX1308" i="4"/>
  <c r="BX42" i="62"/>
  <c r="BW64" i="11"/>
  <c r="BW1472" i="4"/>
  <c r="BW62" i="62"/>
  <c r="BW63" i="11"/>
  <c r="AA1526" i="4"/>
  <c r="AA1529" i="4" s="1"/>
  <c r="BX501" i="4"/>
  <c r="BX502" i="4" s="1"/>
  <c r="BX388" i="4"/>
  <c r="BX389" i="4" s="1"/>
  <c r="BY384" i="4" s="1"/>
  <c r="BX490" i="4"/>
  <c r="BY1189" i="4" l="1"/>
  <c r="BY1218" i="4" s="1"/>
  <c r="BY1179" i="4"/>
  <c r="BY1180" i="4"/>
  <c r="BY1169" i="4" s="1"/>
  <c r="BY1170" i="4" s="1"/>
  <c r="BY1188" i="4" s="1"/>
  <c r="BY1164" i="4" s="1"/>
  <c r="BW63" i="62"/>
  <c r="BW67" i="62" s="1"/>
  <c r="BY50" i="11"/>
  <c r="BY49" i="11" s="1"/>
  <c r="BY72" i="11"/>
  <c r="BY1326" i="4"/>
  <c r="BY1122" i="4"/>
  <c r="BY1295" i="4"/>
  <c r="BY37" i="66"/>
  <c r="BY297" i="4"/>
  <c r="BY305" i="4" s="1"/>
  <c r="BY330" i="4" s="1"/>
  <c r="BY1076" i="4"/>
  <c r="BW69" i="64"/>
  <c r="BW74" i="64" s="1"/>
  <c r="BW77" i="64"/>
  <c r="BW82" i="64" s="1"/>
  <c r="BW66" i="64"/>
  <c r="BW40" i="64" s="1"/>
  <c r="BW42" i="64" s="1"/>
  <c r="BX51" i="11"/>
  <c r="BX64" i="62"/>
  <c r="BX1101" i="4"/>
  <c r="BX1103" i="4" s="1"/>
  <c r="BX1104" i="4" s="1"/>
  <c r="BX1105" i="4" s="1"/>
  <c r="BY499" i="4"/>
  <c r="BY1100" i="4" s="1"/>
  <c r="BX52" i="62"/>
  <c r="BX43" i="62"/>
  <c r="BX23" i="62" s="1"/>
  <c r="BY18" i="66"/>
  <c r="BY1310" i="4"/>
  <c r="BY87" i="11"/>
  <c r="BY1336" i="4"/>
  <c r="BY1423" i="4"/>
  <c r="BW1471" i="4"/>
  <c r="BW1283" i="4"/>
  <c r="BX491" i="4"/>
  <c r="BX26" i="11"/>
  <c r="BY1240" i="4"/>
  <c r="BW1313" i="4"/>
  <c r="BW1303" i="4"/>
  <c r="BY1181" i="4" l="1"/>
  <c r="BY1197" i="4" s="1"/>
  <c r="BW1281" i="4"/>
  <c r="BW1271" i="4"/>
  <c r="BW68" i="62"/>
  <c r="BY467" i="4"/>
  <c r="BY469" i="4" s="1"/>
  <c r="BY470" i="4" s="1"/>
  <c r="BY471" i="4" s="1"/>
  <c r="BY472" i="4" s="1"/>
  <c r="BZ466" i="4" s="1"/>
  <c r="BY456" i="4"/>
  <c r="BY458" i="4" s="1"/>
  <c r="BY459" i="4" s="1"/>
  <c r="BY478" i="4"/>
  <c r="BY480" i="4" s="1"/>
  <c r="BY481" i="4" s="1"/>
  <c r="BY482" i="4" s="1"/>
  <c r="BY483" i="4" s="1"/>
  <c r="BZ477" i="4" s="1"/>
  <c r="BZ468" i="4"/>
  <c r="BZ479" i="4"/>
  <c r="BZ457" i="4"/>
  <c r="BX62" i="64"/>
  <c r="BX984" i="4"/>
  <c r="BX988" i="4" s="1"/>
  <c r="BW1193" i="4"/>
  <c r="BW1194" i="4" s="1"/>
  <c r="BW1196" i="4" s="1"/>
  <c r="BW1198" i="4" s="1"/>
  <c r="BW1493" i="4"/>
  <c r="BW1496" i="4" s="1"/>
  <c r="BX15" i="11"/>
  <c r="BX13" i="11" s="1"/>
  <c r="BY488" i="4"/>
  <c r="BW52" i="64"/>
  <c r="BW49" i="64"/>
  <c r="BY1214" i="4"/>
  <c r="BY1165" i="4"/>
  <c r="BX16" i="66"/>
  <c r="BX14" i="66" s="1"/>
  <c r="BX13" i="66" s="1"/>
  <c r="BY1074" i="4"/>
  <c r="BY1219" i="4"/>
  <c r="BY294" i="4" s="1"/>
  <c r="BY1220" i="4"/>
  <c r="BY53" i="11" s="1"/>
  <c r="BY52" i="11" s="1"/>
  <c r="BY1190" i="4" l="1"/>
  <c r="BY1221" i="4" s="1"/>
  <c r="BY1121" i="4" s="1"/>
  <c r="BY1144" i="4" s="1"/>
  <c r="BZ495" i="4"/>
  <c r="BZ1072" i="4" s="1"/>
  <c r="BX70" i="64"/>
  <c r="BX78" i="64"/>
  <c r="BY494" i="4"/>
  <c r="BY1071" i="4" s="1"/>
  <c r="BY460" i="4"/>
  <c r="BY461" i="4" s="1"/>
  <c r="BZ455" i="4" s="1"/>
  <c r="BZ1162" i="4"/>
  <c r="BZ1207" i="4"/>
  <c r="BZ1225" i="4" s="1"/>
  <c r="BY299" i="4"/>
  <c r="BY302" i="4"/>
  <c r="BY1302" i="4"/>
  <c r="BY88" i="11"/>
  <c r="BY1324" i="4"/>
  <c r="BY38" i="66"/>
  <c r="BY1424" i="4"/>
  <c r="BY1215" i="4"/>
  <c r="BW1274" i="4"/>
  <c r="BW1275" i="4" s="1"/>
  <c r="BW1265" i="4" s="1"/>
  <c r="BW1252" i="4"/>
  <c r="BX1294" i="4"/>
  <c r="BX1320" i="4"/>
  <c r="BX992" i="4"/>
  <c r="BX71" i="11"/>
  <c r="BX1120" i="4"/>
  <c r="BY1481" i="4" l="1"/>
  <c r="BY1483" i="4" s="1"/>
  <c r="BY73" i="11"/>
  <c r="BY1325" i="4"/>
  <c r="BY1301" i="4"/>
  <c r="BY307" i="4"/>
  <c r="BY331" i="4"/>
  <c r="BZ1163" i="4"/>
  <c r="BX1073" i="4"/>
  <c r="BX1077" i="4" s="1"/>
  <c r="BX1081" i="4" s="1"/>
  <c r="BX47" i="11"/>
  <c r="BY31" i="11"/>
  <c r="BY1515" i="4"/>
  <c r="BY1489" i="4"/>
  <c r="BY1490" i="4" s="1"/>
  <c r="BZ1212" i="4"/>
  <c r="BY1505" i="4"/>
  <c r="BW1261" i="4"/>
  <c r="BW1268" i="4" s="1"/>
  <c r="BW1257" i="4"/>
  <c r="BW1264" i="4"/>
  <c r="BW1253" i="4" s="1"/>
  <c r="BW1266" i="4"/>
  <c r="BY1234" i="4"/>
  <c r="BY1145" i="4"/>
  <c r="BY1235" i="4"/>
  <c r="BY1251" i="4" s="1"/>
  <c r="BY332" i="4" l="1"/>
  <c r="BY14" i="11" s="1"/>
  <c r="BZ1492" i="4"/>
  <c r="BY1499" i="4"/>
  <c r="BY1495" i="4"/>
  <c r="BX61" i="11"/>
  <c r="BX62" i="11"/>
  <c r="BX48" i="11"/>
  <c r="BX55" i="11" s="1"/>
  <c r="BY1241" i="4"/>
  <c r="BY1236" i="4"/>
  <c r="BW1304" i="4"/>
  <c r="BW1272" i="4"/>
  <c r="BW1276" i="4" s="1"/>
  <c r="BW1254" i="4" s="1"/>
  <c r="BW74" i="11"/>
  <c r="BW78" i="11" s="1"/>
  <c r="BW1327" i="4"/>
  <c r="AA74" i="67"/>
  <c r="AA78" i="67" s="1"/>
  <c r="BW1386" i="4"/>
  <c r="BW36" i="66"/>
  <c r="BX1082" i="4"/>
  <c r="BX1093" i="4" s="1"/>
  <c r="BX1090" i="4" s="1"/>
  <c r="BX1083" i="4" s="1"/>
  <c r="BX1084" i="4" s="1"/>
  <c r="BX1089" i="4"/>
  <c r="BY45" i="62"/>
  <c r="BY30" i="11"/>
  <c r="BW1309" i="4"/>
  <c r="BW1338" i="4"/>
  <c r="BW86" i="11"/>
  <c r="BW19" i="66"/>
  <c r="BW17" i="66" s="1"/>
  <c r="AA86" i="67"/>
  <c r="BW1480" i="4"/>
  <c r="AA25" i="13" s="1"/>
  <c r="BZ1206" i="4"/>
  <c r="BZ1224" i="4" s="1"/>
  <c r="BZ1226" i="4" s="1"/>
  <c r="BZ1213" i="4"/>
  <c r="BZ1202" i="4"/>
  <c r="BZ1178" i="4"/>
  <c r="BY395" i="4"/>
  <c r="BY396" i="4" s="1"/>
  <c r="BY397" i="4" s="1"/>
  <c r="BY398" i="4" s="1"/>
  <c r="BY399" i="4" s="1"/>
  <c r="BZ394" i="4" s="1"/>
  <c r="BY385" i="4"/>
  <c r="BY405" i="4"/>
  <c r="BY406" i="4" s="1"/>
  <c r="BY407" i="4" s="1"/>
  <c r="BY408" i="4" s="1"/>
  <c r="BY409" i="4" s="1"/>
  <c r="BZ404" i="4" s="1"/>
  <c r="BX1091" i="4" l="1"/>
  <c r="BY1088" i="4" s="1"/>
  <c r="BX62" i="62"/>
  <c r="BX64" i="11"/>
  <c r="BX1472" i="4"/>
  <c r="BZ1179" i="4"/>
  <c r="BZ1180" i="4"/>
  <c r="BZ1169" i="4" s="1"/>
  <c r="BZ1170" i="4" s="1"/>
  <c r="BZ1188" i="4" s="1"/>
  <c r="BZ1164" i="4" s="1"/>
  <c r="BZ1189" i="4"/>
  <c r="BZ1218" i="4" s="1"/>
  <c r="BX63" i="11"/>
  <c r="BZ18" i="66"/>
  <c r="BZ1336" i="4"/>
  <c r="BZ87" i="11"/>
  <c r="BZ1310" i="4"/>
  <c r="BZ1423" i="4"/>
  <c r="BW1385" i="4"/>
  <c r="BW1388" i="4" s="1"/>
  <c r="BW1421" i="4"/>
  <c r="BZ1326" i="4"/>
  <c r="BZ1122" i="4"/>
  <c r="BZ72" i="11"/>
  <c r="BZ37" i="66"/>
  <c r="BZ1076" i="4"/>
  <c r="BZ297" i="4"/>
  <c r="BZ305" i="4" s="1"/>
  <c r="BZ330" i="4" s="1"/>
  <c r="BZ1295" i="4"/>
  <c r="BZ50" i="11"/>
  <c r="BZ49" i="11" s="1"/>
  <c r="BW39" i="66"/>
  <c r="BW35" i="66" s="1"/>
  <c r="BW1305" i="4"/>
  <c r="BW1282" i="4" s="1"/>
  <c r="BW1328" i="4"/>
  <c r="BW89" i="11"/>
  <c r="AA89" i="67"/>
  <c r="BY489" i="4"/>
  <c r="BY386" i="4"/>
  <c r="BY387" i="4" s="1"/>
  <c r="BY500" i="4"/>
  <c r="BX56" i="11"/>
  <c r="BX57" i="11" s="1"/>
  <c r="BX1471" i="4" s="1"/>
  <c r="BX1123" i="4"/>
  <c r="BX1299" i="4"/>
  <c r="BX61" i="64"/>
  <c r="BX75" i="11"/>
  <c r="BX1323" i="4"/>
  <c r="BY1308" i="4"/>
  <c r="BY85" i="11"/>
  <c r="BY1244" i="4"/>
  <c r="BY1245" i="4" s="1"/>
  <c r="BY1337" i="4"/>
  <c r="BY42" i="62"/>
  <c r="BW1255" i="4"/>
  <c r="BW1425" i="4" l="1"/>
  <c r="AA13" i="13"/>
  <c r="BX77" i="64"/>
  <c r="BX82" i="64" s="1"/>
  <c r="BX69" i="64"/>
  <c r="BX74" i="64" s="1"/>
  <c r="BX66" i="64"/>
  <c r="BX40" i="64" s="1"/>
  <c r="BX42" i="64" s="1"/>
  <c r="AA27" i="67"/>
  <c r="BX1250" i="4"/>
  <c r="BW27" i="11"/>
  <c r="BW1506" i="4"/>
  <c r="BW1390" i="4"/>
  <c r="AA1393" i="4" s="1"/>
  <c r="BW1402" i="4"/>
  <c r="CA479" i="4"/>
  <c r="CA457" i="4"/>
  <c r="CA468" i="4"/>
  <c r="BZ467" i="4"/>
  <c r="BZ469" i="4" s="1"/>
  <c r="BZ470" i="4" s="1"/>
  <c r="BZ471" i="4" s="1"/>
  <c r="BZ472" i="4" s="1"/>
  <c r="CA466" i="4" s="1"/>
  <c r="BZ478" i="4"/>
  <c r="BZ480" i="4" s="1"/>
  <c r="BZ481" i="4" s="1"/>
  <c r="BZ482" i="4" s="1"/>
  <c r="BZ483" i="4" s="1"/>
  <c r="CA477" i="4" s="1"/>
  <c r="BZ456" i="4"/>
  <c r="BZ458" i="4" s="1"/>
  <c r="BZ459" i="4" s="1"/>
  <c r="BZ1074" i="4"/>
  <c r="BZ1219" i="4"/>
  <c r="BZ294" i="4" s="1"/>
  <c r="BZ1220" i="4"/>
  <c r="BZ53" i="11" s="1"/>
  <c r="BZ52" i="11" s="1"/>
  <c r="BY52" i="62"/>
  <c r="BY43" i="62"/>
  <c r="BY23" i="62" s="1"/>
  <c r="BY388" i="4"/>
  <c r="BY389" i="4" s="1"/>
  <c r="BZ384" i="4" s="1"/>
  <c r="BY501" i="4"/>
  <c r="BY502" i="4" s="1"/>
  <c r="BY490" i="4"/>
  <c r="BZ1214" i="4"/>
  <c r="BZ1165" i="4"/>
  <c r="BZ1181" i="4"/>
  <c r="BY26" i="11"/>
  <c r="BZ1240" i="4"/>
  <c r="BW1284" i="4"/>
  <c r="BW1286" i="4" s="1"/>
  <c r="BX63" i="62"/>
  <c r="BX67" i="62" s="1"/>
  <c r="BW1285" i="4" l="1"/>
  <c r="CA495" i="4"/>
  <c r="CA1072" i="4" s="1"/>
  <c r="CA1162" i="4"/>
  <c r="CA1207" i="4"/>
  <c r="CA1225" i="4" s="1"/>
  <c r="BZ299" i="4"/>
  <c r="BZ302" i="4"/>
  <c r="BX68" i="62"/>
  <c r="BZ1302" i="4"/>
  <c r="BZ88" i="11"/>
  <c r="BZ1324" i="4"/>
  <c r="BZ38" i="66"/>
  <c r="BZ1424" i="4"/>
  <c r="BZ1215" i="4"/>
  <c r="BW58" i="11"/>
  <c r="BW59" i="11" s="1"/>
  <c r="BW28" i="11" s="1"/>
  <c r="BW90" i="11"/>
  <c r="BW91" i="11" s="1"/>
  <c r="BW93" i="11" s="1"/>
  <c r="BW96" i="11" s="1"/>
  <c r="BW97" i="11" s="1"/>
  <c r="BW1306" i="4"/>
  <c r="BW1307" i="4" s="1"/>
  <c r="BW1311" i="4" s="1"/>
  <c r="BX1290" i="4" s="1"/>
  <c r="BW48" i="62"/>
  <c r="BW24" i="62" s="1"/>
  <c r="BW26" i="62" s="1"/>
  <c r="BW1329" i="4"/>
  <c r="AA58" i="67"/>
  <c r="AA59" i="67" s="1"/>
  <c r="AA90" i="67"/>
  <c r="AA91" i="67" s="1"/>
  <c r="AA93" i="67" s="1"/>
  <c r="AA96" i="67" s="1"/>
  <c r="AA97" i="67" s="1"/>
  <c r="BW22" i="66"/>
  <c r="BX52" i="64"/>
  <c r="BX49" i="64"/>
  <c r="BY51" i="11"/>
  <c r="BY64" i="62"/>
  <c r="BY1101" i="4"/>
  <c r="BY1103" i="4" s="1"/>
  <c r="BY1104" i="4" s="1"/>
  <c r="BY1105" i="4" s="1"/>
  <c r="BZ499" i="4"/>
  <c r="BZ1100" i="4" s="1"/>
  <c r="BW1403" i="4"/>
  <c r="BW1404" i="4" s="1"/>
  <c r="BZ1197" i="4"/>
  <c r="BZ1190" i="4"/>
  <c r="BZ1221" i="4" s="1"/>
  <c r="BY16" i="66"/>
  <c r="BY14" i="66" s="1"/>
  <c r="BY13" i="66" s="1"/>
  <c r="BZ494" i="4"/>
  <c r="BZ1071" i="4" s="1"/>
  <c r="BZ460" i="4"/>
  <c r="BZ461" i="4" s="1"/>
  <c r="CA455" i="4" s="1"/>
  <c r="BW1509" i="4"/>
  <c r="BW1507" i="4"/>
  <c r="BW1508" i="4" s="1"/>
  <c r="BY491" i="4"/>
  <c r="BW1440" i="4"/>
  <c r="BY984" i="4" l="1"/>
  <c r="BY988" i="4" s="1"/>
  <c r="BY62" i="64"/>
  <c r="BZ1325" i="4"/>
  <c r="BZ73" i="11"/>
  <c r="BZ1301" i="4"/>
  <c r="BZ1121" i="4"/>
  <c r="BZ1144" i="4" s="1"/>
  <c r="BZ488" i="4"/>
  <c r="BY15" i="11"/>
  <c r="BY13" i="11" s="1"/>
  <c r="BW1441" i="4"/>
  <c r="BW1442" i="4" s="1"/>
  <c r="BX1128" i="4"/>
  <c r="BX1130" i="4" s="1"/>
  <c r="BX1132" i="4" s="1"/>
  <c r="BX1135" i="4" s="1"/>
  <c r="BX1298" i="4"/>
  <c r="BX1300" i="4" s="1"/>
  <c r="AA21" i="67"/>
  <c r="AA17" i="67" s="1"/>
  <c r="AA23" i="67" s="1"/>
  <c r="BW1462" i="4"/>
  <c r="BW1461" i="4" s="1"/>
  <c r="AA1527" i="4"/>
  <c r="AA1534" i="4" s="1"/>
  <c r="BW101" i="11"/>
  <c r="BX95" i="11"/>
  <c r="BW1340" i="4"/>
  <c r="BW1341" i="4" s="1"/>
  <c r="BW100" i="11"/>
  <c r="BW46" i="62"/>
  <c r="BW101" i="67"/>
  <c r="BW1330" i="4"/>
  <c r="BW1331" i="4" s="1"/>
  <c r="BW100" i="67"/>
  <c r="BW44" i="66"/>
  <c r="BW40" i="66" s="1"/>
  <c r="BW46" i="66" s="1"/>
  <c r="BW21" i="11"/>
  <c r="BW17" i="11" s="1"/>
  <c r="BW24" i="66"/>
  <c r="BW20" i="66" s="1"/>
  <c r="BW26" i="66" s="1"/>
  <c r="BZ331" i="4"/>
  <c r="BZ307" i="4"/>
  <c r="AA28" i="67"/>
  <c r="AA25" i="67" s="1"/>
  <c r="AA37" i="67" s="1"/>
  <c r="BX1283" i="4"/>
  <c r="BZ1481" i="4"/>
  <c r="BZ1483" i="4" s="1"/>
  <c r="BZ31" i="11"/>
  <c r="BZ1505" i="4"/>
  <c r="BZ1489" i="4"/>
  <c r="BZ1515" i="4"/>
  <c r="CA1212" i="4"/>
  <c r="AB95" i="67"/>
  <c r="CA1163" i="4"/>
  <c r="BW25" i="11"/>
  <c r="AA39" i="67" l="1"/>
  <c r="AA40" i="67" s="1"/>
  <c r="BZ332" i="4"/>
  <c r="BZ14" i="11" s="1"/>
  <c r="BW1343" i="4"/>
  <c r="BW99" i="11"/>
  <c r="BZ30" i="11"/>
  <c r="BZ45" i="62"/>
  <c r="BZ1235" i="4"/>
  <c r="BZ1251" i="4" s="1"/>
  <c r="BZ1145" i="4"/>
  <c r="BZ1234" i="4"/>
  <c r="CA1206" i="4"/>
  <c r="CA1224" i="4" s="1"/>
  <c r="CA1226" i="4" s="1"/>
  <c r="CA1213" i="4"/>
  <c r="CA1202" i="4"/>
  <c r="CA1178" i="4"/>
  <c r="BW1463" i="4"/>
  <c r="BW1460" i="4" s="1"/>
  <c r="BW23" i="11"/>
  <c r="BW37" i="11"/>
  <c r="BW1474" i="4"/>
  <c r="BW1469" i="4" s="1"/>
  <c r="BW1475" i="4"/>
  <c r="BW1470" i="4" s="1"/>
  <c r="AA99" i="67"/>
  <c r="BW48" i="66"/>
  <c r="CA1492" i="4"/>
  <c r="BZ1490" i="4"/>
  <c r="BZ1495" i="4" s="1"/>
  <c r="BZ385" i="4"/>
  <c r="BZ405" i="4"/>
  <c r="BZ406" i="4" s="1"/>
  <c r="BZ407" i="4" s="1"/>
  <c r="BZ408" i="4" s="1"/>
  <c r="BZ409" i="4" s="1"/>
  <c r="CA404" i="4" s="1"/>
  <c r="BZ395" i="4"/>
  <c r="BZ396" i="4" s="1"/>
  <c r="BZ397" i="4" s="1"/>
  <c r="BZ398" i="4" s="1"/>
  <c r="BZ399" i="4" s="1"/>
  <c r="CA394" i="4" s="1"/>
  <c r="BX1313" i="4"/>
  <c r="BX1303" i="4"/>
  <c r="BY70" i="64"/>
  <c r="BY78" i="64"/>
  <c r="BY71" i="11"/>
  <c r="BY1320" i="4"/>
  <c r="BY1294" i="4"/>
  <c r="BY1120" i="4"/>
  <c r="BY992" i="4"/>
  <c r="BY1073" i="4" l="1"/>
  <c r="BY1077" i="4" s="1"/>
  <c r="BY1081" i="4" s="1"/>
  <c r="BY47" i="11"/>
  <c r="BX1493" i="4"/>
  <c r="BX1496" i="4" s="1"/>
  <c r="BX1193" i="4"/>
  <c r="BX1194" i="4" s="1"/>
  <c r="BX1196" i="4" s="1"/>
  <c r="BX1198" i="4" s="1"/>
  <c r="CA72" i="11"/>
  <c r="CA1076" i="4"/>
  <c r="CA1326" i="4"/>
  <c r="CA1122" i="4"/>
  <c r="CA297" i="4"/>
  <c r="CA305" i="4" s="1"/>
  <c r="CA330" i="4" s="1"/>
  <c r="CA50" i="11"/>
  <c r="CA1295" i="4"/>
  <c r="CA37" i="66"/>
  <c r="AB72" i="67"/>
  <c r="BW39" i="11"/>
  <c r="BW40" i="11" s="1"/>
  <c r="BW1516" i="4"/>
  <c r="BW1517" i="4" s="1"/>
  <c r="BW1473" i="4"/>
  <c r="BW1468" i="4" s="1"/>
  <c r="BZ1241" i="4"/>
  <c r="BZ1236" i="4"/>
  <c r="BZ489" i="4"/>
  <c r="BZ500" i="4"/>
  <c r="BZ386" i="4"/>
  <c r="BZ387" i="4" s="1"/>
  <c r="BZ1499" i="4"/>
  <c r="CA1180" i="4"/>
  <c r="CA1169" i="4" s="1"/>
  <c r="CA1170" i="4" s="1"/>
  <c r="CA1188" i="4" s="1"/>
  <c r="CA1164" i="4" s="1"/>
  <c r="CA1189" i="4"/>
  <c r="CA1218" i="4" s="1"/>
  <c r="CA1179" i="4"/>
  <c r="BX1271" i="4"/>
  <c r="BX1281" i="4"/>
  <c r="AB87" i="67"/>
  <c r="CA18" i="66"/>
  <c r="CA87" i="11"/>
  <c r="CA1336" i="4"/>
  <c r="CA1310" i="4"/>
  <c r="CA1423" i="4"/>
  <c r="AB14" i="13" s="1"/>
  <c r="CA1181" i="4" l="1"/>
  <c r="BZ1337" i="4"/>
  <c r="BZ1244" i="4"/>
  <c r="BZ1245" i="4" s="1"/>
  <c r="BZ85" i="11"/>
  <c r="BZ42" i="62"/>
  <c r="BZ1308" i="4"/>
  <c r="CA1074" i="4"/>
  <c r="CA1219" i="4"/>
  <c r="CA294" i="4" s="1"/>
  <c r="CA1220" i="4"/>
  <c r="AB50" i="67"/>
  <c r="AB49" i="67" s="1"/>
  <c r="CA49" i="11"/>
  <c r="CB468" i="4"/>
  <c r="CB479" i="4"/>
  <c r="CA456" i="4"/>
  <c r="CA458" i="4" s="1"/>
  <c r="CA459" i="4" s="1"/>
  <c r="CA467" i="4"/>
  <c r="CA469" i="4" s="1"/>
  <c r="CA470" i="4" s="1"/>
  <c r="CA471" i="4" s="1"/>
  <c r="CA472" i="4" s="1"/>
  <c r="CB466" i="4" s="1"/>
  <c r="CB457" i="4"/>
  <c r="CA478" i="4"/>
  <c r="CA480" i="4" s="1"/>
  <c r="CA481" i="4" s="1"/>
  <c r="CA482" i="4" s="1"/>
  <c r="CA483" i="4" s="1"/>
  <c r="CB477" i="4" s="1"/>
  <c r="CA1214" i="4"/>
  <c r="CA1165" i="4"/>
  <c r="BZ490" i="4"/>
  <c r="BZ501" i="4"/>
  <c r="BZ502" i="4" s="1"/>
  <c r="BZ388" i="4"/>
  <c r="BZ389" i="4" s="1"/>
  <c r="CA384" i="4" s="1"/>
  <c r="BY62" i="11"/>
  <c r="BY61" i="11"/>
  <c r="BY48" i="11"/>
  <c r="BY55" i="11" s="1"/>
  <c r="BX1274" i="4"/>
  <c r="BX1275" i="4" s="1"/>
  <c r="BX1265" i="4" s="1"/>
  <c r="BX1252" i="4"/>
  <c r="BY1082" i="4"/>
  <c r="BY1093" i="4" s="1"/>
  <c r="BY1090" i="4" s="1"/>
  <c r="BY1083" i="4" s="1"/>
  <c r="BY1084" i="4" s="1"/>
  <c r="BY1089" i="4"/>
  <c r="CB495" i="4" l="1"/>
  <c r="CB1072" i="4" s="1"/>
  <c r="CB1162" i="4"/>
  <c r="CB1207" i="4"/>
  <c r="CB1225" i="4" s="1"/>
  <c r="CA494" i="4"/>
  <c r="CA1071" i="4" s="1"/>
  <c r="CA460" i="4"/>
  <c r="CA461" i="4" s="1"/>
  <c r="CB455" i="4" s="1"/>
  <c r="BZ52" i="62"/>
  <c r="BZ43" i="62"/>
  <c r="BZ23" i="62" s="1"/>
  <c r="BY75" i="11"/>
  <c r="BY61" i="64"/>
  <c r="BY1123" i="4"/>
  <c r="BY1299" i="4"/>
  <c r="BY1323" i="4"/>
  <c r="BY56" i="11"/>
  <c r="BY57" i="11" s="1"/>
  <c r="BY1471" i="4" s="1"/>
  <c r="BY63" i="11"/>
  <c r="AB53" i="67"/>
  <c r="AB52" i="67" s="1"/>
  <c r="CA53" i="11"/>
  <c r="CA52" i="11" s="1"/>
  <c r="CA1240" i="4"/>
  <c r="BZ26" i="11"/>
  <c r="BX1264" i="4"/>
  <c r="BX1253" i="4" s="1"/>
  <c r="BX1266" i="4"/>
  <c r="CA38" i="66"/>
  <c r="CA88" i="11"/>
  <c r="CA1324" i="4"/>
  <c r="CA1302" i="4"/>
  <c r="CA1424" i="4"/>
  <c r="AB24" i="13"/>
  <c r="AB88" i="67"/>
  <c r="CA1215" i="4"/>
  <c r="CA299" i="4"/>
  <c r="CA302" i="4"/>
  <c r="BY62" i="62"/>
  <c r="BY64" i="11"/>
  <c r="BY1472" i="4"/>
  <c r="CA1197" i="4"/>
  <c r="CA1190" i="4"/>
  <c r="CA1221" i="4" s="1"/>
  <c r="CA1481" i="4" s="1"/>
  <c r="CA1483" i="4" s="1"/>
  <c r="BY1091" i="4"/>
  <c r="BZ1088" i="4" s="1"/>
  <c r="CA499" i="4"/>
  <c r="CA1100" i="4" s="1"/>
  <c r="BZ1101" i="4"/>
  <c r="BZ1103" i="4" s="1"/>
  <c r="BZ1104" i="4" s="1"/>
  <c r="BZ1105" i="4" s="1"/>
  <c r="BZ64" i="62"/>
  <c r="BZ51" i="11"/>
  <c r="BX1257" i="4"/>
  <c r="BX1261" i="4"/>
  <c r="BX1268" i="4" s="1"/>
  <c r="BZ491" i="4"/>
  <c r="BZ16" i="66" l="1"/>
  <c r="BZ14" i="66" s="1"/>
  <c r="BZ13" i="66" s="1"/>
  <c r="BY63" i="62"/>
  <c r="BY67" i="62" s="1"/>
  <c r="CA307" i="4"/>
  <c r="CA331" i="4"/>
  <c r="CA488" i="4"/>
  <c r="BZ15" i="11"/>
  <c r="BZ13" i="11" s="1"/>
  <c r="BZ984" i="4"/>
  <c r="BZ988" i="4" s="1"/>
  <c r="BZ62" i="64"/>
  <c r="AB1525" i="4"/>
  <c r="AB31" i="67"/>
  <c r="AB30" i="67" s="1"/>
  <c r="CA31" i="11"/>
  <c r="CA1489" i="4"/>
  <c r="CA1490" i="4" s="1"/>
  <c r="CA1515" i="4"/>
  <c r="CA1505" i="4"/>
  <c r="CB1212" i="4"/>
  <c r="BX1327" i="4"/>
  <c r="BX1304" i="4"/>
  <c r="BX74" i="11"/>
  <c r="BX78" i="11" s="1"/>
  <c r="BX1272" i="4"/>
  <c r="BX1276" i="4" s="1"/>
  <c r="BX1254" i="4" s="1"/>
  <c r="BX1386" i="4"/>
  <c r="BX36" i="66"/>
  <c r="CA73" i="11"/>
  <c r="CA1121" i="4"/>
  <c r="CA1144" i="4" s="1"/>
  <c r="CA1325" i="4"/>
  <c r="CA1301" i="4"/>
  <c r="AB73" i="67"/>
  <c r="AB23" i="13"/>
  <c r="AB45" i="13"/>
  <c r="BX19" i="66"/>
  <c r="BX17" i="66" s="1"/>
  <c r="BX1338" i="4"/>
  <c r="BX86" i="11"/>
  <c r="BX1309" i="4"/>
  <c r="BX1480" i="4"/>
  <c r="BY69" i="64"/>
  <c r="BY74" i="64" s="1"/>
  <c r="BY77" i="64"/>
  <c r="BY82" i="64" s="1"/>
  <c r="BY66" i="64"/>
  <c r="BY40" i="64" s="1"/>
  <c r="BY42" i="64" s="1"/>
  <c r="CB1163" i="4"/>
  <c r="CA332" i="4" l="1"/>
  <c r="CA14" i="11" s="1"/>
  <c r="BY68" i="62"/>
  <c r="CB1492" i="4"/>
  <c r="BY52" i="64"/>
  <c r="BY49" i="64"/>
  <c r="BZ70" i="64"/>
  <c r="BZ78" i="64"/>
  <c r="BZ1320" i="4"/>
  <c r="BZ992" i="4"/>
  <c r="BZ1120" i="4"/>
  <c r="BZ71" i="11"/>
  <c r="BZ1294" i="4"/>
  <c r="CA1499" i="4"/>
  <c r="CA1495" i="4"/>
  <c r="BX39" i="66"/>
  <c r="BX35" i="66" s="1"/>
  <c r="BX1328" i="4"/>
  <c r="BX89" i="11"/>
  <c r="BX1305" i="4"/>
  <c r="BX1282" i="4" s="1"/>
  <c r="BX1255" i="4"/>
  <c r="CA45" i="62"/>
  <c r="CA30" i="11"/>
  <c r="BX1385" i="4"/>
  <c r="BX1388" i="4" s="1"/>
  <c r="BX1421" i="4"/>
  <c r="CB1213" i="4"/>
  <c r="CB1206" i="4"/>
  <c r="CB1224" i="4" s="1"/>
  <c r="CB1226" i="4" s="1"/>
  <c r="CB1202" i="4"/>
  <c r="CB1178" i="4"/>
  <c r="CA385" i="4"/>
  <c r="CA395" i="4"/>
  <c r="CA396" i="4" s="1"/>
  <c r="CA397" i="4" s="1"/>
  <c r="CA398" i="4" s="1"/>
  <c r="CA399" i="4" s="1"/>
  <c r="CB394" i="4" s="1"/>
  <c r="CA405" i="4"/>
  <c r="CA406" i="4" s="1"/>
  <c r="CA407" i="4" s="1"/>
  <c r="CA408" i="4" s="1"/>
  <c r="CA409" i="4" s="1"/>
  <c r="CB404" i="4" s="1"/>
  <c r="CA1235" i="4"/>
  <c r="CA1251" i="4" s="1"/>
  <c r="CA1145" i="4"/>
  <c r="CA1234" i="4"/>
  <c r="AB14" i="67" l="1"/>
  <c r="CA500" i="4"/>
  <c r="CA489" i="4"/>
  <c r="CA386" i="4"/>
  <c r="CA387" i="4" s="1"/>
  <c r="BX1284" i="4"/>
  <c r="BX1286" i="4" s="1"/>
  <c r="BZ47" i="11"/>
  <c r="BZ1073" i="4"/>
  <c r="BZ1077" i="4" s="1"/>
  <c r="BZ1081" i="4" s="1"/>
  <c r="CB1189" i="4"/>
  <c r="CB1218" i="4" s="1"/>
  <c r="CB1180" i="4"/>
  <c r="CB1169" i="4" s="1"/>
  <c r="CB1170" i="4" s="1"/>
  <c r="CB1188" i="4" s="1"/>
  <c r="CB1179" i="4"/>
  <c r="CA1236" i="4"/>
  <c r="CA1241" i="4"/>
  <c r="CB37" i="66"/>
  <c r="CB1076" i="4"/>
  <c r="CB1295" i="4"/>
  <c r="CB1326" i="4"/>
  <c r="CB50" i="11"/>
  <c r="CB49" i="11" s="1"/>
  <c r="CB297" i="4"/>
  <c r="CB305" i="4" s="1"/>
  <c r="CB330" i="4" s="1"/>
  <c r="CB72" i="11"/>
  <c r="CB1122" i="4"/>
  <c r="BY1250" i="4"/>
  <c r="BX27" i="11"/>
  <c r="BX1506" i="4"/>
  <c r="BX1425" i="4"/>
  <c r="CB18" i="66"/>
  <c r="CB1336" i="4"/>
  <c r="CB87" i="11"/>
  <c r="CB1310" i="4"/>
  <c r="CB1423" i="4"/>
  <c r="BX1390" i="4"/>
  <c r="BX1402" i="4"/>
  <c r="CB1181" i="4" l="1"/>
  <c r="CB1197" i="4" s="1"/>
  <c r="BX1285" i="4"/>
  <c r="BZ1082" i="4"/>
  <c r="BZ1093" i="4" s="1"/>
  <c r="BZ1090" i="4" s="1"/>
  <c r="BZ1083" i="4" s="1"/>
  <c r="BZ1084" i="4" s="1"/>
  <c r="BZ1089" i="4"/>
  <c r="BX1403" i="4"/>
  <c r="BX1404" i="4" s="1"/>
  <c r="CA1308" i="4"/>
  <c r="CA1244" i="4"/>
  <c r="CA1245" i="4" s="1"/>
  <c r="CA42" i="62"/>
  <c r="CA1337" i="4"/>
  <c r="CA85" i="11"/>
  <c r="AB85" i="67"/>
  <c r="BZ62" i="11"/>
  <c r="BZ61" i="11"/>
  <c r="BZ48" i="11"/>
  <c r="BZ55" i="11" s="1"/>
  <c r="CC457" i="4"/>
  <c r="CB456" i="4"/>
  <c r="CB458" i="4" s="1"/>
  <c r="CB459" i="4" s="1"/>
  <c r="CB478" i="4"/>
  <c r="CB480" i="4" s="1"/>
  <c r="CB481" i="4" s="1"/>
  <c r="CB482" i="4" s="1"/>
  <c r="CB483" i="4" s="1"/>
  <c r="CC477" i="4" s="1"/>
  <c r="CB467" i="4"/>
  <c r="CB469" i="4" s="1"/>
  <c r="CB470" i="4" s="1"/>
  <c r="CB471" i="4" s="1"/>
  <c r="CB472" i="4" s="1"/>
  <c r="CC466" i="4" s="1"/>
  <c r="CC468" i="4"/>
  <c r="CC479" i="4"/>
  <c r="BX90" i="11"/>
  <c r="BX91" i="11" s="1"/>
  <c r="BX93" i="11" s="1"/>
  <c r="BX96" i="11" s="1"/>
  <c r="BX97" i="11" s="1"/>
  <c r="BX1329" i="4"/>
  <c r="BX1306" i="4"/>
  <c r="BX1307" i="4" s="1"/>
  <c r="BX1311" i="4" s="1"/>
  <c r="BY1290" i="4" s="1"/>
  <c r="BX58" i="11"/>
  <c r="BX59" i="11" s="1"/>
  <c r="BX28" i="11" s="1"/>
  <c r="BY1283" i="4" s="1"/>
  <c r="BX48" i="62"/>
  <c r="BX24" i="62" s="1"/>
  <c r="BX26" i="62" s="1"/>
  <c r="BX22" i="66"/>
  <c r="BX1509" i="4"/>
  <c r="BX1507" i="4"/>
  <c r="BX1508" i="4" s="1"/>
  <c r="CA490" i="4"/>
  <c r="CA491" i="4" s="1"/>
  <c r="CA501" i="4"/>
  <c r="CA502" i="4" s="1"/>
  <c r="CA388" i="4"/>
  <c r="CA389" i="4" s="1"/>
  <c r="CB384" i="4" s="1"/>
  <c r="BX1440" i="4"/>
  <c r="CB1220" i="4"/>
  <c r="CB53" i="11" s="1"/>
  <c r="CB52" i="11" s="1"/>
  <c r="CB1219" i="4"/>
  <c r="CB294" i="4" s="1"/>
  <c r="CB1074" i="4"/>
  <c r="CB1190" i="4" l="1"/>
  <c r="CB1221" i="4" s="1"/>
  <c r="CB1301" i="4" s="1"/>
  <c r="BX25" i="11"/>
  <c r="BX37" i="11" s="1"/>
  <c r="CC495" i="4"/>
  <c r="CC1072" i="4" s="1"/>
  <c r="BX44" i="66"/>
  <c r="BX40" i="66" s="1"/>
  <c r="BX46" i="66" s="1"/>
  <c r="BX46" i="62"/>
  <c r="BX1330" i="4"/>
  <c r="BX1331" i="4" s="1"/>
  <c r="BX100" i="67"/>
  <c r="BX101" i="67"/>
  <c r="BX24" i="66"/>
  <c r="BX20" i="66" s="1"/>
  <c r="BX26" i="66" s="1"/>
  <c r="BX21" i="11"/>
  <c r="BX17" i="11" s="1"/>
  <c r="BX101" i="11"/>
  <c r="BY95" i="11"/>
  <c r="BX1462" i="4"/>
  <c r="BX1461" i="4" s="1"/>
  <c r="BX100" i="11"/>
  <c r="BX1340" i="4"/>
  <c r="BX1341" i="4" s="1"/>
  <c r="CA52" i="62"/>
  <c r="CA43" i="62"/>
  <c r="CA23" i="62" s="1"/>
  <c r="AB26" i="67"/>
  <c r="CB1240" i="4"/>
  <c r="CA26" i="11"/>
  <c r="AB15" i="67"/>
  <c r="AB13" i="67" s="1"/>
  <c r="CA15" i="11"/>
  <c r="CA13" i="11" s="1"/>
  <c r="CB488" i="4"/>
  <c r="CA1101" i="4"/>
  <c r="CA1103" i="4" s="1"/>
  <c r="CA1104" i="4" s="1"/>
  <c r="CA1105" i="4" s="1"/>
  <c r="CB499" i="4"/>
  <c r="BY1128" i="4"/>
  <c r="BY1130" i="4" s="1"/>
  <c r="BY1132" i="4" s="1"/>
  <c r="BY1135" i="4" s="1"/>
  <c r="BY1298" i="4"/>
  <c r="BY1300" i="4" s="1"/>
  <c r="BZ63" i="11"/>
  <c r="CB299" i="4"/>
  <c r="CB302" i="4"/>
  <c r="CA51" i="11"/>
  <c r="CA64" i="62"/>
  <c r="AB51" i="67"/>
  <c r="BX1441" i="4"/>
  <c r="BX1442" i="4" s="1"/>
  <c r="BZ64" i="11"/>
  <c r="BZ1472" i="4"/>
  <c r="BZ62" i="62"/>
  <c r="BZ1091" i="4"/>
  <c r="CA1088" i="4" s="1"/>
  <c r="CB494" i="4"/>
  <c r="CB1071" i="4" s="1"/>
  <c r="CB460" i="4"/>
  <c r="CB461" i="4" s="1"/>
  <c r="CC455" i="4" s="1"/>
  <c r="BZ1323" i="4"/>
  <c r="BZ1299" i="4"/>
  <c r="BZ75" i="11"/>
  <c r="BZ61" i="64"/>
  <c r="BZ56" i="11"/>
  <c r="BZ57" i="11" s="1"/>
  <c r="BZ1471" i="4" s="1"/>
  <c r="BZ1123" i="4"/>
  <c r="CB1325" i="4" l="1"/>
  <c r="CB1121" i="4"/>
  <c r="CB1144" i="4" s="1"/>
  <c r="CB1145" i="4" s="1"/>
  <c r="CB73" i="11"/>
  <c r="BX99" i="11"/>
  <c r="BX1474" i="4"/>
  <c r="BX1469" i="4" s="1"/>
  <c r="BX1475" i="4"/>
  <c r="BX1470" i="4" s="1"/>
  <c r="CA16" i="66"/>
  <c r="CA14" i="66" s="1"/>
  <c r="CA13" i="66" s="1"/>
  <c r="BX1463" i="4"/>
  <c r="BX1460" i="4" s="1"/>
  <c r="BX23" i="11"/>
  <c r="BX39" i="11" s="1"/>
  <c r="BX40" i="11" s="1"/>
  <c r="BY1313" i="4"/>
  <c r="BY1303" i="4"/>
  <c r="CB1100" i="4"/>
  <c r="BX1343" i="4"/>
  <c r="BZ69" i="64"/>
  <c r="BZ74" i="64" s="1"/>
  <c r="BZ77" i="64"/>
  <c r="BZ82" i="64" s="1"/>
  <c r="BZ66" i="64"/>
  <c r="BZ40" i="64" s="1"/>
  <c r="BZ42" i="64" s="1"/>
  <c r="CA984" i="4"/>
  <c r="CA988" i="4" s="1"/>
  <c r="CA62" i="64"/>
  <c r="BZ63" i="62"/>
  <c r="BZ67" i="62" s="1"/>
  <c r="CB331" i="4"/>
  <c r="CB307" i="4"/>
  <c r="BX48" i="66"/>
  <c r="CB1235" i="4" l="1"/>
  <c r="CB1251" i="4" s="1"/>
  <c r="CB1234" i="4"/>
  <c r="CB1241" i="4" s="1"/>
  <c r="CB332" i="4"/>
  <c r="CB14" i="11" s="1"/>
  <c r="CB395" i="4"/>
  <c r="CB396" i="4" s="1"/>
  <c r="CB397" i="4" s="1"/>
  <c r="CB398" i="4" s="1"/>
  <c r="CB399" i="4" s="1"/>
  <c r="CC394" i="4" s="1"/>
  <c r="CB385" i="4"/>
  <c r="CB405" i="4"/>
  <c r="CB406" i="4" s="1"/>
  <c r="CB407" i="4" s="1"/>
  <c r="CB408" i="4" s="1"/>
  <c r="CB409" i="4" s="1"/>
  <c r="CC404" i="4" s="1"/>
  <c r="CA1294" i="4"/>
  <c r="CA1120" i="4"/>
  <c r="CA1320" i="4"/>
  <c r="CA71" i="11"/>
  <c r="CA992" i="4"/>
  <c r="AB40" i="13"/>
  <c r="AB71" i="67"/>
  <c r="BZ68" i="62"/>
  <c r="BZ52" i="64"/>
  <c r="BZ49" i="64"/>
  <c r="BY1271" i="4"/>
  <c r="BY1281" i="4"/>
  <c r="BY1193" i="4"/>
  <c r="BY1194" i="4" s="1"/>
  <c r="BY1196" i="4" s="1"/>
  <c r="BY1198" i="4" s="1"/>
  <c r="BY1493" i="4"/>
  <c r="BY1496" i="4" s="1"/>
  <c r="BX1516" i="4"/>
  <c r="BX1517" i="4" s="1"/>
  <c r="BX1473" i="4"/>
  <c r="BX1468" i="4" s="1"/>
  <c r="CA78" i="64"/>
  <c r="CA70" i="64"/>
  <c r="CB1236" i="4" l="1"/>
  <c r="AB47" i="67"/>
  <c r="CA1073" i="4"/>
  <c r="CA1077" i="4" s="1"/>
  <c r="CA1081" i="4" s="1"/>
  <c r="CA47" i="11"/>
  <c r="AB20" i="72"/>
  <c r="BY1252" i="4"/>
  <c r="BY1274" i="4"/>
  <c r="BY1275" i="4" s="1"/>
  <c r="BY1265" i="4" s="1"/>
  <c r="CB1308" i="4"/>
  <c r="CB1337" i="4"/>
  <c r="CB42" i="62"/>
  <c r="CB85" i="11"/>
  <c r="CB1244" i="4"/>
  <c r="CB1245" i="4" s="1"/>
  <c r="CB500" i="4"/>
  <c r="CB386" i="4"/>
  <c r="CB387" i="4" s="1"/>
  <c r="CB489" i="4"/>
  <c r="CB52" i="62" l="1"/>
  <c r="CB43" i="62"/>
  <c r="CB23" i="62" s="1"/>
  <c r="BY1266" i="4"/>
  <c r="BY1264" i="4"/>
  <c r="BY1253" i="4" s="1"/>
  <c r="CB501" i="4"/>
  <c r="CB502" i="4" s="1"/>
  <c r="CB388" i="4"/>
  <c r="CB389" i="4" s="1"/>
  <c r="CC384" i="4" s="1"/>
  <c r="CB490" i="4"/>
  <c r="CB491" i="4" s="1"/>
  <c r="BY1257" i="4"/>
  <c r="BY1261" i="4"/>
  <c r="BY1268" i="4" s="1"/>
  <c r="CC1240" i="4"/>
  <c r="CB26" i="11"/>
  <c r="CA62" i="11"/>
  <c r="CA61" i="11"/>
  <c r="CA48" i="11"/>
  <c r="CA55" i="11" s="1"/>
  <c r="CA1082" i="4"/>
  <c r="CA1093" i="4" s="1"/>
  <c r="CA1090" i="4" s="1"/>
  <c r="CA1083" i="4" s="1"/>
  <c r="CA1084" i="4" s="1"/>
  <c r="CA1089" i="4"/>
  <c r="AB62" i="67"/>
  <c r="AB64" i="67" s="1"/>
  <c r="AB61" i="67"/>
  <c r="AB63" i="67" s="1"/>
  <c r="AB48" i="67"/>
  <c r="AB55" i="67" s="1"/>
  <c r="CC499" i="4" l="1"/>
  <c r="CB1101" i="4"/>
  <c r="CB1103" i="4" s="1"/>
  <c r="CB1104" i="4" s="1"/>
  <c r="CB1105" i="4" s="1"/>
  <c r="CA64" i="11"/>
  <c r="CA62" i="62"/>
  <c r="CA1472" i="4"/>
  <c r="CB15" i="11"/>
  <c r="CB13" i="11" s="1"/>
  <c r="CC488" i="4"/>
  <c r="CA1091" i="4"/>
  <c r="CB1088" i="4" s="1"/>
  <c r="BY1304" i="4"/>
  <c r="BY1327" i="4"/>
  <c r="BY1272" i="4"/>
  <c r="BY1276" i="4" s="1"/>
  <c r="BY1254" i="4" s="1"/>
  <c r="BY74" i="11"/>
  <c r="BY78" i="11" s="1"/>
  <c r="BY36" i="66"/>
  <c r="BY1386" i="4"/>
  <c r="CA56" i="11"/>
  <c r="CA57" i="11" s="1"/>
  <c r="CA1471" i="4" s="1"/>
  <c r="CA1299" i="4"/>
  <c r="CA1123" i="4"/>
  <c r="CA75" i="11"/>
  <c r="CA61" i="64"/>
  <c r="CA1323" i="4"/>
  <c r="AB75" i="67"/>
  <c r="AB56" i="67"/>
  <c r="AB57" i="67" s="1"/>
  <c r="AB41" i="13"/>
  <c r="AB43" i="13" s="1"/>
  <c r="AB49" i="13" s="1"/>
  <c r="BY1338" i="4"/>
  <c r="BY19" i="66"/>
  <c r="BY17" i="66" s="1"/>
  <c r="BY86" i="11"/>
  <c r="BY1309" i="4"/>
  <c r="BY1480" i="4"/>
  <c r="CB16" i="66"/>
  <c r="CB14" i="66" s="1"/>
  <c r="CB13" i="66" s="1"/>
  <c r="CA63" i="11"/>
  <c r="AB1526" i="4"/>
  <c r="AB1529" i="4" s="1"/>
  <c r="CB51" i="11"/>
  <c r="CB64" i="62"/>
  <c r="CA69" i="64" l="1"/>
  <c r="CA74" i="64" s="1"/>
  <c r="CA77" i="64"/>
  <c r="CA82" i="64" s="1"/>
  <c r="CA66" i="64"/>
  <c r="CA40" i="64" s="1"/>
  <c r="CA42" i="64" s="1"/>
  <c r="BY1421" i="4"/>
  <c r="BY1385" i="4"/>
  <c r="BY1388" i="4" s="1"/>
  <c r="BY1328" i="4"/>
  <c r="BY89" i="11"/>
  <c r="BY39" i="66"/>
  <c r="BY35" i="66" s="1"/>
  <c r="BY1305" i="4"/>
  <c r="BY1282" i="4" s="1"/>
  <c r="CA63" i="62"/>
  <c r="CA67" i="62" s="1"/>
  <c r="BY1255" i="4"/>
  <c r="CB62" i="64"/>
  <c r="CB984" i="4"/>
  <c r="CB988" i="4" s="1"/>
  <c r="CC1100" i="4"/>
  <c r="CA68" i="62" l="1"/>
  <c r="BY1284" i="4"/>
  <c r="BY1286" i="4" s="1"/>
  <c r="BY1390" i="4"/>
  <c r="BY1402" i="4"/>
  <c r="CB1320" i="4"/>
  <c r="CB1294" i="4"/>
  <c r="CB71" i="11"/>
  <c r="CB1120" i="4"/>
  <c r="CB992" i="4"/>
  <c r="BY1425" i="4"/>
  <c r="CA52" i="64"/>
  <c r="CA49" i="64"/>
  <c r="CB78" i="64"/>
  <c r="CB70" i="64"/>
  <c r="BZ1250" i="4"/>
  <c r="BY27" i="11"/>
  <c r="BY1506" i="4"/>
  <c r="BY1509" i="4" l="1"/>
  <c r="BY1507" i="4"/>
  <c r="BY1508" i="4" s="1"/>
  <c r="BY1440" i="4"/>
  <c r="BY1403" i="4"/>
  <c r="BY1404" i="4" s="1"/>
  <c r="BY1285" i="4"/>
  <c r="BY90" i="11"/>
  <c r="BY91" i="11" s="1"/>
  <c r="BY93" i="11" s="1"/>
  <c r="BY96" i="11" s="1"/>
  <c r="BY97" i="11" s="1"/>
  <c r="BY1306" i="4"/>
  <c r="BY1307" i="4" s="1"/>
  <c r="BY1311" i="4" s="1"/>
  <c r="BZ1290" i="4" s="1"/>
  <c r="BY58" i="11"/>
  <c r="BY59" i="11" s="1"/>
  <c r="BY28" i="11" s="1"/>
  <c r="BZ1283" i="4" s="1"/>
  <c r="BY1329" i="4"/>
  <c r="BY48" i="62"/>
  <c r="BY24" i="62" s="1"/>
  <c r="BY26" i="62" s="1"/>
  <c r="BY22" i="66"/>
  <c r="CB1073" i="4"/>
  <c r="CB1077" i="4" s="1"/>
  <c r="CB1081" i="4" s="1"/>
  <c r="CB47" i="11"/>
  <c r="BY1441" i="4" l="1"/>
  <c r="BY1442" i="4" s="1"/>
  <c r="CB1082" i="4"/>
  <c r="CB1093" i="4" s="1"/>
  <c r="CB1090" i="4" s="1"/>
  <c r="CB1083" i="4" s="1"/>
  <c r="CB1084" i="4" s="1"/>
  <c r="CB1089" i="4"/>
  <c r="BZ1128" i="4"/>
  <c r="BZ1130" i="4" s="1"/>
  <c r="BZ1132" i="4" s="1"/>
  <c r="BZ1135" i="4" s="1"/>
  <c r="BZ1298" i="4"/>
  <c r="BZ1300" i="4" s="1"/>
  <c r="BY1462" i="4"/>
  <c r="BY1461" i="4" s="1"/>
  <c r="BY46" i="62"/>
  <c r="BY101" i="11"/>
  <c r="BY21" i="11"/>
  <c r="BY17" i="11" s="1"/>
  <c r="BZ95" i="11"/>
  <c r="BY100" i="11"/>
  <c r="BY1330" i="4"/>
  <c r="BY1331" i="4" s="1"/>
  <c r="BY24" i="66"/>
  <c r="BY20" i="66" s="1"/>
  <c r="BY26" i="66" s="1"/>
  <c r="BY101" i="67"/>
  <c r="BY1340" i="4"/>
  <c r="BY1341" i="4" s="1"/>
  <c r="BY100" i="67"/>
  <c r="BY44" i="66"/>
  <c r="BY40" i="66" s="1"/>
  <c r="BY46" i="66" s="1"/>
  <c r="CB62" i="11"/>
  <c r="CB61" i="11"/>
  <c r="CB48" i="11"/>
  <c r="CB55" i="11" s="1"/>
  <c r="BY25" i="11"/>
  <c r="BY48" i="66" l="1"/>
  <c r="BY99" i="11"/>
  <c r="BY1343" i="4"/>
  <c r="BZ1313" i="4"/>
  <c r="BZ1303" i="4"/>
  <c r="BY1475" i="4"/>
  <c r="BY1470" i="4" s="1"/>
  <c r="BY1474" i="4"/>
  <c r="BY1469" i="4" s="1"/>
  <c r="BY37" i="11"/>
  <c r="CB63" i="11"/>
  <c r="CB62" i="62"/>
  <c r="CB64" i="11"/>
  <c r="CB1472" i="4"/>
  <c r="CB1091" i="4"/>
  <c r="CC1088" i="4" s="1"/>
  <c r="BY1463" i="4"/>
  <c r="BY1460" i="4" s="1"/>
  <c r="BY23" i="11"/>
  <c r="CB61" i="64"/>
  <c r="CB1323" i="4"/>
  <c r="CB56" i="11"/>
  <c r="CB57" i="11" s="1"/>
  <c r="CB1471" i="4" s="1"/>
  <c r="CB1123" i="4"/>
  <c r="CB75" i="11"/>
  <c r="CB1299" i="4"/>
  <c r="CB77" i="64" l="1"/>
  <c r="CB82" i="64" s="1"/>
  <c r="CB69" i="64"/>
  <c r="CB74" i="64" s="1"/>
  <c r="CB66" i="64"/>
  <c r="CB40" i="64" s="1"/>
  <c r="CB42" i="64" s="1"/>
  <c r="BY39" i="11"/>
  <c r="BY40" i="11" s="1"/>
  <c r="BZ1271" i="4"/>
  <c r="BZ1281" i="4"/>
  <c r="BY1516" i="4"/>
  <c r="BY1517" i="4" s="1"/>
  <c r="BY1473" i="4"/>
  <c r="BY1468" i="4" s="1"/>
  <c r="BZ1193" i="4"/>
  <c r="BZ1194" i="4" s="1"/>
  <c r="BZ1196" i="4" s="1"/>
  <c r="BZ1198" i="4" s="1"/>
  <c r="BZ1493" i="4"/>
  <c r="BZ1496" i="4" s="1"/>
  <c r="CB63" i="62"/>
  <c r="CB67" i="62" s="1"/>
  <c r="CB68" i="62" l="1"/>
  <c r="BZ1274" i="4"/>
  <c r="BZ1275" i="4" s="1"/>
  <c r="BZ1265" i="4" s="1"/>
  <c r="BZ1252" i="4"/>
  <c r="CB52" i="64"/>
  <c r="CB49" i="64"/>
  <c r="BZ1257" i="4" l="1"/>
  <c r="BZ1261" i="4"/>
  <c r="BZ1268" i="4" s="1"/>
  <c r="BZ1264" i="4"/>
  <c r="BZ1253" i="4" s="1"/>
  <c r="BZ1266" i="4"/>
  <c r="BZ1327" i="4" l="1"/>
  <c r="BZ74" i="11"/>
  <c r="BZ78" i="11" s="1"/>
  <c r="BZ1272" i="4"/>
  <c r="BZ1276" i="4" s="1"/>
  <c r="BZ1254" i="4" s="1"/>
  <c r="BZ1304" i="4"/>
  <c r="BZ36" i="66"/>
  <c r="BZ1386" i="4"/>
  <c r="BZ86" i="11"/>
  <c r="BZ1309" i="4"/>
  <c r="BZ19" i="66"/>
  <c r="BZ17" i="66" s="1"/>
  <c r="BZ1338" i="4"/>
  <c r="BZ1480" i="4"/>
  <c r="BZ39" i="66" l="1"/>
  <c r="BZ35" i="66" s="1"/>
  <c r="BZ89" i="11"/>
  <c r="BZ1328" i="4"/>
  <c r="BZ1305" i="4"/>
  <c r="BZ1282" i="4" s="1"/>
  <c r="BZ1421" i="4"/>
  <c r="BZ1385" i="4"/>
  <c r="BZ1388" i="4" s="1"/>
  <c r="BZ1255" i="4"/>
  <c r="BZ1284" i="4" l="1"/>
  <c r="BZ1286" i="4" s="1"/>
  <c r="BZ1425" i="4"/>
  <c r="CA1250" i="4"/>
  <c r="BZ27" i="11"/>
  <c r="BZ1506" i="4"/>
  <c r="BZ1390" i="4"/>
  <c r="BZ1402" i="4"/>
  <c r="BZ1285" i="4" l="1"/>
  <c r="BZ1440" i="4"/>
  <c r="BZ1509" i="4"/>
  <c r="BZ1507" i="4"/>
  <c r="BZ1508" i="4" s="1"/>
  <c r="BZ1403" i="4"/>
  <c r="BZ1404" i="4" s="1"/>
  <c r="BZ58" i="11"/>
  <c r="BZ59" i="11" s="1"/>
  <c r="BZ28" i="11" s="1"/>
  <c r="CA1283" i="4" s="1"/>
  <c r="BZ1306" i="4"/>
  <c r="BZ1307" i="4" s="1"/>
  <c r="BZ1311" i="4" s="1"/>
  <c r="CA1290" i="4" s="1"/>
  <c r="BZ90" i="11"/>
  <c r="BZ91" i="11" s="1"/>
  <c r="BZ93" i="11" s="1"/>
  <c r="BZ96" i="11" s="1"/>
  <c r="BZ97" i="11" s="1"/>
  <c r="BZ1329" i="4"/>
  <c r="BZ48" i="62"/>
  <c r="BZ24" i="62" s="1"/>
  <c r="BZ26" i="62" s="1"/>
  <c r="BZ22" i="66"/>
  <c r="BZ101" i="67" l="1"/>
  <c r="BZ100" i="11"/>
  <c r="BZ21" i="11"/>
  <c r="BZ17" i="11" s="1"/>
  <c r="BZ1462" i="4"/>
  <c r="BZ1461" i="4" s="1"/>
  <c r="BZ44" i="66"/>
  <c r="BZ40" i="66" s="1"/>
  <c r="BZ46" i="66" s="1"/>
  <c r="BZ100" i="67"/>
  <c r="BZ101" i="11"/>
  <c r="CA95" i="11"/>
  <c r="BZ46" i="62"/>
  <c r="BZ1340" i="4"/>
  <c r="BZ1341" i="4" s="1"/>
  <c r="BZ1330" i="4"/>
  <c r="BZ1331" i="4" s="1"/>
  <c r="BZ24" i="66"/>
  <c r="BZ20" i="66" s="1"/>
  <c r="BZ26" i="66" s="1"/>
  <c r="BZ1441" i="4"/>
  <c r="BZ1442" i="4" s="1"/>
  <c r="CA1128" i="4"/>
  <c r="CA1130" i="4" s="1"/>
  <c r="CA1132" i="4" s="1"/>
  <c r="CA1135" i="4" s="1"/>
  <c r="CA1298" i="4"/>
  <c r="CA1300" i="4" s="1"/>
  <c r="BZ25" i="11"/>
  <c r="BZ1343" i="4" l="1"/>
  <c r="BZ48" i="66"/>
  <c r="BZ1463" i="4"/>
  <c r="BZ1460" i="4" s="1"/>
  <c r="BZ23" i="11"/>
  <c r="BZ1474" i="4"/>
  <c r="BZ1469" i="4" s="1"/>
  <c r="BZ1475" i="4"/>
  <c r="BZ1470" i="4" s="1"/>
  <c r="BZ37" i="11"/>
  <c r="CA1313" i="4"/>
  <c r="CA1303" i="4"/>
  <c r="BZ99" i="11"/>
  <c r="BZ39" i="11" l="1"/>
  <c r="BZ40" i="11" s="1"/>
  <c r="CA1271" i="4"/>
  <c r="CA1281" i="4"/>
  <c r="CA1493" i="4"/>
  <c r="CA1496" i="4" s="1"/>
  <c r="CA1193" i="4"/>
  <c r="CA1194" i="4" s="1"/>
  <c r="CA1196" i="4" s="1"/>
  <c r="CA1198" i="4" s="1"/>
  <c r="BZ1516" i="4"/>
  <c r="BZ1517" i="4" s="1"/>
  <c r="BZ1473" i="4"/>
  <c r="BZ1468" i="4" s="1"/>
  <c r="CA1274" i="4" l="1"/>
  <c r="CA1275" i="4" s="1"/>
  <c r="CA1265" i="4" s="1"/>
  <c r="CA1252" i="4"/>
  <c r="CA1257" i="4" l="1"/>
  <c r="CA1261" i="4"/>
  <c r="CA1268" i="4" s="1"/>
  <c r="CA1266" i="4"/>
  <c r="CA1264" i="4"/>
  <c r="CA1253" i="4" s="1"/>
  <c r="CA1327" i="4" l="1"/>
  <c r="CA1272" i="4"/>
  <c r="CA1276" i="4" s="1"/>
  <c r="CA1254" i="4" s="1"/>
  <c r="CA74" i="11"/>
  <c r="CA78" i="11" s="1"/>
  <c r="CA1304" i="4"/>
  <c r="CA36" i="66"/>
  <c r="CA1386" i="4"/>
  <c r="AB74" i="67"/>
  <c r="AB78" i="67" s="1"/>
  <c r="CA86" i="11"/>
  <c r="CA1309" i="4"/>
  <c r="CA19" i="66"/>
  <c r="CA17" i="66" s="1"/>
  <c r="CA1338" i="4"/>
  <c r="AB86" i="67"/>
  <c r="CA1480" i="4"/>
  <c r="CA1385" i="4" l="1"/>
  <c r="CA1388" i="4" s="1"/>
  <c r="CA1421" i="4"/>
  <c r="CA1328" i="4"/>
  <c r="CA1305" i="4"/>
  <c r="CA1282" i="4" s="1"/>
  <c r="CA89" i="11"/>
  <c r="CA39" i="66"/>
  <c r="CA35" i="66" s="1"/>
  <c r="AB89" i="67"/>
  <c r="CA1255" i="4"/>
  <c r="CA1284" i="4" l="1"/>
  <c r="CA1286" i="4" s="1"/>
  <c r="CA1425" i="4"/>
  <c r="AB13" i="13"/>
  <c r="CA1390" i="4"/>
  <c r="AB1393" i="4" s="1"/>
  <c r="CA1402" i="4"/>
  <c r="CA27" i="11"/>
  <c r="CB1250" i="4"/>
  <c r="AB27" i="67"/>
  <c r="CA1506" i="4"/>
  <c r="CA1285" i="4" l="1"/>
  <c r="CA1403" i="4"/>
  <c r="CA1404" i="4" s="1"/>
  <c r="CA1509" i="4"/>
  <c r="CA1507" i="4"/>
  <c r="CA1508" i="4" s="1"/>
  <c r="CA1440" i="4"/>
  <c r="CA90" i="11"/>
  <c r="CA91" i="11" s="1"/>
  <c r="CA93" i="11" s="1"/>
  <c r="CA96" i="11" s="1"/>
  <c r="CA97" i="11" s="1"/>
  <c r="CA1329" i="4"/>
  <c r="CA58" i="11"/>
  <c r="CA59" i="11" s="1"/>
  <c r="CA28" i="11" s="1"/>
  <c r="CA48" i="62"/>
  <c r="CA24" i="62" s="1"/>
  <c r="CA26" i="62" s="1"/>
  <c r="CA1306" i="4"/>
  <c r="CA1307" i="4" s="1"/>
  <c r="CA1311" i="4" s="1"/>
  <c r="CB1290" i="4" s="1"/>
  <c r="CA22" i="66"/>
  <c r="AB90" i="67"/>
  <c r="AB91" i="67" s="1"/>
  <c r="AB93" i="67" s="1"/>
  <c r="AB96" i="67" s="1"/>
  <c r="AB97" i="67" s="1"/>
  <c r="AB58" i="67"/>
  <c r="AB59" i="67" s="1"/>
  <c r="CA24" i="66" l="1"/>
  <c r="CA20" i="66" s="1"/>
  <c r="CA26" i="66" s="1"/>
  <c r="CA101" i="11"/>
  <c r="AB1527" i="4"/>
  <c r="AB1534" i="4" s="1"/>
  <c r="CA46" i="62"/>
  <c r="CA101" i="67"/>
  <c r="CA1330" i="4"/>
  <c r="CA1331" i="4" s="1"/>
  <c r="CA44" i="66"/>
  <c r="CA40" i="66" s="1"/>
  <c r="CA46" i="66" s="1"/>
  <c r="AB21" i="67"/>
  <c r="AB17" i="67" s="1"/>
  <c r="AB23" i="67" s="1"/>
  <c r="CA1340" i="4"/>
  <c r="CA1341" i="4" s="1"/>
  <c r="CA100" i="11"/>
  <c r="CA21" i="11"/>
  <c r="CA17" i="11" s="1"/>
  <c r="CB95" i="11"/>
  <c r="CA1462" i="4"/>
  <c r="CA1461" i="4" s="1"/>
  <c r="CA100" i="67"/>
  <c r="AC95" i="67"/>
  <c r="CA1441" i="4"/>
  <c r="CA1442" i="4" s="1"/>
  <c r="CB1128" i="4"/>
  <c r="CB1130" i="4" s="1"/>
  <c r="CB1132" i="4" s="1"/>
  <c r="CB1135" i="4" s="1"/>
  <c r="CB1298" i="4"/>
  <c r="CB1300" i="4" s="1"/>
  <c r="AB28" i="67"/>
  <c r="AB25" i="67" s="1"/>
  <c r="AB37" i="67" s="1"/>
  <c r="CB1283" i="4"/>
  <c r="CA25" i="11"/>
  <c r="CA48" i="66" l="1"/>
  <c r="CA99" i="11"/>
  <c r="AB39" i="67"/>
  <c r="AB40" i="67" s="1"/>
  <c r="CA1343" i="4"/>
  <c r="CB1313" i="4"/>
  <c r="AB99" i="67"/>
  <c r="CA1463" i="4"/>
  <c r="CA1460" i="4" s="1"/>
  <c r="CA23" i="11"/>
  <c r="CA37" i="11"/>
  <c r="CA1474" i="4"/>
  <c r="CA1469" i="4" s="1"/>
  <c r="CA1475" i="4"/>
  <c r="CA1470" i="4" s="1"/>
  <c r="CA39" i="11" l="1"/>
  <c r="CA40" i="11" s="1"/>
  <c r="CB1193" i="4"/>
  <c r="CB1194" i="4" s="1"/>
  <c r="CB1196" i="4" s="1"/>
  <c r="CB1198" i="4" s="1"/>
  <c r="CB1164" i="4" s="1"/>
  <c r="CA1516" i="4"/>
  <c r="CA1517" i="4" s="1"/>
  <c r="CA1473" i="4"/>
  <c r="CA1468" i="4" s="1"/>
  <c r="CB1214" i="4" l="1"/>
  <c r="CB1165" i="4"/>
  <c r="CC1162" i="4" l="1"/>
  <c r="CC1207" i="4"/>
  <c r="CC1225" i="4" s="1"/>
  <c r="CB88" i="11"/>
  <c r="CB1481" i="4"/>
  <c r="CB1483" i="4" s="1"/>
  <c r="CB1302" i="4"/>
  <c r="CB1303" i="4" s="1"/>
  <c r="CB1324" i="4"/>
  <c r="CB38" i="66"/>
  <c r="CB1424" i="4"/>
  <c r="CB1215" i="4"/>
  <c r="CB1271" i="4" l="1"/>
  <c r="CB1281" i="4"/>
  <c r="CB31" i="11"/>
  <c r="CB1515" i="4"/>
  <c r="CB1489" i="4"/>
  <c r="CC1212" i="4"/>
  <c r="CB1505" i="4"/>
  <c r="CC1163" i="4"/>
  <c r="CC1492" i="4" l="1"/>
  <c r="CB1490" i="4"/>
  <c r="CB45" i="62"/>
  <c r="CB30" i="11"/>
  <c r="CC1213" i="4"/>
  <c r="CC1206" i="4"/>
  <c r="CC1224" i="4" s="1"/>
  <c r="CC1226" i="4" s="1"/>
  <c r="CC1202" i="4"/>
  <c r="CC1178" i="4"/>
  <c r="CB1274" i="4"/>
  <c r="CB1275" i="4" s="1"/>
  <c r="CB1265" i="4" s="1"/>
  <c r="CB1252" i="4"/>
  <c r="CC1122" i="4" l="1"/>
  <c r="CC1076" i="4"/>
  <c r="CC1295" i="4"/>
  <c r="CC1326" i="4"/>
  <c r="CC50" i="11"/>
  <c r="CC49" i="11" s="1"/>
  <c r="CC37" i="66"/>
  <c r="CC297" i="4"/>
  <c r="CC305" i="4" s="1"/>
  <c r="CC330" i="4" s="1"/>
  <c r="CC72" i="11"/>
  <c r="CC1310" i="4"/>
  <c r="CC18" i="66"/>
  <c r="CC1336" i="4"/>
  <c r="CC87" i="11"/>
  <c r="CC1423" i="4"/>
  <c r="CB1495" i="4"/>
  <c r="CB1493" i="4"/>
  <c r="CB1499" i="4"/>
  <c r="CB1264" i="4"/>
  <c r="CB1253" i="4" s="1"/>
  <c r="CB1266" i="4"/>
  <c r="CC1180" i="4"/>
  <c r="CC1169" i="4" s="1"/>
  <c r="CC1170" i="4" s="1"/>
  <c r="CC1188" i="4" s="1"/>
  <c r="CC1189" i="4"/>
  <c r="CC1218" i="4" s="1"/>
  <c r="CC1179" i="4"/>
  <c r="CB1257" i="4"/>
  <c r="CB1261" i="4"/>
  <c r="CB1268" i="4" s="1"/>
  <c r="CC1181" i="4" l="1"/>
  <c r="CC1197" i="4" s="1"/>
  <c r="CB1496" i="4"/>
  <c r="CC456" i="4"/>
  <c r="CC458" i="4" s="1"/>
  <c r="CC459" i="4" s="1"/>
  <c r="CC467" i="4"/>
  <c r="CC469" i="4" s="1"/>
  <c r="CC470" i="4" s="1"/>
  <c r="CC471" i="4" s="1"/>
  <c r="CC472" i="4" s="1"/>
  <c r="CD466" i="4" s="1"/>
  <c r="CC478" i="4"/>
  <c r="CC480" i="4" s="1"/>
  <c r="CC481" i="4" s="1"/>
  <c r="CC482" i="4" s="1"/>
  <c r="CC483" i="4" s="1"/>
  <c r="CD477" i="4" s="1"/>
  <c r="CD457" i="4"/>
  <c r="CD468" i="4"/>
  <c r="CD479" i="4"/>
  <c r="CB1338" i="4"/>
  <c r="CB19" i="66"/>
  <c r="CB17" i="66" s="1"/>
  <c r="CB86" i="11"/>
  <c r="CB1309" i="4"/>
  <c r="CB1480" i="4"/>
  <c r="CC1220" i="4"/>
  <c r="CC53" i="11" s="1"/>
  <c r="CC52" i="11" s="1"/>
  <c r="CC1074" i="4"/>
  <c r="CC1219" i="4"/>
  <c r="CC294" i="4" s="1"/>
  <c r="CB74" i="11"/>
  <c r="CB78" i="11" s="1"/>
  <c r="CB1327" i="4"/>
  <c r="CB1304" i="4"/>
  <c r="CB1272" i="4"/>
  <c r="CB1276" i="4" s="1"/>
  <c r="CB1254" i="4" s="1"/>
  <c r="CB1386" i="4"/>
  <c r="CB36" i="66"/>
  <c r="CC1190" i="4" l="1"/>
  <c r="CC1221" i="4" s="1"/>
  <c r="CC1301" i="4" s="1"/>
  <c r="CC299" i="4"/>
  <c r="CC302" i="4"/>
  <c r="CD495" i="4"/>
  <c r="CD1072" i="4" s="1"/>
  <c r="CB1385" i="4"/>
  <c r="CB1388" i="4" s="1"/>
  <c r="CB1421" i="4"/>
  <c r="CB1305" i="4"/>
  <c r="CB1282" i="4" s="1"/>
  <c r="CB89" i="11"/>
  <c r="CB1328" i="4"/>
  <c r="CB39" i="66"/>
  <c r="CB35" i="66" s="1"/>
  <c r="CB1255" i="4"/>
  <c r="CC494" i="4"/>
  <c r="CC1071" i="4" s="1"/>
  <c r="CC460" i="4"/>
  <c r="CC461" i="4" s="1"/>
  <c r="CD455" i="4" s="1"/>
  <c r="CC73" i="11" l="1"/>
  <c r="CC1325" i="4"/>
  <c r="CC1121" i="4"/>
  <c r="CC1144" i="4" s="1"/>
  <c r="CC1234" i="4" s="1"/>
  <c r="CB1284" i="4"/>
  <c r="CB1286" i="4" s="1"/>
  <c r="CB1425" i="4"/>
  <c r="CB1390" i="4"/>
  <c r="CB1402" i="4"/>
  <c r="CC1250" i="4"/>
  <c r="CB27" i="11"/>
  <c r="CB1506" i="4"/>
  <c r="CC307" i="4"/>
  <c r="CC331" i="4"/>
  <c r="CC1235" i="4" l="1"/>
  <c r="CC1251" i="4" s="1"/>
  <c r="CC1145" i="4"/>
  <c r="CC332" i="4"/>
  <c r="CC14" i="11" s="1"/>
  <c r="CB1285" i="4"/>
  <c r="CC1241" i="4"/>
  <c r="CB1440" i="4"/>
  <c r="CC405" i="4"/>
  <c r="CC406" i="4" s="1"/>
  <c r="CC407" i="4" s="1"/>
  <c r="CC408" i="4" s="1"/>
  <c r="CC409" i="4" s="1"/>
  <c r="CD404" i="4" s="1"/>
  <c r="CC395" i="4"/>
  <c r="CC396" i="4" s="1"/>
  <c r="CC397" i="4" s="1"/>
  <c r="CC398" i="4" s="1"/>
  <c r="CC399" i="4" s="1"/>
  <c r="CD394" i="4" s="1"/>
  <c r="CC385" i="4"/>
  <c r="CB1509" i="4"/>
  <c r="CB1507" i="4"/>
  <c r="CB1508" i="4" s="1"/>
  <c r="CB1403" i="4"/>
  <c r="CB1404" i="4" s="1"/>
  <c r="CB48" i="62"/>
  <c r="CB24" i="62" s="1"/>
  <c r="CB26" i="62" s="1"/>
  <c r="CB90" i="11"/>
  <c r="CB91" i="11" s="1"/>
  <c r="CB93" i="11" s="1"/>
  <c r="CB96" i="11" s="1"/>
  <c r="CB97" i="11" s="1"/>
  <c r="CB58" i="11"/>
  <c r="CB59" i="11" s="1"/>
  <c r="CB28" i="11" s="1"/>
  <c r="CB1306" i="4"/>
  <c r="CB1307" i="4" s="1"/>
  <c r="CB1311" i="4" s="1"/>
  <c r="CC1290" i="4" s="1"/>
  <c r="CB1329" i="4"/>
  <c r="CB22" i="66"/>
  <c r="CC1236" i="4" l="1"/>
  <c r="CC1128" i="4"/>
  <c r="CB46" i="62"/>
  <c r="CB24" i="66"/>
  <c r="CB20" i="66" s="1"/>
  <c r="CB26" i="66" s="1"/>
  <c r="CB101" i="11"/>
  <c r="CB1330" i="4"/>
  <c r="CB1331" i="4" s="1"/>
  <c r="CB100" i="11"/>
  <c r="CB44" i="66"/>
  <c r="CB40" i="66" s="1"/>
  <c r="CB46" i="66" s="1"/>
  <c r="CC95" i="11"/>
  <c r="CB1462" i="4"/>
  <c r="CB1461" i="4" s="1"/>
  <c r="CB1340" i="4"/>
  <c r="CB1341" i="4" s="1"/>
  <c r="CB21" i="11"/>
  <c r="CB17" i="11" s="1"/>
  <c r="CB101" i="67"/>
  <c r="CB100" i="67"/>
  <c r="CC386" i="4"/>
  <c r="CC387" i="4" s="1"/>
  <c r="CC500" i="4"/>
  <c r="CC489" i="4"/>
  <c r="CB25" i="11"/>
  <c r="CC1244" i="4"/>
  <c r="CC1245" i="4" s="1"/>
  <c r="CC42" i="62"/>
  <c r="CC1308" i="4"/>
  <c r="CC85" i="11"/>
  <c r="CC1337" i="4"/>
  <c r="CB1441" i="4"/>
  <c r="CB1442" i="4" s="1"/>
  <c r="CB99" i="11" l="1"/>
  <c r="CC52" i="62"/>
  <c r="CC43" i="62"/>
  <c r="CC23" i="62" s="1"/>
  <c r="CD1240" i="4"/>
  <c r="CC26" i="11"/>
  <c r="CB1343" i="4"/>
  <c r="CB1475" i="4"/>
  <c r="CB1470" i="4" s="1"/>
  <c r="CB37" i="11"/>
  <c r="CB1474" i="4"/>
  <c r="CB1469" i="4" s="1"/>
  <c r="CB1463" i="4"/>
  <c r="CB1460" i="4" s="1"/>
  <c r="CB23" i="11"/>
  <c r="CC501" i="4"/>
  <c r="CC502" i="4" s="1"/>
  <c r="CC388" i="4"/>
  <c r="CC389" i="4" s="1"/>
  <c r="CD384" i="4" s="1"/>
  <c r="CC490" i="4"/>
  <c r="CB48" i="66"/>
  <c r="CB39" i="11" l="1"/>
  <c r="CB40" i="11" s="1"/>
  <c r="CD499" i="4"/>
  <c r="CC1101" i="4"/>
  <c r="CC1103" i="4" s="1"/>
  <c r="CC1104" i="4" s="1"/>
  <c r="CC1105" i="4" s="1"/>
  <c r="CC64" i="62"/>
  <c r="CC51" i="11"/>
  <c r="CC491" i="4"/>
  <c r="CB1516" i="4"/>
  <c r="CB1517" i="4" s="1"/>
  <c r="CB1473" i="4"/>
  <c r="CB1468" i="4" s="1"/>
  <c r="CC16" i="66"/>
  <c r="CC14" i="66" s="1"/>
  <c r="CC13" i="66" s="1"/>
  <c r="CD488" i="4" l="1"/>
  <c r="CC15" i="11"/>
  <c r="CC13" i="11" s="1"/>
  <c r="CC984" i="4"/>
  <c r="CC988" i="4" s="1"/>
  <c r="CC62" i="64"/>
  <c r="CD1100" i="4"/>
  <c r="CC78" i="64" l="1"/>
  <c r="CC70" i="64"/>
  <c r="CC1320" i="4"/>
  <c r="CC1120" i="4"/>
  <c r="CC1294" i="4"/>
  <c r="CC1298" i="4" s="1"/>
  <c r="CC71" i="11"/>
  <c r="CC992" i="4"/>
  <c r="CC1073" i="4" l="1"/>
  <c r="CC1077" i="4" s="1"/>
  <c r="CC1081" i="4" s="1"/>
  <c r="CC47" i="11"/>
  <c r="CC1089" i="4" l="1"/>
  <c r="CC1082" i="4"/>
  <c r="CC61" i="11"/>
  <c r="CC62" i="11"/>
  <c r="CC48" i="11"/>
  <c r="CC55" i="11" s="1"/>
  <c r="CC63" i="11" l="1"/>
  <c r="CC1093" i="4"/>
  <c r="CC1090" i="4" s="1"/>
  <c r="CC1083" i="4" s="1"/>
  <c r="CC1084" i="4" s="1"/>
  <c r="CC64" i="11"/>
  <c r="CC1472" i="4"/>
  <c r="CC62" i="62"/>
  <c r="CC1091" i="4" l="1"/>
  <c r="CD1088" i="4" s="1"/>
  <c r="CC75" i="11"/>
  <c r="CC1323" i="4"/>
  <c r="CC61" i="64"/>
  <c r="CC1299" i="4"/>
  <c r="CC1300" i="4" s="1"/>
  <c r="CC56" i="11"/>
  <c r="CC57" i="11" s="1"/>
  <c r="CC1123" i="4"/>
  <c r="CC1130" i="4" s="1"/>
  <c r="CC1132" i="4" s="1"/>
  <c r="CC1135" i="4" s="1"/>
  <c r="CC63" i="62"/>
  <c r="CC67" i="62" s="1"/>
  <c r="CC68" i="62" l="1"/>
  <c r="CC1471" i="4"/>
  <c r="CC1283" i="4"/>
  <c r="CC1313" i="4"/>
  <c r="CC69" i="64"/>
  <c r="CC74" i="64" s="1"/>
  <c r="CC77" i="64"/>
  <c r="CC82" i="64" s="1"/>
  <c r="CC66" i="64"/>
  <c r="CC40" i="64" s="1"/>
  <c r="CC42" i="64" s="1"/>
  <c r="CC1193" i="4" l="1"/>
  <c r="CC1194" i="4" s="1"/>
  <c r="CC1196" i="4" s="1"/>
  <c r="CC1198" i="4" s="1"/>
  <c r="CC1164" i="4" s="1"/>
  <c r="CC52" i="64"/>
  <c r="CC49" i="64"/>
  <c r="CC1214" i="4" l="1"/>
  <c r="CC1165" i="4"/>
  <c r="CD1162" i="4" l="1"/>
  <c r="CD1207" i="4"/>
  <c r="CD1225" i="4" s="1"/>
  <c r="CC1302" i="4"/>
  <c r="CC1303" i="4" s="1"/>
  <c r="CC1324" i="4"/>
  <c r="CC88" i="11"/>
  <c r="CC38" i="66"/>
  <c r="CC1481" i="4"/>
  <c r="CC1483" i="4" s="1"/>
  <c r="CC1424" i="4"/>
  <c r="CC1215" i="4"/>
  <c r="CC31" i="11" l="1"/>
  <c r="CD1212" i="4"/>
  <c r="CC1489" i="4"/>
  <c r="CC1505" i="4"/>
  <c r="CC1515" i="4"/>
  <c r="CC1281" i="4"/>
  <c r="CC1271" i="4"/>
  <c r="CD1163" i="4"/>
  <c r="CC1252" i="4" l="1"/>
  <c r="CC1274" i="4"/>
  <c r="CC1275" i="4" s="1"/>
  <c r="CC1265" i="4" s="1"/>
  <c r="CD1213" i="4"/>
  <c r="CD1206" i="4"/>
  <c r="CD1224" i="4" s="1"/>
  <c r="CD1226" i="4" s="1"/>
  <c r="CD1202" i="4"/>
  <c r="CD1178" i="4"/>
  <c r="CC1490" i="4"/>
  <c r="CD1492" i="4"/>
  <c r="CC30" i="11"/>
  <c r="CC45" i="62"/>
  <c r="CC1495" i="4" l="1"/>
  <c r="CC1493" i="4"/>
  <c r="CD72" i="11"/>
  <c r="CD37" i="66"/>
  <c r="CD297" i="4"/>
  <c r="CD305" i="4" s="1"/>
  <c r="CD330" i="4" s="1"/>
  <c r="CD1076" i="4"/>
  <c r="CD1122" i="4"/>
  <c r="CD1326" i="4"/>
  <c r="CD50" i="11"/>
  <c r="CD49" i="11" s="1"/>
  <c r="CD1295" i="4"/>
  <c r="CD18" i="66"/>
  <c r="CD1310" i="4"/>
  <c r="CD87" i="11"/>
  <c r="CD1336" i="4"/>
  <c r="CD1423" i="4"/>
  <c r="CD1179" i="4"/>
  <c r="CD1180" i="4"/>
  <c r="CD1169" i="4" s="1"/>
  <c r="CD1170" i="4" s="1"/>
  <c r="CD1188" i="4" s="1"/>
  <c r="CD1189" i="4"/>
  <c r="CD1218" i="4" s="1"/>
  <c r="CC1266" i="4"/>
  <c r="CC1264" i="4"/>
  <c r="CC1253" i="4" s="1"/>
  <c r="CC1499" i="4"/>
  <c r="CC1257" i="4"/>
  <c r="CC1261" i="4"/>
  <c r="CC1268" i="4" s="1"/>
  <c r="CC1496" i="4" l="1"/>
  <c r="CD1181" i="4"/>
  <c r="CD1190" i="4" s="1"/>
  <c r="CD1221" i="4" s="1"/>
  <c r="CC86" i="11"/>
  <c r="CC1338" i="4"/>
  <c r="CC19" i="66"/>
  <c r="CC17" i="66" s="1"/>
  <c r="CC1309" i="4"/>
  <c r="CC1480" i="4"/>
  <c r="CE479" i="4"/>
  <c r="CD456" i="4"/>
  <c r="CD458" i="4" s="1"/>
  <c r="CD459" i="4" s="1"/>
  <c r="CE457" i="4"/>
  <c r="CD467" i="4"/>
  <c r="CD469" i="4" s="1"/>
  <c r="CD470" i="4" s="1"/>
  <c r="CD471" i="4" s="1"/>
  <c r="CD472" i="4" s="1"/>
  <c r="CE466" i="4" s="1"/>
  <c r="CE468" i="4"/>
  <c r="CD478" i="4"/>
  <c r="CD480" i="4" s="1"/>
  <c r="CD481" i="4" s="1"/>
  <c r="CD482" i="4" s="1"/>
  <c r="CD483" i="4" s="1"/>
  <c r="CE477" i="4" s="1"/>
  <c r="CC74" i="11"/>
  <c r="CC78" i="11" s="1"/>
  <c r="CC1304" i="4"/>
  <c r="CC1272" i="4"/>
  <c r="CC1276" i="4" s="1"/>
  <c r="CC1254" i="4" s="1"/>
  <c r="CC1327" i="4"/>
  <c r="CC36" i="66"/>
  <c r="CC1386" i="4"/>
  <c r="CD1220" i="4"/>
  <c r="CD53" i="11" s="1"/>
  <c r="CD52" i="11" s="1"/>
  <c r="CD1219" i="4"/>
  <c r="CD294" i="4" s="1"/>
  <c r="CD1074" i="4"/>
  <c r="CD1197" i="4" l="1"/>
  <c r="CD73" i="11"/>
  <c r="CD1301" i="4"/>
  <c r="CD1121" i="4"/>
  <c r="CD1144" i="4" s="1"/>
  <c r="CD1325" i="4"/>
  <c r="CC89" i="11"/>
  <c r="CC39" i="66"/>
  <c r="CC35" i="66" s="1"/>
  <c r="CC1305" i="4"/>
  <c r="CC1282" i="4" s="1"/>
  <c r="CC1328" i="4"/>
  <c r="CE495" i="4"/>
  <c r="CE1072" i="4" s="1"/>
  <c r="CD299" i="4"/>
  <c r="CD302" i="4"/>
  <c r="CC1385" i="4"/>
  <c r="CC1388" i="4" s="1"/>
  <c r="CC1421" i="4"/>
  <c r="CD460" i="4"/>
  <c r="CD461" i="4" s="1"/>
  <c r="CE455" i="4" s="1"/>
  <c r="CD494" i="4"/>
  <c r="CD1071" i="4" s="1"/>
  <c r="CC1255" i="4"/>
  <c r="CD1145" i="4" l="1"/>
  <c r="CD1235" i="4"/>
  <c r="CD1251" i="4" s="1"/>
  <c r="CD1234" i="4"/>
  <c r="CC1284" i="4"/>
  <c r="CC1286" i="4" s="1"/>
  <c r="CD1250" i="4"/>
  <c r="CC27" i="11"/>
  <c r="CC1506" i="4"/>
  <c r="CC1425" i="4"/>
  <c r="CC1390" i="4"/>
  <c r="CC1402" i="4"/>
  <c r="CD331" i="4"/>
  <c r="CD307" i="4"/>
  <c r="CD332" i="4" l="1"/>
  <c r="CD14" i="11" s="1"/>
  <c r="CC1285" i="4"/>
  <c r="CC58" i="11"/>
  <c r="CC59" i="11" s="1"/>
  <c r="CC28" i="11" s="1"/>
  <c r="CC48" i="62"/>
  <c r="CC24" i="62" s="1"/>
  <c r="CC26" i="62" s="1"/>
  <c r="CC1306" i="4"/>
  <c r="CC1307" i="4" s="1"/>
  <c r="CC1311" i="4" s="1"/>
  <c r="CD1290" i="4" s="1"/>
  <c r="CC90" i="11"/>
  <c r="CC91" i="11" s="1"/>
  <c r="CC93" i="11" s="1"/>
  <c r="CC96" i="11" s="1"/>
  <c r="CC97" i="11" s="1"/>
  <c r="CC1329" i="4"/>
  <c r="CC22" i="66"/>
  <c r="CD405" i="4"/>
  <c r="CD406" i="4" s="1"/>
  <c r="CD407" i="4" s="1"/>
  <c r="CD408" i="4" s="1"/>
  <c r="CD409" i="4" s="1"/>
  <c r="CE404" i="4" s="1"/>
  <c r="CD395" i="4"/>
  <c r="CD396" i="4" s="1"/>
  <c r="CD397" i="4" s="1"/>
  <c r="CD398" i="4" s="1"/>
  <c r="CD399" i="4" s="1"/>
  <c r="CE394" i="4" s="1"/>
  <c r="CD385" i="4"/>
  <c r="CD1241" i="4"/>
  <c r="CD1236" i="4"/>
  <c r="CC1403" i="4"/>
  <c r="CC1404" i="4" s="1"/>
  <c r="CC1440" i="4"/>
  <c r="CC1509" i="4"/>
  <c r="CC1507" i="4"/>
  <c r="CC1508" i="4" s="1"/>
  <c r="CC1441" i="4" l="1"/>
  <c r="CC1442" i="4" s="1"/>
  <c r="CD85" i="11"/>
  <c r="CD1308" i="4"/>
  <c r="CD42" i="62"/>
  <c r="CD1244" i="4"/>
  <c r="CD1245" i="4" s="1"/>
  <c r="CD1337" i="4"/>
  <c r="CC24" i="66"/>
  <c r="CC20" i="66" s="1"/>
  <c r="CC26" i="66" s="1"/>
  <c r="CC101" i="67"/>
  <c r="CC100" i="67"/>
  <c r="CC1330" i="4"/>
  <c r="CC1331" i="4" s="1"/>
  <c r="CC1462" i="4"/>
  <c r="CC1461" i="4" s="1"/>
  <c r="CC1340" i="4"/>
  <c r="CC1341" i="4" s="1"/>
  <c r="CC21" i="11"/>
  <c r="CC17" i="11" s="1"/>
  <c r="CC101" i="11"/>
  <c r="CD95" i="11"/>
  <c r="CC44" i="66"/>
  <c r="CC40" i="66" s="1"/>
  <c r="CC46" i="66" s="1"/>
  <c r="CC100" i="11"/>
  <c r="CC46" i="62"/>
  <c r="CD500" i="4"/>
  <c r="CD489" i="4"/>
  <c r="CD386" i="4"/>
  <c r="CD387" i="4" s="1"/>
  <c r="CD1128" i="4"/>
  <c r="CC25" i="11"/>
  <c r="CC48" i="66" l="1"/>
  <c r="CD501" i="4"/>
  <c r="CD502" i="4" s="1"/>
  <c r="CD490" i="4"/>
  <c r="CD491" i="4" s="1"/>
  <c r="CD388" i="4"/>
  <c r="CD389" i="4" s="1"/>
  <c r="CE384" i="4" s="1"/>
  <c r="CC37" i="11"/>
  <c r="CC1475" i="4"/>
  <c r="CC1470" i="4" s="1"/>
  <c r="CC1474" i="4"/>
  <c r="CC1469" i="4" s="1"/>
  <c r="CC1343" i="4"/>
  <c r="CD26" i="11"/>
  <c r="CE1240" i="4"/>
  <c r="CD52" i="62"/>
  <c r="CD43" i="62"/>
  <c r="CD23" i="62" s="1"/>
  <c r="CC99" i="11"/>
  <c r="CC1463" i="4"/>
  <c r="CC1460" i="4" s="1"/>
  <c r="CC23" i="11"/>
  <c r="CC39" i="11" l="1"/>
  <c r="CC40" i="11" s="1"/>
  <c r="CE499" i="4"/>
  <c r="CD1101" i="4"/>
  <c r="CD1103" i="4" s="1"/>
  <c r="CD1104" i="4" s="1"/>
  <c r="CD1105" i="4" s="1"/>
  <c r="CE488" i="4"/>
  <c r="CD15" i="11"/>
  <c r="CD13" i="11" s="1"/>
  <c r="CD16" i="66"/>
  <c r="CD14" i="66" s="1"/>
  <c r="CD13" i="66" s="1"/>
  <c r="CD51" i="11"/>
  <c r="CD64" i="62"/>
  <c r="CC1516" i="4"/>
  <c r="CC1517" i="4" s="1"/>
  <c r="CC1473" i="4"/>
  <c r="CC1468" i="4" s="1"/>
  <c r="CD62" i="64" l="1"/>
  <c r="CD984" i="4"/>
  <c r="CD988" i="4" s="1"/>
  <c r="CE1100" i="4"/>
  <c r="CD70" i="64" l="1"/>
  <c r="CD78" i="64"/>
  <c r="CD1120" i="4"/>
  <c r="CD1320" i="4"/>
  <c r="CD992" i="4"/>
  <c r="CD71" i="11"/>
  <c r="CD1294" i="4"/>
  <c r="CD1298" i="4" s="1"/>
  <c r="CD47" i="11" l="1"/>
  <c r="CD1073" i="4"/>
  <c r="CD1077" i="4" s="1"/>
  <c r="CD1081" i="4" s="1"/>
  <c r="CD1089" i="4" l="1"/>
  <c r="CD1082" i="4"/>
  <c r="CD62" i="11"/>
  <c r="CD61" i="11"/>
  <c r="CD48" i="11"/>
  <c r="CD55" i="11" s="1"/>
  <c r="CD64" i="11" l="1"/>
  <c r="CD1472" i="4"/>
  <c r="CD62" i="62"/>
  <c r="CD1093" i="4"/>
  <c r="CD1090" i="4" s="1"/>
  <c r="CD1083" i="4" s="1"/>
  <c r="CD1084" i="4" s="1"/>
  <c r="CD63" i="11"/>
  <c r="CD1091" i="4" l="1"/>
  <c r="CE1088" i="4" s="1"/>
  <c r="CD75" i="11"/>
  <c r="CD56" i="11"/>
  <c r="CD57" i="11" s="1"/>
  <c r="CD1299" i="4"/>
  <c r="CD1300" i="4" s="1"/>
  <c r="CD1123" i="4"/>
  <c r="CD1130" i="4" s="1"/>
  <c r="CD1132" i="4" s="1"/>
  <c r="CD1135" i="4" s="1"/>
  <c r="CD1323" i="4"/>
  <c r="CD61" i="64"/>
  <c r="CD63" i="62"/>
  <c r="CD67" i="62" s="1"/>
  <c r="CD68" i="62" l="1"/>
  <c r="CD77" i="64"/>
  <c r="CD82" i="64" s="1"/>
  <c r="CD69" i="64"/>
  <c r="CD74" i="64" s="1"/>
  <c r="CD66" i="64"/>
  <c r="CD40" i="64" s="1"/>
  <c r="CD42" i="64" s="1"/>
  <c r="CD1313" i="4"/>
  <c r="CD1471" i="4"/>
  <c r="CD1283" i="4"/>
  <c r="CD1193" i="4" l="1"/>
  <c r="CD1194" i="4" s="1"/>
  <c r="CD1196" i="4" s="1"/>
  <c r="CD1198" i="4" s="1"/>
  <c r="CD1164" i="4" s="1"/>
  <c r="CD49" i="64"/>
  <c r="CD52" i="64"/>
  <c r="CD1214" i="4" l="1"/>
  <c r="CD1165" i="4"/>
  <c r="CE1162" i="4" l="1"/>
  <c r="CE1207" i="4"/>
  <c r="CE1225" i="4" s="1"/>
  <c r="CD1481" i="4"/>
  <c r="CD1483" i="4" s="1"/>
  <c r="CD1324" i="4"/>
  <c r="CD1302" i="4"/>
  <c r="CD1303" i="4" s="1"/>
  <c r="CD88" i="11"/>
  <c r="CD38" i="66"/>
  <c r="CD1424" i="4"/>
  <c r="CD1215" i="4"/>
  <c r="CD1281" i="4" l="1"/>
  <c r="CD1271" i="4"/>
  <c r="CD31" i="11"/>
  <c r="CD1489" i="4"/>
  <c r="CD1490" i="4" s="1"/>
  <c r="CD1505" i="4"/>
  <c r="CD1515" i="4"/>
  <c r="CE1212" i="4"/>
  <c r="CE1163" i="4"/>
  <c r="CE1492" i="4" l="1"/>
  <c r="CE1206" i="4"/>
  <c r="CE1224" i="4" s="1"/>
  <c r="CE1226" i="4" s="1"/>
  <c r="CE1213" i="4"/>
  <c r="CE1202" i="4"/>
  <c r="CE1178" i="4"/>
  <c r="CD1499" i="4"/>
  <c r="CD1495" i="4"/>
  <c r="CD1493" i="4"/>
  <c r="CD45" i="62"/>
  <c r="CD30" i="11"/>
  <c r="CD1252" i="4"/>
  <c r="CD1274" i="4"/>
  <c r="CD1275" i="4" s="1"/>
  <c r="CD1265" i="4" s="1"/>
  <c r="CD1496" i="4" l="1"/>
  <c r="AC87" i="67"/>
  <c r="CE18" i="66"/>
  <c r="CE1310" i="4"/>
  <c r="CE87" i="11"/>
  <c r="CE1336" i="4"/>
  <c r="CE1423" i="4"/>
  <c r="CD1264" i="4"/>
  <c r="CD1253" i="4" s="1"/>
  <c r="CD1266" i="4"/>
  <c r="AC72" i="67"/>
  <c r="CE50" i="11"/>
  <c r="CE1122" i="4"/>
  <c r="CE72" i="11"/>
  <c r="CE1295" i="4"/>
  <c r="CE297" i="4"/>
  <c r="CE305" i="4" s="1"/>
  <c r="CE330" i="4" s="1"/>
  <c r="CE1326" i="4"/>
  <c r="CE37" i="66"/>
  <c r="CE1076" i="4"/>
  <c r="CD1257" i="4"/>
  <c r="CD1261" i="4"/>
  <c r="CD1268" i="4" s="1"/>
  <c r="CE1189" i="4"/>
  <c r="CE1218" i="4" s="1"/>
  <c r="CE1179" i="4"/>
  <c r="CE1180" i="4"/>
  <c r="CE1169" i="4" s="1"/>
  <c r="CE1170" i="4" s="1"/>
  <c r="CE1188" i="4" s="1"/>
  <c r="AC50" i="67" l="1"/>
  <c r="AC49" i="67" s="1"/>
  <c r="CE49" i="11"/>
  <c r="CE478" i="4"/>
  <c r="CE480" i="4" s="1"/>
  <c r="CE481" i="4" s="1"/>
  <c r="CE482" i="4" s="1"/>
  <c r="CE483" i="4" s="1"/>
  <c r="CF477" i="4" s="1"/>
  <c r="CF468" i="4"/>
  <c r="CF479" i="4"/>
  <c r="CE456" i="4"/>
  <c r="CE458" i="4" s="1"/>
  <c r="CE459" i="4" s="1"/>
  <c r="CF457" i="4"/>
  <c r="CE467" i="4"/>
  <c r="CE469" i="4" s="1"/>
  <c r="CE470" i="4" s="1"/>
  <c r="CE471" i="4" s="1"/>
  <c r="CE472" i="4" s="1"/>
  <c r="CF466" i="4" s="1"/>
  <c r="CE1181" i="4"/>
  <c r="CD1327" i="4"/>
  <c r="CD1304" i="4"/>
  <c r="CD74" i="11"/>
  <c r="CD78" i="11" s="1"/>
  <c r="CD1272" i="4"/>
  <c r="CD1276" i="4" s="1"/>
  <c r="CD1254" i="4" s="1"/>
  <c r="CD1386" i="4"/>
  <c r="CD36" i="66"/>
  <c r="CD1309" i="4"/>
  <c r="CD1338" i="4"/>
  <c r="CD19" i="66"/>
  <c r="CD17" i="66" s="1"/>
  <c r="CD86" i="11"/>
  <c r="CD1480" i="4"/>
  <c r="CE1074" i="4"/>
  <c r="CE1220" i="4"/>
  <c r="CE1219" i="4"/>
  <c r="CE294" i="4" s="1"/>
  <c r="CF495" i="4" l="1"/>
  <c r="CF1072" i="4" s="1"/>
  <c r="CE460" i="4"/>
  <c r="CE461" i="4" s="1"/>
  <c r="CF455" i="4" s="1"/>
  <c r="CE494" i="4"/>
  <c r="CE1071" i="4" s="1"/>
  <c r="CD1421" i="4"/>
  <c r="CD1385" i="4"/>
  <c r="CD1388" i="4" s="1"/>
  <c r="CE299" i="4"/>
  <c r="CE302" i="4"/>
  <c r="CE1197" i="4"/>
  <c r="CE1190" i="4"/>
  <c r="CE1221" i="4" s="1"/>
  <c r="CD39" i="66"/>
  <c r="CD35" i="66" s="1"/>
  <c r="CD89" i="11"/>
  <c r="CD1328" i="4"/>
  <c r="CD1305" i="4"/>
  <c r="CD1282" i="4" s="1"/>
  <c r="CD1255" i="4"/>
  <c r="AC53" i="67"/>
  <c r="AC52" i="67" s="1"/>
  <c r="CE53" i="11"/>
  <c r="CE52" i="11" s="1"/>
  <c r="CE307" i="4" l="1"/>
  <c r="CE331" i="4"/>
  <c r="CD1284" i="4"/>
  <c r="CD1286" i="4" s="1"/>
  <c r="CD1390" i="4"/>
  <c r="CD1402" i="4"/>
  <c r="CD1425" i="4"/>
  <c r="CE73" i="11"/>
  <c r="CE1121" i="4"/>
  <c r="CE1144" i="4" s="1"/>
  <c r="CE1301" i="4"/>
  <c r="CE1325" i="4"/>
  <c r="AC73" i="67"/>
  <c r="AC23" i="13"/>
  <c r="CD27" i="11"/>
  <c r="CE1250" i="4"/>
  <c r="CD1506" i="4"/>
  <c r="CE332" i="4" l="1"/>
  <c r="CE14" i="11" s="1"/>
  <c r="CD1285" i="4"/>
  <c r="CD1440" i="4"/>
  <c r="CD1509" i="4"/>
  <c r="CD1507" i="4"/>
  <c r="CD1508" i="4" s="1"/>
  <c r="CD1403" i="4"/>
  <c r="CD1404" i="4" s="1"/>
  <c r="CD48" i="62"/>
  <c r="CD24" i="62" s="1"/>
  <c r="CD26" i="62" s="1"/>
  <c r="CD1329" i="4"/>
  <c r="CD1306" i="4"/>
  <c r="CD1307" i="4" s="1"/>
  <c r="CD1311" i="4" s="1"/>
  <c r="CE1290" i="4" s="1"/>
  <c r="CD90" i="11"/>
  <c r="CD91" i="11" s="1"/>
  <c r="CD93" i="11" s="1"/>
  <c r="CD96" i="11" s="1"/>
  <c r="CD97" i="11" s="1"/>
  <c r="CD58" i="11"/>
  <c r="CD59" i="11" s="1"/>
  <c r="CD28" i="11" s="1"/>
  <c r="CD25" i="11" s="1"/>
  <c r="CD22" i="66"/>
  <c r="CE1234" i="4"/>
  <c r="CE1145" i="4"/>
  <c r="CE1235" i="4"/>
  <c r="CE1251" i="4" s="1"/>
  <c r="CE385" i="4"/>
  <c r="CE405" i="4"/>
  <c r="CE406" i="4" s="1"/>
  <c r="CE407" i="4" s="1"/>
  <c r="CE408" i="4" s="1"/>
  <c r="CE409" i="4" s="1"/>
  <c r="CF404" i="4" s="1"/>
  <c r="CE395" i="4"/>
  <c r="CE396" i="4" s="1"/>
  <c r="CE397" i="4" s="1"/>
  <c r="CE398" i="4" s="1"/>
  <c r="CE399" i="4" s="1"/>
  <c r="CF394" i="4" s="1"/>
  <c r="AC14" i="67" l="1"/>
  <c r="CD44" i="66"/>
  <c r="CD40" i="66" s="1"/>
  <c r="CD46" i="66" s="1"/>
  <c r="CD21" i="11"/>
  <c r="CD17" i="11" s="1"/>
  <c r="CD1340" i="4"/>
  <c r="CD1341" i="4" s="1"/>
  <c r="CE95" i="11"/>
  <c r="CD100" i="67"/>
  <c r="CD101" i="67"/>
  <c r="CD100" i="11"/>
  <c r="CD24" i="66"/>
  <c r="CD20" i="66" s="1"/>
  <c r="CD26" i="66" s="1"/>
  <c r="CD46" i="62"/>
  <c r="CD1462" i="4"/>
  <c r="CD1461" i="4" s="1"/>
  <c r="CD101" i="11"/>
  <c r="CD1330" i="4"/>
  <c r="CD1331" i="4" s="1"/>
  <c r="CE500" i="4"/>
  <c r="CE386" i="4"/>
  <c r="CE387" i="4" s="1"/>
  <c r="CE489" i="4"/>
  <c r="CE1128" i="4"/>
  <c r="CE1241" i="4"/>
  <c r="CE1236" i="4"/>
  <c r="CD1441" i="4"/>
  <c r="CD1442" i="4" s="1"/>
  <c r="CD1474" i="4"/>
  <c r="CD1469" i="4" s="1"/>
  <c r="CD1475" i="4"/>
  <c r="CD1470" i="4" s="1"/>
  <c r="CD37" i="11"/>
  <c r="CD1343" i="4" l="1"/>
  <c r="CE1244" i="4"/>
  <c r="CE1245" i="4" s="1"/>
  <c r="CE42" i="62"/>
  <c r="CE1308" i="4"/>
  <c r="CE1337" i="4"/>
  <c r="CE85" i="11"/>
  <c r="AC85" i="67"/>
  <c r="CD99" i="11"/>
  <c r="CD1463" i="4"/>
  <c r="CD1460" i="4" s="1"/>
  <c r="CD23" i="11"/>
  <c r="CE501" i="4"/>
  <c r="CE502" i="4" s="1"/>
  <c r="CE490" i="4"/>
  <c r="CE491" i="4" s="1"/>
  <c r="CE388" i="4"/>
  <c r="CE389" i="4" s="1"/>
  <c r="CF384" i="4" s="1"/>
  <c r="CD48" i="66"/>
  <c r="AC15" i="67" l="1"/>
  <c r="AC13" i="67" s="1"/>
  <c r="CF488" i="4"/>
  <c r="CE15" i="11"/>
  <c r="CE13" i="11" s="1"/>
  <c r="CE1101" i="4"/>
  <c r="CE1103" i="4" s="1"/>
  <c r="CE1104" i="4" s="1"/>
  <c r="CE1105" i="4" s="1"/>
  <c r="CF499" i="4"/>
  <c r="CD1516" i="4"/>
  <c r="CD1517" i="4" s="1"/>
  <c r="CD1473" i="4"/>
  <c r="CD1468" i="4" s="1"/>
  <c r="AC51" i="67"/>
  <c r="CE64" i="62"/>
  <c r="CE51" i="11"/>
  <c r="CE52" i="62"/>
  <c r="CE43" i="62"/>
  <c r="CE23" i="62" s="1"/>
  <c r="AC26" i="67"/>
  <c r="CF1240" i="4"/>
  <c r="CE26" i="11"/>
  <c r="CD39" i="11"/>
  <c r="CD40" i="11" s="1"/>
  <c r="CE16" i="66" l="1"/>
  <c r="CE14" i="66" s="1"/>
  <c r="CE13" i="66" s="1"/>
  <c r="CF1100" i="4"/>
  <c r="CE984" i="4"/>
  <c r="CE988" i="4" s="1"/>
  <c r="CE62" i="64"/>
  <c r="CE70" i="64" l="1"/>
  <c r="CE78" i="64"/>
  <c r="CE1294" i="4"/>
  <c r="CE1298" i="4" s="1"/>
  <c r="CE1120" i="4"/>
  <c r="CE992" i="4"/>
  <c r="CE1320" i="4"/>
  <c r="CE71" i="11"/>
  <c r="AC71" i="67"/>
  <c r="AC40" i="13"/>
  <c r="AC47" i="67" l="1"/>
  <c r="CE1073" i="4"/>
  <c r="CE1077" i="4" s="1"/>
  <c r="CE1081" i="4" s="1"/>
  <c r="CE47" i="11"/>
  <c r="AC20" i="72"/>
  <c r="AC62" i="67" l="1"/>
  <c r="AC64" i="67" s="1"/>
  <c r="AC61" i="67"/>
  <c r="AC63" i="67" s="1"/>
  <c r="AC48" i="67"/>
  <c r="AC55" i="67" s="1"/>
  <c r="CE61" i="11"/>
  <c r="CE62" i="11"/>
  <c r="CE48" i="11"/>
  <c r="CE55" i="11" s="1"/>
  <c r="CE1082" i="4"/>
  <c r="CE1093" i="4" s="1"/>
  <c r="CE1090" i="4" s="1"/>
  <c r="CE1083" i="4" s="1"/>
  <c r="CE1084" i="4" s="1"/>
  <c r="CE1089" i="4"/>
  <c r="CE62" i="62" l="1"/>
  <c r="CE64" i="11"/>
  <c r="CE1472" i="4"/>
  <c r="CE1323" i="4"/>
  <c r="CE1299" i="4"/>
  <c r="CE1300" i="4" s="1"/>
  <c r="CE61" i="64"/>
  <c r="CE75" i="11"/>
  <c r="CE56" i="11"/>
  <c r="CE57" i="11" s="1"/>
  <c r="CE1123" i="4"/>
  <c r="CE1130" i="4" s="1"/>
  <c r="CE1132" i="4" s="1"/>
  <c r="CE1135" i="4" s="1"/>
  <c r="AC41" i="13"/>
  <c r="AC43" i="13" s="1"/>
  <c r="AC75" i="67"/>
  <c r="AC56" i="67"/>
  <c r="AC57" i="67" s="1"/>
  <c r="CE1091" i="4"/>
  <c r="CF1088" i="4" s="1"/>
  <c r="CE63" i="11"/>
  <c r="AC1526" i="4"/>
  <c r="CE1471" i="4" l="1"/>
  <c r="CE1283" i="4"/>
  <c r="CE77" i="64"/>
  <c r="CE82" i="64" s="1"/>
  <c r="CE69" i="64"/>
  <c r="CE74" i="64" s="1"/>
  <c r="CE66" i="64"/>
  <c r="CE40" i="64" s="1"/>
  <c r="CE42" i="64" s="1"/>
  <c r="CE1313" i="4"/>
  <c r="CE63" i="62"/>
  <c r="CE67" i="62" s="1"/>
  <c r="CE68" i="62" l="1"/>
  <c r="CE49" i="64"/>
  <c r="CE52" i="64"/>
  <c r="CE1193" i="4"/>
  <c r="CE1194" i="4" s="1"/>
  <c r="CE1196" i="4" s="1"/>
  <c r="CE1198" i="4" s="1"/>
  <c r="CE1164" i="4" s="1"/>
  <c r="CE1214" i="4" l="1"/>
  <c r="CE1165" i="4"/>
  <c r="CF1162" i="4" l="1"/>
  <c r="CF1207" i="4"/>
  <c r="CF1225" i="4" s="1"/>
  <c r="CE1481" i="4"/>
  <c r="CE1483" i="4" s="1"/>
  <c r="CE38" i="66"/>
  <c r="CE88" i="11"/>
  <c r="CE1324" i="4"/>
  <c r="CE1302" i="4"/>
  <c r="CE1303" i="4" s="1"/>
  <c r="CE1424" i="4"/>
  <c r="AC24" i="13"/>
  <c r="AC88" i="67"/>
  <c r="CE1215" i="4"/>
  <c r="CE1271" i="4" l="1"/>
  <c r="CE1281" i="4"/>
  <c r="AC1525" i="4"/>
  <c r="AC1529" i="4" s="1"/>
  <c r="AC31" i="67"/>
  <c r="AC30" i="67" s="1"/>
  <c r="CE31" i="11"/>
  <c r="CE1489" i="4"/>
  <c r="CE1505" i="4"/>
  <c r="CF1212" i="4"/>
  <c r="CE1515" i="4"/>
  <c r="CF1163" i="4"/>
  <c r="CE1490" i="4" l="1"/>
  <c r="CE1499" i="4" s="1"/>
  <c r="CE45" i="62"/>
  <c r="CE30" i="11"/>
  <c r="CF1206" i="4"/>
  <c r="CF1224" i="4" s="1"/>
  <c r="CF1226" i="4" s="1"/>
  <c r="CF1213" i="4"/>
  <c r="CF1202" i="4"/>
  <c r="CF1178" i="4"/>
  <c r="CF1492" i="4"/>
  <c r="CE1274" i="4"/>
  <c r="CE1275" i="4" s="1"/>
  <c r="CE1265" i="4" s="1"/>
  <c r="CE1252" i="4"/>
  <c r="CE1257" i="4" l="1"/>
  <c r="CE1261" i="4"/>
  <c r="CE1268" i="4" s="1"/>
  <c r="CF1180" i="4"/>
  <c r="CF1169" i="4" s="1"/>
  <c r="CF1170" i="4" s="1"/>
  <c r="CF1188" i="4" s="1"/>
  <c r="CF1189" i="4"/>
  <c r="CF1218" i="4" s="1"/>
  <c r="CF1179" i="4"/>
  <c r="CF87" i="11"/>
  <c r="CF1336" i="4"/>
  <c r="CF1310" i="4"/>
  <c r="CF18" i="66"/>
  <c r="CF1423" i="4"/>
  <c r="CF1122" i="4"/>
  <c r="CF1295" i="4"/>
  <c r="CF72" i="11"/>
  <c r="CF50" i="11"/>
  <c r="CF49" i="11" s="1"/>
  <c r="CF297" i="4"/>
  <c r="CF305" i="4" s="1"/>
  <c r="CF330" i="4" s="1"/>
  <c r="CF1326" i="4"/>
  <c r="CF1076" i="4"/>
  <c r="CF37" i="66"/>
  <c r="CE1266" i="4"/>
  <c r="CE1264" i="4"/>
  <c r="CE1253" i="4" s="1"/>
  <c r="CE1495" i="4"/>
  <c r="CE1493" i="4"/>
  <c r="CF1181" i="4" l="1"/>
  <c r="CF1197" i="4" s="1"/>
  <c r="CF1220" i="4"/>
  <c r="CF53" i="11" s="1"/>
  <c r="CF52" i="11" s="1"/>
  <c r="CF1074" i="4"/>
  <c r="CF1219" i="4"/>
  <c r="CF294" i="4" s="1"/>
  <c r="CE1496" i="4"/>
  <c r="CE1338" i="4"/>
  <c r="CE86" i="11"/>
  <c r="CE19" i="66"/>
  <c r="CE17" i="66" s="1"/>
  <c r="CE1309" i="4"/>
  <c r="AC86" i="67"/>
  <c r="CE1480" i="4"/>
  <c r="CE74" i="11"/>
  <c r="CE78" i="11" s="1"/>
  <c r="CE1272" i="4"/>
  <c r="CE1276" i="4" s="1"/>
  <c r="CE1254" i="4" s="1"/>
  <c r="CE1304" i="4"/>
  <c r="CE1327" i="4"/>
  <c r="AC74" i="67"/>
  <c r="AC78" i="67" s="1"/>
  <c r="CE36" i="66"/>
  <c r="CE1386" i="4"/>
  <c r="CG468" i="4"/>
  <c r="CF467" i="4"/>
  <c r="CF469" i="4" s="1"/>
  <c r="CF470" i="4" s="1"/>
  <c r="CF471" i="4" s="1"/>
  <c r="CF472" i="4" s="1"/>
  <c r="CG466" i="4" s="1"/>
  <c r="CG457" i="4"/>
  <c r="CF478" i="4"/>
  <c r="CF480" i="4" s="1"/>
  <c r="CF481" i="4" s="1"/>
  <c r="CF482" i="4" s="1"/>
  <c r="CF483" i="4" s="1"/>
  <c r="CG477" i="4" s="1"/>
  <c r="CG479" i="4"/>
  <c r="CF456" i="4"/>
  <c r="CF458" i="4" s="1"/>
  <c r="CF459" i="4" s="1"/>
  <c r="CF1190" i="4" l="1"/>
  <c r="CF1221" i="4" s="1"/>
  <c r="CF1301" i="4" s="1"/>
  <c r="CG495" i="4"/>
  <c r="CG1072" i="4" s="1"/>
  <c r="CE89" i="11"/>
  <c r="CE39" i="66"/>
  <c r="CE35" i="66" s="1"/>
  <c r="CE1305" i="4"/>
  <c r="CE1282" i="4" s="1"/>
  <c r="CE1328" i="4"/>
  <c r="AC89" i="67"/>
  <c r="CE1421" i="4"/>
  <c r="CE1385" i="4"/>
  <c r="CE1388" i="4" s="1"/>
  <c r="CF299" i="4"/>
  <c r="CF302" i="4"/>
  <c r="CF460" i="4"/>
  <c r="CF461" i="4" s="1"/>
  <c r="CG455" i="4" s="1"/>
  <c r="CF494" i="4"/>
  <c r="CF1071" i="4" s="1"/>
  <c r="CE1255" i="4"/>
  <c r="CF73" i="11" l="1"/>
  <c r="CF1325" i="4"/>
  <c r="CF1121" i="4"/>
  <c r="CF1144" i="4" s="1"/>
  <c r="CF1234" i="4" s="1"/>
  <c r="CF331" i="4"/>
  <c r="CF307" i="4"/>
  <c r="CE1390" i="4"/>
  <c r="CE1402" i="4"/>
  <c r="CE1425" i="4"/>
  <c r="AC13" i="13"/>
  <c r="CE1284" i="4"/>
  <c r="CE1286" i="4" s="1"/>
  <c r="CE27" i="11"/>
  <c r="CF1250" i="4"/>
  <c r="AC27" i="67"/>
  <c r="CE1506" i="4"/>
  <c r="CF332" i="4" l="1"/>
  <c r="CF14" i="11" s="1"/>
  <c r="CF1145" i="4"/>
  <c r="CF1235" i="4"/>
  <c r="CF1251" i="4" s="1"/>
  <c r="CE1285" i="4"/>
  <c r="CE1403" i="4"/>
  <c r="CE1404" i="4" s="1"/>
  <c r="CF395" i="4"/>
  <c r="CF396" i="4" s="1"/>
  <c r="CF397" i="4" s="1"/>
  <c r="CF398" i="4" s="1"/>
  <c r="CF399" i="4" s="1"/>
  <c r="CG394" i="4" s="1"/>
  <c r="CF385" i="4"/>
  <c r="CF405" i="4"/>
  <c r="CF406" i="4" s="1"/>
  <c r="CF407" i="4" s="1"/>
  <c r="CF408" i="4" s="1"/>
  <c r="CF409" i="4" s="1"/>
  <c r="CG404" i="4" s="1"/>
  <c r="CF1241" i="4"/>
  <c r="CE90" i="11"/>
  <c r="CE91" i="11" s="1"/>
  <c r="CE93" i="11" s="1"/>
  <c r="CE96" i="11" s="1"/>
  <c r="CE97" i="11" s="1"/>
  <c r="CE1306" i="4"/>
  <c r="CE1307" i="4" s="1"/>
  <c r="CE1311" i="4" s="1"/>
  <c r="CF1290" i="4" s="1"/>
  <c r="CE58" i="11"/>
  <c r="CE59" i="11" s="1"/>
  <c r="CE28" i="11" s="1"/>
  <c r="CE48" i="62"/>
  <c r="CE24" i="62" s="1"/>
  <c r="CE26" i="62" s="1"/>
  <c r="CE1329" i="4"/>
  <c r="AC90" i="67"/>
  <c r="AC91" i="67" s="1"/>
  <c r="AC93" i="67" s="1"/>
  <c r="AC96" i="67" s="1"/>
  <c r="AC97" i="67" s="1"/>
  <c r="AC58" i="67"/>
  <c r="AC59" i="67" s="1"/>
  <c r="CE22" i="66"/>
  <c r="CE1509" i="4"/>
  <c r="CE1507" i="4"/>
  <c r="CE1508" i="4" s="1"/>
  <c r="CE1440" i="4"/>
  <c r="CF1236" i="4" l="1"/>
  <c r="AC28" i="67"/>
  <c r="AC25" i="67" s="1"/>
  <c r="AC37" i="67" s="1"/>
  <c r="CE24" i="66"/>
  <c r="CE20" i="66" s="1"/>
  <c r="CE26" i="66" s="1"/>
  <c r="CE46" i="62"/>
  <c r="CE21" i="11"/>
  <c r="CE17" i="11" s="1"/>
  <c r="AC21" i="67"/>
  <c r="AC17" i="67" s="1"/>
  <c r="AC23" i="67" s="1"/>
  <c r="CE1340" i="4"/>
  <c r="CE1341" i="4" s="1"/>
  <c r="CF95" i="11"/>
  <c r="AC1527" i="4"/>
  <c r="AC1534" i="4" s="1"/>
  <c r="CE100" i="67"/>
  <c r="CE1330" i="4"/>
  <c r="CE1331" i="4" s="1"/>
  <c r="CE101" i="67"/>
  <c r="CE1462" i="4"/>
  <c r="CE1461" i="4" s="1"/>
  <c r="CE100" i="11"/>
  <c r="CE101" i="11"/>
  <c r="CE44" i="66"/>
  <c r="CE40" i="66" s="1"/>
  <c r="CE46" i="66" s="1"/>
  <c r="CF489" i="4"/>
  <c r="CF500" i="4"/>
  <c r="CF386" i="4"/>
  <c r="CF387" i="4" s="1"/>
  <c r="CE25" i="11"/>
  <c r="CF1128" i="4"/>
  <c r="AD95" i="67"/>
  <c r="CF1337" i="4"/>
  <c r="CF1308" i="4"/>
  <c r="CF1244" i="4"/>
  <c r="CF1245" i="4" s="1"/>
  <c r="CF85" i="11"/>
  <c r="CF42" i="62"/>
  <c r="CE1441" i="4"/>
  <c r="CE1442" i="4" s="1"/>
  <c r="CE99" i="11" l="1"/>
  <c r="CE48" i="66"/>
  <c r="AC99" i="67"/>
  <c r="CE1343" i="4"/>
  <c r="CF52" i="62"/>
  <c r="CF43" i="62"/>
  <c r="CF23" i="62" s="1"/>
  <c r="CE1474" i="4"/>
  <c r="CE1469" i="4" s="1"/>
  <c r="CE37" i="11"/>
  <c r="CE1475" i="4"/>
  <c r="CE1470" i="4" s="1"/>
  <c r="CE1463" i="4"/>
  <c r="CE1460" i="4" s="1"/>
  <c r="CE23" i="11"/>
  <c r="CG1240" i="4"/>
  <c r="CF26" i="11"/>
  <c r="CF501" i="4"/>
  <c r="CF502" i="4" s="1"/>
  <c r="CF490" i="4"/>
  <c r="CF491" i="4" s="1"/>
  <c r="CF388" i="4"/>
  <c r="CF389" i="4" s="1"/>
  <c r="CG384" i="4" s="1"/>
  <c r="AC39" i="67"/>
  <c r="AC40" i="67" s="1"/>
  <c r="CE1516" i="4" l="1"/>
  <c r="CE1517" i="4" s="1"/>
  <c r="CE1473" i="4"/>
  <c r="CE1468" i="4" s="1"/>
  <c r="CG499" i="4"/>
  <c r="CF1101" i="4"/>
  <c r="CF1103" i="4" s="1"/>
  <c r="CF1104" i="4" s="1"/>
  <c r="CF1105" i="4" s="1"/>
  <c r="CE39" i="11"/>
  <c r="CE40" i="11" s="1"/>
  <c r="CF51" i="11"/>
  <c r="CF64" i="62"/>
  <c r="CF15" i="11"/>
  <c r="CF13" i="11" s="1"/>
  <c r="CG488" i="4"/>
  <c r="CF16" i="66"/>
  <c r="CF14" i="66" s="1"/>
  <c r="CF13" i="66" s="1"/>
  <c r="CF984" i="4" l="1"/>
  <c r="CF988" i="4" s="1"/>
  <c r="CF62" i="64"/>
  <c r="CG1100" i="4"/>
  <c r="CF78" i="64" l="1"/>
  <c r="CF70" i="64"/>
  <c r="CF1120" i="4"/>
  <c r="CF992" i="4"/>
  <c r="CF1294" i="4"/>
  <c r="CF1298" i="4" s="1"/>
  <c r="CF71" i="11"/>
  <c r="CF1320" i="4"/>
  <c r="CF47" i="11" l="1"/>
  <c r="CF1073" i="4"/>
  <c r="CF1077" i="4" s="1"/>
  <c r="CF1081" i="4" s="1"/>
  <c r="CF1082" i="4" l="1"/>
  <c r="CF1089" i="4"/>
  <c r="CF62" i="11"/>
  <c r="CF61" i="11"/>
  <c r="CF48" i="11"/>
  <c r="CF55" i="11" s="1"/>
  <c r="CF62" i="62" l="1"/>
  <c r="CF1472" i="4"/>
  <c r="CF64" i="11"/>
  <c r="CF63" i="11"/>
  <c r="CF1093" i="4"/>
  <c r="CF1090" i="4" s="1"/>
  <c r="CF1091" i="4" s="1"/>
  <c r="CG1088" i="4" s="1"/>
  <c r="CF1083" i="4" l="1"/>
  <c r="CF1084" i="4" s="1"/>
  <c r="CF63" i="62" s="1"/>
  <c r="CF67" i="62" s="1"/>
  <c r="CF68" i="62" l="1"/>
  <c r="CF1299" i="4"/>
  <c r="CF1300" i="4" s="1"/>
  <c r="CF61" i="64"/>
  <c r="CF75" i="11"/>
  <c r="CF1123" i="4"/>
  <c r="CF1130" i="4" s="1"/>
  <c r="CF1132" i="4" s="1"/>
  <c r="CF1135" i="4" s="1"/>
  <c r="CF56" i="11"/>
  <c r="CF57" i="11" s="1"/>
  <c r="CF1323" i="4"/>
  <c r="CF77" i="64" l="1"/>
  <c r="CF82" i="64" s="1"/>
  <c r="CF69" i="64"/>
  <c r="CF74" i="64" s="1"/>
  <c r="CF66" i="64"/>
  <c r="CF40" i="64" s="1"/>
  <c r="CF42" i="64" s="1"/>
  <c r="CF1313" i="4"/>
  <c r="CF1471" i="4"/>
  <c r="CF1283" i="4"/>
  <c r="CF49" i="64" l="1"/>
  <c r="CF52" i="64"/>
  <c r="CF1193" i="4"/>
  <c r="CF1194" i="4" s="1"/>
  <c r="CF1196" i="4" s="1"/>
  <c r="CF1198" i="4" s="1"/>
  <c r="CF1164" i="4" s="1"/>
  <c r="CF1214" i="4" l="1"/>
  <c r="CF1165" i="4"/>
  <c r="CG1162" i="4" l="1"/>
  <c r="CG1207" i="4"/>
  <c r="CG1225" i="4" s="1"/>
  <c r="CF1481" i="4"/>
  <c r="CF1483" i="4" s="1"/>
  <c r="CF88" i="11"/>
  <c r="CF1302" i="4"/>
  <c r="CF1303" i="4" s="1"/>
  <c r="CF38" i="66"/>
  <c r="CF1324" i="4"/>
  <c r="CF1424" i="4"/>
  <c r="CF1215" i="4"/>
  <c r="CF31" i="11" l="1"/>
  <c r="CF1515" i="4"/>
  <c r="CF1489" i="4"/>
  <c r="CF1505" i="4"/>
  <c r="CG1212" i="4"/>
  <c r="CF1281" i="4"/>
  <c r="CF1271" i="4"/>
  <c r="CG1163" i="4"/>
  <c r="CF1252" i="4" l="1"/>
  <c r="CF1274" i="4"/>
  <c r="CF1275" i="4" s="1"/>
  <c r="CF1265" i="4" s="1"/>
  <c r="CG1492" i="4"/>
  <c r="CG1206" i="4"/>
  <c r="CG1224" i="4" s="1"/>
  <c r="CG1226" i="4" s="1"/>
  <c r="CG1213" i="4"/>
  <c r="CG1202" i="4"/>
  <c r="CG1178" i="4"/>
  <c r="CF1490" i="4"/>
  <c r="CF45" i="62"/>
  <c r="CF30" i="11"/>
  <c r="CG1122" i="4" l="1"/>
  <c r="CG1295" i="4"/>
  <c r="CG37" i="66"/>
  <c r="CG72" i="11"/>
  <c r="CG1326" i="4"/>
  <c r="CG50" i="11"/>
  <c r="CG49" i="11" s="1"/>
  <c r="CG1076" i="4"/>
  <c r="CG297" i="4"/>
  <c r="CG305" i="4" s="1"/>
  <c r="CG330" i="4" s="1"/>
  <c r="CF1495" i="4"/>
  <c r="CF1493" i="4"/>
  <c r="CF1499" i="4"/>
  <c r="CF1264" i="4"/>
  <c r="CF1253" i="4" s="1"/>
  <c r="CF1266" i="4"/>
  <c r="CF1261" i="4"/>
  <c r="CF1268" i="4" s="1"/>
  <c r="CF1257" i="4"/>
  <c r="CG1180" i="4"/>
  <c r="CG1169" i="4" s="1"/>
  <c r="CG1170" i="4" s="1"/>
  <c r="CG1188" i="4" s="1"/>
  <c r="CG1189" i="4"/>
  <c r="CG1218" i="4" s="1"/>
  <c r="CG1179" i="4"/>
  <c r="CG1336" i="4"/>
  <c r="CG18" i="66"/>
  <c r="CG1310" i="4"/>
  <c r="CG87" i="11"/>
  <c r="CG1423" i="4"/>
  <c r="CF1496" i="4" l="1"/>
  <c r="CG1181" i="4"/>
  <c r="CG1190" i="4" s="1"/>
  <c r="CG1221" i="4" s="1"/>
  <c r="CG456" i="4"/>
  <c r="CG458" i="4" s="1"/>
  <c r="CG459" i="4" s="1"/>
  <c r="CG467" i="4"/>
  <c r="CG469" i="4" s="1"/>
  <c r="CG470" i="4" s="1"/>
  <c r="CG471" i="4" s="1"/>
  <c r="CG472" i="4" s="1"/>
  <c r="CH466" i="4" s="1"/>
  <c r="CG478" i="4"/>
  <c r="CG480" i="4" s="1"/>
  <c r="CG481" i="4" s="1"/>
  <c r="CG482" i="4" s="1"/>
  <c r="CG483" i="4" s="1"/>
  <c r="CH477" i="4" s="1"/>
  <c r="CH457" i="4"/>
  <c r="CH479" i="4"/>
  <c r="CH468" i="4"/>
  <c r="CF1272" i="4"/>
  <c r="CF1276" i="4" s="1"/>
  <c r="CF1254" i="4" s="1"/>
  <c r="CF1327" i="4"/>
  <c r="CF74" i="11"/>
  <c r="CF78" i="11" s="1"/>
  <c r="CF1304" i="4"/>
  <c r="CF36" i="66"/>
  <c r="CF1386" i="4"/>
  <c r="CG1219" i="4"/>
  <c r="CG294" i="4" s="1"/>
  <c r="CG1220" i="4"/>
  <c r="CG53" i="11" s="1"/>
  <c r="CG52" i="11" s="1"/>
  <c r="CG1074" i="4"/>
  <c r="CF1338" i="4"/>
  <c r="CF1309" i="4"/>
  <c r="CF19" i="66"/>
  <c r="CF17" i="66" s="1"/>
  <c r="CF86" i="11"/>
  <c r="CF1480" i="4"/>
  <c r="CG1197" i="4" l="1"/>
  <c r="CF1421" i="4"/>
  <c r="CF1385" i="4"/>
  <c r="CF1388" i="4" s="1"/>
  <c r="CH495" i="4"/>
  <c r="CH1072" i="4" s="1"/>
  <c r="CG299" i="4"/>
  <c r="CG302" i="4"/>
  <c r="CF89" i="11"/>
  <c r="CF1305" i="4"/>
  <c r="CF1282" i="4" s="1"/>
  <c r="CF1328" i="4"/>
  <c r="CF39" i="66"/>
  <c r="CF35" i="66" s="1"/>
  <c r="CF1255" i="4"/>
  <c r="CG73" i="11"/>
  <c r="CG1301" i="4"/>
  <c r="CG1325" i="4"/>
  <c r="CG1121" i="4"/>
  <c r="CG1144" i="4" s="1"/>
  <c r="CG494" i="4"/>
  <c r="CG1071" i="4" s="1"/>
  <c r="CG460" i="4"/>
  <c r="CG461" i="4" s="1"/>
  <c r="CH455" i="4" s="1"/>
  <c r="CG1234" i="4" l="1"/>
  <c r="CG1145" i="4"/>
  <c r="CG1235" i="4"/>
  <c r="CG1251" i="4" s="1"/>
  <c r="CF1284" i="4"/>
  <c r="CF1286" i="4" s="1"/>
  <c r="CG331" i="4"/>
  <c r="CG307" i="4"/>
  <c r="CG332" i="4" s="1"/>
  <c r="CG14" i="11" s="1"/>
  <c r="CG1250" i="4"/>
  <c r="CF27" i="11"/>
  <c r="CF1506" i="4"/>
  <c r="CF1390" i="4"/>
  <c r="CF1402" i="4"/>
  <c r="CF1425" i="4"/>
  <c r="CG395" i="4" l="1"/>
  <c r="CG396" i="4" s="1"/>
  <c r="CG397" i="4" s="1"/>
  <c r="CG398" i="4" s="1"/>
  <c r="CG399" i="4" s="1"/>
  <c r="CH394" i="4" s="1"/>
  <c r="CG405" i="4"/>
  <c r="CG406" i="4" s="1"/>
  <c r="CG407" i="4" s="1"/>
  <c r="CG408" i="4" s="1"/>
  <c r="CG409" i="4" s="1"/>
  <c r="CH404" i="4" s="1"/>
  <c r="CG385" i="4"/>
  <c r="CF1285" i="4"/>
  <c r="CF58" i="11"/>
  <c r="CF59" i="11" s="1"/>
  <c r="CF28" i="11" s="1"/>
  <c r="CF25" i="11" s="1"/>
  <c r="CF48" i="62"/>
  <c r="CF24" i="62" s="1"/>
  <c r="CF26" i="62" s="1"/>
  <c r="CF1329" i="4"/>
  <c r="CF1306" i="4"/>
  <c r="CF1307" i="4" s="1"/>
  <c r="CF1311" i="4" s="1"/>
  <c r="CG1290" i="4" s="1"/>
  <c r="CF90" i="11"/>
  <c r="CF91" i="11" s="1"/>
  <c r="CF93" i="11" s="1"/>
  <c r="CF96" i="11" s="1"/>
  <c r="CF97" i="11" s="1"/>
  <c r="CF22" i="66"/>
  <c r="CF1440" i="4"/>
  <c r="CF1403" i="4"/>
  <c r="CF1404" i="4" s="1"/>
  <c r="CF1507" i="4"/>
  <c r="CF1508" i="4" s="1"/>
  <c r="CF1509" i="4"/>
  <c r="CG1236" i="4"/>
  <c r="CG1241" i="4"/>
  <c r="CF1441" i="4" l="1"/>
  <c r="CF1442" i="4" s="1"/>
  <c r="CG1128" i="4"/>
  <c r="CF1474" i="4"/>
  <c r="CF1469" i="4" s="1"/>
  <c r="CF1475" i="4"/>
  <c r="CF1470" i="4" s="1"/>
  <c r="CF37" i="11"/>
  <c r="CG1308" i="4"/>
  <c r="CG1244" i="4"/>
  <c r="CG1245" i="4" s="1"/>
  <c r="CG1337" i="4"/>
  <c r="CG42" i="62"/>
  <c r="CG85" i="11"/>
  <c r="CG500" i="4"/>
  <c r="CG386" i="4"/>
  <c r="CG387" i="4" s="1"/>
  <c r="CG489" i="4"/>
  <c r="CF1462" i="4"/>
  <c r="CF1461" i="4" s="1"/>
  <c r="CF101" i="67"/>
  <c r="CF100" i="67"/>
  <c r="CF21" i="11"/>
  <c r="CF17" i="11" s="1"/>
  <c r="CF44" i="66"/>
  <c r="CF40" i="66" s="1"/>
  <c r="CF46" i="66" s="1"/>
  <c r="CF101" i="11"/>
  <c r="CF46" i="62"/>
  <c r="CF1330" i="4"/>
  <c r="CF1331" i="4" s="1"/>
  <c r="CG95" i="11"/>
  <c r="CF1340" i="4"/>
  <c r="CF1341" i="4" s="1"/>
  <c r="CF24" i="66"/>
  <c r="CF20" i="66" s="1"/>
  <c r="CF26" i="66" s="1"/>
  <c r="CF100" i="11"/>
  <c r="CF1463" i="4" l="1"/>
  <c r="CF1460" i="4" s="1"/>
  <c r="CF23" i="11"/>
  <c r="CF1343" i="4"/>
  <c r="CG501" i="4"/>
  <c r="CG502" i="4" s="1"/>
  <c r="CG388" i="4"/>
  <c r="CG389" i="4" s="1"/>
  <c r="CH384" i="4" s="1"/>
  <c r="CG490" i="4"/>
  <c r="CG491" i="4" s="1"/>
  <c r="CG52" i="62"/>
  <c r="CG43" i="62"/>
  <c r="CG23" i="62" s="1"/>
  <c r="CF99" i="11"/>
  <c r="CF48" i="66"/>
  <c r="CH1240" i="4"/>
  <c r="CG26" i="11"/>
  <c r="CH499" i="4" l="1"/>
  <c r="CG1101" i="4"/>
  <c r="CG1103" i="4" s="1"/>
  <c r="CG1104" i="4" s="1"/>
  <c r="CG1105" i="4" s="1"/>
  <c r="CG64" i="62"/>
  <c r="CG51" i="11"/>
  <c r="CG15" i="11"/>
  <c r="CG13" i="11" s="1"/>
  <c r="CH488" i="4"/>
  <c r="CF1516" i="4"/>
  <c r="CF1517" i="4" s="1"/>
  <c r="CF1473" i="4"/>
  <c r="CF1468" i="4" s="1"/>
  <c r="CG16" i="66"/>
  <c r="CG14" i="66" s="1"/>
  <c r="CG13" i="66" s="1"/>
  <c r="CF39" i="11"/>
  <c r="CF40" i="11" s="1"/>
  <c r="CG984" i="4" l="1"/>
  <c r="CG988" i="4" s="1"/>
  <c r="CG62" i="64"/>
  <c r="CH1100" i="4"/>
  <c r="CG71" i="11" l="1"/>
  <c r="CG1120" i="4"/>
  <c r="CG1294" i="4"/>
  <c r="CG1298" i="4" s="1"/>
  <c r="CG1320" i="4"/>
  <c r="CG992" i="4"/>
  <c r="CG70" i="64"/>
  <c r="CG78" i="64"/>
  <c r="CG1073" i="4" l="1"/>
  <c r="CG1077" i="4" s="1"/>
  <c r="CG1081" i="4" s="1"/>
  <c r="CG47" i="11"/>
  <c r="CG1082" i="4" l="1"/>
  <c r="CG1093" i="4" s="1"/>
  <c r="CG1090" i="4" s="1"/>
  <c r="CG1083" i="4" s="1"/>
  <c r="CG1084" i="4" s="1"/>
  <c r="CG1089" i="4"/>
  <c r="CG62" i="11"/>
  <c r="CG61" i="11"/>
  <c r="CG48" i="11"/>
  <c r="CG55" i="11" s="1"/>
  <c r="CG63" i="11" l="1"/>
  <c r="CG1472" i="4"/>
  <c r="CG62" i="62"/>
  <c r="CG64" i="11"/>
  <c r="CG1091" i="4"/>
  <c r="CH1088" i="4" s="1"/>
  <c r="CG61" i="64"/>
  <c r="CG1123" i="4"/>
  <c r="CG1130" i="4" s="1"/>
  <c r="CG1132" i="4" s="1"/>
  <c r="CG1135" i="4" s="1"/>
  <c r="CG1299" i="4"/>
  <c r="CG1300" i="4" s="1"/>
  <c r="CG1323" i="4"/>
  <c r="CG75" i="11"/>
  <c r="CG56" i="11"/>
  <c r="CG57" i="11" s="1"/>
  <c r="CG69" i="64" l="1"/>
  <c r="CG74" i="64" s="1"/>
  <c r="CG77" i="64"/>
  <c r="CG82" i="64" s="1"/>
  <c r="CG66" i="64"/>
  <c r="CG40" i="64" s="1"/>
  <c r="CG42" i="64" s="1"/>
  <c r="CG63" i="62"/>
  <c r="CG67" i="62" s="1"/>
  <c r="CG1471" i="4"/>
  <c r="CG1283" i="4"/>
  <c r="CG1313" i="4"/>
  <c r="CG68" i="62" l="1"/>
  <c r="CG52" i="64"/>
  <c r="CG49" i="64"/>
  <c r="CG1193" i="4"/>
  <c r="CG1194" i="4" s="1"/>
  <c r="CG1196" i="4" s="1"/>
  <c r="CG1198" i="4" s="1"/>
  <c r="CG1164" i="4" s="1"/>
  <c r="CG1214" i="4" l="1"/>
  <c r="CG1165" i="4"/>
  <c r="CH1162" i="4" l="1"/>
  <c r="CH1207" i="4"/>
  <c r="CH1225" i="4" s="1"/>
  <c r="CG1302" i="4"/>
  <c r="CG1303" i="4" s="1"/>
  <c r="CG1481" i="4"/>
  <c r="CG1483" i="4" s="1"/>
  <c r="CG88" i="11"/>
  <c r="CG1324" i="4"/>
  <c r="CG38" i="66"/>
  <c r="CG1424" i="4"/>
  <c r="CG1215" i="4"/>
  <c r="CG31" i="11" l="1"/>
  <c r="CG1489" i="4"/>
  <c r="CH1212" i="4"/>
  <c r="CG1515" i="4"/>
  <c r="CG1505" i="4"/>
  <c r="CG1271" i="4"/>
  <c r="CG1281" i="4"/>
  <c r="CH1163" i="4"/>
  <c r="CG1274" i="4" l="1"/>
  <c r="CG1275" i="4" s="1"/>
  <c r="CG1265" i="4" s="1"/>
  <c r="CG1252" i="4"/>
  <c r="CH1206" i="4"/>
  <c r="CH1224" i="4" s="1"/>
  <c r="CH1226" i="4" s="1"/>
  <c r="CH1213" i="4"/>
  <c r="CH1202" i="4"/>
  <c r="CH1178" i="4"/>
  <c r="CH1492" i="4"/>
  <c r="CG1490" i="4"/>
  <c r="CG30" i="11"/>
  <c r="CG45" i="62"/>
  <c r="CH1180" i="4" l="1"/>
  <c r="CH1169" i="4" s="1"/>
  <c r="CH1170" i="4" s="1"/>
  <c r="CH1188" i="4" s="1"/>
  <c r="CH1189" i="4"/>
  <c r="CH1218" i="4" s="1"/>
  <c r="CH1179" i="4"/>
  <c r="CG1495" i="4"/>
  <c r="CG1493" i="4"/>
  <c r="CH1310" i="4"/>
  <c r="CH1336" i="4"/>
  <c r="CH87" i="11"/>
  <c r="CH18" i="66"/>
  <c r="CH1423" i="4"/>
  <c r="CH1122" i="4"/>
  <c r="CH1326" i="4"/>
  <c r="CH297" i="4"/>
  <c r="CH305" i="4" s="1"/>
  <c r="CH330" i="4" s="1"/>
  <c r="CH72" i="11"/>
  <c r="CH50" i="11"/>
  <c r="CH49" i="11" s="1"/>
  <c r="CH37" i="66"/>
  <c r="CH1076" i="4"/>
  <c r="CH1295" i="4"/>
  <c r="CG1257" i="4"/>
  <c r="CG1261" i="4"/>
  <c r="CG1268" i="4" s="1"/>
  <c r="CG1499" i="4"/>
  <c r="CG1266" i="4"/>
  <c r="CG1264" i="4"/>
  <c r="CG1253" i="4" s="1"/>
  <c r="CG1496" i="4" l="1"/>
  <c r="CH1181" i="4"/>
  <c r="CH1197" i="4" s="1"/>
  <c r="CH456" i="4"/>
  <c r="CH458" i="4" s="1"/>
  <c r="CH459" i="4" s="1"/>
  <c r="CH467" i="4"/>
  <c r="CH469" i="4" s="1"/>
  <c r="CH470" i="4" s="1"/>
  <c r="CH471" i="4" s="1"/>
  <c r="CH472" i="4" s="1"/>
  <c r="CI466" i="4" s="1"/>
  <c r="CI468" i="4"/>
  <c r="CI479" i="4"/>
  <c r="CH478" i="4"/>
  <c r="CH480" i="4" s="1"/>
  <c r="CH481" i="4" s="1"/>
  <c r="CH482" i="4" s="1"/>
  <c r="CH483" i="4" s="1"/>
  <c r="CI477" i="4" s="1"/>
  <c r="CI457" i="4"/>
  <c r="CG86" i="11"/>
  <c r="CG19" i="66"/>
  <c r="CG17" i="66" s="1"/>
  <c r="CG1338" i="4"/>
  <c r="CG1309" i="4"/>
  <c r="CG1480" i="4"/>
  <c r="CG74" i="11"/>
  <c r="CG78" i="11" s="1"/>
  <c r="CG1272" i="4"/>
  <c r="CG1276" i="4" s="1"/>
  <c r="CG1254" i="4" s="1"/>
  <c r="CG1327" i="4"/>
  <c r="CG1304" i="4"/>
  <c r="CG1386" i="4"/>
  <c r="CG36" i="66"/>
  <c r="CH1074" i="4"/>
  <c r="CH1219" i="4"/>
  <c r="CH294" i="4" s="1"/>
  <c r="CH1220" i="4"/>
  <c r="CH53" i="11" s="1"/>
  <c r="CH52" i="11" s="1"/>
  <c r="CH1190" i="4" l="1"/>
  <c r="CH1221" i="4" s="1"/>
  <c r="CH1301" i="4" s="1"/>
  <c r="CI495" i="4"/>
  <c r="CI1072" i="4" s="1"/>
  <c r="CG1421" i="4"/>
  <c r="CG1385" i="4"/>
  <c r="CG1388" i="4" s="1"/>
  <c r="CH299" i="4"/>
  <c r="CH302" i="4"/>
  <c r="CG1328" i="4"/>
  <c r="CG39" i="66"/>
  <c r="CG35" i="66" s="1"/>
  <c r="CG89" i="11"/>
  <c r="CG1305" i="4"/>
  <c r="CG1282" i="4" s="1"/>
  <c r="CG1255" i="4"/>
  <c r="CH460" i="4"/>
  <c r="CH461" i="4" s="1"/>
  <c r="CI455" i="4" s="1"/>
  <c r="CH494" i="4"/>
  <c r="CH1071" i="4" s="1"/>
  <c r="CH73" i="11" l="1"/>
  <c r="CH1325" i="4"/>
  <c r="CH1121" i="4"/>
  <c r="CH1144" i="4" s="1"/>
  <c r="CH1235" i="4" s="1"/>
  <c r="CH1251" i="4" s="1"/>
  <c r="CH307" i="4"/>
  <c r="CH331" i="4"/>
  <c r="CG1390" i="4"/>
  <c r="CG1402" i="4"/>
  <c r="CH1250" i="4"/>
  <c r="CG27" i="11"/>
  <c r="CG1506" i="4"/>
  <c r="CG1284" i="4"/>
  <c r="CG1286" i="4" s="1"/>
  <c r="CG1425" i="4"/>
  <c r="CH332" i="4" l="1"/>
  <c r="CH14" i="11" s="1"/>
  <c r="CH1145" i="4"/>
  <c r="CH1234" i="4"/>
  <c r="CH1236" i="4" s="1"/>
  <c r="CG1285" i="4"/>
  <c r="CG1403" i="4"/>
  <c r="CG1404" i="4" s="1"/>
  <c r="CH405" i="4"/>
  <c r="CH406" i="4" s="1"/>
  <c r="CH407" i="4" s="1"/>
  <c r="CH408" i="4" s="1"/>
  <c r="CH409" i="4" s="1"/>
  <c r="CI404" i="4" s="1"/>
  <c r="CH395" i="4"/>
  <c r="CH396" i="4" s="1"/>
  <c r="CH397" i="4" s="1"/>
  <c r="CH398" i="4" s="1"/>
  <c r="CH399" i="4" s="1"/>
  <c r="CI394" i="4" s="1"/>
  <c r="CH385" i="4"/>
  <c r="CG1440" i="4"/>
  <c r="CG1507" i="4"/>
  <c r="CG1508" i="4" s="1"/>
  <c r="CG1509" i="4"/>
  <c r="CG1306" i="4"/>
  <c r="CG1307" i="4" s="1"/>
  <c r="CG1311" i="4" s="1"/>
  <c r="CH1290" i="4" s="1"/>
  <c r="CG58" i="11"/>
  <c r="CG59" i="11" s="1"/>
  <c r="CG28" i="11" s="1"/>
  <c r="CG25" i="11" s="1"/>
  <c r="CG1329" i="4"/>
  <c r="CG90" i="11"/>
  <c r="CG91" i="11" s="1"/>
  <c r="CG93" i="11" s="1"/>
  <c r="CG96" i="11" s="1"/>
  <c r="CG97" i="11" s="1"/>
  <c r="CG48" i="62"/>
  <c r="CG24" i="62" s="1"/>
  <c r="CG26" i="62" s="1"/>
  <c r="CG22" i="66"/>
  <c r="CH1241" i="4" l="1"/>
  <c r="CH1308" i="4" s="1"/>
  <c r="CG1475" i="4"/>
  <c r="CG1470" i="4" s="1"/>
  <c r="CG37" i="11"/>
  <c r="CG1474" i="4"/>
  <c r="CG1469" i="4" s="1"/>
  <c r="CH489" i="4"/>
  <c r="CH386" i="4"/>
  <c r="CH387" i="4" s="1"/>
  <c r="CH500" i="4"/>
  <c r="CG1340" i="4"/>
  <c r="CG1341" i="4" s="1"/>
  <c r="CG44" i="66"/>
  <c r="CG40" i="66" s="1"/>
  <c r="CG46" i="66" s="1"/>
  <c r="CG101" i="67"/>
  <c r="CG1462" i="4"/>
  <c r="CG1461" i="4" s="1"/>
  <c r="CG100" i="11"/>
  <c r="CG21" i="11"/>
  <c r="CG17" i="11" s="1"/>
  <c r="CG101" i="11"/>
  <c r="CG100" i="67"/>
  <c r="CG24" i="66"/>
  <c r="CG20" i="66" s="1"/>
  <c r="CG26" i="66" s="1"/>
  <c r="CG1330" i="4"/>
  <c r="CG1331" i="4" s="1"/>
  <c r="CH95" i="11"/>
  <c r="CG46" i="62"/>
  <c r="CG1441" i="4"/>
  <c r="CG1442" i="4" s="1"/>
  <c r="CH1128" i="4"/>
  <c r="CH85" i="11" l="1"/>
  <c r="CH1244" i="4"/>
  <c r="CH1245" i="4" s="1"/>
  <c r="CI1240" i="4" s="1"/>
  <c r="CH1337" i="4"/>
  <c r="CH42" i="62"/>
  <c r="CH52" i="62" s="1"/>
  <c r="CG1343" i="4"/>
  <c r="CG99" i="11"/>
  <c r="CG1463" i="4"/>
  <c r="CG1460" i="4" s="1"/>
  <c r="CG23" i="11"/>
  <c r="CH501" i="4"/>
  <c r="CH502" i="4" s="1"/>
  <c r="CH388" i="4"/>
  <c r="CH389" i="4" s="1"/>
  <c r="CI384" i="4" s="1"/>
  <c r="CH490" i="4"/>
  <c r="CH491" i="4" s="1"/>
  <c r="CG48" i="66"/>
  <c r="CH26" i="11" l="1"/>
  <c r="CH43" i="62"/>
  <c r="CH23" i="62" s="1"/>
  <c r="CH16" i="66" s="1"/>
  <c r="CH14" i="66" s="1"/>
  <c r="CH13" i="66" s="1"/>
  <c r="CH1101" i="4"/>
  <c r="CH1103" i="4" s="1"/>
  <c r="CH1104" i="4" s="1"/>
  <c r="CH1105" i="4" s="1"/>
  <c r="CI499" i="4"/>
  <c r="CG1516" i="4"/>
  <c r="CG1517" i="4" s="1"/>
  <c r="CG1473" i="4"/>
  <c r="CG1468" i="4" s="1"/>
  <c r="CG39" i="11"/>
  <c r="CG40" i="11" s="1"/>
  <c r="CH64" i="62"/>
  <c r="CH51" i="11"/>
  <c r="CH15" i="11"/>
  <c r="CH13" i="11" s="1"/>
  <c r="CI488" i="4"/>
  <c r="CI1100" i="4" l="1"/>
  <c r="CH62" i="64"/>
  <c r="CH984" i="4"/>
  <c r="CH988" i="4" s="1"/>
  <c r="CH71" i="11" l="1"/>
  <c r="CH1294" i="4"/>
  <c r="CH1298" i="4" s="1"/>
  <c r="CH992" i="4"/>
  <c r="CH1320" i="4"/>
  <c r="CH1120" i="4"/>
  <c r="CH70" i="64"/>
  <c r="CH78" i="64"/>
  <c r="CH1073" i="4" l="1"/>
  <c r="CH1077" i="4" s="1"/>
  <c r="CH1081" i="4" s="1"/>
  <c r="CH47" i="11"/>
  <c r="CH1082" i="4" l="1"/>
  <c r="CH1093" i="4" s="1"/>
  <c r="CH1090" i="4" s="1"/>
  <c r="CH1083" i="4" s="1"/>
  <c r="CH1084" i="4" s="1"/>
  <c r="CH1089" i="4"/>
  <c r="CH61" i="11"/>
  <c r="CH62" i="11"/>
  <c r="CH48" i="11"/>
  <c r="CH55" i="11" s="1"/>
  <c r="CH1091" i="4" l="1"/>
  <c r="CI1088" i="4" s="1"/>
  <c r="CH1472" i="4"/>
  <c r="CH64" i="11"/>
  <c r="CH62" i="62"/>
  <c r="CH63" i="11"/>
  <c r="CH61" i="64"/>
  <c r="CH1323" i="4"/>
  <c r="CH75" i="11"/>
  <c r="CH1299" i="4"/>
  <c r="CH1300" i="4" s="1"/>
  <c r="CH56" i="11"/>
  <c r="CH57" i="11" s="1"/>
  <c r="CH1123" i="4"/>
  <c r="CH1130" i="4" s="1"/>
  <c r="CH1132" i="4" s="1"/>
  <c r="CH1135" i="4" s="1"/>
  <c r="CH69" i="64" l="1"/>
  <c r="CH74" i="64" s="1"/>
  <c r="CH77" i="64"/>
  <c r="CH82" i="64" s="1"/>
  <c r="CH66" i="64"/>
  <c r="CH40" i="64" s="1"/>
  <c r="CH42" i="64" s="1"/>
  <c r="CH1471" i="4"/>
  <c r="CH1283" i="4"/>
  <c r="CH1313" i="4"/>
  <c r="CH63" i="62"/>
  <c r="CH67" i="62" s="1"/>
  <c r="CH68" i="62" l="1"/>
  <c r="CH1193" i="4"/>
  <c r="CH1194" i="4" s="1"/>
  <c r="CH1196" i="4" s="1"/>
  <c r="CH1198" i="4" s="1"/>
  <c r="CH1164" i="4" s="1"/>
  <c r="CH52" i="64"/>
  <c r="CH49" i="64"/>
  <c r="CH1214" i="4" l="1"/>
  <c r="CH1165" i="4"/>
  <c r="CI1162" i="4" l="1"/>
  <c r="CI1207" i="4"/>
  <c r="CI1225" i="4" s="1"/>
  <c r="CH1324" i="4"/>
  <c r="CH88" i="11"/>
  <c r="CH1302" i="4"/>
  <c r="CH1303" i="4" s="1"/>
  <c r="CH38" i="66"/>
  <c r="CH1481" i="4"/>
  <c r="CH1483" i="4" s="1"/>
  <c r="CH1424" i="4"/>
  <c r="CH1215" i="4"/>
  <c r="CH1271" i="4" l="1"/>
  <c r="CH1281" i="4"/>
  <c r="CH31" i="11"/>
  <c r="CH1515" i="4"/>
  <c r="CH1489" i="4"/>
  <c r="CI1212" i="4"/>
  <c r="CH1505" i="4"/>
  <c r="CI1163" i="4"/>
  <c r="CI1492" i="4" l="1"/>
  <c r="CH1490" i="4"/>
  <c r="CH30" i="11"/>
  <c r="CH45" i="62"/>
  <c r="CI1213" i="4"/>
  <c r="CI1206" i="4"/>
  <c r="CI1224" i="4" s="1"/>
  <c r="CI1226" i="4" s="1"/>
  <c r="CI1202" i="4"/>
  <c r="CI1178" i="4"/>
  <c r="CH1252" i="4"/>
  <c r="CH1274" i="4"/>
  <c r="CH1275" i="4" s="1"/>
  <c r="CH1265" i="4" s="1"/>
  <c r="CH1264" i="4" l="1"/>
  <c r="CH1253" i="4" s="1"/>
  <c r="CH1266" i="4"/>
  <c r="CH1495" i="4"/>
  <c r="CH1493" i="4"/>
  <c r="CI1180" i="4"/>
  <c r="CI1169" i="4" s="1"/>
  <c r="CI1170" i="4" s="1"/>
  <c r="CI1188" i="4" s="1"/>
  <c r="CI1189" i="4"/>
  <c r="CI1218" i="4" s="1"/>
  <c r="CI1179" i="4"/>
  <c r="CH1499" i="4"/>
  <c r="AD87" i="67"/>
  <c r="CI1310" i="4"/>
  <c r="CI87" i="11"/>
  <c r="CI18" i="66"/>
  <c r="CI1336" i="4"/>
  <c r="CI1423" i="4"/>
  <c r="CH1261" i="4"/>
  <c r="CH1268" i="4" s="1"/>
  <c r="CH1257" i="4"/>
  <c r="AD72" i="67"/>
  <c r="CI297" i="4"/>
  <c r="CI305" i="4" s="1"/>
  <c r="CI330" i="4" s="1"/>
  <c r="CI37" i="66"/>
  <c r="CI1295" i="4"/>
  <c r="CI72" i="11"/>
  <c r="CI1122" i="4"/>
  <c r="CI50" i="11"/>
  <c r="CI1076" i="4"/>
  <c r="CI1326" i="4"/>
  <c r="CI1181" i="4" l="1"/>
  <c r="CI1197" i="4" s="1"/>
  <c r="CH1496" i="4"/>
  <c r="CI1220" i="4"/>
  <c r="CI1219" i="4"/>
  <c r="CI294" i="4" s="1"/>
  <c r="CI1074" i="4"/>
  <c r="CH1272" i="4"/>
  <c r="CH1276" i="4" s="1"/>
  <c r="CH1254" i="4" s="1"/>
  <c r="CH1327" i="4"/>
  <c r="CH74" i="11"/>
  <c r="CH78" i="11" s="1"/>
  <c r="CH1304" i="4"/>
  <c r="CH1386" i="4"/>
  <c r="CH36" i="66"/>
  <c r="AD50" i="67"/>
  <c r="AD49" i="67" s="1"/>
  <c r="CI49" i="11"/>
  <c r="CI456" i="4"/>
  <c r="CI458" i="4" s="1"/>
  <c r="CI459" i="4" s="1"/>
  <c r="CI478" i="4"/>
  <c r="CI480" i="4" s="1"/>
  <c r="CI481" i="4" s="1"/>
  <c r="CI482" i="4" s="1"/>
  <c r="CI483" i="4" s="1"/>
  <c r="CJ477" i="4" s="1"/>
  <c r="CJ468" i="4"/>
  <c r="CJ457" i="4"/>
  <c r="CJ479" i="4"/>
  <c r="CI467" i="4"/>
  <c r="CI469" i="4" s="1"/>
  <c r="CI470" i="4" s="1"/>
  <c r="CI471" i="4" s="1"/>
  <c r="CI472" i="4" s="1"/>
  <c r="CJ466" i="4" s="1"/>
  <c r="CH19" i="66"/>
  <c r="CH17" i="66" s="1"/>
  <c r="CH1338" i="4"/>
  <c r="CH86" i="11"/>
  <c r="CH1309" i="4"/>
  <c r="CH1480" i="4"/>
  <c r="CI1190" i="4" l="1"/>
  <c r="CI1221" i="4" s="1"/>
  <c r="CI1325" i="4" s="1"/>
  <c r="CJ495" i="4"/>
  <c r="CJ1072" i="4" s="1"/>
  <c r="CH1385" i="4"/>
  <c r="CH1388" i="4" s="1"/>
  <c r="CH1421" i="4"/>
  <c r="CI460" i="4"/>
  <c r="CI461" i="4" s="1"/>
  <c r="CJ455" i="4" s="1"/>
  <c r="CI494" i="4"/>
  <c r="CI1071" i="4" s="1"/>
  <c r="CI299" i="4"/>
  <c r="CI302" i="4"/>
  <c r="CH1328" i="4"/>
  <c r="CH89" i="11"/>
  <c r="CH39" i="66"/>
  <c r="CH35" i="66" s="1"/>
  <c r="CH1305" i="4"/>
  <c r="CH1282" i="4" s="1"/>
  <c r="CH1255" i="4"/>
  <c r="AD53" i="67"/>
  <c r="AD52" i="67" s="1"/>
  <c r="CI53" i="11"/>
  <c r="CI52" i="11" s="1"/>
  <c r="AD23" i="13"/>
  <c r="CI73" i="11" l="1"/>
  <c r="CI1121" i="4"/>
  <c r="CI1144" i="4" s="1"/>
  <c r="CI1234" i="4" s="1"/>
  <c r="CI1301" i="4"/>
  <c r="AD73" i="67"/>
  <c r="CI307" i="4"/>
  <c r="CI331" i="4"/>
  <c r="CI1250" i="4"/>
  <c r="CH27" i="11"/>
  <c r="CH1506" i="4"/>
  <c r="CH1284" i="4"/>
  <c r="CH1286" i="4" s="1"/>
  <c r="CH1425" i="4"/>
  <c r="CH1390" i="4"/>
  <c r="CH1402" i="4"/>
  <c r="CI1235" i="4" l="1"/>
  <c r="CI1251" i="4" s="1"/>
  <c r="CI1145" i="4"/>
  <c r="CI332" i="4"/>
  <c r="CI14" i="11" s="1"/>
  <c r="CH1285" i="4"/>
  <c r="CH1509" i="4"/>
  <c r="CH1507" i="4"/>
  <c r="CH1508" i="4" s="1"/>
  <c r="CI1241" i="4"/>
  <c r="CH1440" i="4"/>
  <c r="CH90" i="11"/>
  <c r="CH91" i="11" s="1"/>
  <c r="CH93" i="11" s="1"/>
  <c r="CH96" i="11" s="1"/>
  <c r="CH97" i="11" s="1"/>
  <c r="CH1329" i="4"/>
  <c r="CH1306" i="4"/>
  <c r="CH1307" i="4" s="1"/>
  <c r="CH1311" i="4" s="1"/>
  <c r="CI1290" i="4" s="1"/>
  <c r="CH58" i="11"/>
  <c r="CH59" i="11" s="1"/>
  <c r="CH28" i="11" s="1"/>
  <c r="CH25" i="11" s="1"/>
  <c r="CH48" i="62"/>
  <c r="CH24" i="62" s="1"/>
  <c r="CH26" i="62" s="1"/>
  <c r="CH22" i="66"/>
  <c r="CH1403" i="4"/>
  <c r="CH1404" i="4" s="1"/>
  <c r="CI385" i="4"/>
  <c r="CI395" i="4"/>
  <c r="CI396" i="4" s="1"/>
  <c r="CI397" i="4" s="1"/>
  <c r="CI398" i="4" s="1"/>
  <c r="CI399" i="4" s="1"/>
  <c r="CJ394" i="4" s="1"/>
  <c r="CI405" i="4"/>
  <c r="CI406" i="4" s="1"/>
  <c r="CI407" i="4" s="1"/>
  <c r="CI408" i="4" s="1"/>
  <c r="CI409" i="4" s="1"/>
  <c r="CJ404" i="4" s="1"/>
  <c r="CI1236" i="4" l="1"/>
  <c r="AD14" i="67"/>
  <c r="CI1128" i="4"/>
  <c r="CH1475" i="4"/>
  <c r="CH1470" i="4" s="1"/>
  <c r="CH1474" i="4"/>
  <c r="CH1469" i="4" s="1"/>
  <c r="CH37" i="11"/>
  <c r="CH100" i="11"/>
  <c r="CH24" i="66"/>
  <c r="CH20" i="66" s="1"/>
  <c r="CH26" i="66" s="1"/>
  <c r="CH21" i="11"/>
  <c r="CH17" i="11" s="1"/>
  <c r="CH101" i="11"/>
  <c r="CH44" i="66"/>
  <c r="CH40" i="66" s="1"/>
  <c r="CH46" i="66" s="1"/>
  <c r="CH1330" i="4"/>
  <c r="CH1331" i="4" s="1"/>
  <c r="CH101" i="67"/>
  <c r="CH1462" i="4"/>
  <c r="CH1461" i="4" s="1"/>
  <c r="CH46" i="62"/>
  <c r="CH100" i="67"/>
  <c r="CI95" i="11"/>
  <c r="CH1340" i="4"/>
  <c r="CH1341" i="4" s="1"/>
  <c r="CI85" i="11"/>
  <c r="CI1308" i="4"/>
  <c r="CI1244" i="4"/>
  <c r="CI1245" i="4" s="1"/>
  <c r="CI42" i="62"/>
  <c r="CI1337" i="4"/>
  <c r="AD85" i="67"/>
  <c r="CH1441" i="4"/>
  <c r="CH1442" i="4" s="1"/>
  <c r="CI386" i="4"/>
  <c r="CI387" i="4" s="1"/>
  <c r="CI500" i="4"/>
  <c r="CI489" i="4"/>
  <c r="CH99" i="11" l="1"/>
  <c r="CH1343" i="4"/>
  <c r="CH1463" i="4"/>
  <c r="CH1460" i="4" s="1"/>
  <c r="CH23" i="11"/>
  <c r="AD26" i="67"/>
  <c r="CJ1240" i="4"/>
  <c r="CI26" i="11"/>
  <c r="CI501" i="4"/>
  <c r="CI502" i="4" s="1"/>
  <c r="CI490" i="4"/>
  <c r="CI388" i="4"/>
  <c r="CI389" i="4" s="1"/>
  <c r="CJ384" i="4" s="1"/>
  <c r="CI52" i="62"/>
  <c r="CI43" i="62"/>
  <c r="CI23" i="62" s="1"/>
  <c r="CH48" i="66"/>
  <c r="CJ499" i="4" l="1"/>
  <c r="CI1101" i="4"/>
  <c r="CI1103" i="4" s="1"/>
  <c r="CI1104" i="4" s="1"/>
  <c r="CI1105" i="4" s="1"/>
  <c r="CI16" i="66"/>
  <c r="CI14" i="66" s="1"/>
  <c r="CI13" i="66" s="1"/>
  <c r="AD51" i="67"/>
  <c r="CI64" i="62"/>
  <c r="CI51" i="11"/>
  <c r="CH1516" i="4"/>
  <c r="CH1517" i="4" s="1"/>
  <c r="CH1473" i="4"/>
  <c r="CH1468" i="4" s="1"/>
  <c r="CH39" i="11"/>
  <c r="CH40" i="11" s="1"/>
  <c r="CI491" i="4"/>
  <c r="AD15" i="67" l="1"/>
  <c r="AD13" i="67" s="1"/>
  <c r="CI15" i="11"/>
  <c r="CI13" i="11" s="1"/>
  <c r="CJ488" i="4"/>
  <c r="CI984" i="4"/>
  <c r="CI988" i="4" s="1"/>
  <c r="CI62" i="64"/>
  <c r="CJ1100" i="4"/>
  <c r="CI78" i="64" l="1"/>
  <c r="CI70" i="64"/>
  <c r="CI1120" i="4"/>
  <c r="CI1320" i="4"/>
  <c r="CI992" i="4"/>
  <c r="CI71" i="11"/>
  <c r="CI1294" i="4"/>
  <c r="CI1298" i="4" s="1"/>
  <c r="AD71" i="67"/>
  <c r="AD40" i="13"/>
  <c r="AD47" i="67" l="1"/>
  <c r="CI1073" i="4"/>
  <c r="CI1077" i="4" s="1"/>
  <c r="CI1081" i="4" s="1"/>
  <c r="CI47" i="11"/>
  <c r="AD20" i="72"/>
  <c r="CI61" i="11" l="1"/>
  <c r="CI62" i="11"/>
  <c r="CI48" i="11"/>
  <c r="CI55" i="11" s="1"/>
  <c r="CI1082" i="4"/>
  <c r="CI1093" i="4" s="1"/>
  <c r="CI1090" i="4" s="1"/>
  <c r="CI1083" i="4" s="1"/>
  <c r="CI1084" i="4" s="1"/>
  <c r="CI1089" i="4"/>
  <c r="AD62" i="67"/>
  <c r="AD64" i="67" s="1"/>
  <c r="AD61" i="67"/>
  <c r="AD63" i="67" s="1"/>
  <c r="AD48" i="67"/>
  <c r="AD55" i="67" s="1"/>
  <c r="CI1091" i="4" l="1"/>
  <c r="CJ1088" i="4" s="1"/>
  <c r="CI64" i="11"/>
  <c r="CI1472" i="4"/>
  <c r="CI62" i="62"/>
  <c r="CI56" i="11"/>
  <c r="CI57" i="11" s="1"/>
  <c r="CI75" i="11"/>
  <c r="CI1123" i="4"/>
  <c r="CI1130" i="4" s="1"/>
  <c r="CI1132" i="4" s="1"/>
  <c r="CI1135" i="4" s="1"/>
  <c r="CI1299" i="4"/>
  <c r="CI1300" i="4" s="1"/>
  <c r="CI61" i="64"/>
  <c r="CI1323" i="4"/>
  <c r="AD56" i="67"/>
  <c r="AD57" i="67" s="1"/>
  <c r="AD75" i="67"/>
  <c r="AD41" i="13"/>
  <c r="AD43" i="13" s="1"/>
  <c r="CI63" i="11"/>
  <c r="AD1526" i="4"/>
  <c r="CI1471" i="4" l="1"/>
  <c r="CI1283" i="4"/>
  <c r="CI63" i="62"/>
  <c r="CI67" i="62" s="1"/>
  <c r="CI77" i="64"/>
  <c r="CI82" i="64" s="1"/>
  <c r="CI69" i="64"/>
  <c r="CI74" i="64" s="1"/>
  <c r="CI66" i="64"/>
  <c r="CI40" i="64" s="1"/>
  <c r="CI42" i="64" s="1"/>
  <c r="CI1313" i="4"/>
  <c r="CI68" i="62" l="1"/>
  <c r="CI52" i="64"/>
  <c r="CI49" i="64"/>
  <c r="CI1193" i="4"/>
  <c r="CI1194" i="4" s="1"/>
  <c r="CI1196" i="4" s="1"/>
  <c r="CI1198" i="4" s="1"/>
  <c r="CI1164" i="4" s="1"/>
  <c r="CI1214" i="4" l="1"/>
  <c r="CI1165" i="4"/>
  <c r="CJ1162" i="4" l="1"/>
  <c r="CJ1207" i="4"/>
  <c r="CJ1225" i="4" s="1"/>
  <c r="CI38" i="66"/>
  <c r="CI1302" i="4"/>
  <c r="CI1303" i="4" s="1"/>
  <c r="CI88" i="11"/>
  <c r="CI1481" i="4"/>
  <c r="CI1483" i="4" s="1"/>
  <c r="CI1324" i="4"/>
  <c r="CI1424" i="4"/>
  <c r="AD24" i="13"/>
  <c r="AD88" i="67"/>
  <c r="CI1215" i="4"/>
  <c r="CI1271" i="4" l="1"/>
  <c r="CI1281" i="4"/>
  <c r="AD1525" i="4"/>
  <c r="AD1529" i="4" s="1"/>
  <c r="AD31" i="67"/>
  <c r="AD30" i="67" s="1"/>
  <c r="CI31" i="11"/>
  <c r="CI1489" i="4"/>
  <c r="CI1490" i="4" s="1"/>
  <c r="CI1505" i="4"/>
  <c r="CI1515" i="4"/>
  <c r="CJ1212" i="4"/>
  <c r="CJ1163" i="4"/>
  <c r="CI1499" i="4" l="1"/>
  <c r="CI1495" i="4"/>
  <c r="CI1493" i="4"/>
  <c r="CI45" i="62"/>
  <c r="CI30" i="11"/>
  <c r="CJ1206" i="4"/>
  <c r="CJ1224" i="4" s="1"/>
  <c r="CJ1226" i="4" s="1"/>
  <c r="CJ1213" i="4"/>
  <c r="CJ1202" i="4"/>
  <c r="CJ1178" i="4"/>
  <c r="CJ1492" i="4"/>
  <c r="CI1252" i="4"/>
  <c r="CI1274" i="4"/>
  <c r="CI1275" i="4" s="1"/>
  <c r="CI1265" i="4" s="1"/>
  <c r="CI1496" i="4" l="1"/>
  <c r="CI1266" i="4"/>
  <c r="CI1264" i="4"/>
  <c r="CI1253" i="4" s="1"/>
  <c r="CJ1180" i="4"/>
  <c r="CJ1169" i="4" s="1"/>
  <c r="CJ1170" i="4" s="1"/>
  <c r="CJ1188" i="4" s="1"/>
  <c r="CJ1189" i="4"/>
  <c r="CJ1218" i="4" s="1"/>
  <c r="CJ1179" i="4"/>
  <c r="CJ1336" i="4"/>
  <c r="CJ87" i="11"/>
  <c r="CJ18" i="66"/>
  <c r="CJ1310" i="4"/>
  <c r="CJ1423" i="4"/>
  <c r="CI1257" i="4"/>
  <c r="CI1261" i="4"/>
  <c r="CI1268" i="4" s="1"/>
  <c r="CJ50" i="11"/>
  <c r="CJ49" i="11" s="1"/>
  <c r="CJ72" i="11"/>
  <c r="CJ297" i="4"/>
  <c r="CJ305" i="4" s="1"/>
  <c r="CJ330" i="4" s="1"/>
  <c r="CJ1295" i="4"/>
  <c r="CJ1326" i="4"/>
  <c r="CJ37" i="66"/>
  <c r="CJ1076" i="4"/>
  <c r="CJ1122" i="4"/>
  <c r="CJ1181" i="4" l="1"/>
  <c r="CJ1197" i="4" s="1"/>
  <c r="CK457" i="4"/>
  <c r="CK468" i="4"/>
  <c r="CJ478" i="4"/>
  <c r="CJ480" i="4" s="1"/>
  <c r="CJ481" i="4" s="1"/>
  <c r="CJ482" i="4" s="1"/>
  <c r="CJ483" i="4" s="1"/>
  <c r="CK477" i="4" s="1"/>
  <c r="CJ467" i="4"/>
  <c r="CJ469" i="4" s="1"/>
  <c r="CJ470" i="4" s="1"/>
  <c r="CJ471" i="4" s="1"/>
  <c r="CJ472" i="4" s="1"/>
  <c r="CK466" i="4" s="1"/>
  <c r="CJ456" i="4"/>
  <c r="CJ458" i="4" s="1"/>
  <c r="CJ459" i="4" s="1"/>
  <c r="CK479" i="4"/>
  <c r="CI1304" i="4"/>
  <c r="CI1272" i="4"/>
  <c r="CI1276" i="4" s="1"/>
  <c r="CI1254" i="4" s="1"/>
  <c r="CI1327" i="4"/>
  <c r="CI74" i="11"/>
  <c r="CI78" i="11" s="1"/>
  <c r="AD74" i="67"/>
  <c r="AD78" i="67" s="1"/>
  <c r="CI36" i="66"/>
  <c r="CI1386" i="4"/>
  <c r="CI86" i="11"/>
  <c r="CI19" i="66"/>
  <c r="CI17" i="66" s="1"/>
  <c r="CI1309" i="4"/>
  <c r="CI1338" i="4"/>
  <c r="AD86" i="67"/>
  <c r="CI1480" i="4"/>
  <c r="CJ1220" i="4"/>
  <c r="CJ53" i="11" s="1"/>
  <c r="CJ52" i="11" s="1"/>
  <c r="CJ1074" i="4"/>
  <c r="CJ1219" i="4"/>
  <c r="CJ294" i="4" s="1"/>
  <c r="CJ1190" i="4" l="1"/>
  <c r="CJ1221" i="4" s="1"/>
  <c r="CJ1121" i="4" s="1"/>
  <c r="CJ1144" i="4" s="1"/>
  <c r="CI1385" i="4"/>
  <c r="CI1388" i="4" s="1"/>
  <c r="CI1421" i="4"/>
  <c r="CJ494" i="4"/>
  <c r="CJ1071" i="4" s="1"/>
  <c r="CJ460" i="4"/>
  <c r="CJ461" i="4" s="1"/>
  <c r="CK455" i="4" s="1"/>
  <c r="CI1305" i="4"/>
  <c r="CI1282" i="4" s="1"/>
  <c r="CI1328" i="4"/>
  <c r="CI89" i="11"/>
  <c r="CI39" i="66"/>
  <c r="CI35" i="66" s="1"/>
  <c r="AD89" i="67"/>
  <c r="CJ299" i="4"/>
  <c r="CJ302" i="4"/>
  <c r="CK495" i="4"/>
  <c r="CK1072" i="4" s="1"/>
  <c r="CI1255" i="4"/>
  <c r="CJ1301" i="4" l="1"/>
  <c r="CJ73" i="11"/>
  <c r="CJ1325" i="4"/>
  <c r="CJ1145" i="4"/>
  <c r="CJ1234" i="4"/>
  <c r="CJ1235" i="4"/>
  <c r="CJ1251" i="4" s="1"/>
  <c r="CI1284" i="4"/>
  <c r="CI1286" i="4" s="1"/>
  <c r="CJ1250" i="4"/>
  <c r="CI27" i="11"/>
  <c r="AD27" i="67"/>
  <c r="CI1506" i="4"/>
  <c r="CJ331" i="4"/>
  <c r="CJ307" i="4"/>
  <c r="CI1425" i="4"/>
  <c r="AD13" i="13"/>
  <c r="CI1390" i="4"/>
  <c r="CI1402" i="4"/>
  <c r="CJ332" i="4" l="1"/>
  <c r="CJ14" i="11" s="1"/>
  <c r="CI1285" i="4"/>
  <c r="CI48" i="62"/>
  <c r="CI24" i="62" s="1"/>
  <c r="CI26" i="62" s="1"/>
  <c r="CI90" i="11"/>
  <c r="CI91" i="11" s="1"/>
  <c r="CI93" i="11" s="1"/>
  <c r="CI96" i="11" s="1"/>
  <c r="CI97" i="11" s="1"/>
  <c r="CI1306" i="4"/>
  <c r="CI1307" i="4" s="1"/>
  <c r="CI1311" i="4" s="1"/>
  <c r="CJ1290" i="4" s="1"/>
  <c r="CI1329" i="4"/>
  <c r="CI58" i="11"/>
  <c r="CI59" i="11" s="1"/>
  <c r="CI28" i="11" s="1"/>
  <c r="AD58" i="67"/>
  <c r="AD59" i="67" s="1"/>
  <c r="AD90" i="67"/>
  <c r="AD91" i="67" s="1"/>
  <c r="AD93" i="67" s="1"/>
  <c r="AD96" i="67" s="1"/>
  <c r="AD97" i="67" s="1"/>
  <c r="CI22" i="66"/>
  <c r="CJ385" i="4"/>
  <c r="CJ395" i="4"/>
  <c r="CJ396" i="4" s="1"/>
  <c r="CJ397" i="4" s="1"/>
  <c r="CJ398" i="4" s="1"/>
  <c r="CJ399" i="4" s="1"/>
  <c r="CK394" i="4" s="1"/>
  <c r="CJ405" i="4"/>
  <c r="CJ406" i="4" s="1"/>
  <c r="CJ407" i="4" s="1"/>
  <c r="CJ408" i="4" s="1"/>
  <c r="CJ409" i="4" s="1"/>
  <c r="CK404" i="4" s="1"/>
  <c r="CJ1236" i="4"/>
  <c r="CJ1241" i="4"/>
  <c r="CI1440" i="4"/>
  <c r="CI1509" i="4"/>
  <c r="CI1507" i="4"/>
  <c r="CI1508" i="4" s="1"/>
  <c r="CI1403" i="4"/>
  <c r="CI1404" i="4" s="1"/>
  <c r="CJ1128" i="4" l="1"/>
  <c r="CI100" i="67"/>
  <c r="AD1527" i="4"/>
  <c r="AD1534" i="4" s="1"/>
  <c r="CI101" i="11"/>
  <c r="CI1340" i="4"/>
  <c r="CI1341" i="4" s="1"/>
  <c r="CI24" i="66"/>
  <c r="CI20" i="66" s="1"/>
  <c r="CI26" i="66" s="1"/>
  <c r="CI44" i="66"/>
  <c r="CI40" i="66" s="1"/>
  <c r="CI46" i="66" s="1"/>
  <c r="CI100" i="11"/>
  <c r="AD21" i="67"/>
  <c r="AD17" i="67" s="1"/>
  <c r="AD23" i="67" s="1"/>
  <c r="CI1462" i="4"/>
  <c r="CI1461" i="4" s="1"/>
  <c r="CI1330" i="4"/>
  <c r="CI1331" i="4" s="1"/>
  <c r="CI21" i="11"/>
  <c r="CI17" i="11" s="1"/>
  <c r="CI101" i="67"/>
  <c r="CI46" i="62"/>
  <c r="CJ95" i="11"/>
  <c r="CJ500" i="4"/>
  <c r="CJ489" i="4"/>
  <c r="CJ386" i="4"/>
  <c r="CJ387" i="4" s="1"/>
  <c r="AE95" i="67"/>
  <c r="CI1441" i="4"/>
  <c r="CI1442" i="4" s="1"/>
  <c r="CJ1244" i="4"/>
  <c r="CJ1245" i="4" s="1"/>
  <c r="CJ85" i="11"/>
  <c r="CJ1308" i="4"/>
  <c r="CJ1337" i="4"/>
  <c r="CJ42" i="62"/>
  <c r="AD28" i="67"/>
  <c r="AD25" i="67" s="1"/>
  <c r="AD37" i="67" s="1"/>
  <c r="CI25" i="11"/>
  <c r="AD39" i="67" l="1"/>
  <c r="AD40" i="67" s="1"/>
  <c r="CI1343" i="4"/>
  <c r="AD99" i="67"/>
  <c r="CI48" i="66"/>
  <c r="CJ52" i="62"/>
  <c r="CJ43" i="62"/>
  <c r="CJ23" i="62" s="1"/>
  <c r="CI1463" i="4"/>
  <c r="CI1460" i="4" s="1"/>
  <c r="CI23" i="11"/>
  <c r="CJ501" i="4"/>
  <c r="CJ502" i="4" s="1"/>
  <c r="CJ388" i="4"/>
  <c r="CJ389" i="4" s="1"/>
  <c r="CK384" i="4" s="1"/>
  <c r="CJ490" i="4"/>
  <c r="CJ491" i="4" s="1"/>
  <c r="CI37" i="11"/>
  <c r="CI1475" i="4"/>
  <c r="CI1470" i="4" s="1"/>
  <c r="CI1474" i="4"/>
  <c r="CI1469" i="4" s="1"/>
  <c r="CJ26" i="11"/>
  <c r="CK1240" i="4"/>
  <c r="CI99" i="11"/>
  <c r="CI39" i="11" l="1"/>
  <c r="CI40" i="11" s="1"/>
  <c r="CJ64" i="62"/>
  <c r="CJ51" i="11"/>
  <c r="CJ15" i="11"/>
  <c r="CJ13" i="11" s="1"/>
  <c r="CK488" i="4"/>
  <c r="CK499" i="4"/>
  <c r="CJ1101" i="4"/>
  <c r="CJ1103" i="4" s="1"/>
  <c r="CJ1104" i="4" s="1"/>
  <c r="CJ1105" i="4" s="1"/>
  <c r="CI1516" i="4"/>
  <c r="CI1517" i="4" s="1"/>
  <c r="CI1473" i="4"/>
  <c r="CI1468" i="4" s="1"/>
  <c r="CJ16" i="66"/>
  <c r="CJ14" i="66" s="1"/>
  <c r="CJ13" i="66" s="1"/>
  <c r="CJ984" i="4" l="1"/>
  <c r="CJ988" i="4" s="1"/>
  <c r="CJ62" i="64"/>
  <c r="CK1100" i="4"/>
  <c r="CJ70" i="64" l="1"/>
  <c r="CJ78" i="64"/>
  <c r="CJ1320" i="4"/>
  <c r="CJ992" i="4"/>
  <c r="CJ71" i="11"/>
  <c r="CJ1294" i="4"/>
  <c r="CJ1298" i="4" s="1"/>
  <c r="CJ1120" i="4"/>
  <c r="CJ1073" i="4" l="1"/>
  <c r="CJ1077" i="4" s="1"/>
  <c r="CJ1081" i="4" s="1"/>
  <c r="CJ47" i="11"/>
  <c r="CJ1089" i="4" l="1"/>
  <c r="CJ1082" i="4"/>
  <c r="CJ61" i="11"/>
  <c r="CJ62" i="11"/>
  <c r="CJ48" i="11"/>
  <c r="CJ55" i="11" s="1"/>
  <c r="CJ62" i="62" l="1"/>
  <c r="CJ64" i="11"/>
  <c r="CJ1472" i="4"/>
  <c r="CJ63" i="11"/>
  <c r="CJ1093" i="4"/>
  <c r="CJ1090" i="4" s="1"/>
  <c r="CJ1083" i="4" s="1"/>
  <c r="CJ1084" i="4" s="1"/>
  <c r="CJ1091" i="4" l="1"/>
  <c r="CK1088" i="4" s="1"/>
  <c r="CJ1299" i="4"/>
  <c r="CJ1300" i="4" s="1"/>
  <c r="CJ1123" i="4"/>
  <c r="CJ1130" i="4" s="1"/>
  <c r="CJ1132" i="4" s="1"/>
  <c r="CJ1135" i="4" s="1"/>
  <c r="CJ75" i="11"/>
  <c r="CJ61" i="64"/>
  <c r="CJ1323" i="4"/>
  <c r="CJ56" i="11"/>
  <c r="CJ57" i="11" s="1"/>
  <c r="CJ63" i="62"/>
  <c r="CJ67" i="62" s="1"/>
  <c r="CJ68" i="62" l="1"/>
  <c r="CJ1471" i="4"/>
  <c r="CJ1283" i="4"/>
  <c r="CJ77" i="64"/>
  <c r="CJ82" i="64" s="1"/>
  <c r="CJ69" i="64"/>
  <c r="CJ74" i="64" s="1"/>
  <c r="CJ66" i="64"/>
  <c r="CJ40" i="64" s="1"/>
  <c r="CJ42" i="64" s="1"/>
  <c r="CJ1313" i="4"/>
  <c r="CJ1193" i="4" l="1"/>
  <c r="CJ1194" i="4" s="1"/>
  <c r="CJ1196" i="4" s="1"/>
  <c r="CJ1198" i="4" s="1"/>
  <c r="CJ1164" i="4" s="1"/>
  <c r="CJ49" i="64"/>
  <c r="CJ52" i="64"/>
  <c r="CJ1214" i="4" l="1"/>
  <c r="CJ1165" i="4"/>
  <c r="CK1162" i="4" l="1"/>
  <c r="CK1207" i="4"/>
  <c r="CK1225" i="4" s="1"/>
  <c r="CJ1324" i="4"/>
  <c r="CJ88" i="11"/>
  <c r="CJ38" i="66"/>
  <c r="CJ1481" i="4"/>
  <c r="CJ1483" i="4" s="1"/>
  <c r="CJ1302" i="4"/>
  <c r="CJ1303" i="4" s="1"/>
  <c r="CJ1424" i="4"/>
  <c r="CJ1215" i="4"/>
  <c r="CJ1271" i="4" l="1"/>
  <c r="CJ1281" i="4"/>
  <c r="CJ31" i="11"/>
  <c r="CJ1505" i="4"/>
  <c r="CJ1489" i="4"/>
  <c r="CJ1490" i="4" s="1"/>
  <c r="CK1212" i="4"/>
  <c r="CJ1515" i="4"/>
  <c r="CK1163" i="4"/>
  <c r="CK1492" i="4" l="1"/>
  <c r="CJ1499" i="4"/>
  <c r="CJ1495" i="4"/>
  <c r="CJ1493" i="4"/>
  <c r="CJ30" i="11"/>
  <c r="CJ45" i="62"/>
  <c r="CK1213" i="4"/>
  <c r="CK1206" i="4"/>
  <c r="CK1224" i="4" s="1"/>
  <c r="CK1226" i="4" s="1"/>
  <c r="CK1202" i="4"/>
  <c r="CK1178" i="4"/>
  <c r="CJ1252" i="4"/>
  <c r="CJ1274" i="4"/>
  <c r="CJ1275" i="4" s="1"/>
  <c r="CJ1265" i="4" s="1"/>
  <c r="CJ1496" i="4" l="1"/>
  <c r="CJ1266" i="4"/>
  <c r="CJ1264" i="4"/>
  <c r="CJ1253" i="4" s="1"/>
  <c r="CK1189" i="4"/>
  <c r="CK1218" i="4" s="1"/>
  <c r="CK1179" i="4"/>
  <c r="CK1180" i="4"/>
  <c r="CK1169" i="4" s="1"/>
  <c r="CK1170" i="4" s="1"/>
  <c r="CK1188" i="4" s="1"/>
  <c r="CJ1261" i="4"/>
  <c r="CJ1268" i="4" s="1"/>
  <c r="CJ1257" i="4"/>
  <c r="CK1295" i="4"/>
  <c r="CK72" i="11"/>
  <c r="CK1076" i="4"/>
  <c r="CK297" i="4"/>
  <c r="CK305" i="4" s="1"/>
  <c r="CK330" i="4" s="1"/>
  <c r="CK1122" i="4"/>
  <c r="CK1326" i="4"/>
  <c r="CK50" i="11"/>
  <c r="CK49" i="11" s="1"/>
  <c r="CK37" i="66"/>
  <c r="CK18" i="66"/>
  <c r="CK87" i="11"/>
  <c r="CK1310" i="4"/>
  <c r="CK1336" i="4"/>
  <c r="CK1423" i="4"/>
  <c r="CK1181" i="4" l="1"/>
  <c r="CK1219" i="4"/>
  <c r="CK294" i="4" s="1"/>
  <c r="CK1074" i="4"/>
  <c r="CK1220" i="4"/>
  <c r="CK53" i="11" s="1"/>
  <c r="CK52" i="11" s="1"/>
  <c r="CJ19" i="66"/>
  <c r="CJ17" i="66" s="1"/>
  <c r="CJ1309" i="4"/>
  <c r="CJ1338" i="4"/>
  <c r="CJ86" i="11"/>
  <c r="CJ1480" i="4"/>
  <c r="CL468" i="4"/>
  <c r="CK478" i="4"/>
  <c r="CK480" i="4" s="1"/>
  <c r="CK481" i="4" s="1"/>
  <c r="CK482" i="4" s="1"/>
  <c r="CK483" i="4" s="1"/>
  <c r="CL477" i="4" s="1"/>
  <c r="CL457" i="4"/>
  <c r="CK467" i="4"/>
  <c r="CK469" i="4" s="1"/>
  <c r="CK470" i="4" s="1"/>
  <c r="CK471" i="4" s="1"/>
  <c r="CK472" i="4" s="1"/>
  <c r="CL466" i="4" s="1"/>
  <c r="CL479" i="4"/>
  <c r="CK456" i="4"/>
  <c r="CK458" i="4" s="1"/>
  <c r="CK459" i="4" s="1"/>
  <c r="CJ1327" i="4"/>
  <c r="CJ1272" i="4"/>
  <c r="CJ1276" i="4" s="1"/>
  <c r="CJ1254" i="4" s="1"/>
  <c r="CJ1304" i="4"/>
  <c r="CJ74" i="11"/>
  <c r="CJ78" i="11" s="1"/>
  <c r="CJ1386" i="4"/>
  <c r="CJ36" i="66"/>
  <c r="CL495" i="4" l="1"/>
  <c r="CL1072" i="4" s="1"/>
  <c r="CJ1421" i="4"/>
  <c r="CJ1385" i="4"/>
  <c r="CJ1388" i="4" s="1"/>
  <c r="CJ39" i="66"/>
  <c r="CJ35" i="66" s="1"/>
  <c r="CJ89" i="11"/>
  <c r="CJ1305" i="4"/>
  <c r="CJ1282" i="4" s="1"/>
  <c r="CJ1328" i="4"/>
  <c r="CJ1255" i="4"/>
  <c r="CK299" i="4"/>
  <c r="CK302" i="4"/>
  <c r="CK1197" i="4"/>
  <c r="CK1190" i="4"/>
  <c r="CK1221" i="4" s="1"/>
  <c r="CK494" i="4"/>
  <c r="CK1071" i="4" s="1"/>
  <c r="CK460" i="4"/>
  <c r="CK461" i="4" s="1"/>
  <c r="CL455" i="4" s="1"/>
  <c r="CJ27" i="11" l="1"/>
  <c r="CK1250" i="4"/>
  <c r="CJ1506" i="4"/>
  <c r="CK1325" i="4"/>
  <c r="CK1121" i="4"/>
  <c r="CK1144" i="4" s="1"/>
  <c r="CK1301" i="4"/>
  <c r="CK73" i="11"/>
  <c r="CJ1284" i="4"/>
  <c r="CJ1286" i="4" s="1"/>
  <c r="CK331" i="4"/>
  <c r="CK307" i="4"/>
  <c r="CJ1390" i="4"/>
  <c r="CJ1402" i="4"/>
  <c r="CJ1425" i="4"/>
  <c r="CK332" i="4" l="1"/>
  <c r="CK14" i="11" s="1"/>
  <c r="CJ1285" i="4"/>
  <c r="CK395" i="4"/>
  <c r="CK396" i="4" s="1"/>
  <c r="CK397" i="4" s="1"/>
  <c r="CK398" i="4" s="1"/>
  <c r="CK399" i="4" s="1"/>
  <c r="CL394" i="4" s="1"/>
  <c r="CK385" i="4"/>
  <c r="CK405" i="4"/>
  <c r="CK406" i="4" s="1"/>
  <c r="CK407" i="4" s="1"/>
  <c r="CK408" i="4" s="1"/>
  <c r="CK409" i="4" s="1"/>
  <c r="CL404" i="4" s="1"/>
  <c r="CK1235" i="4"/>
  <c r="CK1251" i="4" s="1"/>
  <c r="CK1145" i="4"/>
  <c r="CK1234" i="4"/>
  <c r="CJ1329" i="4"/>
  <c r="CJ58" i="11"/>
  <c r="CJ59" i="11" s="1"/>
  <c r="CJ28" i="11" s="1"/>
  <c r="CJ48" i="62"/>
  <c r="CJ24" i="62" s="1"/>
  <c r="CJ26" i="62" s="1"/>
  <c r="CJ1306" i="4"/>
  <c r="CJ1307" i="4" s="1"/>
  <c r="CJ1311" i="4" s="1"/>
  <c r="CK1290" i="4" s="1"/>
  <c r="CJ90" i="11"/>
  <c r="CJ91" i="11" s="1"/>
  <c r="CJ93" i="11" s="1"/>
  <c r="CJ96" i="11" s="1"/>
  <c r="CJ97" i="11" s="1"/>
  <c r="CJ22" i="66"/>
  <c r="CJ1507" i="4"/>
  <c r="CJ1508" i="4" s="1"/>
  <c r="CJ1509" i="4"/>
  <c r="CJ1440" i="4"/>
  <c r="CJ1403" i="4"/>
  <c r="CJ1404" i="4" s="1"/>
  <c r="CK1236" i="4" l="1"/>
  <c r="CK1241" i="4"/>
  <c r="CJ100" i="67"/>
  <c r="CJ44" i="66"/>
  <c r="CJ40" i="66" s="1"/>
  <c r="CJ46" i="66" s="1"/>
  <c r="CJ24" i="66"/>
  <c r="CJ20" i="66" s="1"/>
  <c r="CJ26" i="66" s="1"/>
  <c r="CJ1330" i="4"/>
  <c r="CJ1331" i="4" s="1"/>
  <c r="CJ1340" i="4"/>
  <c r="CJ1341" i="4" s="1"/>
  <c r="CJ100" i="11"/>
  <c r="CJ1462" i="4"/>
  <c r="CJ1461" i="4" s="1"/>
  <c r="CK95" i="11"/>
  <c r="CJ101" i="67"/>
  <c r="CJ101" i="11"/>
  <c r="CJ46" i="62"/>
  <c r="CJ21" i="11"/>
  <c r="CJ17" i="11" s="1"/>
  <c r="CJ25" i="11"/>
  <c r="CK1128" i="4"/>
  <c r="CK386" i="4"/>
  <c r="CK387" i="4" s="1"/>
  <c r="CK500" i="4"/>
  <c r="CK489" i="4"/>
  <c r="CJ1441" i="4"/>
  <c r="CJ1442" i="4" s="1"/>
  <c r="CJ1343" i="4" l="1"/>
  <c r="CJ99" i="11"/>
  <c r="CK501" i="4"/>
  <c r="CK502" i="4" s="1"/>
  <c r="CK388" i="4"/>
  <c r="CK389" i="4" s="1"/>
  <c r="CL384" i="4" s="1"/>
  <c r="CK490" i="4"/>
  <c r="CJ1474" i="4"/>
  <c r="CJ1469" i="4" s="1"/>
  <c r="CJ37" i="11"/>
  <c r="CJ1475" i="4"/>
  <c r="CJ1470" i="4" s="1"/>
  <c r="CK85" i="11"/>
  <c r="CK1308" i="4"/>
  <c r="CK42" i="62"/>
  <c r="CK1337" i="4"/>
  <c r="CK1244" i="4"/>
  <c r="CK1245" i="4" s="1"/>
  <c r="CJ1463" i="4"/>
  <c r="CJ1460" i="4" s="1"/>
  <c r="CJ23" i="11"/>
  <c r="CJ48" i="66"/>
  <c r="CJ39" i="11" l="1"/>
  <c r="CJ40" i="11" s="1"/>
  <c r="CK64" i="62"/>
  <c r="CK51" i="11"/>
  <c r="CK26" i="11"/>
  <c r="CL1240" i="4"/>
  <c r="CJ1516" i="4"/>
  <c r="CJ1517" i="4" s="1"/>
  <c r="CJ1473" i="4"/>
  <c r="CJ1468" i="4" s="1"/>
  <c r="CK1101" i="4"/>
  <c r="CK1103" i="4" s="1"/>
  <c r="CK1104" i="4" s="1"/>
  <c r="CK1105" i="4" s="1"/>
  <c r="CL499" i="4"/>
  <c r="CK52" i="62"/>
  <c r="CK43" i="62"/>
  <c r="CK23" i="62" s="1"/>
  <c r="CK491" i="4"/>
  <c r="CL488" i="4" l="1"/>
  <c r="CK15" i="11"/>
  <c r="CK13" i="11" s="1"/>
  <c r="CK16" i="66"/>
  <c r="CK14" i="66" s="1"/>
  <c r="CK13" i="66" s="1"/>
  <c r="CL1100" i="4"/>
  <c r="CK62" i="64"/>
  <c r="CK984" i="4"/>
  <c r="CK988" i="4" s="1"/>
  <c r="CK70" i="64" l="1"/>
  <c r="CK78" i="64"/>
  <c r="CK1294" i="4"/>
  <c r="CK1298" i="4" s="1"/>
  <c r="CK71" i="11"/>
  <c r="CK1120" i="4"/>
  <c r="CK1320" i="4"/>
  <c r="CK992" i="4"/>
  <c r="CK1073" i="4" l="1"/>
  <c r="CK1077" i="4" s="1"/>
  <c r="CK1081" i="4" s="1"/>
  <c r="CK47" i="11"/>
  <c r="CK61" i="11" l="1"/>
  <c r="CK62" i="11"/>
  <c r="CK48" i="11"/>
  <c r="CK55" i="11" s="1"/>
  <c r="CK1082" i="4"/>
  <c r="CK1093" i="4" s="1"/>
  <c r="CK1090" i="4" s="1"/>
  <c r="CK1083" i="4" s="1"/>
  <c r="CK1084" i="4" s="1"/>
  <c r="CK1089" i="4"/>
  <c r="CK1091" i="4" l="1"/>
  <c r="CL1088" i="4" s="1"/>
  <c r="CK62" i="62"/>
  <c r="CK64" i="11"/>
  <c r="CK1472" i="4"/>
  <c r="CK1123" i="4"/>
  <c r="CK1130" i="4" s="1"/>
  <c r="CK1132" i="4" s="1"/>
  <c r="CK1135" i="4" s="1"/>
  <c r="CK1323" i="4"/>
  <c r="CK1299" i="4"/>
  <c r="CK1300" i="4" s="1"/>
  <c r="CK56" i="11"/>
  <c r="CK57" i="11" s="1"/>
  <c r="CK61" i="64"/>
  <c r="CK75" i="11"/>
  <c r="CK63" i="11"/>
  <c r="CK1471" i="4" l="1"/>
  <c r="CK1283" i="4"/>
  <c r="CK1313" i="4"/>
  <c r="CK63" i="62"/>
  <c r="CK67" i="62" s="1"/>
  <c r="CK69" i="64"/>
  <c r="CK74" i="64" s="1"/>
  <c r="CK77" i="64"/>
  <c r="CK82" i="64" s="1"/>
  <c r="CK66" i="64"/>
  <c r="CK40" i="64" s="1"/>
  <c r="CK42" i="64" s="1"/>
  <c r="CK68" i="62" l="1"/>
  <c r="CK1193" i="4"/>
  <c r="CK1194" i="4" s="1"/>
  <c r="CK1196" i="4" s="1"/>
  <c r="CK1198" i="4" s="1"/>
  <c r="CK1164" i="4" s="1"/>
  <c r="CK52" i="64"/>
  <c r="CK49" i="64"/>
  <c r="CK1214" i="4" l="1"/>
  <c r="CK1165" i="4"/>
  <c r="CL1162" i="4" l="1"/>
  <c r="CL1207" i="4"/>
  <c r="CL1225" i="4" s="1"/>
  <c r="CK1302" i="4"/>
  <c r="CK1303" i="4" s="1"/>
  <c r="CK88" i="11"/>
  <c r="CK1481" i="4"/>
  <c r="CK1483" i="4" s="1"/>
  <c r="CK1324" i="4"/>
  <c r="CK38" i="66"/>
  <c r="CK1424" i="4"/>
  <c r="CK1215" i="4"/>
  <c r="CK1281" i="4" l="1"/>
  <c r="CK1271" i="4"/>
  <c r="CK31" i="11"/>
  <c r="CL1212" i="4"/>
  <c r="CK1489" i="4"/>
  <c r="CK1490" i="4" s="1"/>
  <c r="CK1515" i="4"/>
  <c r="CK1505" i="4"/>
  <c r="CL1163" i="4"/>
  <c r="CK30" i="11" l="1"/>
  <c r="CK45" i="62"/>
  <c r="CL1492" i="4"/>
  <c r="CK1274" i="4"/>
  <c r="CK1275" i="4" s="1"/>
  <c r="CK1265" i="4" s="1"/>
  <c r="CK1252" i="4"/>
  <c r="CK1499" i="4"/>
  <c r="CK1495" i="4"/>
  <c r="CK1493" i="4"/>
  <c r="CL1206" i="4"/>
  <c r="CL1224" i="4" s="1"/>
  <c r="CL1226" i="4" s="1"/>
  <c r="CL1213" i="4"/>
  <c r="CL1202" i="4"/>
  <c r="CL1178" i="4"/>
  <c r="CK1257" i="4" l="1"/>
  <c r="CK1261" i="4"/>
  <c r="CK1268" i="4" s="1"/>
  <c r="CK1264" i="4"/>
  <c r="CK1253" i="4" s="1"/>
  <c r="CK1266" i="4"/>
  <c r="CL297" i="4"/>
  <c r="CL305" i="4" s="1"/>
  <c r="CL330" i="4" s="1"/>
  <c r="CL1326" i="4"/>
  <c r="CL1076" i="4"/>
  <c r="CL1122" i="4"/>
  <c r="CL50" i="11"/>
  <c r="CL49" i="11" s="1"/>
  <c r="CL72" i="11"/>
  <c r="CL37" i="66"/>
  <c r="CL1295" i="4"/>
  <c r="CL1189" i="4"/>
  <c r="CL1218" i="4" s="1"/>
  <c r="CL1180" i="4"/>
  <c r="CL1169" i="4" s="1"/>
  <c r="CL1170" i="4" s="1"/>
  <c r="CL1188" i="4" s="1"/>
  <c r="CL1179" i="4"/>
  <c r="CL1336" i="4"/>
  <c r="CL18" i="66"/>
  <c r="CL1310" i="4"/>
  <c r="CL87" i="11"/>
  <c r="CL1423" i="4"/>
  <c r="CK1496" i="4"/>
  <c r="CL1181" i="4" l="1"/>
  <c r="CL1190" i="4" s="1"/>
  <c r="CL1221" i="4" s="1"/>
  <c r="CL1220" i="4"/>
  <c r="CL53" i="11" s="1"/>
  <c r="CL52" i="11" s="1"/>
  <c r="CL1074" i="4"/>
  <c r="CL1219" i="4"/>
  <c r="CL294" i="4" s="1"/>
  <c r="CL467" i="4"/>
  <c r="CL469" i="4" s="1"/>
  <c r="CL470" i="4" s="1"/>
  <c r="CL471" i="4" s="1"/>
  <c r="CL472" i="4" s="1"/>
  <c r="CM466" i="4" s="1"/>
  <c r="CL478" i="4"/>
  <c r="CL480" i="4" s="1"/>
  <c r="CL481" i="4" s="1"/>
  <c r="CL482" i="4" s="1"/>
  <c r="CL483" i="4" s="1"/>
  <c r="CM477" i="4" s="1"/>
  <c r="CM468" i="4"/>
  <c r="CL456" i="4"/>
  <c r="CL458" i="4" s="1"/>
  <c r="CL459" i="4" s="1"/>
  <c r="CM479" i="4"/>
  <c r="CM457" i="4"/>
  <c r="CK1304" i="4"/>
  <c r="CK1327" i="4"/>
  <c r="CK1272" i="4"/>
  <c r="CK1276" i="4" s="1"/>
  <c r="CK1254" i="4" s="1"/>
  <c r="CK74" i="11"/>
  <c r="CK78" i="11" s="1"/>
  <c r="CK36" i="66"/>
  <c r="CK1386" i="4"/>
  <c r="CK86" i="11"/>
  <c r="CK1338" i="4"/>
  <c r="CK1309" i="4"/>
  <c r="CK19" i="66"/>
  <c r="CK17" i="66" s="1"/>
  <c r="CK1480" i="4"/>
  <c r="CL1197" i="4" l="1"/>
  <c r="CM495" i="4"/>
  <c r="CM1072" i="4" s="1"/>
  <c r="CL494" i="4"/>
  <c r="CL1071" i="4" s="1"/>
  <c r="CL460" i="4"/>
  <c r="CL461" i="4" s="1"/>
  <c r="CM455" i="4" s="1"/>
  <c r="CK89" i="11"/>
  <c r="CK1305" i="4"/>
  <c r="CK1282" i="4" s="1"/>
  <c r="CK1328" i="4"/>
  <c r="CK39" i="66"/>
  <c r="CK35" i="66" s="1"/>
  <c r="CL1325" i="4"/>
  <c r="CL1301" i="4"/>
  <c r="CL1121" i="4"/>
  <c r="CL1144" i="4" s="1"/>
  <c r="CL73" i="11"/>
  <c r="CL299" i="4"/>
  <c r="CL302" i="4"/>
  <c r="CK1385" i="4"/>
  <c r="CK1388" i="4" s="1"/>
  <c r="CK1421" i="4"/>
  <c r="CK1255" i="4"/>
  <c r="CK27" i="11" l="1"/>
  <c r="CL1250" i="4"/>
  <c r="CK1506" i="4"/>
  <c r="CK1284" i="4"/>
  <c r="CK1286" i="4" s="1"/>
  <c r="CK1390" i="4"/>
  <c r="CK1402" i="4"/>
  <c r="CK1425" i="4"/>
  <c r="CL307" i="4"/>
  <c r="CL332" i="4" s="1"/>
  <c r="CL14" i="11" s="1"/>
  <c r="CL331" i="4"/>
  <c r="CL1235" i="4"/>
  <c r="CL1251" i="4" s="1"/>
  <c r="CL1145" i="4"/>
  <c r="CL1234" i="4"/>
  <c r="CK1285" i="4" l="1"/>
  <c r="CK1403" i="4"/>
  <c r="CK1404" i="4" s="1"/>
  <c r="CL1241" i="4"/>
  <c r="CL1236" i="4"/>
  <c r="CK48" i="62"/>
  <c r="CK24" i="62" s="1"/>
  <c r="CK26" i="62" s="1"/>
  <c r="CK58" i="11"/>
  <c r="CK59" i="11" s="1"/>
  <c r="CK28" i="11" s="1"/>
  <c r="CK1329" i="4"/>
  <c r="CK90" i="11"/>
  <c r="CK91" i="11" s="1"/>
  <c r="CK93" i="11" s="1"/>
  <c r="CK96" i="11" s="1"/>
  <c r="CK97" i="11" s="1"/>
  <c r="CK1306" i="4"/>
  <c r="CK1307" i="4" s="1"/>
  <c r="CK1311" i="4" s="1"/>
  <c r="CL1290" i="4" s="1"/>
  <c r="CK22" i="66"/>
  <c r="CL395" i="4"/>
  <c r="CL396" i="4" s="1"/>
  <c r="CL397" i="4" s="1"/>
  <c r="CL398" i="4" s="1"/>
  <c r="CL399" i="4" s="1"/>
  <c r="CM394" i="4" s="1"/>
  <c r="CL385" i="4"/>
  <c r="CL405" i="4"/>
  <c r="CL406" i="4" s="1"/>
  <c r="CL407" i="4" s="1"/>
  <c r="CL408" i="4" s="1"/>
  <c r="CL409" i="4" s="1"/>
  <c r="CM404" i="4" s="1"/>
  <c r="CK1507" i="4"/>
  <c r="CK1508" i="4" s="1"/>
  <c r="CK1509" i="4"/>
  <c r="CK1440" i="4"/>
  <c r="CL1337" i="4" l="1"/>
  <c r="CL1308" i="4"/>
  <c r="CL85" i="11"/>
  <c r="CL1244" i="4"/>
  <c r="CL1245" i="4" s="1"/>
  <c r="CL42" i="62"/>
  <c r="CL489" i="4"/>
  <c r="CL386" i="4"/>
  <c r="CL387" i="4" s="1"/>
  <c r="CL500" i="4"/>
  <c r="CK25" i="11"/>
  <c r="CL1128" i="4"/>
  <c r="CL95" i="11"/>
  <c r="CK21" i="11"/>
  <c r="CK17" i="11" s="1"/>
  <c r="CK101" i="11"/>
  <c r="CK1340" i="4"/>
  <c r="CK1341" i="4" s="1"/>
  <c r="CK24" i="66"/>
  <c r="CK20" i="66" s="1"/>
  <c r="CK26" i="66" s="1"/>
  <c r="CK44" i="66"/>
  <c r="CK40" i="66" s="1"/>
  <c r="CK46" i="66" s="1"/>
  <c r="CK100" i="67"/>
  <c r="CK1330" i="4"/>
  <c r="CK1331" i="4" s="1"/>
  <c r="CK1462" i="4"/>
  <c r="CK1461" i="4" s="1"/>
  <c r="CK100" i="11"/>
  <c r="CK46" i="62"/>
  <c r="CK101" i="67"/>
  <c r="CK1441" i="4"/>
  <c r="CK1442" i="4" s="1"/>
  <c r="CK99" i="11" l="1"/>
  <c r="CK48" i="66"/>
  <c r="CK1343" i="4"/>
  <c r="CL52" i="62"/>
  <c r="CL43" i="62"/>
  <c r="CL23" i="62" s="1"/>
  <c r="CL26" i="11"/>
  <c r="CM1240" i="4"/>
  <c r="CK1474" i="4"/>
  <c r="CK1469" i="4" s="1"/>
  <c r="CK37" i="11"/>
  <c r="CK1475" i="4"/>
  <c r="CK1470" i="4" s="1"/>
  <c r="CK1463" i="4"/>
  <c r="CK1460" i="4" s="1"/>
  <c r="CK23" i="11"/>
  <c r="CL501" i="4"/>
  <c r="CL502" i="4" s="1"/>
  <c r="CL490" i="4"/>
  <c r="CL388" i="4"/>
  <c r="CL389" i="4" s="1"/>
  <c r="CM384" i="4" s="1"/>
  <c r="CM499" i="4" l="1"/>
  <c r="CL1101" i="4"/>
  <c r="CL1103" i="4" s="1"/>
  <c r="CL1104" i="4" s="1"/>
  <c r="CL1105" i="4" s="1"/>
  <c r="CL64" i="62"/>
  <c r="CL51" i="11"/>
  <c r="CL16" i="66"/>
  <c r="CL14" i="66" s="1"/>
  <c r="CL13" i="66" s="1"/>
  <c r="CK1516" i="4"/>
  <c r="CK1517" i="4" s="1"/>
  <c r="CK1473" i="4"/>
  <c r="CK1468" i="4" s="1"/>
  <c r="CK39" i="11"/>
  <c r="CK40" i="11" s="1"/>
  <c r="CL491" i="4"/>
  <c r="CL15" i="11" l="1"/>
  <c r="CL13" i="11" s="1"/>
  <c r="CM488" i="4"/>
  <c r="CL984" i="4"/>
  <c r="CL988" i="4" s="1"/>
  <c r="CL62" i="64"/>
  <c r="CM1100" i="4"/>
  <c r="CL70" i="64" l="1"/>
  <c r="CL78" i="64"/>
  <c r="CL1294" i="4"/>
  <c r="CL1298" i="4" s="1"/>
  <c r="CL1120" i="4"/>
  <c r="CL71" i="11"/>
  <c r="CL1320" i="4"/>
  <c r="CL992" i="4"/>
  <c r="CL1073" i="4" l="1"/>
  <c r="CL1077" i="4" s="1"/>
  <c r="CL1081" i="4" s="1"/>
  <c r="CL47" i="11"/>
  <c r="CL62" i="11" l="1"/>
  <c r="CL61" i="11"/>
  <c r="CL48" i="11"/>
  <c r="CL55" i="11" s="1"/>
  <c r="CL1082" i="4"/>
  <c r="CL1093" i="4" s="1"/>
  <c r="CL1090" i="4" s="1"/>
  <c r="CL1083" i="4" s="1"/>
  <c r="CL1084" i="4" s="1"/>
  <c r="CL1089" i="4"/>
  <c r="CL1091" i="4" l="1"/>
  <c r="CM1088" i="4" s="1"/>
  <c r="CL1299" i="4"/>
  <c r="CL1300" i="4" s="1"/>
  <c r="CL61" i="64"/>
  <c r="CL1123" i="4"/>
  <c r="CL1130" i="4" s="1"/>
  <c r="CL1132" i="4" s="1"/>
  <c r="CL1135" i="4" s="1"/>
  <c r="CL56" i="11"/>
  <c r="CL57" i="11" s="1"/>
  <c r="CL75" i="11"/>
  <c r="CL1323" i="4"/>
  <c r="CL63" i="11"/>
  <c r="CL64" i="11"/>
  <c r="CL1472" i="4"/>
  <c r="CL62" i="62"/>
  <c r="CL63" i="62" l="1"/>
  <c r="CL67" i="62" s="1"/>
  <c r="CL1471" i="4"/>
  <c r="CL1283" i="4"/>
  <c r="CL69" i="64"/>
  <c r="CL74" i="64" s="1"/>
  <c r="CL77" i="64"/>
  <c r="CL82" i="64" s="1"/>
  <c r="CL66" i="64"/>
  <c r="CL40" i="64" s="1"/>
  <c r="CL42" i="64" s="1"/>
  <c r="CL1313" i="4"/>
  <c r="CL68" i="62" l="1"/>
  <c r="CL1193" i="4"/>
  <c r="CL1194" i="4" s="1"/>
  <c r="CL1196" i="4" s="1"/>
  <c r="CL1198" i="4" s="1"/>
  <c r="CL1164" i="4" s="1"/>
  <c r="CL52" i="64"/>
  <c r="CL49" i="64"/>
  <c r="CL1214" i="4" l="1"/>
  <c r="CL1165" i="4"/>
  <c r="CM1162" i="4" l="1"/>
  <c r="CM1207" i="4"/>
  <c r="CM1225" i="4" s="1"/>
  <c r="CL88" i="11"/>
  <c r="CL1324" i="4"/>
  <c r="CL1481" i="4"/>
  <c r="CL1483" i="4" s="1"/>
  <c r="CL38" i="66"/>
  <c r="CL1302" i="4"/>
  <c r="CL1303" i="4" s="1"/>
  <c r="CL1424" i="4"/>
  <c r="CL1215" i="4"/>
  <c r="CL1271" i="4" l="1"/>
  <c r="CL1281" i="4"/>
  <c r="CL1489" i="4"/>
  <c r="CL31" i="11"/>
  <c r="CM1212" i="4"/>
  <c r="CL1515" i="4"/>
  <c r="CL1505" i="4"/>
  <c r="CM1163" i="4"/>
  <c r="CM1492" i="4" l="1"/>
  <c r="CL30" i="11"/>
  <c r="CL45" i="62"/>
  <c r="CL1490" i="4"/>
  <c r="CL1499" i="4" s="1"/>
  <c r="CM1213" i="4"/>
  <c r="CM1206" i="4"/>
  <c r="CM1224" i="4" s="1"/>
  <c r="CM1226" i="4" s="1"/>
  <c r="CM1202" i="4"/>
  <c r="CM1178" i="4"/>
  <c r="CL1252" i="4"/>
  <c r="CL1274" i="4"/>
  <c r="CL1275" i="4" s="1"/>
  <c r="CL1265" i="4" s="1"/>
  <c r="CM50" i="11" l="1"/>
  <c r="CM297" i="4"/>
  <c r="CM305" i="4" s="1"/>
  <c r="CM330" i="4" s="1"/>
  <c r="CM37" i="66"/>
  <c r="CM1326" i="4"/>
  <c r="CM1295" i="4"/>
  <c r="CM72" i="11"/>
  <c r="CM1076" i="4"/>
  <c r="CM1122" i="4"/>
  <c r="AE72" i="67"/>
  <c r="CM18" i="66"/>
  <c r="CM1310" i="4"/>
  <c r="CM87" i="11"/>
  <c r="CM1336" i="4"/>
  <c r="CM1423" i="4"/>
  <c r="AE87" i="67"/>
  <c r="CL1495" i="4"/>
  <c r="CL1493" i="4"/>
  <c r="CL1261" i="4"/>
  <c r="CL1268" i="4" s="1"/>
  <c r="CL1257" i="4"/>
  <c r="CL1266" i="4"/>
  <c r="CL1264" i="4"/>
  <c r="CL1253" i="4" s="1"/>
  <c r="CM1180" i="4"/>
  <c r="CM1169" i="4" s="1"/>
  <c r="CM1170" i="4" s="1"/>
  <c r="CM1188" i="4" s="1"/>
  <c r="CM1179" i="4"/>
  <c r="CM1189" i="4"/>
  <c r="CM1218" i="4" s="1"/>
  <c r="CL1496" i="4" l="1"/>
  <c r="CM1181" i="4"/>
  <c r="CM1197" i="4" s="1"/>
  <c r="CL1327" i="4"/>
  <c r="CL74" i="11"/>
  <c r="CL78" i="11" s="1"/>
  <c r="CL1304" i="4"/>
  <c r="CL1272" i="4"/>
  <c r="CL1276" i="4" s="1"/>
  <c r="CL1254" i="4" s="1"/>
  <c r="CL1386" i="4"/>
  <c r="CL36" i="66"/>
  <c r="CM1220" i="4"/>
  <c r="CM1074" i="4"/>
  <c r="CM1219" i="4"/>
  <c r="CM294" i="4" s="1"/>
  <c r="CL1309" i="4"/>
  <c r="CL1338" i="4"/>
  <c r="CL86" i="11"/>
  <c r="CL19" i="66"/>
  <c r="CL17" i="66" s="1"/>
  <c r="CL1480" i="4"/>
  <c r="CM478" i="4"/>
  <c r="CM480" i="4" s="1"/>
  <c r="CM481" i="4" s="1"/>
  <c r="CM482" i="4" s="1"/>
  <c r="CM483" i="4" s="1"/>
  <c r="CN477" i="4" s="1"/>
  <c r="CN479" i="4"/>
  <c r="CM456" i="4"/>
  <c r="CM458" i="4" s="1"/>
  <c r="CM459" i="4" s="1"/>
  <c r="CM467" i="4"/>
  <c r="CM469" i="4" s="1"/>
  <c r="CM470" i="4" s="1"/>
  <c r="CM471" i="4" s="1"/>
  <c r="CM472" i="4" s="1"/>
  <c r="CN466" i="4" s="1"/>
  <c r="CN457" i="4"/>
  <c r="CN468" i="4"/>
  <c r="AE50" i="67"/>
  <c r="AE49" i="67" s="1"/>
  <c r="CM49" i="11"/>
  <c r="CM1190" i="4" l="1"/>
  <c r="CM1221" i="4" s="1"/>
  <c r="CM1301" i="4" s="1"/>
  <c r="CL1305" i="4"/>
  <c r="CL1282" i="4" s="1"/>
  <c r="CL39" i="66"/>
  <c r="CL35" i="66" s="1"/>
  <c r="CL89" i="11"/>
  <c r="CL1328" i="4"/>
  <c r="CM299" i="4"/>
  <c r="CM302" i="4"/>
  <c r="CL1421" i="4"/>
  <c r="CL1385" i="4"/>
  <c r="CL1388" i="4" s="1"/>
  <c r="CM494" i="4"/>
  <c r="CM1071" i="4" s="1"/>
  <c r="CM460" i="4"/>
  <c r="CM461" i="4" s="1"/>
  <c r="CN455" i="4" s="1"/>
  <c r="AE53" i="67"/>
  <c r="AE52" i="67" s="1"/>
  <c r="CM53" i="11"/>
  <c r="CM52" i="11" s="1"/>
  <c r="AE23" i="13"/>
  <c r="AE73" i="67"/>
  <c r="CN495" i="4"/>
  <c r="CN1072" i="4" s="1"/>
  <c r="CL1255" i="4"/>
  <c r="CM73" i="11" l="1"/>
  <c r="CM1121" i="4"/>
  <c r="CM1144" i="4" s="1"/>
  <c r="CM1235" i="4" s="1"/>
  <c r="CM1251" i="4" s="1"/>
  <c r="CM1325" i="4"/>
  <c r="CM307" i="4"/>
  <c r="CM331" i="4"/>
  <c r="CL1390" i="4"/>
  <c r="CL1402" i="4"/>
  <c r="CM1250" i="4"/>
  <c r="CL27" i="11"/>
  <c r="CL1506" i="4"/>
  <c r="CL1425" i="4"/>
  <c r="CL1284" i="4"/>
  <c r="CL1286" i="4" s="1"/>
  <c r="CM1145" i="4" l="1"/>
  <c r="CM1234" i="4"/>
  <c r="CM1241" i="4" s="1"/>
  <c r="CM332" i="4"/>
  <c r="CM14" i="11" s="1"/>
  <c r="CL1440" i="4"/>
  <c r="CL1403" i="4"/>
  <c r="CL1404" i="4" s="1"/>
  <c r="CL1285" i="4"/>
  <c r="CL58" i="11"/>
  <c r="CL59" i="11" s="1"/>
  <c r="CL28" i="11" s="1"/>
  <c r="CL1306" i="4"/>
  <c r="CL1307" i="4" s="1"/>
  <c r="CL1311" i="4" s="1"/>
  <c r="CM1290" i="4" s="1"/>
  <c r="CL1329" i="4"/>
  <c r="CL48" i="62"/>
  <c r="CL24" i="62" s="1"/>
  <c r="CL26" i="62" s="1"/>
  <c r="CL90" i="11"/>
  <c r="CL91" i="11" s="1"/>
  <c r="CL93" i="11" s="1"/>
  <c r="CL96" i="11" s="1"/>
  <c r="CL97" i="11" s="1"/>
  <c r="CL22" i="66"/>
  <c r="CL1509" i="4"/>
  <c r="CL1507" i="4"/>
  <c r="CL1508" i="4" s="1"/>
  <c r="CM405" i="4"/>
  <c r="CM406" i="4" s="1"/>
  <c r="CM407" i="4" s="1"/>
  <c r="CM408" i="4" s="1"/>
  <c r="CM409" i="4" s="1"/>
  <c r="CN404" i="4" s="1"/>
  <c r="CM395" i="4"/>
  <c r="CM396" i="4" s="1"/>
  <c r="CM397" i="4" s="1"/>
  <c r="CM398" i="4" s="1"/>
  <c r="CM399" i="4" s="1"/>
  <c r="CN394" i="4" s="1"/>
  <c r="CM385" i="4"/>
  <c r="CM1236" i="4" l="1"/>
  <c r="AE14" i="67"/>
  <c r="CL24" i="66"/>
  <c r="CL20" i="66" s="1"/>
  <c r="CL26" i="66" s="1"/>
  <c r="CL21" i="11"/>
  <c r="CL17" i="11" s="1"/>
  <c r="CL101" i="11"/>
  <c r="CL1340" i="4"/>
  <c r="CL1341" i="4" s="1"/>
  <c r="CL1330" i="4"/>
  <c r="CL1331" i="4" s="1"/>
  <c r="CM95" i="11"/>
  <c r="CL1462" i="4"/>
  <c r="CL1461" i="4" s="1"/>
  <c r="CL46" i="62"/>
  <c r="CL44" i="66"/>
  <c r="CL40" i="66" s="1"/>
  <c r="CL46" i="66" s="1"/>
  <c r="CL101" i="67"/>
  <c r="CL100" i="11"/>
  <c r="CL100" i="67"/>
  <c r="CL1441" i="4"/>
  <c r="CL1442" i="4" s="1"/>
  <c r="AE85" i="67"/>
  <c r="CM1337" i="4"/>
  <c r="CM1308" i="4"/>
  <c r="CM1244" i="4"/>
  <c r="CM1245" i="4" s="1"/>
  <c r="CM42" i="62"/>
  <c r="CM85" i="11"/>
  <c r="CM1128" i="4"/>
  <c r="CM500" i="4"/>
  <c r="CM489" i="4"/>
  <c r="CM386" i="4"/>
  <c r="CM387" i="4" s="1"/>
  <c r="CL25" i="11"/>
  <c r="CL48" i="66" l="1"/>
  <c r="CL1343" i="4"/>
  <c r="CM501" i="4"/>
  <c r="CM502" i="4" s="1"/>
  <c r="CM490" i="4"/>
  <c r="CM491" i="4" s="1"/>
  <c r="CM388" i="4"/>
  <c r="CM389" i="4" s="1"/>
  <c r="CN384" i="4" s="1"/>
  <c r="AE26" i="67"/>
  <c r="CM26" i="11"/>
  <c r="CN1240" i="4"/>
  <c r="CL37" i="11"/>
  <c r="CL1474" i="4"/>
  <c r="CL1469" i="4" s="1"/>
  <c r="CL1475" i="4"/>
  <c r="CL1470" i="4" s="1"/>
  <c r="CM52" i="62"/>
  <c r="CM43" i="62"/>
  <c r="CM23" i="62" s="1"/>
  <c r="CL1463" i="4"/>
  <c r="CL1460" i="4" s="1"/>
  <c r="CL23" i="11"/>
  <c r="CL99" i="11"/>
  <c r="CL39" i="11" l="1"/>
  <c r="CL40" i="11" s="1"/>
  <c r="CN488" i="4"/>
  <c r="AE15" i="67"/>
  <c r="AE13" i="67" s="1"/>
  <c r="CM15" i="11"/>
  <c r="CM13" i="11" s="1"/>
  <c r="CM16" i="66"/>
  <c r="CM14" i="66" s="1"/>
  <c r="CM13" i="66" s="1"/>
  <c r="AE51" i="67"/>
  <c r="CM64" i="62"/>
  <c r="CM51" i="11"/>
  <c r="CM1101" i="4"/>
  <c r="CM1103" i="4" s="1"/>
  <c r="CM1104" i="4" s="1"/>
  <c r="CM1105" i="4" s="1"/>
  <c r="CN499" i="4"/>
  <c r="CL1516" i="4"/>
  <c r="CL1517" i="4" s="1"/>
  <c r="CL1473" i="4"/>
  <c r="CL1468" i="4" s="1"/>
  <c r="CN1100" i="4" l="1"/>
  <c r="CM984" i="4"/>
  <c r="CM988" i="4" s="1"/>
  <c r="CM62" i="64"/>
  <c r="CM70" i="64" l="1"/>
  <c r="I70" i="64" s="1"/>
  <c r="CM78" i="64"/>
  <c r="I78" i="64" s="1"/>
  <c r="I62" i="64"/>
  <c r="AE40" i="13"/>
  <c r="CM1294" i="4"/>
  <c r="CM1298" i="4" s="1"/>
  <c r="CM992" i="4"/>
  <c r="CM1320" i="4"/>
  <c r="CM1120" i="4"/>
  <c r="CM71" i="11"/>
  <c r="AE71" i="67"/>
  <c r="CM1073" i="4" l="1"/>
  <c r="CM1077" i="4" s="1"/>
  <c r="CM1081" i="4" s="1"/>
  <c r="CM47" i="11"/>
  <c r="AE20" i="72"/>
  <c r="AE47" i="67"/>
  <c r="CM1082" i="4" l="1"/>
  <c r="CM1093" i="4" s="1"/>
  <c r="CM1090" i="4" s="1"/>
  <c r="CM1083" i="4" s="1"/>
  <c r="CM1084" i="4" s="1"/>
  <c r="CM1089" i="4"/>
  <c r="AE61" i="67"/>
  <c r="AE63" i="67" s="1"/>
  <c r="AE62" i="67"/>
  <c r="AE64" i="67" s="1"/>
  <c r="AE48" i="67"/>
  <c r="AE55" i="67" s="1"/>
  <c r="CM61" i="11"/>
  <c r="CM62" i="11"/>
  <c r="CM48" i="11"/>
  <c r="CM55" i="11" s="1"/>
  <c r="CM1091" i="4" l="1"/>
  <c r="CN1088" i="4" s="1"/>
  <c r="CM62" i="62"/>
  <c r="CM1472" i="4"/>
  <c r="CM64" i="11"/>
  <c r="CM63" i="11"/>
  <c r="AE1526" i="4"/>
  <c r="CM1299" i="4"/>
  <c r="CM1300" i="4" s="1"/>
  <c r="CM1323" i="4"/>
  <c r="CM61" i="64"/>
  <c r="CM56" i="11"/>
  <c r="CM57" i="11" s="1"/>
  <c r="CM1123" i="4"/>
  <c r="CM1130" i="4" s="1"/>
  <c r="CM1132" i="4" s="1"/>
  <c r="CM1135" i="4" s="1"/>
  <c r="CM75" i="11"/>
  <c r="AE41" i="13"/>
  <c r="AE43" i="13" s="1"/>
  <c r="AE56" i="67"/>
  <c r="AE57" i="67" s="1"/>
  <c r="AE75" i="67"/>
  <c r="CM1313" i="4" l="1"/>
  <c r="CM1471" i="4"/>
  <c r="CM1283" i="4"/>
  <c r="CM69" i="64"/>
  <c r="CM77" i="64"/>
  <c r="CM66" i="64"/>
  <c r="I61" i="64"/>
  <c r="CM63" i="62"/>
  <c r="CM67" i="62" s="1"/>
  <c r="CM82" i="64" l="1"/>
  <c r="I82" i="64" s="1"/>
  <c r="I77" i="64"/>
  <c r="CM74" i="64"/>
  <c r="I74" i="64" s="1"/>
  <c r="I69" i="64"/>
  <c r="CM68" i="62"/>
  <c r="CM40" i="64"/>
  <c r="I66" i="64"/>
  <c r="CM1193" i="4"/>
  <c r="CM1194" i="4" s="1"/>
  <c r="CM1196" i="4" s="1"/>
  <c r="CM1198" i="4" s="1"/>
  <c r="CM1164" i="4" s="1"/>
  <c r="CM42" i="64" l="1"/>
  <c r="I40" i="64"/>
  <c r="CM1214" i="4"/>
  <c r="CM1165" i="4"/>
  <c r="CN1162" i="4" l="1"/>
  <c r="CN1207" i="4"/>
  <c r="CN1225" i="4" s="1"/>
  <c r="AE24" i="13"/>
  <c r="CM88" i="11"/>
  <c r="CM1481" i="4"/>
  <c r="CM1483" i="4" s="1"/>
  <c r="CM1324" i="4"/>
  <c r="CM38" i="66"/>
  <c r="CM1302" i="4"/>
  <c r="CM1303" i="4" s="1"/>
  <c r="CM1424" i="4"/>
  <c r="AE88" i="67"/>
  <c r="CM1215" i="4"/>
  <c r="CM52" i="64"/>
  <c r="I52" i="64" s="1"/>
  <c r="CM49" i="64"/>
  <c r="I49" i="64" s="1"/>
  <c r="I42" i="64"/>
  <c r="I14" i="64" s="1"/>
  <c r="I56" i="64" l="1"/>
  <c r="I22" i="64" s="1"/>
  <c r="I18" i="64"/>
  <c r="I55" i="64"/>
  <c r="I21" i="64" s="1"/>
  <c r="AE31" i="67"/>
  <c r="AE30" i="67" s="1"/>
  <c r="AE1525" i="4"/>
  <c r="AE1529" i="4" s="1"/>
  <c r="CM31" i="11"/>
  <c r="CM1489" i="4"/>
  <c r="CM1490" i="4" s="1"/>
  <c r="CN1212" i="4"/>
  <c r="CM1515" i="4"/>
  <c r="CM1505" i="4"/>
  <c r="CM1281" i="4"/>
  <c r="CM1271" i="4"/>
  <c r="CN1163" i="4"/>
  <c r="CM30" i="11" l="1"/>
  <c r="CM45" i="62"/>
  <c r="CN1492" i="4"/>
  <c r="CM1252" i="4"/>
  <c r="CM1274" i="4"/>
  <c r="CM1275" i="4" s="1"/>
  <c r="CM1265" i="4" s="1"/>
  <c r="CM1499" i="4"/>
  <c r="CM1495" i="4"/>
  <c r="CM1493" i="4"/>
  <c r="CN1206" i="4"/>
  <c r="CN1224" i="4" s="1"/>
  <c r="CN1226" i="4" s="1"/>
  <c r="CN1213" i="4"/>
  <c r="CN1202" i="4"/>
  <c r="CN1178" i="4"/>
  <c r="CM1496" i="4" l="1"/>
  <c r="CM1266" i="4"/>
  <c r="CM1264" i="4"/>
  <c r="CM1253" i="4" s="1"/>
  <c r="CM1261" i="4"/>
  <c r="CM1268" i="4" s="1"/>
  <c r="CM1257" i="4"/>
  <c r="CN1295" i="4"/>
  <c r="CN50" i="11"/>
  <c r="CN1326" i="4"/>
  <c r="CN1076" i="4"/>
  <c r="CN72" i="11"/>
  <c r="CN297" i="4"/>
  <c r="CN305" i="4" s="1"/>
  <c r="CN330" i="4" s="1"/>
  <c r="CN37" i="66"/>
  <c r="CN1122" i="4"/>
  <c r="CN1310" i="4"/>
  <c r="CN1336" i="4"/>
  <c r="CN18" i="66"/>
  <c r="CN87" i="11"/>
  <c r="CN1423" i="4"/>
  <c r="CN1189" i="4"/>
  <c r="CN1218" i="4" s="1"/>
  <c r="CN1180" i="4"/>
  <c r="CN1169" i="4" s="1"/>
  <c r="CN1170" i="4" s="1"/>
  <c r="CN1188" i="4" s="1"/>
  <c r="CN1179" i="4"/>
  <c r="CN1181" i="4" l="1"/>
  <c r="CN1190" i="4" s="1"/>
  <c r="CN1221" i="4" s="1"/>
  <c r="CN49" i="11"/>
  <c r="CM86" i="11"/>
  <c r="CM19" i="66"/>
  <c r="CM17" i="66" s="1"/>
  <c r="CM1309" i="4"/>
  <c r="CM1338" i="4"/>
  <c r="AE86" i="67"/>
  <c r="CM1480" i="4"/>
  <c r="CN1219" i="4"/>
  <c r="CN294" i="4" s="1"/>
  <c r="CN1220" i="4"/>
  <c r="CN1074" i="4"/>
  <c r="CO479" i="4"/>
  <c r="I479" i="4" s="1"/>
  <c r="CO457" i="4"/>
  <c r="CO468" i="4"/>
  <c r="I468" i="4" s="1"/>
  <c r="CN478" i="4"/>
  <c r="CN480" i="4" s="1"/>
  <c r="CN481" i="4" s="1"/>
  <c r="CN482" i="4" s="1"/>
  <c r="CN483" i="4" s="1"/>
  <c r="CO477" i="4" s="1"/>
  <c r="CN467" i="4"/>
  <c r="CN469" i="4" s="1"/>
  <c r="CN470" i="4" s="1"/>
  <c r="CN471" i="4" s="1"/>
  <c r="CN472" i="4" s="1"/>
  <c r="CO466" i="4" s="1"/>
  <c r="CN456" i="4"/>
  <c r="CN458" i="4" s="1"/>
  <c r="CN459" i="4" s="1"/>
  <c r="CM74" i="11"/>
  <c r="CM78" i="11" s="1"/>
  <c r="CM1327" i="4"/>
  <c r="CM1304" i="4"/>
  <c r="CM1272" i="4"/>
  <c r="CM1276" i="4" s="1"/>
  <c r="CM1254" i="4" s="1"/>
  <c r="AE74" i="67"/>
  <c r="AE78" i="67" s="1"/>
  <c r="CM1386" i="4"/>
  <c r="CM36" i="66"/>
  <c r="CN1197" i="4" l="1"/>
  <c r="CM1421" i="4"/>
  <c r="CM1385" i="4"/>
  <c r="CM1388" i="4" s="1"/>
  <c r="CN73" i="11"/>
  <c r="CN1121" i="4"/>
  <c r="CN1144" i="4" s="1"/>
  <c r="CN1301" i="4"/>
  <c r="CN1325" i="4"/>
  <c r="CO495" i="4"/>
  <c r="I457" i="4"/>
  <c r="CM1305" i="4"/>
  <c r="CM1282" i="4" s="1"/>
  <c r="CM39" i="66"/>
  <c r="CM35" i="66" s="1"/>
  <c r="CM1328" i="4"/>
  <c r="CM89" i="11"/>
  <c r="AE89" i="67"/>
  <c r="CM1255" i="4"/>
  <c r="CN53" i="11"/>
  <c r="CN52" i="11" s="1"/>
  <c r="CN460" i="4"/>
  <c r="CN461" i="4" s="1"/>
  <c r="CO455" i="4" s="1"/>
  <c r="CN494" i="4"/>
  <c r="CN1071" i="4" s="1"/>
  <c r="CN299" i="4"/>
  <c r="CN302" i="4"/>
  <c r="CM1284" i="4" l="1"/>
  <c r="CM1286" i="4" s="1"/>
  <c r="CN1235" i="4"/>
  <c r="CN1251" i="4" s="1"/>
  <c r="CN1234" i="4"/>
  <c r="CN1145" i="4"/>
  <c r="CO1072" i="4"/>
  <c r="I1072" i="4" s="1"/>
  <c r="I495" i="4"/>
  <c r="CN331" i="4"/>
  <c r="CN307" i="4"/>
  <c r="AE27" i="67"/>
  <c r="CM27" i="11"/>
  <c r="CN1250" i="4"/>
  <c r="CM1506" i="4"/>
  <c r="CM1390" i="4"/>
  <c r="CM1402" i="4"/>
  <c r="CM1425" i="4"/>
  <c r="AE13" i="13"/>
  <c r="CN332" i="4" l="1"/>
  <c r="CN14" i="11" s="1"/>
  <c r="CM1507" i="4"/>
  <c r="CM1508" i="4" s="1"/>
  <c r="CM1509" i="4"/>
  <c r="CN1241" i="4"/>
  <c r="CN1236" i="4"/>
  <c r="CM1285" i="4"/>
  <c r="CM48" i="62"/>
  <c r="CM24" i="62" s="1"/>
  <c r="CM26" i="62" s="1"/>
  <c r="CM1329" i="4"/>
  <c r="CM1306" i="4"/>
  <c r="CM1307" i="4" s="1"/>
  <c r="CM1311" i="4" s="1"/>
  <c r="CN1290" i="4" s="1"/>
  <c r="CM90" i="11"/>
  <c r="CM91" i="11" s="1"/>
  <c r="CM93" i="11" s="1"/>
  <c r="CM96" i="11" s="1"/>
  <c r="CM97" i="11" s="1"/>
  <c r="CM58" i="11"/>
  <c r="CM59" i="11" s="1"/>
  <c r="CM28" i="11" s="1"/>
  <c r="AE58" i="67"/>
  <c r="AE59" i="67" s="1"/>
  <c r="AE90" i="67"/>
  <c r="AE91" i="67" s="1"/>
  <c r="AE93" i="67" s="1"/>
  <c r="AE96" i="67" s="1"/>
  <c r="AE97" i="67" s="1"/>
  <c r="CM22" i="66"/>
  <c r="CM1440" i="4"/>
  <c r="CM1403" i="4"/>
  <c r="CM1404" i="4" s="1"/>
  <c r="CN405" i="4"/>
  <c r="CN406" i="4" s="1"/>
  <c r="CN407" i="4" s="1"/>
  <c r="CN408" i="4" s="1"/>
  <c r="CN409" i="4" s="1"/>
  <c r="CO404" i="4" s="1"/>
  <c r="CN385" i="4"/>
  <c r="CN395" i="4"/>
  <c r="CN396" i="4" s="1"/>
  <c r="CN397" i="4" s="1"/>
  <c r="CN398" i="4" s="1"/>
  <c r="CN399" i="4" s="1"/>
  <c r="CO394" i="4" s="1"/>
  <c r="AF95" i="67" l="1"/>
  <c r="CM25" i="11"/>
  <c r="AE28" i="67"/>
  <c r="AE25" i="67" s="1"/>
  <c r="AE37" i="67" s="1"/>
  <c r="CN1308" i="4"/>
  <c r="CN85" i="11"/>
  <c r="CN1244" i="4"/>
  <c r="CN1245" i="4" s="1"/>
  <c r="CN1337" i="4"/>
  <c r="CN42" i="62"/>
  <c r="CM100" i="67"/>
  <c r="CM1462" i="4"/>
  <c r="CM1461" i="4" s="1"/>
  <c r="CM24" i="66"/>
  <c r="CM20" i="66" s="1"/>
  <c r="CM26" i="66" s="1"/>
  <c r="AE1527" i="4"/>
  <c r="AE1534" i="4" s="1"/>
  <c r="CM101" i="11"/>
  <c r="CM1340" i="4"/>
  <c r="CM1341" i="4" s="1"/>
  <c r="AE21" i="67"/>
  <c r="AE17" i="67" s="1"/>
  <c r="AE23" i="67" s="1"/>
  <c r="CM44" i="66"/>
  <c r="CM40" i="66" s="1"/>
  <c r="CM46" i="66" s="1"/>
  <c r="CM21" i="11"/>
  <c r="CM17" i="11" s="1"/>
  <c r="CM1330" i="4"/>
  <c r="CM1331" i="4" s="1"/>
  <c r="CM46" i="62"/>
  <c r="CM101" i="67"/>
  <c r="CM100" i="11"/>
  <c r="CN95" i="11"/>
  <c r="CM1441" i="4"/>
  <c r="CM1442" i="4" s="1"/>
  <c r="CN1128" i="4"/>
  <c r="CN500" i="4"/>
  <c r="CN386" i="4"/>
  <c r="CN387" i="4" s="1"/>
  <c r="CN489" i="4"/>
  <c r="CM99" i="11" l="1"/>
  <c r="CM48" i="66"/>
  <c r="AE39" i="67"/>
  <c r="AE40" i="67" s="1"/>
  <c r="CM1343" i="4"/>
  <c r="CN501" i="4"/>
  <c r="CN502" i="4" s="1"/>
  <c r="CN490" i="4"/>
  <c r="CN491" i="4" s="1"/>
  <c r="CN388" i="4"/>
  <c r="CN389" i="4" s="1"/>
  <c r="CO384" i="4" s="1"/>
  <c r="CO1240" i="4"/>
  <c r="CN26" i="11"/>
  <c r="CM1463" i="4"/>
  <c r="CM1460" i="4" s="1"/>
  <c r="CM23" i="11"/>
  <c r="CM37" i="11"/>
  <c r="CM1474" i="4"/>
  <c r="CM1469" i="4" s="1"/>
  <c r="CM1475" i="4"/>
  <c r="CM1470" i="4" s="1"/>
  <c r="CN52" i="62"/>
  <c r="CN43" i="62"/>
  <c r="CN23" i="62" s="1"/>
  <c r="AE99" i="67"/>
  <c r="I39" i="67" l="1"/>
  <c r="AF40" i="67"/>
  <c r="I40" i="67" s="1"/>
  <c r="CM39" i="11"/>
  <c r="CM40" i="11" s="1"/>
  <c r="CO488" i="4"/>
  <c r="CN15" i="11"/>
  <c r="CN13" i="11" s="1"/>
  <c r="CN1101" i="4"/>
  <c r="CN1103" i="4" s="1"/>
  <c r="CN1104" i="4" s="1"/>
  <c r="CN1105" i="4" s="1"/>
  <c r="CO499" i="4"/>
  <c r="CM1516" i="4"/>
  <c r="CM1517" i="4" s="1"/>
  <c r="CM1473" i="4"/>
  <c r="CM1468" i="4" s="1"/>
  <c r="CN64" i="62"/>
  <c r="CN51" i="11"/>
  <c r="CN16" i="66"/>
  <c r="CN14" i="66" s="1"/>
  <c r="CN13" i="66" s="1"/>
  <c r="CO1100" i="4" l="1"/>
  <c r="CN62" i="64"/>
  <c r="CN984" i="4"/>
  <c r="CN988" i="4" s="1"/>
  <c r="CN1294" i="4" l="1"/>
  <c r="CN1298" i="4" s="1"/>
  <c r="CN1120" i="4"/>
  <c r="CN992" i="4"/>
  <c r="CN1320" i="4"/>
  <c r="CN71" i="11"/>
  <c r="CN70" i="64"/>
  <c r="CN78" i="64"/>
  <c r="CN1073" i="4" l="1"/>
  <c r="CN1077" i="4" s="1"/>
  <c r="CN1081" i="4" s="1"/>
  <c r="CN47" i="11"/>
  <c r="CN61" i="11" l="1"/>
  <c r="CN62" i="11"/>
  <c r="CN48" i="11"/>
  <c r="CN55" i="11" s="1"/>
  <c r="CN1082" i="4"/>
  <c r="CN1093" i="4" s="1"/>
  <c r="CN1090" i="4" s="1"/>
  <c r="CN1083" i="4" s="1"/>
  <c r="CN1084" i="4" s="1"/>
  <c r="CN1089" i="4"/>
  <c r="CN1091" i="4" l="1"/>
  <c r="CO1088" i="4" s="1"/>
  <c r="CN64" i="11"/>
  <c r="CN1472" i="4"/>
  <c r="CN62" i="62"/>
  <c r="CN1323" i="4"/>
  <c r="CN1299" i="4"/>
  <c r="CN1300" i="4" s="1"/>
  <c r="CN1123" i="4"/>
  <c r="CN1130" i="4" s="1"/>
  <c r="CN1132" i="4" s="1"/>
  <c r="CN1135" i="4" s="1"/>
  <c r="CN56" i="11"/>
  <c r="CN57" i="11" s="1"/>
  <c r="CN61" i="64"/>
  <c r="CN75" i="11"/>
  <c r="CN63" i="11"/>
  <c r="CN1313" i="4" l="1"/>
  <c r="CN63" i="62"/>
  <c r="CN67" i="62" s="1"/>
  <c r="CN77" i="64"/>
  <c r="CN82" i="64" s="1"/>
  <c r="CN69" i="64"/>
  <c r="CN74" i="64" s="1"/>
  <c r="CN66" i="64"/>
  <c r="CN40" i="64" s="1"/>
  <c r="CN42" i="64" s="1"/>
  <c r="CN1471" i="4"/>
  <c r="CN1283" i="4"/>
  <c r="CN68" i="62" l="1"/>
  <c r="CN52" i="64"/>
  <c r="CN49" i="64"/>
  <c r="CN1193" i="4"/>
  <c r="CN1194" i="4" s="1"/>
  <c r="CN1196" i="4" s="1"/>
  <c r="CN1198" i="4" s="1"/>
  <c r="CN1164" i="4" s="1"/>
  <c r="CN1214" i="4" l="1"/>
  <c r="CN1165" i="4"/>
  <c r="CO1162" i="4" l="1"/>
  <c r="CO1207" i="4"/>
  <c r="CN1302" i="4"/>
  <c r="CN1303" i="4" s="1"/>
  <c r="CN88" i="11"/>
  <c r="CN38" i="66"/>
  <c r="CN1324" i="4"/>
  <c r="CN1481" i="4"/>
  <c r="CN1483" i="4" s="1"/>
  <c r="CN1424" i="4"/>
  <c r="CN1215" i="4"/>
  <c r="CN31" i="11" l="1"/>
  <c r="CO1212" i="4"/>
  <c r="CN1489" i="4"/>
  <c r="CN1505" i="4"/>
  <c r="CN1515" i="4"/>
  <c r="CN1271" i="4"/>
  <c r="CN1281" i="4"/>
  <c r="CO1225" i="4"/>
  <c r="I1225" i="4" s="1"/>
  <c r="I1207" i="4"/>
  <c r="CO1163" i="4"/>
  <c r="CN1252" i="4" l="1"/>
  <c r="CN1274" i="4"/>
  <c r="CN1275" i="4" s="1"/>
  <c r="CN1265" i="4" s="1"/>
  <c r="CO1206" i="4"/>
  <c r="CO1213" i="4"/>
  <c r="I1163" i="4"/>
  <c r="CO1202" i="4"/>
  <c r="CO1178" i="4"/>
  <c r="CN1490" i="4"/>
  <c r="CO1492" i="4"/>
  <c r="CN30" i="11"/>
  <c r="CN45" i="62"/>
  <c r="CO87" i="11" l="1"/>
  <c r="I87" i="11" s="1"/>
  <c r="CO18" i="66"/>
  <c r="CO1310" i="4"/>
  <c r="I1310" i="4" s="1"/>
  <c r="CO1336" i="4"/>
  <c r="CO1423" i="4"/>
  <c r="E1350" i="4"/>
  <c r="I1213" i="4"/>
  <c r="AF87" i="67"/>
  <c r="I87" i="67" s="1"/>
  <c r="CO1224" i="4"/>
  <c r="I1206" i="4"/>
  <c r="CN1266" i="4"/>
  <c r="CN1264" i="4"/>
  <c r="CN1253" i="4" s="1"/>
  <c r="CN1495" i="4"/>
  <c r="CN1493" i="4"/>
  <c r="CN1261" i="4"/>
  <c r="CN1268" i="4" s="1"/>
  <c r="CN1257" i="4"/>
  <c r="CN1499" i="4"/>
  <c r="CO1189" i="4"/>
  <c r="CO1180" i="4"/>
  <c r="CO1179" i="4"/>
  <c r="I1178" i="4"/>
  <c r="CN1496" i="4" l="1"/>
  <c r="I1423" i="4"/>
  <c r="O14" i="13"/>
  <c r="P14" i="13"/>
  <c r="Q14" i="13"/>
  <c r="R14" i="13"/>
  <c r="S14" i="13"/>
  <c r="T14" i="13"/>
  <c r="U14" i="13"/>
  <c r="V14" i="13"/>
  <c r="W14" i="13"/>
  <c r="X14" i="13"/>
  <c r="Y14" i="13"/>
  <c r="Z14" i="13"/>
  <c r="AC14" i="13"/>
  <c r="AD14" i="13"/>
  <c r="AE14" i="13"/>
  <c r="AF14" i="13"/>
  <c r="CO1169" i="4"/>
  <c r="I1180" i="4"/>
  <c r="CO1218" i="4"/>
  <c r="I1189" i="4"/>
  <c r="CN74" i="11"/>
  <c r="CN78" i="11" s="1"/>
  <c r="CN1327" i="4"/>
  <c r="CN1272" i="4"/>
  <c r="CN1276" i="4" s="1"/>
  <c r="CN1254" i="4" s="1"/>
  <c r="CN1304" i="4"/>
  <c r="CN1386" i="4"/>
  <c r="CN36" i="66"/>
  <c r="I1336" i="4"/>
  <c r="CO1181" i="4"/>
  <c r="I1179" i="4"/>
  <c r="I18" i="66"/>
  <c r="CN1309" i="4"/>
  <c r="CN86" i="11"/>
  <c r="CN1338" i="4"/>
  <c r="CN19" i="66"/>
  <c r="CN17" i="66" s="1"/>
  <c r="CN1480" i="4"/>
  <c r="CO1226" i="4"/>
  <c r="I1224" i="4"/>
  <c r="CO1076" i="4" l="1"/>
  <c r="I1076" i="4" s="1"/>
  <c r="CO37" i="66"/>
  <c r="CO50" i="11"/>
  <c r="CO297" i="4"/>
  <c r="CO72" i="11"/>
  <c r="I72" i="11" s="1"/>
  <c r="CO1122" i="4"/>
  <c r="I1122" i="4" s="1"/>
  <c r="CO1295" i="4"/>
  <c r="I1295" i="4" s="1"/>
  <c r="CO1326" i="4"/>
  <c r="I1326" i="4" s="1"/>
  <c r="I1226" i="4"/>
  <c r="AF72" i="67"/>
  <c r="I72" i="67" s="1"/>
  <c r="CN89" i="11"/>
  <c r="CN1305" i="4"/>
  <c r="CN1282" i="4" s="1"/>
  <c r="CN1328" i="4"/>
  <c r="CN39" i="66"/>
  <c r="CN35" i="66" s="1"/>
  <c r="CO1197" i="4"/>
  <c r="I1197" i="4" s="1"/>
  <c r="CO1190" i="4"/>
  <c r="I1181" i="4"/>
  <c r="CN1421" i="4"/>
  <c r="CN1385" i="4"/>
  <c r="CN1388" i="4" s="1"/>
  <c r="CO1074" i="4"/>
  <c r="I1074" i="4" s="1"/>
  <c r="CO1219" i="4"/>
  <c r="CO1220" i="4"/>
  <c r="I1218" i="4"/>
  <c r="I14" i="13"/>
  <c r="CO1170" i="4"/>
  <c r="I1169" i="4"/>
  <c r="CN1255" i="4"/>
  <c r="CN1425" i="4" l="1"/>
  <c r="CO1188" i="4"/>
  <c r="I1170" i="4"/>
  <c r="CO53" i="11"/>
  <c r="I1220" i="4"/>
  <c r="AF53" i="67"/>
  <c r="CO1250" i="4"/>
  <c r="CN27" i="11"/>
  <c r="CN1506" i="4"/>
  <c r="CO294" i="4"/>
  <c r="I1219" i="4"/>
  <c r="CO305" i="4"/>
  <c r="CO330" i="4" s="1"/>
  <c r="I297" i="4"/>
  <c r="CO49" i="11"/>
  <c r="I49" i="11" s="1"/>
  <c r="I50" i="11"/>
  <c r="AF50" i="67"/>
  <c r="CO1221" i="4"/>
  <c r="I1190" i="4"/>
  <c r="I37" i="66"/>
  <c r="J163" i="15"/>
  <c r="K163" i="15"/>
  <c r="L163" i="15"/>
  <c r="M163" i="15"/>
  <c r="CN1390" i="4"/>
  <c r="CN1402" i="4"/>
  <c r="CN1284" i="4"/>
  <c r="CN1286" i="4" s="1"/>
  <c r="CN1285" i="4" l="1"/>
  <c r="AF52" i="67"/>
  <c r="I52" i="67" s="1"/>
  <c r="I53" i="67"/>
  <c r="CO478" i="4"/>
  <c r="CO467" i="4"/>
  <c r="CO456" i="4"/>
  <c r="I330" i="4"/>
  <c r="G163" i="15"/>
  <c r="CO52" i="11"/>
  <c r="I52" i="11" s="1"/>
  <c r="I53" i="11"/>
  <c r="AF49" i="67"/>
  <c r="I49" i="67" s="1"/>
  <c r="I50" i="67"/>
  <c r="CN1403" i="4"/>
  <c r="CN1404" i="4" s="1"/>
  <c r="CO299" i="4"/>
  <c r="I299" i="4" s="1"/>
  <c r="I294" i="4"/>
  <c r="CO302" i="4"/>
  <c r="CN58" i="11"/>
  <c r="CN59" i="11" s="1"/>
  <c r="CN28" i="11" s="1"/>
  <c r="CN48" i="62"/>
  <c r="CN24" i="62" s="1"/>
  <c r="CN26" i="62" s="1"/>
  <c r="CN1329" i="4"/>
  <c r="CN1306" i="4"/>
  <c r="CN1307" i="4" s="1"/>
  <c r="CN1311" i="4" s="1"/>
  <c r="CO1290" i="4" s="1"/>
  <c r="CN90" i="11"/>
  <c r="CN91" i="11" s="1"/>
  <c r="CN93" i="11" s="1"/>
  <c r="CN96" i="11" s="1"/>
  <c r="CN97" i="11" s="1"/>
  <c r="CN22" i="66"/>
  <c r="CO1325" i="4"/>
  <c r="I1325" i="4" s="1"/>
  <c r="CO1121" i="4"/>
  <c r="CO1301" i="4"/>
  <c r="I1301" i="4" s="1"/>
  <c r="CO73" i="11"/>
  <c r="I73" i="11" s="1"/>
  <c r="I1221" i="4"/>
  <c r="AF23" i="13"/>
  <c r="AF73" i="67"/>
  <c r="I73" i="67" s="1"/>
  <c r="CN1507" i="4"/>
  <c r="CN1508" i="4" s="1"/>
  <c r="CN1509" i="4"/>
  <c r="I1188" i="4"/>
  <c r="CO1164" i="4"/>
  <c r="CN1440" i="4"/>
  <c r="CN1441" i="4" l="1"/>
  <c r="CN1442" i="4" s="1"/>
  <c r="CO1144" i="4"/>
  <c r="I1121" i="4"/>
  <c r="CO458" i="4"/>
  <c r="CO459" i="4" s="1"/>
  <c r="I456" i="4"/>
  <c r="CO331" i="4"/>
  <c r="CO307" i="4"/>
  <c r="CO469" i="4"/>
  <c r="CO470" i="4" s="1"/>
  <c r="I467" i="4"/>
  <c r="CN25" i="11"/>
  <c r="CO480" i="4"/>
  <c r="CO481" i="4" s="1"/>
  <c r="I478" i="4"/>
  <c r="CO1214" i="4"/>
  <c r="I1164" i="4"/>
  <c r="C16" i="9" s="1"/>
  <c r="M19" i="15" s="1"/>
  <c r="CO1165" i="4"/>
  <c r="CO95" i="11"/>
  <c r="CN44" i="66"/>
  <c r="CN40" i="66" s="1"/>
  <c r="CN46" i="66" s="1"/>
  <c r="CN46" i="62"/>
  <c r="CN101" i="67"/>
  <c r="CN1330" i="4"/>
  <c r="CN1331" i="4" s="1"/>
  <c r="CN24" i="66"/>
  <c r="CN20" i="66" s="1"/>
  <c r="CN26" i="66" s="1"/>
  <c r="CN100" i="11"/>
  <c r="CN1462" i="4"/>
  <c r="CN1461" i="4" s="1"/>
  <c r="CN101" i="11"/>
  <c r="CN21" i="11"/>
  <c r="CN17" i="11" s="1"/>
  <c r="CN100" i="67"/>
  <c r="CN1340" i="4"/>
  <c r="CN1341" i="4" s="1"/>
  <c r="CO1128" i="4"/>
  <c r="I1128" i="4" s="1"/>
  <c r="CO332" i="4" l="1"/>
  <c r="CO14" i="11" s="1"/>
  <c r="CN99" i="11"/>
  <c r="CN48" i="66"/>
  <c r="CN1343" i="4"/>
  <c r="CO494" i="4"/>
  <c r="CO460" i="4"/>
  <c r="CO461" i="4" s="1"/>
  <c r="I459" i="4"/>
  <c r="CO482" i="4"/>
  <c r="CO483" i="4" s="1"/>
  <c r="I481" i="4"/>
  <c r="CN1474" i="4"/>
  <c r="CN1469" i="4" s="1"/>
  <c r="CN1475" i="4"/>
  <c r="CN1470" i="4" s="1"/>
  <c r="CN37" i="11"/>
  <c r="CN1463" i="4"/>
  <c r="CN1460" i="4" s="1"/>
  <c r="CN23" i="11"/>
  <c r="CO471" i="4"/>
  <c r="CO472" i="4" s="1"/>
  <c r="I470" i="4"/>
  <c r="CO1145" i="4"/>
  <c r="I1145" i="4" s="1"/>
  <c r="CO1235" i="4"/>
  <c r="CO1234" i="4"/>
  <c r="I1144" i="4"/>
  <c r="I331" i="4"/>
  <c r="CO405" i="4"/>
  <c r="CO385" i="4"/>
  <c r="CO395" i="4"/>
  <c r="CO1324" i="4"/>
  <c r="I1324" i="4" s="1"/>
  <c r="CO88" i="11"/>
  <c r="I88" i="11" s="1"/>
  <c r="CO1302" i="4"/>
  <c r="I1302" i="4" s="1"/>
  <c r="CO1481" i="4"/>
  <c r="CO1483" i="4" s="1"/>
  <c r="CO38" i="66"/>
  <c r="CO1424" i="4"/>
  <c r="I1214" i="4"/>
  <c r="N45" i="13"/>
  <c r="O45" i="13"/>
  <c r="O49" i="13" s="1"/>
  <c r="P45" i="13"/>
  <c r="P49" i="13" s="1"/>
  <c r="Q45" i="13"/>
  <c r="Q49" i="13" s="1"/>
  <c r="R45" i="13"/>
  <c r="R49" i="13" s="1"/>
  <c r="S45" i="13"/>
  <c r="S49" i="13" s="1"/>
  <c r="T45" i="13"/>
  <c r="T49" i="13" s="1"/>
  <c r="U45" i="13"/>
  <c r="U49" i="13" s="1"/>
  <c r="V45" i="13"/>
  <c r="V49" i="13" s="1"/>
  <c r="W45" i="13"/>
  <c r="W49" i="13" s="1"/>
  <c r="X45" i="13"/>
  <c r="X49" i="13" s="1"/>
  <c r="Y45" i="13"/>
  <c r="Y49" i="13" s="1"/>
  <c r="Z45" i="13"/>
  <c r="Z49" i="13" s="1"/>
  <c r="AC45" i="13"/>
  <c r="AC49" i="13" s="1"/>
  <c r="AD45" i="13"/>
  <c r="AD49" i="13" s="1"/>
  <c r="AE45" i="13"/>
  <c r="AE49" i="13" s="1"/>
  <c r="AF88" i="67"/>
  <c r="I88" i="67" s="1"/>
  <c r="AF24" i="13"/>
  <c r="CO1215" i="4"/>
  <c r="AF45" i="13"/>
  <c r="CO1236" i="4" l="1"/>
  <c r="I1236" i="4" s="1"/>
  <c r="CO1241" i="4"/>
  <c r="I1234" i="4"/>
  <c r="CO1251" i="4"/>
  <c r="I1235" i="4"/>
  <c r="I45" i="13"/>
  <c r="N49" i="13"/>
  <c r="CO396" i="4"/>
  <c r="CO397" i="4" s="1"/>
  <c r="I395" i="4"/>
  <c r="CO1489" i="4"/>
  <c r="CO31" i="11"/>
  <c r="CO1515" i="4"/>
  <c r="CO1505" i="4"/>
  <c r="CO500" i="4"/>
  <c r="CO489" i="4"/>
  <c r="CO386" i="4"/>
  <c r="CO387" i="4" s="1"/>
  <c r="I385" i="4"/>
  <c r="I1424" i="4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CO406" i="4"/>
  <c r="CO407" i="4" s="1"/>
  <c r="I405" i="4"/>
  <c r="CN1516" i="4"/>
  <c r="CN1517" i="4" s="1"/>
  <c r="CN1473" i="4"/>
  <c r="CN1468" i="4" s="1"/>
  <c r="I38" i="66"/>
  <c r="J164" i="15"/>
  <c r="K164" i="15"/>
  <c r="L164" i="15"/>
  <c r="M164" i="15"/>
  <c r="CO1071" i="4"/>
  <c r="I494" i="4"/>
  <c r="E1485" i="4" a="1"/>
  <c r="E1485" i="4" s="1"/>
  <c r="E1486" i="4" a="1"/>
  <c r="E1486" i="4" s="1"/>
  <c r="CN39" i="11"/>
  <c r="CN40" i="11" s="1"/>
  <c r="G164" i="15" l="1"/>
  <c r="I1071" i="4"/>
  <c r="AA17" i="13"/>
  <c r="AA18" i="13"/>
  <c r="S18" i="13"/>
  <c r="S17" i="13"/>
  <c r="CO501" i="4"/>
  <c r="I501" i="4" s="1"/>
  <c r="CO388" i="4"/>
  <c r="CO389" i="4" s="1"/>
  <c r="CO490" i="4"/>
  <c r="CO491" i="4" s="1"/>
  <c r="CO15" i="11" s="1"/>
  <c r="CO13" i="11" s="1"/>
  <c r="I387" i="4"/>
  <c r="CO398" i="4"/>
  <c r="CO399" i="4" s="1"/>
  <c r="I397" i="4"/>
  <c r="Z17" i="13"/>
  <c r="Z18" i="13"/>
  <c r="R18" i="13"/>
  <c r="R17" i="13"/>
  <c r="I489" i="4"/>
  <c r="CO408" i="4"/>
  <c r="CO409" i="4" s="1"/>
  <c r="I407" i="4"/>
  <c r="Y18" i="13"/>
  <c r="Y17" i="13"/>
  <c r="Q18" i="13"/>
  <c r="Q17" i="13"/>
  <c r="I500" i="4"/>
  <c r="I15" i="13"/>
  <c r="X18" i="13"/>
  <c r="X17" i="13"/>
  <c r="P18" i="13"/>
  <c r="P17" i="13"/>
  <c r="AE17" i="13"/>
  <c r="AE18" i="13"/>
  <c r="W18" i="13"/>
  <c r="W17" i="13"/>
  <c r="O18" i="13"/>
  <c r="O17" i="13"/>
  <c r="I1251" i="4"/>
  <c r="AD18" i="13"/>
  <c r="AD17" i="13"/>
  <c r="V17" i="13"/>
  <c r="V18" i="13"/>
  <c r="N18" i="13"/>
  <c r="N17" i="13"/>
  <c r="CO30" i="11"/>
  <c r="CO45" i="62"/>
  <c r="I45" i="62" s="1"/>
  <c r="AC18" i="13"/>
  <c r="AC17" i="13"/>
  <c r="U17" i="13"/>
  <c r="U18" i="13"/>
  <c r="CO1490" i="4"/>
  <c r="CO1499" i="4" s="1"/>
  <c r="G1489" i="4"/>
  <c r="CO1337" i="4"/>
  <c r="CO1308" i="4"/>
  <c r="I1308" i="4" s="1"/>
  <c r="CO85" i="11"/>
  <c r="CO1244" i="4"/>
  <c r="CO42" i="62"/>
  <c r="I1241" i="4"/>
  <c r="AF85" i="67"/>
  <c r="AB17" i="13"/>
  <c r="AB18" i="13"/>
  <c r="T17" i="13"/>
  <c r="T18" i="13"/>
  <c r="Y19" i="13" l="1"/>
  <c r="CO502" i="4"/>
  <c r="CO1101" i="4" s="1"/>
  <c r="CO1103" i="4" s="1"/>
  <c r="CO1104" i="4" s="1"/>
  <c r="CO1105" i="4" s="1"/>
  <c r="CO62" i="64" s="1"/>
  <c r="T19" i="13"/>
  <c r="AE19" i="13"/>
  <c r="Q19" i="13"/>
  <c r="R19" i="13"/>
  <c r="Z19" i="13"/>
  <c r="U19" i="13"/>
  <c r="V19" i="13"/>
  <c r="E1348" i="4"/>
  <c r="I1244" i="4"/>
  <c r="CO1245" i="4"/>
  <c r="S19" i="13"/>
  <c r="I85" i="67"/>
  <c r="I85" i="11"/>
  <c r="AC19" i="13"/>
  <c r="AD19" i="13"/>
  <c r="W19" i="13"/>
  <c r="X19" i="13"/>
  <c r="AB19" i="13"/>
  <c r="I1337" i="4"/>
  <c r="AA19" i="13"/>
  <c r="N19" i="13"/>
  <c r="CO64" i="62"/>
  <c r="I64" i="62" s="1"/>
  <c r="CO51" i="11"/>
  <c r="I51" i="11" s="1"/>
  <c r="I490" i="4"/>
  <c r="AF51" i="67"/>
  <c r="I51" i="67" s="1"/>
  <c r="CO1495" i="4"/>
  <c r="G1490" i="4"/>
  <c r="CO52" i="62"/>
  <c r="I42" i="62"/>
  <c r="CO43" i="62"/>
  <c r="O19" i="13"/>
  <c r="P19" i="13"/>
  <c r="CO984" i="4" l="1"/>
  <c r="CO988" i="4" s="1"/>
  <c r="I1105" i="4"/>
  <c r="CO23" i="62"/>
  <c r="I43" i="62"/>
  <c r="CO26" i="11"/>
  <c r="CO70" i="64"/>
  <c r="CO78" i="64"/>
  <c r="I984" i="4" l="1"/>
  <c r="CO71" i="11"/>
  <c r="CO1294" i="4"/>
  <c r="CO992" i="4"/>
  <c r="CO1120" i="4"/>
  <c r="CO1320" i="4"/>
  <c r="I988" i="4"/>
  <c r="AF71" i="67"/>
  <c r="AF40" i="13"/>
  <c r="CO16" i="66"/>
  <c r="I23" i="62"/>
  <c r="I40" i="13" l="1"/>
  <c r="I71" i="67"/>
  <c r="I1320" i="4"/>
  <c r="I1120" i="4"/>
  <c r="CO47" i="11"/>
  <c r="CO1073" i="4"/>
  <c r="I992" i="4"/>
  <c r="AF47" i="67"/>
  <c r="AF20" i="72"/>
  <c r="I20" i="72" s="1"/>
  <c r="I1294" i="4"/>
  <c r="CO1298" i="4"/>
  <c r="I16" i="66"/>
  <c r="CO14" i="66"/>
  <c r="I71" i="11"/>
  <c r="AF62" i="67" l="1"/>
  <c r="AF61" i="67"/>
  <c r="AF48" i="67"/>
  <c r="I47" i="67"/>
  <c r="CO13" i="66"/>
  <c r="I14" i="66"/>
  <c r="I1073" i="4"/>
  <c r="CO1077" i="4"/>
  <c r="CO61" i="11"/>
  <c r="CO62" i="11"/>
  <c r="CO48" i="11"/>
  <c r="I47" i="11"/>
  <c r="M18" i="72" l="1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B18" i="72"/>
  <c r="AC18" i="72"/>
  <c r="AD18" i="72"/>
  <c r="AE18" i="72"/>
  <c r="AF18" i="72"/>
  <c r="I13" i="66"/>
  <c r="I28" i="66" s="1"/>
  <c r="I27" i="66" s="1"/>
  <c r="AF55" i="67"/>
  <c r="I48" i="67"/>
  <c r="AF63" i="67"/>
  <c r="I61" i="67"/>
  <c r="CO64" i="11"/>
  <c r="CO62" i="62"/>
  <c r="CO1472" i="4"/>
  <c r="I62" i="11"/>
  <c r="AF64" i="67"/>
  <c r="I62" i="67"/>
  <c r="CO55" i="11"/>
  <c r="I48" i="11"/>
  <c r="CO63" i="11"/>
  <c r="I61" i="11"/>
  <c r="AF1526" i="4"/>
  <c r="CO1081" i="4"/>
  <c r="I1077" i="4"/>
  <c r="I18" i="72" l="1"/>
  <c r="I62" i="62"/>
  <c r="I55" i="11"/>
  <c r="I55" i="67"/>
  <c r="AF1529" i="4"/>
  <c r="AF1534" i="4"/>
  <c r="CO1082" i="4"/>
  <c r="CO1089" i="4"/>
  <c r="I1081" i="4"/>
  <c r="E1531" i="4" l="1" a="1"/>
  <c r="E1531" i="4" s="1"/>
  <c r="E1532" i="4" a="1"/>
  <c r="E1532" i="4" s="1"/>
  <c r="I1089" i="4"/>
  <c r="CO1093" i="4"/>
  <c r="I1082" i="4"/>
  <c r="E1537" i="4" a="1"/>
  <c r="E1537" i="4" s="1"/>
  <c r="E1536" i="4" a="1"/>
  <c r="E1536" i="4" s="1"/>
  <c r="I1093" i="4" l="1"/>
  <c r="CO1090" i="4"/>
  <c r="I1090" i="4" l="1"/>
  <c r="CO1083" i="4"/>
  <c r="CO1091" i="4"/>
  <c r="CO1084" i="4" l="1"/>
  <c r="I1083" i="4"/>
  <c r="CO1123" i="4" l="1"/>
  <c r="CO1323" i="4"/>
  <c r="CO56" i="11"/>
  <c r="CO1299" i="4"/>
  <c r="CO61" i="64"/>
  <c r="CO75" i="11"/>
  <c r="I75" i="11" s="1"/>
  <c r="I1084" i="4"/>
  <c r="AF75" i="67"/>
  <c r="I75" i="67" s="1"/>
  <c r="AF41" i="13"/>
  <c r="AF56" i="67"/>
  <c r="CO63" i="62"/>
  <c r="CO77" i="64" l="1"/>
  <c r="CO82" i="64" s="1"/>
  <c r="CO69" i="64"/>
  <c r="CO74" i="64" s="1"/>
  <c r="CO66" i="64"/>
  <c r="CO40" i="64" s="1"/>
  <c r="CO42" i="64" s="1"/>
  <c r="I63" i="62"/>
  <c r="CO67" i="62"/>
  <c r="I1299" i="4"/>
  <c r="CO1300" i="4"/>
  <c r="I56" i="11"/>
  <c r="CO57" i="11"/>
  <c r="I56" i="67"/>
  <c r="AF57" i="67"/>
  <c r="I1323" i="4"/>
  <c r="I41" i="13"/>
  <c r="AF43" i="13"/>
  <c r="I1123" i="4"/>
  <c r="CO1130" i="4"/>
  <c r="AF49" i="13" l="1"/>
  <c r="I49" i="13" s="1"/>
  <c r="I43" i="13"/>
  <c r="CO1313" i="4"/>
  <c r="CO1303" i="4"/>
  <c r="I67" i="62"/>
  <c r="L68" i="62" s="1"/>
  <c r="CO68" i="62"/>
  <c r="I57" i="67"/>
  <c r="CO52" i="64"/>
  <c r="CO49" i="64"/>
  <c r="CO1132" i="4"/>
  <c r="I1130" i="4"/>
  <c r="CO1471" i="4"/>
  <c r="I57" i="11"/>
  <c r="CO1283" i="4"/>
  <c r="CO1281" i="4" l="1"/>
  <c r="CO1271" i="4"/>
  <c r="CO1135" i="4"/>
  <c r="E1135" i="4" s="1"/>
  <c r="I1132" i="4"/>
  <c r="CO1193" i="4"/>
  <c r="CO1493" i="4"/>
  <c r="CO1496" i="4" s="1"/>
  <c r="I68" i="62"/>
  <c r="CO1194" i="4" l="1"/>
  <c r="I1193" i="4"/>
  <c r="CO1497" i="4"/>
  <c r="S1497" i="4"/>
  <c r="S1499" i="4" s="1"/>
  <c r="AR1497" i="4"/>
  <c r="AR1499" i="4" s="1"/>
  <c r="X1497" i="4"/>
  <c r="X1499" i="4" s="1"/>
  <c r="Q1497" i="4"/>
  <c r="AN1497" i="4"/>
  <c r="AN1499" i="4" s="1"/>
  <c r="AF1497" i="4"/>
  <c r="AF1499" i="4" s="1"/>
  <c r="M1497" i="4"/>
  <c r="W1497" i="4"/>
  <c r="W1499" i="4" s="1"/>
  <c r="AS1497" i="4"/>
  <c r="AS1499" i="4" s="1"/>
  <c r="AB1497" i="4"/>
  <c r="AB1499" i="4" s="1"/>
  <c r="AQ1497" i="4"/>
  <c r="AQ1499" i="4" s="1"/>
  <c r="AE1497" i="4"/>
  <c r="AE1499" i="4" s="1"/>
  <c r="AU1497" i="4"/>
  <c r="AU1499" i="4" s="1"/>
  <c r="N1497" i="4"/>
  <c r="AK1497" i="4"/>
  <c r="AK1499" i="4" s="1"/>
  <c r="L1497" i="4"/>
  <c r="AG1497" i="4"/>
  <c r="AG1499" i="4" s="1"/>
  <c r="AV1497" i="4"/>
  <c r="AV1499" i="4" s="1"/>
  <c r="Y1497" i="4"/>
  <c r="Y1499" i="4" s="1"/>
  <c r="AX1497" i="4"/>
  <c r="AX1499" i="4" s="1"/>
  <c r="AT1497" i="4"/>
  <c r="AT1499" i="4" s="1"/>
  <c r="AA1497" i="4"/>
  <c r="AA1499" i="4" s="1"/>
  <c r="V1497" i="4"/>
  <c r="V1499" i="4" s="1"/>
  <c r="AI1497" i="4"/>
  <c r="AI1499" i="4" s="1"/>
  <c r="O1497" i="4"/>
  <c r="AJ1497" i="4"/>
  <c r="AJ1499" i="4" s="1"/>
  <c r="AC1497" i="4"/>
  <c r="AC1499" i="4" s="1"/>
  <c r="AP1497" i="4"/>
  <c r="AP1499" i="4" s="1"/>
  <c r="P1497" i="4"/>
  <c r="AM1497" i="4"/>
  <c r="AM1499" i="4" s="1"/>
  <c r="AW1497" i="4"/>
  <c r="AW1499" i="4" s="1"/>
  <c r="AO1497" i="4"/>
  <c r="AO1499" i="4" s="1"/>
  <c r="T1497" i="4"/>
  <c r="T1499" i="4" s="1"/>
  <c r="AL1497" i="4"/>
  <c r="AL1499" i="4" s="1"/>
  <c r="AD1497" i="4"/>
  <c r="AD1499" i="4" s="1"/>
  <c r="R1497" i="4"/>
  <c r="Z1497" i="4"/>
  <c r="Z1499" i="4" s="1"/>
  <c r="AH1497" i="4"/>
  <c r="AH1499" i="4" s="1"/>
  <c r="U1497" i="4"/>
  <c r="U1499" i="4" s="1"/>
  <c r="AY1497" i="4"/>
  <c r="AY1499" i="4" s="1"/>
  <c r="AZ1497" i="4"/>
  <c r="AZ1499" i="4" s="1"/>
  <c r="BA1497" i="4"/>
  <c r="BA1499" i="4" s="1"/>
  <c r="BB1497" i="4"/>
  <c r="BB1499" i="4" s="1"/>
  <c r="BC1497" i="4"/>
  <c r="BC1499" i="4" s="1"/>
  <c r="BD1497" i="4"/>
  <c r="BD1499" i="4" s="1"/>
  <c r="BE1497" i="4"/>
  <c r="BE1499" i="4" s="1"/>
  <c r="BF1497" i="4"/>
  <c r="BF1499" i="4" s="1"/>
  <c r="BG1497" i="4"/>
  <c r="BG1499" i="4" s="1"/>
  <c r="BH1497" i="4"/>
  <c r="BH1499" i="4" s="1"/>
  <c r="BI1497" i="4"/>
  <c r="BI1499" i="4" s="1"/>
  <c r="BJ1497" i="4"/>
  <c r="BJ1499" i="4" s="1"/>
  <c r="BK1497" i="4"/>
  <c r="BK1499" i="4" s="1"/>
  <c r="BL1497" i="4"/>
  <c r="BL1499" i="4" s="1"/>
  <c r="BM1497" i="4"/>
  <c r="BM1499" i="4" s="1"/>
  <c r="BN1497" i="4"/>
  <c r="BN1499" i="4" s="1"/>
  <c r="BO1497" i="4"/>
  <c r="BO1499" i="4" s="1"/>
  <c r="BP1497" i="4"/>
  <c r="BP1499" i="4" s="1"/>
  <c r="BQ1497" i="4"/>
  <c r="BQ1499" i="4" s="1"/>
  <c r="BR1497" i="4"/>
  <c r="BR1499" i="4" s="1"/>
  <c r="BS1497" i="4"/>
  <c r="BS1499" i="4" s="1"/>
  <c r="BT1497" i="4"/>
  <c r="BT1499" i="4" s="1"/>
  <c r="BU1497" i="4"/>
  <c r="BU1499" i="4" s="1"/>
  <c r="BV1497" i="4"/>
  <c r="BV1499" i="4" s="1"/>
  <c r="BW1497" i="4"/>
  <c r="BW1499" i="4" s="1"/>
  <c r="BX1497" i="4"/>
  <c r="BX1499" i="4" s="1"/>
  <c r="BY1497" i="4"/>
  <c r="BZ1497" i="4"/>
  <c r="CA1497" i="4"/>
  <c r="CB1497" i="4"/>
  <c r="CC1497" i="4"/>
  <c r="CD1497" i="4"/>
  <c r="CE1497" i="4"/>
  <c r="CF1497" i="4"/>
  <c r="CG1497" i="4"/>
  <c r="CH1497" i="4"/>
  <c r="CI1497" i="4"/>
  <c r="CN1497" i="4"/>
  <c r="CM1497" i="4"/>
  <c r="CJ1497" i="4"/>
  <c r="CL1497" i="4"/>
  <c r="CK1497" i="4"/>
  <c r="CO1274" i="4"/>
  <c r="CO1275" i="4" s="1"/>
  <c r="CO1265" i="4" s="1"/>
  <c r="CO1252" i="4"/>
  <c r="CO1266" i="4" l="1"/>
  <c r="CO1264" i="4"/>
  <c r="I1265" i="4"/>
  <c r="E1501" i="4" a="1"/>
  <c r="E1501" i="4" s="1"/>
  <c r="E1502" i="4" a="1"/>
  <c r="E1502" i="4" s="1"/>
  <c r="I1252" i="4"/>
  <c r="CO1261" i="4"/>
  <c r="CO1257" i="4"/>
  <c r="CO1196" i="4"/>
  <c r="I1194" i="4"/>
  <c r="CO1268" i="4" l="1"/>
  <c r="E1268" i="4" s="1"/>
  <c r="C15" i="9" s="1"/>
  <c r="M18" i="15" s="1"/>
  <c r="I1261" i="4"/>
  <c r="CO1198" i="4"/>
  <c r="I1198" i="4" s="1"/>
  <c r="I1196" i="4"/>
  <c r="CO1253" i="4"/>
  <c r="I1264" i="4"/>
  <c r="CO1338" i="4"/>
  <c r="CO19" i="66"/>
  <c r="CO1309" i="4"/>
  <c r="I1309" i="4" s="1"/>
  <c r="CO86" i="11"/>
  <c r="E1349" i="4"/>
  <c r="I1257" i="4"/>
  <c r="AF86" i="67"/>
  <c r="CO1480" i="4"/>
  <c r="CO74" i="11"/>
  <c r="CO1272" i="4"/>
  <c r="CO1304" i="4"/>
  <c r="CO1327" i="4"/>
  <c r="I1266" i="4"/>
  <c r="AF74" i="67"/>
  <c r="CO1386" i="4"/>
  <c r="I1386" i="4" s="1"/>
  <c r="CO36" i="66"/>
  <c r="I1304" i="4" l="1"/>
  <c r="I1272" i="4"/>
  <c r="CO1276" i="4"/>
  <c r="CO1254" i="4" s="1"/>
  <c r="CO1255" i="4" s="1"/>
  <c r="I19" i="66"/>
  <c r="CO17" i="66"/>
  <c r="I74" i="11"/>
  <c r="CO78" i="11"/>
  <c r="I1338" i="4"/>
  <c r="I36" i="66"/>
  <c r="P25" i="13"/>
  <c r="X25" i="13"/>
  <c r="Y25" i="13"/>
  <c r="Z25" i="13"/>
  <c r="AB25" i="13"/>
  <c r="AC25" i="13"/>
  <c r="AD25" i="13"/>
  <c r="AE25" i="13"/>
  <c r="AF25" i="13"/>
  <c r="I86" i="67"/>
  <c r="I1253" i="4"/>
  <c r="I74" i="67"/>
  <c r="AF78" i="67"/>
  <c r="E1351" i="4"/>
  <c r="I1327" i="4"/>
  <c r="I86" i="11"/>
  <c r="T19" i="72" l="1"/>
  <c r="U19" i="72"/>
  <c r="V19" i="72"/>
  <c r="W19" i="72"/>
  <c r="X19" i="72"/>
  <c r="Y19" i="72"/>
  <c r="Z19" i="72"/>
  <c r="AA19" i="72"/>
  <c r="AB19" i="72"/>
  <c r="AC19" i="72"/>
  <c r="AD19" i="72"/>
  <c r="AE19" i="72"/>
  <c r="AF19" i="72"/>
  <c r="S19" i="72"/>
  <c r="L19" i="72"/>
  <c r="M19" i="72"/>
  <c r="N19" i="72"/>
  <c r="O19" i="72"/>
  <c r="P19" i="72"/>
  <c r="Q19" i="72"/>
  <c r="R19" i="72"/>
  <c r="I17" i="66"/>
  <c r="CO1328" i="4"/>
  <c r="CO1305" i="4"/>
  <c r="CO89" i="11"/>
  <c r="CO39" i="66"/>
  <c r="I1254" i="4"/>
  <c r="C17" i="9" s="1"/>
  <c r="M20" i="15" s="1"/>
  <c r="AF89" i="67"/>
  <c r="E1355" i="4"/>
  <c r="E1353" i="4"/>
  <c r="E1354" i="4"/>
  <c r="E1365" i="4" s="1"/>
  <c r="I78" i="67"/>
  <c r="CO27" i="11"/>
  <c r="CO1506" i="4"/>
  <c r="CO1421" i="4"/>
  <c r="CO1385" i="4"/>
  <c r="I78" i="11"/>
  <c r="I19" i="72" l="1"/>
  <c r="I89" i="67"/>
  <c r="J165" i="15"/>
  <c r="K165" i="15"/>
  <c r="L165" i="15"/>
  <c r="M165" i="15"/>
  <c r="I39" i="66"/>
  <c r="CO35" i="66"/>
  <c r="I89" i="11"/>
  <c r="I1305" i="4"/>
  <c r="CO1282" i="4"/>
  <c r="I1328" i="4"/>
  <c r="CO1507" i="4"/>
  <c r="CO1508" i="4" s="1"/>
  <c r="CO1509" i="4"/>
  <c r="E1366" i="4"/>
  <c r="E1367" i="4" s="1"/>
  <c r="E1368" i="4" s="1"/>
  <c r="E1372" i="4" s="1"/>
  <c r="E1356" i="4"/>
  <c r="CO1425" i="4"/>
  <c r="I1421" i="4"/>
  <c r="AF13" i="13"/>
  <c r="CO1388" i="4"/>
  <c r="I1385" i="4"/>
  <c r="T15" i="72" l="1"/>
  <c r="U15" i="72"/>
  <c r="V15" i="72"/>
  <c r="W15" i="72"/>
  <c r="X15" i="72"/>
  <c r="Y15" i="72"/>
  <c r="Z15" i="72"/>
  <c r="AA15" i="72"/>
  <c r="AB15" i="72"/>
  <c r="AC15" i="72"/>
  <c r="AD15" i="72"/>
  <c r="AE15" i="72"/>
  <c r="AF15" i="72"/>
  <c r="L15" i="72"/>
  <c r="M15" i="72"/>
  <c r="N15" i="72"/>
  <c r="O15" i="72"/>
  <c r="P15" i="72"/>
  <c r="Q15" i="72"/>
  <c r="R15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B14" i="72"/>
  <c r="AC14" i="72"/>
  <c r="AD14" i="72"/>
  <c r="AE14" i="72"/>
  <c r="AF14" i="72"/>
  <c r="L14" i="72"/>
  <c r="G165" i="15"/>
  <c r="I35" i="66"/>
  <c r="AF17" i="13"/>
  <c r="AF18" i="13"/>
  <c r="I18" i="13" s="1"/>
  <c r="I13" i="13"/>
  <c r="I1388" i="4"/>
  <c r="CO1389" i="4"/>
  <c r="I1389" i="4" s="1"/>
  <c r="CO1402" i="4"/>
  <c r="CO1403" i="4" s="1"/>
  <c r="E1403" i="4" s="1"/>
  <c r="CO1284" i="4"/>
  <c r="CO1286" i="4" s="1"/>
  <c r="X1448" i="4"/>
  <c r="X1449" i="4" s="1"/>
  <c r="BE1448" i="4"/>
  <c r="BE1449" i="4" s="1"/>
  <c r="AP1448" i="4"/>
  <c r="AP1449" i="4" s="1"/>
  <c r="AV1448" i="4"/>
  <c r="AV1449" i="4" s="1"/>
  <c r="AJ1448" i="4"/>
  <c r="AJ1449" i="4" s="1"/>
  <c r="CM1448" i="4"/>
  <c r="CM1449" i="4" s="1"/>
  <c r="BZ1448" i="4"/>
  <c r="BZ1449" i="4" s="1"/>
  <c r="CB1448" i="4"/>
  <c r="CB1449" i="4" s="1"/>
  <c r="R1448" i="4"/>
  <c r="R1449" i="4" s="1"/>
  <c r="W1448" i="4"/>
  <c r="W1449" i="4" s="1"/>
  <c r="N1448" i="4"/>
  <c r="N1449" i="4" s="1"/>
  <c r="Q1426" i="4"/>
  <c r="Q1427" i="4" s="1"/>
  <c r="Y1426" i="4"/>
  <c r="Y1427" i="4" s="1"/>
  <c r="AG1426" i="4"/>
  <c r="AG1427" i="4" s="1"/>
  <c r="AO1426" i="4"/>
  <c r="AO1427" i="4" s="1"/>
  <c r="AW1426" i="4"/>
  <c r="AW1427" i="4" s="1"/>
  <c r="AQ1426" i="4"/>
  <c r="AQ1427" i="4" s="1"/>
  <c r="AL1448" i="4"/>
  <c r="AL1449" i="4" s="1"/>
  <c r="BQ1448" i="4"/>
  <c r="BQ1449" i="4" s="1"/>
  <c r="AO1448" i="4"/>
  <c r="AO1449" i="4" s="1"/>
  <c r="AT1426" i="4"/>
  <c r="AT1427" i="4" s="1"/>
  <c r="AW1448" i="4"/>
  <c r="AW1449" i="4" s="1"/>
  <c r="AE1426" i="4"/>
  <c r="AE1427" i="4" s="1"/>
  <c r="AZ1448" i="4"/>
  <c r="AZ1449" i="4" s="1"/>
  <c r="CJ1448" i="4"/>
  <c r="CJ1449" i="4" s="1"/>
  <c r="BJ1448" i="4"/>
  <c r="BJ1449" i="4" s="1"/>
  <c r="AD1448" i="4"/>
  <c r="AD1449" i="4" s="1"/>
  <c r="BX1448" i="4"/>
  <c r="BX1449" i="4" s="1"/>
  <c r="BG1448" i="4"/>
  <c r="BG1449" i="4" s="1"/>
  <c r="BW1448" i="4"/>
  <c r="BW1449" i="4" s="1"/>
  <c r="L1448" i="4"/>
  <c r="L1449" i="4" s="1"/>
  <c r="L1450" i="4" s="1"/>
  <c r="AR1448" i="4"/>
  <c r="AR1449" i="4" s="1"/>
  <c r="CN1448" i="4"/>
  <c r="CN1449" i="4" s="1"/>
  <c r="CH1448" i="4"/>
  <c r="CH1449" i="4" s="1"/>
  <c r="R1426" i="4"/>
  <c r="R1427" i="4" s="1"/>
  <c r="Z1426" i="4"/>
  <c r="Z1427" i="4" s="1"/>
  <c r="AH1426" i="4"/>
  <c r="AH1427" i="4" s="1"/>
  <c r="AP1426" i="4"/>
  <c r="AP1427" i="4" s="1"/>
  <c r="AK1426" i="4"/>
  <c r="AK1427" i="4" s="1"/>
  <c r="BR1448" i="4"/>
  <c r="BR1449" i="4" s="1"/>
  <c r="V1426" i="4"/>
  <c r="V1427" i="4" s="1"/>
  <c r="AH1448" i="4"/>
  <c r="AH1449" i="4" s="1"/>
  <c r="AU1426" i="4"/>
  <c r="AU1427" i="4" s="1"/>
  <c r="AM1448" i="4"/>
  <c r="AM1449" i="4" s="1"/>
  <c r="BI1448" i="4"/>
  <c r="BI1449" i="4" s="1"/>
  <c r="BF1448" i="4"/>
  <c r="BF1449" i="4" s="1"/>
  <c r="AN1448" i="4"/>
  <c r="AN1449" i="4" s="1"/>
  <c r="V1448" i="4"/>
  <c r="V1449" i="4" s="1"/>
  <c r="Q1448" i="4"/>
  <c r="Q1449" i="4" s="1"/>
  <c r="BC1448" i="4"/>
  <c r="BC1449" i="4" s="1"/>
  <c r="BS1448" i="4"/>
  <c r="BS1449" i="4" s="1"/>
  <c r="Z1448" i="4"/>
  <c r="Z1449" i="4" s="1"/>
  <c r="BD1448" i="4"/>
  <c r="BD1449" i="4" s="1"/>
  <c r="CC1448" i="4"/>
  <c r="CC1449" i="4" s="1"/>
  <c r="S1426" i="4"/>
  <c r="S1427" i="4" s="1"/>
  <c r="AA1426" i="4"/>
  <c r="AA1427" i="4" s="1"/>
  <c r="AI1426" i="4"/>
  <c r="AI1427" i="4" s="1"/>
  <c r="AS1426" i="4"/>
  <c r="AS1427" i="4" s="1"/>
  <c r="BP1448" i="4"/>
  <c r="BP1449" i="4" s="1"/>
  <c r="AB1448" i="4"/>
  <c r="AB1449" i="4" s="1"/>
  <c r="AL1426" i="4"/>
  <c r="AL1427" i="4" s="1"/>
  <c r="CI1448" i="4"/>
  <c r="CI1449" i="4" s="1"/>
  <c r="O1448" i="4"/>
  <c r="O1449" i="4" s="1"/>
  <c r="P1448" i="4"/>
  <c r="P1449" i="4" s="1"/>
  <c r="I18" i="62"/>
  <c r="I58" i="62" s="1"/>
  <c r="AF1448" i="4"/>
  <c r="AF1449" i="4" s="1"/>
  <c r="BT1448" i="4"/>
  <c r="BT1449" i="4" s="1"/>
  <c r="U1448" i="4"/>
  <c r="U1449" i="4" s="1"/>
  <c r="AE1448" i="4"/>
  <c r="AE1449" i="4" s="1"/>
  <c r="AY1448" i="4"/>
  <c r="AY1449" i="4" s="1"/>
  <c r="AI1448" i="4"/>
  <c r="AI1449" i="4" s="1"/>
  <c r="CA1448" i="4"/>
  <c r="CA1449" i="4" s="1"/>
  <c r="BK1448" i="4"/>
  <c r="BK1449" i="4" s="1"/>
  <c r="AQ1448" i="4"/>
  <c r="AQ1449" i="4" s="1"/>
  <c r="T1426" i="4"/>
  <c r="T1427" i="4" s="1"/>
  <c r="AB1426" i="4"/>
  <c r="AB1427" i="4" s="1"/>
  <c r="AJ1426" i="4"/>
  <c r="AJ1427" i="4" s="1"/>
  <c r="AR1426" i="4"/>
  <c r="AR1427" i="4" s="1"/>
  <c r="CD1448" i="4"/>
  <c r="CD1449" i="4" s="1"/>
  <c r="CE1448" i="4"/>
  <c r="CE1449" i="4" s="1"/>
  <c r="BA1448" i="4"/>
  <c r="BA1449" i="4" s="1"/>
  <c r="CF1448" i="4"/>
  <c r="CF1449" i="4" s="1"/>
  <c r="BO1448" i="4"/>
  <c r="BO1449" i="4" s="1"/>
  <c r="T1448" i="4"/>
  <c r="T1449" i="4" s="1"/>
  <c r="AA1448" i="4"/>
  <c r="AA1449" i="4" s="1"/>
  <c r="AX1448" i="4"/>
  <c r="AX1449" i="4" s="1"/>
  <c r="CG1448" i="4"/>
  <c r="CG1449" i="4" s="1"/>
  <c r="S1448" i="4"/>
  <c r="S1449" i="4" s="1"/>
  <c r="CK1448" i="4"/>
  <c r="CK1449" i="4" s="1"/>
  <c r="AU1448" i="4"/>
  <c r="AU1449" i="4" s="1"/>
  <c r="M1426" i="4"/>
  <c r="M1427" i="4" s="1"/>
  <c r="U1426" i="4"/>
  <c r="U1427" i="4" s="1"/>
  <c r="AC1426" i="4"/>
  <c r="AC1427" i="4" s="1"/>
  <c r="BU1448" i="4"/>
  <c r="BU1449" i="4" s="1"/>
  <c r="E1375" i="4"/>
  <c r="E1378" i="4" s="1"/>
  <c r="AD1426" i="4"/>
  <c r="AD1427" i="4" s="1"/>
  <c r="BM1448" i="4"/>
  <c r="BM1449" i="4" s="1"/>
  <c r="Y1448" i="4"/>
  <c r="Y1449" i="4" s="1"/>
  <c r="AM1426" i="4"/>
  <c r="AM1427" i="4" s="1"/>
  <c r="BL1448" i="4"/>
  <c r="BL1449" i="4" s="1"/>
  <c r="BH1448" i="4"/>
  <c r="BH1449" i="4" s="1"/>
  <c r="W1426" i="4"/>
  <c r="W1427" i="4" s="1"/>
  <c r="AK1448" i="4"/>
  <c r="AK1449" i="4" s="1"/>
  <c r="CO1448" i="4"/>
  <c r="CO1449" i="4" s="1"/>
  <c r="AG1448" i="4"/>
  <c r="AG1449" i="4" s="1"/>
  <c r="AT1448" i="4"/>
  <c r="AT1449" i="4" s="1"/>
  <c r="CL1448" i="4"/>
  <c r="CL1449" i="4" s="1"/>
  <c r="AC1448" i="4"/>
  <c r="AC1449" i="4" s="1"/>
  <c r="BB1448" i="4"/>
  <c r="BB1449" i="4" s="1"/>
  <c r="AS1448" i="4"/>
  <c r="AS1449" i="4" s="1"/>
  <c r="BV1448" i="4"/>
  <c r="BV1449" i="4" s="1"/>
  <c r="BN1448" i="4"/>
  <c r="BN1449" i="4" s="1"/>
  <c r="P1426" i="4"/>
  <c r="P1427" i="4" s="1"/>
  <c r="X1426" i="4"/>
  <c r="X1427" i="4" s="1"/>
  <c r="AF1426" i="4"/>
  <c r="AF1427" i="4" s="1"/>
  <c r="AN1426" i="4"/>
  <c r="AN1427" i="4" s="1"/>
  <c r="AV1426" i="4"/>
  <c r="AV1427" i="4" s="1"/>
  <c r="M1448" i="4"/>
  <c r="M1449" i="4" s="1"/>
  <c r="N1426" i="4"/>
  <c r="N1427" i="4" s="1"/>
  <c r="BY1448" i="4"/>
  <c r="BY1449" i="4" s="1"/>
  <c r="O1426" i="4"/>
  <c r="O1427" i="4" s="1"/>
  <c r="AX1426" i="4"/>
  <c r="AX1427" i="4" s="1"/>
  <c r="AY1426" i="4"/>
  <c r="AY1427" i="4" s="1"/>
  <c r="AZ1426" i="4"/>
  <c r="AZ1427" i="4" s="1"/>
  <c r="BA1426" i="4"/>
  <c r="BA1427" i="4" s="1"/>
  <c r="BB1426" i="4"/>
  <c r="BB1427" i="4" s="1"/>
  <c r="BC1426" i="4"/>
  <c r="BC1427" i="4" s="1"/>
  <c r="BD1426" i="4"/>
  <c r="BD1427" i="4" s="1"/>
  <c r="BE1426" i="4"/>
  <c r="BE1427" i="4" s="1"/>
  <c r="BF1426" i="4"/>
  <c r="BF1427" i="4" s="1"/>
  <c r="BG1426" i="4"/>
  <c r="BG1427" i="4" s="1"/>
  <c r="BH1426" i="4"/>
  <c r="BH1427" i="4" s="1"/>
  <c r="BI1426" i="4"/>
  <c r="BI1427" i="4" s="1"/>
  <c r="BJ1426" i="4"/>
  <c r="BJ1427" i="4" s="1"/>
  <c r="BK1426" i="4"/>
  <c r="BK1427" i="4" s="1"/>
  <c r="BL1426" i="4"/>
  <c r="BL1427" i="4" s="1"/>
  <c r="BM1426" i="4"/>
  <c r="BM1427" i="4" s="1"/>
  <c r="BN1426" i="4"/>
  <c r="BN1427" i="4" s="1"/>
  <c r="BO1426" i="4"/>
  <c r="BO1427" i="4" s="1"/>
  <c r="BP1426" i="4"/>
  <c r="BP1427" i="4" s="1"/>
  <c r="BQ1426" i="4"/>
  <c r="BQ1427" i="4" s="1"/>
  <c r="BR1426" i="4"/>
  <c r="BR1427" i="4" s="1"/>
  <c r="BS1426" i="4"/>
  <c r="BS1427" i="4" s="1"/>
  <c r="BT1426" i="4"/>
  <c r="BT1427" i="4" s="1"/>
  <c r="BU1426" i="4"/>
  <c r="BU1427" i="4" s="1"/>
  <c r="BV1426" i="4"/>
  <c r="BV1427" i="4" s="1"/>
  <c r="BW1426" i="4"/>
  <c r="BW1427" i="4" s="1"/>
  <c r="BX1426" i="4"/>
  <c r="BX1427" i="4" s="1"/>
  <c r="BY1426" i="4"/>
  <c r="BY1427" i="4" s="1"/>
  <c r="BZ1426" i="4"/>
  <c r="BZ1427" i="4" s="1"/>
  <c r="CA1426" i="4"/>
  <c r="CA1427" i="4" s="1"/>
  <c r="CB1426" i="4"/>
  <c r="CB1427" i="4" s="1"/>
  <c r="CC1426" i="4"/>
  <c r="CC1427" i="4" s="1"/>
  <c r="CD1426" i="4"/>
  <c r="CD1427" i="4" s="1"/>
  <c r="CE1426" i="4"/>
  <c r="CE1427" i="4" s="1"/>
  <c r="CF1426" i="4"/>
  <c r="CF1427" i="4" s="1"/>
  <c r="CG1426" i="4"/>
  <c r="CG1427" i="4" s="1"/>
  <c r="CH1426" i="4"/>
  <c r="CH1427" i="4" s="1"/>
  <c r="CI1426" i="4"/>
  <c r="CI1427" i="4" s="1"/>
  <c r="CJ1426" i="4"/>
  <c r="CJ1427" i="4" s="1"/>
  <c r="CK1426" i="4"/>
  <c r="CK1427" i="4" s="1"/>
  <c r="CL1426" i="4"/>
  <c r="CL1427" i="4" s="1"/>
  <c r="CM1426" i="4"/>
  <c r="CM1427" i="4" s="1"/>
  <c r="CN1426" i="4"/>
  <c r="CN1427" i="4" s="1"/>
  <c r="I1425" i="4"/>
  <c r="L1426" i="4" s="1"/>
  <c r="CO1440" i="4"/>
  <c r="CO1441" i="4" s="1"/>
  <c r="E1441" i="4" s="1"/>
  <c r="E1512" i="4" a="1"/>
  <c r="E1512" i="4" s="1"/>
  <c r="E1511" i="4" a="1"/>
  <c r="E1511" i="4" s="1"/>
  <c r="I15" i="72" l="1"/>
  <c r="I14" i="72"/>
  <c r="T1430" i="4"/>
  <c r="M1430" i="4"/>
  <c r="AD1430" i="4"/>
  <c r="AB1430" i="4"/>
  <c r="Z1430" i="4"/>
  <c r="S1430" i="4"/>
  <c r="Q1430" i="4"/>
  <c r="O1430" i="4"/>
  <c r="X1430" i="4"/>
  <c r="V1430" i="4"/>
  <c r="CO1285" i="4"/>
  <c r="AE1430" i="4"/>
  <c r="AC1430" i="4"/>
  <c r="AA1430" i="4"/>
  <c r="P1430" i="4"/>
  <c r="N1430" i="4"/>
  <c r="CO1442" i="4"/>
  <c r="E1442" i="4" s="1"/>
  <c r="E1443" i="4" s="1"/>
  <c r="E1444" i="4" s="1"/>
  <c r="CO1390" i="4"/>
  <c r="W1430" i="4"/>
  <c r="AG69" i="62"/>
  <c r="AG70" i="62" s="1"/>
  <c r="CD69" i="62"/>
  <c r="CD70" i="62" s="1"/>
  <c r="L69" i="62"/>
  <c r="L70" i="62" s="1"/>
  <c r="AT69" i="62"/>
  <c r="AT70" i="62" s="1"/>
  <c r="S69" i="62"/>
  <c r="S70" i="62" s="1"/>
  <c r="AJ69" i="62"/>
  <c r="AJ70" i="62" s="1"/>
  <c r="X69" i="62"/>
  <c r="X70" i="62" s="1"/>
  <c r="T69" i="62"/>
  <c r="T70" i="62" s="1"/>
  <c r="BK69" i="62"/>
  <c r="BK70" i="62" s="1"/>
  <c r="BD69" i="62"/>
  <c r="BD70" i="62" s="1"/>
  <c r="V69" i="62"/>
  <c r="V70" i="62" s="1"/>
  <c r="BJ69" i="62"/>
  <c r="BJ70" i="62" s="1"/>
  <c r="AA69" i="62"/>
  <c r="AA70" i="62" s="1"/>
  <c r="Q69" i="62"/>
  <c r="Q70" i="62" s="1"/>
  <c r="CA69" i="62"/>
  <c r="CA70" i="62" s="1"/>
  <c r="BX69" i="62"/>
  <c r="BX70" i="62" s="1"/>
  <c r="CL69" i="62"/>
  <c r="CL70" i="62" s="1"/>
  <c r="AB69" i="62"/>
  <c r="AB70" i="62" s="1"/>
  <c r="BN69" i="62"/>
  <c r="BN70" i="62" s="1"/>
  <c r="AV69" i="62"/>
  <c r="AV70" i="62" s="1"/>
  <c r="AI69" i="62"/>
  <c r="AI70" i="62" s="1"/>
  <c r="CE69" i="62"/>
  <c r="CE70" i="62" s="1"/>
  <c r="AF69" i="62"/>
  <c r="AF70" i="62" s="1"/>
  <c r="AK69" i="62"/>
  <c r="AK70" i="62" s="1"/>
  <c r="CK69" i="62"/>
  <c r="CK70" i="62" s="1"/>
  <c r="BT69" i="62"/>
  <c r="BT70" i="62" s="1"/>
  <c r="BA69" i="62"/>
  <c r="BA70" i="62" s="1"/>
  <c r="P69" i="62"/>
  <c r="P70" i="62" s="1"/>
  <c r="BR69" i="62"/>
  <c r="BR70" i="62" s="1"/>
  <c r="AX69" i="62"/>
  <c r="AX70" i="62" s="1"/>
  <c r="BI69" i="62"/>
  <c r="BI70" i="62" s="1"/>
  <c r="BY69" i="62"/>
  <c r="BY70" i="62" s="1"/>
  <c r="BH69" i="62"/>
  <c r="BH70" i="62" s="1"/>
  <c r="CN69" i="62"/>
  <c r="CN70" i="62" s="1"/>
  <c r="AO69" i="62"/>
  <c r="AO70" i="62" s="1"/>
  <c r="W69" i="62"/>
  <c r="W70" i="62" s="1"/>
  <c r="BM69" i="62"/>
  <c r="BM70" i="62" s="1"/>
  <c r="AQ69" i="62"/>
  <c r="AQ70" i="62" s="1"/>
  <c r="AP69" i="62"/>
  <c r="AP70" i="62" s="1"/>
  <c r="AD69" i="62"/>
  <c r="AD70" i="62" s="1"/>
  <c r="CO69" i="62"/>
  <c r="CO70" i="62" s="1"/>
  <c r="AU69" i="62"/>
  <c r="AU70" i="62" s="1"/>
  <c r="Z69" i="62"/>
  <c r="Z70" i="62" s="1"/>
  <c r="BQ69" i="62"/>
  <c r="BQ70" i="62" s="1"/>
  <c r="BS69" i="62"/>
  <c r="BS70" i="62" s="1"/>
  <c r="CJ69" i="62"/>
  <c r="CJ70" i="62" s="1"/>
  <c r="AL69" i="62"/>
  <c r="AL70" i="62" s="1"/>
  <c r="AY69" i="62"/>
  <c r="AY70" i="62" s="1"/>
  <c r="CM69" i="62"/>
  <c r="CM70" i="62" s="1"/>
  <c r="M69" i="62"/>
  <c r="M70" i="62" s="1"/>
  <c r="BB69" i="62"/>
  <c r="BB70" i="62" s="1"/>
  <c r="BG69" i="62"/>
  <c r="BG70" i="62" s="1"/>
  <c r="Y69" i="62"/>
  <c r="Y70" i="62" s="1"/>
  <c r="AW69" i="62"/>
  <c r="AW70" i="62" s="1"/>
  <c r="AM69" i="62"/>
  <c r="AM70" i="62" s="1"/>
  <c r="CB69" i="62"/>
  <c r="CB70" i="62" s="1"/>
  <c r="CG69" i="62"/>
  <c r="CG70" i="62" s="1"/>
  <c r="BZ69" i="62"/>
  <c r="BZ70" i="62" s="1"/>
  <c r="AN69" i="62"/>
  <c r="AN70" i="62" s="1"/>
  <c r="BC69" i="62"/>
  <c r="BC70" i="62" s="1"/>
  <c r="AS69" i="62"/>
  <c r="AS70" i="62" s="1"/>
  <c r="O69" i="62"/>
  <c r="O70" i="62" s="1"/>
  <c r="BO69" i="62"/>
  <c r="BO70" i="62" s="1"/>
  <c r="BV69" i="62"/>
  <c r="BV70" i="62" s="1"/>
  <c r="AE69" i="62"/>
  <c r="AE70" i="62" s="1"/>
  <c r="BF69" i="62"/>
  <c r="BF70" i="62" s="1"/>
  <c r="BP69" i="62"/>
  <c r="BP70" i="62" s="1"/>
  <c r="BE69" i="62"/>
  <c r="BE70" i="62" s="1"/>
  <c r="R69" i="62"/>
  <c r="R70" i="62" s="1"/>
  <c r="BU69" i="62"/>
  <c r="BU70" i="62" s="1"/>
  <c r="CC69" i="62"/>
  <c r="CC70" i="62" s="1"/>
  <c r="AR69" i="62"/>
  <c r="AR70" i="62" s="1"/>
  <c r="AC69" i="62"/>
  <c r="AC70" i="62" s="1"/>
  <c r="CF69" i="62"/>
  <c r="CF70" i="62" s="1"/>
  <c r="CH69" i="62"/>
  <c r="CH70" i="62" s="1"/>
  <c r="AH69" i="62"/>
  <c r="AH70" i="62" s="1"/>
  <c r="CI69" i="62"/>
  <c r="CI70" i="62" s="1"/>
  <c r="BL69" i="62"/>
  <c r="BL70" i="62" s="1"/>
  <c r="AZ69" i="62"/>
  <c r="AZ70" i="62" s="1"/>
  <c r="U69" i="62"/>
  <c r="U70" i="62" s="1"/>
  <c r="BW69" i="62"/>
  <c r="BW70" i="62" s="1"/>
  <c r="N69" i="62"/>
  <c r="N70" i="62" s="1"/>
  <c r="Y1430" i="4"/>
  <c r="L1427" i="4"/>
  <c r="R1410" i="4"/>
  <c r="R1411" i="4" s="1"/>
  <c r="V1410" i="4"/>
  <c r="V1411" i="4" s="1"/>
  <c r="CO1410" i="4"/>
  <c r="CO1411" i="4" s="1"/>
  <c r="U1410" i="4"/>
  <c r="U1411" i="4" s="1"/>
  <c r="AJ1410" i="4"/>
  <c r="AJ1411" i="4" s="1"/>
  <c r="AU1410" i="4"/>
  <c r="AU1411" i="4" s="1"/>
  <c r="BI1410" i="4"/>
  <c r="BI1411" i="4" s="1"/>
  <c r="CB1410" i="4"/>
  <c r="CB1411" i="4" s="1"/>
  <c r="Y1410" i="4"/>
  <c r="Y1411" i="4" s="1"/>
  <c r="AX1410" i="4"/>
  <c r="AX1411" i="4" s="1"/>
  <c r="L1395" i="4"/>
  <c r="BU1410" i="4"/>
  <c r="BU1411" i="4" s="1"/>
  <c r="CE1410" i="4"/>
  <c r="CE1411" i="4" s="1"/>
  <c r="BO1410" i="4"/>
  <c r="BO1411" i="4" s="1"/>
  <c r="BA1410" i="4"/>
  <c r="BA1411" i="4" s="1"/>
  <c r="M1395" i="4"/>
  <c r="AZ1410" i="4"/>
  <c r="AZ1411" i="4" s="1"/>
  <c r="BF1410" i="4"/>
  <c r="BF1411" i="4" s="1"/>
  <c r="P1410" i="4"/>
  <c r="P1411" i="4" s="1"/>
  <c r="CH1410" i="4"/>
  <c r="CH1411" i="4" s="1"/>
  <c r="CN1410" i="4"/>
  <c r="CN1411" i="4" s="1"/>
  <c r="AY1410" i="4"/>
  <c r="AY1411" i="4" s="1"/>
  <c r="CC1410" i="4"/>
  <c r="CC1411" i="4" s="1"/>
  <c r="AH1410" i="4"/>
  <c r="AH1411" i="4" s="1"/>
  <c r="S1410" i="4"/>
  <c r="S1411" i="4" s="1"/>
  <c r="BH1410" i="4"/>
  <c r="BH1411" i="4" s="1"/>
  <c r="CM1410" i="4"/>
  <c r="CM1411" i="4" s="1"/>
  <c r="AA1410" i="4"/>
  <c r="AA1411" i="4" s="1"/>
  <c r="BE1410" i="4"/>
  <c r="BE1411" i="4" s="1"/>
  <c r="AO1410" i="4"/>
  <c r="AO1411" i="4" s="1"/>
  <c r="AP1410" i="4"/>
  <c r="AP1411" i="4" s="1"/>
  <c r="W1410" i="4"/>
  <c r="W1411" i="4" s="1"/>
  <c r="N1410" i="4"/>
  <c r="N1411" i="4" s="1"/>
  <c r="BN1410" i="4"/>
  <c r="BN1411" i="4" s="1"/>
  <c r="CJ1410" i="4"/>
  <c r="CJ1411" i="4" s="1"/>
  <c r="BZ1410" i="4"/>
  <c r="BZ1411" i="4" s="1"/>
  <c r="AK1410" i="4"/>
  <c r="AK1411" i="4" s="1"/>
  <c r="X1410" i="4"/>
  <c r="X1411" i="4" s="1"/>
  <c r="BT1410" i="4"/>
  <c r="BT1411" i="4" s="1"/>
  <c r="AS1410" i="4"/>
  <c r="AS1411" i="4" s="1"/>
  <c r="AW1410" i="4"/>
  <c r="AW1411" i="4" s="1"/>
  <c r="Z1410" i="4"/>
  <c r="Z1411" i="4" s="1"/>
  <c r="CD1410" i="4"/>
  <c r="CD1411" i="4" s="1"/>
  <c r="CF1410" i="4"/>
  <c r="CF1411" i="4" s="1"/>
  <c r="CG1410" i="4"/>
  <c r="CG1411" i="4" s="1"/>
  <c r="AI1410" i="4"/>
  <c r="AI1411" i="4" s="1"/>
  <c r="L1410" i="4"/>
  <c r="L1411" i="4" s="1"/>
  <c r="L1412" i="4" s="1"/>
  <c r="BY1410" i="4"/>
  <c r="BY1411" i="4" s="1"/>
  <c r="BP1410" i="4"/>
  <c r="BP1411" i="4" s="1"/>
  <c r="BR1410" i="4"/>
  <c r="BR1411" i="4" s="1"/>
  <c r="AB1410" i="4"/>
  <c r="AB1411" i="4" s="1"/>
  <c r="BV1410" i="4"/>
  <c r="BV1411" i="4" s="1"/>
  <c r="BK1410" i="4"/>
  <c r="BK1411" i="4" s="1"/>
  <c r="BW1410" i="4"/>
  <c r="BW1411" i="4" s="1"/>
  <c r="AN1410" i="4"/>
  <c r="AN1411" i="4" s="1"/>
  <c r="AE1410" i="4"/>
  <c r="AE1411" i="4" s="1"/>
  <c r="CI1410" i="4"/>
  <c r="CI1411" i="4" s="1"/>
  <c r="BC1410" i="4"/>
  <c r="BC1411" i="4" s="1"/>
  <c r="BL1410" i="4"/>
  <c r="BL1411" i="4" s="1"/>
  <c r="AM1410" i="4"/>
  <c r="AM1411" i="4" s="1"/>
  <c r="BJ1410" i="4"/>
  <c r="BJ1411" i="4" s="1"/>
  <c r="BS1410" i="4"/>
  <c r="BS1411" i="4" s="1"/>
  <c r="CK1410" i="4"/>
  <c r="CK1411" i="4" s="1"/>
  <c r="AL1410" i="4"/>
  <c r="AL1411" i="4" s="1"/>
  <c r="BQ1410" i="4"/>
  <c r="BQ1411" i="4" s="1"/>
  <c r="BM1410" i="4"/>
  <c r="BM1411" i="4" s="1"/>
  <c r="BD1410" i="4"/>
  <c r="BD1411" i="4" s="1"/>
  <c r="BG1410" i="4"/>
  <c r="BG1411" i="4" s="1"/>
  <c r="O1410" i="4"/>
  <c r="O1411" i="4" s="1"/>
  <c r="CA1410" i="4"/>
  <c r="CA1411" i="4" s="1"/>
  <c r="AD1410" i="4"/>
  <c r="AD1411" i="4" s="1"/>
  <c r="T1410" i="4"/>
  <c r="T1411" i="4" s="1"/>
  <c r="AG1410" i="4"/>
  <c r="AG1411" i="4" s="1"/>
  <c r="CL1410" i="4"/>
  <c r="CL1411" i="4" s="1"/>
  <c r="AF1410" i="4"/>
  <c r="AF1411" i="4" s="1"/>
  <c r="M1410" i="4"/>
  <c r="M1411" i="4" s="1"/>
  <c r="AT1410" i="4"/>
  <c r="AT1411" i="4" s="1"/>
  <c r="AC1410" i="4"/>
  <c r="AC1411" i="4" s="1"/>
  <c r="BX1410" i="4"/>
  <c r="BX1411" i="4" s="1"/>
  <c r="BB1410" i="4"/>
  <c r="BB1411" i="4" s="1"/>
  <c r="AR1410" i="4"/>
  <c r="AR1411" i="4" s="1"/>
  <c r="Q1410" i="4"/>
  <c r="Q1411" i="4" s="1"/>
  <c r="AV1410" i="4"/>
  <c r="AV1411" i="4" s="1"/>
  <c r="AQ1410" i="4"/>
  <c r="AQ1411" i="4" s="1"/>
  <c r="Q1395" i="4"/>
  <c r="P1395" i="4"/>
  <c r="O1395" i="4"/>
  <c r="T1395" i="4"/>
  <c r="U1395" i="4"/>
  <c r="N1395" i="4"/>
  <c r="R1395" i="4"/>
  <c r="S1395" i="4"/>
  <c r="V1395" i="4"/>
  <c r="M1450" i="4"/>
  <c r="L1451" i="4"/>
  <c r="L1452" i="4" s="1"/>
  <c r="CO1306" i="4"/>
  <c r="CO90" i="11"/>
  <c r="CO48" i="62"/>
  <c r="CO58" i="11"/>
  <c r="CO1329" i="4"/>
  <c r="I1286" i="4"/>
  <c r="AF90" i="67"/>
  <c r="AF58" i="67"/>
  <c r="CO22" i="66"/>
  <c r="AF19" i="13"/>
  <c r="I19" i="13" s="1"/>
  <c r="I17" i="13"/>
  <c r="U1430" i="4"/>
  <c r="R1430" i="4"/>
  <c r="CO1404" i="4"/>
  <c r="E1404" i="4" s="1"/>
  <c r="E1405" i="4" s="1"/>
  <c r="E1406" i="4" s="1"/>
  <c r="I58" i="11" l="1"/>
  <c r="CO59" i="11"/>
  <c r="CO24" i="62"/>
  <c r="I48" i="62"/>
  <c r="I90" i="11"/>
  <c r="CO91" i="11"/>
  <c r="I22" i="66"/>
  <c r="I1306" i="4"/>
  <c r="CO1307" i="4"/>
  <c r="CO1311" i="4" s="1"/>
  <c r="I1390" i="4"/>
  <c r="W1393" i="4"/>
  <c r="X1393" i="4"/>
  <c r="Y1393" i="4"/>
  <c r="Z1393" i="4"/>
  <c r="AC1393" i="4"/>
  <c r="AD1393" i="4"/>
  <c r="AE1393" i="4"/>
  <c r="AF1393" i="4"/>
  <c r="I58" i="67"/>
  <c r="AF59" i="67"/>
  <c r="I59" i="67" s="1"/>
  <c r="G20" i="15"/>
  <c r="G106" i="15"/>
  <c r="I90" i="67"/>
  <c r="AF91" i="67"/>
  <c r="N1450" i="4"/>
  <c r="M1451" i="4"/>
  <c r="M1452" i="4" s="1"/>
  <c r="G14" i="15"/>
  <c r="G100" i="15"/>
  <c r="L1413" i="4"/>
  <c r="M1412" i="4"/>
  <c r="L1430" i="4"/>
  <c r="I1329" i="4"/>
  <c r="I70" i="62"/>
  <c r="I72" i="62" s="1"/>
  <c r="I91" i="11" l="1"/>
  <c r="CO93" i="11"/>
  <c r="CO96" i="11" s="1"/>
  <c r="CO97" i="11" s="1"/>
  <c r="AB1433" i="4"/>
  <c r="AD1433" i="4"/>
  <c r="O1433" i="4"/>
  <c r="P1433" i="4"/>
  <c r="R1433" i="4"/>
  <c r="S1433" i="4"/>
  <c r="AE1433" i="4"/>
  <c r="U1433" i="4"/>
  <c r="W1433" i="4"/>
  <c r="L1433" i="4"/>
  <c r="AC1433" i="4"/>
  <c r="Q1433" i="4"/>
  <c r="Z1433" i="4"/>
  <c r="N1433" i="4"/>
  <c r="V1433" i="4"/>
  <c r="AA1433" i="4"/>
  <c r="M1433" i="4"/>
  <c r="X1433" i="4"/>
  <c r="Y1433" i="4"/>
  <c r="T1433" i="4"/>
  <c r="V1432" i="4"/>
  <c r="R1432" i="4"/>
  <c r="Q1432" i="4"/>
  <c r="S1432" i="4"/>
  <c r="W1432" i="4"/>
  <c r="Z1432" i="4"/>
  <c r="Y1432" i="4"/>
  <c r="O1432" i="4"/>
  <c r="AE1432" i="4"/>
  <c r="U1432" i="4"/>
  <c r="N1432" i="4"/>
  <c r="AD1432" i="4"/>
  <c r="T1432" i="4"/>
  <c r="P1432" i="4"/>
  <c r="M1432" i="4"/>
  <c r="X1432" i="4"/>
  <c r="AA1432" i="4"/>
  <c r="AB1432" i="4"/>
  <c r="AC1432" i="4"/>
  <c r="L1432" i="4"/>
  <c r="L1503" i="4" s="1"/>
  <c r="N1412" i="4"/>
  <c r="M1413" i="4"/>
  <c r="M1414" i="4" s="1"/>
  <c r="AD1396" i="4"/>
  <c r="AE1396" i="4"/>
  <c r="BV1396" i="4"/>
  <c r="W1396" i="4"/>
  <c r="CM1396" i="4"/>
  <c r="CC1396" i="4"/>
  <c r="BP1396" i="4"/>
  <c r="AM1396" i="4"/>
  <c r="AX1396" i="4"/>
  <c r="AR1396" i="4"/>
  <c r="AJ1396" i="4"/>
  <c r="BY1396" i="4"/>
  <c r="BW1396" i="4"/>
  <c r="BK1396" i="4"/>
  <c r="Y1396" i="4"/>
  <c r="BX1396" i="4"/>
  <c r="AY1396" i="4"/>
  <c r="AV1396" i="4"/>
  <c r="AF1396" i="4"/>
  <c r="CA1396" i="4"/>
  <c r="AT1396" i="4"/>
  <c r="CN1396" i="4"/>
  <c r="Z1396" i="4"/>
  <c r="AG1396" i="4"/>
  <c r="AW1396" i="4"/>
  <c r="AL1396" i="4"/>
  <c r="BJ1396" i="4"/>
  <c r="AU1396" i="4"/>
  <c r="AC1396" i="4"/>
  <c r="CB1396" i="4"/>
  <c r="AZ1396" i="4"/>
  <c r="I1393" i="4"/>
  <c r="CF1396" i="4"/>
  <c r="BA1396" i="4"/>
  <c r="X1396" i="4"/>
  <c r="AH1396" i="4"/>
  <c r="AB1396" i="4"/>
  <c r="CJ1396" i="4"/>
  <c r="BI1396" i="4"/>
  <c r="CD1396" i="4"/>
  <c r="BS1396" i="4"/>
  <c r="BO1396" i="4"/>
  <c r="BZ1396" i="4"/>
  <c r="AA1396" i="4"/>
  <c r="BG1396" i="4"/>
  <c r="CG1396" i="4"/>
  <c r="BL1396" i="4"/>
  <c r="BQ1396" i="4"/>
  <c r="CI1396" i="4"/>
  <c r="BM1396" i="4"/>
  <c r="BT1396" i="4"/>
  <c r="CH1396" i="4"/>
  <c r="BU1396" i="4"/>
  <c r="BE1396" i="4"/>
  <c r="AO1396" i="4"/>
  <c r="AN1396" i="4"/>
  <c r="BR1396" i="4"/>
  <c r="AS1396" i="4"/>
  <c r="CE1396" i="4"/>
  <c r="AQ1396" i="4"/>
  <c r="AI1396" i="4"/>
  <c r="BH1396" i="4"/>
  <c r="BC1396" i="4"/>
  <c r="BN1396" i="4"/>
  <c r="AP1396" i="4"/>
  <c r="CO1396" i="4"/>
  <c r="BF1396" i="4"/>
  <c r="CK1396" i="4"/>
  <c r="BB1396" i="4"/>
  <c r="BD1396" i="4"/>
  <c r="CL1396" i="4"/>
  <c r="E1399" i="4"/>
  <c r="AK1396" i="4"/>
  <c r="AY1395" i="4"/>
  <c r="AW1395" i="4"/>
  <c r="AE1395" i="4"/>
  <c r="AL1395" i="4"/>
  <c r="CB1395" i="4"/>
  <c r="AJ1395" i="4"/>
  <c r="AX1395" i="4"/>
  <c r="CI1395" i="4"/>
  <c r="BW1395" i="4"/>
  <c r="AD1395" i="4"/>
  <c r="AI1395" i="4"/>
  <c r="BX1395" i="4"/>
  <c r="BI1395" i="4"/>
  <c r="X1395" i="4"/>
  <c r="BT1395" i="4"/>
  <c r="AT1395" i="4"/>
  <c r="AV1395" i="4"/>
  <c r="BP1395" i="4"/>
  <c r="BE1395" i="4"/>
  <c r="BD1395" i="4"/>
  <c r="BZ1395" i="4"/>
  <c r="BS1395" i="4"/>
  <c r="BC1395" i="4"/>
  <c r="W1395" i="4"/>
  <c r="CM1395" i="4"/>
  <c r="AB1395" i="4"/>
  <c r="CD1395" i="4"/>
  <c r="AK1395" i="4"/>
  <c r="BH1395" i="4"/>
  <c r="AG1395" i="4"/>
  <c r="AR1395" i="4"/>
  <c r="AN1395" i="4"/>
  <c r="BJ1395" i="4"/>
  <c r="BU1395" i="4"/>
  <c r="CJ1395" i="4"/>
  <c r="BO1395" i="4"/>
  <c r="E1398" i="4"/>
  <c r="BY1395" i="4"/>
  <c r="AZ1395" i="4"/>
  <c r="Y1395" i="4"/>
  <c r="Z1395" i="4"/>
  <c r="CG1395" i="4"/>
  <c r="AA1395" i="4"/>
  <c r="AS1395" i="4"/>
  <c r="CC1395" i="4"/>
  <c r="BA1395" i="4"/>
  <c r="AF1395" i="4"/>
  <c r="BL1395" i="4"/>
  <c r="BV1395" i="4"/>
  <c r="BK1395" i="4"/>
  <c r="AU1395" i="4"/>
  <c r="BF1395" i="4"/>
  <c r="CF1395" i="4"/>
  <c r="AO1395" i="4"/>
  <c r="AP1395" i="4"/>
  <c r="CK1395" i="4"/>
  <c r="AH1395" i="4"/>
  <c r="BQ1395" i="4"/>
  <c r="CN1395" i="4"/>
  <c r="BG1395" i="4"/>
  <c r="AQ1395" i="4"/>
  <c r="AC1395" i="4"/>
  <c r="CE1395" i="4"/>
  <c r="CL1395" i="4"/>
  <c r="BM1395" i="4"/>
  <c r="BN1395" i="4"/>
  <c r="AM1395" i="4"/>
  <c r="BB1395" i="4"/>
  <c r="CH1395" i="4"/>
  <c r="BR1395" i="4"/>
  <c r="CO1395" i="4"/>
  <c r="CA1395" i="4"/>
  <c r="L1414" i="4"/>
  <c r="CO26" i="62"/>
  <c r="I26" i="62" s="1"/>
  <c r="I24" i="62"/>
  <c r="O1450" i="4"/>
  <c r="N1451" i="4"/>
  <c r="N1452" i="4" s="1"/>
  <c r="I59" i="11"/>
  <c r="CO28" i="11"/>
  <c r="CO25" i="11" s="1"/>
  <c r="I91" i="67"/>
  <c r="AF93" i="67"/>
  <c r="AF96" i="67" s="1"/>
  <c r="AF97" i="67" s="1"/>
  <c r="G98" i="15" l="1"/>
  <c r="G12" i="15"/>
  <c r="CO1474" i="4"/>
  <c r="CO1469" i="4" s="1"/>
  <c r="CO1475" i="4"/>
  <c r="CO1470" i="4" s="1"/>
  <c r="CO37" i="11"/>
  <c r="O1451" i="4"/>
  <c r="O1452" i="4" s="1"/>
  <c r="P1450" i="4"/>
  <c r="G99" i="15"/>
  <c r="G13" i="15"/>
  <c r="AG95" i="67"/>
  <c r="AG97" i="67" s="1"/>
  <c r="AF99" i="67"/>
  <c r="N1413" i="4"/>
  <c r="O1412" i="4"/>
  <c r="CO1340" i="4"/>
  <c r="CO100" i="11"/>
  <c r="I100" i="11" s="1"/>
  <c r="C9" i="9" s="1"/>
  <c r="CO100" i="67"/>
  <c r="I100" i="67" s="1"/>
  <c r="CO1462" i="4"/>
  <c r="CO1461" i="4" s="1"/>
  <c r="CO101" i="11"/>
  <c r="I101" i="11" s="1"/>
  <c r="C13" i="9" s="1"/>
  <c r="M16" i="15" s="1"/>
  <c r="CO21" i="11"/>
  <c r="CO17" i="11" s="1"/>
  <c r="CO46" i="62"/>
  <c r="I46" i="62" s="1"/>
  <c r="I73" i="62" s="1"/>
  <c r="I74" i="62" s="1"/>
  <c r="CO101" i="67"/>
  <c r="I101" i="67" s="1"/>
  <c r="CO24" i="66"/>
  <c r="CO44" i="66"/>
  <c r="CO1330" i="4"/>
  <c r="CO1426" i="4"/>
  <c r="I24" i="66" l="1"/>
  <c r="CO20" i="66"/>
  <c r="M12" i="15"/>
  <c r="Q1450" i="4"/>
  <c r="P1451" i="4"/>
  <c r="P1452" i="4" s="1"/>
  <c r="CO40" i="66"/>
  <c r="I44" i="66"/>
  <c r="I1340" i="4"/>
  <c r="CO1341" i="4"/>
  <c r="I1341" i="4" s="1"/>
  <c r="O1413" i="4"/>
  <c r="O1414" i="4" s="1"/>
  <c r="P1412" i="4"/>
  <c r="AC25" i="62"/>
  <c r="AC28" i="62" s="1"/>
  <c r="BH25" i="62"/>
  <c r="BH28" i="62" s="1"/>
  <c r="BN25" i="62"/>
  <c r="BN28" i="62" s="1"/>
  <c r="CJ25" i="62"/>
  <c r="CJ28" i="62" s="1"/>
  <c r="CI25" i="62"/>
  <c r="CI28" i="62" s="1"/>
  <c r="BQ25" i="62"/>
  <c r="BQ28" i="62" s="1"/>
  <c r="BU25" i="62"/>
  <c r="BU28" i="62" s="1"/>
  <c r="CN25" i="62"/>
  <c r="CN28" i="62" s="1"/>
  <c r="V25" i="62"/>
  <c r="V28" i="62" s="1"/>
  <c r="BL25" i="62"/>
  <c r="BL28" i="62" s="1"/>
  <c r="BW25" i="62"/>
  <c r="BW28" i="62" s="1"/>
  <c r="AE25" i="62"/>
  <c r="AE28" i="62" s="1"/>
  <c r="AU25" i="62"/>
  <c r="AU28" i="62" s="1"/>
  <c r="T25" i="62"/>
  <c r="T28" i="62" s="1"/>
  <c r="AW25" i="62"/>
  <c r="AW28" i="62" s="1"/>
  <c r="CC25" i="62"/>
  <c r="CC28" i="62" s="1"/>
  <c r="U25" i="62"/>
  <c r="U28" i="62" s="1"/>
  <c r="AP25" i="62"/>
  <c r="AP28" i="62" s="1"/>
  <c r="BF25" i="62"/>
  <c r="BF28" i="62" s="1"/>
  <c r="BA25" i="62"/>
  <c r="BA28" i="62" s="1"/>
  <c r="BD25" i="62"/>
  <c r="BZ25" i="62"/>
  <c r="BZ28" i="62" s="1"/>
  <c r="R25" i="62"/>
  <c r="R28" i="62" s="1"/>
  <c r="AM25" i="62"/>
  <c r="AM28" i="62" s="1"/>
  <c r="AT25" i="62"/>
  <c r="AT28" i="62" s="1"/>
  <c r="CL25" i="62"/>
  <c r="CL28" i="62" s="1"/>
  <c r="BG25" i="62"/>
  <c r="BG28" i="62" s="1"/>
  <c r="BT25" i="62"/>
  <c r="BT28" i="62" s="1"/>
  <c r="W25" i="62"/>
  <c r="W28" i="62" s="1"/>
  <c r="M25" i="62"/>
  <c r="M28" i="62" s="1"/>
  <c r="BV25" i="62"/>
  <c r="BV28" i="62" s="1"/>
  <c r="CE25" i="62"/>
  <c r="CE28" i="62" s="1"/>
  <c r="CH25" i="62"/>
  <c r="CH28" i="62" s="1"/>
  <c r="AF25" i="62"/>
  <c r="AF28" i="62" s="1"/>
  <c r="BJ25" i="62"/>
  <c r="BJ28" i="62" s="1"/>
  <c r="AO25" i="62"/>
  <c r="AO28" i="62" s="1"/>
  <c r="CM25" i="62"/>
  <c r="CM28" i="62" s="1"/>
  <c r="BS25" i="62"/>
  <c r="BS28" i="62" s="1"/>
  <c r="CA25" i="62"/>
  <c r="CA28" i="62" s="1"/>
  <c r="BY25" i="62"/>
  <c r="BY28" i="62" s="1"/>
  <c r="AG25" i="62"/>
  <c r="AG28" i="62" s="1"/>
  <c r="AB25" i="62"/>
  <c r="AB28" i="62" s="1"/>
  <c r="L25" i="62"/>
  <c r="Z25" i="62"/>
  <c r="Z28" i="62" s="1"/>
  <c r="P25" i="62"/>
  <c r="P28" i="62" s="1"/>
  <c r="BO25" i="62"/>
  <c r="BO28" i="62" s="1"/>
  <c r="BC25" i="62"/>
  <c r="BC28" i="62" s="1"/>
  <c r="AK25" i="62"/>
  <c r="AK28" i="62" s="1"/>
  <c r="AH25" i="62"/>
  <c r="AH28" i="62" s="1"/>
  <c r="BP25" i="62"/>
  <c r="BP28" i="62" s="1"/>
  <c r="AJ25" i="62"/>
  <c r="AJ28" i="62" s="1"/>
  <c r="AN25" i="62"/>
  <c r="AN28" i="62" s="1"/>
  <c r="CO25" i="62"/>
  <c r="CO28" i="62" s="1"/>
  <c r="AY25" i="62"/>
  <c r="AY28" i="62" s="1"/>
  <c r="CB25" i="62"/>
  <c r="CB28" i="62" s="1"/>
  <c r="AL25" i="62"/>
  <c r="AL28" i="62" s="1"/>
  <c r="BB25" i="62"/>
  <c r="BB28" i="62" s="1"/>
  <c r="Q25" i="62"/>
  <c r="Q28" i="62" s="1"/>
  <c r="AV25" i="62"/>
  <c r="AV28" i="62" s="1"/>
  <c r="N25" i="62"/>
  <c r="N28" i="62" s="1"/>
  <c r="O25" i="62"/>
  <c r="O28" i="62" s="1"/>
  <c r="BM25" i="62"/>
  <c r="BM28" i="62" s="1"/>
  <c r="AR25" i="62"/>
  <c r="AR28" i="62" s="1"/>
  <c r="CD25" i="62"/>
  <c r="CD28" i="62" s="1"/>
  <c r="AA25" i="62"/>
  <c r="AA28" i="62" s="1"/>
  <c r="Y25" i="62"/>
  <c r="Y28" i="62" s="1"/>
  <c r="BI25" i="62"/>
  <c r="BI28" i="62" s="1"/>
  <c r="AS25" i="62"/>
  <c r="AS28" i="62" s="1"/>
  <c r="BR25" i="62"/>
  <c r="BR28" i="62" s="1"/>
  <c r="BX25" i="62"/>
  <c r="BX28" i="62" s="1"/>
  <c r="AI25" i="62"/>
  <c r="AI28" i="62" s="1"/>
  <c r="CK25" i="62"/>
  <c r="CK28" i="62" s="1"/>
  <c r="BE25" i="62"/>
  <c r="BE28" i="62" s="1"/>
  <c r="AZ25" i="62"/>
  <c r="AZ28" i="62" s="1"/>
  <c r="S25" i="62"/>
  <c r="S28" i="62" s="1"/>
  <c r="X25" i="62"/>
  <c r="X28" i="62" s="1"/>
  <c r="BK25" i="62"/>
  <c r="BK28" i="62" s="1"/>
  <c r="AX25" i="62"/>
  <c r="AX28" i="62" s="1"/>
  <c r="CG25" i="62"/>
  <c r="CG28" i="62" s="1"/>
  <c r="AQ25" i="62"/>
  <c r="AQ28" i="62" s="1"/>
  <c r="AD25" i="62"/>
  <c r="AD28" i="62" s="1"/>
  <c r="CF25" i="62"/>
  <c r="CF28" i="62" s="1"/>
  <c r="CO99" i="11"/>
  <c r="I99" i="11" s="1"/>
  <c r="C12" i="9" s="1"/>
  <c r="M15" i="15" s="1"/>
  <c r="N1414" i="4"/>
  <c r="CO1463" i="4"/>
  <c r="CO1460" i="4" s="1"/>
  <c r="CO23" i="11"/>
  <c r="CO39" i="11" s="1"/>
  <c r="AH95" i="67"/>
  <c r="AH97" i="67" s="1"/>
  <c r="AG99" i="67"/>
  <c r="CO1427" i="4"/>
  <c r="I1426" i="4"/>
  <c r="I1330" i="4"/>
  <c r="CO1331" i="4"/>
  <c r="AD32" i="62" l="1"/>
  <c r="V32" i="62"/>
  <c r="S32" i="62"/>
  <c r="Z32" i="62"/>
  <c r="AA32" i="62"/>
  <c r="AB32" i="62"/>
  <c r="R32" i="62"/>
  <c r="P32" i="62"/>
  <c r="CO40" i="11"/>
  <c r="I40" i="11" s="1"/>
  <c r="C11" i="9" s="1"/>
  <c r="M14" i="15" s="1"/>
  <c r="I39" i="11"/>
  <c r="C10" i="9" s="1"/>
  <c r="U32" i="62"/>
  <c r="R27" i="62"/>
  <c r="R29" i="62" s="1"/>
  <c r="Z27" i="62"/>
  <c r="Z29" i="62" s="1"/>
  <c r="AI27" i="62"/>
  <c r="AI29" i="62" s="1"/>
  <c r="AV27" i="62"/>
  <c r="AV29" i="62" s="1"/>
  <c r="AG27" i="62"/>
  <c r="AG29" i="62" s="1"/>
  <c r="AR27" i="62"/>
  <c r="AR29" i="62" s="1"/>
  <c r="AS27" i="62"/>
  <c r="AS29" i="62" s="1"/>
  <c r="L27" i="62"/>
  <c r="L29" i="62" s="1"/>
  <c r="V27" i="62"/>
  <c r="V29" i="62" s="1"/>
  <c r="AK27" i="62"/>
  <c r="AK29" i="62" s="1"/>
  <c r="AL27" i="62"/>
  <c r="AL29" i="62" s="1"/>
  <c r="W27" i="62"/>
  <c r="W29" i="62" s="1"/>
  <c r="AA27" i="62"/>
  <c r="AA29" i="62" s="1"/>
  <c r="AF27" i="62"/>
  <c r="AF29" i="62" s="1"/>
  <c r="N27" i="62"/>
  <c r="N29" i="62" s="1"/>
  <c r="AQ27" i="62"/>
  <c r="AQ29" i="62" s="1"/>
  <c r="AP27" i="62"/>
  <c r="AP29" i="62" s="1"/>
  <c r="AD27" i="62"/>
  <c r="AD29" i="62" s="1"/>
  <c r="AN27" i="62"/>
  <c r="AN29" i="62" s="1"/>
  <c r="AX27" i="62"/>
  <c r="AX29" i="62" s="1"/>
  <c r="Y27" i="62"/>
  <c r="Y29" i="62" s="1"/>
  <c r="U27" i="62"/>
  <c r="U29" i="62" s="1"/>
  <c r="AJ27" i="62"/>
  <c r="AJ29" i="62" s="1"/>
  <c r="I25" i="62"/>
  <c r="AB27" i="62"/>
  <c r="AB29" i="62" s="1"/>
  <c r="AT27" i="62"/>
  <c r="AT29" i="62" s="1"/>
  <c r="AM27" i="62"/>
  <c r="AM29" i="62" s="1"/>
  <c r="AO27" i="62"/>
  <c r="AO29" i="62" s="1"/>
  <c r="AU27" i="62"/>
  <c r="AU29" i="62" s="1"/>
  <c r="M27" i="62"/>
  <c r="M29" i="62" s="1"/>
  <c r="Q27" i="62"/>
  <c r="Q29" i="62" s="1"/>
  <c r="AE27" i="62"/>
  <c r="AE29" i="62" s="1"/>
  <c r="O27" i="62"/>
  <c r="O29" i="62" s="1"/>
  <c r="X27" i="62"/>
  <c r="X29" i="62" s="1"/>
  <c r="AH27" i="62"/>
  <c r="AH29" i="62" s="1"/>
  <c r="AY27" i="62"/>
  <c r="AY29" i="62" s="1"/>
  <c r="AW27" i="62"/>
  <c r="AW29" i="62" s="1"/>
  <c r="L28" i="62"/>
  <c r="S27" i="62"/>
  <c r="S29" i="62" s="1"/>
  <c r="P27" i="62"/>
  <c r="P29" i="62" s="1"/>
  <c r="T27" i="62"/>
  <c r="T29" i="62" s="1"/>
  <c r="AC27" i="62"/>
  <c r="AC29" i="62" s="1"/>
  <c r="AZ27" i="62"/>
  <c r="AZ29" i="62" s="1"/>
  <c r="BA27" i="62"/>
  <c r="BA29" i="62" s="1"/>
  <c r="BB27" i="62"/>
  <c r="BB29" i="62" s="1"/>
  <c r="BC27" i="62"/>
  <c r="BC29" i="62" s="1"/>
  <c r="BE27" i="62"/>
  <c r="BE29" i="62" s="1"/>
  <c r="BF27" i="62"/>
  <c r="BF29" i="62" s="1"/>
  <c r="BG27" i="62"/>
  <c r="BG29" i="62" s="1"/>
  <c r="BH27" i="62"/>
  <c r="BH29" i="62" s="1"/>
  <c r="BI27" i="62"/>
  <c r="BI29" i="62" s="1"/>
  <c r="BJ27" i="62"/>
  <c r="BJ29" i="62" s="1"/>
  <c r="BK27" i="62"/>
  <c r="BK29" i="62" s="1"/>
  <c r="BL27" i="62"/>
  <c r="BL29" i="62" s="1"/>
  <c r="BM27" i="62"/>
  <c r="BM29" i="62" s="1"/>
  <c r="BN27" i="62"/>
  <c r="BN29" i="62" s="1"/>
  <c r="BO27" i="62"/>
  <c r="BO29" i="62" s="1"/>
  <c r="BP27" i="62"/>
  <c r="BP29" i="62" s="1"/>
  <c r="BQ27" i="62"/>
  <c r="BQ29" i="62" s="1"/>
  <c r="BR27" i="62"/>
  <c r="BR29" i="62" s="1"/>
  <c r="BS27" i="62"/>
  <c r="BS29" i="62" s="1"/>
  <c r="BT27" i="62"/>
  <c r="BT29" i="62" s="1"/>
  <c r="BU27" i="62"/>
  <c r="BU29" i="62" s="1"/>
  <c r="BV27" i="62"/>
  <c r="BV29" i="62" s="1"/>
  <c r="BW27" i="62"/>
  <c r="BW29" i="62" s="1"/>
  <c r="BX27" i="62"/>
  <c r="BX29" i="62" s="1"/>
  <c r="BY27" i="62"/>
  <c r="BY29" i="62" s="1"/>
  <c r="BZ27" i="62"/>
  <c r="BZ29" i="62" s="1"/>
  <c r="CA27" i="62"/>
  <c r="CA29" i="62" s="1"/>
  <c r="CB27" i="62"/>
  <c r="CB29" i="62" s="1"/>
  <c r="CC27" i="62"/>
  <c r="CC29" i="62" s="1"/>
  <c r="CD27" i="62"/>
  <c r="CD29" i="62" s="1"/>
  <c r="CE27" i="62"/>
  <c r="CE29" i="62" s="1"/>
  <c r="CF27" i="62"/>
  <c r="CF29" i="62" s="1"/>
  <c r="CG27" i="62"/>
  <c r="CG29" i="62" s="1"/>
  <c r="CH27" i="62"/>
  <c r="CH29" i="62" s="1"/>
  <c r="CI27" i="62"/>
  <c r="CI29" i="62" s="1"/>
  <c r="CJ27" i="62"/>
  <c r="CJ29" i="62" s="1"/>
  <c r="CK27" i="62"/>
  <c r="CK29" i="62" s="1"/>
  <c r="CL27" i="62"/>
  <c r="CL29" i="62" s="1"/>
  <c r="CM27" i="62"/>
  <c r="CM29" i="62" s="1"/>
  <c r="CN27" i="62"/>
  <c r="CN29" i="62" s="1"/>
  <c r="CO27" i="62"/>
  <c r="CO29" i="62" s="1"/>
  <c r="X32" i="62"/>
  <c r="Q32" i="62"/>
  <c r="Y32" i="62"/>
  <c r="I40" i="66"/>
  <c r="CO46" i="66"/>
  <c r="O32" i="62"/>
  <c r="AI95" i="67"/>
  <c r="AI97" i="67" s="1"/>
  <c r="AH99" i="67"/>
  <c r="AF32" i="62"/>
  <c r="R1450" i="4"/>
  <c r="Q1451" i="4"/>
  <c r="Q1452" i="4" s="1"/>
  <c r="CO1516" i="4"/>
  <c r="CO1517" i="4" s="1"/>
  <c r="CO1473" i="4"/>
  <c r="CO1468" i="4" s="1"/>
  <c r="T32" i="62"/>
  <c r="AC32" i="62"/>
  <c r="Q1412" i="4"/>
  <c r="P1413" i="4"/>
  <c r="N32" i="62"/>
  <c r="AF1430" i="4"/>
  <c r="I1427" i="4"/>
  <c r="CO1343" i="4"/>
  <c r="I1343" i="4" s="1"/>
  <c r="I1331" i="4"/>
  <c r="M32" i="62"/>
  <c r="BD28" i="62"/>
  <c r="W32" i="62" s="1"/>
  <c r="BD27" i="62"/>
  <c r="BD29" i="62" s="1"/>
  <c r="I20" i="66"/>
  <c r="CO26" i="66"/>
  <c r="I26" i="66" s="1"/>
  <c r="AE32" i="62"/>
  <c r="AF33" i="62" l="1"/>
  <c r="O33" i="62"/>
  <c r="AD33" i="62"/>
  <c r="AB33" i="62"/>
  <c r="Z33" i="62"/>
  <c r="X33" i="62"/>
  <c r="W33" i="62"/>
  <c r="M33" i="62"/>
  <c r="AE33" i="62"/>
  <c r="AC33" i="62"/>
  <c r="AA33" i="62"/>
  <c r="R1412" i="4"/>
  <c r="Q1413" i="4"/>
  <c r="Q1414" i="4" s="1"/>
  <c r="V33" i="62"/>
  <c r="U33" i="62"/>
  <c r="S33" i="62"/>
  <c r="N33" i="62"/>
  <c r="E1520" i="4" a="1"/>
  <c r="E1520" i="4" s="1"/>
  <c r="E1519" i="4" a="1"/>
  <c r="E1519" i="4" s="1"/>
  <c r="CO48" i="66"/>
  <c r="I48" i="66" s="1"/>
  <c r="C14" i="9" s="1"/>
  <c r="M17" i="15" s="1"/>
  <c r="I46" i="66"/>
  <c r="P33" i="62"/>
  <c r="AI99" i="67"/>
  <c r="AJ95" i="67"/>
  <c r="AJ97" i="67" s="1"/>
  <c r="AJ99" i="67" s="1"/>
  <c r="BW1433" i="4"/>
  <c r="AS1433" i="4"/>
  <c r="AQ1433" i="4"/>
  <c r="AG1433" i="4"/>
  <c r="BU1433" i="4"/>
  <c r="CI1433" i="4"/>
  <c r="AL1433" i="4"/>
  <c r="CE1433" i="4"/>
  <c r="AZ1432" i="4"/>
  <c r="BV1432" i="4"/>
  <c r="BS1432" i="4"/>
  <c r="AG1432" i="4"/>
  <c r="BT1432" i="4"/>
  <c r="BH1432" i="4"/>
  <c r="BP1432" i="4"/>
  <c r="CL1432" i="4"/>
  <c r="AU1433" i="4"/>
  <c r="CO1433" i="4"/>
  <c r="BP1433" i="4"/>
  <c r="CM1433" i="4"/>
  <c r="AT1433" i="4"/>
  <c r="AV1433" i="4"/>
  <c r="BH1433" i="4"/>
  <c r="CJ1433" i="4"/>
  <c r="CD1432" i="4"/>
  <c r="BK1432" i="4"/>
  <c r="BU1432" i="4"/>
  <c r="CG1432" i="4"/>
  <c r="CJ1432" i="4"/>
  <c r="BL1432" i="4"/>
  <c r="BI1432" i="4"/>
  <c r="BZ1433" i="4"/>
  <c r="BL1433" i="4"/>
  <c r="BI1433" i="4"/>
  <c r="AK1433" i="4"/>
  <c r="BY1433" i="4"/>
  <c r="BK1433" i="4"/>
  <c r="CL1433" i="4"/>
  <c r="AI1433" i="4"/>
  <c r="AO1432" i="4"/>
  <c r="BR1432" i="4"/>
  <c r="AW1432" i="4"/>
  <c r="BM1432" i="4"/>
  <c r="AP1432" i="4"/>
  <c r="BN1432" i="4"/>
  <c r="BX1432" i="4"/>
  <c r="BG1433" i="4"/>
  <c r="CC1433" i="4"/>
  <c r="CK1433" i="4"/>
  <c r="AO1433" i="4"/>
  <c r="BD1433" i="4"/>
  <c r="CH1433" i="4"/>
  <c r="AZ1433" i="4"/>
  <c r="BO1433" i="4"/>
  <c r="BZ1432" i="4"/>
  <c r="BB1432" i="4"/>
  <c r="AL1432" i="4"/>
  <c r="BF1432" i="4"/>
  <c r="AK1432" i="4"/>
  <c r="AT1432" i="4"/>
  <c r="CC1432" i="4"/>
  <c r="CA1432" i="4"/>
  <c r="CF1433" i="4"/>
  <c r="BM1433" i="4"/>
  <c r="CD1433" i="4"/>
  <c r="BR1433" i="4"/>
  <c r="AY1433" i="4"/>
  <c r="AW1433" i="4"/>
  <c r="BB1433" i="4"/>
  <c r="I1430" i="4"/>
  <c r="AM1432" i="4"/>
  <c r="AS1432" i="4"/>
  <c r="AU1432" i="4"/>
  <c r="AX1432" i="4"/>
  <c r="BG1432" i="4"/>
  <c r="BD1432" i="4"/>
  <c r="AH1432" i="4"/>
  <c r="CM1432" i="4"/>
  <c r="BJ1433" i="4"/>
  <c r="BX1433" i="4"/>
  <c r="BN1433" i="4"/>
  <c r="AN1433" i="4"/>
  <c r="BE1433" i="4"/>
  <c r="BV1433" i="4"/>
  <c r="BS1433" i="4"/>
  <c r="AM1433" i="4"/>
  <c r="BA1432" i="4"/>
  <c r="BE1432" i="4"/>
  <c r="AV1432" i="4"/>
  <c r="BC1432" i="4"/>
  <c r="CI1432" i="4"/>
  <c r="AJ1432" i="4"/>
  <c r="BO1432" i="4"/>
  <c r="CB1432" i="4"/>
  <c r="BA1433" i="4"/>
  <c r="BT1433" i="4"/>
  <c r="BF1433" i="4"/>
  <c r="AH1433" i="4"/>
  <c r="AJ1433" i="4"/>
  <c r="E1437" i="4"/>
  <c r="AP1433" i="4"/>
  <c r="BQ1433" i="4"/>
  <c r="E1436" i="4"/>
  <c r="BQ1432" i="4"/>
  <c r="CK1432" i="4"/>
  <c r="CE1432" i="4"/>
  <c r="AQ1432" i="4"/>
  <c r="AR1432" i="4"/>
  <c r="BY1432" i="4"/>
  <c r="CH1432" i="4"/>
  <c r="CO1432" i="4"/>
  <c r="CN1433" i="4"/>
  <c r="AF1433" i="4"/>
  <c r="AR1433" i="4"/>
  <c r="CG1433" i="4"/>
  <c r="AX1433" i="4"/>
  <c r="BC1433" i="4"/>
  <c r="CA1433" i="4"/>
  <c r="CB1433" i="4"/>
  <c r="AY1432" i="4"/>
  <c r="CF1432" i="4"/>
  <c r="AN1432" i="4"/>
  <c r="AF1432" i="4"/>
  <c r="CN1432" i="4"/>
  <c r="AI1432" i="4"/>
  <c r="BW1432" i="4"/>
  <c r="BJ1432" i="4"/>
  <c r="L33" i="62"/>
  <c r="I29" i="62"/>
  <c r="I27" i="62"/>
  <c r="Y33" i="62"/>
  <c r="I28" i="62"/>
  <c r="L32" i="62"/>
  <c r="R33" i="62"/>
  <c r="M13" i="15"/>
  <c r="P1414" i="4"/>
  <c r="S1450" i="4"/>
  <c r="R1451" i="4"/>
  <c r="Q33" i="62"/>
  <c r="T33" i="62"/>
  <c r="C19" i="9" l="1"/>
  <c r="M21" i="15" s="1"/>
  <c r="I99" i="67"/>
  <c r="I33" i="62"/>
  <c r="I36" i="62"/>
  <c r="S1451" i="4"/>
  <c r="S1452" i="4" s="1"/>
  <c r="T1450" i="4"/>
  <c r="G104" i="15"/>
  <c r="G18" i="15"/>
  <c r="I35" i="62"/>
  <c r="I32" i="62"/>
  <c r="R1452" i="4"/>
  <c r="G19" i="15"/>
  <c r="G105" i="15"/>
  <c r="R1413" i="4"/>
  <c r="S1412" i="4"/>
  <c r="G5" i="15" l="1"/>
  <c r="E4" i="64"/>
  <c r="E4" i="62"/>
  <c r="E4" i="67"/>
  <c r="E4" i="4"/>
  <c r="E4" i="72"/>
  <c r="E4" i="11"/>
  <c r="G28" i="2"/>
  <c r="E4" i="3"/>
  <c r="E4" i="13"/>
  <c r="E4" i="66"/>
  <c r="R1414" i="4"/>
  <c r="T1451" i="4"/>
  <c r="U1450" i="4"/>
  <c r="T1412" i="4"/>
  <c r="S1413" i="4"/>
  <c r="S1414" i="4" s="1"/>
  <c r="U1451" i="4" l="1"/>
  <c r="U1452" i="4" s="1"/>
  <c r="V1450" i="4"/>
  <c r="T1452" i="4"/>
  <c r="U1412" i="4"/>
  <c r="T1413" i="4"/>
  <c r="T1414" i="4" s="1"/>
  <c r="V1412" i="4" l="1"/>
  <c r="U1413" i="4"/>
  <c r="U1414" i="4" s="1"/>
  <c r="W1450" i="4"/>
  <c r="V1451" i="4"/>
  <c r="V1452" i="4" l="1"/>
  <c r="X1450" i="4"/>
  <c r="W1451" i="4"/>
  <c r="W1452" i="4" s="1"/>
  <c r="V1413" i="4"/>
  <c r="V1414" i="4" s="1"/>
  <c r="W1412" i="4"/>
  <c r="X1412" i="4" l="1"/>
  <c r="W1413" i="4"/>
  <c r="W1414" i="4" s="1"/>
  <c r="X1451" i="4"/>
  <c r="X1452" i="4" s="1"/>
  <c r="Y1450" i="4"/>
  <c r="Z1450" i="4" l="1"/>
  <c r="Y1451" i="4"/>
  <c r="Y1412" i="4"/>
  <c r="X1413" i="4"/>
  <c r="X1414" i="4" s="1"/>
  <c r="Z1412" i="4" l="1"/>
  <c r="Y1413" i="4"/>
  <c r="Y1414" i="4" s="1"/>
  <c r="Y1452" i="4"/>
  <c r="AA1450" i="4"/>
  <c r="Z1451" i="4"/>
  <c r="Z1452" i="4" s="1"/>
  <c r="AB1450" i="4" l="1"/>
  <c r="AA1451" i="4"/>
  <c r="AA1452" i="4" s="1"/>
  <c r="AA1412" i="4"/>
  <c r="Z1413" i="4"/>
  <c r="Z1414" i="4" s="1"/>
  <c r="AB1412" i="4" l="1"/>
  <c r="AA1413" i="4"/>
  <c r="AA1414" i="4" s="1"/>
  <c r="AB1451" i="4"/>
  <c r="AB1452" i="4" s="1"/>
  <c r="AC1450" i="4"/>
  <c r="AD1450" i="4" l="1"/>
  <c r="AC1451" i="4"/>
  <c r="AC1452" i="4" s="1"/>
  <c r="AC1412" i="4"/>
  <c r="AB1413" i="4"/>
  <c r="AB1414" i="4" s="1"/>
  <c r="AC1413" i="4" l="1"/>
  <c r="AC1414" i="4" s="1"/>
  <c r="AD1412" i="4"/>
  <c r="AE1450" i="4"/>
  <c r="AD1451" i="4"/>
  <c r="AD1452" i="4" s="1"/>
  <c r="AE1451" i="4" l="1"/>
  <c r="AE1452" i="4" s="1"/>
  <c r="AF1450" i="4"/>
  <c r="AD1413" i="4"/>
  <c r="AD1414" i="4" s="1"/>
  <c r="AE1412" i="4"/>
  <c r="AF1451" i="4" l="1"/>
  <c r="AF1452" i="4" s="1"/>
  <c r="AG1450" i="4"/>
  <c r="AF1412" i="4"/>
  <c r="AE1413" i="4"/>
  <c r="AE1414" i="4" s="1"/>
  <c r="AG1451" i="4" l="1"/>
  <c r="AG1452" i="4" s="1"/>
  <c r="AH1450" i="4"/>
  <c r="AG1412" i="4"/>
  <c r="AF1413" i="4"/>
  <c r="AF1414" i="4" s="1"/>
  <c r="AH1451" i="4" l="1"/>
  <c r="AH1452" i="4" s="1"/>
  <c r="AI1450" i="4"/>
  <c r="AG1413" i="4"/>
  <c r="AG1414" i="4" s="1"/>
  <c r="AH1412" i="4"/>
  <c r="AH1413" i="4" l="1"/>
  <c r="AH1414" i="4" s="1"/>
  <c r="AI1412" i="4"/>
  <c r="AI1451" i="4"/>
  <c r="AI1452" i="4" s="1"/>
  <c r="AJ1450" i="4"/>
  <c r="AJ1451" i="4" l="1"/>
  <c r="AJ1452" i="4" s="1"/>
  <c r="AK1450" i="4"/>
  <c r="AI1413" i="4"/>
  <c r="AI1414" i="4" s="1"/>
  <c r="AJ1412" i="4"/>
  <c r="AK1412" i="4" l="1"/>
  <c r="AJ1413" i="4"/>
  <c r="AJ1414" i="4" s="1"/>
  <c r="AL1450" i="4"/>
  <c r="AK1451" i="4"/>
  <c r="AK1452" i="4" s="1"/>
  <c r="AL1451" i="4" l="1"/>
  <c r="AL1452" i="4" s="1"/>
  <c r="AM1450" i="4"/>
  <c r="AL1412" i="4"/>
  <c r="AK1413" i="4"/>
  <c r="AK1414" i="4" s="1"/>
  <c r="AN1450" i="4" l="1"/>
  <c r="AM1451" i="4"/>
  <c r="AM1452" i="4" s="1"/>
  <c r="AM1412" i="4"/>
  <c r="AL1413" i="4"/>
  <c r="AL1414" i="4" s="1"/>
  <c r="AN1412" i="4" l="1"/>
  <c r="AM1413" i="4"/>
  <c r="AM1414" i="4" s="1"/>
  <c r="AO1450" i="4"/>
  <c r="AN1451" i="4"/>
  <c r="AN1452" i="4" s="1"/>
  <c r="AP1450" i="4" l="1"/>
  <c r="AO1451" i="4"/>
  <c r="AO1452" i="4" s="1"/>
  <c r="AO1412" i="4"/>
  <c r="AN1413" i="4"/>
  <c r="AN1414" i="4" s="1"/>
  <c r="AP1412" i="4" l="1"/>
  <c r="AO1413" i="4"/>
  <c r="AO1414" i="4" s="1"/>
  <c r="AQ1450" i="4"/>
  <c r="AP1451" i="4"/>
  <c r="AP1452" i="4" s="1"/>
  <c r="AQ1451" i="4" l="1"/>
  <c r="AQ1452" i="4" s="1"/>
  <c r="AR1450" i="4"/>
  <c r="AQ1412" i="4"/>
  <c r="AP1413" i="4"/>
  <c r="AP1414" i="4" s="1"/>
  <c r="AQ1413" i="4" l="1"/>
  <c r="AQ1414" i="4" s="1"/>
  <c r="AR1412" i="4"/>
  <c r="AR1451" i="4"/>
  <c r="AR1452" i="4" s="1"/>
  <c r="AS1450" i="4"/>
  <c r="AT1450" i="4" l="1"/>
  <c r="AS1451" i="4"/>
  <c r="AS1452" i="4" s="1"/>
  <c r="AR1413" i="4"/>
  <c r="AR1414" i="4" s="1"/>
  <c r="AS1412" i="4"/>
  <c r="AT1412" i="4" l="1"/>
  <c r="AS1413" i="4"/>
  <c r="AS1414" i="4" s="1"/>
  <c r="AU1450" i="4"/>
  <c r="AT1451" i="4"/>
  <c r="AT1452" i="4" s="1"/>
  <c r="AV1450" i="4" l="1"/>
  <c r="AU1451" i="4"/>
  <c r="AU1452" i="4" s="1"/>
  <c r="AT1413" i="4"/>
  <c r="AT1414" i="4" s="1"/>
  <c r="AU1412" i="4"/>
  <c r="AV1412" i="4" l="1"/>
  <c r="AU1413" i="4"/>
  <c r="AU1414" i="4" s="1"/>
  <c r="AW1450" i="4"/>
  <c r="AV1451" i="4"/>
  <c r="AV1452" i="4" s="1"/>
  <c r="AX1450" i="4" l="1"/>
  <c r="AW1451" i="4"/>
  <c r="AW1452" i="4" s="1"/>
  <c r="AW1412" i="4"/>
  <c r="AV1413" i="4"/>
  <c r="AV1414" i="4" s="1"/>
  <c r="AX1412" i="4" l="1"/>
  <c r="AW1413" i="4"/>
  <c r="AW1414" i="4" s="1"/>
  <c r="AY1450" i="4"/>
  <c r="AX1451" i="4"/>
  <c r="AX1452" i="4" s="1"/>
  <c r="AY1451" i="4" l="1"/>
  <c r="AY1452" i="4" s="1"/>
  <c r="AZ1450" i="4"/>
  <c r="AX1413" i="4"/>
  <c r="AX1414" i="4" s="1"/>
  <c r="AY1412" i="4"/>
  <c r="AY1413" i="4" l="1"/>
  <c r="AY1414" i="4" s="1"/>
  <c r="AZ1412" i="4"/>
  <c r="AZ1451" i="4"/>
  <c r="AZ1452" i="4" s="1"/>
  <c r="BA1450" i="4"/>
  <c r="BB1450" i="4" l="1"/>
  <c r="BA1451" i="4"/>
  <c r="BA1452" i="4" s="1"/>
  <c r="BA1412" i="4"/>
  <c r="AZ1413" i="4"/>
  <c r="AZ1414" i="4" s="1"/>
  <c r="BB1412" i="4" l="1"/>
  <c r="BA1413" i="4"/>
  <c r="BA1414" i="4" s="1"/>
  <c r="BB1451" i="4"/>
  <c r="BB1452" i="4" s="1"/>
  <c r="BC1450" i="4"/>
  <c r="BD1450" i="4" l="1"/>
  <c r="BC1451" i="4"/>
  <c r="BC1452" i="4" s="1"/>
  <c r="BB1413" i="4"/>
  <c r="BB1414" i="4" s="1"/>
  <c r="BC1412" i="4"/>
  <c r="BC1413" i="4" l="1"/>
  <c r="BC1414" i="4" s="1"/>
  <c r="BD1412" i="4"/>
  <c r="BE1450" i="4"/>
  <c r="BD1451" i="4"/>
  <c r="BD1452" i="4" s="1"/>
  <c r="BE1451" i="4" l="1"/>
  <c r="BE1452" i="4" s="1"/>
  <c r="BF1450" i="4"/>
  <c r="BE1412" i="4"/>
  <c r="BD1413" i="4"/>
  <c r="BD1414" i="4" s="1"/>
  <c r="BE1413" i="4" l="1"/>
  <c r="BE1414" i="4" s="1"/>
  <c r="BF1412" i="4"/>
  <c r="BF1451" i="4"/>
  <c r="BF1452" i="4" s="1"/>
  <c r="BG1450" i="4"/>
  <c r="BH1450" i="4" l="1"/>
  <c r="BG1451" i="4"/>
  <c r="BG1452" i="4" s="1"/>
  <c r="BF1413" i="4"/>
  <c r="BF1414" i="4" s="1"/>
  <c r="BG1412" i="4"/>
  <c r="BH1412" i="4" l="1"/>
  <c r="BG1413" i="4"/>
  <c r="BG1414" i="4" s="1"/>
  <c r="BI1450" i="4"/>
  <c r="BH1451" i="4"/>
  <c r="BH1452" i="4" s="1"/>
  <c r="BJ1450" i="4" l="1"/>
  <c r="BI1451" i="4"/>
  <c r="BI1452" i="4" s="1"/>
  <c r="BH1413" i="4"/>
  <c r="BH1414" i="4" s="1"/>
  <c r="BI1412" i="4"/>
  <c r="BI1413" i="4" l="1"/>
  <c r="BI1414" i="4" s="1"/>
  <c r="BJ1412" i="4"/>
  <c r="BJ1451" i="4"/>
  <c r="BJ1452" i="4" s="1"/>
  <c r="BK1450" i="4"/>
  <c r="BK1451" i="4" l="1"/>
  <c r="BK1452" i="4" s="1"/>
  <c r="BL1450" i="4"/>
  <c r="BJ1413" i="4"/>
  <c r="BJ1414" i="4" s="1"/>
  <c r="BK1412" i="4"/>
  <c r="BK1413" i="4" l="1"/>
  <c r="BK1414" i="4" s="1"/>
  <c r="BL1412" i="4"/>
  <c r="BM1450" i="4"/>
  <c r="BL1451" i="4"/>
  <c r="BL1452" i="4" s="1"/>
  <c r="BM1451" i="4" l="1"/>
  <c r="BM1452" i="4" s="1"/>
  <c r="BN1450" i="4"/>
  <c r="BL1413" i="4"/>
  <c r="BL1414" i="4" s="1"/>
  <c r="BM1412" i="4"/>
  <c r="BN1412" i="4" l="1"/>
  <c r="BM1413" i="4"/>
  <c r="BM1414" i="4" s="1"/>
  <c r="BN1451" i="4"/>
  <c r="BN1452" i="4" s="1"/>
  <c r="BO1450" i="4"/>
  <c r="BP1450" i="4" l="1"/>
  <c r="BO1451" i="4"/>
  <c r="BO1452" i="4" s="1"/>
  <c r="BO1412" i="4"/>
  <c r="BN1413" i="4"/>
  <c r="BN1414" i="4" s="1"/>
  <c r="BO1413" i="4" l="1"/>
  <c r="BO1414" i="4" s="1"/>
  <c r="BP1412" i="4"/>
  <c r="BQ1450" i="4"/>
  <c r="BP1451" i="4"/>
  <c r="BP1452" i="4" s="1"/>
  <c r="BR1450" i="4" l="1"/>
  <c r="BQ1451" i="4"/>
  <c r="BQ1452" i="4" s="1"/>
  <c r="BP1413" i="4"/>
  <c r="BP1414" i="4" s="1"/>
  <c r="BQ1412" i="4"/>
  <c r="BQ1413" i="4" l="1"/>
  <c r="BQ1414" i="4" s="1"/>
  <c r="BR1412" i="4"/>
  <c r="BR1451" i="4"/>
  <c r="BR1452" i="4" s="1"/>
  <c r="BS1450" i="4"/>
  <c r="BR1413" i="4" l="1"/>
  <c r="BR1414" i="4" s="1"/>
  <c r="BS1412" i="4"/>
  <c r="BT1450" i="4"/>
  <c r="BS1451" i="4"/>
  <c r="BS1452" i="4" s="1"/>
  <c r="BU1450" i="4" l="1"/>
  <c r="BT1451" i="4"/>
  <c r="BT1452" i="4" s="1"/>
  <c r="BT1412" i="4"/>
  <c r="BS1413" i="4"/>
  <c r="BS1414" i="4" s="1"/>
  <c r="BU1412" i="4" l="1"/>
  <c r="BT1413" i="4"/>
  <c r="BT1414" i="4" s="1"/>
  <c r="BU1451" i="4"/>
  <c r="BU1452" i="4" s="1"/>
  <c r="BV1450" i="4"/>
  <c r="BV1451" i="4" l="1"/>
  <c r="BV1452" i="4" s="1"/>
  <c r="BW1450" i="4"/>
  <c r="BU1413" i="4"/>
  <c r="BU1414" i="4" s="1"/>
  <c r="BV1412" i="4"/>
  <c r="BX1450" i="4" l="1"/>
  <c r="BW1451" i="4"/>
  <c r="BW1452" i="4" s="1"/>
  <c r="BW1412" i="4"/>
  <c r="BV1413" i="4"/>
  <c r="BV1414" i="4" s="1"/>
  <c r="BW1413" i="4" l="1"/>
  <c r="BW1414" i="4" s="1"/>
  <c r="BX1412" i="4"/>
  <c r="BY1450" i="4"/>
  <c r="BX1451" i="4"/>
  <c r="BX1452" i="4" s="1"/>
  <c r="BZ1450" i="4" l="1"/>
  <c r="BY1451" i="4"/>
  <c r="BY1452" i="4" s="1"/>
  <c r="BY1412" i="4"/>
  <c r="BX1413" i="4"/>
  <c r="BX1414" i="4" s="1"/>
  <c r="BZ1412" i="4" l="1"/>
  <c r="BY1413" i="4"/>
  <c r="BY1414" i="4" s="1"/>
  <c r="BZ1451" i="4"/>
  <c r="BZ1452" i="4" s="1"/>
  <c r="CA1450" i="4"/>
  <c r="CB1450" i="4" l="1"/>
  <c r="CA1451" i="4"/>
  <c r="CA1452" i="4" s="1"/>
  <c r="CA1412" i="4"/>
  <c r="BZ1413" i="4"/>
  <c r="BZ1414" i="4" s="1"/>
  <c r="CA1413" i="4" l="1"/>
  <c r="CA1414" i="4" s="1"/>
  <c r="CB1412" i="4"/>
  <c r="CB1451" i="4"/>
  <c r="CB1452" i="4" s="1"/>
  <c r="CC1450" i="4"/>
  <c r="CD1450" i="4" l="1"/>
  <c r="CC1451" i="4"/>
  <c r="CC1452" i="4" s="1"/>
  <c r="CC1412" i="4"/>
  <c r="CB1413" i="4"/>
  <c r="CB1414" i="4" s="1"/>
  <c r="CD1412" i="4" l="1"/>
  <c r="CC1413" i="4"/>
  <c r="CC1414" i="4" s="1"/>
  <c r="CE1450" i="4"/>
  <c r="CD1451" i="4"/>
  <c r="CD1452" i="4" s="1"/>
  <c r="CF1450" i="4" l="1"/>
  <c r="CE1451" i="4"/>
  <c r="CE1452" i="4" s="1"/>
  <c r="CD1413" i="4"/>
  <c r="CD1414" i="4" s="1"/>
  <c r="CE1412" i="4"/>
  <c r="CE1413" i="4" l="1"/>
  <c r="CE1414" i="4" s="1"/>
  <c r="CF1412" i="4"/>
  <c r="CG1450" i="4"/>
  <c r="CF1451" i="4"/>
  <c r="CF1452" i="4" s="1"/>
  <c r="CH1450" i="4" l="1"/>
  <c r="CG1451" i="4"/>
  <c r="CG1452" i="4" s="1"/>
  <c r="CF1413" i="4"/>
  <c r="CF1414" i="4" s="1"/>
  <c r="CG1412" i="4"/>
  <c r="CG1413" i="4" l="1"/>
  <c r="CG1414" i="4" s="1"/>
  <c r="CH1412" i="4"/>
  <c r="CH1451" i="4"/>
  <c r="CH1452" i="4" s="1"/>
  <c r="CI1450" i="4"/>
  <c r="CH1413" i="4" l="1"/>
  <c r="CH1414" i="4" s="1"/>
  <c r="CI1412" i="4"/>
  <c r="CI1451" i="4"/>
  <c r="CI1452" i="4" s="1"/>
  <c r="CJ1450" i="4"/>
  <c r="CK1450" i="4" l="1"/>
  <c r="CJ1451" i="4"/>
  <c r="CJ1452" i="4" s="1"/>
  <c r="CI1413" i="4"/>
  <c r="CI1414" i="4" s="1"/>
  <c r="CJ1412" i="4"/>
  <c r="CJ1413" i="4" l="1"/>
  <c r="CJ1414" i="4" s="1"/>
  <c r="CK1412" i="4"/>
  <c r="CL1450" i="4"/>
  <c r="CK1451" i="4"/>
  <c r="CK1452" i="4" s="1"/>
  <c r="CM1450" i="4" l="1"/>
  <c r="CL1451" i="4"/>
  <c r="CL1452" i="4" s="1"/>
  <c r="CK1413" i="4"/>
  <c r="CK1414" i="4" s="1"/>
  <c r="CL1412" i="4"/>
  <c r="CM1412" i="4" l="1"/>
  <c r="CL1413" i="4"/>
  <c r="CL1414" i="4" s="1"/>
  <c r="CM1451" i="4"/>
  <c r="CM1452" i="4" s="1"/>
  <c r="CN1450" i="4"/>
  <c r="CO1450" i="4" l="1"/>
  <c r="CN1451" i="4"/>
  <c r="CN1452" i="4" s="1"/>
  <c r="CN1412" i="4"/>
  <c r="CM1413" i="4"/>
  <c r="CM1414" i="4" s="1"/>
  <c r="CN1413" i="4" l="1"/>
  <c r="CN1414" i="4" s="1"/>
  <c r="CO1412" i="4"/>
  <c r="CO1451" i="4"/>
  <c r="CO1413" i="4" l="1"/>
  <c r="E1413" i="4" s="1"/>
  <c r="E1451" i="4"/>
  <c r="CO1452" i="4"/>
  <c r="E1452" i="4" s="1"/>
  <c r="E1453" i="4" s="1"/>
  <c r="E1454" i="4" s="1"/>
  <c r="CO1414" i="4" l="1"/>
  <c r="E1414" i="4" s="1"/>
  <c r="E1415" i="4" s="1"/>
  <c r="E1416" i="4" s="1"/>
  <c r="G101" i="15" s="1"/>
  <c r="G107" i="15"/>
  <c r="G21" i="15"/>
  <c r="G15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D4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Меняется только выручка. Расходы, зависящие от выручки, остаются прежними. Это анализ чувствительности на изменение "ценника", а не объемов реализации.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Алексей</author>
  </authors>
  <commentList>
    <comment ref="E15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указывается оценка без НДС</t>
        </r>
      </text>
    </comment>
    <comment ref="C360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Без учета имущества, вносимого инвесторами в качестве взноса в уставной капитал</t>
        </r>
      </text>
    </comment>
    <comment ref="C389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Отношение количества номеров, проданных в соответствующем квартале, к годовому количеству проданных номеров</t>
        </r>
      </text>
    </comment>
    <comment ref="C563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Действует только на историческом и инвестиционном этапах.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  <author>Адель</author>
    <author>Автор</author>
  </authors>
  <commentList>
    <comment ref="C826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827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828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866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886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887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</text>
    </comment>
    <comment ref="C888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</text>
    </comment>
    <comment ref="C966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E1176" authorId="1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Сценарий расчета процентной ставки:
1 - доля ставки ЦБ плюс маржа
2 - фисированная ставка</t>
        </r>
      </text>
    </comment>
    <comment ref="E1194" authorId="0" shapeId="0" xr:uid="{00000000-0006-0000-0400-00000A000000}">
      <text>
        <r>
          <rPr>
            <sz val="9"/>
            <color indexed="81"/>
            <rFont val="Tahoma"/>
            <family val="2"/>
            <charset val="204"/>
          </rPr>
          <t>Учет остатков денежных средств при погашении долг</t>
        </r>
        <r>
          <rPr>
            <b/>
            <sz val="9"/>
            <color indexed="81"/>
            <rFont val="Tahoma"/>
            <family val="2"/>
            <charset val="204"/>
          </rPr>
          <t>а</t>
        </r>
      </text>
    </comment>
    <comment ref="E1242" authorId="2" shapeId="0" xr:uid="{00000000-0006-0000-0400-00000B000000}">
      <text>
        <r>
          <rPr>
            <b/>
            <sz val="9"/>
            <color indexed="81"/>
            <rFont val="Tahoma"/>
            <family val="2"/>
            <charset val="204"/>
          </rPr>
          <t>По оценке, включая НДС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1420" authorId="0" shapeId="0" xr:uid="{00000000-0006-0000-0400-00000C000000}">
      <text>
        <r>
          <rPr>
            <sz val="9"/>
            <color indexed="81"/>
            <rFont val="Tahoma"/>
            <family val="2"/>
            <charset val="204"/>
          </rPr>
          <t>Метод расчета:
1 - расчет через поток фактических взносов и выплат акционерам (с учетом распределения чистой прибыли)
2 - традиционный расчет OCF + ICF + Debt (весь доступный денежный поток без учета суммы чистой прибыли, доступной для распределения)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F6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Меняется только выручка. Расходы, зависящие от выручки, остаются прежними. Это анализ чувствительности на изменение "ценника", а не объемов реализации.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E27" authorId="0" shapeId="0" xr:uid="{00000000-0006-0000-0C00-000001000000}">
      <text>
        <r>
          <rPr>
            <b/>
            <sz val="9"/>
            <color indexed="81"/>
            <rFont val="Tahoma"/>
            <family val="2"/>
            <charset val="204"/>
          </rPr>
          <t>ст. 284.2 НК РФ
Ставка налога на прибыль с доходов от реализации акций и долей в уставном капитале равна 0%, если срок владения ими составил более 5 лет</t>
        </r>
      </text>
    </comment>
  </commentList>
</comments>
</file>

<file path=xl/sharedStrings.xml><?xml version="1.0" encoding="utf-8"?>
<sst xmlns="http://schemas.openxmlformats.org/spreadsheetml/2006/main" count="3303" uniqueCount="1576">
  <si>
    <t>Версия модели:</t>
  </si>
  <si>
    <t>ОГРАНИЧЕНИЕ ОТВЕТСТВЕННОСТИ:</t>
  </si>
  <si>
    <t>Раздел</t>
  </si>
  <si>
    <t>Описание</t>
  </si>
  <si>
    <t>Предпосылки</t>
  </si>
  <si>
    <t>Финансирование</t>
  </si>
  <si>
    <t>Стиль</t>
  </si>
  <si>
    <t>Формат</t>
  </si>
  <si>
    <t>Форматирование заголовков / разделителей</t>
  </si>
  <si>
    <t>Заголовок</t>
  </si>
  <si>
    <t>Уровень 1</t>
  </si>
  <si>
    <t>Уровень 2</t>
  </si>
  <si>
    <t>Уровень 3</t>
  </si>
  <si>
    <t>Уровень 4</t>
  </si>
  <si>
    <t xml:space="preserve">Данные, вводимые пользователем </t>
  </si>
  <si>
    <t>Ячейка, содержащая выпадающий список</t>
  </si>
  <si>
    <t>Ячейка, значение в которой рассчитано с помощью макроса</t>
  </si>
  <si>
    <t>Проверка</t>
  </si>
  <si>
    <t>Пояснение, единицы измерения</t>
  </si>
  <si>
    <t>Сумма ячеек, расположенных непосредственно над данной ячейкой</t>
  </si>
  <si>
    <t>Итого</t>
  </si>
  <si>
    <t>Год</t>
  </si>
  <si>
    <t>Показатель</t>
  </si>
  <si>
    <t>Ед. изм.</t>
  </si>
  <si>
    <t>Источник</t>
  </si>
  <si>
    <t>Валюта модели</t>
  </si>
  <si>
    <t>тыс. руб.</t>
  </si>
  <si>
    <t>Макроэкономические допущения</t>
  </si>
  <si>
    <t>%</t>
  </si>
  <si>
    <t>Сценарий - Индекс потребительских цен</t>
  </si>
  <si>
    <t>Дата начала Финансовой модели</t>
  </si>
  <si>
    <t>дата</t>
  </si>
  <si>
    <t>Количество дней в году</t>
  </si>
  <si>
    <t>Количество месяцев в году</t>
  </si>
  <si>
    <t>Количество периодов в году</t>
  </si>
  <si>
    <t>Количество месяцев в прогнозном периоде</t>
  </si>
  <si>
    <t>Миллион</t>
  </si>
  <si>
    <t>Тысяча</t>
  </si>
  <si>
    <t>Сотня</t>
  </si>
  <si>
    <t>Консервативный МЭР</t>
  </si>
  <si>
    <t>Базовый МЭР</t>
  </si>
  <si>
    <t>Контроль показателей Финансовой модели</t>
  </si>
  <si>
    <t>отрицательные денежные средства</t>
  </si>
  <si>
    <t>отражение ДС в ОДДС и денежных потоков для расчета показателей</t>
  </si>
  <si>
    <t>Дата и время</t>
  </si>
  <si>
    <t>год</t>
  </si>
  <si>
    <t>дни</t>
  </si>
  <si>
    <t>Месяцев в периоде</t>
  </si>
  <si>
    <t>месяц</t>
  </si>
  <si>
    <t>индекс потребительских цен, с первого прогнозного периода</t>
  </si>
  <si>
    <t>Инвестиции в создание объектов основных средств, накопленным итогом</t>
  </si>
  <si>
    <t>Итого: осуществленные инвестиции накопленным итогом на конец периода</t>
  </si>
  <si>
    <t>Прочие расходы, капитализируемые в стоимость ОС</t>
  </si>
  <si>
    <t>Капитализированные расходы, формирующие стоимость ОС</t>
  </si>
  <si>
    <t>Процентные расходы - заемные средства</t>
  </si>
  <si>
    <t>Операционные расходы</t>
  </si>
  <si>
    <t>Банковские комиссии</t>
  </si>
  <si>
    <t>Административные и коммерческие расходы</t>
  </si>
  <si>
    <t>Итого: капитализированные расходы на конец периода</t>
  </si>
  <si>
    <t>Капитализированные расходы, формирующие стоимость ОС, накопленным итогом</t>
  </si>
  <si>
    <t>Итого: капитализированные расходы накопленным итогом на конец периода</t>
  </si>
  <si>
    <t>Ввод в эксплуатацию объектов основных средств</t>
  </si>
  <si>
    <t>I.</t>
  </si>
  <si>
    <t>внеоборотные активы</t>
  </si>
  <si>
    <t>незавершенное строительство</t>
  </si>
  <si>
    <t>основные средства</t>
  </si>
  <si>
    <t>II.</t>
  </si>
  <si>
    <t>оборотные активы</t>
  </si>
  <si>
    <t>запасы</t>
  </si>
  <si>
    <t>дебиторская задолженность</t>
  </si>
  <si>
    <t xml:space="preserve">денежные средства </t>
  </si>
  <si>
    <t>III.</t>
  </si>
  <si>
    <t>капитал и резервы</t>
  </si>
  <si>
    <t>уставный капитал</t>
  </si>
  <si>
    <t>нераспределенная прибыль (убыток)</t>
  </si>
  <si>
    <t>IV.</t>
  </si>
  <si>
    <t>долгосрочные обязательства</t>
  </si>
  <si>
    <t>V.</t>
  </si>
  <si>
    <t>краткосрочные обязательства</t>
  </si>
  <si>
    <t>кредиторская задолженность</t>
  </si>
  <si>
    <t>операционные расходы</t>
  </si>
  <si>
    <t>EBITDA</t>
  </si>
  <si>
    <t>EBIT</t>
  </si>
  <si>
    <t>операционная деятельность</t>
  </si>
  <si>
    <t>выручка от операционной деятельности</t>
  </si>
  <si>
    <t>банковские комиссии</t>
  </si>
  <si>
    <t>процентные платежи по заемным средствам</t>
  </si>
  <si>
    <t>налог на прибыль</t>
  </si>
  <si>
    <t>изменение оборотного капитала (не вкл. НДС)</t>
  </si>
  <si>
    <t>инвестиционная деятельность</t>
  </si>
  <si>
    <t>финансовая деятельность</t>
  </si>
  <si>
    <t>привлечение акционерного капитала</t>
  </si>
  <si>
    <t>выплата дивидендов</t>
  </si>
  <si>
    <t>х.хх</t>
  </si>
  <si>
    <t>Дата</t>
  </si>
  <si>
    <t>Коэффициент</t>
  </si>
  <si>
    <t>Выручка</t>
  </si>
  <si>
    <t>Форматирование отдельных ячеек</t>
  </si>
  <si>
    <t>Оборотный капитал</t>
  </si>
  <si>
    <t>дней</t>
  </si>
  <si>
    <t>Запасы</t>
  </si>
  <si>
    <t>Расчет налогооблагаемой прибыли</t>
  </si>
  <si>
    <t>Операционные и эксплуатационные расходы</t>
  </si>
  <si>
    <t>Прочие платы по кредитам</t>
  </si>
  <si>
    <t>Налогооблагаемая прибыль</t>
  </si>
  <si>
    <t>Расчет налоговых убытков</t>
  </si>
  <si>
    <t>Акционерный капитал</t>
  </si>
  <si>
    <t>Налог на прибыль</t>
  </si>
  <si>
    <t>Кредиторская задолженность</t>
  </si>
  <si>
    <t>Дебиторская задолженность</t>
  </si>
  <si>
    <t>Выбор макроэкономических сценариев финансовой модели</t>
  </si>
  <si>
    <t>Налог на имущество</t>
  </si>
  <si>
    <t>изменение чистого денежного потока по НДС</t>
  </si>
  <si>
    <t xml:space="preserve"> </t>
  </si>
  <si>
    <t>Исходящая ссылка на лист допущений</t>
  </si>
  <si>
    <t>Сумма ячеек по строке</t>
  </si>
  <si>
    <t>Налоговые и бухгалтерские предпосылки</t>
  </si>
  <si>
    <t>НК РФ</t>
  </si>
  <si>
    <t>Год, в котором возможен полный учет полученных налоговых убытков предыдущих периодов</t>
  </si>
  <si>
    <t>Ставка налога на имущество</t>
  </si>
  <si>
    <t>НДС</t>
  </si>
  <si>
    <t>Оборачиваемость НДС к получению</t>
  </si>
  <si>
    <t>Оборачиваемость НДС к уплате</t>
  </si>
  <si>
    <t>лет</t>
  </si>
  <si>
    <t>Капитальные вложения</t>
  </si>
  <si>
    <t>Балансовая стоимость на начало периода</t>
  </si>
  <si>
    <t>Ввод в эксплуатацию</t>
  </si>
  <si>
    <t>Накопленная амортизация на конец периода</t>
  </si>
  <si>
    <t>Балансовая стоимость на конец периода</t>
  </si>
  <si>
    <t>Амортизационная премия</t>
  </si>
  <si>
    <t>В том числе:</t>
  </si>
  <si>
    <t>Ввод в эксплуатацию - недвижимое имущество</t>
  </si>
  <si>
    <t>Амортизационная премия - налоговый учет</t>
  </si>
  <si>
    <t>Периоды амортизации - бухгалтерский учет</t>
  </si>
  <si>
    <t>Периоды амортизации - налоговый учет</t>
  </si>
  <si>
    <t>Валовая прибыль (убыток)</t>
  </si>
  <si>
    <t>Управленческие расходы</t>
  </si>
  <si>
    <t>Проценты к уплате, в т. ч.:</t>
  </si>
  <si>
    <t>Прочие расходы, в т.ч.:</t>
  </si>
  <si>
    <t>Прибыль (убыток) до налогообложения</t>
  </si>
  <si>
    <t>Текущий налог на прибыль</t>
  </si>
  <si>
    <t>Дивиденды уплаченные</t>
  </si>
  <si>
    <t>Нераспределенная прибыль за период</t>
  </si>
  <si>
    <t>накопленный ИПЦ с первого прогнозного периода - по периодам</t>
  </si>
  <si>
    <t>Коммерческие и административные расходы</t>
  </si>
  <si>
    <t>НДС к уплате</t>
  </si>
  <si>
    <t>На начало периода</t>
  </si>
  <si>
    <t>Начисление</t>
  </si>
  <si>
    <t>Уплата НДС в бюджет</t>
  </si>
  <si>
    <t>На конец периода</t>
  </si>
  <si>
    <t/>
  </si>
  <si>
    <t>НДС к возмещению</t>
  </si>
  <si>
    <t>Возмещение НДС из бюджета</t>
  </si>
  <si>
    <t xml:space="preserve">Убыток предыдущих периодов </t>
  </si>
  <si>
    <t>Начисление убытка за период</t>
  </si>
  <si>
    <t xml:space="preserve">Убыток, перенесенный на будущие периоды </t>
  </si>
  <si>
    <t>База для начисления налога на имущество</t>
  </si>
  <si>
    <t>Налоговая база</t>
  </si>
  <si>
    <t>Налогооблагаемая прибыль (после вычета накопленного убытка)</t>
  </si>
  <si>
    <t>Убыток, использованный в течение периода</t>
  </si>
  <si>
    <t>Без индексации</t>
  </si>
  <si>
    <t>Капитальные затраты</t>
  </si>
  <si>
    <t>Старший долг</t>
  </si>
  <si>
    <t>Направления использования средств</t>
  </si>
  <si>
    <t>Источники средств</t>
  </si>
  <si>
    <t>Проверка (источники = направлениям использования)</t>
  </si>
  <si>
    <t>Дивиденды</t>
  </si>
  <si>
    <t>Итого: направления использования средств</t>
  </si>
  <si>
    <t>Итого: источники средств</t>
  </si>
  <si>
    <t>Общие параметры</t>
  </si>
  <si>
    <t>Выборки</t>
  </si>
  <si>
    <t>Источники и направления использования средств</t>
  </si>
  <si>
    <t>Расчет потребности в привлечении финансирования</t>
  </si>
  <si>
    <t>Расчет потребности в финансировании</t>
  </si>
  <si>
    <t>Акционерный капитал на начало периода</t>
  </si>
  <si>
    <t>Акционерный капитал на конец периода</t>
  </si>
  <si>
    <t>Итого: источники акционерного финансирования</t>
  </si>
  <si>
    <t>Распределение по источникам акционерного финансирования</t>
  </si>
  <si>
    <t>Параметры финансирования</t>
  </si>
  <si>
    <t>Баланс на конец периода</t>
  </si>
  <si>
    <t>Баланс на начало периода</t>
  </si>
  <si>
    <t>Процентная ставка с учетом анализа чувствительности</t>
  </si>
  <si>
    <t>Проценты начисленные</t>
  </si>
  <si>
    <t>Проценты, уплаченные всего</t>
  </si>
  <si>
    <t>Флаг - выплата процентов</t>
  </si>
  <si>
    <t>CFADS</t>
  </si>
  <si>
    <t>Дата привлечения финансирования</t>
  </si>
  <si>
    <t>Срок кредита</t>
  </si>
  <si>
    <t>Отсрочка по выплате основной суммы долга</t>
  </si>
  <si>
    <t>Отсрочка по выплате процентов</t>
  </si>
  <si>
    <t>Первый период возврата кредита (не позднее)</t>
  </si>
  <si>
    <t>Первый период выплаты процентов (не позднее)</t>
  </si>
  <si>
    <t>Дата окончания срока кредитной линии</t>
  </si>
  <si>
    <t>Комиссия за открытие кредитной линии</t>
  </si>
  <si>
    <t>Погашение основного долга</t>
  </si>
  <si>
    <t>Проценты уплаченные</t>
  </si>
  <si>
    <t>Итого: банковские комиссии</t>
  </si>
  <si>
    <t>Каскад денежных потоков</t>
  </si>
  <si>
    <t>Денежные потоки до финансирования и налогообложения</t>
  </si>
  <si>
    <t>Денежный поток до финансирования и после налогообложения</t>
  </si>
  <si>
    <t>Денежный поток до привлечения финансирования</t>
  </si>
  <si>
    <t>Остаток денежных средств на конец периода</t>
  </si>
  <si>
    <t>Флаг - выплата заемных средств - вспомогательный расчет</t>
  </si>
  <si>
    <t>Баланс задолженности на конец периода</t>
  </si>
  <si>
    <t>Капитальные затраты для целей расчета НДС</t>
  </si>
  <si>
    <t>Дней в периоде</t>
  </si>
  <si>
    <t>Изменение в оборотном капитале</t>
  </si>
  <si>
    <t>Уплачено</t>
  </si>
  <si>
    <t>Средняя оборачиваемость запасов</t>
  </si>
  <si>
    <t>Прогнозный оборотный капитал</t>
  </si>
  <si>
    <t>Итого оборотный капитал</t>
  </si>
  <si>
    <t>Изменение оборотного капитала</t>
  </si>
  <si>
    <t>Средняя оборачиваемость кредиторской задолженности</t>
  </si>
  <si>
    <t>Средняя оборачиваемость дебиторской задолженности</t>
  </si>
  <si>
    <t>Увеличение оборотного капитала</t>
  </si>
  <si>
    <t>Уменьшение оборотного капитала</t>
  </si>
  <si>
    <t>Денежные средства на конец периода</t>
  </si>
  <si>
    <t>Календарный год для расчета денежных потоков</t>
  </si>
  <si>
    <t>Денежный поток в годовом выражении</t>
  </si>
  <si>
    <t>Чистая приведенная стоимость (NPV)</t>
  </si>
  <si>
    <t>Простой период окупаемости (PBP)</t>
  </si>
  <si>
    <t>Накопленный денежный поток</t>
  </si>
  <si>
    <t>Флаг - период окупаемости</t>
  </si>
  <si>
    <t xml:space="preserve">День периода, когда достигается окупаемость </t>
  </si>
  <si>
    <t>Количество лет</t>
  </si>
  <si>
    <t>Дисконтированный период окупаемости (DPBP)</t>
  </si>
  <si>
    <t>Период дисконтирования</t>
  </si>
  <si>
    <t>Дисконт фактор</t>
  </si>
  <si>
    <t>Дисконтированный денежный поток</t>
  </si>
  <si>
    <t>Накопленный дисконтированный денежный поток</t>
  </si>
  <si>
    <t>Финансовые показатели (коэффициенты)</t>
  </si>
  <si>
    <t>Показатели ликвидности (платежеспособности)</t>
  </si>
  <si>
    <t>Коэффициент текущей ликвидности (Current ratio)</t>
  </si>
  <si>
    <t>Коэффициент быстрой ликвидности (Quick ratio)</t>
  </si>
  <si>
    <t>Сумма денежных средств и дебиторской задолженности</t>
  </si>
  <si>
    <t>Оборотные активы</t>
  </si>
  <si>
    <t>Краткосрочные обязательства</t>
  </si>
  <si>
    <t>Показатели (коэффициенты) рентабельности</t>
  </si>
  <si>
    <t>Рентабельность активов (ROA)</t>
  </si>
  <si>
    <t>Рентабельность собственного капитала (ROE)</t>
  </si>
  <si>
    <t>Рентабельность инвестиций (ROCE)</t>
  </si>
  <si>
    <t>Чистая прибыль</t>
  </si>
  <si>
    <t>Средние суммарные активы</t>
  </si>
  <si>
    <t>Собственный капитал</t>
  </si>
  <si>
    <t>Собственный капитал + Долгосрочные обязательства</t>
  </si>
  <si>
    <t>Коэффициент покрытия кредитных выплат (DSCR)</t>
  </si>
  <si>
    <t>Выплаты по старшему долгу</t>
  </si>
  <si>
    <t>DSCR</t>
  </si>
  <si>
    <t>среднее</t>
  </si>
  <si>
    <t>минимальное</t>
  </si>
  <si>
    <t>Акционерное финансирование</t>
  </si>
  <si>
    <t>максимальное</t>
  </si>
  <si>
    <t>Debt/EBITDA</t>
  </si>
  <si>
    <t>Календарный год для расчета потоков</t>
  </si>
  <si>
    <t>Конец календарного года</t>
  </si>
  <si>
    <t>Остаток долга на конец периода</t>
  </si>
  <si>
    <t>Debt / EBITDA</t>
  </si>
  <si>
    <t>Net Debt / EBITDA</t>
  </si>
  <si>
    <t>Инвестиционные показатели Проекта</t>
  </si>
  <si>
    <t>Итого свободные денежные потоки по проекту (FCFF)</t>
  </si>
  <si>
    <t>WACC</t>
  </si>
  <si>
    <t>Свободный денежный поток для акционеров (FCFE)</t>
  </si>
  <si>
    <t>Нераспределенная прибыль на начало периода</t>
  </si>
  <si>
    <t>Возможный уровень дивидендных выплат</t>
  </si>
  <si>
    <t>Итого: дивиденды за период</t>
  </si>
  <si>
    <t>Комиссии по старшему долгу</t>
  </si>
  <si>
    <t>Проверка - расчет потребности в финансировании</t>
  </si>
  <si>
    <t>Акционерный капитал - выборка</t>
  </si>
  <si>
    <t>расчеты, выполненные макросом</t>
  </si>
  <si>
    <t>Допущения по оценке проекта</t>
  </si>
  <si>
    <t>Средневзвешенная стоимость капитала (WACC)</t>
  </si>
  <si>
    <t>Акционерный капитал - вклад в УК</t>
  </si>
  <si>
    <t>Средневзвешенная стоимость капитала</t>
  </si>
  <si>
    <t>Безрисковая ставка (Rf)</t>
  </si>
  <si>
    <t>Рыночная премия (MPr)</t>
  </si>
  <si>
    <t>Премия за страновые риски РФ (CRP) в долларах США</t>
  </si>
  <si>
    <t>Коэффициент Бета (β)</t>
  </si>
  <si>
    <t>Бета активов без учета структуры капитала</t>
  </si>
  <si>
    <t>Доля заемного капитала</t>
  </si>
  <si>
    <t xml:space="preserve">Доля акционерного капитала </t>
  </si>
  <si>
    <t>Бета акционерного капитала с учетом структуры капитала</t>
  </si>
  <si>
    <t>Стоимость собственного капитала в долларах США</t>
  </si>
  <si>
    <t>Доходность гособлигаций РФ в долларах</t>
  </si>
  <si>
    <t>Доходность гособлигаций РФ в рублях</t>
  </si>
  <si>
    <t>Стоимость собственного капитала в российских рублях</t>
  </si>
  <si>
    <t>Расчет стоимости капитала (WACC)</t>
  </si>
  <si>
    <t>http://pages.stern.nyu.edu/~adamodar/New_Home_Page/datafile/Betas.html</t>
  </si>
  <si>
    <t>https://smart-lab.ru/q/eurobonds/order_by_mat_years/desc/</t>
  </si>
  <si>
    <t>https://smart-lab.ru/q/ofz/order_by_mat_date/desc/</t>
  </si>
  <si>
    <t>http://people.stern.nyu.edu/adamodar/New_Home_Page/home.htm</t>
  </si>
  <si>
    <t>https://www.bloomberg.com/markets/rates-bonds/government-bonds/us</t>
  </si>
  <si>
    <t>Возможное распределение средств акционерам (без учета нераспределенной прибыли)</t>
  </si>
  <si>
    <t>млн руб.</t>
  </si>
  <si>
    <t>Внутренняя норма доходности (IRR)</t>
  </si>
  <si>
    <t>Ключевая ставка ЦБ</t>
  </si>
  <si>
    <t>Расчет денежных потоков для акционеров Проекта</t>
  </si>
  <si>
    <t>Инвестиционные показатели для акционеров Проекта</t>
  </si>
  <si>
    <t>старший долг полностью погашен</t>
  </si>
  <si>
    <t>Бета (β) активов без учета структуры капитала</t>
  </si>
  <si>
    <t>Амортизация</t>
  </si>
  <si>
    <t>Проценты начисленные - старший долг</t>
  </si>
  <si>
    <t>индекс потребительских цен, среднее за соответствующий период</t>
  </si>
  <si>
    <t>Финансирование НДС</t>
  </si>
  <si>
    <t>Возмещение НДС</t>
  </si>
  <si>
    <t>Флаг</t>
  </si>
  <si>
    <t>Название финансовой модели</t>
  </si>
  <si>
    <t>Оборачиваемость - Дебиторская задолженность</t>
  </si>
  <si>
    <t>Оборачиваемость - Запасы</t>
  </si>
  <si>
    <t>Оборачиваемость - Кредиторская задолженность</t>
  </si>
  <si>
    <t>Целевой уровень заемных средств</t>
  </si>
  <si>
    <t>Расчет амортизации</t>
  </si>
  <si>
    <t>Бухгалтерский баланс</t>
  </si>
  <si>
    <t>Отчет о прибылях и убытках</t>
  </si>
  <si>
    <t>Отчет о движении денежных средств</t>
  </si>
  <si>
    <t>Проверки</t>
  </si>
  <si>
    <t>Прочее</t>
  </si>
  <si>
    <t>Амортизация - налоговый учет</t>
  </si>
  <si>
    <t>Амортизация - бухгалтерский учет</t>
  </si>
  <si>
    <t>Обобщенная информация - амортизация</t>
  </si>
  <si>
    <t>Налоговая база по налогу на имущество</t>
  </si>
  <si>
    <t>Расчет банковских комиссий</t>
  </si>
  <si>
    <t>Процентная ставка по старшему долгу в расчетном периоде</t>
  </si>
  <si>
    <t>Потребность в финансировании - расчет</t>
  </si>
  <si>
    <t>Процентные расходы</t>
  </si>
  <si>
    <t>Выборка и погашение старшего долга</t>
  </si>
  <si>
    <t>Обобщенные сведения по старшему долгу</t>
  </si>
  <si>
    <t>контроль отражения денежных средств в балансе</t>
  </si>
  <si>
    <t>контроль неотрицательных денежных средств</t>
  </si>
  <si>
    <t>контроль расчета денежных средств для оценки показателей проекта</t>
  </si>
  <si>
    <t>Итого: активы</t>
  </si>
  <si>
    <t>Итого: пассивы</t>
  </si>
  <si>
    <t>Итого: денежный поток за период</t>
  </si>
  <si>
    <t>Проценты</t>
  </si>
  <si>
    <t>Сумма по разделу</t>
  </si>
  <si>
    <t>Целевой финансовый рычаг (доля заемных средств)</t>
  </si>
  <si>
    <t>Ввод в эксплуатацию - Капитализированные расходы</t>
  </si>
  <si>
    <t>ГРАФИКИ</t>
  </si>
  <si>
    <t>Ставка по старшему долгу (маржа к ключевой ставке ЦБ)</t>
  </si>
  <si>
    <t>Точность расчетов</t>
  </si>
  <si>
    <t>Финансирование потребности в оборотном капитале в периоде создания</t>
  </si>
  <si>
    <t>Проценты, уплаченные в период создания</t>
  </si>
  <si>
    <t>Комиссия за обязательство</t>
  </si>
  <si>
    <t>Осталось платежей по кредиту</t>
  </si>
  <si>
    <t>Потребность в финансировании за счет кредитных средств</t>
  </si>
  <si>
    <t>Потребность в финансировании за счет средств акционеров</t>
  </si>
  <si>
    <t>Уплата НДС</t>
  </si>
  <si>
    <t>Доходность гособлигаций РФ в рублях - ОФЗ 26230</t>
  </si>
  <si>
    <t>0..1</t>
  </si>
  <si>
    <t>Долговое финансирование</t>
  </si>
  <si>
    <t>Итого: незавершенное строительство на конец периода</t>
  </si>
  <si>
    <t>источники равны направлениям использования средств</t>
  </si>
  <si>
    <t>1 проверка баланса</t>
  </si>
  <si>
    <t>2 проверка баланса</t>
  </si>
  <si>
    <t>отражение ДС на балансе и ОДДС</t>
  </si>
  <si>
    <t>акционерный заем полностью погашен</t>
  </si>
  <si>
    <t>процентные платежи по акционерному займу</t>
  </si>
  <si>
    <t>Акционерный заем</t>
  </si>
  <si>
    <t>Процентные расходы - акционерный долг</t>
  </si>
  <si>
    <t>Проценты начисленные - акционерные займы</t>
  </si>
  <si>
    <t>Акционерный заем - выборка</t>
  </si>
  <si>
    <t>Акционерный капитал - акционерный займ</t>
  </si>
  <si>
    <t>Привлечение и погашение акционерного долга</t>
  </si>
  <si>
    <t>Привлечение акционерного займа в периоде создания</t>
  </si>
  <si>
    <t>Привлечение акционерного займа в периоде эксплуатации</t>
  </si>
  <si>
    <t>Погашение акционерного займа</t>
  </si>
  <si>
    <t>Итого: привлечение акционерного займа</t>
  </si>
  <si>
    <t>Расчет средств, доступных для погашения акционерного долга</t>
  </si>
  <si>
    <t>Потребность в уплате процентов по акционерному займу</t>
  </si>
  <si>
    <t>Денежный поток, доступный для выплаты процентов по акционерному займу</t>
  </si>
  <si>
    <t>Выплата процентов по акционерному займу с учетом доступных средств</t>
  </si>
  <si>
    <t>Денежный поток, доступный для погашения акционерного займа</t>
  </si>
  <si>
    <t>Свободный денежный поток для акционеров (FCFE) после обслуживания акционерного займа</t>
  </si>
  <si>
    <t>Календарный год</t>
  </si>
  <si>
    <t>Дней в году</t>
  </si>
  <si>
    <t>Накопленное количество месяцев с начала модели</t>
  </si>
  <si>
    <t>Накопленное количество лет на начало периода с начала модели</t>
  </si>
  <si>
    <t>Накопленное количество лет на конец периода с начала модели</t>
  </si>
  <si>
    <t>Продолжительность периода (коэффициент)</t>
  </si>
  <si>
    <t>коэфф.</t>
  </si>
  <si>
    <t>Технические параметры и флаги</t>
  </si>
  <si>
    <t>Дата начала периода</t>
  </si>
  <si>
    <t>Дата окончания периода</t>
  </si>
  <si>
    <t>Макроэкономические параметры</t>
  </si>
  <si>
    <t>Ключевая ставка ЦБ в соответствующем периоде</t>
  </si>
  <si>
    <t>прогнозная ключевая ставка ЦБ (с учетом продолжительности периода)</t>
  </si>
  <si>
    <t>Флаги</t>
  </si>
  <si>
    <t>Лет амортизации</t>
  </si>
  <si>
    <t>Ставка амортизации</t>
  </si>
  <si>
    <t>Историческая стоимость</t>
  </si>
  <si>
    <t>Начисленная амортизация</t>
  </si>
  <si>
    <t>Бухгалтерский учет</t>
  </si>
  <si>
    <t>Налоговый учет</t>
  </si>
  <si>
    <t>Балансовая стоимость основных средств на начало периода</t>
  </si>
  <si>
    <t>Начисленная амортизация - недвижимое имущество</t>
  </si>
  <si>
    <t>Балансовая стоимость основных средств на конец периода</t>
  </si>
  <si>
    <t>Выплаты</t>
  </si>
  <si>
    <t>Аннуитетный платеж, в том числе:</t>
  </si>
  <si>
    <t>Итого: НДС к уплате / возмещению</t>
  </si>
  <si>
    <t>Расчет НДС к уплате / возмещению</t>
  </si>
  <si>
    <t>Уплата НДС в бюджет в конце проекта</t>
  </si>
  <si>
    <t>Возмещение НДС из бюджета в конце проекта</t>
  </si>
  <si>
    <t>НДС к возмещению / уплате на конец периода</t>
  </si>
  <si>
    <t>Денежный поток по НДС</t>
  </si>
  <si>
    <t>Амортизация, налоговый учет</t>
  </si>
  <si>
    <t>Амортизационная премия, налоговый учет</t>
  </si>
  <si>
    <t>Ставка по налогу на прибыль</t>
  </si>
  <si>
    <t>Налогооблагаемая прибыль за период</t>
  </si>
  <si>
    <t>Максимальный объем зачета налоговых убытков (2017 - 2021 гг.)</t>
  </si>
  <si>
    <t>Общая проверка финансовой модели</t>
  </si>
  <si>
    <t xml:space="preserve">Флаг - погашение старшего долга </t>
  </si>
  <si>
    <t>Проценты, уплаченные в период эксплуатации</t>
  </si>
  <si>
    <t>Лимит выборки по кредиту</t>
  </si>
  <si>
    <t>Неиспользованный кредитный лимит на начало периода</t>
  </si>
  <si>
    <t>Проценты, капитализированные в стоимость основных средств</t>
  </si>
  <si>
    <t>Проценты, признанные в составе расходов текущего периода</t>
  </si>
  <si>
    <t>Расчет комиссии за обязательство</t>
  </si>
  <si>
    <t>Не выплаченные %, капитализированные в тело акционерного займа</t>
  </si>
  <si>
    <t>Не выплаченные %, увеличивающие объем задолженности на конец периода - период создания</t>
  </si>
  <si>
    <t>Не выплаченные %, увеличивающие объем задолженности на конец периода - период эксплуатации</t>
  </si>
  <si>
    <t>Денежные средства до распределения акционерам</t>
  </si>
  <si>
    <t>Акционерный заем - выплата</t>
  </si>
  <si>
    <t>Акционерный заем - выплата процентов</t>
  </si>
  <si>
    <t>Собственные средства - вклад в УК</t>
  </si>
  <si>
    <t>Собственные средства - акционерный займ</t>
  </si>
  <si>
    <t>Итого свободные денежные потоки для акционеров (FCFE)</t>
  </si>
  <si>
    <t>Год для расчета денежных потоков</t>
  </si>
  <si>
    <t>Debt/Equity</t>
  </si>
  <si>
    <t>Debt/Total assets</t>
  </si>
  <si>
    <t>Доля долгового финансирования</t>
  </si>
  <si>
    <t>Доля акционерного финансирования</t>
  </si>
  <si>
    <t>Коэффициент Debt/Equity</t>
  </si>
  <si>
    <t>Активы</t>
  </si>
  <si>
    <t>Коэффициент Debt/Total assets</t>
  </si>
  <si>
    <t>Коэффициент покрытия кредитных выплат на срок действия кредита (LLCR)</t>
  </si>
  <si>
    <t>Процентные платежи</t>
  </si>
  <si>
    <t>Дисконтированный CFADS</t>
  </si>
  <si>
    <t>LLCR</t>
  </si>
  <si>
    <t>Очень маленькое число</t>
  </si>
  <si>
    <t>Выплаты по налогу на прибыль</t>
  </si>
  <si>
    <t>Общие допущения</t>
  </si>
  <si>
    <t>Индекс потребительских цен</t>
  </si>
  <si>
    <t>Индекс стоимости капитальных вложений</t>
  </si>
  <si>
    <t>Сценарий - Индекс стоимости капитальных вложений</t>
  </si>
  <si>
    <t>Выбор сценария</t>
  </si>
  <si>
    <t>Макроэкономические индексы</t>
  </si>
  <si>
    <t>Период реализации проекта</t>
  </si>
  <si>
    <t>Счетчик - номер периода модели</t>
  </si>
  <si>
    <t>Исторический период</t>
  </si>
  <si>
    <t>Последний исторический период</t>
  </si>
  <si>
    <t>Период строительства</t>
  </si>
  <si>
    <t>Период эксплуатации</t>
  </si>
  <si>
    <t>Прогнозный период финансовой модели</t>
  </si>
  <si>
    <t>Первый прогнозный период финансовой модели</t>
  </si>
  <si>
    <t>Последний прогнозный период финансовой модели</t>
  </si>
  <si>
    <t>Период осуществления расчетов в финансовой модели</t>
  </si>
  <si>
    <t>Налог на землю</t>
  </si>
  <si>
    <t>Денежные средства на начало периода</t>
  </si>
  <si>
    <t>Изменение чистого оборотного капитала (без учета НДС)</t>
  </si>
  <si>
    <t>Процентные платежи по заемным средствам</t>
  </si>
  <si>
    <t>Выплата привлеченных заемных средств</t>
  </si>
  <si>
    <t>Выплата процентов по акционерному займу</t>
  </si>
  <si>
    <t>Выплата акционерного займа, вкл. начисленные, но не выплаченные в периоде %</t>
  </si>
  <si>
    <t>Выплата дивидендов</t>
  </si>
  <si>
    <t>Привлечение акционерных средств (вклад в УК)</t>
  </si>
  <si>
    <t>Привлечение акционерного займа</t>
  </si>
  <si>
    <t>Привлечение заемных средств</t>
  </si>
  <si>
    <t>Денежный поток доступный для обслуживания заемных средств (CFADS)</t>
  </si>
  <si>
    <t>Заемные средства - выплата</t>
  </si>
  <si>
    <t>Заемные средства - выплата процентов</t>
  </si>
  <si>
    <t>Заемные средства - комиссии</t>
  </si>
  <si>
    <t>Увеличение денежных средств на счетах</t>
  </si>
  <si>
    <t>Заемные средства - выборка</t>
  </si>
  <si>
    <t>Акционерные средства - выборка</t>
  </si>
  <si>
    <t>Уменьшение денежных средства на счетах</t>
  </si>
  <si>
    <t>Ставка налога на землю</t>
  </si>
  <si>
    <t>ИСХОДНЫЕ ДАННЫЕ</t>
  </si>
  <si>
    <t>Ставка налога на добавленную стоимость - льготная</t>
  </si>
  <si>
    <t>Ставка налога на добавленную стоимость - общая</t>
  </si>
  <si>
    <t>индекс стоимости капитальных вложений, среднее за соответствующий период</t>
  </si>
  <si>
    <t>индекс стоимости капитальных вложений, с первого прогнозного периода</t>
  </si>
  <si>
    <t>накопленный индекс стоимости капитальных вложений с первого прогнозного периода - по периодам</t>
  </si>
  <si>
    <t>Структура финансирования проекта</t>
  </si>
  <si>
    <t>Комиссия за выдачу</t>
  </si>
  <si>
    <t>Расчет комиссии за выдачу</t>
  </si>
  <si>
    <t>Итого общая потребность в финансировании</t>
  </si>
  <si>
    <t>Целевая выборка - старший долг</t>
  </si>
  <si>
    <t>Целевая выборка - акционерное финансирование</t>
  </si>
  <si>
    <t>Потребность в привлечении старшего долга, в том числе:</t>
  </si>
  <si>
    <t>Проценты по кредитам</t>
  </si>
  <si>
    <t>Расчеты по кредитам</t>
  </si>
  <si>
    <t>Расчеты по акционерному финансированию</t>
  </si>
  <si>
    <t>денежные средства на начало периода</t>
  </si>
  <si>
    <t>совокупный денежный поток за период</t>
  </si>
  <si>
    <t>денежные средства на конец периода</t>
  </si>
  <si>
    <t>операционный денежный поток</t>
  </si>
  <si>
    <t>инвестиционный денежный поток</t>
  </si>
  <si>
    <t>финансовый денежный поток</t>
  </si>
  <si>
    <t>Инвестиционные показатели для акционеров</t>
  </si>
  <si>
    <t>Налог на добавленную стоимость</t>
  </si>
  <si>
    <t>Потребность в финансировании - макрос VBA для разрыва циклических ссылок</t>
  </si>
  <si>
    <t>Допущение финансовой модели</t>
  </si>
  <si>
    <t>НДС с выручки</t>
  </si>
  <si>
    <t>Ставка по старшему долгу (фиксированная ставка)</t>
  </si>
  <si>
    <t>Фиксированная</t>
  </si>
  <si>
    <t>1..2</t>
  </si>
  <si>
    <t>Проценты начисленные за период</t>
  </si>
  <si>
    <t>Индекс сценария по процентной ставке для использования в расчетах</t>
  </si>
  <si>
    <t>Флаг - период расчета эксплуатационных расходов</t>
  </si>
  <si>
    <t>Флаг - период эксплуатации объекта</t>
  </si>
  <si>
    <t>накопленный ИПЦ с начала финансовой модели - по периодам</t>
  </si>
  <si>
    <t>Остаток денежных средств на начало периода</t>
  </si>
  <si>
    <t>Прочие расходы</t>
  </si>
  <si>
    <t>Внутренняя норма доходности для акционеров (IRR)</t>
  </si>
  <si>
    <t>Рентабельность по EBITDA</t>
  </si>
  <si>
    <t>Рентабельность по EBIT</t>
  </si>
  <si>
    <t>Сценарий погашения</t>
  </si>
  <si>
    <t>Индекс сценария по профилю погашения для использования в расчетах</t>
  </si>
  <si>
    <t>Аннуитетный</t>
  </si>
  <si>
    <t>Скульптированный</t>
  </si>
  <si>
    <t>Сценарий 1 - аннуитетные платежи</t>
  </si>
  <si>
    <t>Сценарий 2 - скульптированные платежи</t>
  </si>
  <si>
    <t>Затраты инвестиционной фазы (без НДС)</t>
  </si>
  <si>
    <t>Финансирование за счет частных средств (без НДС)</t>
  </si>
  <si>
    <t>Чистая приведенная стоимость проекта по годам (NPV)</t>
  </si>
  <si>
    <t>Внутренняя норма доходности проекта по годам (IRR)</t>
  </si>
  <si>
    <t>Чистая приведенная стоимость для акционеров (NPV)</t>
  </si>
  <si>
    <t>CFADS с учетом соотношения источников финансирования</t>
  </si>
  <si>
    <t>Целевой показатель DSCR</t>
  </si>
  <si>
    <t>Обслуживание долга</t>
  </si>
  <si>
    <t>Минус: проценты</t>
  </si>
  <si>
    <t>Маx: погашение тела долга</t>
  </si>
  <si>
    <t>Целевой показатель DSCR для сценария скульптированного погашения долга</t>
  </si>
  <si>
    <t>Флаг - рефинансирование старшего долга (только для сценария скульптирования)</t>
  </si>
  <si>
    <t xml:space="preserve">Флаг - первый период погашения старшего долга </t>
  </si>
  <si>
    <t>Флаг - период выборки старшего долга</t>
  </si>
  <si>
    <t>Флаг - льготный период по обслуживанию (грейс-период)</t>
  </si>
  <si>
    <t>Погашение старшего долга для расчета DSRA</t>
  </si>
  <si>
    <t>Прогнозные показатели оборачиваемости по отдельным статьям</t>
  </si>
  <si>
    <t>инвестиции в создание объектов основных средств, в том числе:</t>
  </si>
  <si>
    <t>кредит</t>
  </si>
  <si>
    <t>Проценты к уплате - кредит</t>
  </si>
  <si>
    <t>привлечение кредита</t>
  </si>
  <si>
    <t>возврат кредита</t>
  </si>
  <si>
    <t>Чистая прибыль (убыток)</t>
  </si>
  <si>
    <t>Дивидендные выплаты (если применимо)</t>
  </si>
  <si>
    <t>привлечение акционерного займа</t>
  </si>
  <si>
    <t>Проценты начисленные - расчет</t>
  </si>
  <si>
    <t>Проценты начисленные - использование</t>
  </si>
  <si>
    <t>Баланс задолженности на начало периода</t>
  </si>
  <si>
    <t>Маржа к ключевой ставке ЦБ</t>
  </si>
  <si>
    <t>Фиксированная ставка</t>
  </si>
  <si>
    <t>возврат акционерного займа</t>
  </si>
  <si>
    <t>ПРОГНОЗНАЯ ФИНАНСОВАЯ ОТЧЕТНОСТЬ</t>
  </si>
  <si>
    <t>акционерный займ</t>
  </si>
  <si>
    <t>Проценты к уплате - акционерный займ</t>
  </si>
  <si>
    <t>Операционный денежный поток инициатора проекта (OCF)</t>
  </si>
  <si>
    <t>Инвестиционный поток инициатора проекта (ICF)</t>
  </si>
  <si>
    <t>Финансовый денежный поток инициатора проекта (FCF)</t>
  </si>
  <si>
    <t>Свободный денежный поток инициатора проекта (FCFE)</t>
  </si>
  <si>
    <t>Показатели обслуживания заемных средств (если применимо)</t>
  </si>
  <si>
    <t>Проверка - расчет обслуживания акционерного займа</t>
  </si>
  <si>
    <t>Настоящие материалы содержат информацию, составляющую коммерческую тайну, и являются конфиденциальной информацией в соответствии с Федеральным законом от 29.07.2004 N 98-ФЗ «О коммерческой тайне» (далее – «Закона о коммерческой тайне»). Нарушение Закона о коммерческой тайне влечет за собой дисциплинарную, гражданско-правовую, административную или уголовную ответственность в соответствии с законодательством Российской Федерации.</t>
  </si>
  <si>
    <t>Дата:</t>
  </si>
  <si>
    <t>Проверки:</t>
  </si>
  <si>
    <t>Дата окончания стадии эксплуатации (прогнозного периода проекта)</t>
  </si>
  <si>
    <t>Дата начала прогнозного периода финансовой модели</t>
  </si>
  <si>
    <t>Версия финансовой модели</t>
  </si>
  <si>
    <t>Дата подготовки финансовой модели</t>
  </si>
  <si>
    <t>Первый период операционной стадии</t>
  </si>
  <si>
    <t>Последний период операционной стадии</t>
  </si>
  <si>
    <t xml:space="preserve">Счетчик - номер периода создания </t>
  </si>
  <si>
    <t>Счетчик - номер периода операционной стадии</t>
  </si>
  <si>
    <t>Счетчик - год периода операционной стадии</t>
  </si>
  <si>
    <t>Календарный операционный год</t>
  </si>
  <si>
    <t>Инвестиционные затраты по проекту</t>
  </si>
  <si>
    <t>График инвестиций</t>
  </si>
  <si>
    <t>Инвестиционные затраты</t>
  </si>
  <si>
    <t>График осуществления инвестиций в прогнозных ценах, без НДС</t>
  </si>
  <si>
    <t>Конец листа</t>
  </si>
  <si>
    <t>Итого: прогнозные инвестиции (прогнозные цены, без НДС)</t>
  </si>
  <si>
    <t>Флаг - ввод в эксплуатацию основных средств</t>
  </si>
  <si>
    <t>Здания и сооружения</t>
  </si>
  <si>
    <t>Структура выручки</t>
  </si>
  <si>
    <t>РАСЧЕТЫ</t>
  </si>
  <si>
    <t>Основные результаты по проекту</t>
  </si>
  <si>
    <t>Основные результаты для акционеров проекта</t>
  </si>
  <si>
    <t>Внутренняя норма доходности (IRR Equity)</t>
  </si>
  <si>
    <t>Простой период окупаемости (PBP Equity)</t>
  </si>
  <si>
    <t>Дисконтированный период окупаемости (DPBP Equity)</t>
  </si>
  <si>
    <t>Совокупный денежный поток для акционеров инвестора</t>
  </si>
  <si>
    <t>Инвестиции</t>
  </si>
  <si>
    <t>Возврат инвестиций с доходностью</t>
  </si>
  <si>
    <t>Совокупный денежный поток инвестора</t>
  </si>
  <si>
    <t>Консолидированный совокупный денежный поток для акционеров проекта</t>
  </si>
  <si>
    <t>Выполнил:</t>
  </si>
  <si>
    <t>Доходная часть</t>
  </si>
  <si>
    <t>Общая проверка</t>
  </si>
  <si>
    <t>Заемные средства</t>
  </si>
  <si>
    <t xml:space="preserve">Сценарий погашения </t>
  </si>
  <si>
    <t xml:space="preserve">Сценарий ставки </t>
  </si>
  <si>
    <t>Маржа к ставке</t>
  </si>
  <si>
    <t>Фиксированная ставка по кредиту</t>
  </si>
  <si>
    <t>Аннуитетный / Скульптированный</t>
  </si>
  <si>
    <t>Дата начала стадии эксплуатации</t>
  </si>
  <si>
    <t>Расчетный срок реализации проекта (фаза эксплуатации)</t>
  </si>
  <si>
    <t>Расходы на архитектурную концепцию</t>
  </si>
  <si>
    <t>ПИР</t>
  </si>
  <si>
    <t>Технико-экономические параметры проекта</t>
  </si>
  <si>
    <t>Общие параметры площадей</t>
  </si>
  <si>
    <t>Общая площадь ЗУ</t>
  </si>
  <si>
    <t>Общая площадь ЗУ под благоустройство и паркинг</t>
  </si>
  <si>
    <t>Площадь застройки</t>
  </si>
  <si>
    <t>Общая площадь в габаритах наружных стен (ГНС)</t>
  </si>
  <si>
    <t>Общая площадь в габаритах внутренних стен (ГВС)</t>
  </si>
  <si>
    <t>кв.м.</t>
  </si>
  <si>
    <t>Общая площадь в ГВС</t>
  </si>
  <si>
    <t>Количество уровней</t>
  </si>
  <si>
    <t>Номерной фонд</t>
  </si>
  <si>
    <t>Ресторан</t>
  </si>
  <si>
    <t>Помещения для персонала</t>
  </si>
  <si>
    <t>Вспомогательные помещения</t>
  </si>
  <si>
    <t>кв.м. / ед.</t>
  </si>
  <si>
    <t>Общая площадь номерного фонда</t>
  </si>
  <si>
    <t>Конференц-зона</t>
  </si>
  <si>
    <t>Общие зоны/коридоры в % от общей площади</t>
  </si>
  <si>
    <t>Стоимость работы на 1 кв.м.</t>
  </si>
  <si>
    <t>Номерной фонд и общественные зоны</t>
  </si>
  <si>
    <t>% от СМР</t>
  </si>
  <si>
    <t>Бюджет на подготовку к открытию</t>
  </si>
  <si>
    <t>Услуги девелопера/технического заказчика</t>
  </si>
  <si>
    <t>Непредвиденные расходы</t>
  </si>
  <si>
    <t>% от инвестбюджета</t>
  </si>
  <si>
    <t>Проектирование</t>
  </si>
  <si>
    <t>СМР</t>
  </si>
  <si>
    <t>Технические условия</t>
  </si>
  <si>
    <t>Мебель и оборудование</t>
  </si>
  <si>
    <t>Благоустройство и подготовка к открытию</t>
  </si>
  <si>
    <t>дата начала</t>
  </si>
  <si>
    <t>дата конца</t>
  </si>
  <si>
    <t>Итого инвестиционные затраты на создание отеля</t>
  </si>
  <si>
    <t>Итого расходы на получение технических условий</t>
  </si>
  <si>
    <t>руб. / кв. м.</t>
  </si>
  <si>
    <t>Количество номеров</t>
  </si>
  <si>
    <t>номеров</t>
  </si>
  <si>
    <t>Площадь Конференц-зоны</t>
  </si>
  <si>
    <t>Площадь Ресторана</t>
  </si>
  <si>
    <t>Итого расходы на мебель и оборудование</t>
  </si>
  <si>
    <t>руб. / номер</t>
  </si>
  <si>
    <t>Итого расходы на благоустройство</t>
  </si>
  <si>
    <t>Итого инвестиционные затраты на создание</t>
  </si>
  <si>
    <t>кварталы</t>
  </si>
  <si>
    <t>Инвестиционные затраты (в базовых ценах без НДС)</t>
  </si>
  <si>
    <t>Инвестиционные затраты (в прогнозных ценах без НДС)</t>
  </si>
  <si>
    <t>Целевая загрузка</t>
  </si>
  <si>
    <t>Стартовая загрузка номера</t>
  </si>
  <si>
    <t>Целевая загрузка номера</t>
  </si>
  <si>
    <t>Шаг прироста загрузки</t>
  </si>
  <si>
    <t>Кол-во периодов для выхода на целевую загрузку</t>
  </si>
  <si>
    <t>период</t>
  </si>
  <si>
    <t>Проданные номера</t>
  </si>
  <si>
    <t>чел. / номер</t>
  </si>
  <si>
    <t>человек</t>
  </si>
  <si>
    <t>рублей</t>
  </si>
  <si>
    <t>Базовая средняя стоимость без завтрака (на основе объектов аналогов) - Standard</t>
  </si>
  <si>
    <t>Номерной фонд, в т.ч.:</t>
  </si>
  <si>
    <t>Средневзвешенное значение</t>
  </si>
  <si>
    <t>руб.</t>
  </si>
  <si>
    <t>Динамика стоимости в зависимости от категории туриста</t>
  </si>
  <si>
    <t>Бизнес-туристы / корпоративное бронирование</t>
  </si>
  <si>
    <t>Индивидуальный</t>
  </si>
  <si>
    <t>OTA (онлайн туристические агентства)</t>
  </si>
  <si>
    <t>Динамика стоимости в зависимости от сезона</t>
  </si>
  <si>
    <t>Средний сезон</t>
  </si>
  <si>
    <t>Низкий сезон</t>
  </si>
  <si>
    <t>Высокий сезон</t>
  </si>
  <si>
    <t>Структура продаж номеров</t>
  </si>
  <si>
    <t>Кол-во номеров</t>
  </si>
  <si>
    <t>Ко-во дней в низком сезоне</t>
  </si>
  <si>
    <t>Ко-во дней в среднем сезоне</t>
  </si>
  <si>
    <t>Ко-во дней в высоком сезоне</t>
  </si>
  <si>
    <t>Номерной фонд по типам продаж - низкий сезон</t>
  </si>
  <si>
    <t>Номерной фонд по типам продаж - средний сезон</t>
  </si>
  <si>
    <t>Номерной фонд по типам продаж - высокий сезон</t>
  </si>
  <si>
    <t>Стоимость номера по типам продаж - низкий сезон</t>
  </si>
  <si>
    <t>Стоимость номера по типам продаж - средний сезон</t>
  </si>
  <si>
    <t>Стоимость номера по типам продаж - высокий сезон</t>
  </si>
  <si>
    <t>номера</t>
  </si>
  <si>
    <t>Итого: выручка номерного департамента в прогнозных ценах без НДС</t>
  </si>
  <si>
    <t>Средняя стоимость номера (ADR), без НДС</t>
  </si>
  <si>
    <t>мест</t>
  </si>
  <si>
    <t>Количество посадочных мест</t>
  </si>
  <si>
    <t>Общие предпосылки</t>
  </si>
  <si>
    <t>чел. в день</t>
  </si>
  <si>
    <t>число гостей с улицы на завтрак</t>
  </si>
  <si>
    <t>число гостей с улицы на обед</t>
  </si>
  <si>
    <t>число гостей с улицы на ужин</t>
  </si>
  <si>
    <t>Средний чек (без НДС) - обед</t>
  </si>
  <si>
    <t>Средний чек (без НДС) - ужин</t>
  </si>
  <si>
    <t>Средний чек (без НДС) - лаундж-зона</t>
  </si>
  <si>
    <t>число гостей с улицы в лаундж-зоне</t>
  </si>
  <si>
    <t>число гостей с улицы в лаундж зоне</t>
  </si>
  <si>
    <t>Выручка номерного фонда</t>
  </si>
  <si>
    <t>Выручка номерного фонда в сутки</t>
  </si>
  <si>
    <t>Выручка от завтраков</t>
  </si>
  <si>
    <t>Выручка от обедов</t>
  </si>
  <si>
    <t>Выручка от ужинов</t>
  </si>
  <si>
    <t>Выручка от лаундж-зоны</t>
  </si>
  <si>
    <t>Выручка F&amp;B в сутки</t>
  </si>
  <si>
    <t>Выручка от продажи номеров</t>
  </si>
  <si>
    <t>Выручка от продажи еды и напитков</t>
  </si>
  <si>
    <t>Выручка по направлениям</t>
  </si>
  <si>
    <t>Выручка F&amp;B в % от общей выручки</t>
  </si>
  <si>
    <t>Выручка номерного фонда в % от общей выручки</t>
  </si>
  <si>
    <t>Итого: выручка F&amp;B в прогнозных ценах без НДС</t>
  </si>
  <si>
    <t>Итого: прочая выручка в прогнозных ценах без НДС</t>
  </si>
  <si>
    <t>Средняя стоимость номера (ADR) без НДС</t>
  </si>
  <si>
    <t>Предпосылки по стоимости номеров</t>
  </si>
  <si>
    <t>Предпосылки по заполняемости</t>
  </si>
  <si>
    <t>Предпосылки по food&amp;beverage</t>
  </si>
  <si>
    <t>Стартовая загрузка</t>
  </si>
  <si>
    <t xml:space="preserve">Прямые расходы </t>
  </si>
  <si>
    <t>Заработная плата</t>
  </si>
  <si>
    <t>Себестоимость</t>
  </si>
  <si>
    <t>Затраты номерного фонда (в % от выручки номерного фонда)</t>
  </si>
  <si>
    <t>Затраты food&amp;beverage (в % от выручки F&amp;B)</t>
  </si>
  <si>
    <t>Затраты прочие (в % от прочей выручки)</t>
  </si>
  <si>
    <t>Административные расходы</t>
  </si>
  <si>
    <t>IT расходы</t>
  </si>
  <si>
    <t>Маркетинг и продажи номеров</t>
  </si>
  <si>
    <t>Коммунальные платежи</t>
  </si>
  <si>
    <t>Эксплуатация и ремонт</t>
  </si>
  <si>
    <t>Базовое вознаграждение</t>
  </si>
  <si>
    <t>Лицензионное вознаграждение</t>
  </si>
  <si>
    <t>Вознаграждение за маркетинг</t>
  </si>
  <si>
    <t>Поощрительное вознаграждение</t>
  </si>
  <si>
    <t>Резервный фонд</t>
  </si>
  <si>
    <t xml:space="preserve">Ставка страхования в год </t>
  </si>
  <si>
    <t>% от стоимости имущества</t>
  </si>
  <si>
    <t>% от общей выручки</t>
  </si>
  <si>
    <t>% от выручки от продажи НФ</t>
  </si>
  <si>
    <t>% от операционной прибыли</t>
  </si>
  <si>
    <t>Предпосылки по стоимости номеров (без НДС)</t>
  </si>
  <si>
    <t>Предпосылки по food&amp;beverage (без НДС)</t>
  </si>
  <si>
    <t>Выручка food&amp;beverage</t>
  </si>
  <si>
    <t>Выручка прочая</t>
  </si>
  <si>
    <t>Переменные расходы номерного фонда</t>
  </si>
  <si>
    <t>Переменные расходы food&amp;beverage</t>
  </si>
  <si>
    <t>Расходы номерного фонда (в % от выручки номерного фонда)</t>
  </si>
  <si>
    <t>Расходы food&amp;beverage (в % от выручки F&amp;B)</t>
  </si>
  <si>
    <t>Расходы прочие (в % от прочей выручки)</t>
  </si>
  <si>
    <t>Переменные прочие расходы</t>
  </si>
  <si>
    <t>Прочие эксплуатационные расходы</t>
  </si>
  <si>
    <t>Предпосылки по прочим эксплуатационным расходам</t>
  </si>
  <si>
    <t>Прочие фиксированные расходы</t>
  </si>
  <si>
    <t>Итого: прочие эксплуатационные расходы в прогнозных ценах без НДС</t>
  </si>
  <si>
    <t>НДС с себестоимости</t>
  </si>
  <si>
    <t>НДС с капитальных вложений</t>
  </si>
  <si>
    <t>Прочие эксплуатационные затраты</t>
  </si>
  <si>
    <t>прочие эксплуатационные расходы</t>
  </si>
  <si>
    <t>Предпосылки по прочим фиксированным расходам</t>
  </si>
  <si>
    <t>Прочие фиксированные расходы (в прогнозных ценах без НДС)</t>
  </si>
  <si>
    <t>Прочие эксплуатационные расходы (в прогнозных ценах без НДС)</t>
  </si>
  <si>
    <t>Объем страхового покрытия</t>
  </si>
  <si>
    <t>Ввод в эксплуатацию - Прочее</t>
  </si>
  <si>
    <t>Ставка страхования</t>
  </si>
  <si>
    <t>Валовая операционная прибыль (убыток)</t>
  </si>
  <si>
    <t>Расходы на страхование</t>
  </si>
  <si>
    <t>Расходы по налогу на имущество</t>
  </si>
  <si>
    <t>Итого: прочие фиксированные расходы в прогнозных ценах без НДС</t>
  </si>
  <si>
    <t>Итого: себестоимость в прогнозных ценах без НДС</t>
  </si>
  <si>
    <t>Собственные средства</t>
  </si>
  <si>
    <t>Рычаг для финансирования инвестиционных расходов</t>
  </si>
  <si>
    <t>Взнос в УК</t>
  </si>
  <si>
    <t>Предоставление займа</t>
  </si>
  <si>
    <t>Параметры заемного финансирования (банковский кредит)</t>
  </si>
  <si>
    <t>Общие зоны/коридоры</t>
  </si>
  <si>
    <t>Стандартный номер (Standard)</t>
  </si>
  <si>
    <t>Покрытие кредита денежным потоком</t>
  </si>
  <si>
    <t>Выплата тела долга</t>
  </si>
  <si>
    <t xml:space="preserve">Выплата процентов </t>
  </si>
  <si>
    <t>СFADS на этапе погашения кредита</t>
  </si>
  <si>
    <t>Основные результаты</t>
  </si>
  <si>
    <t>Профиль возврата кредитных средств</t>
  </si>
  <si>
    <t>Денежные потоки</t>
  </si>
  <si>
    <t>Стоимость получения техусловий</t>
  </si>
  <si>
    <t>Стоимость СМР на 1 кв.м. общей площади в ГВС</t>
  </si>
  <si>
    <t xml:space="preserve">Единовременное количество гостей </t>
  </si>
  <si>
    <t>Выручка по прочим услугам</t>
  </si>
  <si>
    <t>Базовая средняя стоимость без завтрака (на основе объектов аналогов), без НДС</t>
  </si>
  <si>
    <t>Итого продажи номеров</t>
  </si>
  <si>
    <t>% гостей, кто обедает</t>
  </si>
  <si>
    <t>% гостей, кто ужинает</t>
  </si>
  <si>
    <t>% гостей, кто посещает лаундж-зону</t>
  </si>
  <si>
    <t>Распределение года по сезонам</t>
  </si>
  <si>
    <t>Листы финансовой модели</t>
  </si>
  <si>
    <t>Титул</t>
  </si>
  <si>
    <t>Краткие сведения о проекте</t>
  </si>
  <si>
    <t>Навигация по основным листам и блокам / используемые форматы и стили</t>
  </si>
  <si>
    <t>Контр_панель</t>
  </si>
  <si>
    <t xml:space="preserve">Управление расчетами и результирующие показатели </t>
  </si>
  <si>
    <t>Допущения для расчетов</t>
  </si>
  <si>
    <t>Расчеты</t>
  </si>
  <si>
    <t>Ключевые расчеты финансовой модели</t>
  </si>
  <si>
    <t>Логические проверки целостности и аккуратности расчетов</t>
  </si>
  <si>
    <t>Свод</t>
  </si>
  <si>
    <t>Сводные результирующие данные расчетов</t>
  </si>
  <si>
    <t>Ключевые блоки рабочего листа "Расчеты"</t>
  </si>
  <si>
    <t>Флаги и счетчики для осуществления расчетов</t>
  </si>
  <si>
    <t>Управленческие и административные расходы</t>
  </si>
  <si>
    <t>Инвестиционные показатели</t>
  </si>
  <si>
    <t>Показатели обслуживания заемных средств</t>
  </si>
  <si>
    <t>Блок управления сценариями - изменяемые параметры финансовой модели</t>
  </si>
  <si>
    <t>Технико-экономические параметры гостиничного комплекса</t>
  </si>
  <si>
    <t>Протяженность подъездных автомобильных дорог</t>
  </si>
  <si>
    <t>Протяженность внутрисекторальных дорог</t>
  </si>
  <si>
    <t>Количество пропускных пунктов</t>
  </si>
  <si>
    <t>км</t>
  </si>
  <si>
    <t>км.</t>
  </si>
  <si>
    <t>шт.</t>
  </si>
  <si>
    <t>Стоимость километра строительства подъездных дорог</t>
  </si>
  <si>
    <t>тыс. руб. / км</t>
  </si>
  <si>
    <t>Стоимость километра строительства внутрисекторальных дорог</t>
  </si>
  <si>
    <t>Стоимость строительства пропускного пункта</t>
  </si>
  <si>
    <t>Итого расходы на проектирование объекта размещения</t>
  </si>
  <si>
    <t>Прочие / непредвиденные расходы</t>
  </si>
  <si>
    <t>Протяженность газопровода</t>
  </si>
  <si>
    <t>Протяженность линий электросетей</t>
  </si>
  <si>
    <t>Протяженность линий теплосетей</t>
  </si>
  <si>
    <t>Протяженность магистральных водоводов</t>
  </si>
  <si>
    <t>Протяженность системы водоотведения и канализации</t>
  </si>
  <si>
    <t>Стоимость километра газопровода</t>
  </si>
  <si>
    <t>Стоимость километра линии электросетей</t>
  </si>
  <si>
    <t>Стоимость километра линии теплосетей</t>
  </si>
  <si>
    <t>Стоимость километра магистральных водоводов</t>
  </si>
  <si>
    <t>Стоимость километра системы водоотведения и канализации</t>
  </si>
  <si>
    <t>Итого расходы на создание объектов коммунальной инфраструктуры</t>
  </si>
  <si>
    <t>Стоимость строительства</t>
  </si>
  <si>
    <t>Дополнительные расходы</t>
  </si>
  <si>
    <t>Общие расходы на создание объектов</t>
  </si>
  <si>
    <t>Протяженность линии связи (ВОЛС)</t>
  </si>
  <si>
    <t>Стоимость километра линии связи (ВОЛС)</t>
  </si>
  <si>
    <t>Прочие объекты обеспечивающей инфраструктуры</t>
  </si>
  <si>
    <t>Расходы на проектирование</t>
  </si>
  <si>
    <t>График выполнения работ по созданию объекта размещения</t>
  </si>
  <si>
    <t>Расходы на технические условия и наружные сети</t>
  </si>
  <si>
    <t>Итого расходы на создание / строительство</t>
  </si>
  <si>
    <t>Расходы на мебель и оборудование</t>
  </si>
  <si>
    <t>Расходы на благоустройство</t>
  </si>
  <si>
    <t>Создание / строительство</t>
  </si>
  <si>
    <t>Расходы на получение технических условий и мощностей</t>
  </si>
  <si>
    <t>Стоимость создания / строительства</t>
  </si>
  <si>
    <t>Общие расходы на создание</t>
  </si>
  <si>
    <t>График выполнения работ по созданию объектов</t>
  </si>
  <si>
    <t xml:space="preserve">График выполнения работ по созданию объектов </t>
  </si>
  <si>
    <t>Итого общие расходы на создание объектов</t>
  </si>
  <si>
    <t>Итого расходы на создание объектов</t>
  </si>
  <si>
    <t>ед.</t>
  </si>
  <si>
    <t>тыс. руб. / ед.</t>
  </si>
  <si>
    <t>Итого: инвестиционные затраты в прогнозных ценах без НДС</t>
  </si>
  <si>
    <t>Итого: инвестиционные затраты в базовых ценах без НДС</t>
  </si>
  <si>
    <t>Стоимость создания объекта</t>
  </si>
  <si>
    <t>Количество объектов в рамках кластера</t>
  </si>
  <si>
    <t>Доля сегмента в общих инвестиционных затратах</t>
  </si>
  <si>
    <t>Создание сегмента</t>
  </si>
  <si>
    <t>Первый период этапа создания</t>
  </si>
  <si>
    <t>Последний период этапа создания</t>
  </si>
  <si>
    <t>Дата начала стадии создания кластера</t>
  </si>
  <si>
    <t>Дата окончания стадии создания кластера</t>
  </si>
  <si>
    <t>Здания и сооружения (инфраструктурные объекты)</t>
  </si>
  <si>
    <t>Контрольные проверки финансовой модели</t>
  </si>
  <si>
    <t>Выбор № сценария реализации проекта</t>
  </si>
  <si>
    <t>Структура проекта</t>
  </si>
  <si>
    <t>в проекте</t>
  </si>
  <si>
    <t>да</t>
  </si>
  <si>
    <t>Ключевые результаты по сценариям реализации проекта</t>
  </si>
  <si>
    <t>[•] Транспортная инфраструктура</t>
  </si>
  <si>
    <t>[•] Коммунальная инфраструктура</t>
  </si>
  <si>
    <t>[•] Прочая обеспечивающая инфраструктура</t>
  </si>
  <si>
    <t>Предпосылки по посещаемости</t>
  </si>
  <si>
    <t>Номер года эксплуатации</t>
  </si>
  <si>
    <t>Итого инвестиционные затраты проекта</t>
  </si>
  <si>
    <t xml:space="preserve">Прочие доходы </t>
  </si>
  <si>
    <t>Прочие доходы в % от основной выручки</t>
  </si>
  <si>
    <t>Предпосылки по структуре выручки</t>
  </si>
  <si>
    <t>Выручка (в прогнозных ценах без НДС)</t>
  </si>
  <si>
    <t>Выручка прочая в % от общей выручки</t>
  </si>
  <si>
    <t>Выручка общая (в прогнозных ценах без НДС)</t>
  </si>
  <si>
    <t>Сценарные параметры структуры проекта и инвестиционных затрат</t>
  </si>
  <si>
    <t>Сценарные параметры выручки проекта</t>
  </si>
  <si>
    <t>Корректировка величины выручки по направлениям</t>
  </si>
  <si>
    <t>Выручка спортивно-рекреационного объекта</t>
  </si>
  <si>
    <t>Предпосылки по доходам</t>
  </si>
  <si>
    <t>Доля доходов от прочей коммерческой инфраструктуры</t>
  </si>
  <si>
    <t>% от выручки по направлению</t>
  </si>
  <si>
    <t>Инвестиционные затраты на создание / строительство (в прогнозных ценах без НДС)</t>
  </si>
  <si>
    <t>Выручка по направлениям (в прогнозных ценах без НДС)</t>
  </si>
  <si>
    <t>Итого выручка проекта</t>
  </si>
  <si>
    <t>Эксплуатационные расходы</t>
  </si>
  <si>
    <t>Эксплуатационные расходы в прогнозных ценах (без НДС)</t>
  </si>
  <si>
    <t>Коммерческие и административные расходы, признанные в составе основных средств</t>
  </si>
  <si>
    <t>Коммерческие и административные расходы, признанные в отчете о прибылях и убытках</t>
  </si>
  <si>
    <t>Коммерческие и административные расходы для целей расчета НДС</t>
  </si>
  <si>
    <t>Эксплуатационные расходы для целей расчета НДС</t>
  </si>
  <si>
    <t>Эксплуатационные расходы для целей отражения в отчете о прибылях и убытках</t>
  </si>
  <si>
    <t>вне проекта</t>
  </si>
  <si>
    <t xml:space="preserve">Минимальная величина выручки от объектов коммерческой инфраструктуры </t>
  </si>
  <si>
    <t>тыс. руб. в год</t>
  </si>
  <si>
    <t>% от стоимости создания в год</t>
  </si>
  <si>
    <t>Предпосылки по расходам на содержание и обслуживание инфраструктуры</t>
  </si>
  <si>
    <t>Расходы на содержание и обслуживание инфраструктуры (в прогнозных ценах без НДС)</t>
  </si>
  <si>
    <t>Расходы на персонал</t>
  </si>
  <si>
    <t>Заработная плата работников ГЛК трассы</t>
  </si>
  <si>
    <t>Заработная плата работников Лифтов</t>
  </si>
  <si>
    <t>Заработная плата работников Техники</t>
  </si>
  <si>
    <t>тыс. руб. / в год</t>
  </si>
  <si>
    <t>Предпосылки по эксплуатационным расходам</t>
  </si>
  <si>
    <t>Предпосылки по прямым эксплуатационным расходам</t>
  </si>
  <si>
    <t>Прямые эксплуатационные расходы (в прогнозных ценах без НДС)</t>
  </si>
  <si>
    <t>ГЛК трасс</t>
  </si>
  <si>
    <t>Лифты</t>
  </si>
  <si>
    <t>Техническое обслуживание и ремонт</t>
  </si>
  <si>
    <t>Техника</t>
  </si>
  <si>
    <t>Топливо</t>
  </si>
  <si>
    <t>Эксплуатационные расходы в % от выручки</t>
  </si>
  <si>
    <t>Общая выручка объекта (-ов)</t>
  </si>
  <si>
    <t>Инвестиционные затраты проекта</t>
  </si>
  <si>
    <t>Выручка проекта</t>
  </si>
  <si>
    <t>Эксплуатационные затраты проекта</t>
  </si>
  <si>
    <t>Сценарные параметры эксплуатационных расходов проекта</t>
  </si>
  <si>
    <t>[+/-] Изменение затрат на объекты инфраструктуры</t>
  </si>
  <si>
    <t>Эксплуатационные расходы по направлениям (в прогнозных ценах без НДС)</t>
  </si>
  <si>
    <t>Итого эксплуатационные расходы проекта</t>
  </si>
  <si>
    <t>Дата разработки модели:</t>
  </si>
  <si>
    <t>тыс. руб. / шт.</t>
  </si>
  <si>
    <t>Заработная плата работников Системы искусственного оснежения</t>
  </si>
  <si>
    <t>Материальные затраты</t>
  </si>
  <si>
    <t>Система искусственного оснежения</t>
  </si>
  <si>
    <t>Расходы на получение технических условий и мощности</t>
  </si>
  <si>
    <t>Доступные для сдачи номера в периоде</t>
  </si>
  <si>
    <t>Количество гостей в отеле в периоде</t>
  </si>
  <si>
    <t>Общая выручка за период</t>
  </si>
  <si>
    <t>Общее кол-во занятых номеров за период</t>
  </si>
  <si>
    <t>Итого целевая выборка средств на этапе создания объекта</t>
  </si>
  <si>
    <t>Период создания объекта</t>
  </si>
  <si>
    <t>Отчетность</t>
  </si>
  <si>
    <t>Выручка от реализации</t>
  </si>
  <si>
    <t>Получено от реализации</t>
  </si>
  <si>
    <t>Вход в проект</t>
  </si>
  <si>
    <t>Нахождение в проекте</t>
  </si>
  <si>
    <t>(+) амортизация</t>
  </si>
  <si>
    <t>(-) капитальные / инвестиционные затраты</t>
  </si>
  <si>
    <t>(+/-) изменения оборотного капитала</t>
  </si>
  <si>
    <t>Свободный денежный поток проекта (FCFF)</t>
  </si>
  <si>
    <t>Ставка дисконтирования</t>
  </si>
  <si>
    <t>x</t>
  </si>
  <si>
    <t>Фактор дисконтирования</t>
  </si>
  <si>
    <t>x.xx</t>
  </si>
  <si>
    <t>Дисконтированный свободный денежный поток (DCF)</t>
  </si>
  <si>
    <t>EV (Enterprise Value)</t>
  </si>
  <si>
    <t>Net Debt</t>
  </si>
  <si>
    <t>Необходимое акционерное финансирование проекта - УК</t>
  </si>
  <si>
    <t>Долг на конец периода</t>
  </si>
  <si>
    <t>Терминальная стоимость</t>
  </si>
  <si>
    <t>Темп роста в постпрогнозном периоде</t>
  </si>
  <si>
    <t>EqV (Equity Value)</t>
  </si>
  <si>
    <t>Дивиденды полученные</t>
  </si>
  <si>
    <t>Выход из инвестиции</t>
  </si>
  <si>
    <t>Налог на дивиденды</t>
  </si>
  <si>
    <t>Налог на прирост капитала</t>
  </si>
  <si>
    <t>IRR денежного потока инвестора (до налогов)</t>
  </si>
  <si>
    <t>IRR денежного потока инвестора (после налогов)</t>
  </si>
  <si>
    <t>Денежный поток инвестора (до налогов)</t>
  </si>
  <si>
    <t>Денежный поток инвестора (после налогов)</t>
  </si>
  <si>
    <t>Оценка проекта в рамках реализации опциона</t>
  </si>
  <si>
    <t>Номер периода (оценка на момент выхода из проекта)</t>
  </si>
  <si>
    <t>ДОХОДНОСТЬ ИНВЕСТОРА</t>
  </si>
  <si>
    <t>Доля участия в капитале проекта</t>
  </si>
  <si>
    <t>Дата начала эксплуатации</t>
  </si>
  <si>
    <t>Дата выхода из инвестиции</t>
  </si>
  <si>
    <t>Прогнозные показатели финансовой модели для расчетов</t>
  </si>
  <si>
    <t>Плановый объем инвестиций с учетом доли участия</t>
  </si>
  <si>
    <t>Флаги для расчетов</t>
  </si>
  <si>
    <t>Выход из проекта</t>
  </si>
  <si>
    <t>н.пр.</t>
  </si>
  <si>
    <t>Площадь Фитнес-зал</t>
  </si>
  <si>
    <t>общие параметры</t>
  </si>
  <si>
    <t>Параметры для оценки чувствительности</t>
  </si>
  <si>
    <t>Изменение выручки</t>
  </si>
  <si>
    <t>Revenue_sens</t>
  </si>
  <si>
    <t>Изменение капитальных вложений</t>
  </si>
  <si>
    <t>Capex_sens</t>
  </si>
  <si>
    <t>Изменение эксплуатационных затрат</t>
  </si>
  <si>
    <t>Opex_sens</t>
  </si>
  <si>
    <t>Изменение ставки по заемным средствам</t>
  </si>
  <si>
    <t>Debt_rate_sens</t>
  </si>
  <si>
    <t>Результаты анализа чувствительности</t>
  </si>
  <si>
    <t>NPV Проекта, 
млн руб.</t>
  </si>
  <si>
    <t>Операционные расходы, в % от базового уровня</t>
  </si>
  <si>
    <t>Капитальные вложения, 
в % от базового уровня</t>
  </si>
  <si>
    <t>IRR инвестора (продажа через опцион), млн руб.</t>
  </si>
  <si>
    <t>Ставка по заемным средствам, процентных пунктов от базового уровня</t>
  </si>
  <si>
    <t>Выручка проекта, 
в % от базового уровня</t>
  </si>
  <si>
    <t>РАСЧЕТЫ БЮДЖЕТНОЙ ЭФФЕКТИВНОСТИ ПРОЕКТА</t>
  </si>
  <si>
    <t>Результаты расчета бюджетной эффективности проекта</t>
  </si>
  <si>
    <t>Прямые бюджетные расходы</t>
  </si>
  <si>
    <t>Прямые бюджетные доходы</t>
  </si>
  <si>
    <t>Косвенные бюджетные доходы</t>
  </si>
  <si>
    <t>Дисконтированные бюджетные прямые расходы</t>
  </si>
  <si>
    <t>Дисконтированные бюджетные прямые доходы</t>
  </si>
  <si>
    <t>Дисконтированные бюджетные косвенные доходы</t>
  </si>
  <si>
    <t>NPV бюджетных денежных потоков</t>
  </si>
  <si>
    <t>Индекс бюджетной эффективности</t>
  </si>
  <si>
    <t>% годовых</t>
  </si>
  <si>
    <t>https://www.rusbonds.ru/ank_obl.asp?tool=153478</t>
  </si>
  <si>
    <t>Бюджетная ставка дисконтирования</t>
  </si>
  <si>
    <t>Коэффициент дисконтирования</t>
  </si>
  <si>
    <t>Консолидированный бюджет: бюджетная эффективность проекта</t>
  </si>
  <si>
    <t>Прямые расходы бюджета</t>
  </si>
  <si>
    <t>Расходы средств бюджетов на этапе создания объекта</t>
  </si>
  <si>
    <t>Расходы средств бюджетов на этапе эксплуатации объекта</t>
  </si>
  <si>
    <t>Итого прямые расходы бюджетной системы</t>
  </si>
  <si>
    <t>Прямые доходы бюджета</t>
  </si>
  <si>
    <t>Налоговые поступления</t>
  </si>
  <si>
    <t>Терминальная стоимость налоговых поступлений</t>
  </si>
  <si>
    <t>Итого прямые доходы бюджетной системы</t>
  </si>
  <si>
    <t>Косвенные доходы бюджета</t>
  </si>
  <si>
    <r>
      <t xml:space="preserve">Прирост бюджетных доходов (налоговые поступления) на этапе строительства </t>
    </r>
    <r>
      <rPr>
        <sz val="10"/>
        <color rgb="FFC00000"/>
        <rFont val="Arial"/>
        <family val="2"/>
        <charset val="204"/>
      </rPr>
      <t>[нет оценки]</t>
    </r>
  </si>
  <si>
    <r>
      <t xml:space="preserve">Прирост бюджетных доходов (налоговые поступления) на этапе эксплуатации </t>
    </r>
    <r>
      <rPr>
        <sz val="10"/>
        <color rgb="FFC00000"/>
        <rFont val="Arial"/>
        <family val="2"/>
        <charset val="204"/>
      </rPr>
      <t>[нет оценки]</t>
    </r>
  </si>
  <si>
    <t>Итого косвенные доходы бюджетной системы</t>
  </si>
  <si>
    <t>Суммарные денежные потоки проекта</t>
  </si>
  <si>
    <t>Расчет налоговых поступлений от проекта</t>
  </si>
  <si>
    <t>Консолидированный бюджет</t>
  </si>
  <si>
    <t>(+) Налог на прибыль организаций</t>
  </si>
  <si>
    <t>(+) Налог на имущество</t>
  </si>
  <si>
    <t>(+/-) Налог на добавленную стоимость</t>
  </si>
  <si>
    <t>(+) Социальные отчисления</t>
  </si>
  <si>
    <t>(+) НДФЛ</t>
  </si>
  <si>
    <t>Итого поступления в консолидированный бюджет</t>
  </si>
  <si>
    <t>Федеральный уровень бюджета</t>
  </si>
  <si>
    <t>Итого поступления в бюджет федерального уровня</t>
  </si>
  <si>
    <t>Региональный уровень бюджета</t>
  </si>
  <si>
    <t>Итого поступления в бюджет регионального уровня</t>
  </si>
  <si>
    <t>Распределение поступлений по уровням бюджета</t>
  </si>
  <si>
    <t>Налог на имущество - федеральная часть</t>
  </si>
  <si>
    <t>Налог на имущество - региональная часть</t>
  </si>
  <si>
    <t>НДС - федеральная часть</t>
  </si>
  <si>
    <t>НДС - региональная часть</t>
  </si>
  <si>
    <t>Социальные отчисления - федеральная часть</t>
  </si>
  <si>
    <t>Социальные отчисления - региональная часть</t>
  </si>
  <si>
    <t>НДФЛ - федеральная часть</t>
  </si>
  <si>
    <t>НДФЛ - региональная часть</t>
  </si>
  <si>
    <t>Расчеты по НДС</t>
  </si>
  <si>
    <t>Поступление по НДС</t>
  </si>
  <si>
    <t>Расчеты по социальным отчислениям и НДФЛ</t>
  </si>
  <si>
    <t>Статьи расходов ФОТ (с учетом социальных взносов)</t>
  </si>
  <si>
    <t>Зарплаты + премии (gross)</t>
  </si>
  <si>
    <t>ПФ</t>
  </si>
  <si>
    <t>ФСС</t>
  </si>
  <si>
    <t>ФОМС</t>
  </si>
  <si>
    <t>Страхование от несчастных случаев</t>
  </si>
  <si>
    <t>Итого расходы на ФОТ</t>
  </si>
  <si>
    <t>НДФЛ</t>
  </si>
  <si>
    <t>Социальные взносы</t>
  </si>
  <si>
    <t>Налоговые предпосылки по ФОТ (в % от выручки)</t>
  </si>
  <si>
    <t>нет</t>
  </si>
  <si>
    <t>Терминальная стоимость проекта</t>
  </si>
  <si>
    <t>Свободные денежные потоки по проекту (FCFF)</t>
  </si>
  <si>
    <t>Использование в расчетах денежных потоков терминальной стоимости
(Terminal Value по формуле Гордона)</t>
  </si>
  <si>
    <t>Наличие непогашенного долга на конец периода</t>
  </si>
  <si>
    <t>Расчет LLCR</t>
  </si>
  <si>
    <t>Баланс старшего долга на начало периода</t>
  </si>
  <si>
    <t>CFADS за период</t>
  </si>
  <si>
    <t>Стоимость долга за период (средневзвешенная)</t>
  </si>
  <si>
    <t>Дисконт-фактор</t>
  </si>
  <si>
    <t>Чистая приведенная стоимость CFADS</t>
  </si>
  <si>
    <t>Прогнозные формы отчетности (Баланс, ОПУ, ОДДС)</t>
  </si>
  <si>
    <t>Расчет макроэкономических индексов</t>
  </si>
  <si>
    <t>Расчет инвестиционных затрат проекта (CAPEX)</t>
  </si>
  <si>
    <t>Расчет амортизационных отчислений по ОС и НМА</t>
  </si>
  <si>
    <t>Расчет прямой производственной себестоимости</t>
  </si>
  <si>
    <t>Расчет административных расходов</t>
  </si>
  <si>
    <t>Расчет налогооблагаемой базы и налога на прибыль</t>
  </si>
  <si>
    <t>Расчет налогооблагаемой базы и налога на имущество</t>
  </si>
  <si>
    <t>Расчет доступного денежного потока и выплаты дивидендов</t>
  </si>
  <si>
    <t>Расчет финансовых показателей и коэффициентов</t>
  </si>
  <si>
    <t>Расчет показателей обслуживания заемных средств</t>
  </si>
  <si>
    <t>Расчет доходов по проекту</t>
  </si>
  <si>
    <t>Расчет денежного потока по оборотному капиталу</t>
  </si>
  <si>
    <t>Расчет активов и обязательств по НДС</t>
  </si>
  <si>
    <t>Источники денежных средств и направления их использования</t>
  </si>
  <si>
    <t>Расчет инвестиционных показателей проекта в целом и показателей для акционеров</t>
  </si>
  <si>
    <t>Прочие расходы (в части инфраструктурных объектов)</t>
  </si>
  <si>
    <t>Прочие расходы (в части зданий и сооружений)</t>
  </si>
  <si>
    <t>Прочие расходы (в части мебели и оборудования)</t>
  </si>
  <si>
    <t>Разделение прочих расходов на этапе создания по группам ОС</t>
  </si>
  <si>
    <t>Обнуление оборотного капитала в конце периода прогнозирования</t>
  </si>
  <si>
    <t>да/нет</t>
  </si>
  <si>
    <t>Сценарий управления оборотным капиталов в конце прогнозного периода</t>
  </si>
  <si>
    <t>Флаг - обнуление оборотного капитала в конце прогнозного периода</t>
  </si>
  <si>
    <t>Безрисковая ставка (Rf) - 10Y Treasury Bonds</t>
  </si>
  <si>
    <t>Рыночная премия (MRp) - Damodaran May 2022</t>
  </si>
  <si>
    <t>Кадастровая стоимость земельного участка</t>
  </si>
  <si>
    <t>Расходы по налогу на землю</t>
  </si>
  <si>
    <t>Денежный поток в годовом выражении (до налогов)</t>
  </si>
  <si>
    <t>Денежный поток в годовом выражении (после налогов)</t>
  </si>
  <si>
    <t>Мультипликатор EV/EBITDA на момент выхода из проекта</t>
  </si>
  <si>
    <t>Ставка НДС - общая</t>
  </si>
  <si>
    <t>Ставка НДС - льготная для выручки туристических объектов</t>
  </si>
  <si>
    <t>Срок действия льготной ставки НДС с даты ввода объекта в эксплуатацию</t>
  </si>
  <si>
    <t>Существующее имущество, вносимое в проект</t>
  </si>
  <si>
    <t>Взнос земельных участков</t>
  </si>
  <si>
    <t>Взнос земельного участка</t>
  </si>
  <si>
    <t>Существующее недвижимое имущество</t>
  </si>
  <si>
    <t>Земельный участок</t>
  </si>
  <si>
    <t>Учет земельного участка в составе проекта</t>
  </si>
  <si>
    <t>Ввод в эксплуатацию - Земельный участок</t>
  </si>
  <si>
    <t>Увеличение акционерного капитала для финансирования проекта</t>
  </si>
  <si>
    <t>Имущественные взносы в капитал - существующее недвижимое имущество</t>
  </si>
  <si>
    <t>Имущественные взносы в капитал - земельный участок</t>
  </si>
  <si>
    <t>Расчет необходимости в привлечении средств [если применимо]</t>
  </si>
  <si>
    <t>Расчет привлечения и погашения кредитных средств [если применимо]</t>
  </si>
  <si>
    <t>Расчет привлечения и погашения акционерных средств [если применимо]</t>
  </si>
  <si>
    <t>Взнос существующего недвижимого имущества, облагаемого НДС</t>
  </si>
  <si>
    <t>Взнос существующего недвижимого имущества, не облагаемого НДС</t>
  </si>
  <si>
    <t>Ввод в эксплуатацию - Здания и сооружения - существующее имущество</t>
  </si>
  <si>
    <t>Дата ввода в эксплуатацию существующего недвижимого имущества</t>
  </si>
  <si>
    <t>НДС с коммерческих и административных расходов</t>
  </si>
  <si>
    <t>Мультипликатор EV/FCFF на момент выхода из проекта</t>
  </si>
  <si>
    <t>Доходность гособлигаций РФ в долларах - RUS-47</t>
  </si>
  <si>
    <t>Объект размещения (отель)</t>
  </si>
  <si>
    <t>Транспортная инфраструктура</t>
  </si>
  <si>
    <t>Коммунальная инфраструктура</t>
  </si>
  <si>
    <t>Прочая обеспечивающая инфраструктура</t>
  </si>
  <si>
    <t>Флаг - ввод в эксплуатацию - Существующее имущество</t>
  </si>
  <si>
    <t>Корректировка величины расходов по направлениям</t>
  </si>
  <si>
    <t>Общая поддерживающая инфраструктура</t>
  </si>
  <si>
    <t>Повышение стоимости номеров в период действия льготы по НДС</t>
  </si>
  <si>
    <t>Выручка объекта размещения (без учета доп. дохода от применения льготы по НДС)</t>
  </si>
  <si>
    <t>Выручка для целей расчета НДС по обычной ставке</t>
  </si>
  <si>
    <t>Выручка для целей расчета НДС по льготной ставке</t>
  </si>
  <si>
    <t>Выручка номерного фонда (без учета действия льготы по НДС)</t>
  </si>
  <si>
    <t>Общая выручка (без учета действия льготы по НДС)</t>
  </si>
  <si>
    <t>Общая выручка объекта (-ов) (без учета действия льготы по НДС)</t>
  </si>
  <si>
    <t>Операционная прибыль (без учета действия льготы по НДС)</t>
  </si>
  <si>
    <t>Финансирование процентов и прочих расходов по кредиту только за счет средств акционеров</t>
  </si>
  <si>
    <t>Учет остатков денежных средств при погашении долга</t>
  </si>
  <si>
    <t>Метод расчет денежных потоков для акционеров</t>
  </si>
  <si>
    <t>(-) налог на прибыль (скорректированный)</t>
  </si>
  <si>
    <t>Ставка налога на прибыль общая</t>
  </si>
  <si>
    <t>Ставка налога на прибыль при выплате дивидендов</t>
  </si>
  <si>
    <t>Источники и направления финансирования</t>
  </si>
  <si>
    <t>Источники финансирования инвестиционного проекта</t>
  </si>
  <si>
    <t>Взносы в уставной капитал</t>
  </si>
  <si>
    <t>Банковский кредит</t>
  </si>
  <si>
    <t>Прочие источники</t>
  </si>
  <si>
    <t>Направления финансирования инвестиционного проекта</t>
  </si>
  <si>
    <t>Уменьшение денежных средств на счетах</t>
  </si>
  <si>
    <t>Обслуживание займов и кредитов</t>
  </si>
  <si>
    <t>Проценты по кредитам и займам</t>
  </si>
  <si>
    <t>Возврат банковского кредита</t>
  </si>
  <si>
    <t>Возврат акционерного займа</t>
  </si>
  <si>
    <t>Оплата НДС</t>
  </si>
  <si>
    <t>Прочие направления</t>
  </si>
  <si>
    <t>Прочие поступления</t>
  </si>
  <si>
    <t>Денежные взносы инвестора</t>
  </si>
  <si>
    <t>Имущественные взносы инвестора</t>
  </si>
  <si>
    <t>Доля инвестора в уставном капитале</t>
  </si>
  <si>
    <t>Источники и направления финансирования инвестиционных затрат</t>
  </si>
  <si>
    <t>тыс.руб.</t>
  </si>
  <si>
    <t>Ед.изм.</t>
  </si>
  <si>
    <t>Итого направления финансирования</t>
  </si>
  <si>
    <t>Итого источники финансирования</t>
  </si>
  <si>
    <t>Корректировка стоимости инвестиционных затрат на сопутствующую инфраструктуру</t>
  </si>
  <si>
    <t>Корректировка стоимости инвестиционных затрат на ключевые объекты</t>
  </si>
  <si>
    <t>Распределение сезонной загрузки по кварталам</t>
  </si>
  <si>
    <t>годовая загрузка</t>
  </si>
  <si>
    <t>Сезонные колебания загрузки</t>
  </si>
  <si>
    <t>Уровень загрузки по периодам прогнозирования без сезонных колебаний</t>
  </si>
  <si>
    <t>Дополнительный доход номерного департамента от применения льготной ставки НДС</t>
  </si>
  <si>
    <t>Проверка (источники = направлениям финансирования)</t>
  </si>
  <si>
    <t>кварталов</t>
  </si>
  <si>
    <t>НДФЛ (доля распределения в федеральный бюджет)</t>
  </si>
  <si>
    <t>НДФЛ (доля распределения в местный бюджет)</t>
  </si>
  <si>
    <t>НДФЛ (доля распределения в бюджет поселения)</t>
  </si>
  <si>
    <t>НДФЛ (базовая ставка)</t>
  </si>
  <si>
    <t>Страховые взносы с ФОТ (ставки общие)</t>
  </si>
  <si>
    <t>Аренда земли</t>
  </si>
  <si>
    <t>Операционный денежный поток (OCF)</t>
  </si>
  <si>
    <t>Исключение из OCF процентных платежей, скорректированных на налог на прибыль</t>
  </si>
  <si>
    <t>Инвестиционный денежный поток (ICF)</t>
  </si>
  <si>
    <t>Налог на прибыль - ставка федеральная часть</t>
  </si>
  <si>
    <t>Налог на прибыль - ставка региональная часть</t>
  </si>
  <si>
    <t>Площади номерного фонда</t>
  </si>
  <si>
    <t>Ввод в эксплуатацию - Капитализированные расходы по процентам и банковским комиссиям</t>
  </si>
  <si>
    <t>Налог на прибыль - ставка федеральная часть (повышенная ставка)</t>
  </si>
  <si>
    <t>Последний год действия повышенной ставки налога на прибыль, зачисляемого в федеральный бюджет</t>
  </si>
  <si>
    <t>Предпосылки по прочей выручке</t>
  </si>
  <si>
    <t>% от выручки номерного фонда и food&amp;beverage</t>
  </si>
  <si>
    <t>Налоговые предпосылки по ФОТ</t>
  </si>
  <si>
    <t>Формирование УК до начала кредитования</t>
  </si>
  <si>
    <t>ПРОГНОЗНАЯ ФИНАНСОВАЯ ОТЧЕТНОСТЬ ПО ГОДАМ</t>
  </si>
  <si>
    <t>Прочие расходы, облагаемые НДС</t>
  </si>
  <si>
    <t>Внеоборотные активы, внесенные в уставной капитал, без НДС</t>
  </si>
  <si>
    <t>Финансирование капитальных затрат, без НДС</t>
  </si>
  <si>
    <t>Минимальный требуемый остаток денежных средств на конец периода</t>
  </si>
  <si>
    <t>прогнозные цены</t>
  </si>
  <si>
    <t>Услуги застройщика/технического заказчика</t>
  </si>
  <si>
    <t>Общая сумма капитальных затрат проекта (без НДС)</t>
  </si>
  <si>
    <t>Итого внесено акционерного капитала</t>
  </si>
  <si>
    <t>Flag_Historical</t>
  </si>
  <si>
    <t>Flag_Construction</t>
  </si>
  <si>
    <t>Flag_Operations</t>
  </si>
  <si>
    <t>Flag_Forecast</t>
  </si>
  <si>
    <t>Инвестиционный период, включая исторический</t>
  </si>
  <si>
    <t>Flag_Invest</t>
  </si>
  <si>
    <t>Flag_Financial_Model</t>
  </si>
  <si>
    <t>Коэффициент корректировки затрат на инфраструктуру</t>
  </si>
  <si>
    <r>
      <t>[</t>
    </r>
    <r>
      <rPr>
        <sz val="10"/>
        <color theme="1"/>
        <rFont val="Calibri"/>
        <family val="2"/>
        <charset val="204"/>
      </rPr>
      <t>•</t>
    </r>
    <r>
      <rPr>
        <sz val="10"/>
        <color theme="1"/>
        <rFont val="Arial"/>
        <family val="2"/>
        <charset val="204"/>
      </rPr>
      <t>] Корректировка затрат на инфраструктуру</t>
    </r>
  </si>
  <si>
    <t>Доля площади в ГВС в площади в ГНС</t>
  </si>
  <si>
    <t>Благоустройство</t>
  </si>
  <si>
    <t>Подготовка к открытию</t>
  </si>
  <si>
    <t>Эксплуатационные расходы, включаемые в первоначальную стоимость основных средств</t>
  </si>
  <si>
    <t>Чистая прибыль от операционной деятельности</t>
  </si>
  <si>
    <t>Капитализируемые операционные расходы, без НДС</t>
  </si>
  <si>
    <t>Среднее количество гостей на проданный номер</t>
  </si>
  <si>
    <t>Неденежные активы, внесенные инвесторами в уставной капитал для целей учета НДС к вычету</t>
  </si>
  <si>
    <t>НДС к вычету с неденежных активов, внесенных инвесторами в уставной капитал</t>
  </si>
  <si>
    <t>НДС, принятый к вычету с неденежных активов, поступивший в составе взноса в уставной капитал</t>
  </si>
  <si>
    <t>Длительность нахождения в проекте на операционном этапе</t>
  </si>
  <si>
    <t>года/лет</t>
  </si>
  <si>
    <t>Календарный квартал</t>
  </si>
  <si>
    <t>Год, начиная с которого возможен полный учет полученных налоговых убытков предыдущих периодов</t>
  </si>
  <si>
    <t>Прогноз МЭР на период до 2036 г. (от 28.11.2018 г.), до 2025 г. (от 28.09.2022 г.), до 2026 г. (от 22.09.2023 г.)</t>
  </si>
  <si>
    <t>Доля ключевой ставки</t>
  </si>
  <si>
    <t>Ставка по старшему долгу (несубсидируемая доля ключевой ставки ЦБ)</t>
  </si>
  <si>
    <t>Доля ключевой ставки ЦБ плюс маржа</t>
  </si>
  <si>
    <t>Доля ЦБ + маржа / фиксированная</t>
  </si>
  <si>
    <t>Доля несубсидируемой части ключевой ставки ЦБ</t>
  </si>
  <si>
    <t>Базовый сценарий</t>
  </si>
  <si>
    <t>Сценарий - Ключавая ставка ЦБ</t>
  </si>
  <si>
    <t>Предпосылки расчета инвестиционной доходности инвестора</t>
  </si>
  <si>
    <t>Денежный поток инвестора</t>
  </si>
  <si>
    <t>Гостиница UAI 5*</t>
  </si>
  <si>
    <t>Улучшенный номер (Джуниор сьют)</t>
  </si>
  <si>
    <t>Люкс</t>
  </si>
  <si>
    <t>Сьют</t>
  </si>
  <si>
    <t>Площадь объектов в рамках кластера</t>
  </si>
  <si>
    <t>Бассейны открытие</t>
  </si>
  <si>
    <t>Детские и спортивные площадки</t>
  </si>
  <si>
    <t>Фитнес-зал, СПА, бассейн</t>
  </si>
  <si>
    <t>Развлекательный комплекс</t>
  </si>
  <si>
    <t>Стоимость создания открытых бассейнов</t>
  </si>
  <si>
    <t>площадь</t>
  </si>
  <si>
    <t>Стоимость создания детских бассейнов</t>
  </si>
  <si>
    <t>Спортивная и детские площадки</t>
  </si>
  <si>
    <t>Прирост стоимости для категории улучшенного номера (Джуниор сьют)</t>
  </si>
  <si>
    <t>Средний чек (без НДС) - Пакет "Все включено"</t>
  </si>
  <si>
    <t>Улучшенный номер Дж.сьют</t>
  </si>
  <si>
    <t xml:space="preserve">Люкс </t>
  </si>
  <si>
    <t>Прирост стоимость категории улучшенного номера Дж.сьют</t>
  </si>
  <si>
    <t>Средняя стоимость улучшенного номера Дж.сьют</t>
  </si>
  <si>
    <t xml:space="preserve">Прирост стоимость категории номера люкс </t>
  </si>
  <si>
    <t xml:space="preserve">Средняя стоимость номера люкс </t>
  </si>
  <si>
    <t>Рестораны, лобби бар, бар</t>
  </si>
  <si>
    <t xml:space="preserve">Лобби / лаундж-зона </t>
  </si>
  <si>
    <t>Спа с аква термальной зоной, финтнес центром</t>
  </si>
  <si>
    <t>Пент хаус</t>
  </si>
  <si>
    <t>Резиденция с 1 спальней</t>
  </si>
  <si>
    <t>Резиденция с 2 спальнями</t>
  </si>
  <si>
    <t>Бассейны для детей</t>
  </si>
  <si>
    <t>Крытый парк развлечений</t>
  </si>
  <si>
    <t>% Пакет "Ультра все включено"</t>
  </si>
  <si>
    <t>Авиатранспорт</t>
  </si>
  <si>
    <t>Автомобильный транспорт</t>
  </si>
  <si>
    <t>Ж/д транспорт</t>
  </si>
  <si>
    <t>Автобусный транспорт</t>
  </si>
  <si>
    <t>Комбинированные виды транспорта</t>
  </si>
  <si>
    <t>Отель (вкл. мини-отели)</t>
  </si>
  <si>
    <t>Гостевой дом</t>
  </si>
  <si>
    <t>Апартаменты</t>
  </si>
  <si>
    <t>Хостел</t>
  </si>
  <si>
    <t>Москва</t>
  </si>
  <si>
    <t>Ставропольский край</t>
  </si>
  <si>
    <t>Чеченская республика</t>
  </si>
  <si>
    <t>Краснодарский край</t>
  </si>
  <si>
    <t>Санкт-Петербург</t>
  </si>
  <si>
    <t>Северная Осетия, Астраханская область, Ростовская область, Башкортостан, Татарстан</t>
  </si>
  <si>
    <t>Пегас</t>
  </si>
  <si>
    <t>Яндекс.Путешествия</t>
  </si>
  <si>
    <t>Ostrovok.ru</t>
  </si>
  <si>
    <t>МТС Travel / Bronevik</t>
  </si>
  <si>
    <t>Алеан</t>
  </si>
  <si>
    <t>101Hotels.com</t>
  </si>
  <si>
    <t>Zabroniryi.ru</t>
  </si>
  <si>
    <t>Otello</t>
  </si>
  <si>
    <t>Acase.ru</t>
  </si>
  <si>
    <t>Дельфин</t>
  </si>
  <si>
    <t>Городские отели</t>
  </si>
  <si>
    <t>Загородные отели</t>
  </si>
  <si>
    <t>Курортные отели</t>
  </si>
  <si>
    <t>Санатории</t>
  </si>
  <si>
    <t>Бронирования через ОТА</t>
  </si>
  <si>
    <t>Прямые бронирования</t>
  </si>
  <si>
    <t>5 звёзд</t>
  </si>
  <si>
    <t>4 звезды</t>
  </si>
  <si>
    <t>3 звезды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</si>
  <si>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</si>
  <si>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</si>
  <si>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</si>
  <si>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</si>
  <si>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</si>
  <si>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</si>
  <si>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</si>
  <si>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</si>
  <si>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</si>
  <si>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Ноябрь</t>
  </si>
  <si>
    <t>Декабрь</t>
  </si>
  <si>
    <t>Наименование</t>
  </si>
  <si>
    <t>Город</t>
  </si>
  <si>
    <t>Категория</t>
  </si>
  <si>
    <t>5*</t>
  </si>
  <si>
    <t>Анапа</t>
  </si>
  <si>
    <t>Отель «Alean Family Resort &amp; SPA Doville»</t>
  </si>
  <si>
    <t>Отель "Город MIRA"</t>
  </si>
  <si>
    <t>Отель Movenpik resort&amp;spa</t>
  </si>
  <si>
    <t>Отель FЮNF LUXURY resort&amp;spa</t>
  </si>
  <si>
    <t>завтрак</t>
  </si>
  <si>
    <t>обед+ужин</t>
  </si>
  <si>
    <t>Стоимость высокий сезон (август)
uai/FB</t>
  </si>
  <si>
    <t>Стоимость низкий сезон (февраль)
uai/FB</t>
  </si>
  <si>
    <t>Radisson Collection Paradise Resort &amp; Spa</t>
  </si>
  <si>
    <t>ужин</t>
  </si>
  <si>
    <t>2023г КСР Минтуризм РД</t>
  </si>
  <si>
    <t>5 звёзд*</t>
  </si>
  <si>
    <t>*всего 1 отель 5* на 31 номер, поэтому прогноз загрузки на 4*</t>
  </si>
  <si>
    <t>Ср.значение</t>
  </si>
  <si>
    <t>1 кв</t>
  </si>
  <si>
    <t>2 кв</t>
  </si>
  <si>
    <t>Октябрь</t>
  </si>
  <si>
    <t>3 кв</t>
  </si>
  <si>
    <t>4 кв</t>
  </si>
  <si>
    <t>Поквартальная загрузка</t>
  </si>
  <si>
    <t>Количество гостей</t>
  </si>
  <si>
    <t>человек в номере</t>
  </si>
  <si>
    <t>Прирост стоимости для категории номера Люкс</t>
  </si>
  <si>
    <t>Прирост стоимости для категории номера пент-хаус</t>
  </si>
  <si>
    <t>Прирост стоимости для категории номера сьют</t>
  </si>
  <si>
    <t>Вилла</t>
  </si>
  <si>
    <t>ср.значение js</t>
  </si>
  <si>
    <t>ср.значение люкс</t>
  </si>
  <si>
    <t>Прирост по категории</t>
  </si>
  <si>
    <t>ср.значение пент-хаус</t>
  </si>
  <si>
    <t>ср.значение Сьют</t>
  </si>
  <si>
    <t>индексация на 2025 год</t>
  </si>
  <si>
    <t>ср.цена FB</t>
  </si>
  <si>
    <t>с учетом индексации</t>
  </si>
  <si>
    <t>ОЭЗ</t>
  </si>
  <si>
    <t>Резиденция студия</t>
  </si>
  <si>
    <t>Прирост стоимость категории номера Пент хаус</t>
  </si>
  <si>
    <t>Средняя стоимость номера Пентхаус</t>
  </si>
  <si>
    <t xml:space="preserve">Прирост стоимость категории номера сьют </t>
  </si>
  <si>
    <t>Средняя стоимость номера сьют</t>
  </si>
  <si>
    <t>Сценарий использования НДС на инвестиционной фазе</t>
  </si>
  <si>
    <t>НДС на инвестиционной фазе: возмещается в течение инвест.фазы или накапливается?</t>
  </si>
  <si>
    <t>Накапливается</t>
  </si>
  <si>
    <t>Возмещается</t>
  </si>
  <si>
    <t>Сценарий возмещения НДС на инвестиционной фазе</t>
  </si>
  <si>
    <t>% гостей, UAI</t>
  </si>
  <si>
    <t>Средний чек (без НДС) - UAI</t>
  </si>
  <si>
    <t>№</t>
  </si>
  <si>
    <t>ОТДЕЛ</t>
  </si>
  <si>
    <t>ДОЛЖНОСТЬ</t>
  </si>
  <si>
    <t>Кол-во    единиц</t>
  </si>
  <si>
    <t>ИТОГО</t>
  </si>
  <si>
    <t xml:space="preserve">Администрация </t>
  </si>
  <si>
    <t>Генеральный директор</t>
  </si>
  <si>
    <t xml:space="preserve">Заместитель Генерального директора </t>
  </si>
  <si>
    <t>Операционный директор</t>
  </si>
  <si>
    <t>Руководитель отдела кадров</t>
  </si>
  <si>
    <t>Делопроизводитель</t>
  </si>
  <si>
    <t>Финансовый контролер</t>
  </si>
  <si>
    <t>Складское хозяйство отеля и технической службы</t>
  </si>
  <si>
    <t>Заведующий складом</t>
  </si>
  <si>
    <t>Кладовщик</t>
  </si>
  <si>
    <t>Отдел по охране труда</t>
  </si>
  <si>
    <t>Специалист по охране труда</t>
  </si>
  <si>
    <t>Финансовая служба</t>
  </si>
  <si>
    <t>Главный бухгалтер</t>
  </si>
  <si>
    <t>Зам.гл. бухгалтер</t>
  </si>
  <si>
    <t>Бухгалтер по расчету зарплаты</t>
  </si>
  <si>
    <t>Бухгалтер кассир</t>
  </si>
  <si>
    <t>Калькулятор</t>
  </si>
  <si>
    <t>Бухгалтер</t>
  </si>
  <si>
    <t>Складское хозяйство(F&amp;B)</t>
  </si>
  <si>
    <t>Кладовщик-оператор</t>
  </si>
  <si>
    <t>Помощник кладовщика</t>
  </si>
  <si>
    <t>Руководитель склада</t>
  </si>
  <si>
    <t>Детский центр</t>
  </si>
  <si>
    <t>Администратор детского клуба</t>
  </si>
  <si>
    <t>Отдел продаж и маркетинга</t>
  </si>
  <si>
    <t>Руководитель отдела продаж</t>
  </si>
  <si>
    <t>Менеджер по работе с группами и корпоративными клиентами</t>
  </si>
  <si>
    <t xml:space="preserve">Менеджер по бронированию </t>
  </si>
  <si>
    <t>Оператор колл-центра</t>
  </si>
  <si>
    <t>Служба путешествий</t>
  </si>
  <si>
    <t>Администратор службы путешествий</t>
  </si>
  <si>
    <t>Диспетчер</t>
  </si>
  <si>
    <t>Координатор службы путешествий</t>
  </si>
  <si>
    <t>СПиР</t>
  </si>
  <si>
    <t>Руководитель СПиР</t>
  </si>
  <si>
    <t>Администратор службы приема и размещения</t>
  </si>
  <si>
    <t>Менеджер по работе с клиентами</t>
  </si>
  <si>
    <t>СГХ</t>
  </si>
  <si>
    <t xml:space="preserve">Старшая горничная </t>
  </si>
  <si>
    <t>Супервайзер</t>
  </si>
  <si>
    <t>Супервайзер общественных зон</t>
  </si>
  <si>
    <t>Старший оператор прачечной</t>
  </si>
  <si>
    <t>Оператор прачечной</t>
  </si>
  <si>
    <t>Швея</t>
  </si>
  <si>
    <t>Специалист по уборке помещений</t>
  </si>
  <si>
    <t>Бригадир комплексных рабочих</t>
  </si>
  <si>
    <t>Комплексный рабочий</t>
  </si>
  <si>
    <t>АКВА центр и СПА</t>
  </si>
  <si>
    <t>Менеджер СПА и АКВА</t>
  </si>
  <si>
    <t>Администратор аквацентра</t>
  </si>
  <si>
    <t>Косметик-эстетист</t>
  </si>
  <si>
    <t>Инструктор-спасатель</t>
  </si>
  <si>
    <t>Администратор</t>
  </si>
  <si>
    <t>Оператор по обсуживанию бассейна</t>
  </si>
  <si>
    <t>Служба питания и напитков</t>
  </si>
  <si>
    <t>Руководитель службы питания и напитков</t>
  </si>
  <si>
    <t>Менеджер ресторана</t>
  </si>
  <si>
    <t>Бар-менеджер</t>
  </si>
  <si>
    <t>Бармен</t>
  </si>
  <si>
    <t>Старший официант</t>
  </si>
  <si>
    <t>Официант</t>
  </si>
  <si>
    <t>Хостес</t>
  </si>
  <si>
    <t>Мойщица посуды</t>
  </si>
  <si>
    <t>Шеф-повар</t>
  </si>
  <si>
    <t>Су-шеф</t>
  </si>
  <si>
    <t>Старший повар шведского стола</t>
  </si>
  <si>
    <t>Повар на шведскую линию</t>
  </si>
  <si>
    <t>Сервис менеджер</t>
  </si>
  <si>
    <t>Повар рабочая столовая</t>
  </si>
  <si>
    <t>Повар гриль</t>
  </si>
  <si>
    <t>Пиццамейкер (роллы)</t>
  </si>
  <si>
    <t>Повар горячий цех</t>
  </si>
  <si>
    <t>Старший повар холодного цеха</t>
  </si>
  <si>
    <t>Повар холодого цеха</t>
  </si>
  <si>
    <t>Повар - кондитер</t>
  </si>
  <si>
    <t>Старший повар - заготовка</t>
  </si>
  <si>
    <t>Повар - заготовщик</t>
  </si>
  <si>
    <t>Повар по лепке(пельменей,вареников)</t>
  </si>
  <si>
    <t>Повар (фудтрак)</t>
  </si>
  <si>
    <t>Помощник повара</t>
  </si>
  <si>
    <t>Уборщица/посудомойщица рабочей столовой</t>
  </si>
  <si>
    <t>Агроном</t>
  </si>
  <si>
    <t>Отдел маркетинга</t>
  </si>
  <si>
    <t>Маркетолог</t>
  </si>
  <si>
    <t>Менеджер по маркетингу и рекламе</t>
  </si>
  <si>
    <t>Арт-отдел</t>
  </si>
  <si>
    <t>аниматоры</t>
  </si>
  <si>
    <t>Техническая служба</t>
  </si>
  <si>
    <t>Технический директор</t>
  </si>
  <si>
    <t>Инженер технической службы</t>
  </si>
  <si>
    <t>Системный администратор</t>
  </si>
  <si>
    <t>Специалист по информационным технологиям</t>
  </si>
  <si>
    <t>Электрик</t>
  </si>
  <si>
    <t>Сантехник</t>
  </si>
  <si>
    <t>Техник\водоподготовка</t>
  </si>
  <si>
    <t>Энергетик</t>
  </si>
  <si>
    <t>Бригадир</t>
  </si>
  <si>
    <t>Рабочий технической службы</t>
  </si>
  <si>
    <t>Транспортная служба</t>
  </si>
  <si>
    <t>Заведующий гаражом</t>
  </si>
  <si>
    <t>Механик</t>
  </si>
  <si>
    <t>Водитель автобуса</t>
  </si>
  <si>
    <t>Водитель автомобиля</t>
  </si>
  <si>
    <t>Тракторист</t>
  </si>
  <si>
    <t>Служба внутреннего контроля</t>
  </si>
  <si>
    <t>Руководитель службы контроля</t>
  </si>
  <si>
    <t>Контролер</t>
  </si>
  <si>
    <t>Парковая служба</t>
  </si>
  <si>
    <t>Мастер парковой службы</t>
  </si>
  <si>
    <t>Бригадир парковой службы</t>
  </si>
  <si>
    <t>Рабочий парковой службы</t>
  </si>
  <si>
    <t>ФЗП</t>
  </si>
  <si>
    <t>10% подменный фонд</t>
  </si>
  <si>
    <t>Индексация</t>
  </si>
  <si>
    <t>Доля%</t>
  </si>
  <si>
    <t>Доля в руб</t>
  </si>
  <si>
    <t>Выручка в базовых ценах</t>
  </si>
  <si>
    <t>Отель</t>
  </si>
  <si>
    <t>FB</t>
  </si>
  <si>
    <t>Прочие</t>
  </si>
  <si>
    <t>Отдельные показатели деятельности организаций туриндустрии (по сумме кодов ОКВЭД2, входящих в собирательную группировку "Туризм") в 2024 г.</t>
  </si>
  <si>
    <t>Наименование статистических показателей</t>
  </si>
  <si>
    <t>Единица измерения</t>
  </si>
  <si>
    <t>2024 *</t>
  </si>
  <si>
    <t xml:space="preserve">январь </t>
  </si>
  <si>
    <t>февраль</t>
  </si>
  <si>
    <t>март</t>
  </si>
  <si>
    <t>апрель</t>
  </si>
  <si>
    <t>май</t>
  </si>
  <si>
    <t>чел.</t>
  </si>
  <si>
    <t>ФОТ % от базовой выручки</t>
  </si>
  <si>
    <t>Горничная</t>
  </si>
  <si>
    <t>доп за UAI</t>
  </si>
  <si>
    <t>Прогноз</t>
  </si>
  <si>
    <t>Стоимость высокий сезон (август) без питания</t>
  </si>
  <si>
    <t>Стоимость низкий сезон (февраль) без питания</t>
  </si>
  <si>
    <t>Площадь</t>
  </si>
  <si>
    <t>Номер площадь</t>
  </si>
  <si>
    <t>Прогноз стоимости питания</t>
  </si>
  <si>
    <t>Расчет стоимости номера категории стандарт (базовая цена)</t>
  </si>
  <si>
    <t>Структура продаж</t>
  </si>
  <si>
    <t>Акционерный заем\коммерческий кредит</t>
  </si>
  <si>
    <t xml:space="preserve">ЦБ + маржа </t>
  </si>
  <si>
    <t>Процентная ставка-маржа  по акционерному займу</t>
  </si>
  <si>
    <t>Маржа Процентная ставка по заемным средствам</t>
  </si>
  <si>
    <t>Акционерный займ\Коммерческий кредит</t>
  </si>
  <si>
    <t>Официальный сайт Центрального Банка РФ (Прогноз от 26.07.2024 г.)</t>
  </si>
  <si>
    <t>Заемные средства-льготный кредит</t>
  </si>
  <si>
    <t>Средняя цена стандарт с применением понижающего коэффициента 0,9</t>
  </si>
  <si>
    <t>Резеденция студия</t>
  </si>
  <si>
    <t>Прирост стоимости для категории номера резиденция студия</t>
  </si>
  <si>
    <t>Прирост стоимости для категории номера резиденция с 1 спальней</t>
  </si>
  <si>
    <t>Прирост стоимости для категории номера резиденция с 2 спальнями</t>
  </si>
  <si>
    <t>Прирост стоимости для категории номера вилла</t>
  </si>
  <si>
    <t xml:space="preserve">Прирост стоимость категории номера студия </t>
  </si>
  <si>
    <t>Средняя стоимость номера студия</t>
  </si>
  <si>
    <t>Прирост стоимость категории номера с 1 спальней</t>
  </si>
  <si>
    <t>Средняя стоимость номера с 1 спальней</t>
  </si>
  <si>
    <t>Прирост стоимость категории номера с 2 спальнями</t>
  </si>
  <si>
    <t>Средняя стоимость номера с 2 спальнями</t>
  </si>
  <si>
    <t>Прирост стоимость категории номера вилла</t>
  </si>
  <si>
    <t>Средняя стоимость номера вилла</t>
  </si>
  <si>
    <t>FCFF</t>
  </si>
  <si>
    <t>FCFE</t>
  </si>
  <si>
    <t>Доля туристов по типу транспорта</t>
  </si>
  <si>
    <t>Доля по типу средств размещения</t>
  </si>
  <si>
    <t>Регионы бронирования</t>
  </si>
  <si>
    <t>Доля ОТА по РД</t>
  </si>
  <si>
    <t>Конкурентная панель, данные 2024 года</t>
  </si>
  <si>
    <t>Прирост сезонность</t>
  </si>
  <si>
    <t>Значение в целях ФЭМ</t>
  </si>
  <si>
    <t>СР.значение по аналогам</t>
  </si>
  <si>
    <t>Тип номера ФЭМ</t>
  </si>
  <si>
    <t>Прирост, %</t>
  </si>
  <si>
    <t>ср.значение номер стандарт</t>
  </si>
  <si>
    <t>Базовая цена без НДС</t>
  </si>
  <si>
    <t>Анализ стоимости питания</t>
  </si>
  <si>
    <t>Цена, руб</t>
  </si>
  <si>
    <t>Тип питания</t>
  </si>
  <si>
    <t>Завтрак</t>
  </si>
  <si>
    <t>Сочи</t>
  </si>
  <si>
    <t>обед</t>
  </si>
  <si>
    <t>ср.цена пакета UAI на 2025 без НДС</t>
  </si>
  <si>
    <t>Месяц</t>
  </si>
  <si>
    <t>Загрузка в месяц</t>
  </si>
  <si>
    <t>Загрузка в квартал</t>
  </si>
  <si>
    <t>Прогноз среднего количества гостей на проданный номер</t>
  </si>
  <si>
    <t>Состав</t>
  </si>
  <si>
    <t>группа коллег</t>
  </si>
  <si>
    <t>группа взрослых родственников</t>
  </si>
  <si>
    <t>вдвоем с супругой</t>
  </si>
  <si>
    <t>семьи с детьми</t>
  </si>
  <si>
    <t>Департамент</t>
  </si>
  <si>
    <r>
      <t>Средняя численность работников</t>
    </r>
    <r>
      <rPr>
        <vertAlign val="superscript"/>
        <sz val="10"/>
        <color indexed="8"/>
        <rFont val="Arial Narrow"/>
        <family val="2"/>
        <charset val="204"/>
      </rPr>
      <t>1</t>
    </r>
  </si>
  <si>
    <r>
      <t>Среднесписочная численность работников (без внешних совместителей и работников, выполнявших работы по договорам гражданско-правового характера)</t>
    </r>
    <r>
      <rPr>
        <vertAlign val="superscript"/>
        <sz val="10"/>
        <color indexed="8"/>
        <rFont val="Arial Narrow"/>
        <family val="2"/>
        <charset val="204"/>
      </rPr>
      <t xml:space="preserve"> 1</t>
    </r>
  </si>
  <si>
    <r>
      <t>Среднемесячная начисленная заработная плата работников</t>
    </r>
    <r>
      <rPr>
        <vertAlign val="superscript"/>
        <sz val="10"/>
        <color indexed="8"/>
        <rFont val="Arial Narrow"/>
        <family val="2"/>
        <charset val="204"/>
      </rPr>
      <t>1</t>
    </r>
  </si>
  <si>
    <r>
      <t>1</t>
    </r>
    <r>
      <rPr>
        <sz val="10"/>
        <color theme="1"/>
        <rFont val="Arial Narrow"/>
        <family val="2"/>
        <charset val="204"/>
      </rPr>
      <t xml:space="preserve"> </t>
    </r>
    <r>
      <rPr>
        <sz val="10"/>
        <color indexed="8"/>
        <rFont val="Arial Narrow"/>
        <family val="2"/>
        <charset val="204"/>
      </rPr>
      <t>Без учета субъектов малого предпринимательства.</t>
    </r>
  </si>
  <si>
    <r>
      <t>*</t>
    </r>
    <r>
      <rPr>
        <sz val="10"/>
        <color theme="1"/>
        <rFont val="Arial Narrow"/>
        <family val="2"/>
        <charset val="204"/>
      </rPr>
      <t xml:space="preserve"> </t>
    </r>
    <r>
      <rPr>
        <sz val="10"/>
        <color indexed="8"/>
        <rFont val="Arial Narrow"/>
        <family val="2"/>
        <charset val="204"/>
      </rPr>
      <t>Без учета статистической информации по Донецкой Народной Республике (ДНР), Луганской Народной Республике (ЛНР), Запорожской и Херсонской областям.</t>
    </r>
  </si>
  <si>
    <t>МФЗ+Ltncrbq rke,</t>
  </si>
  <si>
    <t>Акционеры</t>
  </si>
  <si>
    <t>Кредит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</si>
</sst>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2">
    <numFmt numFmtId="164" formatCode="_-* #,##0\ _₽_-;\-* #,##0\ _₽_-;_-* &quot;-&quot;\ _₽_-;_-@_-"/>
    <numFmt numFmtId="165" formatCode="#,##0_ ;\(#,##0\);\-"/>
    <numFmt numFmtId="166" formatCode="#,##0.000_ ;\(#,##0.000\);\-"/>
    <numFmt numFmtId="167" formatCode="0_);\(0\)"/>
    <numFmt numFmtId="168" formatCode="#,##0.00_ ;\(#,##0.00\);\-"/>
    <numFmt numFmtId="169" formatCode="_(* #,##0.00\x_);_(* \(#,##0.00\x\);_(* &quot;-&quot;_);_(@_)"/>
    <numFmt numFmtId="170" formatCode="0.0%"/>
    <numFmt numFmtId="171" formatCode="#,##0_ ;\(#,##0\);\-\ "/>
    <numFmt numFmtId="172" formatCode="#,##0.00_ ;\(#,##0.00\);\-\ "/>
    <numFmt numFmtId="173" formatCode="#,##0.0%;\(#,##0.0%\);\-\ "/>
    <numFmt numFmtId="174" formatCode="#,##0.0_ ;\(#,##0.0\);\-\ "/>
    <numFmt numFmtId="175" formatCode="0&quot; кв.&quot;"/>
    <numFmt numFmtId="176" formatCode="dd\.mm\.yyyy;@"/>
    <numFmt numFmtId="177" formatCode="0.000%"/>
    <numFmt numFmtId="178" formatCode="#,##0.00%;\(#,##0.00%\);\-\ "/>
    <numFmt numFmtId="179" formatCode="#,##0.0_ ;\(#,##0.0\);\-"/>
    <numFmt numFmtId="180" formatCode="_(* #,##0.000\x_);_(* \(#,##0.000\x\);_(* &quot;-&quot;_);_(@_)"/>
    <numFmt numFmtId="181" formatCode="#,##0.000_ ;\(#,##0.000\);\-\ "/>
    <numFmt numFmtId="182" formatCode="#,##0.000000000_ ;\(#,##0.000000000\);\-\ "/>
    <numFmt numFmtId="183" formatCode="&quot;[+/-] Изменение затрат на&quot;\ @"/>
    <numFmt numFmtId="184" formatCode="&quot;Сегмент 0 - период создания -&quot;\ @"/>
    <numFmt numFmtId="185" formatCode="&quot;Сегмент 2 - период создания -&quot;\ @"/>
    <numFmt numFmtId="186" formatCode="&quot;Сегмент 1 - период создания -&quot;\ @"/>
    <numFmt numFmtId="187" formatCode="&quot;Сегмент 3 - период создания -&quot;\ @"/>
    <numFmt numFmtId="188" formatCode="&quot;Сегмент 0: &quot;@"/>
    <numFmt numFmtId="189" formatCode="#,##0_ ;[Red]\(#,##0\);\-"/>
    <numFmt numFmtId="190" formatCode="#,##0.00000_ ;\(#,##0.00000\);\-\ "/>
    <numFmt numFmtId="191" formatCode="0%;"/>
    <numFmt numFmtId="192" formatCode="&quot;Сегмент 1: &quot;@"/>
    <numFmt numFmtId="193" formatCode="&quot;Сегмент 2: &quot;@"/>
    <numFmt numFmtId="194" formatCode="&quot;Сегмент 3: &quot;@"/>
    <numFmt numFmtId="195" formatCode="&quot;[1] &quot;@"/>
    <numFmt numFmtId="196" formatCode="&quot;[2] &quot;@"/>
    <numFmt numFmtId="197" formatCode="&quot;[3] &quot;@"/>
    <numFmt numFmtId="198" formatCode="@&quot; - общие параметры&quot;"/>
    <numFmt numFmtId="199" formatCode="0.0%;;"/>
    <numFmt numFmtId="200" formatCode="0.0%;;\-\ "/>
    <numFmt numFmtId="201" formatCode="0;\-0;\-"/>
    <numFmt numFmtId="202" formatCode="&quot;Сценарий &quot;#"/>
    <numFmt numFmtId="203" formatCode="dd/mm/yyyy;;;"/>
    <numFmt numFmtId="204" formatCode="0;;;"/>
    <numFmt numFmtId="205" formatCode="#,##0\ _₽"/>
    <numFmt numFmtId="206" formatCode="#,##0\ &quot;₽&quot;"/>
    <numFmt numFmtId="207" formatCode="0.0"/>
    <numFmt numFmtId="208" formatCode="#,##0.00\ _₽"/>
    <numFmt numFmtId="209" formatCode="#,##0.00&quot;р.&quot;"/>
    <numFmt numFmtId="210" formatCode="_-* #,##0_р_._-;\-* #,##0_р_._-;_-* &quot;-&quot;??_р_._-;_-@"/>
    <numFmt numFmtId="211" formatCode="_-* #,##0_р_._-;\-* #,##0_р_._-;_-* &quot;-&quot;_р_._-;_-@"/>
    <numFmt numFmtId="212" formatCode="_-* #,##0.0\ _₽_-;\-* #,##0.0\ _₽_-;_-* &quot;-&quot;?\ _₽_-;_-@_-"/>
    <numFmt numFmtId="213" formatCode="#,##0.0"/>
    <numFmt numFmtId="214" formatCode="#,##0&quot;р.&quot;"/>
    <numFmt numFmtId="215" formatCode="_-* #,##0.0_р_._-;\-* #,##0.0_р_._-;_-* &quot;-&quot;??_р_._-;_-@"/>
  </numFmts>
  <fonts count="95"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Arial"/>
      <family val="2"/>
      <charset val="204"/>
    </font>
    <font>
      <b/>
      <sz val="15"/>
      <color rgb="FF0A2896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theme="0" tint="-0.499984740745262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i/>
      <sz val="11"/>
      <color theme="0" tint="-0.499984740745262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8"/>
      <name val="Calibri"/>
      <family val="2"/>
      <charset val="204"/>
    </font>
    <font>
      <sz val="10"/>
      <color rgb="FF646464"/>
      <name val="Calibri"/>
      <family val="2"/>
      <charset val="204"/>
    </font>
    <font>
      <sz val="11"/>
      <color rgb="FF646464"/>
      <name val="Calibri"/>
      <family val="2"/>
      <charset val="204"/>
    </font>
    <font>
      <sz val="10"/>
      <color theme="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20"/>
      <color rgb="FF2CB4C0"/>
      <name val="Arial"/>
      <family val="2"/>
      <charset val="204"/>
    </font>
    <font>
      <sz val="12"/>
      <color theme="1"/>
      <name val="Calibri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  <font>
      <b/>
      <sz val="12"/>
      <color theme="5"/>
      <name val="Arial"/>
      <family val="2"/>
      <charset val="204"/>
    </font>
    <font>
      <b/>
      <sz val="11"/>
      <color theme="8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 tint="-0.499984740745262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sz val="9"/>
      <color theme="1"/>
      <name val="Arial"/>
      <family val="2"/>
      <charset val="204"/>
    </font>
    <font>
      <b/>
      <i/>
      <sz val="10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i/>
      <sz val="10"/>
      <color theme="5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0"/>
      <color theme="0"/>
      <name val="Arial"/>
      <family val="2"/>
      <charset val="204"/>
    </font>
    <font>
      <b/>
      <sz val="11"/>
      <color theme="0"/>
      <name val="Arial"/>
      <family val="2"/>
      <charset val="204"/>
    </font>
    <font>
      <sz val="10"/>
      <color theme="6"/>
      <name val="Arial"/>
      <family val="2"/>
      <charset val="204"/>
    </font>
    <font>
      <sz val="10"/>
      <color theme="5" tint="-0.499984740745262"/>
      <name val="Arial"/>
      <family val="2"/>
      <charset val="204"/>
    </font>
    <font>
      <sz val="11"/>
      <color theme="5" tint="-0.499984740745262"/>
      <name val="Calibri"/>
      <family val="2"/>
      <charset val="204"/>
    </font>
    <font>
      <b/>
      <sz val="10"/>
      <name val="Arial"/>
      <family val="2"/>
      <charset val="204"/>
    </font>
    <font>
      <b/>
      <sz val="11"/>
      <color theme="7" tint="-0.24994659260841701"/>
      <name val="Arial"/>
      <family val="2"/>
      <charset val="204"/>
    </font>
    <font>
      <u/>
      <sz val="11"/>
      <color theme="10"/>
      <name val="Calibri"/>
      <family val="2"/>
      <charset val="204"/>
    </font>
    <font>
      <u/>
      <sz val="11"/>
      <color theme="7" tint="-0.249977111117893"/>
      <name val="Arial"/>
      <family val="2"/>
      <charset val="204"/>
    </font>
    <font>
      <sz val="9.5"/>
      <color theme="0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1"/>
      <color theme="3"/>
      <name val="Arial"/>
      <family val="2"/>
      <charset val="204"/>
    </font>
    <font>
      <sz val="11"/>
      <color theme="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10"/>
      <color theme="5"/>
      <name val="Arial"/>
      <family val="2"/>
      <charset val="204"/>
    </font>
    <font>
      <i/>
      <sz val="10"/>
      <color theme="4"/>
      <name val="Arial"/>
      <family val="2"/>
      <charset val="204"/>
    </font>
    <font>
      <sz val="10"/>
      <color theme="2" tint="-0.749992370372631"/>
      <name val="Arial"/>
      <family val="2"/>
      <charset val="204"/>
    </font>
    <font>
      <i/>
      <u/>
      <sz val="11"/>
      <color theme="10"/>
      <name val="Calibri"/>
      <family val="2"/>
      <charset val="204"/>
    </font>
    <font>
      <sz val="10"/>
      <color rgb="FFC00000"/>
      <name val="Arial"/>
      <family val="2"/>
      <charset val="204"/>
    </font>
    <font>
      <u/>
      <sz val="11"/>
      <color theme="10"/>
      <name val="Arial"/>
      <family val="2"/>
      <charset val="204"/>
    </font>
    <font>
      <u/>
      <sz val="10"/>
      <color theme="7" tint="-0.249977111117893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sz val="11"/>
      <name val="Calibri"/>
      <family val="2"/>
      <charset val="204"/>
      <scheme val="minor"/>
    </font>
    <font>
      <b/>
      <sz val="8"/>
      <color rgb="FF000000"/>
      <name val="Calibri"/>
      <family val="2"/>
      <charset val="204"/>
    </font>
    <font>
      <b/>
      <sz val="7"/>
      <color rgb="FF000000"/>
      <name val="Calibri"/>
      <family val="2"/>
      <charset val="204"/>
    </font>
    <font>
      <b/>
      <sz val="8"/>
      <color theme="1"/>
      <name val="Calibri"/>
      <family val="2"/>
      <charset val="204"/>
    </font>
    <font>
      <sz val="8"/>
      <color rgb="FF000000"/>
      <name val="Calibri"/>
      <family val="2"/>
      <charset val="204"/>
    </font>
    <font>
      <sz val="7"/>
      <color rgb="FF000000"/>
      <name val="Calibri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b/>
      <sz val="7"/>
      <color theme="1"/>
      <name val="Calibri"/>
      <family val="2"/>
      <charset val="204"/>
    </font>
    <font>
      <sz val="7"/>
      <color theme="1"/>
      <name val="Calibri"/>
      <family val="2"/>
      <charset val="204"/>
    </font>
    <font>
      <sz val="10"/>
      <color theme="1"/>
      <name val="Arimo"/>
    </font>
    <font>
      <b/>
      <sz val="10"/>
      <color theme="1"/>
      <name val="Arimo"/>
    </font>
    <font>
      <b/>
      <i/>
      <sz val="10"/>
      <color theme="1"/>
      <name val="Arial"/>
      <family val="2"/>
      <charset val="204"/>
    </font>
    <font>
      <b/>
      <i/>
      <sz val="11"/>
      <name val="Calibri"/>
      <family val="2"/>
      <charset val="204"/>
    </font>
    <font>
      <i/>
      <sz val="10"/>
      <color theme="0"/>
      <name val="Arial"/>
      <family val="2"/>
      <charset val="204"/>
    </font>
    <font>
      <i/>
      <sz val="11"/>
      <color theme="1"/>
      <name val="Arial"/>
      <family val="2"/>
      <charset val="204"/>
    </font>
    <font>
      <sz val="11"/>
      <name val="Arial Narrow"/>
      <family val="2"/>
      <charset val="204"/>
    </font>
    <font>
      <sz val="10"/>
      <name val="Arial Narrow"/>
      <family val="2"/>
      <charset val="204"/>
    </font>
    <font>
      <b/>
      <sz val="11"/>
      <name val="Arial Narrow"/>
      <family val="2"/>
      <charset val="204"/>
    </font>
    <font>
      <b/>
      <i/>
      <sz val="11"/>
      <name val="Arial Narrow"/>
      <family val="2"/>
      <charset val="204"/>
    </font>
    <font>
      <b/>
      <sz val="10"/>
      <name val="Arial Narrow"/>
      <family val="2"/>
      <charset val="204"/>
    </font>
    <font>
      <b/>
      <i/>
      <sz val="10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b/>
      <sz val="10"/>
      <color indexed="8"/>
      <name val="Arial Narrow"/>
      <family val="2"/>
      <charset val="204"/>
    </font>
    <font>
      <sz val="10"/>
      <color indexed="8"/>
      <name val="Arial Narrow"/>
      <family val="2"/>
      <charset val="204"/>
    </font>
    <font>
      <vertAlign val="superscript"/>
      <sz val="10"/>
      <color indexed="8"/>
      <name val="Arial Narrow"/>
      <family val="2"/>
      <charset val="204"/>
    </font>
    <font>
      <sz val="11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E85E8"/>
        <bgColor indexed="64"/>
      </patternFill>
    </fill>
    <fill>
      <patternFill patternType="solid">
        <fgColor theme="3"/>
        <bgColor rgb="FF457FE7"/>
      </patternFill>
    </fill>
    <fill>
      <patternFill patternType="solid">
        <fgColor theme="3"/>
        <bgColor theme="3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theme="8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339966"/>
        <bgColor rgb="FF339966"/>
      </patternFill>
    </fill>
    <fill>
      <patternFill patternType="solid">
        <fgColor rgb="FF99CCFF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3" tint="-0.2499465926084170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/>
      <right/>
      <top/>
      <bottom style="medium">
        <color theme="3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theme="3"/>
      </top>
      <bottom/>
      <diagonal/>
    </border>
    <border>
      <left style="medium">
        <color theme="0"/>
      </left>
      <right style="medium">
        <color theme="0"/>
      </right>
      <top style="medium">
        <color theme="3"/>
      </top>
      <bottom style="medium">
        <color theme="0"/>
      </bottom>
      <diagonal/>
    </border>
    <border>
      <left style="hair">
        <color theme="3"/>
      </left>
      <right style="hair">
        <color theme="3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theme="0"/>
      </left>
      <right/>
      <top style="medium">
        <color theme="0"/>
      </top>
      <bottom style="medium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0"/>
      </right>
      <top/>
      <bottom style="medium">
        <color theme="3"/>
      </bottom>
      <diagonal/>
    </border>
    <border>
      <left style="dashed">
        <color auto="1"/>
      </left>
      <right/>
      <top style="dashed">
        <color auto="1"/>
      </top>
      <bottom style="medium">
        <color theme="3"/>
      </bottom>
      <diagonal/>
    </border>
    <border>
      <left/>
      <right/>
      <top style="dashed">
        <color auto="1"/>
      </top>
      <bottom style="medium">
        <color theme="3"/>
      </bottom>
      <diagonal/>
    </border>
    <border>
      <left/>
      <right style="dashed">
        <color auto="1"/>
      </right>
      <top style="dashed">
        <color auto="1"/>
      </top>
      <bottom style="medium">
        <color theme="3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theme="3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9" fontId="4" fillId="0" borderId="0" applyFont="0" applyFill="0" applyBorder="0" applyAlignment="0" applyProtection="0"/>
    <xf numFmtId="0" fontId="9" fillId="0" borderId="1" applyNumberFormat="0" applyFill="0" applyAlignment="0" applyProtection="0"/>
    <xf numFmtId="0" fontId="29" fillId="0" borderId="25" applyNumberFormat="0" applyFill="0" applyAlignment="0" applyProtection="0"/>
    <xf numFmtId="0" fontId="29" fillId="0" borderId="27" applyNumberFormat="0" applyFill="0" applyAlignment="0" applyProtection="0"/>
    <xf numFmtId="0" fontId="46" fillId="0" borderId="0" applyNumberFormat="0" applyFill="0" applyBorder="0" applyAlignment="0" applyProtection="0"/>
    <xf numFmtId="1" fontId="8" fillId="16" borderId="0" applyBorder="0">
      <alignment vertical="center"/>
    </xf>
    <xf numFmtId="165" fontId="7" fillId="0" borderId="4">
      <alignment vertical="center"/>
    </xf>
    <xf numFmtId="171" fontId="7" fillId="2" borderId="0"/>
    <xf numFmtId="171" fontId="33" fillId="4" borderId="4"/>
    <xf numFmtId="171" fontId="28" fillId="8" borderId="3"/>
    <xf numFmtId="171" fontId="33" fillId="6" borderId="4"/>
    <xf numFmtId="171" fontId="10" fillId="2" borderId="5"/>
    <xf numFmtId="171" fontId="26" fillId="5" borderId="0"/>
    <xf numFmtId="169" fontId="7" fillId="2" borderId="0"/>
    <xf numFmtId="165" fontId="12" fillId="2" borderId="0"/>
    <xf numFmtId="171" fontId="34" fillId="4" borderId="2"/>
    <xf numFmtId="173" fontId="7" fillId="2" borderId="0"/>
    <xf numFmtId="171" fontId="27" fillId="2" borderId="0"/>
    <xf numFmtId="10" fontId="33" fillId="6" borderId="4"/>
    <xf numFmtId="171" fontId="33" fillId="7" borderId="4"/>
    <xf numFmtId="10" fontId="33" fillId="4" borderId="4"/>
    <xf numFmtId="0" fontId="6" fillId="0" borderId="6" applyNumberFormat="0" applyFill="0" applyAlignment="0" applyProtection="0"/>
    <xf numFmtId="0" fontId="47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" fillId="0" borderId="0" applyNumberFormat="0" applyFont="0" applyFill="0" applyBorder="0" applyProtection="0">
      <alignment horizontal="left" indent="1"/>
    </xf>
    <xf numFmtId="0" fontId="62" fillId="0" borderId="0"/>
    <xf numFmtId="0" fontId="1" fillId="0" borderId="0"/>
    <xf numFmtId="0" fontId="1" fillId="0" borderId="0"/>
  </cellStyleXfs>
  <cellXfs count="664">
    <xf numFmtId="0" fontId="0" fillId="0" borderId="0" xfId="0"/>
    <xf numFmtId="171" fontId="33" fillId="6" borderId="4" xfId="11" applyAlignment="1">
      <alignment horizontal="right"/>
    </xf>
    <xf numFmtId="171" fontId="34" fillId="4" borderId="2" xfId="16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1" fontId="8" fillId="16" borderId="0" xfId="6">
      <alignment vertical="center"/>
    </xf>
    <xf numFmtId="1" fontId="8" fillId="16" borderId="0" xfId="6" applyAlignment="1">
      <alignment horizontal="center" vertical="center"/>
    </xf>
    <xf numFmtId="0" fontId="46" fillId="2" borderId="0" xfId="5" applyFill="1"/>
    <xf numFmtId="0" fontId="5" fillId="2" borderId="0" xfId="0" applyFont="1" applyFill="1" applyAlignment="1">
      <alignment vertical="center"/>
    </xf>
    <xf numFmtId="171" fontId="7" fillId="2" borderId="0" xfId="8" applyAlignment="1">
      <alignment vertical="center"/>
    </xf>
    <xf numFmtId="171" fontId="7" fillId="2" borderId="0" xfId="8"/>
    <xf numFmtId="171" fontId="7" fillId="2" borderId="0" xfId="8" applyAlignment="1">
      <alignment horizontal="center"/>
    </xf>
    <xf numFmtId="165" fontId="29" fillId="2" borderId="27" xfId="4" applyNumberFormat="1" applyFill="1"/>
    <xf numFmtId="171" fontId="0" fillId="2" borderId="0" xfId="8" applyFont="1"/>
    <xf numFmtId="171" fontId="33" fillId="4" borderId="4" xfId="9"/>
    <xf numFmtId="165" fontId="8" fillId="16" borderId="0" xfId="6" applyNumberFormat="1">
      <alignment vertical="center"/>
    </xf>
    <xf numFmtId="165" fontId="46" fillId="2" borderId="0" xfId="5" applyNumberFormat="1" applyFill="1"/>
    <xf numFmtId="171" fontId="7" fillId="2" borderId="0" xfId="8" applyAlignment="1">
      <alignment horizontal="left" indent="1"/>
    </xf>
    <xf numFmtId="0" fontId="0" fillId="0" borderId="0" xfId="0" applyAlignment="1">
      <alignment vertical="center"/>
    </xf>
    <xf numFmtId="165" fontId="7" fillId="0" borderId="4" xfId="7" applyAlignment="1">
      <alignment horizontal="center" vertical="center"/>
    </xf>
    <xf numFmtId="165" fontId="46" fillId="2" borderId="0" xfId="5" applyNumberFormat="1" applyFill="1" applyAlignment="1">
      <alignment vertical="center"/>
    </xf>
    <xf numFmtId="171" fontId="7" fillId="2" borderId="0" xfId="8" applyAlignment="1">
      <alignment horizontal="left" indent="2"/>
    </xf>
    <xf numFmtId="171" fontId="0" fillId="2" borderId="0" xfId="8" applyFont="1" applyAlignment="1">
      <alignment horizontal="left" indent="2"/>
    </xf>
    <xf numFmtId="171" fontId="28" fillId="8" borderId="3" xfId="10"/>
    <xf numFmtId="171" fontId="26" fillId="5" borderId="0" xfId="13"/>
    <xf numFmtId="0" fontId="0" fillId="0" borderId="0" xfId="0" applyAlignment="1">
      <alignment horizontal="center"/>
    </xf>
    <xf numFmtId="165" fontId="29" fillId="2" borderId="25" xfId="3" applyNumberFormat="1" applyFill="1"/>
    <xf numFmtId="169" fontId="7" fillId="2" borderId="0" xfId="14"/>
    <xf numFmtId="171" fontId="7" fillId="2" borderId="0" xfId="8" applyAlignment="1">
      <alignment wrapText="1"/>
    </xf>
    <xf numFmtId="0" fontId="0" fillId="2" borderId="0" xfId="0" applyFill="1" applyAlignment="1">
      <alignment horizontal="right"/>
    </xf>
    <xf numFmtId="171" fontId="29" fillId="2" borderId="27" xfId="4" applyNumberFormat="1" applyFill="1"/>
    <xf numFmtId="171" fontId="8" fillId="16" borderId="0" xfId="6" applyNumberFormat="1">
      <alignment vertical="center"/>
    </xf>
    <xf numFmtId="171" fontId="46" fillId="2" borderId="0" xfId="5" applyNumberFormat="1" applyFill="1" applyAlignment="1">
      <alignment horizontal="left" indent="1"/>
    </xf>
    <xf numFmtId="171" fontId="33" fillId="4" borderId="4" xfId="9" applyAlignment="1">
      <alignment horizontal="right"/>
    </xf>
    <xf numFmtId="1" fontId="8" fillId="16" borderId="0" xfId="6" applyAlignment="1">
      <alignment horizontal="left" vertical="center"/>
    </xf>
    <xf numFmtId="171" fontId="10" fillId="2" borderId="0" xfId="8" applyFont="1"/>
    <xf numFmtId="171" fontId="10" fillId="5" borderId="0" xfId="13" applyFont="1"/>
    <xf numFmtId="171" fontId="7" fillId="2" borderId="0" xfId="8" applyAlignment="1">
      <alignment vertical="top"/>
    </xf>
    <xf numFmtId="171" fontId="7" fillId="2" borderId="0" xfId="8" applyAlignment="1">
      <alignment vertical="top" wrapText="1"/>
    </xf>
    <xf numFmtId="0" fontId="0" fillId="0" borderId="0" xfId="0" applyAlignment="1">
      <alignment vertical="top"/>
    </xf>
    <xf numFmtId="171" fontId="7" fillId="2" borderId="0" xfId="8" applyAlignment="1">
      <alignment horizontal="left" wrapText="1" indent="1"/>
    </xf>
    <xf numFmtId="171" fontId="46" fillId="2" borderId="0" xfId="5" applyNumberFormat="1" applyFill="1"/>
    <xf numFmtId="171" fontId="0" fillId="2" borderId="0" xfId="8" applyFont="1" applyAlignment="1">
      <alignment horizontal="center"/>
    </xf>
    <xf numFmtId="173" fontId="7" fillId="2" borderId="0" xfId="17"/>
    <xf numFmtId="171" fontId="11" fillId="2" borderId="0" xfId="8" applyFont="1"/>
    <xf numFmtId="171" fontId="7" fillId="2" borderId="0" xfId="8" applyAlignment="1">
      <alignment horizontal="left" wrapText="1" indent="2"/>
    </xf>
    <xf numFmtId="171" fontId="27" fillId="2" borderId="0" xfId="18"/>
    <xf numFmtId="0" fontId="12" fillId="2" borderId="0" xfId="0" applyFont="1" applyFill="1"/>
    <xf numFmtId="171" fontId="7" fillId="2" borderId="0" xfId="8" quotePrefix="1"/>
    <xf numFmtId="171" fontId="10" fillId="2" borderId="5" xfId="12"/>
    <xf numFmtId="165" fontId="46" fillId="2" borderId="0" xfId="5" applyNumberFormat="1" applyFill="1" applyAlignment="1">
      <alignment horizontal="left" indent="1"/>
    </xf>
    <xf numFmtId="171" fontId="13" fillId="2" borderId="0" xfId="8" applyFont="1"/>
    <xf numFmtId="171" fontId="7" fillId="3" borderId="0" xfId="8" applyFill="1"/>
    <xf numFmtId="177" fontId="7" fillId="2" borderId="0" xfId="1" applyNumberFormat="1" applyFont="1" applyFill="1" applyAlignment="1">
      <alignment horizontal="right"/>
    </xf>
    <xf numFmtId="171" fontId="27" fillId="2" borderId="0" xfId="18" applyAlignment="1">
      <alignment horizontal="left" indent="2"/>
    </xf>
    <xf numFmtId="171" fontId="7" fillId="2" borderId="0" xfId="8" applyAlignment="1">
      <alignment horizontal="left" vertical="center" indent="1"/>
    </xf>
    <xf numFmtId="171" fontId="46" fillId="2" borderId="0" xfId="5" applyNumberFormat="1" applyFill="1" applyAlignment="1">
      <alignment horizontal="left" vertical="center" indent="1"/>
    </xf>
    <xf numFmtId="171" fontId="7" fillId="2" borderId="0" xfId="8" applyAlignment="1">
      <alignment horizontal="left" vertical="center" indent="2"/>
    </xf>
    <xf numFmtId="173" fontId="7" fillId="3" borderId="0" xfId="17" applyFill="1"/>
    <xf numFmtId="175" fontId="7" fillId="3" borderId="0" xfId="8" applyNumberFormat="1" applyFill="1" applyAlignment="1">
      <alignment horizontal="left" indent="2"/>
    </xf>
    <xf numFmtId="167" fontId="29" fillId="3" borderId="27" xfId="4" applyNumberFormat="1" applyFill="1"/>
    <xf numFmtId="171" fontId="27" fillId="3" borderId="0" xfId="18" applyFill="1"/>
    <xf numFmtId="171" fontId="7" fillId="2" borderId="0" xfId="8" applyAlignment="1">
      <alignment horizontal="right"/>
    </xf>
    <xf numFmtId="172" fontId="33" fillId="4" borderId="4" xfId="9" applyNumberFormat="1"/>
    <xf numFmtId="171" fontId="33" fillId="7" borderId="4" xfId="20"/>
    <xf numFmtId="165" fontId="7" fillId="0" borderId="4" xfId="7">
      <alignment vertical="center"/>
    </xf>
    <xf numFmtId="171" fontId="34" fillId="4" borderId="2" xfId="16"/>
    <xf numFmtId="171" fontId="46" fillId="2" borderId="0" xfId="5" applyNumberFormat="1" applyFill="1" applyAlignment="1">
      <alignment horizontal="left"/>
    </xf>
    <xf numFmtId="171" fontId="14" fillId="2" borderId="0" xfId="8" applyFont="1" applyAlignment="1">
      <alignment horizontal="center" vertical="center"/>
    </xf>
    <xf numFmtId="171" fontId="14" fillId="2" borderId="0" xfId="8" applyFont="1"/>
    <xf numFmtId="171" fontId="14" fillId="2" borderId="0" xfId="8" applyFont="1" applyAlignment="1">
      <alignment horizontal="center"/>
    </xf>
    <xf numFmtId="14" fontId="33" fillId="4" borderId="4" xfId="9" applyNumberFormat="1"/>
    <xf numFmtId="171" fontId="16" fillId="2" borderId="0" xfId="8" applyFont="1" applyAlignment="1">
      <alignment horizontal="center"/>
    </xf>
    <xf numFmtId="171" fontId="16" fillId="2" borderId="0" xfId="8" applyFont="1"/>
    <xf numFmtId="0" fontId="3" fillId="2" borderId="0" xfId="0" applyFont="1" applyFill="1"/>
    <xf numFmtId="0" fontId="3" fillId="0" borderId="0" xfId="0" applyFont="1"/>
    <xf numFmtId="0" fontId="16" fillId="0" borderId="0" xfId="0" applyFont="1"/>
    <xf numFmtId="171" fontId="16" fillId="2" borderId="0" xfId="8" applyFont="1" applyAlignment="1">
      <alignment vertical="center"/>
    </xf>
    <xf numFmtId="166" fontId="16" fillId="2" borderId="0" xfId="8" applyNumberFormat="1" applyFont="1"/>
    <xf numFmtId="171" fontId="14" fillId="3" borderId="0" xfId="8" applyFont="1" applyFill="1"/>
    <xf numFmtId="10" fontId="33" fillId="4" borderId="4" xfId="21"/>
    <xf numFmtId="0" fontId="0" fillId="0" borderId="0" xfId="0" applyAlignment="1">
      <alignment vertical="top" wrapText="1"/>
    </xf>
    <xf numFmtId="171" fontId="7" fillId="2" borderId="0" xfId="8" applyAlignment="1">
      <alignment horizontal="left" vertical="top" wrapText="1"/>
    </xf>
    <xf numFmtId="0" fontId="0" fillId="0" borderId="0" xfId="0" applyAlignment="1">
      <alignment wrapText="1"/>
    </xf>
    <xf numFmtId="178" fontId="7" fillId="2" borderId="0" xfId="17" applyNumberFormat="1"/>
    <xf numFmtId="0" fontId="46" fillId="2" borderId="0" xfId="5" applyFill="1" applyAlignment="1">
      <alignment horizontal="center"/>
    </xf>
    <xf numFmtId="171" fontId="29" fillId="2" borderId="25" xfId="3" applyNumberFormat="1" applyFill="1" applyAlignment="1">
      <alignment vertical="center"/>
    </xf>
    <xf numFmtId="165" fontId="46" fillId="2" borderId="0" xfId="5" applyNumberFormat="1" applyFill="1" applyAlignment="1">
      <alignment horizontal="left"/>
    </xf>
    <xf numFmtId="171" fontId="14" fillId="2" borderId="0" xfId="8" applyFont="1" applyAlignment="1">
      <alignment vertical="center"/>
    </xf>
    <xf numFmtId="171" fontId="27" fillId="2" borderId="0" xfId="18" applyAlignment="1">
      <alignment horizontal="center"/>
    </xf>
    <xf numFmtId="171" fontId="20" fillId="2" borderId="0" xfId="8" applyFont="1"/>
    <xf numFmtId="0" fontId="21" fillId="0" borderId="0" xfId="0" applyFont="1"/>
    <xf numFmtId="14" fontId="14" fillId="2" borderId="0" xfId="8" applyNumberFormat="1" applyFont="1" applyAlignment="1">
      <alignment vertical="center"/>
    </xf>
    <xf numFmtId="0" fontId="14" fillId="0" borderId="0" xfId="0" applyFont="1"/>
    <xf numFmtId="174" fontId="14" fillId="2" borderId="0" xfId="8" applyNumberFormat="1" applyFont="1" applyAlignment="1">
      <alignment vertical="center"/>
    </xf>
    <xf numFmtId="171" fontId="20" fillId="2" borderId="0" xfId="8" applyFont="1" applyAlignment="1">
      <alignment vertical="center" wrapText="1"/>
    </xf>
    <xf numFmtId="0" fontId="21" fillId="0" borderId="0" xfId="0" applyFont="1" applyAlignment="1">
      <alignment vertical="center" wrapText="1"/>
    </xf>
    <xf numFmtId="1" fontId="8" fillId="16" borderId="0" xfId="6" applyBorder="1">
      <alignment vertical="center"/>
    </xf>
    <xf numFmtId="171" fontId="24" fillId="2" borderId="0" xfId="8" applyFont="1"/>
    <xf numFmtId="0" fontId="29" fillId="2" borderId="0" xfId="3" applyFill="1" applyBorder="1"/>
    <xf numFmtId="165" fontId="29" fillId="2" borderId="0" xfId="3" applyNumberFormat="1" applyFill="1" applyBorder="1"/>
    <xf numFmtId="171" fontId="23" fillId="2" borderId="0" xfId="8" applyFont="1"/>
    <xf numFmtId="171" fontId="23" fillId="2" borderId="0" xfId="8" applyFont="1" applyAlignment="1">
      <alignment horizontal="left" indent="1"/>
    </xf>
    <xf numFmtId="166" fontId="14" fillId="2" borderId="0" xfId="8" applyNumberFormat="1" applyFont="1"/>
    <xf numFmtId="171" fontId="29" fillId="2" borderId="0" xfId="3" applyNumberFormat="1" applyFill="1" applyBorder="1"/>
    <xf numFmtId="171" fontId="10" fillId="2" borderId="5" xfId="12" applyAlignment="1">
      <alignment horizontal="right"/>
    </xf>
    <xf numFmtId="170" fontId="7" fillId="2" borderId="0" xfId="1" applyNumberFormat="1" applyFont="1" applyFill="1" applyAlignment="1">
      <alignment horizontal="right"/>
    </xf>
    <xf numFmtId="10" fontId="7" fillId="2" borderId="0" xfId="1" applyNumberFormat="1" applyFont="1" applyFill="1" applyAlignment="1">
      <alignment horizontal="right"/>
    </xf>
    <xf numFmtId="168" fontId="10" fillId="3" borderId="0" xfId="8" applyNumberFormat="1" applyFont="1" applyFill="1" applyAlignment="1">
      <alignment horizontal="right" vertical="center"/>
    </xf>
    <xf numFmtId="171" fontId="29" fillId="2" borderId="27" xfId="4" applyNumberFormat="1" applyFill="1" applyAlignment="1">
      <alignment wrapText="1"/>
    </xf>
    <xf numFmtId="171" fontId="46" fillId="2" borderId="0" xfId="5" applyNumberFormat="1" applyFill="1" applyAlignment="1">
      <alignment horizontal="center"/>
    </xf>
    <xf numFmtId="171" fontId="8" fillId="16" borderId="0" xfId="6" applyNumberFormat="1" applyBorder="1">
      <alignment vertical="center"/>
    </xf>
    <xf numFmtId="175" fontId="8" fillId="16" borderId="0" xfId="6" applyNumberFormat="1">
      <alignment vertical="center"/>
    </xf>
    <xf numFmtId="14" fontId="7" fillId="3" borderId="0" xfId="8" applyNumberFormat="1" applyFill="1" applyAlignment="1">
      <alignment horizontal="center" vertical="center"/>
    </xf>
    <xf numFmtId="171" fontId="29" fillId="2" borderId="27" xfId="4" applyNumberFormat="1" applyFill="1" applyAlignment="1">
      <alignment horizontal="left"/>
    </xf>
    <xf numFmtId="171" fontId="15" fillId="2" borderId="0" xfId="8" applyFont="1"/>
    <xf numFmtId="170" fontId="33" fillId="4" borderId="4" xfId="21" applyNumberFormat="1"/>
    <xf numFmtId="171" fontId="14" fillId="9" borderId="0" xfId="8" applyFont="1" applyFill="1" applyAlignment="1">
      <alignment vertical="center"/>
    </xf>
    <xf numFmtId="171" fontId="25" fillId="9" borderId="0" xfId="8" applyFont="1" applyFill="1" applyAlignment="1">
      <alignment vertical="center"/>
    </xf>
    <xf numFmtId="0" fontId="0" fillId="9" borderId="0" xfId="0" applyFill="1"/>
    <xf numFmtId="1" fontId="8" fillId="16" borderId="7" xfId="6" applyBorder="1">
      <alignment vertical="center"/>
    </xf>
    <xf numFmtId="1" fontId="8" fillId="16" borderId="8" xfId="6" applyBorder="1">
      <alignment vertical="center"/>
    </xf>
    <xf numFmtId="1" fontId="8" fillId="16" borderId="9" xfId="6" applyBorder="1">
      <alignment vertical="center"/>
    </xf>
    <xf numFmtId="171" fontId="14" fillId="2" borderId="10" xfId="8" applyFont="1" applyBorder="1" applyAlignment="1">
      <alignment vertical="center"/>
    </xf>
    <xf numFmtId="171" fontId="25" fillId="2" borderId="11" xfId="8" applyFont="1" applyBorder="1" applyAlignment="1">
      <alignment vertical="center"/>
    </xf>
    <xf numFmtId="171" fontId="25" fillId="2" borderId="0" xfId="8" applyFont="1" applyAlignment="1">
      <alignment vertical="center"/>
    </xf>
    <xf numFmtId="171" fontId="14" fillId="2" borderId="12" xfId="8" applyFont="1" applyBorder="1" applyAlignment="1">
      <alignment vertical="center"/>
    </xf>
    <xf numFmtId="171" fontId="14" fillId="2" borderId="13" xfId="8" applyFont="1" applyBorder="1" applyAlignment="1">
      <alignment vertical="center"/>
    </xf>
    <xf numFmtId="171" fontId="25" fillId="2" borderId="14" xfId="8" applyFont="1" applyBorder="1" applyAlignment="1">
      <alignment vertical="center"/>
    </xf>
    <xf numFmtId="171" fontId="25" fillId="2" borderId="10" xfId="8" applyFont="1" applyBorder="1" applyAlignment="1">
      <alignment vertical="center"/>
    </xf>
    <xf numFmtId="171" fontId="31" fillId="2" borderId="0" xfId="8" applyFont="1"/>
    <xf numFmtId="171" fontId="10" fillId="3" borderId="0" xfId="8" applyFont="1" applyFill="1" applyAlignment="1">
      <alignment horizontal="center"/>
    </xf>
    <xf numFmtId="171" fontId="10" fillId="3" borderId="0" xfId="8" applyFont="1" applyFill="1"/>
    <xf numFmtId="0" fontId="12" fillId="0" borderId="0" xfId="0" applyFont="1"/>
    <xf numFmtId="171" fontId="7" fillId="3" borderId="0" xfId="8" applyFill="1" applyAlignment="1">
      <alignment horizontal="center"/>
    </xf>
    <xf numFmtId="171" fontId="26" fillId="5" borderId="0" xfId="13" applyAlignment="1">
      <alignment horizontal="center"/>
    </xf>
    <xf numFmtId="171" fontId="7" fillId="2" borderId="5" xfId="12" applyFont="1"/>
    <xf numFmtId="171" fontId="10" fillId="3" borderId="5" xfId="12" applyFill="1" applyAlignment="1">
      <alignment horizontal="center"/>
    </xf>
    <xf numFmtId="171" fontId="7" fillId="2" borderId="0" xfId="8" applyAlignment="1">
      <alignment horizontal="left" indent="3"/>
    </xf>
    <xf numFmtId="171" fontId="30" fillId="2" borderId="0" xfId="5" applyNumberFormat="1" applyFont="1" applyFill="1"/>
    <xf numFmtId="171" fontId="32" fillId="2" borderId="0" xfId="8" applyFont="1"/>
    <xf numFmtId="0" fontId="7" fillId="0" borderId="0" xfId="0" applyFont="1"/>
    <xf numFmtId="171" fontId="7" fillId="2" borderId="0" xfId="8" applyAlignment="1">
      <alignment horizontal="center" vertical="center"/>
    </xf>
    <xf numFmtId="171" fontId="7" fillId="3" borderId="0" xfId="8" applyFill="1" applyAlignment="1">
      <alignment horizontal="center" vertical="center"/>
    </xf>
    <xf numFmtId="170" fontId="7" fillId="2" borderId="0" xfId="1" applyNumberFormat="1" applyFont="1" applyFill="1"/>
    <xf numFmtId="167" fontId="7" fillId="3" borderId="0" xfId="8" applyNumberFormat="1" applyFill="1"/>
    <xf numFmtId="172" fontId="7" fillId="3" borderId="0" xfId="8" applyNumberFormat="1" applyFill="1"/>
    <xf numFmtId="168" fontId="7" fillId="3" borderId="0" xfId="8" applyNumberFormat="1" applyFill="1"/>
    <xf numFmtId="169" fontId="7" fillId="3" borderId="0" xfId="8" applyNumberFormat="1" applyFill="1"/>
    <xf numFmtId="174" fontId="7" fillId="2" borderId="0" xfId="8" applyNumberFormat="1"/>
    <xf numFmtId="171" fontId="12" fillId="2" borderId="0" xfId="8" applyFont="1" applyAlignment="1">
      <alignment horizontal="left" indent="2"/>
    </xf>
    <xf numFmtId="172" fontId="7" fillId="2" borderId="0" xfId="8" applyNumberFormat="1"/>
    <xf numFmtId="171" fontId="35" fillId="3" borderId="0" xfId="8" applyFont="1" applyFill="1" applyAlignment="1">
      <alignment horizontal="center" vertical="center"/>
    </xf>
    <xf numFmtId="0" fontId="7" fillId="2" borderId="0" xfId="0" applyFont="1" applyFill="1"/>
    <xf numFmtId="174" fontId="7" fillId="2" borderId="0" xfId="0" applyNumberFormat="1" applyFont="1" applyFill="1"/>
    <xf numFmtId="171" fontId="7" fillId="2" borderId="0" xfId="0" applyNumberFormat="1" applyFont="1" applyFill="1"/>
    <xf numFmtId="0" fontId="7" fillId="2" borderId="0" xfId="0" applyFont="1" applyFill="1" applyAlignment="1">
      <alignment horizontal="left" indent="1"/>
    </xf>
    <xf numFmtId="10" fontId="7" fillId="2" borderId="0" xfId="1" applyNumberFormat="1" applyFont="1" applyFill="1"/>
    <xf numFmtId="0" fontId="10" fillId="0" borderId="0" xfId="0" applyFont="1"/>
    <xf numFmtId="171" fontId="10" fillId="2" borderId="5" xfId="12" applyAlignment="1">
      <alignment horizontal="center"/>
    </xf>
    <xf numFmtId="174" fontId="10" fillId="2" borderId="5" xfId="12" applyNumberFormat="1"/>
    <xf numFmtId="0" fontId="10" fillId="2" borderId="0" xfId="0" applyFont="1" applyFill="1"/>
    <xf numFmtId="171" fontId="10" fillId="2" borderId="0" xfId="8" applyFont="1" applyAlignment="1">
      <alignment horizontal="center"/>
    </xf>
    <xf numFmtId="171" fontId="36" fillId="8" borderId="3" xfId="10" applyFont="1"/>
    <xf numFmtId="174" fontId="10" fillId="2" borderId="0" xfId="8" applyNumberFormat="1" applyFont="1"/>
    <xf numFmtId="174" fontId="7" fillId="2" borderId="0" xfId="8" applyNumberFormat="1" applyAlignment="1">
      <alignment horizontal="center"/>
    </xf>
    <xf numFmtId="165" fontId="7" fillId="10" borderId="4" xfId="7" applyFill="1">
      <alignment vertical="center"/>
    </xf>
    <xf numFmtId="9" fontId="33" fillId="4" borderId="4" xfId="1" applyFont="1" applyFill="1" applyBorder="1"/>
    <xf numFmtId="171" fontId="12" fillId="2" borderId="0" xfId="8" applyFont="1"/>
    <xf numFmtId="171" fontId="12" fillId="2" borderId="0" xfId="8" applyFont="1" applyAlignment="1">
      <alignment horizontal="left" indent="1"/>
    </xf>
    <xf numFmtId="166" fontId="7" fillId="2" borderId="0" xfId="8" applyNumberFormat="1"/>
    <xf numFmtId="9" fontId="33" fillId="6" borderId="4" xfId="1" applyFont="1" applyFill="1" applyBorder="1"/>
    <xf numFmtId="171" fontId="17" fillId="2" borderId="0" xfId="8" applyFont="1" applyAlignment="1">
      <alignment vertical="center"/>
    </xf>
    <xf numFmtId="171" fontId="10" fillId="2" borderId="5" xfId="12" quotePrefix="1"/>
    <xf numFmtId="171" fontId="10" fillId="3" borderId="5" xfId="12" applyFill="1"/>
    <xf numFmtId="171" fontId="39" fillId="2" borderId="0" xfId="8" applyFont="1"/>
    <xf numFmtId="171" fontId="40" fillId="8" borderId="3" xfId="10" applyFont="1"/>
    <xf numFmtId="0" fontId="41" fillId="2" borderId="0" xfId="0" applyFont="1" applyFill="1" applyAlignment="1">
      <alignment vertical="center"/>
    </xf>
    <xf numFmtId="10" fontId="33" fillId="6" borderId="4" xfId="19"/>
    <xf numFmtId="0" fontId="7" fillId="2" borderId="0" xfId="0" applyFont="1" applyFill="1" applyAlignment="1">
      <alignment horizontal="center"/>
    </xf>
    <xf numFmtId="1" fontId="40" fillId="16" borderId="0" xfId="6" applyFont="1" applyAlignment="1">
      <alignment horizontal="center" vertical="center"/>
    </xf>
    <xf numFmtId="171" fontId="8" fillId="16" borderId="0" xfId="6" applyNumberFormat="1" applyAlignment="1">
      <alignment horizontal="center" vertical="center"/>
    </xf>
    <xf numFmtId="171" fontId="12" fillId="2" borderId="0" xfId="8" applyFont="1" applyAlignment="1">
      <alignment horizontal="center"/>
    </xf>
    <xf numFmtId="0" fontId="30" fillId="2" borderId="0" xfId="5" applyFont="1" applyFill="1" applyAlignment="1">
      <alignment horizontal="center"/>
    </xf>
    <xf numFmtId="171" fontId="33" fillId="6" borderId="4" xfId="11"/>
    <xf numFmtId="172" fontId="33" fillId="6" borderId="4" xfId="11" applyNumberFormat="1"/>
    <xf numFmtId="170" fontId="7" fillId="0" borderId="4" xfId="1" applyNumberFormat="1" applyFont="1" applyBorder="1" applyAlignment="1">
      <alignment vertical="center"/>
    </xf>
    <xf numFmtId="170" fontId="10" fillId="2" borderId="5" xfId="1" applyNumberFormat="1" applyFont="1" applyFill="1" applyBorder="1"/>
    <xf numFmtId="10" fontId="33" fillId="6" borderId="4" xfId="19" applyAlignment="1">
      <alignment horizontal="right"/>
    </xf>
    <xf numFmtId="166" fontId="33" fillId="6" borderId="4" xfId="11" applyNumberFormat="1" applyAlignment="1">
      <alignment horizontal="right"/>
    </xf>
    <xf numFmtId="166" fontId="7" fillId="0" borderId="4" xfId="7" applyNumberFormat="1">
      <alignment vertical="center"/>
    </xf>
    <xf numFmtId="170" fontId="7" fillId="0" borderId="4" xfId="1" applyNumberFormat="1" applyFont="1" applyBorder="1" applyAlignment="1">
      <alignment horizontal="right" vertical="center"/>
    </xf>
    <xf numFmtId="176" fontId="7" fillId="2" borderId="0" xfId="8" applyNumberFormat="1" applyAlignment="1">
      <alignment horizontal="right"/>
    </xf>
    <xf numFmtId="179" fontId="7" fillId="0" borderId="4" xfId="7" applyNumberFormat="1" applyAlignment="1">
      <alignment horizontal="right" vertical="center"/>
    </xf>
    <xf numFmtId="176" fontId="7" fillId="3" borderId="0" xfId="8" applyNumberFormat="1" applyFill="1" applyAlignment="1">
      <alignment horizontal="right"/>
    </xf>
    <xf numFmtId="169" fontId="7" fillId="2" borderId="4" xfId="14" applyBorder="1"/>
    <xf numFmtId="170" fontId="33" fillId="6" borderId="4" xfId="1" applyNumberFormat="1" applyFont="1" applyFill="1" applyBorder="1"/>
    <xf numFmtId="0" fontId="46" fillId="2" borderId="0" xfId="5" applyFill="1" applyAlignment="1">
      <alignment horizontal="right"/>
    </xf>
    <xf numFmtId="165" fontId="30" fillId="2" borderId="0" xfId="5" applyNumberFormat="1" applyFont="1" applyFill="1"/>
    <xf numFmtId="169" fontId="7" fillId="2" borderId="0" xfId="14" applyAlignment="1">
      <alignment horizontal="right"/>
    </xf>
    <xf numFmtId="14" fontId="7" fillId="3" borderId="0" xfId="8" applyNumberFormat="1" applyFill="1"/>
    <xf numFmtId="168" fontId="7" fillId="2" borderId="0" xfId="8" applyNumberFormat="1"/>
    <xf numFmtId="0" fontId="12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" fontId="8" fillId="16" borderId="0" xfId="6" applyBorder="1" applyAlignment="1">
      <alignment horizontal="center" vertical="center"/>
    </xf>
    <xf numFmtId="171" fontId="7" fillId="2" borderId="0" xfId="8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171" fontId="10" fillId="2" borderId="5" xfId="12" applyAlignment="1">
      <alignment horizontal="left" indent="1"/>
    </xf>
    <xf numFmtId="171" fontId="37" fillId="2" borderId="0" xfId="8" applyFont="1" applyAlignment="1">
      <alignment vertical="center"/>
    </xf>
    <xf numFmtId="171" fontId="28" fillId="2" borderId="0" xfId="8" applyFont="1"/>
    <xf numFmtId="0" fontId="12" fillId="2" borderId="0" xfId="0" applyFont="1" applyFill="1" applyAlignment="1">
      <alignment vertical="center"/>
    </xf>
    <xf numFmtId="171" fontId="26" fillId="2" borderId="0" xfId="8" applyFont="1"/>
    <xf numFmtId="171" fontId="7" fillId="11" borderId="15" xfId="8" applyFill="1" applyBorder="1" applyAlignment="1">
      <alignment horizontal="right" vertical="center"/>
    </xf>
    <xf numFmtId="170" fontId="26" fillId="11" borderId="15" xfId="1" applyNumberFormat="1" applyFont="1" applyFill="1" applyBorder="1"/>
    <xf numFmtId="174" fontId="26" fillId="11" borderId="15" xfId="8" applyNumberFormat="1" applyFont="1" applyFill="1" applyBorder="1" applyAlignment="1">
      <alignment horizontal="right"/>
    </xf>
    <xf numFmtId="10" fontId="33" fillId="13" borderId="4" xfId="21" applyFill="1"/>
    <xf numFmtId="0" fontId="38" fillId="2" borderId="0" xfId="0" applyFont="1" applyFill="1"/>
    <xf numFmtId="171" fontId="42" fillId="2" borderId="0" xfId="8" applyFont="1" applyAlignment="1">
      <alignment horizontal="right"/>
    </xf>
    <xf numFmtId="171" fontId="42" fillId="2" borderId="0" xfId="8" applyFont="1"/>
    <xf numFmtId="171" fontId="42" fillId="2" borderId="0" xfId="8" applyFont="1" applyAlignment="1">
      <alignment horizontal="left" wrapText="1"/>
    </xf>
    <xf numFmtId="171" fontId="42" fillId="2" borderId="0" xfId="8" applyFont="1" applyAlignment="1">
      <alignment horizontal="left"/>
    </xf>
    <xf numFmtId="14" fontId="42" fillId="2" borderId="0" xfId="8" applyNumberFormat="1" applyFont="1" applyAlignment="1">
      <alignment horizontal="left"/>
    </xf>
    <xf numFmtId="165" fontId="7" fillId="14" borderId="4" xfId="7" applyFill="1">
      <alignment vertical="center"/>
    </xf>
    <xf numFmtId="171" fontId="28" fillId="8" borderId="16" xfId="10" applyBorder="1"/>
    <xf numFmtId="171" fontId="33" fillId="2" borderId="0" xfId="8" applyFont="1"/>
    <xf numFmtId="171" fontId="33" fillId="2" borderId="0" xfId="8" applyFont="1" applyAlignment="1">
      <alignment horizontal="center"/>
    </xf>
    <xf numFmtId="171" fontId="33" fillId="4" borderId="26" xfId="9" applyBorder="1"/>
    <xf numFmtId="171" fontId="7" fillId="2" borderId="18" xfId="8" applyBorder="1"/>
    <xf numFmtId="171" fontId="10" fillId="2" borderId="18" xfId="8" applyFont="1" applyBorder="1"/>
    <xf numFmtId="171" fontId="10" fillId="2" borderId="18" xfId="8" applyFont="1" applyBorder="1" applyAlignment="1">
      <alignment horizontal="center"/>
    </xf>
    <xf numFmtId="9" fontId="7" fillId="2" borderId="0" xfId="1" applyFont="1" applyFill="1"/>
    <xf numFmtId="10" fontId="33" fillId="6" borderId="4" xfId="1" applyNumberFormat="1" applyFont="1" applyFill="1" applyBorder="1"/>
    <xf numFmtId="171" fontId="16" fillId="0" borderId="0" xfId="8" applyFont="1" applyFill="1" applyAlignment="1">
      <alignment vertical="center"/>
    </xf>
    <xf numFmtId="170" fontId="7" fillId="2" borderId="0" xfId="8" applyNumberFormat="1" applyAlignment="1">
      <alignment horizontal="right"/>
    </xf>
    <xf numFmtId="171" fontId="18" fillId="2" borderId="18" xfId="8" applyFont="1" applyBorder="1"/>
    <xf numFmtId="171" fontId="10" fillId="2" borderId="18" xfId="8" applyFont="1" applyBorder="1" applyAlignment="1">
      <alignment horizontal="right"/>
    </xf>
    <xf numFmtId="171" fontId="18" fillId="2" borderId="18" xfId="8" applyFont="1" applyBorder="1" applyAlignment="1">
      <alignment horizontal="center"/>
    </xf>
    <xf numFmtId="170" fontId="7" fillId="2" borderId="0" xfId="1" applyNumberFormat="1" applyFont="1" applyFill="1" applyAlignment="1">
      <alignment horizontal="center"/>
    </xf>
    <xf numFmtId="170" fontId="10" fillId="2" borderId="18" xfId="1" applyNumberFormat="1" applyFont="1" applyFill="1" applyBorder="1" applyAlignment="1">
      <alignment horizontal="right"/>
    </xf>
    <xf numFmtId="171" fontId="7" fillId="2" borderId="0" xfId="8" applyAlignment="1">
      <alignment horizontal="left" vertical="center"/>
    </xf>
    <xf numFmtId="170" fontId="7" fillId="0" borderId="3" xfId="0" applyNumberFormat="1" applyFont="1" applyBorder="1"/>
    <xf numFmtId="170" fontId="7" fillId="0" borderId="0" xfId="0" applyNumberFormat="1" applyFont="1"/>
    <xf numFmtId="0" fontId="7" fillId="0" borderId="0" xfId="0" applyFont="1" applyAlignment="1">
      <alignment horizontal="center"/>
    </xf>
    <xf numFmtId="0" fontId="38" fillId="2" borderId="0" xfId="0" applyFont="1" applyFill="1" applyAlignment="1">
      <alignment horizontal="left"/>
    </xf>
    <xf numFmtId="171" fontId="43" fillId="2" borderId="0" xfId="8" applyFont="1"/>
    <xf numFmtId="170" fontId="43" fillId="2" borderId="0" xfId="1" applyNumberFormat="1" applyFont="1" applyFill="1"/>
    <xf numFmtId="0" fontId="44" fillId="2" borderId="0" xfId="0" applyFont="1" applyFill="1"/>
    <xf numFmtId="0" fontId="43" fillId="2" borderId="0" xfId="0" applyFont="1" applyFill="1"/>
    <xf numFmtId="171" fontId="10" fillId="2" borderId="18" xfId="8" applyFont="1" applyBorder="1" applyAlignment="1">
      <alignment horizontal="left"/>
    </xf>
    <xf numFmtId="10" fontId="10" fillId="2" borderId="18" xfId="1" applyNumberFormat="1" applyFont="1" applyFill="1" applyBorder="1"/>
    <xf numFmtId="171" fontId="8" fillId="15" borderId="0" xfId="6" applyNumberFormat="1" applyFill="1">
      <alignment vertical="center"/>
    </xf>
    <xf numFmtId="171" fontId="45" fillId="2" borderId="0" xfId="8" applyFont="1"/>
    <xf numFmtId="171" fontId="41" fillId="15" borderId="0" xfId="6" applyNumberFormat="1" applyFont="1" applyFill="1">
      <alignment vertical="center"/>
    </xf>
    <xf numFmtId="1" fontId="41" fillId="16" borderId="0" xfId="6" applyFont="1">
      <alignment vertical="center"/>
    </xf>
    <xf numFmtId="171" fontId="41" fillId="15" borderId="0" xfId="6" applyNumberFormat="1" applyFont="1" applyFill="1" applyAlignment="1">
      <alignment horizontal="right" vertical="center"/>
    </xf>
    <xf numFmtId="171" fontId="41" fillId="15" borderId="0" xfId="6" applyNumberFormat="1" applyFont="1" applyFill="1" applyAlignment="1">
      <alignment horizontal="left" vertical="center"/>
    </xf>
    <xf numFmtId="14" fontId="41" fillId="15" borderId="0" xfId="6" applyNumberFormat="1" applyFont="1" applyFill="1" applyAlignment="1">
      <alignment horizontal="left" vertical="center"/>
    </xf>
    <xf numFmtId="1" fontId="8" fillId="15" borderId="0" xfId="6" applyFill="1">
      <alignment vertical="center"/>
    </xf>
    <xf numFmtId="171" fontId="25" fillId="17" borderId="17" xfId="8" applyFont="1" applyFill="1" applyBorder="1" applyAlignment="1">
      <alignment vertical="center"/>
    </xf>
    <xf numFmtId="171" fontId="25" fillId="17" borderId="18" xfId="8" applyFont="1" applyFill="1" applyBorder="1" applyAlignment="1">
      <alignment vertical="center"/>
    </xf>
    <xf numFmtId="171" fontId="25" fillId="17" borderId="19" xfId="8" applyFont="1" applyFill="1" applyBorder="1" applyAlignment="1">
      <alignment vertical="center"/>
    </xf>
    <xf numFmtId="171" fontId="25" fillId="17" borderId="20" xfId="8" applyFont="1" applyFill="1" applyBorder="1" applyAlignment="1">
      <alignment vertical="center"/>
    </xf>
    <xf numFmtId="171" fontId="25" fillId="17" borderId="0" xfId="8" applyFont="1" applyFill="1" applyAlignment="1">
      <alignment vertical="center"/>
    </xf>
    <xf numFmtId="171" fontId="41" fillId="17" borderId="0" xfId="8" applyFont="1" applyFill="1"/>
    <xf numFmtId="171" fontId="14" fillId="17" borderId="0" xfId="8" applyFont="1" applyFill="1" applyAlignment="1">
      <alignment vertical="center"/>
    </xf>
    <xf numFmtId="171" fontId="25" fillId="17" borderId="21" xfId="8" applyFont="1" applyFill="1" applyBorder="1" applyAlignment="1">
      <alignment vertical="center"/>
    </xf>
    <xf numFmtId="171" fontId="28" fillId="17" borderId="0" xfId="8" applyFont="1" applyFill="1" applyAlignment="1">
      <alignment vertical="center"/>
    </xf>
    <xf numFmtId="165" fontId="7" fillId="17" borderId="4" xfId="7" applyFill="1">
      <alignment vertical="center"/>
    </xf>
    <xf numFmtId="171" fontId="22" fillId="17" borderId="0" xfId="8" applyFont="1" applyFill="1" applyAlignment="1">
      <alignment vertical="center"/>
    </xf>
    <xf numFmtId="171" fontId="25" fillId="17" borderId="22" xfId="8" applyFont="1" applyFill="1" applyBorder="1" applyAlignment="1">
      <alignment vertical="center"/>
    </xf>
    <xf numFmtId="171" fontId="25" fillId="17" borderId="23" xfId="8" applyFont="1" applyFill="1" applyBorder="1" applyAlignment="1">
      <alignment vertical="center"/>
    </xf>
    <xf numFmtId="171" fontId="25" fillId="17" borderId="24" xfId="8" applyFont="1" applyFill="1" applyBorder="1" applyAlignment="1">
      <alignment vertical="center"/>
    </xf>
    <xf numFmtId="171" fontId="7" fillId="12" borderId="0" xfId="8" applyFill="1"/>
    <xf numFmtId="171" fontId="7" fillId="12" borderId="0" xfId="8" applyFill="1" applyAlignment="1">
      <alignment horizontal="center"/>
    </xf>
    <xf numFmtId="165" fontId="7" fillId="10" borderId="15" xfId="7" applyFill="1" applyBorder="1" applyAlignment="1">
      <alignment horizontal="center" vertical="center"/>
    </xf>
    <xf numFmtId="171" fontId="7" fillId="12" borderId="15" xfId="8" applyFill="1" applyBorder="1" applyAlignment="1">
      <alignment horizontal="center" vertical="center"/>
    </xf>
    <xf numFmtId="171" fontId="7" fillId="11" borderId="28" xfId="8" applyFill="1" applyBorder="1" applyAlignment="1">
      <alignment horizontal="right" vertical="center"/>
    </xf>
    <xf numFmtId="171" fontId="7" fillId="2" borderId="27" xfId="8" applyBorder="1"/>
    <xf numFmtId="171" fontId="7" fillId="2" borderId="27" xfId="8" applyBorder="1" applyAlignment="1">
      <alignment vertical="center"/>
    </xf>
    <xf numFmtId="171" fontId="37" fillId="2" borderId="27" xfId="8" applyFont="1" applyBorder="1" applyAlignment="1">
      <alignment vertical="center"/>
    </xf>
    <xf numFmtId="171" fontId="28" fillId="2" borderId="27" xfId="8" applyFont="1" applyBorder="1"/>
    <xf numFmtId="171" fontId="51" fillId="2" borderId="27" xfId="5" applyNumberFormat="1" applyFont="1" applyFill="1" applyBorder="1" applyAlignment="1">
      <alignment horizontal="left"/>
    </xf>
    <xf numFmtId="171" fontId="7" fillId="9" borderId="0" xfId="8" applyFill="1" applyAlignment="1">
      <alignment vertical="center"/>
    </xf>
    <xf numFmtId="0" fontId="12" fillId="9" borderId="0" xfId="0" applyFont="1" applyFill="1"/>
    <xf numFmtId="171" fontId="12" fillId="9" borderId="0" xfId="8" applyFont="1" applyFill="1" applyAlignment="1">
      <alignment vertical="center"/>
    </xf>
    <xf numFmtId="171" fontId="12" fillId="2" borderId="10" xfId="8" applyFont="1" applyBorder="1" applyAlignment="1">
      <alignment vertical="center"/>
    </xf>
    <xf numFmtId="171" fontId="12" fillId="2" borderId="0" xfId="8" applyFont="1" applyAlignment="1">
      <alignment vertical="center"/>
    </xf>
    <xf numFmtId="171" fontId="12" fillId="2" borderId="11" xfId="8" applyFont="1" applyBorder="1" applyAlignment="1">
      <alignment vertical="center"/>
    </xf>
    <xf numFmtId="171" fontId="12" fillId="2" borderId="12" xfId="8" applyFont="1" applyBorder="1" applyAlignment="1">
      <alignment vertical="center"/>
    </xf>
    <xf numFmtId="171" fontId="12" fillId="2" borderId="13" xfId="8" applyFont="1" applyBorder="1" applyAlignment="1">
      <alignment vertical="center"/>
    </xf>
    <xf numFmtId="171" fontId="12" fillId="2" borderId="14" xfId="8" applyFont="1" applyBorder="1" applyAlignment="1">
      <alignment vertical="center"/>
    </xf>
    <xf numFmtId="171" fontId="12" fillId="19" borderId="29" xfId="8" applyFont="1" applyFill="1" applyBorder="1" applyAlignment="1">
      <alignment vertical="center"/>
    </xf>
    <xf numFmtId="171" fontId="51" fillId="2" borderId="27" xfId="5" applyNumberFormat="1" applyFont="1" applyFill="1" applyBorder="1" applyAlignment="1">
      <alignment horizontal="right"/>
    </xf>
    <xf numFmtId="171" fontId="52" fillId="2" borderId="0" xfId="8" applyFont="1" applyAlignment="1">
      <alignment vertical="center"/>
    </xf>
    <xf numFmtId="171" fontId="52" fillId="17" borderId="0" xfId="8" applyFont="1" applyFill="1" applyAlignment="1">
      <alignment vertical="center"/>
    </xf>
    <xf numFmtId="171" fontId="33" fillId="2" borderId="4" xfId="11" applyFill="1"/>
    <xf numFmtId="171" fontId="26" fillId="11" borderId="15" xfId="8" applyFont="1" applyFill="1" applyBorder="1" applyAlignment="1">
      <alignment horizontal="right"/>
    </xf>
    <xf numFmtId="171" fontId="7" fillId="2" borderId="10" xfId="8" applyBorder="1" applyAlignment="1">
      <alignment vertical="center"/>
    </xf>
    <xf numFmtId="171" fontId="7" fillId="2" borderId="11" xfId="8" applyBorder="1" applyAlignment="1">
      <alignment vertical="center"/>
    </xf>
    <xf numFmtId="0" fontId="7" fillId="9" borderId="0" xfId="0" applyFont="1" applyFill="1"/>
    <xf numFmtId="171" fontId="14" fillId="2" borderId="11" xfId="8" applyFont="1" applyBorder="1" applyAlignment="1">
      <alignment vertical="center"/>
    </xf>
    <xf numFmtId="0" fontId="14" fillId="9" borderId="0" xfId="0" applyFont="1" applyFill="1"/>
    <xf numFmtId="171" fontId="7" fillId="2" borderId="29" xfId="8" applyBorder="1" applyAlignment="1">
      <alignment horizontal="right" vertical="center"/>
    </xf>
    <xf numFmtId="171" fontId="18" fillId="2" borderId="0" xfId="8" applyFont="1" applyAlignment="1">
      <alignment vertical="center"/>
    </xf>
    <xf numFmtId="171" fontId="7" fillId="19" borderId="29" xfId="8" applyFill="1" applyBorder="1" applyAlignment="1">
      <alignment horizontal="right" vertical="center"/>
    </xf>
    <xf numFmtId="171" fontId="7" fillId="2" borderId="0" xfId="8" applyAlignment="1">
      <alignment horizontal="right" vertical="center"/>
    </xf>
    <xf numFmtId="170" fontId="7" fillId="19" borderId="29" xfId="1" applyNumberFormat="1" applyFont="1" applyFill="1" applyBorder="1" applyAlignment="1">
      <alignment horizontal="right" vertical="center"/>
    </xf>
    <xf numFmtId="170" fontId="26" fillId="11" borderId="15" xfId="1" applyNumberFormat="1" applyFont="1" applyFill="1" applyBorder="1" applyAlignment="1">
      <alignment horizontal="right"/>
    </xf>
    <xf numFmtId="170" fontId="33" fillId="2" borderId="4" xfId="1" applyNumberFormat="1" applyFont="1" applyFill="1" applyBorder="1"/>
    <xf numFmtId="9" fontId="33" fillId="18" borderId="4" xfId="1" applyFont="1" applyFill="1" applyBorder="1" applyAlignment="1">
      <alignment horizontal="right"/>
    </xf>
    <xf numFmtId="171" fontId="33" fillId="18" borderId="4" xfId="11" applyFill="1" applyAlignment="1">
      <alignment horizontal="right"/>
    </xf>
    <xf numFmtId="171" fontId="10" fillId="2" borderId="0" xfId="8" applyFont="1" applyAlignment="1">
      <alignment horizontal="right"/>
    </xf>
    <xf numFmtId="171" fontId="45" fillId="11" borderId="15" xfId="8" applyFont="1" applyFill="1" applyBorder="1" applyAlignment="1">
      <alignment horizontal="right"/>
    </xf>
    <xf numFmtId="171" fontId="7" fillId="2" borderId="0" xfId="8" applyAlignment="1">
      <alignment horizontal="left"/>
    </xf>
    <xf numFmtId="171" fontId="10" fillId="2" borderId="29" xfId="8" applyFont="1" applyBorder="1" applyAlignment="1">
      <alignment horizontal="right" vertical="center"/>
    </xf>
    <xf numFmtId="171" fontId="7" fillId="17" borderId="0" xfId="8" applyFill="1"/>
    <xf numFmtId="1" fontId="8" fillId="20" borderId="0" xfId="6" applyFill="1">
      <alignment vertical="center"/>
    </xf>
    <xf numFmtId="171" fontId="8" fillId="20" borderId="0" xfId="6" applyNumberFormat="1" applyFill="1">
      <alignment vertical="center"/>
    </xf>
    <xf numFmtId="1" fontId="8" fillId="20" borderId="0" xfId="6" applyFill="1" applyAlignment="1">
      <alignment horizontal="center" vertical="center"/>
    </xf>
    <xf numFmtId="0" fontId="0" fillId="17" borderId="0" xfId="0" applyFill="1"/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right"/>
    </xf>
    <xf numFmtId="171" fontId="10" fillId="2" borderId="18" xfId="12" applyBorder="1"/>
    <xf numFmtId="171" fontId="10" fillId="2" borderId="18" xfId="12" applyBorder="1" applyAlignment="1">
      <alignment horizontal="center"/>
    </xf>
    <xf numFmtId="171" fontId="7" fillId="2" borderId="3" xfId="8" applyBorder="1"/>
    <xf numFmtId="171" fontId="10" fillId="2" borderId="23" xfId="12" applyBorder="1"/>
    <xf numFmtId="171" fontId="10" fillId="2" borderId="23" xfId="12" applyBorder="1" applyAlignment="1">
      <alignment horizontal="center"/>
    </xf>
    <xf numFmtId="170" fontId="33" fillId="4" borderId="4" xfId="1" applyNumberFormat="1" applyFont="1" applyFill="1" applyBorder="1"/>
    <xf numFmtId="170" fontId="10" fillId="21" borderId="3" xfId="1" applyNumberFormat="1" applyFont="1" applyFill="1" applyBorder="1"/>
    <xf numFmtId="0" fontId="7" fillId="11" borderId="0" xfId="0" applyFont="1" applyFill="1"/>
    <xf numFmtId="171" fontId="7" fillId="11" borderId="0" xfId="8" applyFill="1" applyAlignment="1">
      <alignment horizontal="center"/>
    </xf>
    <xf numFmtId="174" fontId="7" fillId="11" borderId="0" xfId="0" applyNumberFormat="1" applyFont="1" applyFill="1"/>
    <xf numFmtId="171" fontId="7" fillId="11" borderId="0" xfId="8" applyFill="1"/>
    <xf numFmtId="14" fontId="33" fillId="2" borderId="0" xfId="0" applyNumberFormat="1" applyFont="1" applyFill="1"/>
    <xf numFmtId="171" fontId="38" fillId="2" borderId="0" xfId="8" applyFont="1" applyAlignment="1">
      <alignment horizontal="center"/>
    </xf>
    <xf numFmtId="174" fontId="38" fillId="2" borderId="0" xfId="0" applyNumberFormat="1" applyFont="1" applyFill="1"/>
    <xf numFmtId="172" fontId="38" fillId="2" borderId="0" xfId="8" applyNumberFormat="1" applyFont="1"/>
    <xf numFmtId="171" fontId="10" fillId="2" borderId="0" xfId="8" applyFont="1" applyAlignment="1">
      <alignment horizontal="right" vertical="center"/>
    </xf>
    <xf numFmtId="170" fontId="7" fillId="2" borderId="29" xfId="8" applyNumberFormat="1" applyBorder="1" applyAlignment="1">
      <alignment horizontal="right" vertical="center"/>
    </xf>
    <xf numFmtId="171" fontId="51" fillId="2" borderId="0" xfId="5" applyNumberFormat="1" applyFont="1" applyFill="1" applyBorder="1" applyAlignment="1">
      <alignment horizontal="left"/>
    </xf>
    <xf numFmtId="171" fontId="7" fillId="2" borderId="31" xfId="8" applyBorder="1" applyAlignment="1">
      <alignment horizontal="left" indent="1"/>
    </xf>
    <xf numFmtId="171" fontId="7" fillId="2" borderId="31" xfId="8" applyBorder="1"/>
    <xf numFmtId="171" fontId="7" fillId="2" borderId="31" xfId="8" applyBorder="1" applyAlignment="1">
      <alignment horizontal="center" vertical="center"/>
    </xf>
    <xf numFmtId="171" fontId="7" fillId="11" borderId="32" xfId="8" applyFill="1" applyBorder="1" applyAlignment="1">
      <alignment horizontal="right" vertical="center"/>
    </xf>
    <xf numFmtId="171" fontId="14" fillId="2" borderId="31" xfId="8" applyFont="1" applyBorder="1" applyAlignment="1">
      <alignment vertical="center"/>
    </xf>
    <xf numFmtId="171" fontId="7" fillId="2" borderId="33" xfId="8" applyBorder="1" applyAlignment="1">
      <alignment horizontal="right" vertical="center"/>
    </xf>
    <xf numFmtId="171" fontId="54" fillId="2" borderId="25" xfId="3" applyNumberFormat="1" applyFont="1" applyFill="1" applyAlignment="1">
      <alignment vertical="center"/>
    </xf>
    <xf numFmtId="0" fontId="55" fillId="2" borderId="0" xfId="0" applyFont="1" applyFill="1"/>
    <xf numFmtId="173" fontId="56" fillId="2" borderId="3" xfId="17" applyFont="1" applyBorder="1" applyAlignment="1">
      <alignment horizontal="center" vertical="center"/>
    </xf>
    <xf numFmtId="171" fontId="56" fillId="2" borderId="0" xfId="8" applyFont="1" applyAlignment="1">
      <alignment vertical="center"/>
    </xf>
    <xf numFmtId="171" fontId="56" fillId="2" borderId="21" xfId="8" applyFont="1" applyBorder="1" applyAlignment="1">
      <alignment vertical="center"/>
    </xf>
    <xf numFmtId="171" fontId="56" fillId="2" borderId="34" xfId="8" applyFont="1" applyBorder="1" applyAlignment="1">
      <alignment vertical="center"/>
    </xf>
    <xf numFmtId="171" fontId="56" fillId="2" borderId="23" xfId="8" applyFont="1" applyBorder="1" applyAlignment="1">
      <alignment vertical="center"/>
    </xf>
    <xf numFmtId="171" fontId="56" fillId="2" borderId="24" xfId="8" applyFont="1" applyBorder="1" applyAlignment="1">
      <alignment vertical="center"/>
    </xf>
    <xf numFmtId="170" fontId="56" fillId="2" borderId="0" xfId="0" applyNumberFormat="1" applyFont="1" applyFill="1" applyAlignment="1">
      <alignment vertical="center"/>
    </xf>
    <xf numFmtId="170" fontId="56" fillId="2" borderId="21" xfId="0" applyNumberFormat="1" applyFont="1" applyFill="1" applyBorder="1" applyAlignment="1">
      <alignment vertical="center"/>
    </xf>
    <xf numFmtId="170" fontId="56" fillId="2" borderId="34" xfId="0" applyNumberFormat="1" applyFont="1" applyFill="1" applyBorder="1" applyAlignment="1">
      <alignment vertical="center"/>
    </xf>
    <xf numFmtId="170" fontId="56" fillId="2" borderId="23" xfId="0" applyNumberFormat="1" applyFont="1" applyFill="1" applyBorder="1" applyAlignment="1">
      <alignment vertical="center"/>
    </xf>
    <xf numFmtId="170" fontId="56" fillId="2" borderId="24" xfId="0" applyNumberFormat="1" applyFont="1" applyFill="1" applyBorder="1" applyAlignment="1">
      <alignment vertical="center"/>
    </xf>
    <xf numFmtId="0" fontId="51" fillId="2" borderId="0" xfId="24" applyFill="1" applyAlignment="1">
      <alignment horizontal="center"/>
    </xf>
    <xf numFmtId="165" fontId="51" fillId="2" borderId="0" xfId="24" applyNumberFormat="1" applyFill="1"/>
    <xf numFmtId="165" fontId="29" fillId="2" borderId="27" xfId="4" applyNumberFormat="1" applyFill="1" applyAlignment="1">
      <alignment horizontal="center"/>
    </xf>
    <xf numFmtId="171" fontId="10" fillId="21" borderId="3" xfId="0" applyNumberFormat="1" applyFont="1" applyFill="1" applyBorder="1" applyAlignment="1">
      <alignment horizontal="right"/>
    </xf>
    <xf numFmtId="172" fontId="10" fillId="21" borderId="3" xfId="0" applyNumberFormat="1" applyFont="1" applyFill="1" applyBorder="1"/>
    <xf numFmtId="171" fontId="57" fillId="2" borderId="0" xfId="23" applyNumberFormat="1" applyFont="1" applyFill="1"/>
    <xf numFmtId="181" fontId="7" fillId="2" borderId="0" xfId="8" applyNumberFormat="1"/>
    <xf numFmtId="171" fontId="51" fillId="2" borderId="0" xfId="24" applyNumberFormat="1" applyFill="1" applyAlignment="1">
      <alignment horizontal="left"/>
    </xf>
    <xf numFmtId="0" fontId="31" fillId="2" borderId="0" xfId="0" applyFont="1" applyFill="1"/>
    <xf numFmtId="171" fontId="10" fillId="2" borderId="35" xfId="8" applyFont="1" applyBorder="1" applyAlignment="1">
      <alignment horizontal="left"/>
    </xf>
    <xf numFmtId="171" fontId="40" fillId="8" borderId="36" xfId="10" applyFont="1" applyBorder="1"/>
    <xf numFmtId="171" fontId="40" fillId="8" borderId="30" xfId="10" applyFont="1" applyBorder="1"/>
    <xf numFmtId="171" fontId="10" fillId="2" borderId="0" xfId="12" applyBorder="1"/>
    <xf numFmtId="171" fontId="10" fillId="3" borderId="0" xfId="12" applyFill="1" applyBorder="1" applyAlignment="1">
      <alignment horizontal="center"/>
    </xf>
    <xf numFmtId="171" fontId="40" fillId="8" borderId="37" xfId="10" applyFont="1" applyBorder="1"/>
    <xf numFmtId="171" fontId="10" fillId="3" borderId="0" xfId="12" applyFill="1" applyBorder="1"/>
    <xf numFmtId="170" fontId="33" fillId="2" borderId="4" xfId="0" applyNumberFormat="1" applyFont="1" applyFill="1" applyBorder="1"/>
    <xf numFmtId="9" fontId="7" fillId="2" borderId="0" xfId="8" applyNumberFormat="1"/>
    <xf numFmtId="171" fontId="28" fillId="8" borderId="36" xfId="10" applyBorder="1"/>
    <xf numFmtId="171" fontId="7" fillId="2" borderId="0" xfId="8" applyAlignment="1">
      <alignment horizontal="left" vertical="center" wrapText="1" indent="1"/>
    </xf>
    <xf numFmtId="10" fontId="33" fillId="4" borderId="4" xfId="21" applyAlignment="1">
      <alignment horizontal="right" vertical="center"/>
    </xf>
    <xf numFmtId="171" fontId="33" fillId="6" borderId="4" xfId="11" applyAlignment="1">
      <alignment vertical="center"/>
    </xf>
    <xf numFmtId="14" fontId="49" fillId="17" borderId="0" xfId="8" applyNumberFormat="1" applyFont="1" applyFill="1" applyAlignment="1">
      <alignment horizontal="center" vertical="center"/>
    </xf>
    <xf numFmtId="182" fontId="33" fillId="4" borderId="4" xfId="9" applyNumberFormat="1"/>
    <xf numFmtId="171" fontId="50" fillId="12" borderId="0" xfId="8" applyFont="1" applyFill="1"/>
    <xf numFmtId="171" fontId="7" fillId="4" borderId="38" xfId="9" applyFont="1" applyBorder="1"/>
    <xf numFmtId="171" fontId="48" fillId="2" borderId="0" xfId="23" applyNumberFormat="1" applyFont="1" applyFill="1" applyAlignment="1">
      <alignment vertical="center" wrapText="1"/>
    </xf>
    <xf numFmtId="171" fontId="7" fillId="2" borderId="0" xfId="8" applyAlignment="1">
      <alignment vertical="center" wrapText="1"/>
    </xf>
    <xf numFmtId="171" fontId="59" fillId="2" borderId="0" xfId="23" applyNumberFormat="1" applyFont="1" applyFill="1" applyAlignment="1">
      <alignment vertical="center" wrapText="1"/>
    </xf>
    <xf numFmtId="171" fontId="7" fillId="2" borderId="0" xfId="8" applyAlignment="1">
      <alignment horizontal="left" vertical="center" wrapText="1"/>
    </xf>
    <xf numFmtId="165" fontId="29" fillId="2" borderId="27" xfId="4" applyNumberFormat="1" applyFill="1" applyAlignment="1">
      <alignment vertical="center"/>
    </xf>
    <xf numFmtId="171" fontId="29" fillId="2" borderId="27" xfId="4" applyNumberFormat="1" applyFill="1" applyAlignment="1">
      <alignment vertical="center"/>
    </xf>
    <xf numFmtId="171" fontId="29" fillId="2" borderId="27" xfId="4" applyNumberFormat="1" applyFill="1" applyAlignment="1">
      <alignment vertical="center" wrapText="1"/>
    </xf>
    <xf numFmtId="171" fontId="60" fillId="2" borderId="0" xfId="8" applyFont="1" applyAlignment="1">
      <alignment vertical="center"/>
    </xf>
    <xf numFmtId="10" fontId="0" fillId="2" borderId="0" xfId="0" applyNumberFormat="1" applyFill="1"/>
    <xf numFmtId="171" fontId="47" fillId="2" borderId="0" xfId="23" applyNumberFormat="1" applyFill="1"/>
    <xf numFmtId="0" fontId="33" fillId="4" borderId="4" xfId="9" applyNumberFormat="1"/>
    <xf numFmtId="9" fontId="7" fillId="2" borderId="3" xfId="1" applyFont="1" applyFill="1" applyBorder="1"/>
    <xf numFmtId="171" fontId="33" fillId="4" borderId="39" xfId="9" applyBorder="1"/>
    <xf numFmtId="170" fontId="26" fillId="11" borderId="43" xfId="1" applyNumberFormat="1" applyFont="1" applyFill="1" applyBorder="1" applyAlignment="1">
      <alignment horizontal="right"/>
    </xf>
    <xf numFmtId="174" fontId="26" fillId="11" borderId="43" xfId="8" applyNumberFormat="1" applyFont="1" applyFill="1" applyBorder="1" applyAlignment="1">
      <alignment horizontal="right"/>
    </xf>
    <xf numFmtId="184" fontId="7" fillId="2" borderId="0" xfId="8" applyNumberFormat="1" applyAlignment="1">
      <alignment horizontal="left" indent="1"/>
    </xf>
    <xf numFmtId="185" fontId="7" fillId="2" borderId="0" xfId="8" applyNumberFormat="1" applyAlignment="1">
      <alignment horizontal="left" indent="1"/>
    </xf>
    <xf numFmtId="186" fontId="7" fillId="2" borderId="0" xfId="8" applyNumberFormat="1" applyAlignment="1">
      <alignment horizontal="left" indent="1"/>
    </xf>
    <xf numFmtId="187" fontId="7" fillId="2" borderId="0" xfId="8" applyNumberFormat="1" applyAlignment="1">
      <alignment horizontal="left" indent="1"/>
    </xf>
    <xf numFmtId="171" fontId="7" fillId="0" borderId="0" xfId="8" applyFill="1" applyAlignment="1">
      <alignment horizontal="left" indent="1"/>
    </xf>
    <xf numFmtId="171" fontId="34" fillId="4" borderId="2" xfId="16" applyAlignment="1">
      <alignment horizontal="right" vertical="center"/>
    </xf>
    <xf numFmtId="189" fontId="7" fillId="0" borderId="4" xfId="7" applyNumberFormat="1">
      <alignment vertical="center"/>
    </xf>
    <xf numFmtId="0" fontId="33" fillId="4" borderId="4" xfId="21" applyNumberFormat="1" applyAlignment="1">
      <alignment horizontal="right" vertical="center"/>
    </xf>
    <xf numFmtId="0" fontId="33" fillId="6" borderId="4" xfId="19" applyNumberFormat="1" applyAlignment="1">
      <alignment horizontal="right"/>
    </xf>
    <xf numFmtId="172" fontId="33" fillId="6" borderId="4" xfId="11" applyNumberFormat="1" applyAlignment="1">
      <alignment horizontal="right"/>
    </xf>
    <xf numFmtId="190" fontId="7" fillId="2" borderId="0" xfId="8" applyNumberFormat="1"/>
    <xf numFmtId="177" fontId="7" fillId="2" borderId="0" xfId="1" applyNumberFormat="1" applyFont="1" applyFill="1"/>
    <xf numFmtId="9" fontId="33" fillId="6" borderId="4" xfId="1" applyFont="1" applyFill="1" applyBorder="1" applyAlignment="1">
      <alignment horizontal="right"/>
    </xf>
    <xf numFmtId="171" fontId="7" fillId="0" borderId="3" xfId="8" applyFill="1" applyBorder="1"/>
    <xf numFmtId="171" fontId="45" fillId="5" borderId="0" xfId="13" applyFont="1"/>
    <xf numFmtId="171" fontId="7" fillId="0" borderId="0" xfId="8" applyFill="1" applyAlignment="1">
      <alignment horizontal="left" indent="2"/>
    </xf>
    <xf numFmtId="171" fontId="10" fillId="0" borderId="0" xfId="8" applyFont="1" applyFill="1"/>
    <xf numFmtId="0" fontId="7" fillId="0" borderId="0" xfId="0" applyFont="1" applyAlignment="1">
      <alignment horizontal="left" indent="1"/>
    </xf>
    <xf numFmtId="171" fontId="12" fillId="2" borderId="0" xfId="0" applyNumberFormat="1" applyFont="1" applyFill="1"/>
    <xf numFmtId="181" fontId="33" fillId="4" borderId="4" xfId="9" applyNumberFormat="1"/>
    <xf numFmtId="9" fontId="7" fillId="2" borderId="0" xfId="0" applyNumberFormat="1" applyFont="1" applyFill="1"/>
    <xf numFmtId="191" fontId="7" fillId="3" borderId="0" xfId="8" applyNumberFormat="1" applyFill="1"/>
    <xf numFmtId="171" fontId="7" fillId="2" borderId="46" xfId="8" applyBorder="1" applyAlignment="1">
      <alignment horizontal="right" vertical="center"/>
    </xf>
    <xf numFmtId="171" fontId="10" fillId="2" borderId="48" xfId="8" applyFont="1" applyBorder="1" applyAlignment="1">
      <alignment horizontal="right" vertical="center"/>
    </xf>
    <xf numFmtId="171" fontId="46" fillId="2" borderId="27" xfId="5" applyNumberFormat="1" applyFill="1" applyBorder="1" applyAlignment="1">
      <alignment horizontal="left"/>
    </xf>
    <xf numFmtId="171" fontId="14" fillId="2" borderId="27" xfId="8" applyFont="1" applyBorder="1" applyAlignment="1">
      <alignment vertical="center"/>
    </xf>
    <xf numFmtId="171" fontId="7" fillId="2" borderId="49" xfId="8" applyBorder="1" applyAlignment="1">
      <alignment horizontal="center" vertical="center"/>
    </xf>
    <xf numFmtId="171" fontId="51" fillId="2" borderId="0" xfId="5" applyNumberFormat="1" applyFont="1" applyFill="1" applyBorder="1" applyAlignment="1">
      <alignment horizontal="right"/>
    </xf>
    <xf numFmtId="171" fontId="51" fillId="2" borderId="0" xfId="5" applyNumberFormat="1" applyFont="1" applyFill="1" applyBorder="1" applyAlignment="1">
      <alignment horizontal="center"/>
    </xf>
    <xf numFmtId="0" fontId="51" fillId="2" borderId="0" xfId="5" applyNumberFormat="1" applyFont="1" applyFill="1" applyBorder="1" applyAlignment="1">
      <alignment horizontal="center"/>
    </xf>
    <xf numFmtId="171" fontId="41" fillId="17" borderId="0" xfId="8" applyFont="1" applyFill="1" applyAlignment="1">
      <alignment vertical="center"/>
    </xf>
    <xf numFmtId="171" fontId="39" fillId="2" borderId="0" xfId="8" applyFont="1" applyAlignment="1">
      <alignment vertical="center"/>
    </xf>
    <xf numFmtId="164" fontId="45" fillId="11" borderId="47" xfId="1" applyNumberFormat="1" applyFont="1" applyFill="1" applyBorder="1" applyAlignment="1">
      <alignment horizontal="right"/>
    </xf>
    <xf numFmtId="164" fontId="26" fillId="11" borderId="45" xfId="1" applyNumberFormat="1" applyFont="1" applyFill="1" applyBorder="1" applyAlignment="1">
      <alignment horizontal="right"/>
    </xf>
    <xf numFmtId="164" fontId="26" fillId="11" borderId="44" xfId="1" applyNumberFormat="1" applyFont="1" applyFill="1" applyBorder="1" applyAlignment="1">
      <alignment horizontal="right"/>
    </xf>
    <xf numFmtId="164" fontId="0" fillId="2" borderId="0" xfId="0" applyNumberFormat="1" applyFill="1"/>
    <xf numFmtId="164" fontId="45" fillId="11" borderId="44" xfId="1" applyNumberFormat="1" applyFont="1" applyFill="1" applyBorder="1" applyAlignment="1">
      <alignment horizontal="right"/>
    </xf>
    <xf numFmtId="188" fontId="50" fillId="12" borderId="40" xfId="8" applyNumberFormat="1" applyFont="1" applyFill="1" applyBorder="1"/>
    <xf numFmtId="171" fontId="7" fillId="12" borderId="41" xfId="8" applyFill="1" applyBorder="1"/>
    <xf numFmtId="171" fontId="7" fillId="12" borderId="42" xfId="8" applyFill="1" applyBorder="1"/>
    <xf numFmtId="192" fontId="50" fillId="12" borderId="40" xfId="8" applyNumberFormat="1" applyFont="1" applyFill="1" applyBorder="1"/>
    <xf numFmtId="193" fontId="50" fillId="12" borderId="40" xfId="8" applyNumberFormat="1" applyFont="1" applyFill="1" applyBorder="1"/>
    <xf numFmtId="194" fontId="50" fillId="12" borderId="40" xfId="8" applyNumberFormat="1" applyFont="1" applyFill="1" applyBorder="1"/>
    <xf numFmtId="195" fontId="7" fillId="2" borderId="0" xfId="8" applyNumberFormat="1" applyAlignment="1">
      <alignment vertical="center"/>
    </xf>
    <xf numFmtId="196" fontId="7" fillId="2" borderId="0" xfId="8" applyNumberFormat="1" applyAlignment="1">
      <alignment vertical="center"/>
    </xf>
    <xf numFmtId="197" fontId="7" fillId="2" borderId="0" xfId="8" applyNumberFormat="1" applyAlignment="1">
      <alignment vertical="center"/>
    </xf>
    <xf numFmtId="165" fontId="29" fillId="2" borderId="51" xfId="4" applyNumberFormat="1" applyFill="1" applyBorder="1"/>
    <xf numFmtId="165" fontId="29" fillId="2" borderId="52" xfId="4" applyNumberFormat="1" applyFill="1" applyBorder="1"/>
    <xf numFmtId="198" fontId="29" fillId="2" borderId="50" xfId="4" applyNumberFormat="1" applyFill="1" applyBorder="1"/>
    <xf numFmtId="183" fontId="7" fillId="2" borderId="0" xfId="8" applyNumberFormat="1" applyAlignment="1">
      <alignment vertical="center"/>
    </xf>
    <xf numFmtId="10" fontId="33" fillId="0" borderId="0" xfId="19" applyFill="1" applyBorder="1"/>
    <xf numFmtId="171" fontId="7" fillId="0" borderId="0" xfId="8" applyFill="1"/>
    <xf numFmtId="171" fontId="10" fillId="0" borderId="5" xfId="12" applyFill="1"/>
    <xf numFmtId="171" fontId="10" fillId="0" borderId="0" xfId="12" applyFill="1" applyBorder="1"/>
    <xf numFmtId="169" fontId="7" fillId="0" borderId="0" xfId="14" applyFill="1"/>
    <xf numFmtId="169" fontId="7" fillId="0" borderId="0" xfId="14" applyFill="1" applyAlignment="1">
      <alignment horizontal="right"/>
    </xf>
    <xf numFmtId="171" fontId="7" fillId="0" borderId="54" xfId="8" applyFill="1" applyBorder="1" applyAlignment="1">
      <alignment horizontal="left" indent="1"/>
    </xf>
    <xf numFmtId="171" fontId="7" fillId="0" borderId="53" xfId="8" applyFill="1" applyBorder="1" applyAlignment="1">
      <alignment horizontal="left" indent="1"/>
    </xf>
    <xf numFmtId="171" fontId="45" fillId="5" borderId="0" xfId="13" applyFont="1" applyAlignment="1">
      <alignment horizontal="center"/>
    </xf>
    <xf numFmtId="199" fontId="7" fillId="2" borderId="0" xfId="1" applyNumberFormat="1" applyFont="1" applyFill="1"/>
    <xf numFmtId="171" fontId="26" fillId="3" borderId="0" xfId="8" applyFont="1" applyFill="1"/>
    <xf numFmtId="171" fontId="7" fillId="0" borderId="3" xfId="0" applyNumberFormat="1" applyFont="1" applyBorder="1"/>
    <xf numFmtId="170" fontId="7" fillId="4" borderId="4" xfId="1" applyNumberFormat="1" applyFont="1" applyFill="1" applyBorder="1"/>
    <xf numFmtId="170" fontId="7" fillId="4" borderId="39" xfId="1" applyNumberFormat="1" applyFont="1" applyFill="1" applyBorder="1"/>
    <xf numFmtId="0" fontId="33" fillId="4" borderId="4" xfId="21" applyNumberFormat="1"/>
    <xf numFmtId="10" fontId="7" fillId="2" borderId="0" xfId="0" applyNumberFormat="1" applyFont="1" applyFill="1"/>
    <xf numFmtId="180" fontId="33" fillId="3" borderId="4" xfId="8" applyNumberFormat="1" applyFont="1" applyFill="1" applyBorder="1"/>
    <xf numFmtId="201" fontId="10" fillId="3" borderId="0" xfId="8" applyNumberFormat="1" applyFont="1" applyFill="1"/>
    <xf numFmtId="202" fontId="51" fillId="2" borderId="27" xfId="5" applyNumberFormat="1" applyFont="1" applyFill="1" applyBorder="1" applyAlignment="1">
      <alignment horizontal="right"/>
    </xf>
    <xf numFmtId="200" fontId="7" fillId="0" borderId="0" xfId="8" applyNumberFormat="1" applyFill="1"/>
    <xf numFmtId="203" fontId="7" fillId="3" borderId="0" xfId="8" applyNumberFormat="1" applyFill="1" applyAlignment="1">
      <alignment horizontal="center" vertical="center"/>
    </xf>
    <xf numFmtId="204" fontId="8" fillId="16" borderId="0" xfId="6" applyNumberFormat="1" applyAlignment="1">
      <alignment horizontal="center" vertical="center"/>
    </xf>
    <xf numFmtId="171" fontId="27" fillId="2" borderId="0" xfId="8" applyFont="1" applyAlignment="1">
      <alignment horizontal="right"/>
    </xf>
    <xf numFmtId="0" fontId="33" fillId="6" borderId="4" xfId="11" applyNumberFormat="1"/>
    <xf numFmtId="167" fontId="29" fillId="3" borderId="0" xfId="4" applyNumberFormat="1" applyFill="1" applyBorder="1"/>
    <xf numFmtId="165" fontId="29" fillId="2" borderId="60" xfId="4" applyNumberFormat="1" applyFill="1" applyBorder="1"/>
    <xf numFmtId="10" fontId="16" fillId="2" borderId="0" xfId="1" applyNumberFormat="1" applyFont="1" applyFill="1"/>
    <xf numFmtId="10" fontId="33" fillId="22" borderId="4" xfId="21" applyFill="1"/>
    <xf numFmtId="14" fontId="33" fillId="22" borderId="4" xfId="9" applyNumberFormat="1" applyFill="1"/>
    <xf numFmtId="171" fontId="33" fillId="22" borderId="4" xfId="9" applyFill="1"/>
    <xf numFmtId="171" fontId="33" fillId="0" borderId="4" xfId="9" applyFill="1"/>
    <xf numFmtId="0" fontId="63" fillId="0" borderId="0" xfId="26" applyFont="1"/>
    <xf numFmtId="0" fontId="62" fillId="0" borderId="0" xfId="26"/>
    <xf numFmtId="3" fontId="63" fillId="0" borderId="0" xfId="26" applyNumberFormat="1" applyFont="1"/>
    <xf numFmtId="0" fontId="64" fillId="0" borderId="0" xfId="26" applyFont="1" applyAlignment="1">
      <alignment horizontal="center" vertical="center" wrapText="1"/>
    </xf>
    <xf numFmtId="0" fontId="63" fillId="0" borderId="0" xfId="26" applyFont="1" applyAlignment="1">
      <alignment wrapText="1"/>
    </xf>
    <xf numFmtId="205" fontId="63" fillId="0" borderId="0" xfId="26" applyNumberFormat="1" applyFont="1"/>
    <xf numFmtId="0" fontId="63" fillId="0" borderId="0" xfId="26" applyFont="1" applyAlignment="1">
      <alignment horizontal="left" vertical="top" wrapText="1"/>
    </xf>
    <xf numFmtId="0" fontId="63" fillId="0" borderId="0" xfId="26" applyFont="1" applyAlignment="1">
      <alignment horizontal="right" vertical="top"/>
    </xf>
    <xf numFmtId="0" fontId="65" fillId="0" borderId="0" xfId="26" applyFont="1"/>
    <xf numFmtId="0" fontId="64" fillId="0" borderId="0" xfId="26" applyFont="1"/>
    <xf numFmtId="171" fontId="7" fillId="23" borderId="0" xfId="8" applyFill="1" applyAlignment="1">
      <alignment horizontal="left" indent="1"/>
    </xf>
    <xf numFmtId="0" fontId="1" fillId="0" borderId="0" xfId="27"/>
    <xf numFmtId="0" fontId="23" fillId="0" borderId="0" xfId="27" applyFont="1" applyAlignment="1">
      <alignment horizontal="center"/>
    </xf>
    <xf numFmtId="0" fontId="23" fillId="0" borderId="0" xfId="27" applyFont="1"/>
    <xf numFmtId="0" fontId="67" fillId="25" borderId="61" xfId="27" applyFont="1" applyFill="1" applyBorder="1" applyAlignment="1">
      <alignment vertical="center" wrapText="1"/>
    </xf>
    <xf numFmtId="0" fontId="76" fillId="0" borderId="0" xfId="27" applyFont="1"/>
    <xf numFmtId="212" fontId="76" fillId="0" borderId="0" xfId="27" applyNumberFormat="1" applyFont="1"/>
    <xf numFmtId="0" fontId="76" fillId="0" borderId="0" xfId="27" applyFont="1" applyAlignment="1">
      <alignment horizontal="center"/>
    </xf>
    <xf numFmtId="0" fontId="39" fillId="0" borderId="0" xfId="27" applyFont="1" applyAlignment="1">
      <alignment horizontal="center" vertical="center"/>
    </xf>
    <xf numFmtId="0" fontId="77" fillId="0" borderId="0" xfId="27" applyFont="1"/>
    <xf numFmtId="0" fontId="66" fillId="24" borderId="62" xfId="27" applyFont="1" applyFill="1" applyBorder="1" applyAlignment="1">
      <alignment horizontal="center" vertical="center" wrapText="1"/>
    </xf>
    <xf numFmtId="0" fontId="67" fillId="24" borderId="62" xfId="27" applyFont="1" applyFill="1" applyBorder="1" applyAlignment="1">
      <alignment vertical="center" wrapText="1"/>
    </xf>
    <xf numFmtId="0" fontId="66" fillId="24" borderId="63" xfId="27" applyFont="1" applyFill="1" applyBorder="1" applyAlignment="1">
      <alignment vertical="center" wrapText="1"/>
    </xf>
    <xf numFmtId="3" fontId="66" fillId="24" borderId="62" xfId="27" applyNumberFormat="1" applyFont="1" applyFill="1" applyBorder="1" applyAlignment="1">
      <alignment horizontal="center" vertical="center" wrapText="1"/>
    </xf>
    <xf numFmtId="214" fontId="66" fillId="24" borderId="64" xfId="27" applyNumberFormat="1" applyFont="1" applyFill="1" applyBorder="1" applyAlignment="1">
      <alignment horizontal="center" vertical="center" wrapText="1"/>
    </xf>
    <xf numFmtId="214" fontId="66" fillId="24" borderId="62" xfId="27" applyNumberFormat="1" applyFont="1" applyFill="1" applyBorder="1" applyAlignment="1">
      <alignment horizontal="center" vertical="center" wrapText="1"/>
    </xf>
    <xf numFmtId="207" fontId="66" fillId="24" borderId="65" xfId="27" applyNumberFormat="1" applyFont="1" applyFill="1" applyBorder="1"/>
    <xf numFmtId="4" fontId="76" fillId="0" borderId="0" xfId="27" applyNumberFormat="1" applyFont="1" applyAlignment="1">
      <alignment horizontal="center"/>
    </xf>
    <xf numFmtId="211" fontId="23" fillId="0" borderId="0" xfId="27" applyNumberFormat="1" applyFont="1"/>
    <xf numFmtId="9" fontId="14" fillId="2" borderId="0" xfId="8" applyNumberFormat="1" applyFont="1" applyAlignment="1">
      <alignment horizontal="center"/>
    </xf>
    <xf numFmtId="171" fontId="10" fillId="2" borderId="0" xfId="8" applyFont="1" applyAlignment="1">
      <alignment horizontal="left" indent="1"/>
    </xf>
    <xf numFmtId="181" fontId="14" fillId="2" borderId="0" xfId="8" applyNumberFormat="1" applyFont="1" applyAlignment="1">
      <alignment horizontal="center"/>
    </xf>
    <xf numFmtId="171" fontId="33" fillId="2" borderId="0" xfId="8" applyFont="1" applyAlignment="1">
      <alignment horizontal="left" indent="1"/>
    </xf>
    <xf numFmtId="171" fontId="33" fillId="3" borderId="0" xfId="8" applyFont="1" applyFill="1" applyAlignment="1">
      <alignment horizontal="center"/>
    </xf>
    <xf numFmtId="171" fontId="80" fillId="8" borderId="3" xfId="10" applyFont="1"/>
    <xf numFmtId="0" fontId="81" fillId="0" borderId="0" xfId="0" applyFont="1"/>
    <xf numFmtId="0" fontId="31" fillId="0" borderId="0" xfId="0" applyFont="1"/>
    <xf numFmtId="171" fontId="78" fillId="3" borderId="0" xfId="8" applyFont="1" applyFill="1" applyAlignment="1">
      <alignment horizontal="center"/>
    </xf>
    <xf numFmtId="215" fontId="71" fillId="0" borderId="0" xfId="27" applyNumberFormat="1" applyFont="1" applyAlignment="1">
      <alignment horizontal="center" vertical="center"/>
    </xf>
    <xf numFmtId="0" fontId="83" fillId="0" borderId="0" xfId="26" applyFont="1"/>
    <xf numFmtId="9" fontId="83" fillId="0" borderId="0" xfId="26" applyNumberFormat="1" applyFont="1"/>
    <xf numFmtId="3" fontId="83" fillId="0" borderId="0" xfId="26" applyNumberFormat="1" applyFont="1"/>
    <xf numFmtId="0" fontId="84" fillId="0" borderId="0" xfId="26" applyFont="1"/>
    <xf numFmtId="0" fontId="83" fillId="0" borderId="3" xfId="26" applyFont="1" applyBorder="1"/>
    <xf numFmtId="9" fontId="83" fillId="0" borderId="3" xfId="26" applyNumberFormat="1" applyFont="1" applyBorder="1"/>
    <xf numFmtId="0" fontId="83" fillId="0" borderId="3" xfId="26" applyFont="1" applyBorder="1" applyAlignment="1">
      <alignment wrapText="1"/>
    </xf>
    <xf numFmtId="0" fontId="82" fillId="0" borderId="3" xfId="26" applyFont="1" applyBorder="1"/>
    <xf numFmtId="0" fontId="82" fillId="0" borderId="3" xfId="26" applyFont="1" applyBorder="1" applyAlignment="1">
      <alignment wrapText="1"/>
    </xf>
    <xf numFmtId="0" fontId="82" fillId="11" borderId="3" xfId="26" applyFont="1" applyFill="1" applyBorder="1" applyAlignment="1">
      <alignment wrapText="1"/>
    </xf>
    <xf numFmtId="9" fontId="82" fillId="0" borderId="3" xfId="26" applyNumberFormat="1" applyFont="1" applyBorder="1"/>
    <xf numFmtId="9" fontId="82" fillId="11" borderId="3" xfId="26" applyNumberFormat="1" applyFont="1" applyFill="1" applyBorder="1"/>
    <xf numFmtId="0" fontId="84" fillId="0" borderId="3" xfId="26" applyFont="1" applyBorder="1" applyAlignment="1">
      <alignment horizontal="center" vertical="center" wrapText="1"/>
    </xf>
    <xf numFmtId="205" fontId="82" fillId="0" borderId="3" xfId="26" applyNumberFormat="1" applyFont="1" applyBorder="1"/>
    <xf numFmtId="0" fontId="82" fillId="0" borderId="3" xfId="26" applyFont="1" applyBorder="1" applyAlignment="1">
      <alignment horizontal="right" vertical="top"/>
    </xf>
    <xf numFmtId="0" fontId="82" fillId="0" borderId="0" xfId="26" applyFont="1" applyAlignment="1">
      <alignment horizontal="left" vertical="center" wrapText="1"/>
    </xf>
    <xf numFmtId="0" fontId="82" fillId="0" borderId="0" xfId="26" applyFont="1" applyAlignment="1">
      <alignment horizontal="right" vertical="top"/>
    </xf>
    <xf numFmtId="205" fontId="82" fillId="0" borderId="0" xfId="26" applyNumberFormat="1" applyFont="1"/>
    <xf numFmtId="205" fontId="84" fillId="0" borderId="3" xfId="26" applyNumberFormat="1" applyFont="1" applyBorder="1"/>
    <xf numFmtId="0" fontId="84" fillId="0" borderId="3" xfId="26" applyFont="1" applyBorder="1"/>
    <xf numFmtId="205" fontId="64" fillId="0" borderId="0" xfId="26" applyNumberFormat="1" applyFont="1"/>
    <xf numFmtId="0" fontId="64" fillId="0" borderId="3" xfId="26" applyFont="1" applyBorder="1"/>
    <xf numFmtId="205" fontId="64" fillId="0" borderId="3" xfId="26" applyNumberFormat="1" applyFont="1" applyBorder="1"/>
    <xf numFmtId="1" fontId="79" fillId="0" borderId="3" xfId="26" applyNumberFormat="1" applyFont="1" applyBorder="1"/>
    <xf numFmtId="205" fontId="79" fillId="0" borderId="3" xfId="26" applyNumberFormat="1" applyFont="1" applyBorder="1"/>
    <xf numFmtId="205" fontId="84" fillId="0" borderId="0" xfId="26" applyNumberFormat="1" applyFont="1"/>
    <xf numFmtId="0" fontId="82" fillId="0" borderId="0" xfId="26" applyFont="1" applyAlignment="1">
      <alignment horizontal="left" vertical="top"/>
    </xf>
    <xf numFmtId="1" fontId="85" fillId="0" borderId="0" xfId="26" applyNumberFormat="1" applyFont="1"/>
    <xf numFmtId="205" fontId="85" fillId="0" borderId="0" xfId="26" applyNumberFormat="1" applyFont="1"/>
    <xf numFmtId="0" fontId="86" fillId="0" borderId="3" xfId="26" applyFont="1" applyBorder="1" applyAlignment="1">
      <alignment horizontal="left" vertical="top" wrapText="1"/>
    </xf>
    <xf numFmtId="0" fontId="86" fillId="0" borderId="3" xfId="26" applyFont="1" applyBorder="1" applyAlignment="1">
      <alignment horizontal="left" vertical="top"/>
    </xf>
    <xf numFmtId="0" fontId="86" fillId="0" borderId="3" xfId="26" applyFont="1" applyBorder="1"/>
    <xf numFmtId="205" fontId="86" fillId="0" borderId="3" xfId="26" applyNumberFormat="1" applyFont="1" applyBorder="1"/>
    <xf numFmtId="1" fontId="86" fillId="0" borderId="3" xfId="26" applyNumberFormat="1" applyFont="1" applyBorder="1"/>
    <xf numFmtId="0" fontId="83" fillId="0" borderId="3" xfId="26" applyFont="1" applyBorder="1" applyAlignment="1">
      <alignment horizontal="left" vertical="top"/>
    </xf>
    <xf numFmtId="206" fontId="83" fillId="0" borderId="3" xfId="26" applyNumberFormat="1" applyFont="1" applyBorder="1"/>
    <xf numFmtId="205" fontId="83" fillId="0" borderId="3" xfId="26" applyNumberFormat="1" applyFont="1" applyBorder="1"/>
    <xf numFmtId="0" fontId="83" fillId="0" borderId="3" xfId="26" applyFont="1" applyBorder="1" applyAlignment="1">
      <alignment horizontal="left" vertical="top" wrapText="1"/>
    </xf>
    <xf numFmtId="208" fontId="87" fillId="0" borderId="3" xfId="26" applyNumberFormat="1" applyFont="1" applyBorder="1"/>
    <xf numFmtId="0" fontId="84" fillId="0" borderId="0" xfId="26" applyFont="1" applyAlignment="1">
      <alignment vertical="top"/>
    </xf>
    <xf numFmtId="206" fontId="82" fillId="0" borderId="3" xfId="26" applyNumberFormat="1" applyFont="1" applyBorder="1"/>
    <xf numFmtId="0" fontId="84" fillId="0" borderId="0" xfId="26" applyFont="1" applyAlignment="1">
      <alignment horizontal="left" vertical="center" wrapText="1"/>
    </xf>
    <xf numFmtId="1" fontId="83" fillId="0" borderId="3" xfId="26" applyNumberFormat="1" applyFont="1" applyBorder="1" applyAlignment="1">
      <alignment horizontal="left"/>
    </xf>
    <xf numFmtId="1" fontId="83" fillId="0" borderId="3" xfId="26" applyNumberFormat="1" applyFont="1" applyBorder="1" applyAlignment="1">
      <alignment horizontal="center" wrapText="1"/>
    </xf>
    <xf numFmtId="0" fontId="83" fillId="11" borderId="3" xfId="26" applyFont="1" applyFill="1" applyBorder="1" applyAlignment="1">
      <alignment wrapText="1"/>
    </xf>
    <xf numFmtId="1" fontId="83" fillId="0" borderId="3" xfId="26" applyNumberFormat="1" applyFont="1" applyBorder="1" applyAlignment="1">
      <alignment horizontal="center"/>
    </xf>
    <xf numFmtId="0" fontId="62" fillId="11" borderId="3" xfId="26" applyFill="1" applyBorder="1"/>
    <xf numFmtId="0" fontId="83" fillId="11" borderId="3" xfId="26" applyFont="1" applyFill="1" applyBorder="1"/>
    <xf numFmtId="2" fontId="83" fillId="0" borderId="3" xfId="26" applyNumberFormat="1" applyFont="1" applyBorder="1"/>
    <xf numFmtId="2" fontId="83" fillId="11" borderId="3" xfId="26" applyNumberFormat="1" applyFont="1" applyFill="1" applyBorder="1"/>
    <xf numFmtId="1" fontId="83" fillId="11" borderId="3" xfId="26" applyNumberFormat="1" applyFont="1" applyFill="1" applyBorder="1" applyAlignment="1">
      <alignment horizontal="left"/>
    </xf>
    <xf numFmtId="207" fontId="83" fillId="11" borderId="3" xfId="26" applyNumberFormat="1" applyFont="1" applyFill="1" applyBorder="1" applyAlignment="1">
      <alignment horizontal="center"/>
    </xf>
    <xf numFmtId="0" fontId="86" fillId="0" borderId="0" xfId="26" applyFont="1"/>
    <xf numFmtId="171" fontId="88" fillId="2" borderId="0" xfId="8" applyFont="1" applyAlignment="1">
      <alignment horizontal="center"/>
    </xf>
    <xf numFmtId="207" fontId="86" fillId="0" borderId="3" xfId="26" applyNumberFormat="1" applyFont="1" applyBorder="1"/>
    <xf numFmtId="207" fontId="83" fillId="0" borderId="3" xfId="26" applyNumberFormat="1" applyFont="1" applyBorder="1"/>
    <xf numFmtId="207" fontId="86" fillId="11" borderId="3" xfId="26" applyNumberFormat="1" applyFont="1" applyFill="1" applyBorder="1"/>
    <xf numFmtId="0" fontId="86" fillId="11" borderId="3" xfId="26" applyFont="1" applyFill="1" applyBorder="1"/>
    <xf numFmtId="1" fontId="83" fillId="0" borderId="0" xfId="26" applyNumberFormat="1" applyFont="1" applyAlignment="1">
      <alignment horizontal="left"/>
    </xf>
    <xf numFmtId="1" fontId="83" fillId="0" borderId="0" xfId="26" applyNumberFormat="1" applyFont="1" applyAlignment="1">
      <alignment horizontal="center"/>
    </xf>
    <xf numFmtId="209" fontId="66" fillId="0" borderId="0" xfId="27" applyNumberFormat="1" applyFont="1" applyAlignment="1">
      <alignment horizontal="center" vertical="center" wrapText="1"/>
    </xf>
    <xf numFmtId="0" fontId="68" fillId="0" borderId="0" xfId="27" applyFont="1" applyAlignment="1">
      <alignment horizontal="center" textRotation="90" wrapText="1"/>
    </xf>
    <xf numFmtId="209" fontId="69" fillId="0" borderId="0" xfId="27" applyNumberFormat="1" applyFont="1" applyAlignment="1">
      <alignment vertical="center" wrapText="1"/>
    </xf>
    <xf numFmtId="0" fontId="71" fillId="0" borderId="0" xfId="27" applyFont="1" applyAlignment="1">
      <alignment horizontal="center" textRotation="90"/>
    </xf>
    <xf numFmtId="210" fontId="69" fillId="0" borderId="0" xfId="27" applyNumberFormat="1" applyFont="1" applyAlignment="1">
      <alignment vertical="center" wrapText="1"/>
    </xf>
    <xf numFmtId="210" fontId="66" fillId="0" borderId="0" xfId="27" applyNumberFormat="1" applyFont="1" applyAlignment="1">
      <alignment vertical="center" wrapText="1"/>
    </xf>
    <xf numFmtId="0" fontId="71" fillId="0" borderId="0" xfId="27" applyFont="1"/>
    <xf numFmtId="4" fontId="69" fillId="0" borderId="0" xfId="27" applyNumberFormat="1" applyFont="1" applyAlignment="1">
      <alignment vertical="center" wrapText="1"/>
    </xf>
    <xf numFmtId="0" fontId="71" fillId="0" borderId="0" xfId="27" applyFont="1" applyAlignment="1">
      <alignment horizontal="right"/>
    </xf>
    <xf numFmtId="0" fontId="67" fillId="0" borderId="0" xfId="27" applyFont="1" applyAlignment="1">
      <alignment vertical="center" wrapText="1"/>
    </xf>
    <xf numFmtId="211" fontId="66" fillId="0" borderId="0" xfId="27" applyNumberFormat="1" applyFont="1"/>
    <xf numFmtId="4" fontId="66" fillId="0" borderId="0" xfId="27" applyNumberFormat="1" applyFont="1" applyAlignment="1">
      <alignment vertical="center" wrapText="1"/>
    </xf>
    <xf numFmtId="4" fontId="73" fillId="0" borderId="0" xfId="27" applyNumberFormat="1" applyFont="1" applyAlignment="1">
      <alignment vertical="center"/>
    </xf>
    <xf numFmtId="4" fontId="72" fillId="0" borderId="0" xfId="27" applyNumberFormat="1" applyFont="1" applyAlignment="1">
      <alignment horizontal="center" vertical="center"/>
    </xf>
    <xf numFmtId="207" fontId="71" fillId="0" borderId="0" xfId="27" applyNumberFormat="1" applyFont="1" applyAlignment="1">
      <alignment horizontal="right"/>
    </xf>
    <xf numFmtId="207" fontId="69" fillId="0" borderId="0" xfId="27" applyNumberFormat="1" applyFont="1" applyAlignment="1">
      <alignment horizontal="right" vertical="center" wrapText="1"/>
    </xf>
    <xf numFmtId="210" fontId="71" fillId="0" borderId="0" xfId="27" applyNumberFormat="1" applyFont="1" applyAlignment="1">
      <alignment vertical="center" wrapText="1"/>
    </xf>
    <xf numFmtId="210" fontId="68" fillId="0" borderId="0" xfId="27" applyNumberFormat="1" applyFont="1" applyAlignment="1">
      <alignment vertical="center" wrapText="1"/>
    </xf>
    <xf numFmtId="207" fontId="69" fillId="0" borderId="0" xfId="27" applyNumberFormat="1" applyFont="1" applyAlignment="1">
      <alignment horizontal="right"/>
    </xf>
    <xf numFmtId="210" fontId="1" fillId="0" borderId="0" xfId="27" applyNumberFormat="1"/>
    <xf numFmtId="210" fontId="39" fillId="0" borderId="0" xfId="27" applyNumberFormat="1" applyFont="1" applyAlignment="1">
      <alignment horizontal="center" vertical="center"/>
    </xf>
    <xf numFmtId="210" fontId="66" fillId="0" borderId="3" xfId="27" applyNumberFormat="1" applyFont="1" applyBorder="1" applyAlignment="1">
      <alignment horizontal="left" vertical="center" wrapText="1"/>
    </xf>
    <xf numFmtId="0" fontId="66" fillId="0" borderId="3" xfId="27" applyFont="1" applyBorder="1" applyAlignment="1">
      <alignment horizontal="left" vertical="center" wrapText="1"/>
    </xf>
    <xf numFmtId="0" fontId="67" fillId="0" borderId="3" xfId="27" applyFont="1" applyBorder="1" applyAlignment="1">
      <alignment horizontal="left" vertical="center" wrapText="1"/>
    </xf>
    <xf numFmtId="209" fontId="66" fillId="0" borderId="3" xfId="27" applyNumberFormat="1" applyFont="1" applyBorder="1" applyAlignment="1">
      <alignment horizontal="left" vertical="center" wrapText="1"/>
    </xf>
    <xf numFmtId="0" fontId="69" fillId="0" borderId="3" xfId="27" applyFont="1" applyBorder="1" applyAlignment="1">
      <alignment horizontal="left" vertical="center" wrapText="1"/>
    </xf>
    <xf numFmtId="0" fontId="70" fillId="0" borderId="3" xfId="27" applyFont="1" applyBorder="1" applyAlignment="1">
      <alignment horizontal="left" vertical="center" wrapText="1"/>
    </xf>
    <xf numFmtId="0" fontId="23" fillId="0" borderId="3" xfId="27" applyFont="1" applyBorder="1" applyAlignment="1">
      <alignment horizontal="left"/>
    </xf>
    <xf numFmtId="1" fontId="72" fillId="0" borderId="3" xfId="27" applyNumberFormat="1" applyFont="1" applyBorder="1" applyAlignment="1">
      <alignment horizontal="left" vertical="center"/>
    </xf>
    <xf numFmtId="0" fontId="71" fillId="0" borderId="3" xfId="27" applyFont="1" applyBorder="1" applyAlignment="1">
      <alignment horizontal="left" vertical="center" wrapText="1"/>
    </xf>
    <xf numFmtId="210" fontId="68" fillId="0" borderId="3" xfId="27" applyNumberFormat="1" applyFont="1" applyBorder="1" applyAlignment="1">
      <alignment horizontal="left" vertical="center" wrapText="1"/>
    </xf>
    <xf numFmtId="0" fontId="68" fillId="0" borderId="3" xfId="27" applyFont="1" applyBorder="1" applyAlignment="1">
      <alignment horizontal="left" vertical="center" wrapText="1"/>
    </xf>
    <xf numFmtId="0" fontId="74" fillId="0" borderId="3" xfId="27" applyFont="1" applyBorder="1" applyAlignment="1">
      <alignment horizontal="left" vertical="center" wrapText="1"/>
    </xf>
    <xf numFmtId="0" fontId="75" fillId="0" borderId="3" xfId="27" applyFont="1" applyBorder="1" applyAlignment="1">
      <alignment horizontal="left" vertical="center" wrapText="1"/>
    </xf>
    <xf numFmtId="0" fontId="39" fillId="0" borderId="3" xfId="27" applyFont="1" applyBorder="1" applyAlignment="1">
      <alignment horizontal="left" vertical="center"/>
    </xf>
    <xf numFmtId="0" fontId="89" fillId="0" borderId="0" xfId="27" applyFont="1" applyAlignment="1">
      <alignment horizontal="left"/>
    </xf>
    <xf numFmtId="212" fontId="89" fillId="0" borderId="0" xfId="27" applyNumberFormat="1" applyFont="1" applyAlignment="1">
      <alignment horizontal="left"/>
    </xf>
    <xf numFmtId="211" fontId="89" fillId="0" borderId="0" xfId="27" applyNumberFormat="1" applyFont="1" applyAlignment="1">
      <alignment horizontal="left"/>
    </xf>
    <xf numFmtId="0" fontId="89" fillId="0" borderId="0" xfId="27" applyFont="1" applyAlignment="1">
      <alignment horizontal="left" indent="11"/>
    </xf>
    <xf numFmtId="0" fontId="89" fillId="0" borderId="3" xfId="27" applyFont="1" applyBorder="1" applyAlignment="1">
      <alignment horizontal="left"/>
    </xf>
    <xf numFmtId="212" fontId="89" fillId="0" borderId="3" xfId="27" applyNumberFormat="1" applyFont="1" applyBorder="1" applyAlignment="1">
      <alignment horizontal="left"/>
    </xf>
    <xf numFmtId="212" fontId="1" fillId="0" borderId="0" xfId="27" applyNumberFormat="1"/>
    <xf numFmtId="212" fontId="89" fillId="0" borderId="0" xfId="27" applyNumberFormat="1" applyFont="1" applyAlignment="1">
      <alignment horizontal="left" indent="1"/>
    </xf>
    <xf numFmtId="0" fontId="86" fillId="26" borderId="3" xfId="28" applyFont="1" applyFill="1" applyBorder="1" applyAlignment="1">
      <alignment horizontal="center" vertical="center" wrapText="1"/>
    </xf>
    <xf numFmtId="0" fontId="91" fillId="0" borderId="3" xfId="28" applyFont="1" applyBorder="1" applyAlignment="1">
      <alignment vertical="center" wrapText="1"/>
    </xf>
    <xf numFmtId="0" fontId="83" fillId="0" borderId="3" xfId="28" applyFont="1" applyBorder="1" applyAlignment="1">
      <alignment horizontal="center" vertical="center" wrapText="1"/>
    </xf>
    <xf numFmtId="3" fontId="83" fillId="0" borderId="3" xfId="28" applyNumberFormat="1" applyFont="1" applyBorder="1" applyAlignment="1">
      <alignment horizontal="right" vertical="center" wrapText="1"/>
    </xf>
    <xf numFmtId="213" fontId="83" fillId="0" borderId="3" xfId="28" applyNumberFormat="1" applyFont="1" applyBorder="1" applyAlignment="1">
      <alignment horizontal="right" vertical="center" wrapText="1"/>
    </xf>
    <xf numFmtId="0" fontId="93" fillId="0" borderId="0" xfId="27" applyFont="1"/>
    <xf numFmtId="0" fontId="94" fillId="0" borderId="0" xfId="27" applyFont="1" applyAlignment="1">
      <alignment horizontal="center" vertical="center"/>
    </xf>
    <xf numFmtId="171" fontId="34" fillId="2" borderId="0" xfId="8" applyFont="1" applyAlignment="1">
      <alignment horizontal="left" vertical="center" wrapText="1"/>
    </xf>
    <xf numFmtId="170" fontId="7" fillId="4" borderId="57" xfId="1" applyNumberFormat="1" applyFont="1" applyFill="1" applyBorder="1" applyAlignment="1">
      <alignment horizontal="center"/>
    </xf>
    <xf numFmtId="170" fontId="7" fillId="4" borderId="58" xfId="1" applyNumberFormat="1" applyFont="1" applyFill="1" applyBorder="1" applyAlignment="1">
      <alignment horizontal="center"/>
    </xf>
    <xf numFmtId="170" fontId="7" fillId="4" borderId="55" xfId="1" applyNumberFormat="1" applyFont="1" applyFill="1" applyBorder="1" applyAlignment="1">
      <alignment horizontal="center"/>
    </xf>
    <xf numFmtId="170" fontId="7" fillId="4" borderId="59" xfId="1" applyNumberFormat="1" applyFont="1" applyFill="1" applyBorder="1" applyAlignment="1">
      <alignment horizontal="center"/>
    </xf>
    <xf numFmtId="170" fontId="7" fillId="4" borderId="56" xfId="1" applyNumberFormat="1" applyFont="1" applyFill="1" applyBorder="1" applyAlignment="1">
      <alignment horizontal="center"/>
    </xf>
    <xf numFmtId="0" fontId="84" fillId="0" borderId="0" xfId="26" applyFont="1" applyAlignment="1">
      <alignment horizontal="left"/>
    </xf>
    <xf numFmtId="0" fontId="82" fillId="0" borderId="3" xfId="26" applyFont="1" applyBorder="1" applyAlignment="1">
      <alignment horizontal="left" vertical="center" wrapText="1"/>
    </xf>
    <xf numFmtId="0" fontId="82" fillId="0" borderId="66" xfId="26" applyFont="1" applyBorder="1" applyAlignment="1">
      <alignment horizontal="left" vertical="top"/>
    </xf>
    <xf numFmtId="0" fontId="82" fillId="0" borderId="67" xfId="26" applyFont="1" applyBorder="1" applyAlignment="1">
      <alignment horizontal="left" vertical="top"/>
    </xf>
    <xf numFmtId="0" fontId="82" fillId="0" borderId="16" xfId="26" applyFont="1" applyBorder="1" applyAlignment="1">
      <alignment horizontal="left" vertical="top"/>
    </xf>
    <xf numFmtId="0" fontId="84" fillId="0" borderId="66" xfId="26" applyFont="1" applyBorder="1" applyAlignment="1">
      <alignment horizontal="left"/>
    </xf>
    <xf numFmtId="0" fontId="84" fillId="0" borderId="67" xfId="26" applyFont="1" applyBorder="1" applyAlignment="1">
      <alignment horizontal="left"/>
    </xf>
    <xf numFmtId="0" fontId="84" fillId="0" borderId="16" xfId="26" applyFont="1" applyBorder="1" applyAlignment="1">
      <alignment horizontal="left"/>
    </xf>
    <xf numFmtId="0" fontId="82" fillId="0" borderId="3" xfId="26" applyFont="1" applyBorder="1" applyAlignment="1">
      <alignment horizontal="left" vertical="center"/>
    </xf>
    <xf numFmtId="0" fontId="84" fillId="0" borderId="66" xfId="26" applyFont="1" applyBorder="1" applyAlignment="1">
      <alignment horizontal="left" vertical="top"/>
    </xf>
    <xf numFmtId="0" fontId="84" fillId="0" borderId="16" xfId="26" applyFont="1" applyBorder="1" applyAlignment="1">
      <alignment horizontal="left" vertical="top"/>
    </xf>
    <xf numFmtId="0" fontId="84" fillId="0" borderId="23" xfId="26" applyFont="1" applyBorder="1" applyAlignment="1">
      <alignment horizontal="center"/>
    </xf>
    <xf numFmtId="0" fontId="86" fillId="0" borderId="0" xfId="26" applyFont="1" applyAlignment="1">
      <alignment horizontal="center"/>
    </xf>
    <xf numFmtId="0" fontId="86" fillId="0" borderId="0" xfId="26" applyFont="1" applyAlignment="1">
      <alignment horizontal="left"/>
    </xf>
    <xf numFmtId="0" fontId="92" fillId="0" borderId="18" xfId="28" applyFont="1" applyBorder="1" applyAlignment="1">
      <alignment horizontal="left" vertical="top"/>
    </xf>
    <xf numFmtId="0" fontId="92" fillId="0" borderId="0" xfId="28" applyFont="1" applyAlignment="1">
      <alignment horizontal="left" vertical="top" wrapText="1"/>
    </xf>
    <xf numFmtId="0" fontId="89" fillId="0" borderId="3" xfId="27" applyFont="1" applyBorder="1" applyAlignment="1">
      <alignment horizontal="left"/>
    </xf>
    <xf numFmtId="0" fontId="90" fillId="0" borderId="0" xfId="28" applyFont="1" applyAlignment="1">
      <alignment horizontal="center" vertical="center" wrapText="1"/>
    </xf>
    <xf numFmtId="0" fontId="90" fillId="26" borderId="3" xfId="28" applyFont="1" applyFill="1" applyBorder="1" applyAlignment="1">
      <alignment horizontal="center" vertical="center" wrapText="1"/>
    </xf>
    <xf numFmtId="0" fontId="86" fillId="26" borderId="3" xfId="28" applyFont="1" applyFill="1" applyBorder="1" applyAlignment="1">
      <alignment horizontal="center" vertical="center" wrapText="1"/>
    </xf>
    <xf numFmtId="0" fontId="86" fillId="26" borderId="3" xfId="28" applyFont="1" applyFill="1" applyBorder="1" applyAlignment="1">
      <alignment horizontal="center" vertical="center"/>
    </xf>
    <xf numFmtId="171" fontId="33" fillId="4" borderId="40" xfId="9" applyBorder="1" applyAlignment="1">
      <alignment horizontal="left"/>
    </xf>
    <xf numFmtId="171" fontId="33" fillId="4" borderId="41" xfId="9" applyBorder="1" applyAlignment="1">
      <alignment horizontal="left"/>
    </xf>
    <xf numFmtId="171" fontId="33" fillId="4" borderId="42" xfId="9" applyBorder="1" applyAlignment="1">
      <alignment horizontal="left"/>
    </xf>
    <xf numFmtId="171" fontId="56" fillId="2" borderId="3" xfId="8" applyFont="1" applyBorder="1" applyAlignment="1">
      <alignment horizontal="center" vertical="center" textRotation="90" wrapText="1"/>
    </xf>
    <xf numFmtId="171" fontId="56" fillId="2" borderId="3" xfId="8" applyFont="1" applyBorder="1" applyAlignment="1">
      <alignment horizontal="center" vertical="center" wrapText="1"/>
    </xf>
    <xf numFmtId="171" fontId="56" fillId="2" borderId="3" xfId="8" applyFont="1" applyBorder="1" applyAlignment="1">
      <alignment horizontal="center" vertical="center"/>
    </xf>
  </cellXfs>
  <cellStyles count="29">
    <cellStyle name="Assumption" xfId="9" xr:uid="{00000000-0005-0000-0000-000000000000}"/>
    <cellStyle name="Assumption_Percent" xfId="21" xr:uid="{00000000-0005-0000-0000-000001000000}"/>
    <cellStyle name="List_Input" xfId="16" xr:uid="{00000000-0005-0000-0000-000002000000}"/>
    <cellStyle name="Macro_Paste" xfId="20" xr:uid="{00000000-0005-0000-0000-000003000000}"/>
    <cellStyle name="Гиперссылка" xfId="23" builtinId="8"/>
    <cellStyle name="Группа" xfId="6" xr:uid="{00000000-0005-0000-0000-000005000000}"/>
    <cellStyle name="Заголовок 1" xfId="2" builtinId="16" hidden="1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аголовок 4 2" xfId="24" xr:uid="{00000000-0005-0000-0000-00000A000000}"/>
    <cellStyle name="Итог" xfId="22" builtinId="25" hidden="1"/>
    <cellStyle name="Итого_1" xfId="13" xr:uid="{00000000-0005-0000-0000-00000C000000}"/>
    <cellStyle name="Коэффициенты" xfId="14" xr:uid="{00000000-0005-0000-0000-00000D000000}"/>
    <cellStyle name="Обычный" xfId="0" builtinId="0" customBuiltin="1"/>
    <cellStyle name="Обычный 2" xfId="26" xr:uid="{1154E0C9-3FE4-4450-8B62-663CC787ED9B}"/>
    <cellStyle name="Обычный 3" xfId="27" xr:uid="{4541A957-EAE6-4CFC-AFE0-CB317B63F476}"/>
    <cellStyle name="Обычный 6" xfId="28" xr:uid="{A830244C-0F35-444B-A846-F9B432F331A1}"/>
    <cellStyle name="Подитог_1" xfId="12" xr:uid="{00000000-0005-0000-0000-00000F000000}"/>
    <cellStyle name="Проверки" xfId="18" xr:uid="{00000000-0005-0000-0000-000010000000}"/>
    <cellStyle name="Процентный" xfId="1" builtinId="5"/>
    <cellStyle name="Расчеты_1" xfId="8" xr:uid="{00000000-0005-0000-0000-000012000000}"/>
    <cellStyle name="Расчеты_2" xfId="7" xr:uid="{00000000-0005-0000-0000-000013000000}"/>
    <cellStyle name="Расчеты_Проценты" xfId="17" xr:uid="{00000000-0005-0000-0000-000014000000}"/>
    <cellStyle name="С отступом" xfId="25" xr:uid="{00000000-0005-0000-0000-000015000000}"/>
    <cellStyle name="Сссылка_Процент" xfId="19" xr:uid="{00000000-0005-0000-0000-000016000000}"/>
    <cellStyle name="Ссылка" xfId="11" xr:uid="{00000000-0005-0000-0000-000017000000}"/>
    <cellStyle name="Сумма_Строка" xfId="10" xr:uid="{00000000-0005-0000-0000-000018000000}"/>
    <cellStyle name="Флаг" xfId="15" xr:uid="{00000000-0005-0000-0000-000019000000}"/>
  </cellStyles>
  <dxfs count="300"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rgb="FF9C0006"/>
      </font>
    </dxf>
    <dxf>
      <fill>
        <patternFill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border>
        <bottom style="thin">
          <color theme="3"/>
        </bottom>
        <vertical/>
        <horizontal/>
      </border>
    </dxf>
    <dxf>
      <numFmt numFmtId="166" formatCode="#,##0.000_ ;\(#,##0.000\);\-"/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numFmt numFmtId="166" formatCode="#,##0.000_ ;\(#,##0.000\);\-"/>
    </dxf>
    <dxf>
      <numFmt numFmtId="166" formatCode="#,##0.000_ ;\(#,##0.000\);\-"/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numFmt numFmtId="166" formatCode="#,##0.000_ ;\(#,##0.000\);\-"/>
    </dxf>
    <dxf>
      <numFmt numFmtId="166" formatCode="#,##0.000_ ;\(#,##0.000\);\-"/>
    </dxf>
    <dxf>
      <font>
        <color rgb="FFFF0000"/>
      </font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numFmt numFmtId="218" formatCode="&quot;error&quot;"/>
      <fill>
        <patternFill patternType="solid">
          <fgColor indexed="64"/>
          <bgColor theme="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6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7" formatCode="&quot;Эксплуатация&quot;"/>
      <fill>
        <patternFill patternType="lightGray">
          <fgColor rgb="FF92D050"/>
          <bgColor theme="0" tint="-4.9989318521683403E-2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A7A7"/>
      <color rgb="FF4E85E8"/>
      <color rgb="FF457FE7"/>
      <color rgb="FF5C8FEA"/>
      <color rgb="FF8CAFF0"/>
      <color rgb="FFFF8F8F"/>
      <color rgb="FFC2E49C"/>
      <color rgb="FF2CB4C0"/>
      <color rgb="FFC00000"/>
      <color rgb="FFEB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47610499428479"/>
          <c:y val="5.4545447446417983E-2"/>
          <c:w val="0.84179407395576922"/>
          <c:h val="0.68871924400087925"/>
        </c:manualLayout>
      </c:layout>
      <c:areaChart>
        <c:grouping val="standard"/>
        <c:varyColors val="0"/>
        <c:ser>
          <c:idx val="0"/>
          <c:order val="0"/>
          <c:tx>
            <c:strRef>
              <c:f>Свод!$C$17</c:f>
              <c:strCache>
                <c:ptCount val="1"/>
                <c:pt idx="0">
                  <c:v>Инвестиции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cat>
            <c:numRef>
              <c:f>Свод!$L$6:$U$6</c:f>
              <c:numCache>
                <c:formatCode>0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Свод!$L$17:$U$17</c:f>
              <c:numCache>
                <c:formatCode>#\ ##0_ ;\(#\ ##0\);\-\ </c:formatCode>
                <c:ptCount val="10"/>
                <c:pt idx="0">
                  <c:v>-128324.85692220708</c:v>
                </c:pt>
                <c:pt idx="1">
                  <c:v>-1026430.0159674296</c:v>
                </c:pt>
                <c:pt idx="2">
                  <c:v>-49672.380042942939</c:v>
                </c:pt>
                <c:pt idx="3">
                  <c:v>-146877.96513782954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6-43F2-8D8B-4DF84F06C81E}"/>
            </c:ext>
          </c:extLst>
        </c:ser>
        <c:ser>
          <c:idx val="1"/>
          <c:order val="1"/>
          <c:tx>
            <c:strRef>
              <c:f>Свод!$C$18</c:f>
              <c:strCache>
                <c:ptCount val="1"/>
                <c:pt idx="0">
                  <c:v>Возврат инвестиций с доходностью</c:v>
                </c:pt>
              </c:strCache>
            </c:strRef>
          </c:tx>
          <c:spPr>
            <a:solidFill>
              <a:schemeClr val="accent6">
                <a:lumMod val="90000"/>
              </a:schemeClr>
            </a:solidFill>
            <a:ln>
              <a:noFill/>
            </a:ln>
            <a:effectLst/>
          </c:spPr>
          <c:val>
            <c:numRef>
              <c:f>Свод!$L$18:$U$18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803155.21153117251</c:v>
                </c:pt>
                <c:pt idx="5">
                  <c:v>100275.87604573887</c:v>
                </c:pt>
                <c:pt idx="6">
                  <c:v>248416.16270955221</c:v>
                </c:pt>
                <c:pt idx="7">
                  <c:v>395214.26919213915</c:v>
                </c:pt>
                <c:pt idx="8">
                  <c:v>443026.35505939391</c:v>
                </c:pt>
                <c:pt idx="9">
                  <c:v>267489.79998110887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6-43F2-8D8B-4DF84F06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625664"/>
        <c:axId val="1182611936"/>
      </c:areaChart>
      <c:catAx>
        <c:axId val="11826256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11936"/>
        <c:crosses val="autoZero"/>
        <c:auto val="1"/>
        <c:lblAlgn val="ctr"/>
        <c:lblOffset val="100"/>
        <c:noMultiLvlLbl val="0"/>
      </c:catAx>
      <c:valAx>
        <c:axId val="11826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majorGridlines>
        <c:numFmt formatCode="#\ ##0_ ;\(#\ ##0\);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2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47610499428479"/>
          <c:y val="5.4545447446417983E-2"/>
          <c:w val="0.84179407395576922"/>
          <c:h val="0.68871924400087925"/>
        </c:manualLayout>
      </c:layout>
      <c:areaChart>
        <c:grouping val="standard"/>
        <c:varyColors val="0"/>
        <c:ser>
          <c:idx val="2"/>
          <c:order val="2"/>
          <c:tx>
            <c:strRef>
              <c:f>Свод!$C$25</c:f>
              <c:strCache>
                <c:ptCount val="1"/>
                <c:pt idx="0">
                  <c:v>СFADS на этапе погашения кредита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2">
                  <a:lumMod val="75000"/>
                  <a:alpha val="99000"/>
                </a:schemeClr>
              </a:solidFill>
            </a:ln>
            <a:effectLst/>
          </c:spPr>
          <c:val>
            <c:numRef>
              <c:f>Свод!$L$25:$U$25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2688512.1751269433</c:v>
                </c:pt>
                <c:pt idx="5">
                  <c:v>3045436.0646649171</c:v>
                </c:pt>
                <c:pt idx="6">
                  <c:v>2154305.7112425896</c:v>
                </c:pt>
                <c:pt idx="7">
                  <c:v>1385457.5495545887</c:v>
                </c:pt>
                <c:pt idx="8">
                  <c:v>1179930.1421569034</c:v>
                </c:pt>
                <c:pt idx="9">
                  <c:v>1004392.5788115433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A7-4D26-B84E-1311C6682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837840"/>
        <c:axId val="1088845328"/>
      </c:areaChart>
      <c:barChart>
        <c:barDir val="col"/>
        <c:grouping val="stacked"/>
        <c:varyColors val="0"/>
        <c:ser>
          <c:idx val="0"/>
          <c:order val="0"/>
          <c:tx>
            <c:strRef>
              <c:f>Свод!$C$23</c:f>
              <c:strCache>
                <c:ptCount val="1"/>
                <c:pt idx="0">
                  <c:v>Выплата процентов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numRef>
              <c:f>Свод!$L$6:$U$6</c:f>
              <c:numCache>
                <c:formatCode>0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Свод!$L$23:$U$23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738.99174247580174</c:v>
                </c:pt>
                <c:pt idx="2">
                  <c:v>37409.991364468544</c:v>
                </c:pt>
                <c:pt idx="3">
                  <c:v>139629.60956583463</c:v>
                </c:pt>
                <c:pt idx="4">
                  <c:v>245429.84560124113</c:v>
                </c:pt>
                <c:pt idx="5">
                  <c:v>225315.35309172334</c:v>
                </c:pt>
                <c:pt idx="6">
                  <c:v>196323.18401043824</c:v>
                </c:pt>
                <c:pt idx="7">
                  <c:v>165724.72485428915</c:v>
                </c:pt>
                <c:pt idx="8">
                  <c:v>133317.13665651664</c:v>
                </c:pt>
                <c:pt idx="9">
                  <c:v>99111.866495995389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7-4D26-B84E-1311C66821CF}"/>
            </c:ext>
          </c:extLst>
        </c:ser>
        <c:ser>
          <c:idx val="1"/>
          <c:order val="1"/>
          <c:tx>
            <c:strRef>
              <c:f>Свод!$C$24</c:f>
              <c:strCache>
                <c:ptCount val="1"/>
                <c:pt idx="0">
                  <c:v>Выплата тела долга</c:v>
                </c:pt>
              </c:strCache>
            </c:strRef>
          </c:tx>
          <c:spPr>
            <a:solidFill>
              <a:schemeClr val="accent6">
                <a:lumMod val="9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Свод!$L$24:$U$24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365234.99647687044</c:v>
                </c:pt>
                <c:pt idx="5">
                  <c:v>511592.00466642744</c:v>
                </c:pt>
                <c:pt idx="6">
                  <c:v>540583.06071867212</c:v>
                </c:pt>
                <c:pt idx="7">
                  <c:v>571218.16842906806</c:v>
                </c:pt>
                <c:pt idx="8">
                  <c:v>603586.65044099302</c:v>
                </c:pt>
                <c:pt idx="9">
                  <c:v>637790.91233443888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A7-4D26-B84E-1311C6682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2625664"/>
        <c:axId val="1182611936"/>
      </c:barChart>
      <c:catAx>
        <c:axId val="11826256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11936"/>
        <c:crosses val="autoZero"/>
        <c:auto val="1"/>
        <c:lblAlgn val="ctr"/>
        <c:lblOffset val="100"/>
        <c:noMultiLvlLbl val="0"/>
      </c:catAx>
      <c:valAx>
        <c:axId val="11826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majorGridlines>
        <c:numFmt formatCode="#\ ##0_ ;\(#\ ##0\);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25664"/>
        <c:crosses val="autoZero"/>
        <c:crossBetween val="between"/>
      </c:valAx>
      <c:valAx>
        <c:axId val="1088845328"/>
        <c:scaling>
          <c:orientation val="minMax"/>
        </c:scaling>
        <c:delete val="0"/>
        <c:axPos val="r"/>
        <c:numFmt formatCode="#\ ##0_ ;\(#\ ##0\);\-\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8837840"/>
        <c:crosses val="max"/>
        <c:crossBetween val="between"/>
      </c:valAx>
      <c:catAx>
        <c:axId val="1088837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8884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F07E-4242-B031-D71EBE8BB019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F07E-4242-B031-D71EBE8BB019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F07E-4242-B031-D71EBE8BB019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F07E-4242-B031-D71EBE8BB019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F07E-4242-B031-D71EBE8BB01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рынка'!$A$4:$A$8</c:f>
              <c:strCache>
                <c:ptCount val="5"/>
                <c:pt idx="0">
                  <c:v>Авиатранспорт</c:v>
                </c:pt>
                <c:pt idx="1">
                  <c:v>Автомобильный транспорт</c:v>
                </c:pt>
                <c:pt idx="2">
                  <c:v>Ж/д транспорт</c:v>
                </c:pt>
                <c:pt idx="3">
                  <c:v>Автобусный транспорт</c:v>
                </c:pt>
                <c:pt idx="4">
                  <c:v>Комбинированные виды транспорта</c:v>
                </c:pt>
              </c:strCache>
            </c:strRef>
          </c:cat>
          <c:val>
            <c:numRef>
              <c:f>'Анализ рынка'!$B$4:$B$8</c:f>
              <c:numCache>
                <c:formatCode>0%</c:formatCode>
                <c:ptCount val="5"/>
                <c:pt idx="0">
                  <c:v>0.34599999999999997</c:v>
                </c:pt>
                <c:pt idx="1">
                  <c:v>0.27200000000000002</c:v>
                </c:pt>
                <c:pt idx="2">
                  <c:v>0.113</c:v>
                </c:pt>
                <c:pt idx="3">
                  <c:v>0.122</c:v>
                </c:pt>
                <c:pt idx="4">
                  <c:v>0.14699999999999999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7E-4242-B031-D71EBE8BB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6495-462A-B26A-DAF09908CFFB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6495-462A-B26A-DAF09908CFFB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6495-462A-B26A-DAF09908CFFB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6495-462A-B26A-DAF09908CFF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рынка'!$A$14:$A$17</c:f>
              <c:strCache>
                <c:ptCount val="4"/>
                <c:pt idx="0">
                  <c:v>Отель (вкл. мини-отели)</c:v>
                </c:pt>
                <c:pt idx="1">
                  <c:v>Гостевой дом</c:v>
                </c:pt>
                <c:pt idx="2">
                  <c:v>Апартаменты</c:v>
                </c:pt>
                <c:pt idx="3">
                  <c:v>Хостел</c:v>
                </c:pt>
              </c:strCache>
            </c:strRef>
          </c:cat>
          <c:val>
            <c:numRef>
              <c:f>'Анализ рынка'!$B$14:$B$17</c:f>
              <c:numCache>
                <c:formatCode>0%</c:formatCode>
                <c:ptCount val="4"/>
                <c:pt idx="0">
                  <c:v>0.85</c:v>
                </c:pt>
                <c:pt idx="1">
                  <c:v>0.03</c:v>
                </c:pt>
                <c:pt idx="2">
                  <c:v>0.09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95-462A-B26A-DAF09908C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BC85-4F53-A3E2-FEDF1750D19D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BC85-4F53-A3E2-FEDF1750D19D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BC85-4F53-A3E2-FEDF1750D19D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BC85-4F53-A3E2-FEDF1750D19D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BC85-4F53-A3E2-FEDF1750D19D}"/>
              </c:ext>
            </c:extLst>
          </c:dPt>
          <c:dPt>
            <c:idx val="5"/>
            <c:bubble3D val="0"/>
            <c:spPr>
              <a:solidFill>
                <a:srgbClr val="46BDC6"/>
              </a:solidFill>
            </c:spPr>
            <c:extLst>
              <c:ext xmlns:c16="http://schemas.microsoft.com/office/drawing/2014/chart" uri="{C3380CC4-5D6E-409C-BE32-E72D297353CC}">
                <c16:uniqueId val="{0000000B-BC85-4F53-A3E2-FEDF1750D19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рынка'!$A$20:$A$25</c:f>
              <c:strCache>
                <c:ptCount val="6"/>
                <c:pt idx="0">
                  <c:v>Москва</c:v>
                </c:pt>
                <c:pt idx="1">
                  <c:v>Ставропольский край</c:v>
                </c:pt>
                <c:pt idx="2">
                  <c:v>Чеченская республика</c:v>
                </c:pt>
                <c:pt idx="3">
                  <c:v>Краснодарский край</c:v>
                </c:pt>
                <c:pt idx="4">
                  <c:v>Санкт-Петербург</c:v>
                </c:pt>
                <c:pt idx="5">
                  <c:v>Северная Осетия, Астраханская область, Ростовская область, Башкортостан, Татарстан</c:v>
                </c:pt>
              </c:strCache>
            </c:strRef>
          </c:cat>
          <c:val>
            <c:numRef>
              <c:f>'Анализ рынка'!$B$20:$B$25</c:f>
              <c:numCache>
                <c:formatCode>0%</c:formatCode>
                <c:ptCount val="6"/>
                <c:pt idx="0">
                  <c:v>0.19</c:v>
                </c:pt>
                <c:pt idx="1">
                  <c:v>0.08</c:v>
                </c:pt>
                <c:pt idx="2">
                  <c:v>0.08</c:v>
                </c:pt>
                <c:pt idx="3">
                  <c:v>0.06</c:v>
                </c:pt>
                <c:pt idx="4">
                  <c:v>0.05</c:v>
                </c:pt>
                <c:pt idx="5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85-4F53-A3E2-FEDF1750D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A606-4B8F-BF64-43255F4BAF1D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A606-4B8F-BF64-43255F4BAF1D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A606-4B8F-BF64-43255F4BAF1D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A606-4B8F-BF64-43255F4BAF1D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A606-4B8F-BF64-43255F4BAF1D}"/>
              </c:ext>
            </c:extLst>
          </c:dPt>
          <c:dPt>
            <c:idx val="5"/>
            <c:bubble3D val="0"/>
            <c:spPr>
              <a:solidFill>
                <a:srgbClr val="46BDC6"/>
              </a:solidFill>
            </c:spPr>
            <c:extLst>
              <c:ext xmlns:c16="http://schemas.microsoft.com/office/drawing/2014/chart" uri="{C3380CC4-5D6E-409C-BE32-E72D297353CC}">
                <c16:uniqueId val="{0000000B-A606-4B8F-BF64-43255F4BAF1D}"/>
              </c:ext>
            </c:extLst>
          </c:dPt>
          <c:dPt>
            <c:idx val="6"/>
            <c:bubble3D val="0"/>
            <c:spPr>
              <a:solidFill>
                <a:srgbClr val="7BAAF7"/>
              </a:solidFill>
            </c:spPr>
            <c:extLst>
              <c:ext xmlns:c16="http://schemas.microsoft.com/office/drawing/2014/chart" uri="{C3380CC4-5D6E-409C-BE32-E72D297353CC}">
                <c16:uniqueId val="{0000000D-A606-4B8F-BF64-43255F4BAF1D}"/>
              </c:ext>
            </c:extLst>
          </c:dPt>
          <c:dPt>
            <c:idx val="7"/>
            <c:bubble3D val="0"/>
            <c:spPr>
              <a:solidFill>
                <a:srgbClr val="F07B72"/>
              </a:solidFill>
            </c:spPr>
            <c:extLst>
              <c:ext xmlns:c16="http://schemas.microsoft.com/office/drawing/2014/chart" uri="{C3380CC4-5D6E-409C-BE32-E72D297353CC}">
                <c16:uniqueId val="{0000000F-A606-4B8F-BF64-43255F4BAF1D}"/>
              </c:ext>
            </c:extLst>
          </c:dPt>
          <c:dPt>
            <c:idx val="8"/>
            <c:bubble3D val="0"/>
            <c:spPr>
              <a:solidFill>
                <a:srgbClr val="FCD04F"/>
              </a:solidFill>
            </c:spPr>
            <c:extLst>
              <c:ext xmlns:c16="http://schemas.microsoft.com/office/drawing/2014/chart" uri="{C3380CC4-5D6E-409C-BE32-E72D297353CC}">
                <c16:uniqueId val="{00000011-A606-4B8F-BF64-43255F4BAF1D}"/>
              </c:ext>
            </c:extLst>
          </c:dPt>
          <c:dPt>
            <c:idx val="9"/>
            <c:bubble3D val="0"/>
            <c:spPr>
              <a:solidFill>
                <a:srgbClr val="71C287"/>
              </a:solidFill>
            </c:spPr>
            <c:extLst>
              <c:ext xmlns:c16="http://schemas.microsoft.com/office/drawing/2014/chart" uri="{C3380CC4-5D6E-409C-BE32-E72D297353CC}">
                <c16:uniqueId val="{00000013-A606-4B8F-BF64-43255F4BAF1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рынка'!$A$28:$A$37</c:f>
              <c:strCache>
                <c:ptCount val="10"/>
                <c:pt idx="0">
                  <c:v>Пегас</c:v>
                </c:pt>
                <c:pt idx="1">
                  <c:v>Яндекс.Путешествия</c:v>
                </c:pt>
                <c:pt idx="2">
                  <c:v>Ostrovok.ru</c:v>
                </c:pt>
                <c:pt idx="3">
                  <c:v>МТС Travel / Bronevik</c:v>
                </c:pt>
                <c:pt idx="4">
                  <c:v>Алеан</c:v>
                </c:pt>
                <c:pt idx="5">
                  <c:v>101Hotels.com</c:v>
                </c:pt>
                <c:pt idx="6">
                  <c:v>Zabroniryi.ru</c:v>
                </c:pt>
                <c:pt idx="7">
                  <c:v>Otello</c:v>
                </c:pt>
                <c:pt idx="8">
                  <c:v>Acase.ru</c:v>
                </c:pt>
                <c:pt idx="9">
                  <c:v>Дельфин</c:v>
                </c:pt>
              </c:strCache>
            </c:strRef>
          </c:cat>
          <c:val>
            <c:numRef>
              <c:f>'Анализ рынка'!$B$28:$B$37</c:f>
              <c:numCache>
                <c:formatCode>0%</c:formatCode>
                <c:ptCount val="10"/>
                <c:pt idx="0">
                  <c:v>0.33900000000000002</c:v>
                </c:pt>
                <c:pt idx="1">
                  <c:v>0.2329</c:v>
                </c:pt>
                <c:pt idx="2">
                  <c:v>0.192</c:v>
                </c:pt>
                <c:pt idx="3">
                  <c:v>6.3299999999999995E-2</c:v>
                </c:pt>
                <c:pt idx="4">
                  <c:v>4.8399999999999999E-2</c:v>
                </c:pt>
                <c:pt idx="5">
                  <c:v>3.4599999999999999E-2</c:v>
                </c:pt>
                <c:pt idx="6">
                  <c:v>2.6700000000000002E-2</c:v>
                </c:pt>
                <c:pt idx="7">
                  <c:v>2.23E-2</c:v>
                </c:pt>
                <c:pt idx="8">
                  <c:v>2.1000000000000001E-2</c:v>
                </c:pt>
                <c:pt idx="9">
                  <c:v>2.0099999999999996E-2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06-4B8F-BF64-43255F4B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Бронирования через ОТА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'Анализ рынка'!$B$41:$E$41</c:f>
              <c:strCache>
                <c:ptCount val="4"/>
                <c:pt idx="0">
                  <c:v>Городские отели</c:v>
                </c:pt>
                <c:pt idx="1">
                  <c:v>Загородные отели</c:v>
                </c:pt>
                <c:pt idx="2">
                  <c:v>Курортные отели</c:v>
                </c:pt>
                <c:pt idx="3">
                  <c:v>Санатории</c:v>
                </c:pt>
              </c:strCache>
            </c:strRef>
          </c:cat>
          <c:val>
            <c:numRef>
              <c:f>'Анализ рынка'!$B$42:$E$42</c:f>
              <c:numCache>
                <c:formatCode>0%</c:formatCode>
                <c:ptCount val="4"/>
                <c:pt idx="0">
                  <c:v>0.56999999999999995</c:v>
                </c:pt>
                <c:pt idx="1">
                  <c:v>0.17</c:v>
                </c:pt>
                <c:pt idx="2">
                  <c:v>0.48</c:v>
                </c:pt>
                <c:pt idx="3">
                  <c:v>0.28000000000000003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986-488A-B7F0-45DF4DE8BF19}"/>
            </c:ext>
          </c:extLst>
        </c:ser>
        <c:ser>
          <c:idx val="1"/>
          <c:order val="1"/>
          <c:tx>
            <c:v>Прямые бронирования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'Анализ рынка'!$B$41:$E$41</c:f>
              <c:strCache>
                <c:ptCount val="4"/>
                <c:pt idx="0">
                  <c:v>Городские отели</c:v>
                </c:pt>
                <c:pt idx="1">
                  <c:v>Загородные отели</c:v>
                </c:pt>
                <c:pt idx="2">
                  <c:v>Курортные отели</c:v>
                </c:pt>
                <c:pt idx="3">
                  <c:v>Санатории</c:v>
                </c:pt>
              </c:strCache>
            </c:strRef>
          </c:cat>
          <c:val>
            <c:numRef>
              <c:f>'Анализ рынка'!$B$43:$E$43</c:f>
              <c:numCache>
                <c:formatCode>0%</c:formatCode>
                <c:ptCount val="4"/>
                <c:pt idx="0">
                  <c:v>0.43000000000000005</c:v>
                </c:pt>
                <c:pt idx="1">
                  <c:v>0.83</c:v>
                </c:pt>
                <c:pt idx="2">
                  <c:v>0.52</c:v>
                </c:pt>
                <c:pt idx="3">
                  <c:v>0.72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986-488A-B7F0-45DF4DE8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657465"/>
        <c:axId val="369068768"/>
      </c:barChart>
      <c:catAx>
        <c:axId val="5706574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369068768"/>
        <c:crosses val="autoZero"/>
        <c:auto val="1"/>
        <c:lblAlgn val="ctr"/>
        <c:lblOffset val="100"/>
        <c:noMultiLvlLbl val="1"/>
      </c:catAx>
      <c:valAx>
        <c:axId val="3690687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570657465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2" name="Rectangle 4">
          <a:extLst>
            <a:ext uri="{FF2B5EF4-FFF2-40B4-BE49-F238E27FC236}">
              <a16:creationId xmlns:a16="http://schemas.microsoft.com/office/drawing/2014/main" id="{4AB488FC-D5DC-494E-AB7F-B67289C81756}"/>
            </a:ext>
          </a:extLst>
        </xdr:cNvPr>
        <xdr:cNvSpPr/>
      </xdr:nvSpPr>
      <xdr:spPr>
        <a:xfrm>
          <a:off x="5972175" y="545522"/>
          <a:ext cx="15363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393700</xdr:colOff>
      <xdr:row>0</xdr:row>
      <xdr:rowOff>342900</xdr:rowOff>
    </xdr:from>
    <xdr:to>
      <xdr:col>10</xdr:col>
      <xdr:colOff>0</xdr:colOff>
      <xdr:row>12</xdr:row>
      <xdr:rowOff>2158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D6B74B-60EA-4EAB-997A-8C0C25860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42900"/>
          <a:ext cx="3289300" cy="28342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2283</xdr:rowOff>
    </xdr:from>
    <xdr:to>
      <xdr:col>5</xdr:col>
      <xdr:colOff>406400</xdr:colOff>
      <xdr:row>12</xdr:row>
      <xdr:rowOff>4416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1304314-24CB-4C37-91DE-10C4FF261C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888" b="18718"/>
        <a:stretch/>
      </xdr:blipFill>
      <xdr:spPr>
        <a:xfrm>
          <a:off x="0" y="353466"/>
          <a:ext cx="5839791" cy="2880063"/>
        </a:xfrm>
        <a:prstGeom prst="rect">
          <a:avLst/>
        </a:prstGeom>
      </xdr:spPr>
    </xdr:pic>
    <xdr:clientData/>
  </xdr:twoCellAnchor>
  <xdr:twoCellAnchor>
    <xdr:from>
      <xdr:col>4</xdr:col>
      <xdr:colOff>708212</xdr:colOff>
      <xdr:row>7</xdr:row>
      <xdr:rowOff>12700</xdr:rowOff>
    </xdr:from>
    <xdr:to>
      <xdr:col>8</xdr:col>
      <xdr:colOff>76200</xdr:colOff>
      <xdr:row>11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55459" y="2029759"/>
          <a:ext cx="4352365" cy="921870"/>
        </a:xfrm>
        <a:prstGeom prst="rect">
          <a:avLst/>
        </a:prstGeom>
        <a:solidFill>
          <a:schemeClr val="bg1">
            <a:alpha val="8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16000" rtlCol="0" anchor="ctr"/>
        <a:lstStyle/>
        <a:p>
          <a:pPr algn="r">
            <a:spcAft>
              <a:spcPts val="600"/>
            </a:spcAft>
          </a:pPr>
          <a:r>
            <a:rPr lang="ru-RU" sz="1300" b="1" u="none" cap="all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проект создания и развития культурно-развлекательного кластера</a:t>
          </a:r>
        </a:p>
        <a:p>
          <a:pPr algn="r"/>
          <a:r>
            <a:rPr lang="ru-RU" sz="1400" b="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Финансовая модель</a:t>
          </a:r>
          <a:r>
            <a:rPr lang="ru-RU" sz="1400" b="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685800</xdr:colOff>
      <xdr:row>2</xdr:row>
      <xdr:rowOff>563</xdr:rowOff>
    </xdr:from>
    <xdr:to>
      <xdr:col>13</xdr:col>
      <xdr:colOff>134239</xdr:colOff>
      <xdr:row>6</xdr:row>
      <xdr:rowOff>6839</xdr:rowOff>
    </xdr:to>
    <xdr:sp macro="[0]!Optimise_Mode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0845800" y="406963"/>
          <a:ext cx="1632839" cy="8190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расчеты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590912</xdr:colOff>
      <xdr:row>9</xdr:row>
      <xdr:rowOff>138612</xdr:rowOff>
    </xdr:from>
    <xdr:to>
      <xdr:col>7</xdr:col>
      <xdr:colOff>590912</xdr:colOff>
      <xdr:row>20</xdr:row>
      <xdr:rowOff>138611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946F88C-401C-437A-9537-3B1D3751B691}"/>
            </a:ext>
          </a:extLst>
        </xdr:cNvPr>
        <xdr:cNvCxnSpPr/>
      </xdr:nvCxnSpPr>
      <xdr:spPr>
        <a:xfrm>
          <a:off x="6382112" y="2056312"/>
          <a:ext cx="0" cy="1955799"/>
        </a:xfrm>
        <a:prstGeom prst="line">
          <a:avLst/>
        </a:prstGeom>
        <a:ln w="19050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55698</xdr:colOff>
      <xdr:row>177</xdr:row>
      <xdr:rowOff>7379</xdr:rowOff>
    </xdr:from>
    <xdr:to>
      <xdr:col>11</xdr:col>
      <xdr:colOff>55698</xdr:colOff>
      <xdr:row>190</xdr:row>
      <xdr:rowOff>7377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9C7BE4B1-679E-4270-A90E-8E0467E93043}"/>
            </a:ext>
          </a:extLst>
        </xdr:cNvPr>
        <xdr:cNvCxnSpPr/>
      </xdr:nvCxnSpPr>
      <xdr:spPr>
        <a:xfrm>
          <a:off x="7051281" y="5288462"/>
          <a:ext cx="0" cy="2338915"/>
        </a:xfrm>
        <a:prstGeom prst="line">
          <a:avLst/>
        </a:prstGeom>
        <a:ln w="19050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10585</xdr:colOff>
      <xdr:row>176</xdr:row>
      <xdr:rowOff>105832</xdr:rowOff>
    </xdr:from>
    <xdr:to>
      <xdr:col>7</xdr:col>
      <xdr:colOff>243417</xdr:colOff>
      <xdr:row>190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315D2-ADED-4A0F-8991-7CDF91128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1068917</xdr:colOff>
      <xdr:row>176</xdr:row>
      <xdr:rowOff>169333</xdr:rowOff>
    </xdr:from>
    <xdr:to>
      <xdr:col>13</xdr:col>
      <xdr:colOff>127701</xdr:colOff>
      <xdr:row>191</xdr:row>
      <xdr:rowOff>30183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4B8896E-C3DD-405C-B96D-26EFF0384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1028700</xdr:colOff>
      <xdr:row>2</xdr:row>
      <xdr:rowOff>0</xdr:rowOff>
    </xdr:from>
    <xdr:to>
      <xdr:col>11</xdr:col>
      <xdr:colOff>477139</xdr:colOff>
      <xdr:row>6</xdr:row>
      <xdr:rowOff>6276</xdr:rowOff>
    </xdr:to>
    <xdr:sp macro="[0]!All_Scenarios" textlink="">
      <xdr:nvSpPr>
        <xdr:cNvPr id="9" name="Rectangle 8">
          <a:extLst>
            <a:ext uri="{FF2B5EF4-FFF2-40B4-BE49-F238E27FC236}">
              <a16:creationId xmlns:a16="http://schemas.microsoft.com/office/drawing/2014/main" id="{B6DAC333-F18F-4A92-90CD-145AE2195B0F}"/>
            </a:ext>
          </a:extLst>
        </xdr:cNvPr>
        <xdr:cNvSpPr/>
      </xdr:nvSpPr>
      <xdr:spPr>
        <a:xfrm>
          <a:off x="9004300" y="406400"/>
          <a:ext cx="1632839" cy="8190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все сценарии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0</xdr:row>
      <xdr:rowOff>0</xdr:rowOff>
    </xdr:from>
    <xdr:ext cx="2857500" cy="2133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FAF6AE-528B-4D36-90F5-EE75BCF414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</xdr:col>
      <xdr:colOff>0</xdr:colOff>
      <xdr:row>12</xdr:row>
      <xdr:rowOff>95250</xdr:rowOff>
    </xdr:from>
    <xdr:ext cx="2695575" cy="9810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7E18F7-4FEE-42C5-B4B2-837C775C5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590550</xdr:colOff>
      <xdr:row>18</xdr:row>
      <xdr:rowOff>0</xdr:rowOff>
    </xdr:from>
    <xdr:ext cx="3876675" cy="14478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39BFE1-5180-4A53-806A-B36C09B7E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3</xdr:col>
      <xdr:colOff>0</xdr:colOff>
      <xdr:row>26</xdr:row>
      <xdr:rowOff>9525</xdr:rowOff>
    </xdr:from>
    <xdr:ext cx="4324350" cy="229552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9FDF3C-A01F-435B-B2AD-3172CBE24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6</xdr:col>
      <xdr:colOff>6350</xdr:colOff>
      <xdr:row>38</xdr:row>
      <xdr:rowOff>104775</xdr:rowOff>
    </xdr:from>
    <xdr:ext cx="3371850" cy="161925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E1D9B1-C306-46D2-B15B-0BC947AD0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5289</xdr:colOff>
      <xdr:row>18</xdr:row>
      <xdr:rowOff>116417</xdr:rowOff>
    </xdr:from>
    <xdr:to>
      <xdr:col>5</xdr:col>
      <xdr:colOff>120122</xdr:colOff>
      <xdr:row>31</xdr:row>
      <xdr:rowOff>188383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ACDD7BB-1292-459D-B49A-E851FDAD5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" y="3596217"/>
          <a:ext cx="3753383" cy="256751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193965</xdr:colOff>
      <xdr:row>2</xdr:row>
      <xdr:rowOff>55418</xdr:rowOff>
    </xdr:from>
    <xdr:to>
      <xdr:col>7</xdr:col>
      <xdr:colOff>872837</xdr:colOff>
      <xdr:row>4</xdr:row>
      <xdr:rowOff>110837</xdr:rowOff>
    </xdr:to>
    <xdr:sp macro="[0]!Optimise_Model" textlink="">
      <xdr:nvSpPr>
        <xdr:cNvPr id="2" name="Rectangle 1">
          <a:extLst>
            <a:ext uri="{FF2B5EF4-FFF2-40B4-BE49-F238E27FC236}">
              <a16:creationId xmlns:a16="http://schemas.microsoft.com/office/drawing/2014/main" id="{DF2A6305-E25F-4EC8-940A-A96CE5B9E217}"/>
            </a:ext>
          </a:extLst>
        </xdr:cNvPr>
        <xdr:cNvSpPr/>
      </xdr:nvSpPr>
      <xdr:spPr>
        <a:xfrm>
          <a:off x="6912265" y="512618"/>
          <a:ext cx="1910772" cy="436419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</xdr:colOff>
      <xdr:row>2</xdr:row>
      <xdr:rowOff>49069</xdr:rowOff>
    </xdr:from>
    <xdr:to>
      <xdr:col>8</xdr:col>
      <xdr:colOff>736600</xdr:colOff>
      <xdr:row>4</xdr:row>
      <xdr:rowOff>114300</xdr:rowOff>
    </xdr:to>
    <xdr:sp macro="[0]!Optimise_Model" textlink="">
      <xdr:nvSpPr>
        <xdr:cNvPr id="4" name="Rectangle 3">
          <a:extLst>
            <a:ext uri="{FF2B5EF4-FFF2-40B4-BE49-F238E27FC236}">
              <a16:creationId xmlns:a16="http://schemas.microsoft.com/office/drawing/2014/main" id="{859DBBD2-7AC9-41C4-9C72-7FB284615EDD}"/>
            </a:ext>
          </a:extLst>
        </xdr:cNvPr>
        <xdr:cNvSpPr/>
      </xdr:nvSpPr>
      <xdr:spPr>
        <a:xfrm>
          <a:off x="6889750" y="506269"/>
          <a:ext cx="2241550" cy="446231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68036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4735286" y="545522"/>
          <a:ext cx="14982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2" name="Rectangle 4">
          <a:extLst>
            <a:ext uri="{FF2B5EF4-FFF2-40B4-BE49-F238E27FC236}">
              <a16:creationId xmlns:a16="http://schemas.microsoft.com/office/drawing/2014/main" id="{9CEE3879-53A3-49F2-B3E1-589034DD8185}"/>
            </a:ext>
          </a:extLst>
        </xdr:cNvPr>
        <xdr:cNvSpPr/>
      </xdr:nvSpPr>
      <xdr:spPr>
        <a:xfrm>
          <a:off x="5972175" y="545522"/>
          <a:ext cx="15363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51725</xdr:colOff>
      <xdr:row>2</xdr:row>
      <xdr:rowOff>62538</xdr:rowOff>
    </xdr:from>
    <xdr:to>
      <xdr:col>3</xdr:col>
      <xdr:colOff>175877</xdr:colOff>
      <xdr:row>6</xdr:row>
      <xdr:rowOff>48876</xdr:rowOff>
    </xdr:to>
    <xdr:sp macro="[0]!Optimise_Mod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5078808" y="951538"/>
          <a:ext cx="1637569" cy="748338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  <a:endParaRPr lang="en-US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модели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471053</xdr:colOff>
      <xdr:row>5</xdr:row>
      <xdr:rowOff>-1</xdr:rowOff>
    </xdr:from>
    <xdr:to>
      <xdr:col>9</xdr:col>
      <xdr:colOff>789708</xdr:colOff>
      <xdr:row>9</xdr:row>
      <xdr:rowOff>6275</xdr:rowOff>
    </xdr:to>
    <xdr:sp macro="[0]!sensitivity_All" textlink="">
      <xdr:nvSpPr>
        <xdr:cNvPr id="2" name="Rectangle 1">
          <a:extLst>
            <a:ext uri="{FF2B5EF4-FFF2-40B4-BE49-F238E27FC236}">
              <a16:creationId xmlns:a16="http://schemas.microsoft.com/office/drawing/2014/main" id="{5AD59A97-CD48-4403-B2B3-E5DDE4286408}"/>
            </a:ext>
          </a:extLst>
        </xdr:cNvPr>
        <xdr:cNvSpPr/>
      </xdr:nvSpPr>
      <xdr:spPr>
        <a:xfrm>
          <a:off x="6386078" y="1057274"/>
          <a:ext cx="2223655" cy="7682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Провести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анализ чувствительности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.ilina\Desktop\&#1085;&#1086;&#1074;&#1099;&#1081;%20&#1082;&#1087;&#1082;\&#1060;&#1069;&#1052;_&#1051;&#1086;&#1090;_1_&#1054;&#1090;&#1077;&#1083;&#1100;_5_120.xlsm" TargetMode="External"/><Relationship Id="rId1" Type="http://schemas.openxmlformats.org/officeDocument/2006/relationships/externalLinkPath" Target="&#1060;&#1069;&#1052;_&#1051;&#1086;&#1090;_1_&#1054;&#1090;&#1077;&#1083;&#1100;_5_1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Титул"/>
      <sheetName val="Описание"/>
      <sheetName val="Контр_панель"/>
      <sheetName val="Анализ рынка"/>
      <sheetName val="Конкурентный анализ 5"/>
      <sheetName val="Загрузка"/>
      <sheetName val="Штатное расписание"/>
      <sheetName val="Предпосылки"/>
      <sheetName val="Расчеты"/>
      <sheetName val="Отчетность"/>
      <sheetName val="Отчетность годовая"/>
      <sheetName val="Проверки"/>
      <sheetName val="Свод"/>
      <sheetName val="Чувствительность"/>
      <sheetName val="Бюдж эффективность"/>
      <sheetName val="Финансирование"/>
      <sheetName val="Инвестор"/>
    </sheetNames>
    <sheetDataSet>
      <sheetData sheetId="0"/>
      <sheetData sheetId="1"/>
      <sheetData sheetId="2"/>
      <sheetData sheetId="3">
        <row r="26">
          <cell r="G26">
            <v>1</v>
          </cell>
          <cell r="I26">
            <v>1</v>
          </cell>
          <cell r="J26">
            <v>2</v>
          </cell>
          <cell r="K26">
            <v>3</v>
          </cell>
          <cell r="L26">
            <v>4</v>
          </cell>
          <cell r="M26">
            <v>5</v>
          </cell>
        </row>
      </sheetData>
      <sheetData sheetId="4"/>
      <sheetData sheetId="5"/>
      <sheetData sheetId="6"/>
      <sheetData sheetId="7"/>
      <sheetData sheetId="8">
        <row r="7">
          <cell r="L7">
            <v>45658</v>
          </cell>
          <cell r="M7">
            <v>45748</v>
          </cell>
          <cell r="N7">
            <v>45839</v>
          </cell>
          <cell r="O7">
            <v>45931</v>
          </cell>
          <cell r="P7">
            <v>46023</v>
          </cell>
          <cell r="Q7">
            <v>46113</v>
          </cell>
          <cell r="R7">
            <v>46204</v>
          </cell>
          <cell r="S7">
            <v>46296</v>
          </cell>
          <cell r="T7">
            <v>46388</v>
          </cell>
          <cell r="U7">
            <v>46478</v>
          </cell>
          <cell r="V7">
            <v>46569</v>
          </cell>
          <cell r="W7">
            <v>46661</v>
          </cell>
          <cell r="X7">
            <v>46753</v>
          </cell>
          <cell r="Y7">
            <v>46844</v>
          </cell>
          <cell r="Z7">
            <v>46935</v>
          </cell>
          <cell r="AA7">
            <v>47027</v>
          </cell>
          <cell r="AB7">
            <v>47119</v>
          </cell>
          <cell r="AC7">
            <v>47209</v>
          </cell>
          <cell r="AD7">
            <v>47300</v>
          </cell>
          <cell r="AE7">
            <v>47392</v>
          </cell>
          <cell r="AF7">
            <v>47484</v>
          </cell>
          <cell r="AG7">
            <v>47574</v>
          </cell>
          <cell r="AH7">
            <v>47665</v>
          </cell>
          <cell r="AI7">
            <v>47757</v>
          </cell>
          <cell r="AJ7">
            <v>47849</v>
          </cell>
          <cell r="AK7">
            <v>47939</v>
          </cell>
          <cell r="AL7">
            <v>48030</v>
          </cell>
          <cell r="AM7">
            <v>48122</v>
          </cell>
          <cell r="AN7">
            <v>48214</v>
          </cell>
          <cell r="AO7">
            <v>48305</v>
          </cell>
          <cell r="AP7">
            <v>48396</v>
          </cell>
          <cell r="AQ7">
            <v>48488</v>
          </cell>
          <cell r="AR7">
            <v>48580</v>
          </cell>
          <cell r="AS7">
            <v>48670</v>
          </cell>
          <cell r="AT7">
            <v>48761</v>
          </cell>
          <cell r="AU7">
            <v>48853</v>
          </cell>
          <cell r="AV7">
            <v>48945</v>
          </cell>
          <cell r="AW7">
            <v>49035</v>
          </cell>
          <cell r="AX7">
            <v>49126</v>
          </cell>
          <cell r="AY7">
            <v>49218</v>
          </cell>
          <cell r="AZ7">
            <v>49310</v>
          </cell>
          <cell r="BA7">
            <v>49400</v>
          </cell>
          <cell r="BB7">
            <v>49491</v>
          </cell>
          <cell r="BC7">
            <v>49583</v>
          </cell>
          <cell r="BD7">
            <v>49675</v>
          </cell>
          <cell r="BE7">
            <v>49766</v>
          </cell>
          <cell r="BF7">
            <v>49857</v>
          </cell>
          <cell r="BG7">
            <v>49949</v>
          </cell>
          <cell r="BH7">
            <v>50041</v>
          </cell>
          <cell r="BI7">
            <v>50131</v>
          </cell>
          <cell r="BJ7">
            <v>50222</v>
          </cell>
          <cell r="BK7">
            <v>50314</v>
          </cell>
          <cell r="BL7">
            <v>50406</v>
          </cell>
          <cell r="BM7">
            <v>50496</v>
          </cell>
          <cell r="BN7">
            <v>50587</v>
          </cell>
          <cell r="BO7">
            <v>50679</v>
          </cell>
          <cell r="BP7">
            <v>50771</v>
          </cell>
          <cell r="BQ7">
            <v>50861</v>
          </cell>
          <cell r="BR7">
            <v>50952</v>
          </cell>
          <cell r="BS7">
            <v>51044</v>
          </cell>
          <cell r="BT7">
            <v>51136</v>
          </cell>
          <cell r="BU7">
            <v>51227</v>
          </cell>
          <cell r="BV7">
            <v>51318</v>
          </cell>
          <cell r="BW7">
            <v>51410</v>
          </cell>
          <cell r="BX7">
            <v>51502</v>
          </cell>
          <cell r="BY7">
            <v>51592</v>
          </cell>
          <cell r="BZ7">
            <v>51683</v>
          </cell>
          <cell r="CA7">
            <v>51775</v>
          </cell>
          <cell r="CB7">
            <v>51867</v>
          </cell>
          <cell r="CC7">
            <v>51957</v>
          </cell>
          <cell r="CD7">
            <v>52048</v>
          </cell>
          <cell r="CE7">
            <v>52140</v>
          </cell>
          <cell r="CF7">
            <v>52232</v>
          </cell>
          <cell r="CG7">
            <v>52322</v>
          </cell>
          <cell r="CH7">
            <v>52413</v>
          </cell>
          <cell r="CI7">
            <v>52505</v>
          </cell>
          <cell r="CJ7">
            <v>52597</v>
          </cell>
          <cell r="CK7">
            <v>52688</v>
          </cell>
          <cell r="CL7">
            <v>52779</v>
          </cell>
          <cell r="CM7">
            <v>52871</v>
          </cell>
          <cell r="CN7">
            <v>52963</v>
          </cell>
          <cell r="CO7">
            <v>53053</v>
          </cell>
        </row>
        <row r="8">
          <cell r="L8">
            <v>45747</v>
          </cell>
          <cell r="M8">
            <v>45838</v>
          </cell>
          <cell r="N8">
            <v>45930</v>
          </cell>
          <cell r="O8">
            <v>46022</v>
          </cell>
          <cell r="P8">
            <v>46112</v>
          </cell>
          <cell r="Q8">
            <v>46203</v>
          </cell>
          <cell r="R8">
            <v>46295</v>
          </cell>
          <cell r="S8">
            <v>46387</v>
          </cell>
          <cell r="T8">
            <v>46477</v>
          </cell>
          <cell r="U8">
            <v>46568</v>
          </cell>
          <cell r="V8">
            <v>46660</v>
          </cell>
          <cell r="W8">
            <v>46752</v>
          </cell>
          <cell r="X8">
            <v>46843</v>
          </cell>
          <cell r="Y8">
            <v>46934</v>
          </cell>
          <cell r="Z8">
            <v>47026</v>
          </cell>
          <cell r="AA8">
            <v>47118</v>
          </cell>
          <cell r="AB8">
            <v>47208</v>
          </cell>
          <cell r="AC8">
            <v>47299</v>
          </cell>
          <cell r="AD8">
            <v>47391</v>
          </cell>
          <cell r="AE8">
            <v>47483</v>
          </cell>
          <cell r="AF8">
            <v>47573</v>
          </cell>
          <cell r="AG8">
            <v>47664</v>
          </cell>
          <cell r="AH8">
            <v>47756</v>
          </cell>
          <cell r="AI8">
            <v>47848</v>
          </cell>
          <cell r="AJ8">
            <v>47938</v>
          </cell>
          <cell r="AK8">
            <v>48029</v>
          </cell>
          <cell r="AL8">
            <v>48121</v>
          </cell>
          <cell r="AM8">
            <v>48213</v>
          </cell>
          <cell r="AN8">
            <v>48304</v>
          </cell>
          <cell r="AO8">
            <v>48395</v>
          </cell>
          <cell r="AP8">
            <v>48487</v>
          </cell>
          <cell r="AQ8">
            <v>48579</v>
          </cell>
          <cell r="AR8">
            <v>48669</v>
          </cell>
          <cell r="AS8">
            <v>48760</v>
          </cell>
          <cell r="AT8">
            <v>48852</v>
          </cell>
          <cell r="AU8">
            <v>48944</v>
          </cell>
          <cell r="AV8">
            <v>49034</v>
          </cell>
          <cell r="AW8">
            <v>49125</v>
          </cell>
          <cell r="AX8">
            <v>49217</v>
          </cell>
          <cell r="AY8">
            <v>49309</v>
          </cell>
          <cell r="AZ8">
            <v>49399</v>
          </cell>
          <cell r="BA8">
            <v>49490</v>
          </cell>
          <cell r="BB8">
            <v>49582</v>
          </cell>
          <cell r="BC8">
            <v>49674</v>
          </cell>
          <cell r="BD8">
            <v>49765</v>
          </cell>
          <cell r="BE8">
            <v>49856</v>
          </cell>
          <cell r="BF8">
            <v>49948</v>
          </cell>
          <cell r="BG8">
            <v>50040</v>
          </cell>
          <cell r="BH8">
            <v>50130</v>
          </cell>
          <cell r="BI8">
            <v>50221</v>
          </cell>
          <cell r="BJ8">
            <v>50313</v>
          </cell>
          <cell r="BK8">
            <v>50405</v>
          </cell>
          <cell r="BL8">
            <v>50495</v>
          </cell>
          <cell r="BM8">
            <v>50586</v>
          </cell>
          <cell r="BN8">
            <v>50678</v>
          </cell>
          <cell r="BO8">
            <v>50770</v>
          </cell>
          <cell r="BP8">
            <v>50860</v>
          </cell>
          <cell r="BQ8">
            <v>50951</v>
          </cell>
          <cell r="BR8">
            <v>51043</v>
          </cell>
          <cell r="BS8">
            <v>51135</v>
          </cell>
          <cell r="BT8">
            <v>51226</v>
          </cell>
          <cell r="BU8">
            <v>51317</v>
          </cell>
          <cell r="BV8">
            <v>51409</v>
          </cell>
          <cell r="BW8">
            <v>51501</v>
          </cell>
          <cell r="BX8">
            <v>51591</v>
          </cell>
          <cell r="BY8">
            <v>51682</v>
          </cell>
          <cell r="BZ8">
            <v>51774</v>
          </cell>
          <cell r="CA8">
            <v>51866</v>
          </cell>
          <cell r="CB8">
            <v>51956</v>
          </cell>
          <cell r="CC8">
            <v>52047</v>
          </cell>
          <cell r="CD8">
            <v>52139</v>
          </cell>
          <cell r="CE8">
            <v>52231</v>
          </cell>
          <cell r="CF8">
            <v>52321</v>
          </cell>
          <cell r="CG8">
            <v>52412</v>
          </cell>
          <cell r="CH8">
            <v>52504</v>
          </cell>
          <cell r="CI8">
            <v>52596</v>
          </cell>
          <cell r="CJ8">
            <v>52687</v>
          </cell>
          <cell r="CK8">
            <v>52778</v>
          </cell>
          <cell r="CL8">
            <v>52870</v>
          </cell>
          <cell r="CM8">
            <v>52962</v>
          </cell>
          <cell r="CN8">
            <v>53052</v>
          </cell>
          <cell r="CO8">
            <v>53143</v>
          </cell>
        </row>
        <row r="13">
          <cell r="E13" t="str">
            <v>Гостиница 5*</v>
          </cell>
        </row>
        <row r="14">
          <cell r="E14">
            <v>1</v>
          </cell>
        </row>
        <row r="16">
          <cell r="E16" t="str">
            <v>тыс. руб.</v>
          </cell>
        </row>
        <row r="18">
          <cell r="E18">
            <v>45658</v>
          </cell>
        </row>
        <row r="19">
          <cell r="E19">
            <v>45658</v>
          </cell>
        </row>
        <row r="22">
          <cell r="E22">
            <v>45658</v>
          </cell>
        </row>
        <row r="23">
          <cell r="E23">
            <v>47208</v>
          </cell>
        </row>
        <row r="24">
          <cell r="E24">
            <v>47209</v>
          </cell>
        </row>
        <row r="25">
          <cell r="E25">
            <v>54513</v>
          </cell>
        </row>
        <row r="28">
          <cell r="E28">
            <v>12</v>
          </cell>
        </row>
        <row r="29">
          <cell r="E29">
            <v>4</v>
          </cell>
        </row>
        <row r="30">
          <cell r="E30">
            <v>3</v>
          </cell>
        </row>
        <row r="31">
          <cell r="E31">
            <v>1E-3</v>
          </cell>
        </row>
        <row r="34">
          <cell r="E34">
            <v>1000</v>
          </cell>
        </row>
        <row r="36">
          <cell r="E36">
            <v>1.0000000000000001E-9</v>
          </cell>
        </row>
        <row r="631">
          <cell r="E631">
            <v>0.155</v>
          </cell>
        </row>
        <row r="632">
          <cell r="E632">
            <v>0.13</v>
          </cell>
        </row>
        <row r="638">
          <cell r="E638">
            <v>2</v>
          </cell>
        </row>
        <row r="639">
          <cell r="E639">
            <v>1</v>
          </cell>
        </row>
        <row r="641">
          <cell r="E641">
            <v>0.2</v>
          </cell>
          <cell r="L641">
            <v>0.2</v>
          </cell>
          <cell r="M641">
            <v>0.2</v>
          </cell>
          <cell r="N641">
            <v>0.2</v>
          </cell>
          <cell r="O641">
            <v>0.2</v>
          </cell>
          <cell r="P641">
            <v>0.2</v>
          </cell>
          <cell r="Q641">
            <v>0.2</v>
          </cell>
          <cell r="R641">
            <v>0.2</v>
          </cell>
          <cell r="S641">
            <v>0.2</v>
          </cell>
          <cell r="T641">
            <v>0.2</v>
          </cell>
          <cell r="U641">
            <v>0.2</v>
          </cell>
          <cell r="V641">
            <v>0.2</v>
          </cell>
          <cell r="W641">
            <v>0.2</v>
          </cell>
          <cell r="X641">
            <v>0.2</v>
          </cell>
          <cell r="Y641">
            <v>0.2</v>
          </cell>
          <cell r="Z641">
            <v>0.2</v>
          </cell>
          <cell r="AA641">
            <v>0.2</v>
          </cell>
          <cell r="AB641">
            <v>0.2</v>
          </cell>
          <cell r="AC641">
            <v>0.2</v>
          </cell>
          <cell r="AD641">
            <v>0.2</v>
          </cell>
          <cell r="AE641">
            <v>0.2</v>
          </cell>
          <cell r="AF641">
            <v>0.2</v>
          </cell>
          <cell r="AG641">
            <v>0.2</v>
          </cell>
          <cell r="AH641">
            <v>0.2</v>
          </cell>
          <cell r="AI641">
            <v>0.2</v>
          </cell>
          <cell r="AJ641">
            <v>0.2</v>
          </cell>
          <cell r="AK641">
            <v>0.2</v>
          </cell>
          <cell r="AL641">
            <v>0.2</v>
          </cell>
          <cell r="AM641">
            <v>0.2</v>
          </cell>
          <cell r="AN641">
            <v>0.2</v>
          </cell>
          <cell r="AO641">
            <v>0.2</v>
          </cell>
          <cell r="AP641">
            <v>0.2</v>
          </cell>
          <cell r="AQ641">
            <v>0.2</v>
          </cell>
          <cell r="AR641">
            <v>0.2</v>
          </cell>
          <cell r="AS641">
            <v>0.2</v>
          </cell>
          <cell r="AT641">
            <v>0.2</v>
          </cell>
          <cell r="AU641">
            <v>0.2</v>
          </cell>
          <cell r="AV641">
            <v>0.2</v>
          </cell>
          <cell r="AW641">
            <v>0.2</v>
          </cell>
          <cell r="AX641">
            <v>0.2</v>
          </cell>
          <cell r="AY641">
            <v>0.2</v>
          </cell>
          <cell r="AZ641">
            <v>0.2</v>
          </cell>
          <cell r="BA641">
            <v>0.2</v>
          </cell>
          <cell r="BB641">
            <v>0.2</v>
          </cell>
          <cell r="BC641">
            <v>0.2</v>
          </cell>
          <cell r="BD641">
            <v>0.2</v>
          </cell>
          <cell r="BE641">
            <v>0.2</v>
          </cell>
          <cell r="BF641">
            <v>0.2</v>
          </cell>
          <cell r="BG641">
            <v>0.2</v>
          </cell>
          <cell r="BH641">
            <v>0.2</v>
          </cell>
          <cell r="BI641">
            <v>0.2</v>
          </cell>
          <cell r="BJ641">
            <v>0.2</v>
          </cell>
          <cell r="BK641">
            <v>0.2</v>
          </cell>
          <cell r="BL641">
            <v>0.2</v>
          </cell>
          <cell r="BM641">
            <v>0.2</v>
          </cell>
          <cell r="BN641">
            <v>0.2</v>
          </cell>
          <cell r="BO641">
            <v>0.2</v>
          </cell>
          <cell r="BP641">
            <v>0.2</v>
          </cell>
          <cell r="BQ641">
            <v>0.2</v>
          </cell>
          <cell r="BR641">
            <v>0.2</v>
          </cell>
          <cell r="BS641">
            <v>0.2</v>
          </cell>
          <cell r="BT641">
            <v>0.2</v>
          </cell>
          <cell r="BU641">
            <v>0.2</v>
          </cell>
          <cell r="BV641">
            <v>0.2</v>
          </cell>
          <cell r="BW641">
            <v>0.2</v>
          </cell>
          <cell r="BX641">
            <v>0.2</v>
          </cell>
          <cell r="BY641">
            <v>0.2</v>
          </cell>
          <cell r="BZ641">
            <v>0.2</v>
          </cell>
          <cell r="CA641">
            <v>0.2</v>
          </cell>
          <cell r="CB641">
            <v>0.2</v>
          </cell>
          <cell r="CC641">
            <v>0.2</v>
          </cell>
          <cell r="CD641">
            <v>0.2</v>
          </cell>
          <cell r="CE641">
            <v>0.2</v>
          </cell>
          <cell r="CF641">
            <v>0.2</v>
          </cell>
          <cell r="CG641">
            <v>0.2</v>
          </cell>
          <cell r="CH641">
            <v>0.2</v>
          </cell>
          <cell r="CI641">
            <v>0.2</v>
          </cell>
          <cell r="CJ641">
            <v>0.2</v>
          </cell>
          <cell r="CK641">
            <v>0.2</v>
          </cell>
          <cell r="CL641">
            <v>0.2</v>
          </cell>
          <cell r="CM641">
            <v>0.2</v>
          </cell>
          <cell r="CN641">
            <v>0.2</v>
          </cell>
          <cell r="CO641">
            <v>0.2</v>
          </cell>
        </row>
        <row r="642">
          <cell r="E642">
            <v>0</v>
          </cell>
          <cell r="L642">
            <v>0.2</v>
          </cell>
          <cell r="M642">
            <v>0.2</v>
          </cell>
          <cell r="N642">
            <v>0.2</v>
          </cell>
          <cell r="O642">
            <v>0.2</v>
          </cell>
          <cell r="P642">
            <v>0.2</v>
          </cell>
          <cell r="Q642">
            <v>0.2</v>
          </cell>
          <cell r="R642">
            <v>0.2</v>
          </cell>
          <cell r="S642">
            <v>0.2</v>
          </cell>
          <cell r="T642">
            <v>0.2</v>
          </cell>
          <cell r="U642">
            <v>0.2</v>
          </cell>
          <cell r="V642">
            <v>0.2</v>
          </cell>
          <cell r="W642">
            <v>0.2</v>
          </cell>
          <cell r="X642">
            <v>0.2</v>
          </cell>
          <cell r="Y642">
            <v>0.2</v>
          </cell>
          <cell r="Z642">
            <v>0.2</v>
          </cell>
          <cell r="AA642">
            <v>0.2</v>
          </cell>
          <cell r="AB642">
            <v>0.2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0.2</v>
          </cell>
          <cell r="AX642">
            <v>0.2</v>
          </cell>
          <cell r="AY642">
            <v>0.2</v>
          </cell>
          <cell r="AZ642">
            <v>0.2</v>
          </cell>
          <cell r="BA642">
            <v>0.2</v>
          </cell>
          <cell r="BB642">
            <v>0.2</v>
          </cell>
          <cell r="BC642">
            <v>0.2</v>
          </cell>
          <cell r="BD642">
            <v>0.2</v>
          </cell>
          <cell r="BE642">
            <v>0.2</v>
          </cell>
          <cell r="BF642">
            <v>0.2</v>
          </cell>
          <cell r="BG642">
            <v>0.2</v>
          </cell>
          <cell r="BH642">
            <v>0.2</v>
          </cell>
          <cell r="BI642">
            <v>0.2</v>
          </cell>
          <cell r="BJ642">
            <v>0.2</v>
          </cell>
          <cell r="BK642">
            <v>0.2</v>
          </cell>
          <cell r="BL642">
            <v>0.2</v>
          </cell>
          <cell r="BM642">
            <v>0.2</v>
          </cell>
          <cell r="BN642">
            <v>0.2</v>
          </cell>
          <cell r="BO642">
            <v>0.2</v>
          </cell>
          <cell r="BP642">
            <v>0.2</v>
          </cell>
          <cell r="BQ642">
            <v>0.2</v>
          </cell>
          <cell r="BR642">
            <v>0.2</v>
          </cell>
          <cell r="BS642">
            <v>0.2</v>
          </cell>
          <cell r="BT642">
            <v>0.2</v>
          </cell>
          <cell r="BU642">
            <v>0.2</v>
          </cell>
          <cell r="BV642">
            <v>0.2</v>
          </cell>
          <cell r="BW642">
            <v>0.2</v>
          </cell>
          <cell r="BX642">
            <v>0.2</v>
          </cell>
          <cell r="BY642">
            <v>0.2</v>
          </cell>
          <cell r="BZ642">
            <v>0.2</v>
          </cell>
          <cell r="CA642">
            <v>0.2</v>
          </cell>
          <cell r="CB642">
            <v>0.2</v>
          </cell>
          <cell r="CC642">
            <v>0.2</v>
          </cell>
          <cell r="CD642">
            <v>0.2</v>
          </cell>
          <cell r="CE642">
            <v>0.2</v>
          </cell>
          <cell r="CF642">
            <v>0.2</v>
          </cell>
          <cell r="CG642">
            <v>0.2</v>
          </cell>
          <cell r="CH642">
            <v>0.2</v>
          </cell>
          <cell r="CI642">
            <v>0.2</v>
          </cell>
          <cell r="CJ642">
            <v>0.2</v>
          </cell>
          <cell r="CK642">
            <v>0.2</v>
          </cell>
          <cell r="CL642">
            <v>0.2</v>
          </cell>
          <cell r="CM642">
            <v>0.2</v>
          </cell>
          <cell r="CN642">
            <v>0.2</v>
          </cell>
          <cell r="CO642">
            <v>0.2</v>
          </cell>
        </row>
        <row r="652">
          <cell r="E652">
            <v>0</v>
          </cell>
        </row>
        <row r="657">
          <cell r="E657">
            <v>0</v>
          </cell>
        </row>
      </sheetData>
      <sheetData sheetId="9">
        <row r="15">
          <cell r="L15">
            <v>2025</v>
          </cell>
          <cell r="M15">
            <v>2025</v>
          </cell>
          <cell r="N15">
            <v>2025</v>
          </cell>
          <cell r="O15">
            <v>2025</v>
          </cell>
          <cell r="P15">
            <v>2026</v>
          </cell>
          <cell r="Q15">
            <v>2026</v>
          </cell>
          <cell r="R15">
            <v>2026</v>
          </cell>
          <cell r="S15">
            <v>2026</v>
          </cell>
          <cell r="T15">
            <v>2027</v>
          </cell>
          <cell r="U15">
            <v>2027</v>
          </cell>
          <cell r="V15">
            <v>2027</v>
          </cell>
          <cell r="W15">
            <v>2027</v>
          </cell>
          <cell r="X15">
            <v>2028</v>
          </cell>
          <cell r="Y15">
            <v>2028</v>
          </cell>
          <cell r="Z15">
            <v>2028</v>
          </cell>
          <cell r="AA15">
            <v>2028</v>
          </cell>
          <cell r="AB15">
            <v>2029</v>
          </cell>
          <cell r="AC15">
            <v>2029</v>
          </cell>
          <cell r="AD15">
            <v>2029</v>
          </cell>
          <cell r="AE15">
            <v>2029</v>
          </cell>
          <cell r="AF15">
            <v>2030</v>
          </cell>
          <cell r="AG15">
            <v>2030</v>
          </cell>
          <cell r="AH15">
            <v>2030</v>
          </cell>
          <cell r="AI15">
            <v>2030</v>
          </cell>
          <cell r="AJ15">
            <v>2031</v>
          </cell>
          <cell r="AK15">
            <v>2031</v>
          </cell>
          <cell r="AL15">
            <v>2031</v>
          </cell>
          <cell r="AM15">
            <v>2031</v>
          </cell>
          <cell r="AN15">
            <v>2032</v>
          </cell>
          <cell r="AO15">
            <v>2032</v>
          </cell>
          <cell r="AP15">
            <v>2032</v>
          </cell>
          <cell r="AQ15">
            <v>2032</v>
          </cell>
          <cell r="AR15">
            <v>2033</v>
          </cell>
          <cell r="AS15">
            <v>2033</v>
          </cell>
          <cell r="AT15">
            <v>2033</v>
          </cell>
          <cell r="AU15">
            <v>2033</v>
          </cell>
          <cell r="AV15">
            <v>2034</v>
          </cell>
          <cell r="AW15">
            <v>2034</v>
          </cell>
          <cell r="AX15">
            <v>2034</v>
          </cell>
          <cell r="AY15">
            <v>2034</v>
          </cell>
          <cell r="AZ15">
            <v>2035</v>
          </cell>
          <cell r="BA15">
            <v>2035</v>
          </cell>
          <cell r="BB15">
            <v>2035</v>
          </cell>
          <cell r="BC15">
            <v>2035</v>
          </cell>
          <cell r="BD15">
            <v>2036</v>
          </cell>
          <cell r="BE15">
            <v>2036</v>
          </cell>
          <cell r="BF15">
            <v>2036</v>
          </cell>
          <cell r="BG15">
            <v>2036</v>
          </cell>
          <cell r="BH15">
            <v>2037</v>
          </cell>
          <cell r="BI15">
            <v>2037</v>
          </cell>
          <cell r="BJ15">
            <v>2037</v>
          </cell>
          <cell r="BK15">
            <v>2037</v>
          </cell>
          <cell r="BL15">
            <v>2038</v>
          </cell>
          <cell r="BM15">
            <v>2038</v>
          </cell>
          <cell r="BN15">
            <v>2038</v>
          </cell>
          <cell r="BO15">
            <v>2038</v>
          </cell>
          <cell r="BP15">
            <v>2039</v>
          </cell>
          <cell r="BQ15">
            <v>2039</v>
          </cell>
          <cell r="BR15">
            <v>2039</v>
          </cell>
          <cell r="BS15">
            <v>2039</v>
          </cell>
          <cell r="BT15">
            <v>2040</v>
          </cell>
          <cell r="BU15">
            <v>2040</v>
          </cell>
          <cell r="BV15">
            <v>2040</v>
          </cell>
          <cell r="BW15">
            <v>2040</v>
          </cell>
          <cell r="BX15">
            <v>2041</v>
          </cell>
          <cell r="BY15">
            <v>2041</v>
          </cell>
          <cell r="BZ15">
            <v>2041</v>
          </cell>
          <cell r="CA15">
            <v>2041</v>
          </cell>
          <cell r="CB15">
            <v>2042</v>
          </cell>
          <cell r="CC15">
            <v>2042</v>
          </cell>
          <cell r="CD15">
            <v>2042</v>
          </cell>
          <cell r="CE15">
            <v>2042</v>
          </cell>
          <cell r="CF15">
            <v>2043</v>
          </cell>
          <cell r="CG15">
            <v>2043</v>
          </cell>
          <cell r="CH15">
            <v>2043</v>
          </cell>
          <cell r="CI15">
            <v>2043</v>
          </cell>
          <cell r="CJ15">
            <v>2044</v>
          </cell>
          <cell r="CK15">
            <v>2044</v>
          </cell>
          <cell r="CL15">
            <v>2044</v>
          </cell>
          <cell r="CM15">
            <v>2044</v>
          </cell>
          <cell r="CN15">
            <v>2045</v>
          </cell>
          <cell r="CO15">
            <v>2045</v>
          </cell>
        </row>
        <row r="17">
          <cell r="L17">
            <v>90</v>
          </cell>
          <cell r="M17">
            <v>91</v>
          </cell>
          <cell r="N17">
            <v>92</v>
          </cell>
          <cell r="O17">
            <v>92</v>
          </cell>
          <cell r="P17">
            <v>90</v>
          </cell>
          <cell r="Q17">
            <v>91</v>
          </cell>
          <cell r="R17">
            <v>92</v>
          </cell>
          <cell r="S17">
            <v>92</v>
          </cell>
          <cell r="T17">
            <v>90</v>
          </cell>
          <cell r="U17">
            <v>91</v>
          </cell>
          <cell r="V17">
            <v>92</v>
          </cell>
          <cell r="W17">
            <v>92</v>
          </cell>
          <cell r="X17">
            <v>91</v>
          </cell>
          <cell r="Y17">
            <v>91</v>
          </cell>
          <cell r="Z17">
            <v>92</v>
          </cell>
          <cell r="AA17">
            <v>92</v>
          </cell>
          <cell r="AB17">
            <v>90</v>
          </cell>
          <cell r="AC17">
            <v>91</v>
          </cell>
          <cell r="AD17">
            <v>92</v>
          </cell>
          <cell r="AE17">
            <v>92</v>
          </cell>
          <cell r="AF17">
            <v>90</v>
          </cell>
          <cell r="AG17">
            <v>91</v>
          </cell>
          <cell r="AH17">
            <v>92</v>
          </cell>
          <cell r="AI17">
            <v>92</v>
          </cell>
          <cell r="AJ17">
            <v>90</v>
          </cell>
          <cell r="AK17">
            <v>91</v>
          </cell>
          <cell r="AL17">
            <v>92</v>
          </cell>
          <cell r="AM17">
            <v>92</v>
          </cell>
          <cell r="AN17">
            <v>91</v>
          </cell>
          <cell r="AO17">
            <v>91</v>
          </cell>
          <cell r="AP17">
            <v>92</v>
          </cell>
          <cell r="AQ17">
            <v>92</v>
          </cell>
          <cell r="AR17">
            <v>90</v>
          </cell>
          <cell r="AS17">
            <v>91</v>
          </cell>
          <cell r="AT17">
            <v>92</v>
          </cell>
          <cell r="AU17">
            <v>92</v>
          </cell>
          <cell r="AV17">
            <v>90</v>
          </cell>
          <cell r="AW17">
            <v>91</v>
          </cell>
          <cell r="AX17">
            <v>92</v>
          </cell>
          <cell r="AY17">
            <v>92</v>
          </cell>
          <cell r="AZ17">
            <v>90</v>
          </cell>
          <cell r="BA17">
            <v>91</v>
          </cell>
          <cell r="BB17">
            <v>92</v>
          </cell>
          <cell r="BC17">
            <v>92</v>
          </cell>
          <cell r="BD17">
            <v>91</v>
          </cell>
          <cell r="BE17">
            <v>91</v>
          </cell>
          <cell r="BF17">
            <v>92</v>
          </cell>
          <cell r="BG17">
            <v>92</v>
          </cell>
          <cell r="BH17">
            <v>90</v>
          </cell>
          <cell r="BI17">
            <v>91</v>
          </cell>
          <cell r="BJ17">
            <v>92</v>
          </cell>
          <cell r="BK17">
            <v>92</v>
          </cell>
          <cell r="BL17">
            <v>90</v>
          </cell>
          <cell r="BM17">
            <v>91</v>
          </cell>
          <cell r="BN17">
            <v>92</v>
          </cell>
          <cell r="BO17">
            <v>92</v>
          </cell>
          <cell r="BP17">
            <v>90</v>
          </cell>
          <cell r="BQ17">
            <v>91</v>
          </cell>
          <cell r="BR17">
            <v>92</v>
          </cell>
          <cell r="BS17">
            <v>92</v>
          </cell>
          <cell r="BT17">
            <v>91</v>
          </cell>
          <cell r="BU17">
            <v>91</v>
          </cell>
          <cell r="BV17">
            <v>92</v>
          </cell>
          <cell r="BW17">
            <v>92</v>
          </cell>
          <cell r="BX17">
            <v>90</v>
          </cell>
          <cell r="BY17">
            <v>91</v>
          </cell>
          <cell r="BZ17">
            <v>92</v>
          </cell>
          <cell r="CA17">
            <v>92</v>
          </cell>
          <cell r="CB17">
            <v>90</v>
          </cell>
          <cell r="CC17">
            <v>91</v>
          </cell>
          <cell r="CD17">
            <v>92</v>
          </cell>
          <cell r="CE17">
            <v>92</v>
          </cell>
          <cell r="CF17">
            <v>90</v>
          </cell>
          <cell r="CG17">
            <v>91</v>
          </cell>
          <cell r="CH17">
            <v>92</v>
          </cell>
          <cell r="CI17">
            <v>92</v>
          </cell>
          <cell r="CJ17">
            <v>91</v>
          </cell>
          <cell r="CK17">
            <v>91</v>
          </cell>
          <cell r="CL17">
            <v>92</v>
          </cell>
          <cell r="CM17">
            <v>92</v>
          </cell>
          <cell r="CN17">
            <v>90</v>
          </cell>
          <cell r="CO17">
            <v>91</v>
          </cell>
        </row>
        <row r="18">
          <cell r="L18">
            <v>365</v>
          </cell>
          <cell r="M18">
            <v>365</v>
          </cell>
          <cell r="N18">
            <v>365</v>
          </cell>
          <cell r="O18">
            <v>365</v>
          </cell>
          <cell r="P18">
            <v>365</v>
          </cell>
          <cell r="Q18">
            <v>365</v>
          </cell>
          <cell r="R18">
            <v>365</v>
          </cell>
          <cell r="S18">
            <v>365</v>
          </cell>
          <cell r="T18">
            <v>365</v>
          </cell>
          <cell r="U18">
            <v>365</v>
          </cell>
          <cell r="V18">
            <v>365</v>
          </cell>
          <cell r="W18">
            <v>365</v>
          </cell>
          <cell r="X18">
            <v>366</v>
          </cell>
          <cell r="Y18">
            <v>366</v>
          </cell>
          <cell r="Z18">
            <v>366</v>
          </cell>
          <cell r="AA18">
            <v>366</v>
          </cell>
          <cell r="AB18">
            <v>365</v>
          </cell>
          <cell r="AC18">
            <v>365</v>
          </cell>
          <cell r="AD18">
            <v>365</v>
          </cell>
          <cell r="AE18">
            <v>365</v>
          </cell>
          <cell r="AF18">
            <v>365</v>
          </cell>
          <cell r="AG18">
            <v>365</v>
          </cell>
          <cell r="AH18">
            <v>365</v>
          </cell>
          <cell r="AI18">
            <v>365</v>
          </cell>
          <cell r="AJ18">
            <v>365</v>
          </cell>
          <cell r="AK18">
            <v>365</v>
          </cell>
          <cell r="AL18">
            <v>365</v>
          </cell>
          <cell r="AM18">
            <v>365</v>
          </cell>
          <cell r="AN18">
            <v>366</v>
          </cell>
          <cell r="AO18">
            <v>366</v>
          </cell>
          <cell r="AP18">
            <v>366</v>
          </cell>
          <cell r="AQ18">
            <v>366</v>
          </cell>
          <cell r="AR18">
            <v>365</v>
          </cell>
          <cell r="AS18">
            <v>365</v>
          </cell>
          <cell r="AT18">
            <v>365</v>
          </cell>
          <cell r="AU18">
            <v>365</v>
          </cell>
          <cell r="AV18">
            <v>365</v>
          </cell>
          <cell r="AW18">
            <v>365</v>
          </cell>
          <cell r="AX18">
            <v>365</v>
          </cell>
          <cell r="AY18">
            <v>365</v>
          </cell>
          <cell r="AZ18">
            <v>365</v>
          </cell>
          <cell r="BA18">
            <v>365</v>
          </cell>
          <cell r="BB18">
            <v>365</v>
          </cell>
          <cell r="BC18">
            <v>365</v>
          </cell>
          <cell r="BD18">
            <v>366</v>
          </cell>
          <cell r="BE18">
            <v>366</v>
          </cell>
          <cell r="BF18">
            <v>366</v>
          </cell>
          <cell r="BG18">
            <v>366</v>
          </cell>
          <cell r="BH18">
            <v>365</v>
          </cell>
          <cell r="BI18">
            <v>365</v>
          </cell>
          <cell r="BJ18">
            <v>365</v>
          </cell>
          <cell r="BK18">
            <v>365</v>
          </cell>
          <cell r="BL18">
            <v>365</v>
          </cell>
          <cell r="BM18">
            <v>365</v>
          </cell>
          <cell r="BN18">
            <v>365</v>
          </cell>
          <cell r="BO18">
            <v>365</v>
          </cell>
          <cell r="BP18">
            <v>365</v>
          </cell>
          <cell r="BQ18">
            <v>365</v>
          </cell>
          <cell r="BR18">
            <v>365</v>
          </cell>
          <cell r="BS18">
            <v>365</v>
          </cell>
          <cell r="BT18">
            <v>366</v>
          </cell>
          <cell r="BU18">
            <v>366</v>
          </cell>
          <cell r="BV18">
            <v>366</v>
          </cell>
          <cell r="BW18">
            <v>366</v>
          </cell>
          <cell r="BX18">
            <v>365</v>
          </cell>
          <cell r="BY18">
            <v>365</v>
          </cell>
          <cell r="BZ18">
            <v>365</v>
          </cell>
          <cell r="CA18">
            <v>365</v>
          </cell>
          <cell r="CB18">
            <v>365</v>
          </cell>
          <cell r="CC18">
            <v>365</v>
          </cell>
          <cell r="CD18">
            <v>365</v>
          </cell>
          <cell r="CE18">
            <v>365</v>
          </cell>
          <cell r="CF18">
            <v>365</v>
          </cell>
          <cell r="CG18">
            <v>365</v>
          </cell>
          <cell r="CH18">
            <v>365</v>
          </cell>
          <cell r="CI18">
            <v>365</v>
          </cell>
          <cell r="CJ18">
            <v>366</v>
          </cell>
          <cell r="CK18">
            <v>366</v>
          </cell>
          <cell r="CL18">
            <v>366</v>
          </cell>
          <cell r="CM18">
            <v>366</v>
          </cell>
          <cell r="CN18">
            <v>365</v>
          </cell>
          <cell r="CO18">
            <v>365</v>
          </cell>
        </row>
        <row r="20">
          <cell r="L20">
            <v>3</v>
          </cell>
          <cell r="M20">
            <v>6</v>
          </cell>
          <cell r="N20">
            <v>9</v>
          </cell>
          <cell r="O20">
            <v>12</v>
          </cell>
          <cell r="P20">
            <v>15</v>
          </cell>
          <cell r="Q20">
            <v>18</v>
          </cell>
          <cell r="R20">
            <v>21</v>
          </cell>
          <cell r="S20">
            <v>24</v>
          </cell>
          <cell r="T20">
            <v>27</v>
          </cell>
          <cell r="U20">
            <v>30</v>
          </cell>
          <cell r="V20">
            <v>33</v>
          </cell>
          <cell r="W20">
            <v>36</v>
          </cell>
          <cell r="X20">
            <v>39</v>
          </cell>
          <cell r="Y20">
            <v>42</v>
          </cell>
          <cell r="Z20">
            <v>45</v>
          </cell>
          <cell r="AA20">
            <v>48</v>
          </cell>
          <cell r="AB20">
            <v>51</v>
          </cell>
          <cell r="AC20">
            <v>54</v>
          </cell>
          <cell r="AD20">
            <v>57</v>
          </cell>
          <cell r="AE20">
            <v>60</v>
          </cell>
          <cell r="AF20">
            <v>63</v>
          </cell>
          <cell r="AG20">
            <v>66</v>
          </cell>
          <cell r="AH20">
            <v>69</v>
          </cell>
          <cell r="AI20">
            <v>72</v>
          </cell>
          <cell r="AJ20">
            <v>75</v>
          </cell>
          <cell r="AK20">
            <v>78</v>
          </cell>
          <cell r="AL20">
            <v>81</v>
          </cell>
          <cell r="AM20">
            <v>84</v>
          </cell>
          <cell r="AN20">
            <v>87</v>
          </cell>
          <cell r="AO20">
            <v>90</v>
          </cell>
          <cell r="AP20">
            <v>93</v>
          </cell>
          <cell r="AQ20">
            <v>96</v>
          </cell>
          <cell r="AR20">
            <v>99</v>
          </cell>
          <cell r="AS20">
            <v>102</v>
          </cell>
          <cell r="AT20">
            <v>105</v>
          </cell>
          <cell r="AU20">
            <v>108</v>
          </cell>
          <cell r="AV20">
            <v>111</v>
          </cell>
          <cell r="AW20">
            <v>114</v>
          </cell>
          <cell r="AX20">
            <v>117</v>
          </cell>
          <cell r="AY20">
            <v>120</v>
          </cell>
          <cell r="AZ20">
            <v>123</v>
          </cell>
          <cell r="BA20">
            <v>126</v>
          </cell>
          <cell r="BB20">
            <v>129</v>
          </cell>
          <cell r="BC20">
            <v>132</v>
          </cell>
          <cell r="BD20">
            <v>135</v>
          </cell>
          <cell r="BE20">
            <v>138</v>
          </cell>
          <cell r="BF20">
            <v>141</v>
          </cell>
          <cell r="BG20">
            <v>144</v>
          </cell>
          <cell r="BH20">
            <v>147</v>
          </cell>
          <cell r="BI20">
            <v>150</v>
          </cell>
          <cell r="BJ20">
            <v>153</v>
          </cell>
          <cell r="BK20">
            <v>156</v>
          </cell>
          <cell r="BL20">
            <v>159</v>
          </cell>
          <cell r="BM20">
            <v>162</v>
          </cell>
          <cell r="BN20">
            <v>165</v>
          </cell>
          <cell r="BO20">
            <v>168</v>
          </cell>
          <cell r="BP20">
            <v>171</v>
          </cell>
          <cell r="BQ20">
            <v>174</v>
          </cell>
          <cell r="BR20">
            <v>177</v>
          </cell>
          <cell r="BS20">
            <v>180</v>
          </cell>
          <cell r="BT20">
            <v>183</v>
          </cell>
          <cell r="BU20">
            <v>186</v>
          </cell>
          <cell r="BV20">
            <v>189</v>
          </cell>
          <cell r="BW20">
            <v>192</v>
          </cell>
          <cell r="BX20">
            <v>195</v>
          </cell>
          <cell r="BY20">
            <v>198</v>
          </cell>
          <cell r="BZ20">
            <v>201</v>
          </cell>
          <cell r="CA20">
            <v>204</v>
          </cell>
          <cell r="CB20">
            <v>207</v>
          </cell>
          <cell r="CC20">
            <v>210</v>
          </cell>
          <cell r="CD20">
            <v>213</v>
          </cell>
          <cell r="CE20">
            <v>216</v>
          </cell>
          <cell r="CF20">
            <v>219</v>
          </cell>
          <cell r="CG20">
            <v>222</v>
          </cell>
          <cell r="CH20">
            <v>225</v>
          </cell>
          <cell r="CI20">
            <v>228</v>
          </cell>
          <cell r="CJ20">
            <v>231</v>
          </cell>
          <cell r="CK20">
            <v>234</v>
          </cell>
          <cell r="CL20">
            <v>237</v>
          </cell>
          <cell r="CM20">
            <v>240</v>
          </cell>
          <cell r="CN20">
            <v>243</v>
          </cell>
          <cell r="CO20">
            <v>246</v>
          </cell>
        </row>
        <row r="24">
          <cell r="L24">
            <v>0.24657534246575341</v>
          </cell>
          <cell r="M24">
            <v>0.24931506849315069</v>
          </cell>
          <cell r="N24">
            <v>0.25205479452054796</v>
          </cell>
          <cell r="O24">
            <v>0.25205479452054796</v>
          </cell>
          <cell r="P24">
            <v>0.24657534246575341</v>
          </cell>
          <cell r="Q24">
            <v>0.24931506849315069</v>
          </cell>
          <cell r="R24">
            <v>0.25205479452054796</v>
          </cell>
          <cell r="S24">
            <v>0.25205479452054796</v>
          </cell>
          <cell r="T24">
            <v>0.24657534246575341</v>
          </cell>
          <cell r="U24">
            <v>0.24931506849315069</v>
          </cell>
          <cell r="V24">
            <v>0.25205479452054796</v>
          </cell>
          <cell r="W24">
            <v>0.25205479452054796</v>
          </cell>
          <cell r="X24">
            <v>0.24863387978142076</v>
          </cell>
          <cell r="Y24">
            <v>0.24863387978142076</v>
          </cell>
          <cell r="Z24">
            <v>0.25136612021857924</v>
          </cell>
          <cell r="AA24">
            <v>0.25136612021857924</v>
          </cell>
          <cell r="AB24">
            <v>0.24657534246575341</v>
          </cell>
          <cell r="AC24">
            <v>0.24931506849315069</v>
          </cell>
          <cell r="AD24">
            <v>0.25205479452054796</v>
          </cell>
          <cell r="AE24">
            <v>0.25205479452054796</v>
          </cell>
          <cell r="AF24">
            <v>0.24657534246575341</v>
          </cell>
          <cell r="AG24">
            <v>0.24931506849315069</v>
          </cell>
          <cell r="AH24">
            <v>0.25205479452054796</v>
          </cell>
          <cell r="AI24">
            <v>0.25205479452054796</v>
          </cell>
          <cell r="AJ24">
            <v>0.24657534246575341</v>
          </cell>
          <cell r="AK24">
            <v>0.24931506849315069</v>
          </cell>
          <cell r="AL24">
            <v>0.25205479452054796</v>
          </cell>
          <cell r="AM24">
            <v>0.25205479452054796</v>
          </cell>
          <cell r="AN24">
            <v>0.24863387978142076</v>
          </cell>
          <cell r="AO24">
            <v>0.24863387978142076</v>
          </cell>
          <cell r="AP24">
            <v>0.25136612021857924</v>
          </cell>
          <cell r="AQ24">
            <v>0.25136612021857924</v>
          </cell>
          <cell r="AR24">
            <v>0.24657534246575341</v>
          </cell>
          <cell r="AS24">
            <v>0.24931506849315069</v>
          </cell>
          <cell r="AT24">
            <v>0.25205479452054796</v>
          </cell>
          <cell r="AU24">
            <v>0.25205479452054796</v>
          </cell>
          <cell r="AV24">
            <v>0.24657534246575341</v>
          </cell>
          <cell r="AW24">
            <v>0.24931506849315069</v>
          </cell>
          <cell r="AX24">
            <v>0.25205479452054796</v>
          </cell>
          <cell r="AY24">
            <v>0.25205479452054796</v>
          </cell>
          <cell r="AZ24">
            <v>0.24657534246575341</v>
          </cell>
          <cell r="BA24">
            <v>0.24931506849315069</v>
          </cell>
          <cell r="BB24">
            <v>0.25205479452054796</v>
          </cell>
          <cell r="BC24">
            <v>0.25205479452054796</v>
          </cell>
          <cell r="BD24">
            <v>0.24863387978142076</v>
          </cell>
          <cell r="BE24">
            <v>0.24863387978142076</v>
          </cell>
          <cell r="BF24">
            <v>0.25136612021857924</v>
          </cell>
          <cell r="BG24">
            <v>0.25136612021857924</v>
          </cell>
          <cell r="BH24">
            <v>0.24657534246575341</v>
          </cell>
          <cell r="BI24">
            <v>0.24931506849315069</v>
          </cell>
          <cell r="BJ24">
            <v>0.25205479452054796</v>
          </cell>
          <cell r="BK24">
            <v>0.25205479452054796</v>
          </cell>
          <cell r="BL24">
            <v>0.24657534246575341</v>
          </cell>
          <cell r="BM24">
            <v>0.24931506849315069</v>
          </cell>
          <cell r="BN24">
            <v>0.25205479452054796</v>
          </cell>
          <cell r="BO24">
            <v>0.25205479452054796</v>
          </cell>
          <cell r="BP24">
            <v>0.24657534246575341</v>
          </cell>
          <cell r="BQ24">
            <v>0.24931506849315069</v>
          </cell>
          <cell r="BR24">
            <v>0.25205479452054796</v>
          </cell>
          <cell r="BS24">
            <v>0.25205479452054796</v>
          </cell>
          <cell r="BT24">
            <v>0.24863387978142076</v>
          </cell>
          <cell r="BU24">
            <v>0.24863387978142076</v>
          </cell>
          <cell r="BV24">
            <v>0.25136612021857924</v>
          </cell>
          <cell r="BW24">
            <v>0.25136612021857924</v>
          </cell>
          <cell r="BX24">
            <v>0.24657534246575341</v>
          </cell>
          <cell r="BY24">
            <v>0.24931506849315069</v>
          </cell>
          <cell r="BZ24">
            <v>0.25205479452054796</v>
          </cell>
          <cell r="CA24">
            <v>0.25205479452054796</v>
          </cell>
          <cell r="CB24">
            <v>0.24657534246575341</v>
          </cell>
          <cell r="CC24">
            <v>0.24931506849315069</v>
          </cell>
          <cell r="CD24">
            <v>0.25205479452054796</v>
          </cell>
          <cell r="CE24">
            <v>0.25205479452054796</v>
          </cell>
          <cell r="CF24">
            <v>0.24657534246575341</v>
          </cell>
          <cell r="CG24">
            <v>0.24931506849315069</v>
          </cell>
          <cell r="CH24">
            <v>0.25205479452054796</v>
          </cell>
          <cell r="CI24">
            <v>0.25205479452054796</v>
          </cell>
          <cell r="CJ24">
            <v>0.24863387978142076</v>
          </cell>
          <cell r="CK24">
            <v>0.24863387978142076</v>
          </cell>
          <cell r="CL24">
            <v>0.25136612021857924</v>
          </cell>
          <cell r="CM24">
            <v>0.25136612021857924</v>
          </cell>
          <cell r="CN24">
            <v>0.24657534246575341</v>
          </cell>
          <cell r="CO24">
            <v>0.24931506849315069</v>
          </cell>
        </row>
        <row r="28"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</row>
        <row r="29"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</row>
        <row r="30"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1</v>
          </cell>
          <cell r="AD30">
            <v>1</v>
          </cell>
          <cell r="AE30">
            <v>1</v>
          </cell>
          <cell r="AF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1</v>
          </cell>
          <cell r="AO30">
            <v>1</v>
          </cell>
          <cell r="AP30">
            <v>1</v>
          </cell>
          <cell r="AQ30">
            <v>1</v>
          </cell>
          <cell r="AR30">
            <v>1</v>
          </cell>
          <cell r="AS30">
            <v>1</v>
          </cell>
          <cell r="AT30">
            <v>1</v>
          </cell>
          <cell r="AU30">
            <v>1</v>
          </cell>
          <cell r="AV30">
            <v>1</v>
          </cell>
          <cell r="AW30">
            <v>1</v>
          </cell>
          <cell r="AX30">
            <v>1</v>
          </cell>
          <cell r="AY30">
            <v>1</v>
          </cell>
          <cell r="AZ30">
            <v>1</v>
          </cell>
          <cell r="BA30">
            <v>1</v>
          </cell>
          <cell r="BB30">
            <v>1</v>
          </cell>
          <cell r="BC30">
            <v>1</v>
          </cell>
          <cell r="BD30">
            <v>1</v>
          </cell>
          <cell r="BE30">
            <v>1</v>
          </cell>
          <cell r="BF30">
            <v>1</v>
          </cell>
          <cell r="BG30">
            <v>1</v>
          </cell>
          <cell r="BH30">
            <v>1</v>
          </cell>
          <cell r="BI30">
            <v>1</v>
          </cell>
          <cell r="BJ30">
            <v>1</v>
          </cell>
          <cell r="BK30">
            <v>1</v>
          </cell>
          <cell r="BL30">
            <v>1</v>
          </cell>
          <cell r="BM30">
            <v>1</v>
          </cell>
          <cell r="BN30">
            <v>1</v>
          </cell>
          <cell r="BO30">
            <v>1</v>
          </cell>
          <cell r="BP30">
            <v>1</v>
          </cell>
          <cell r="BQ30">
            <v>1</v>
          </cell>
          <cell r="BR30">
            <v>1</v>
          </cell>
          <cell r="BS30">
            <v>1</v>
          </cell>
          <cell r="BT30">
            <v>1</v>
          </cell>
          <cell r="BU30">
            <v>1</v>
          </cell>
          <cell r="BV30">
            <v>1</v>
          </cell>
          <cell r="BW30">
            <v>1</v>
          </cell>
          <cell r="BX30">
            <v>1</v>
          </cell>
          <cell r="BY30">
            <v>1</v>
          </cell>
          <cell r="BZ30">
            <v>1</v>
          </cell>
          <cell r="CA30">
            <v>1</v>
          </cell>
          <cell r="CB30">
            <v>1</v>
          </cell>
          <cell r="CC30">
            <v>1</v>
          </cell>
          <cell r="CD30">
            <v>1</v>
          </cell>
          <cell r="CE30">
            <v>1</v>
          </cell>
          <cell r="CF30">
            <v>1</v>
          </cell>
          <cell r="CG30">
            <v>1</v>
          </cell>
          <cell r="CH30">
            <v>1</v>
          </cell>
          <cell r="CI30">
            <v>1</v>
          </cell>
          <cell r="CJ30">
            <v>1</v>
          </cell>
          <cell r="CK30">
            <v>1</v>
          </cell>
          <cell r="CL30">
            <v>1</v>
          </cell>
          <cell r="CM30">
            <v>1</v>
          </cell>
          <cell r="CN30">
            <v>1</v>
          </cell>
          <cell r="CO30">
            <v>1</v>
          </cell>
        </row>
        <row r="54"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1</v>
          </cell>
          <cell r="U54">
            <v>1</v>
          </cell>
          <cell r="V54">
            <v>1</v>
          </cell>
          <cell r="W54">
            <v>1</v>
          </cell>
          <cell r="X54">
            <v>1</v>
          </cell>
          <cell r="Y54">
            <v>1</v>
          </cell>
          <cell r="Z54">
            <v>1</v>
          </cell>
          <cell r="AA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  <cell r="AP54">
            <v>1</v>
          </cell>
          <cell r="AQ54">
            <v>1</v>
          </cell>
          <cell r="AR54">
            <v>1</v>
          </cell>
          <cell r="AS54">
            <v>1</v>
          </cell>
          <cell r="AT54">
            <v>1</v>
          </cell>
          <cell r="AU54">
            <v>1</v>
          </cell>
          <cell r="AV54">
            <v>1</v>
          </cell>
          <cell r="AW54">
            <v>1</v>
          </cell>
          <cell r="AX54">
            <v>1</v>
          </cell>
          <cell r="AY54">
            <v>1</v>
          </cell>
          <cell r="AZ54">
            <v>1</v>
          </cell>
          <cell r="BA54">
            <v>1</v>
          </cell>
          <cell r="BB54">
            <v>1</v>
          </cell>
          <cell r="BC54">
            <v>1</v>
          </cell>
          <cell r="BD54">
            <v>1</v>
          </cell>
          <cell r="BE54">
            <v>1</v>
          </cell>
          <cell r="BF54">
            <v>1</v>
          </cell>
          <cell r="BG54">
            <v>1</v>
          </cell>
          <cell r="BH54">
            <v>1</v>
          </cell>
          <cell r="BI54">
            <v>1</v>
          </cell>
          <cell r="BJ54">
            <v>1</v>
          </cell>
          <cell r="BK54">
            <v>1</v>
          </cell>
          <cell r="BL54">
            <v>1</v>
          </cell>
          <cell r="BM54">
            <v>1</v>
          </cell>
          <cell r="BN54">
            <v>1</v>
          </cell>
          <cell r="BO54">
            <v>1</v>
          </cell>
          <cell r="BP54">
            <v>1</v>
          </cell>
          <cell r="BQ54">
            <v>1</v>
          </cell>
          <cell r="BR54">
            <v>1</v>
          </cell>
          <cell r="BS54">
            <v>1</v>
          </cell>
          <cell r="BT54">
            <v>1</v>
          </cell>
          <cell r="BU54">
            <v>1</v>
          </cell>
          <cell r="BV54">
            <v>1</v>
          </cell>
          <cell r="BW54">
            <v>1</v>
          </cell>
          <cell r="BX54">
            <v>1</v>
          </cell>
          <cell r="BY54">
            <v>1</v>
          </cell>
          <cell r="BZ54">
            <v>1</v>
          </cell>
          <cell r="CA54">
            <v>1</v>
          </cell>
          <cell r="CB54">
            <v>1</v>
          </cell>
          <cell r="CC54">
            <v>1</v>
          </cell>
          <cell r="CD54">
            <v>1</v>
          </cell>
          <cell r="CE54">
            <v>1</v>
          </cell>
          <cell r="CF54">
            <v>1</v>
          </cell>
          <cell r="CG54">
            <v>1</v>
          </cell>
          <cell r="CH54">
            <v>1</v>
          </cell>
          <cell r="CI54">
            <v>1</v>
          </cell>
          <cell r="CJ54">
            <v>1</v>
          </cell>
          <cell r="CK54">
            <v>1</v>
          </cell>
          <cell r="CL54">
            <v>1</v>
          </cell>
          <cell r="CM54">
            <v>1</v>
          </cell>
          <cell r="CN54">
            <v>1</v>
          </cell>
          <cell r="CO54">
            <v>1</v>
          </cell>
        </row>
        <row r="57"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>
            <v>1</v>
          </cell>
          <cell r="U57">
            <v>1</v>
          </cell>
          <cell r="V57">
            <v>1</v>
          </cell>
          <cell r="W57">
            <v>1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>
            <v>1</v>
          </cell>
          <cell r="AL57">
            <v>1</v>
          </cell>
          <cell r="AM57">
            <v>1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1</v>
          </cell>
          <cell r="AS57">
            <v>1</v>
          </cell>
          <cell r="AT57">
            <v>1</v>
          </cell>
          <cell r="AU57">
            <v>1</v>
          </cell>
          <cell r="AV57">
            <v>1</v>
          </cell>
          <cell r="AW57">
            <v>1</v>
          </cell>
          <cell r="AX57">
            <v>1</v>
          </cell>
          <cell r="AY57">
            <v>1</v>
          </cell>
          <cell r="AZ57">
            <v>1</v>
          </cell>
          <cell r="BA57">
            <v>1</v>
          </cell>
          <cell r="BB57">
            <v>1</v>
          </cell>
          <cell r="BC57">
            <v>1</v>
          </cell>
          <cell r="BD57">
            <v>1</v>
          </cell>
          <cell r="BE57">
            <v>1</v>
          </cell>
          <cell r="BF57">
            <v>1</v>
          </cell>
          <cell r="BG57">
            <v>1</v>
          </cell>
          <cell r="BH57">
            <v>1</v>
          </cell>
          <cell r="BI57">
            <v>1</v>
          </cell>
          <cell r="BJ57">
            <v>1</v>
          </cell>
          <cell r="BK57">
            <v>1</v>
          </cell>
          <cell r="BL57">
            <v>1</v>
          </cell>
          <cell r="BM57">
            <v>1</v>
          </cell>
          <cell r="BN57">
            <v>1</v>
          </cell>
          <cell r="BO57">
            <v>1</v>
          </cell>
          <cell r="BP57">
            <v>1</v>
          </cell>
          <cell r="BQ57">
            <v>1</v>
          </cell>
          <cell r="BR57">
            <v>1</v>
          </cell>
          <cell r="BS57">
            <v>1</v>
          </cell>
          <cell r="BT57">
            <v>1</v>
          </cell>
          <cell r="BU57">
            <v>1</v>
          </cell>
          <cell r="BV57">
            <v>1</v>
          </cell>
          <cell r="BW57">
            <v>1</v>
          </cell>
          <cell r="BX57">
            <v>1</v>
          </cell>
          <cell r="BY57">
            <v>1</v>
          </cell>
          <cell r="BZ57">
            <v>1</v>
          </cell>
          <cell r="CA57">
            <v>1</v>
          </cell>
          <cell r="CB57">
            <v>1</v>
          </cell>
          <cell r="CC57">
            <v>1</v>
          </cell>
          <cell r="CD57">
            <v>1</v>
          </cell>
          <cell r="CE57">
            <v>1</v>
          </cell>
          <cell r="CF57">
            <v>1</v>
          </cell>
          <cell r="CG57">
            <v>1</v>
          </cell>
          <cell r="CH57">
            <v>1</v>
          </cell>
          <cell r="CI57">
            <v>1</v>
          </cell>
          <cell r="CJ57">
            <v>1</v>
          </cell>
          <cell r="CK57">
            <v>1</v>
          </cell>
          <cell r="CL57">
            <v>1</v>
          </cell>
          <cell r="CM57">
            <v>1</v>
          </cell>
          <cell r="CN57">
            <v>1</v>
          </cell>
          <cell r="CO57">
            <v>1</v>
          </cell>
        </row>
        <row r="58"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T58">
            <v>1</v>
          </cell>
          <cell r="U58">
            <v>1</v>
          </cell>
          <cell r="V58">
            <v>1</v>
          </cell>
          <cell r="W58">
            <v>1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>
            <v>1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</row>
        <row r="61"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1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</row>
        <row r="62"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</row>
        <row r="63"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1</v>
          </cell>
        </row>
        <row r="67"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1</v>
          </cell>
          <cell r="AD67">
            <v>2</v>
          </cell>
          <cell r="AE67">
            <v>3</v>
          </cell>
          <cell r="AF67">
            <v>4</v>
          </cell>
          <cell r="AG67">
            <v>5</v>
          </cell>
          <cell r="AH67">
            <v>6</v>
          </cell>
          <cell r="AI67">
            <v>7</v>
          </cell>
          <cell r="AJ67">
            <v>8</v>
          </cell>
          <cell r="AK67">
            <v>9</v>
          </cell>
          <cell r="AL67">
            <v>10</v>
          </cell>
          <cell r="AM67">
            <v>11</v>
          </cell>
          <cell r="AN67">
            <v>12</v>
          </cell>
          <cell r="AO67">
            <v>13</v>
          </cell>
          <cell r="AP67">
            <v>14</v>
          </cell>
          <cell r="AQ67">
            <v>15</v>
          </cell>
          <cell r="AR67">
            <v>16</v>
          </cell>
          <cell r="AS67">
            <v>17</v>
          </cell>
          <cell r="AT67">
            <v>18</v>
          </cell>
          <cell r="AU67">
            <v>19</v>
          </cell>
          <cell r="AV67">
            <v>20</v>
          </cell>
          <cell r="AW67">
            <v>21</v>
          </cell>
          <cell r="AX67">
            <v>22</v>
          </cell>
          <cell r="AY67">
            <v>23</v>
          </cell>
          <cell r="AZ67">
            <v>24</v>
          </cell>
          <cell r="BA67">
            <v>25</v>
          </cell>
          <cell r="BB67">
            <v>26</v>
          </cell>
          <cell r="BC67">
            <v>27</v>
          </cell>
          <cell r="BD67">
            <v>28</v>
          </cell>
          <cell r="BE67">
            <v>29</v>
          </cell>
          <cell r="BF67">
            <v>30</v>
          </cell>
          <cell r="BG67">
            <v>31</v>
          </cell>
          <cell r="BH67">
            <v>32</v>
          </cell>
          <cell r="BI67">
            <v>33</v>
          </cell>
          <cell r="BJ67">
            <v>34</v>
          </cell>
          <cell r="BK67">
            <v>35</v>
          </cell>
          <cell r="BL67">
            <v>36</v>
          </cell>
          <cell r="BM67">
            <v>37</v>
          </cell>
          <cell r="BN67">
            <v>38</v>
          </cell>
          <cell r="BO67">
            <v>39</v>
          </cell>
          <cell r="BP67">
            <v>40</v>
          </cell>
          <cell r="BQ67">
            <v>41</v>
          </cell>
          <cell r="BR67">
            <v>42</v>
          </cell>
          <cell r="BS67">
            <v>43</v>
          </cell>
          <cell r="BT67">
            <v>44</v>
          </cell>
          <cell r="BU67">
            <v>45</v>
          </cell>
          <cell r="BV67">
            <v>46</v>
          </cell>
          <cell r="BW67">
            <v>47</v>
          </cell>
          <cell r="BX67">
            <v>48</v>
          </cell>
          <cell r="BY67">
            <v>49</v>
          </cell>
          <cell r="BZ67">
            <v>50</v>
          </cell>
          <cell r="CA67">
            <v>51</v>
          </cell>
          <cell r="CB67">
            <v>52</v>
          </cell>
          <cell r="CC67">
            <v>53</v>
          </cell>
          <cell r="CD67">
            <v>54</v>
          </cell>
          <cell r="CE67">
            <v>55</v>
          </cell>
          <cell r="CF67">
            <v>56</v>
          </cell>
          <cell r="CG67">
            <v>57</v>
          </cell>
          <cell r="CH67">
            <v>58</v>
          </cell>
          <cell r="CI67">
            <v>59</v>
          </cell>
          <cell r="CJ67">
            <v>60</v>
          </cell>
          <cell r="CK67">
            <v>61</v>
          </cell>
          <cell r="CL67">
            <v>62</v>
          </cell>
          <cell r="CM67">
            <v>63</v>
          </cell>
          <cell r="CN67">
            <v>64</v>
          </cell>
          <cell r="CO67">
            <v>65</v>
          </cell>
        </row>
        <row r="79">
          <cell r="L79">
            <v>1.014194887410651</v>
          </cell>
          <cell r="M79">
            <v>1.0285912696499031</v>
          </cell>
          <cell r="N79">
            <v>1.043192006914162</v>
          </cell>
          <cell r="O79">
            <v>1.0579999999999996</v>
          </cell>
          <cell r="P79">
            <v>1.0684249041288085</v>
          </cell>
          <cell r="Q79">
            <v>1.0789525290762327</v>
          </cell>
          <cell r="R79">
            <v>1.0895838869922589</v>
          </cell>
          <cell r="S79">
            <v>1.1003199999999993</v>
          </cell>
          <cell r="T79">
            <v>1.1111619002939606</v>
          </cell>
          <cell r="U79">
            <v>1.1221106302392818</v>
          </cell>
          <cell r="V79">
            <v>1.133167242471949</v>
          </cell>
          <cell r="W79">
            <v>1.144332799999999</v>
          </cell>
          <cell r="X79">
            <v>1.1556083763057188</v>
          </cell>
          <cell r="Y79">
            <v>1.1669950554488528</v>
          </cell>
          <cell r="Z79">
            <v>1.1784939321708268</v>
          </cell>
          <cell r="AA79">
            <v>1.1901061119999987</v>
          </cell>
          <cell r="AB79">
            <v>1.2018327113579472</v>
          </cell>
          <cell r="AC79">
            <v>1.2136748576668066</v>
          </cell>
          <cell r="AD79">
            <v>1.2256336894576596</v>
          </cell>
          <cell r="AE79">
            <v>1.2377103564799985</v>
          </cell>
          <cell r="AF79">
            <v>1.2499060198122651</v>
          </cell>
          <cell r="AG79">
            <v>1.2622218519734789</v>
          </cell>
          <cell r="AH79">
            <v>1.2746590370359661</v>
          </cell>
          <cell r="AI79">
            <v>1.2872187707391984</v>
          </cell>
          <cell r="AJ79">
            <v>1.2999022606047557</v>
          </cell>
          <cell r="AK79">
            <v>1.312710726052418</v>
          </cell>
          <cell r="AL79">
            <v>1.3256453985174046</v>
          </cell>
          <cell r="AM79">
            <v>1.3387075215687663</v>
          </cell>
          <cell r="AN79">
            <v>1.3518983510289457</v>
          </cell>
          <cell r="AO79">
            <v>1.3652191550945145</v>
          </cell>
          <cell r="AP79">
            <v>1.3786712144581006</v>
          </cell>
          <cell r="AQ79">
            <v>1.3922558224315169</v>
          </cell>
          <cell r="AR79">
            <v>1.4059742850701036</v>
          </cell>
          <cell r="AS79">
            <v>1.4198279212982952</v>
          </cell>
          <cell r="AT79">
            <v>1.4338180630364246</v>
          </cell>
          <cell r="AU79">
            <v>1.4479460553287775</v>
          </cell>
          <cell r="AV79">
            <v>1.4622132564729076</v>
          </cell>
          <cell r="AW79">
            <v>1.4766210381502267</v>
          </cell>
          <cell r="AX79">
            <v>1.4911707855578813</v>
          </cell>
          <cell r="AY79">
            <v>1.5058638975419283</v>
          </cell>
          <cell r="AZ79">
            <v>1.5207017867318235</v>
          </cell>
          <cell r="BA79">
            <v>1.5356858796762354</v>
          </cell>
          <cell r="BB79">
            <v>1.5508176169801962</v>
          </cell>
          <cell r="BC79">
            <v>1.5660984534436051</v>
          </cell>
          <cell r="BD79">
            <v>1.5815298582010964</v>
          </cell>
          <cell r="BE79">
            <v>1.5971133148632848</v>
          </cell>
          <cell r="BF79">
            <v>1.6128503216594039</v>
          </cell>
          <cell r="BG79">
            <v>1.628742391581349</v>
          </cell>
          <cell r="BH79">
            <v>1.6447910525291398</v>
          </cell>
          <cell r="BI79">
            <v>1.6609978474578158</v>
          </cell>
          <cell r="BJ79">
            <v>1.6773643345257798</v>
          </cell>
          <cell r="BK79">
            <v>1.6938920872446028</v>
          </cell>
          <cell r="BL79">
            <v>1.7105826946303053</v>
          </cell>
          <cell r="BM79">
            <v>1.7274377613561283</v>
          </cell>
          <cell r="BN79">
            <v>1.7444589079068107</v>
          </cell>
          <cell r="BO79">
            <v>1.7616477707343867</v>
          </cell>
          <cell r="BP79">
            <v>1.7790060024155172</v>
          </cell>
          <cell r="BQ79">
            <v>1.7965352718103731</v>
          </cell>
          <cell r="BR79">
            <v>1.8142372642230828</v>
          </cell>
          <cell r="BS79">
            <v>1.8321136815637618</v>
          </cell>
          <cell r="BT79">
            <v>1.8501662425121375</v>
          </cell>
          <cell r="BU79">
            <v>1.8683966826827876</v>
          </cell>
          <cell r="BV79">
            <v>1.8868067547920058</v>
          </cell>
          <cell r="BW79">
            <v>1.9053982288263118</v>
          </cell>
          <cell r="BX79">
            <v>1.9241728922126227</v>
          </cell>
          <cell r="BY79">
            <v>1.9431325499900989</v>
          </cell>
          <cell r="BZ79">
            <v>1.9622790249836859</v>
          </cell>
          <cell r="CA79">
            <v>1.9816141579793642</v>
          </cell>
          <cell r="CB79">
            <v>2.0011398079011276</v>
          </cell>
          <cell r="CC79">
            <v>2.0208578519897027</v>
          </cell>
          <cell r="CD79">
            <v>2.0407701859830332</v>
          </cell>
          <cell r="CE79">
            <v>2.0608787242985387</v>
          </cell>
          <cell r="CF79">
            <v>2.0811854002171724</v>
          </cell>
          <cell r="CG79">
            <v>2.1016921660692907</v>
          </cell>
          <cell r="CH79">
            <v>2.1224009934223544</v>
          </cell>
          <cell r="CI79">
            <v>2.1433138732704804</v>
          </cell>
          <cell r="CJ79">
            <v>2.1644328162258595</v>
          </cell>
          <cell r="CK79">
            <v>2.1857598527120623</v>
          </cell>
          <cell r="CL79">
            <v>2.2072970331592483</v>
          </cell>
          <cell r="CM79">
            <v>2.2290464282012992</v>
          </cell>
          <cell r="CN79">
            <v>2.2510101288748934</v>
          </cell>
          <cell r="CO79">
            <v>2.2731902468205445</v>
          </cell>
        </row>
        <row r="85">
          <cell r="L85">
            <v>1.014194887410651</v>
          </cell>
          <cell r="M85">
            <v>1.0285912696499031</v>
          </cell>
          <cell r="N85">
            <v>1.043192006914162</v>
          </cell>
          <cell r="O85">
            <v>1.0579999999999996</v>
          </cell>
          <cell r="P85">
            <v>1.0684249041288085</v>
          </cell>
          <cell r="Q85">
            <v>1.0789525290762327</v>
          </cell>
          <cell r="R85">
            <v>1.0895838869922589</v>
          </cell>
          <cell r="S85">
            <v>1.1003199999999993</v>
          </cell>
          <cell r="T85">
            <v>1.1111619002939606</v>
          </cell>
          <cell r="U85">
            <v>1.1221106302392818</v>
          </cell>
          <cell r="V85">
            <v>1.133167242471949</v>
          </cell>
          <cell r="W85">
            <v>1.144332799999999</v>
          </cell>
          <cell r="X85">
            <v>1.1556083763057188</v>
          </cell>
          <cell r="Y85">
            <v>1.1669950554488528</v>
          </cell>
          <cell r="Z85">
            <v>1.1784939321708268</v>
          </cell>
          <cell r="AA85">
            <v>1.1901061119999987</v>
          </cell>
          <cell r="AB85">
            <v>1.2018327113579472</v>
          </cell>
          <cell r="AC85">
            <v>1.2136748576668066</v>
          </cell>
          <cell r="AD85">
            <v>1.2256336894576596</v>
          </cell>
          <cell r="AE85">
            <v>1.2377103564799985</v>
          </cell>
          <cell r="AF85">
            <v>1.2499060198122651</v>
          </cell>
          <cell r="AG85">
            <v>1.2622218519734789</v>
          </cell>
          <cell r="AH85">
            <v>1.2746590370359661</v>
          </cell>
          <cell r="AI85">
            <v>1.2872187707391984</v>
          </cell>
          <cell r="AJ85">
            <v>1.2999961953186696</v>
          </cell>
          <cell r="AK85">
            <v>1.3129004534889765</v>
          </cell>
          <cell r="AL85">
            <v>1.3259328042487277</v>
          </cell>
          <cell r="AM85">
            <v>1.3390945190938319</v>
          </cell>
          <cell r="AN85">
            <v>1.3523868821415514</v>
          </cell>
          <cell r="AO85">
            <v>1.3658111902557866</v>
          </cell>
          <cell r="AP85">
            <v>1.379368753173603</v>
          </cell>
          <cell r="AQ85">
            <v>1.3930608936330167</v>
          </cell>
          <cell r="AR85">
            <v>1.4068889475020454</v>
          </cell>
          <cell r="AS85">
            <v>1.4208542639090427</v>
          </cell>
          <cell r="AT85">
            <v>1.4349582053743246</v>
          </cell>
          <cell r="AU85">
            <v>1.4492021479431039</v>
          </cell>
          <cell r="AV85">
            <v>1.4635874813197427</v>
          </cell>
          <cell r="AW85">
            <v>1.4781156090033392</v>
          </cell>
          <cell r="AX85">
            <v>1.4927879484246587</v>
          </cell>
          <cell r="AY85">
            <v>1.5076059310844254</v>
          </cell>
          <cell r="AZ85">
            <v>1.5225710026929855</v>
          </cell>
          <cell r="BA85">
            <v>1.5376846233113575</v>
          </cell>
          <cell r="BB85">
            <v>1.5529482674936828</v>
          </cell>
          <cell r="BC85">
            <v>1.5683634244310898</v>
          </cell>
          <cell r="BD85">
            <v>1.5839315980969861</v>
          </cell>
          <cell r="BE85">
            <v>1.599654307393793</v>
          </cell>
          <cell r="BF85">
            <v>1.6155330863011366</v>
          </cell>
          <cell r="BG85">
            <v>1.6315694840255102</v>
          </cell>
          <cell r="BH85">
            <v>1.6477650651514215</v>
          </cell>
          <cell r="BI85">
            <v>1.6641214097940413</v>
          </cell>
          <cell r="BJ85">
            <v>1.680640113753366</v>
          </cell>
          <cell r="BK85">
            <v>1.6973227886699116</v>
          </cell>
          <cell r="BL85">
            <v>1.7141710621819528</v>
          </cell>
          <cell r="BM85">
            <v>1.7311865780843227</v>
          </cell>
          <cell r="BN85">
            <v>1.748370996488789</v>
          </cell>
          <cell r="BO85">
            <v>1.7657259939860221</v>
          </cell>
          <cell r="BP85">
            <v>1.7832532638091712</v>
          </cell>
          <cell r="BQ85">
            <v>1.8009545159990632</v>
          </cell>
          <cell r="BR85">
            <v>1.8188314775710432</v>
          </cell>
          <cell r="BS85">
            <v>1.8368858926834692</v>
          </cell>
          <cell r="BT85">
            <v>1.8551195228078803</v>
          </cell>
          <cell r="BU85">
            <v>1.8735341469008542</v>
          </cell>
          <cell r="BV85">
            <v>1.8921315615775702</v>
          </cell>
          <cell r="BW85">
            <v>1.9109135812870954</v>
          </cell>
          <cell r="BX85">
            <v>1.9298820384894104</v>
          </cell>
          <cell r="BY85">
            <v>1.9490387838341927</v>
          </cell>
          <cell r="BZ85">
            <v>1.9683856863413745</v>
          </cell>
          <cell r="CA85">
            <v>1.9879246335834928</v>
          </cell>
          <cell r="CB85">
            <v>2.0076575318698495</v>
          </cell>
          <cell r="CC85">
            <v>2.0275863064325006</v>
          </cell>
          <cell r="CD85">
            <v>2.0477129016140889</v>
          </cell>
          <cell r="CE85">
            <v>2.068039281057545</v>
          </cell>
          <cell r="CF85">
            <v>2.0885674278976678</v>
          </cell>
          <cell r="CG85">
            <v>2.1092993449546089</v>
          </cell>
          <cell r="CH85">
            <v>2.1302370549292764</v>
          </cell>
          <cell r="CI85">
            <v>2.1513826006006798</v>
          </cell>
          <cell r="CJ85">
            <v>2.1727380450252323</v>
          </cell>
          <cell r="CK85">
            <v>2.1943054717380317</v>
          </cell>
          <cell r="CL85">
            <v>2.2160869849561404</v>
          </cell>
          <cell r="CM85">
            <v>2.2380847097838821</v>
          </cell>
          <cell r="CN85">
            <v>2.2603007924201766</v>
          </cell>
          <cell r="CO85">
            <v>2.2827374003679326</v>
          </cell>
        </row>
        <row r="88">
          <cell r="L88">
            <v>2.7123287671232874E-2</v>
          </cell>
          <cell r="M88">
            <v>2.7424657534246576E-2</v>
          </cell>
          <cell r="N88">
            <v>2.7726027397260277E-2</v>
          </cell>
          <cell r="O88">
            <v>2.7726027397260277E-2</v>
          </cell>
          <cell r="P88">
            <v>2.0958904109589043E-2</v>
          </cell>
          <cell r="Q88">
            <v>2.1191780821917808E-2</v>
          </cell>
          <cell r="R88">
            <v>2.1424657534246577E-2</v>
          </cell>
          <cell r="S88">
            <v>2.1424657534246577E-2</v>
          </cell>
          <cell r="T88">
            <v>2.0958904109589043E-2</v>
          </cell>
          <cell r="U88">
            <v>2.1191780821917808E-2</v>
          </cell>
          <cell r="V88">
            <v>2.1424657534246577E-2</v>
          </cell>
          <cell r="W88">
            <v>2.1424657534246577E-2</v>
          </cell>
          <cell r="X88">
            <v>2.1133879781420766E-2</v>
          </cell>
          <cell r="Y88">
            <v>2.1133879781420766E-2</v>
          </cell>
          <cell r="Z88">
            <v>2.1366120218579237E-2</v>
          </cell>
          <cell r="AA88">
            <v>2.1366120218579237E-2</v>
          </cell>
          <cell r="AB88">
            <v>2.0958904109589043E-2</v>
          </cell>
          <cell r="AC88">
            <v>2.1191780821917808E-2</v>
          </cell>
          <cell r="AD88">
            <v>2.1424657534246577E-2</v>
          </cell>
          <cell r="AE88">
            <v>2.1424657534246577E-2</v>
          </cell>
          <cell r="AF88">
            <v>2.0958904109589043E-2</v>
          </cell>
          <cell r="AG88">
            <v>2.1191780821917808E-2</v>
          </cell>
          <cell r="AH88">
            <v>2.1424657534246577E-2</v>
          </cell>
          <cell r="AI88">
            <v>2.1424657534246577E-2</v>
          </cell>
          <cell r="AJ88">
            <v>2.0958904109589043E-2</v>
          </cell>
          <cell r="AK88">
            <v>2.1191780821917808E-2</v>
          </cell>
          <cell r="AL88">
            <v>2.1424657534246577E-2</v>
          </cell>
          <cell r="AM88">
            <v>2.1424657534246577E-2</v>
          </cell>
          <cell r="AN88">
            <v>2.1133879781420766E-2</v>
          </cell>
          <cell r="AO88">
            <v>2.1133879781420766E-2</v>
          </cell>
          <cell r="AP88">
            <v>2.1366120218579237E-2</v>
          </cell>
          <cell r="AQ88">
            <v>2.1366120218579237E-2</v>
          </cell>
          <cell r="AR88">
            <v>2.0958904109589043E-2</v>
          </cell>
          <cell r="AS88">
            <v>2.1191780821917808E-2</v>
          </cell>
          <cell r="AT88">
            <v>2.1424657534246577E-2</v>
          </cell>
          <cell r="AU88">
            <v>2.1424657534246577E-2</v>
          </cell>
          <cell r="AV88">
            <v>2.0958904109589043E-2</v>
          </cell>
          <cell r="AW88">
            <v>2.1191780821917808E-2</v>
          </cell>
          <cell r="AX88">
            <v>2.1424657534246577E-2</v>
          </cell>
          <cell r="AY88">
            <v>2.1424657534246577E-2</v>
          </cell>
          <cell r="AZ88">
            <v>2.0958904109589043E-2</v>
          </cell>
          <cell r="BA88">
            <v>2.1191780821917808E-2</v>
          </cell>
          <cell r="BB88">
            <v>2.1424657534246577E-2</v>
          </cell>
          <cell r="BC88">
            <v>2.1424657534246577E-2</v>
          </cell>
          <cell r="BD88">
            <v>2.1133879781420766E-2</v>
          </cell>
          <cell r="BE88">
            <v>2.1133879781420766E-2</v>
          </cell>
          <cell r="BF88">
            <v>2.1366120218579237E-2</v>
          </cell>
          <cell r="BG88">
            <v>2.1366120218579237E-2</v>
          </cell>
          <cell r="BH88">
            <v>2.0958904109589043E-2</v>
          </cell>
          <cell r="BI88">
            <v>2.1191780821917808E-2</v>
          </cell>
          <cell r="BJ88">
            <v>2.1424657534246577E-2</v>
          </cell>
          <cell r="BK88">
            <v>2.1424657534246577E-2</v>
          </cell>
          <cell r="BL88">
            <v>2.0958904109589043E-2</v>
          </cell>
          <cell r="BM88">
            <v>2.1191780821917808E-2</v>
          </cell>
          <cell r="BN88">
            <v>2.1424657534246577E-2</v>
          </cell>
          <cell r="BO88">
            <v>2.1424657534246577E-2</v>
          </cell>
          <cell r="BP88">
            <v>2.0958904109589043E-2</v>
          </cell>
          <cell r="BQ88">
            <v>2.1191780821917808E-2</v>
          </cell>
          <cell r="BR88">
            <v>2.1424657534246577E-2</v>
          </cell>
          <cell r="BS88">
            <v>2.1424657534246577E-2</v>
          </cell>
          <cell r="BT88">
            <v>2.1133879781420766E-2</v>
          </cell>
          <cell r="BU88">
            <v>2.1133879781420766E-2</v>
          </cell>
          <cell r="BV88">
            <v>2.1366120218579237E-2</v>
          </cell>
          <cell r="BW88">
            <v>2.1366120218579237E-2</v>
          </cell>
          <cell r="BX88">
            <v>2.0958904109589043E-2</v>
          </cell>
          <cell r="BY88">
            <v>2.1191780821917808E-2</v>
          </cell>
          <cell r="BZ88">
            <v>2.1424657534246577E-2</v>
          </cell>
          <cell r="CA88">
            <v>2.1424657534246577E-2</v>
          </cell>
          <cell r="CB88">
            <v>2.0958904109589043E-2</v>
          </cell>
          <cell r="CC88">
            <v>2.1191780821917808E-2</v>
          </cell>
          <cell r="CD88">
            <v>2.1424657534246577E-2</v>
          </cell>
          <cell r="CE88">
            <v>2.1424657534246577E-2</v>
          </cell>
          <cell r="CF88">
            <v>2.0958904109589043E-2</v>
          </cell>
          <cell r="CG88">
            <v>2.1191780821917808E-2</v>
          </cell>
          <cell r="CH88">
            <v>2.1424657534246577E-2</v>
          </cell>
          <cell r="CI88">
            <v>2.1424657534246577E-2</v>
          </cell>
          <cell r="CJ88">
            <v>2.1133879781420766E-2</v>
          </cell>
          <cell r="CK88">
            <v>2.1133879781420766E-2</v>
          </cell>
          <cell r="CL88">
            <v>2.1366120218579237E-2</v>
          </cell>
          <cell r="CM88">
            <v>2.1366120218579237E-2</v>
          </cell>
          <cell r="CN88">
            <v>2.0958904109589043E-2</v>
          </cell>
          <cell r="CO88">
            <v>2.1191780821917808E-2</v>
          </cell>
        </row>
        <row r="260">
          <cell r="L260">
            <v>17358.429079522699</v>
          </cell>
          <cell r="M260">
            <v>17604.830025932293</v>
          </cell>
          <cell r="N260">
            <v>17854.728606034052</v>
          </cell>
          <cell r="O260">
            <v>18108.17446834443</v>
          </cell>
          <cell r="P260">
            <v>165955.27720147805</v>
          </cell>
          <cell r="Q260">
            <v>223881.18630021886</v>
          </cell>
          <cell r="R260">
            <v>226087.17864750029</v>
          </cell>
          <cell r="S260">
            <v>228314.90753422349</v>
          </cell>
          <cell r="T260">
            <v>230564.58713934835</v>
          </cell>
          <cell r="U260">
            <v>232836.43375222755</v>
          </cell>
          <cell r="V260">
            <v>235130.66579340029</v>
          </cell>
          <cell r="W260">
            <v>237447.50383559233</v>
          </cell>
          <cell r="X260">
            <v>239787.17062492229</v>
          </cell>
          <cell r="Y260">
            <v>242149.89110231656</v>
          </cell>
          <cell r="Z260">
            <v>244535.89242513615</v>
          </cell>
          <cell r="AA260">
            <v>131342.53722513857</v>
          </cell>
          <cell r="AB260">
            <v>132636.70864159093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L260">
            <v>0</v>
          </cell>
          <cell r="CM260">
            <v>0</v>
          </cell>
          <cell r="CN260">
            <v>0</v>
          </cell>
          <cell r="CO260">
            <v>0</v>
          </cell>
        </row>
        <row r="332">
          <cell r="L332">
            <v>17358.429079522699</v>
          </cell>
          <cell r="M332">
            <v>34963.259105454992</v>
          </cell>
          <cell r="N332">
            <v>52817.987711489048</v>
          </cell>
          <cell r="O332">
            <v>70926.162179833482</v>
          </cell>
          <cell r="P332">
            <v>236881.43938131153</v>
          </cell>
          <cell r="Q332">
            <v>460762.62568153033</v>
          </cell>
          <cell r="R332">
            <v>687844.6818541761</v>
          </cell>
          <cell r="S332">
            <v>922020.89930072881</v>
          </cell>
          <cell r="T332">
            <v>1161884.5486689517</v>
          </cell>
          <cell r="U332">
            <v>1407763.6720975735</v>
          </cell>
          <cell r="V332">
            <v>1659796.9252777104</v>
          </cell>
          <cell r="W332">
            <v>1917900.2088396682</v>
          </cell>
          <cell r="X332">
            <v>2181801.550150421</v>
          </cell>
          <cell r="Y332">
            <v>2451841.1846190458</v>
          </cell>
          <cell r="Z332">
            <v>2728427.974665517</v>
          </cell>
          <cell r="AA332">
            <v>2894746.4118876886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BR332">
            <v>0</v>
          </cell>
          <cell r="BS332">
            <v>0</v>
          </cell>
          <cell r="BT332">
            <v>0</v>
          </cell>
          <cell r="BU332">
            <v>0</v>
          </cell>
          <cell r="BV332">
            <v>0</v>
          </cell>
          <cell r="BW332">
            <v>0</v>
          </cell>
          <cell r="BX332">
            <v>0</v>
          </cell>
          <cell r="BY332">
            <v>0</v>
          </cell>
          <cell r="BZ332">
            <v>0</v>
          </cell>
          <cell r="CA332">
            <v>0</v>
          </cell>
          <cell r="CB332">
            <v>0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L332">
            <v>0</v>
          </cell>
          <cell r="CM332">
            <v>0</v>
          </cell>
          <cell r="CN332">
            <v>0</v>
          </cell>
          <cell r="CO332">
            <v>0</v>
          </cell>
        </row>
        <row r="334">
          <cell r="L334">
            <v>17358.429079522699</v>
          </cell>
          <cell r="M334">
            <v>17604.830025932293</v>
          </cell>
          <cell r="N334">
            <v>17854.728606034052</v>
          </cell>
          <cell r="O334">
            <v>18108.17446834443</v>
          </cell>
          <cell r="P334">
            <v>165955.27720147805</v>
          </cell>
          <cell r="Q334">
            <v>223881.18630021886</v>
          </cell>
          <cell r="R334">
            <v>226087.17864750029</v>
          </cell>
          <cell r="S334">
            <v>228314.90753422346</v>
          </cell>
          <cell r="T334">
            <v>230564.58713934835</v>
          </cell>
          <cell r="U334">
            <v>232836.43375222755</v>
          </cell>
          <cell r="V334">
            <v>235130.66579340029</v>
          </cell>
          <cell r="W334">
            <v>237447.50383559233</v>
          </cell>
          <cell r="X334">
            <v>239787.17062492229</v>
          </cell>
          <cell r="Y334">
            <v>242149.89110231656</v>
          </cell>
          <cell r="Z334">
            <v>244535.89242513615</v>
          </cell>
          <cell r="AA334">
            <v>131342.53722513857</v>
          </cell>
          <cell r="AB334">
            <v>132636.70864159093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BR334">
            <v>0</v>
          </cell>
          <cell r="BS334">
            <v>0</v>
          </cell>
          <cell r="BT334">
            <v>0</v>
          </cell>
          <cell r="BU334">
            <v>0</v>
          </cell>
          <cell r="BV334">
            <v>0</v>
          </cell>
          <cell r="BW334">
            <v>0</v>
          </cell>
          <cell r="BX334">
            <v>0</v>
          </cell>
          <cell r="BY334">
            <v>0</v>
          </cell>
          <cell r="BZ334">
            <v>0</v>
          </cell>
          <cell r="CA334">
            <v>0</v>
          </cell>
          <cell r="CB334">
            <v>0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L334">
            <v>0</v>
          </cell>
          <cell r="CM334">
            <v>0</v>
          </cell>
          <cell r="CN334">
            <v>0</v>
          </cell>
          <cell r="CO334">
            <v>0</v>
          </cell>
        </row>
        <row r="335"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BR335">
            <v>0</v>
          </cell>
          <cell r="BS335">
            <v>0</v>
          </cell>
          <cell r="BT335">
            <v>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  <cell r="BZ335">
            <v>0</v>
          </cell>
          <cell r="CA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L335">
            <v>0</v>
          </cell>
          <cell r="CM335">
            <v>0</v>
          </cell>
          <cell r="CN335">
            <v>0</v>
          </cell>
          <cell r="CO335">
            <v>0</v>
          </cell>
        </row>
        <row r="490"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-42399.544964947738</v>
          </cell>
          <cell r="AD490">
            <v>-42399.544964947738</v>
          </cell>
          <cell r="AE490">
            <v>-42399.544964947738</v>
          </cell>
          <cell r="AF490">
            <v>-42399.544964947738</v>
          </cell>
          <cell r="AG490">
            <v>-42399.544964947738</v>
          </cell>
          <cell r="AH490">
            <v>-42399.544964947738</v>
          </cell>
          <cell r="AI490">
            <v>-42399.544964947738</v>
          </cell>
          <cell r="AJ490">
            <v>-42399.544964947738</v>
          </cell>
          <cell r="AK490">
            <v>-42399.544964947738</v>
          </cell>
          <cell r="AL490">
            <v>-42399.544964947738</v>
          </cell>
          <cell r="AM490">
            <v>-42399.544964947738</v>
          </cell>
          <cell r="AN490">
            <v>-42399.544964947738</v>
          </cell>
          <cell r="AO490">
            <v>-42399.544964947738</v>
          </cell>
          <cell r="AP490">
            <v>-42399.544964947738</v>
          </cell>
          <cell r="AQ490">
            <v>-42399.544964947738</v>
          </cell>
          <cell r="AR490">
            <v>-42399.544964947738</v>
          </cell>
          <cell r="AS490">
            <v>-42399.544964947738</v>
          </cell>
          <cell r="AT490">
            <v>-42399.544964947738</v>
          </cell>
          <cell r="AU490">
            <v>-42399.544964947738</v>
          </cell>
          <cell r="AV490">
            <v>-42399.544964947738</v>
          </cell>
          <cell r="AW490">
            <v>-42399.544964947738</v>
          </cell>
          <cell r="AX490">
            <v>-42399.544964947738</v>
          </cell>
          <cell r="AY490">
            <v>-42399.544964947738</v>
          </cell>
          <cell r="AZ490">
            <v>-42399.544964947738</v>
          </cell>
          <cell r="BA490">
            <v>-42399.544964947738</v>
          </cell>
          <cell r="BB490">
            <v>-42399.544964947738</v>
          </cell>
          <cell r="BC490">
            <v>-42399.544964947738</v>
          </cell>
          <cell r="BD490">
            <v>-42399.544964947578</v>
          </cell>
          <cell r="BE490">
            <v>-20397.348813563563</v>
          </cell>
          <cell r="BF490">
            <v>-20397.348813563563</v>
          </cell>
          <cell r="BG490">
            <v>-20397.348813563563</v>
          </cell>
          <cell r="BH490">
            <v>-20397.348813563563</v>
          </cell>
          <cell r="BI490">
            <v>-20397.348813563563</v>
          </cell>
          <cell r="BJ490">
            <v>-20397.348813563563</v>
          </cell>
          <cell r="BK490">
            <v>-20397.348813563563</v>
          </cell>
          <cell r="BL490">
            <v>-20397.348813563563</v>
          </cell>
          <cell r="BM490">
            <v>-20397.348813563563</v>
          </cell>
          <cell r="BN490">
            <v>-20397.348813563563</v>
          </cell>
          <cell r="BO490">
            <v>-20397.348813563563</v>
          </cell>
          <cell r="BP490">
            <v>-20397.348813563563</v>
          </cell>
          <cell r="BQ490">
            <v>-20397.348813563563</v>
          </cell>
          <cell r="BR490">
            <v>-20397.348813563563</v>
          </cell>
          <cell r="BS490">
            <v>-20397.348813563563</v>
          </cell>
          <cell r="BT490">
            <v>-20397.348813563563</v>
          </cell>
          <cell r="BU490">
            <v>-20397.348813563563</v>
          </cell>
          <cell r="BV490">
            <v>-20397.348813563563</v>
          </cell>
          <cell r="BW490">
            <v>-20397.348813563563</v>
          </cell>
          <cell r="BX490">
            <v>-20397.348813563563</v>
          </cell>
          <cell r="BY490">
            <v>-20397.348813563563</v>
          </cell>
          <cell r="BZ490">
            <v>-20397.348813563563</v>
          </cell>
          <cell r="CA490">
            <v>-20397.348813563563</v>
          </cell>
          <cell r="CB490">
            <v>-20397.348813563563</v>
          </cell>
          <cell r="CC490">
            <v>-20397.348813563563</v>
          </cell>
          <cell r="CD490">
            <v>-20397.348813563563</v>
          </cell>
          <cell r="CE490">
            <v>-20397.348813563563</v>
          </cell>
          <cell r="CF490">
            <v>-20397.348813563563</v>
          </cell>
          <cell r="CG490">
            <v>-20397.348813563563</v>
          </cell>
          <cell r="CH490">
            <v>-20397.348813563563</v>
          </cell>
          <cell r="CI490">
            <v>-20397.348813563563</v>
          </cell>
          <cell r="CJ490">
            <v>-20397.348813563563</v>
          </cell>
          <cell r="CK490">
            <v>-20397.348813563563</v>
          </cell>
          <cell r="CL490">
            <v>-20397.348813563563</v>
          </cell>
          <cell r="CM490">
            <v>-20397.348813563563</v>
          </cell>
          <cell r="CN490">
            <v>-20397.348813563563</v>
          </cell>
          <cell r="CO490">
            <v>-20397.348813563563</v>
          </cell>
        </row>
        <row r="491"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3063743.3498663851</v>
          </cell>
          <cell r="AC491">
            <v>3021343.8049014374</v>
          </cell>
          <cell r="AD491">
            <v>2978944.2599364896</v>
          </cell>
          <cell r="AE491">
            <v>2936544.7149715419</v>
          </cell>
          <cell r="AF491">
            <v>2894145.1700065942</v>
          </cell>
          <cell r="AG491">
            <v>2851745.6250416464</v>
          </cell>
          <cell r="AH491">
            <v>2809346.0800766987</v>
          </cell>
          <cell r="AI491">
            <v>2766946.5351117509</v>
          </cell>
          <cell r="AJ491">
            <v>2724546.9901468032</v>
          </cell>
          <cell r="AK491">
            <v>2682147.4451818555</v>
          </cell>
          <cell r="AL491">
            <v>2639747.9002169077</v>
          </cell>
          <cell r="AM491">
            <v>2597348.35525196</v>
          </cell>
          <cell r="AN491">
            <v>2554948.8102870123</v>
          </cell>
          <cell r="AO491">
            <v>2512549.2653220645</v>
          </cell>
          <cell r="AP491">
            <v>2470149.7203571168</v>
          </cell>
          <cell r="AQ491">
            <v>2427750.175392169</v>
          </cell>
          <cell r="AR491">
            <v>2385350.6304272213</v>
          </cell>
          <cell r="AS491">
            <v>2342951.0854622736</v>
          </cell>
          <cell r="AT491">
            <v>2300551.5404973258</v>
          </cell>
          <cell r="AU491">
            <v>2258151.9955323781</v>
          </cell>
          <cell r="AV491">
            <v>2215752.4505674304</v>
          </cell>
          <cell r="AW491">
            <v>2173352.9056024826</v>
          </cell>
          <cell r="AX491">
            <v>2130953.3606375349</v>
          </cell>
          <cell r="AY491">
            <v>2088553.8156725871</v>
          </cell>
          <cell r="AZ491">
            <v>2046154.2707076394</v>
          </cell>
          <cell r="BA491">
            <v>2003754.7257426917</v>
          </cell>
          <cell r="BB491">
            <v>1961355.1807777439</v>
          </cell>
          <cell r="BC491">
            <v>1918955.6358127962</v>
          </cell>
          <cell r="BD491">
            <v>1876556.0908478487</v>
          </cell>
          <cell r="BE491">
            <v>1856158.7420342851</v>
          </cell>
          <cell r="BF491">
            <v>1835761.3932207215</v>
          </cell>
          <cell r="BG491">
            <v>1815364.0444071579</v>
          </cell>
          <cell r="BH491">
            <v>1794966.6955935943</v>
          </cell>
          <cell r="BI491">
            <v>1774569.3467800308</v>
          </cell>
          <cell r="BJ491">
            <v>1754171.9979664672</v>
          </cell>
          <cell r="BK491">
            <v>1733774.6491529036</v>
          </cell>
          <cell r="BL491">
            <v>1713377.30033934</v>
          </cell>
          <cell r="BM491">
            <v>1692979.9515257764</v>
          </cell>
          <cell r="BN491">
            <v>1672582.6027122128</v>
          </cell>
          <cell r="BO491">
            <v>1652185.2538986492</v>
          </cell>
          <cell r="BP491">
            <v>1631787.9050850857</v>
          </cell>
          <cell r="BQ491">
            <v>1611390.5562715221</v>
          </cell>
          <cell r="BR491">
            <v>1590993.2074579585</v>
          </cell>
          <cell r="BS491">
            <v>1570595.8586443949</v>
          </cell>
          <cell r="BT491">
            <v>1550198.5098308313</v>
          </cell>
          <cell r="BU491">
            <v>1529801.1610172677</v>
          </cell>
          <cell r="BV491">
            <v>1509403.8122037041</v>
          </cell>
          <cell r="BW491">
            <v>1489006.4633901406</v>
          </cell>
          <cell r="BX491">
            <v>1468609.114576577</v>
          </cell>
          <cell r="BY491">
            <v>1448211.7657630134</v>
          </cell>
          <cell r="BZ491">
            <v>1427814.4169494498</v>
          </cell>
          <cell r="CA491">
            <v>1407417.0681358862</v>
          </cell>
          <cell r="CB491">
            <v>1387019.7193223226</v>
          </cell>
          <cell r="CC491">
            <v>1366622.370508759</v>
          </cell>
          <cell r="CD491">
            <v>1346225.0216951955</v>
          </cell>
          <cell r="CE491">
            <v>1325827.6728816319</v>
          </cell>
          <cell r="CF491">
            <v>1305430.3240680683</v>
          </cell>
          <cell r="CG491">
            <v>1285032.9752545047</v>
          </cell>
          <cell r="CH491">
            <v>1264635.6264409411</v>
          </cell>
          <cell r="CI491">
            <v>1244238.2776273775</v>
          </cell>
          <cell r="CJ491">
            <v>1223840.928813814</v>
          </cell>
          <cell r="CK491">
            <v>1203443.5800002504</v>
          </cell>
          <cell r="CL491">
            <v>1183046.2311866868</v>
          </cell>
          <cell r="CM491">
            <v>1162648.8823731232</v>
          </cell>
          <cell r="CN491">
            <v>1142251.5335595596</v>
          </cell>
          <cell r="CO491">
            <v>1121854.184745996</v>
          </cell>
        </row>
        <row r="494"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-33180.019108243068</v>
          </cell>
          <cell r="AD494">
            <v>-31311.32788358918</v>
          </cell>
          <cell r="AE494">
            <v>-31311.32788358918</v>
          </cell>
          <cell r="AF494">
            <v>-31311.32788358918</v>
          </cell>
          <cell r="AG494">
            <v>-31311.32788358918</v>
          </cell>
          <cell r="AH494">
            <v>-31311.32788358918</v>
          </cell>
          <cell r="AI494">
            <v>-31311.32788358918</v>
          </cell>
          <cell r="AJ494">
            <v>-31311.32788358918</v>
          </cell>
          <cell r="AK494">
            <v>-31311.32788358918</v>
          </cell>
          <cell r="AL494">
            <v>-31311.32788358918</v>
          </cell>
          <cell r="AM494">
            <v>-31311.32788358918</v>
          </cell>
          <cell r="AN494">
            <v>-31311.32788358918</v>
          </cell>
          <cell r="AO494">
            <v>-31311.32788358918</v>
          </cell>
          <cell r="AP494">
            <v>-31311.32788358918</v>
          </cell>
          <cell r="AQ494">
            <v>-31311.32788358918</v>
          </cell>
          <cell r="AR494">
            <v>-31311.32788358918</v>
          </cell>
          <cell r="AS494">
            <v>-31311.32788358918</v>
          </cell>
          <cell r="AT494">
            <v>-31311.32788358918</v>
          </cell>
          <cell r="AU494">
            <v>-31311.32788358918</v>
          </cell>
          <cell r="AV494">
            <v>-31311.32788358918</v>
          </cell>
          <cell r="AW494">
            <v>-31311.32788358918</v>
          </cell>
          <cell r="AX494">
            <v>-31311.32788358918</v>
          </cell>
          <cell r="AY494">
            <v>-31311.32788358918</v>
          </cell>
          <cell r="AZ494">
            <v>-31311.32788358918</v>
          </cell>
          <cell r="BA494">
            <v>-31311.32788358918</v>
          </cell>
          <cell r="BB494">
            <v>-31311.32788358918</v>
          </cell>
          <cell r="BC494">
            <v>-31311.32788358918</v>
          </cell>
          <cell r="BD494">
            <v>-31311.327883588961</v>
          </cell>
          <cell r="BE494">
            <v>-17026.532004207427</v>
          </cell>
          <cell r="BF494">
            <v>-17026.532004207427</v>
          </cell>
          <cell r="BG494">
            <v>-17026.532004207427</v>
          </cell>
          <cell r="BH494">
            <v>-17026.532004207427</v>
          </cell>
          <cell r="BI494">
            <v>-17026.532004207427</v>
          </cell>
          <cell r="BJ494">
            <v>-17026.532004207427</v>
          </cell>
          <cell r="BK494">
            <v>-17026.532004207427</v>
          </cell>
          <cell r="BL494">
            <v>-17026.532004207427</v>
          </cell>
          <cell r="BM494">
            <v>-17026.532004207427</v>
          </cell>
          <cell r="BN494">
            <v>-17026.532004207427</v>
          </cell>
          <cell r="BO494">
            <v>-17026.532004207427</v>
          </cell>
          <cell r="BP494">
            <v>-17026.532004207427</v>
          </cell>
          <cell r="BQ494">
            <v>-17026.532004207427</v>
          </cell>
          <cell r="BR494">
            <v>-17026.532004207427</v>
          </cell>
          <cell r="BS494">
            <v>-17026.532004207427</v>
          </cell>
          <cell r="BT494">
            <v>-17026.532004207427</v>
          </cell>
          <cell r="BU494">
            <v>-17026.532004207427</v>
          </cell>
          <cell r="BV494">
            <v>-17026.532004207427</v>
          </cell>
          <cell r="BW494">
            <v>-17026.532004207427</v>
          </cell>
          <cell r="BX494">
            <v>-17026.532004207427</v>
          </cell>
          <cell r="BY494">
            <v>-17026.532004207427</v>
          </cell>
          <cell r="BZ494">
            <v>-17026.532004207427</v>
          </cell>
          <cell r="CA494">
            <v>-17026.532004207427</v>
          </cell>
          <cell r="CB494">
            <v>-17026.532004207427</v>
          </cell>
          <cell r="CC494">
            <v>-17026.532004207427</v>
          </cell>
          <cell r="CD494">
            <v>-17026.532004207427</v>
          </cell>
          <cell r="CE494">
            <v>-17026.532004207427</v>
          </cell>
          <cell r="CF494">
            <v>-17026.532004207427</v>
          </cell>
          <cell r="CG494">
            <v>-17026.532004207427</v>
          </cell>
          <cell r="CH494">
            <v>-17026.532004207427</v>
          </cell>
          <cell r="CI494">
            <v>-17026.532004207427</v>
          </cell>
          <cell r="CJ494">
            <v>-17026.532004207427</v>
          </cell>
          <cell r="CK494">
            <v>-17026.532004207427</v>
          </cell>
          <cell r="CL494">
            <v>-17026.532004207427</v>
          </cell>
          <cell r="CM494">
            <v>-17026.532004207427</v>
          </cell>
          <cell r="CN494">
            <v>-17026.532004207427</v>
          </cell>
          <cell r="CO494">
            <v>-17026.532004207427</v>
          </cell>
        </row>
        <row r="495"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-398437.97727534676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0</v>
          </cell>
          <cell r="BJ495">
            <v>0</v>
          </cell>
          <cell r="BK495">
            <v>0</v>
          </cell>
          <cell r="BL495">
            <v>0</v>
          </cell>
          <cell r="BM495">
            <v>0</v>
          </cell>
          <cell r="BN495">
            <v>0</v>
          </cell>
          <cell r="BO495">
            <v>0</v>
          </cell>
          <cell r="BP495">
            <v>0</v>
          </cell>
          <cell r="BQ495">
            <v>0</v>
          </cell>
          <cell r="BR495">
            <v>0</v>
          </cell>
          <cell r="BS495">
            <v>0</v>
          </cell>
          <cell r="BT495">
            <v>0</v>
          </cell>
          <cell r="BU495">
            <v>0</v>
          </cell>
          <cell r="BV495">
            <v>0</v>
          </cell>
          <cell r="BW495">
            <v>0</v>
          </cell>
          <cell r="BX495">
            <v>0</v>
          </cell>
          <cell r="BY495">
            <v>0</v>
          </cell>
          <cell r="BZ495">
            <v>0</v>
          </cell>
          <cell r="CA495">
            <v>0</v>
          </cell>
          <cell r="CB495">
            <v>0</v>
          </cell>
          <cell r="CC495">
            <v>0</v>
          </cell>
          <cell r="CD495">
            <v>0</v>
          </cell>
          <cell r="CE495">
            <v>0</v>
          </cell>
          <cell r="CF495">
            <v>0</v>
          </cell>
          <cell r="CG495">
            <v>0</v>
          </cell>
          <cell r="CH495">
            <v>0</v>
          </cell>
          <cell r="CI495">
            <v>0</v>
          </cell>
          <cell r="CJ495">
            <v>0</v>
          </cell>
          <cell r="CK495">
            <v>0</v>
          </cell>
          <cell r="CL495">
            <v>0</v>
          </cell>
          <cell r="CM495">
            <v>0</v>
          </cell>
          <cell r="CN495">
            <v>0</v>
          </cell>
          <cell r="CO495">
            <v>0</v>
          </cell>
        </row>
        <row r="748"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323489.43981721537</v>
          </cell>
          <cell r="AD748">
            <v>420939.65615477052</v>
          </cell>
          <cell r="AE748">
            <v>249377.48016211341</v>
          </cell>
          <cell r="AF748">
            <v>244727.40759990399</v>
          </cell>
          <cell r="AG748">
            <v>386270.35332248232</v>
          </cell>
          <cell r="AH748">
            <v>500316.84845824167</v>
          </cell>
          <cell r="AI748">
            <v>295125.34893668047</v>
          </cell>
          <cell r="AJ748">
            <v>288452.03775775357</v>
          </cell>
          <cell r="AK748">
            <v>453556.15680446324</v>
          </cell>
          <cell r="AL748">
            <v>585370.71269614284</v>
          </cell>
          <cell r="AM748">
            <v>344134.04324495367</v>
          </cell>
          <cell r="AN748">
            <v>339008.44197024993</v>
          </cell>
          <cell r="AO748">
            <v>525606.79199968628</v>
          </cell>
          <cell r="AP748">
            <v>659517.66963765386</v>
          </cell>
          <cell r="AQ748">
            <v>377245.3187571704</v>
          </cell>
          <cell r="AR748">
            <v>357870.56580919598</v>
          </cell>
          <cell r="AS748">
            <v>546631.06367967371</v>
          </cell>
          <cell r="AT748">
            <v>685898.3764231602</v>
          </cell>
          <cell r="AU748">
            <v>392335.13150745723</v>
          </cell>
          <cell r="AV748">
            <v>372185.3884415637</v>
          </cell>
          <cell r="AW748">
            <v>475300.19045196543</v>
          </cell>
          <cell r="AX748">
            <v>596394.26041777711</v>
          </cell>
          <cell r="AY748">
            <v>341138.61270746769</v>
          </cell>
          <cell r="AZ748">
            <v>323618.24594984483</v>
          </cell>
          <cell r="BA748">
            <v>494312.19807004399</v>
          </cell>
          <cell r="BB748">
            <v>620250.03083448787</v>
          </cell>
          <cell r="BC748">
            <v>354784.15721576638</v>
          </cell>
          <cell r="BD748">
            <v>340302.56440770347</v>
          </cell>
          <cell r="BE748">
            <v>514084.68599284568</v>
          </cell>
          <cell r="BF748">
            <v>645060.03206786746</v>
          </cell>
          <cell r="BG748">
            <v>368975.52350439696</v>
          </cell>
          <cell r="BH748">
            <v>350025.49481935211</v>
          </cell>
          <cell r="BI748">
            <v>534648.07343255926</v>
          </cell>
          <cell r="BJ748">
            <v>670862.43335058214</v>
          </cell>
          <cell r="BK748">
            <v>383734.54444457276</v>
          </cell>
          <cell r="BL748">
            <v>364026.51461212622</v>
          </cell>
          <cell r="BM748">
            <v>556033.99636986165</v>
          </cell>
          <cell r="BN748">
            <v>697696.93068460515</v>
          </cell>
          <cell r="BO748">
            <v>399083.92622235557</v>
          </cell>
          <cell r="BP748">
            <v>378587.57519661105</v>
          </cell>
          <cell r="BQ748">
            <v>578275.35622465611</v>
          </cell>
          <cell r="BR748">
            <v>725604.80791198928</v>
          </cell>
          <cell r="BS748">
            <v>415047.28327124979</v>
          </cell>
          <cell r="BT748">
            <v>398105.86796230299</v>
          </cell>
          <cell r="BU748">
            <v>601406.37047364225</v>
          </cell>
          <cell r="BV748">
            <v>754629.00022846879</v>
          </cell>
          <cell r="BW748">
            <v>431649.17460209969</v>
          </cell>
          <cell r="BX748">
            <v>409480.32133265445</v>
          </cell>
          <cell r="BY748">
            <v>625462.62529258791</v>
          </cell>
          <cell r="BZ748">
            <v>784814.16023760755</v>
          </cell>
          <cell r="CA748">
            <v>448915.14158618363</v>
          </cell>
          <cell r="CB748">
            <v>425859.53418596066</v>
          </cell>
          <cell r="CC748">
            <v>650481.13030429138</v>
          </cell>
          <cell r="CD748">
            <v>816206.72664711194</v>
          </cell>
          <cell r="CE748">
            <v>466871.74724963104</v>
          </cell>
          <cell r="CF748">
            <v>442893.91555339901</v>
          </cell>
          <cell r="CG748">
            <v>676500.37551646295</v>
          </cell>
          <cell r="CH748">
            <v>848854.99571299623</v>
          </cell>
          <cell r="CI748">
            <v>485546.61713961628</v>
          </cell>
          <cell r="CJ748">
            <v>465727.55742192979</v>
          </cell>
          <cell r="CK748">
            <v>703560.39053712133</v>
          </cell>
          <cell r="CL748">
            <v>882809.19554151583</v>
          </cell>
          <cell r="CM748">
            <v>504968.48182520078</v>
          </cell>
          <cell r="CN748">
            <v>479034.05906255619</v>
          </cell>
          <cell r="CO748">
            <v>731702.80615860608</v>
          </cell>
        </row>
        <row r="750"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10007.140130195883</v>
          </cell>
          <cell r="AD750">
            <v>13021.76085833722</v>
          </cell>
          <cell r="AE750">
            <v>7714.4879619795538</v>
          </cell>
          <cell r="AF750">
            <v>7570.6380490676966</v>
          </cell>
          <cell r="AG750">
            <v>11949.266585093108</v>
          </cell>
          <cell r="AH750">
            <v>15477.292905909475</v>
          </cell>
          <cell r="AI750">
            <v>9129.6974777633441</v>
          </cell>
          <cell r="AJ750">
            <v>8923.2587138344534</v>
          </cell>
          <cell r="AK750">
            <v>14030.751732173841</v>
          </cell>
          <cell r="AL750">
            <v>18108.432699913974</v>
          </cell>
          <cell r="AM750">
            <v>10645.780574070814</v>
          </cell>
          <cell r="AN750">
            <v>10487.220188802981</v>
          </cell>
          <cell r="AO750">
            <v>16259.636864484928</v>
          </cell>
          <cell r="AP750">
            <v>20402.167508569779</v>
          </cell>
          <cell r="AQ750">
            <v>11670.077299575903</v>
          </cell>
          <cell r="AR750">
            <v>11070.719657954411</v>
          </cell>
          <cell r="AS750">
            <v>16910.022339064279</v>
          </cell>
          <cell r="AT750">
            <v>21218.254208912724</v>
          </cell>
          <cell r="AU750">
            <v>12136.880391558923</v>
          </cell>
          <cell r="AV750">
            <v>11513.548444272601</v>
          </cell>
          <cell r="AW750">
            <v>16208.621290103998</v>
          </cell>
          <cell r="AX750">
            <v>20338.1544987628</v>
          </cell>
          <cell r="AY750">
            <v>11633.46174035588</v>
          </cell>
          <cell r="AZ750">
            <v>11035.984618859249</v>
          </cell>
          <cell r="BA750">
            <v>16856.966141708137</v>
          </cell>
          <cell r="BB750">
            <v>21151.680678713252</v>
          </cell>
          <cell r="BC750">
            <v>12098.800209970097</v>
          </cell>
          <cell r="BD750">
            <v>11604.950936987123</v>
          </cell>
          <cell r="BE750">
            <v>17531.24478737649</v>
          </cell>
          <cell r="BF750">
            <v>21997.747905861819</v>
          </cell>
          <cell r="BG750">
            <v>12582.752218368929</v>
          </cell>
          <cell r="BH750">
            <v>11936.520963758172</v>
          </cell>
          <cell r="BI750">
            <v>18232.494578871527</v>
          </cell>
          <cell r="BJ750">
            <v>22877.657822096255</v>
          </cell>
          <cell r="BK750">
            <v>13086.062307103653</v>
          </cell>
          <cell r="BL750">
            <v>12413.981802308583</v>
          </cell>
          <cell r="BM750">
            <v>18961.794362026383</v>
          </cell>
          <cell r="BN750">
            <v>23792.76413498004</v>
          </cell>
          <cell r="BO750">
            <v>13609.504799387825</v>
          </cell>
          <cell r="BP750">
            <v>12910.541074400826</v>
          </cell>
          <cell r="BQ750">
            <v>19720.266136507504</v>
          </cell>
          <cell r="BR750">
            <v>24744.474700379185</v>
          </cell>
          <cell r="BS750">
            <v>14153.884991363331</v>
          </cell>
          <cell r="BT750">
            <v>13576.151192014455</v>
          </cell>
          <cell r="BU750">
            <v>20509.076781967771</v>
          </cell>
          <cell r="BV750">
            <v>25734.253688394325</v>
          </cell>
          <cell r="BW750">
            <v>14720.040391017916</v>
          </cell>
          <cell r="BX750">
            <v>13964.041226072004</v>
          </cell>
          <cell r="BY750">
            <v>21329.439853246557</v>
          </cell>
          <cell r="BZ750">
            <v>26763.623835930252</v>
          </cell>
          <cell r="CA750">
            <v>15308.842006658611</v>
          </cell>
          <cell r="CB750">
            <v>14522.602875114884</v>
          </cell>
          <cell r="CC750">
            <v>22182.617447376368</v>
          </cell>
          <cell r="CD750">
            <v>27834.168789367541</v>
          </cell>
          <cell r="CE750">
            <v>15921.195686925028</v>
          </cell>
          <cell r="CF750">
            <v>15103.506990119466</v>
          </cell>
          <cell r="CG750">
            <v>23069.922145271441</v>
          </cell>
          <cell r="CH750">
            <v>28947.535540942103</v>
          </cell>
          <cell r="CI750">
            <v>16558.043514401885</v>
          </cell>
          <cell r="CJ750">
            <v>15882.176683832251</v>
          </cell>
          <cell r="CK750">
            <v>23992.719031082233</v>
          </cell>
          <cell r="CL750">
            <v>30105.436962579726</v>
          </cell>
          <cell r="CM750">
            <v>17220.365254978009</v>
          </cell>
          <cell r="CN750">
            <v>16335.953160513251</v>
          </cell>
          <cell r="CO750">
            <v>24952.427792325499</v>
          </cell>
        </row>
        <row r="751"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313482.29968701949</v>
          </cell>
          <cell r="AD751">
            <v>407917.8952964333</v>
          </cell>
          <cell r="AE751">
            <v>241662.99220013386</v>
          </cell>
          <cell r="AF751">
            <v>237156.7695508363</v>
          </cell>
          <cell r="AG751">
            <v>374321.08673738921</v>
          </cell>
          <cell r="AH751">
            <v>484839.5555523322</v>
          </cell>
          <cell r="AI751">
            <v>285995.65145891713</v>
          </cell>
          <cell r="AJ751">
            <v>279528.77904391912</v>
          </cell>
          <cell r="AK751">
            <v>439525.4050722894</v>
          </cell>
          <cell r="AL751">
            <v>567262.27999622887</v>
          </cell>
          <cell r="AM751">
            <v>333488.26267088286</v>
          </cell>
          <cell r="AN751">
            <v>328521.22178144695</v>
          </cell>
          <cell r="AO751">
            <v>509347.15513520135</v>
          </cell>
          <cell r="AP751">
            <v>639115.50212908408</v>
          </cell>
          <cell r="AQ751">
            <v>365575.2414575945</v>
          </cell>
          <cell r="AR751">
            <v>346799.84615124157</v>
          </cell>
          <cell r="AS751">
            <v>529721.04134060943</v>
          </cell>
          <cell r="AT751">
            <v>664680.12221424747</v>
          </cell>
          <cell r="AU751">
            <v>380198.25111589831</v>
          </cell>
          <cell r="AV751">
            <v>360671.8399972911</v>
          </cell>
          <cell r="AW751">
            <v>459091.56916186144</v>
          </cell>
          <cell r="AX751">
            <v>576056.10591901431</v>
          </cell>
          <cell r="AY751">
            <v>329505.15096711181</v>
          </cell>
          <cell r="AZ751">
            <v>312582.26133098558</v>
          </cell>
          <cell r="BA751">
            <v>477455.23192833585</v>
          </cell>
          <cell r="BB751">
            <v>599098.35015577462</v>
          </cell>
          <cell r="BC751">
            <v>342685.35700579628</v>
          </cell>
          <cell r="BD751">
            <v>328697.61347071634</v>
          </cell>
          <cell r="BE751">
            <v>496553.44120546919</v>
          </cell>
          <cell r="BF751">
            <v>623062.28416200564</v>
          </cell>
          <cell r="BG751">
            <v>356392.77128602803</v>
          </cell>
          <cell r="BH751">
            <v>338088.97385559394</v>
          </cell>
          <cell r="BI751">
            <v>516415.57885368774</v>
          </cell>
          <cell r="BJ751">
            <v>647984.77552848589</v>
          </cell>
          <cell r="BK751">
            <v>370648.48213746911</v>
          </cell>
          <cell r="BL751">
            <v>351612.53280981764</v>
          </cell>
          <cell r="BM751">
            <v>537072.20200783527</v>
          </cell>
          <cell r="BN751">
            <v>673904.16654962511</v>
          </cell>
          <cell r="BO751">
            <v>385474.42142296775</v>
          </cell>
          <cell r="BP751">
            <v>365677.03412221023</v>
          </cell>
          <cell r="BQ751">
            <v>558555.0900881486</v>
          </cell>
          <cell r="BR751">
            <v>700860.33321161009</v>
          </cell>
          <cell r="BS751">
            <v>400893.39827988646</v>
          </cell>
          <cell r="BT751">
            <v>384529.71677028853</v>
          </cell>
          <cell r="BU751">
            <v>580897.29369167448</v>
          </cell>
          <cell r="BV751">
            <v>728894.74654007447</v>
          </cell>
          <cell r="BW751">
            <v>416929.13421108178</v>
          </cell>
          <cell r="BX751">
            <v>395516.28010658245</v>
          </cell>
          <cell r="BY751">
            <v>604133.18543934135</v>
          </cell>
          <cell r="BZ751">
            <v>758050.53640167729</v>
          </cell>
          <cell r="CA751">
            <v>433606.29957952502</v>
          </cell>
          <cell r="CB751">
            <v>411336.93131084577</v>
          </cell>
          <cell r="CC751">
            <v>628298.51285691501</v>
          </cell>
          <cell r="CD751">
            <v>788372.5578577444</v>
          </cell>
          <cell r="CE751">
            <v>450950.55156270601</v>
          </cell>
          <cell r="CF751">
            <v>427790.40856327955</v>
          </cell>
          <cell r="CG751">
            <v>653430.45337119151</v>
          </cell>
          <cell r="CH751">
            <v>819907.46017205412</v>
          </cell>
          <cell r="CI751">
            <v>468988.5736252144</v>
          </cell>
          <cell r="CJ751">
            <v>449845.38073809753</v>
          </cell>
          <cell r="CK751">
            <v>679567.6715060391</v>
          </cell>
          <cell r="CL751">
            <v>852703.7585789361</v>
          </cell>
          <cell r="CM751">
            <v>487748.11657022277</v>
          </cell>
          <cell r="CN751">
            <v>462698.10590204294</v>
          </cell>
          <cell r="CO751">
            <v>706750.37836628058</v>
          </cell>
        </row>
        <row r="959"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-186055.09017940742</v>
          </cell>
          <cell r="AD959">
            <v>-242041.09823244068</v>
          </cell>
          <cell r="AE959">
            <v>-143487.58800601022</v>
          </cell>
          <cell r="AF959">
            <v>-140813.52051370771</v>
          </cell>
          <cell r="AG959">
            <v>-222129.1902204362</v>
          </cell>
          <cell r="AH959">
            <v>-287649.29771768773</v>
          </cell>
          <cell r="AI959">
            <v>-169777.14731171215</v>
          </cell>
          <cell r="AJ959">
            <v>-165940.69712081039</v>
          </cell>
          <cell r="AK959">
            <v>-260791.53012046037</v>
          </cell>
          <cell r="AL959">
            <v>-336518.8874045827</v>
          </cell>
          <cell r="AM959">
            <v>-197940.29122106062</v>
          </cell>
          <cell r="AN959">
            <v>-194994.87562118465</v>
          </cell>
          <cell r="AO959">
            <v>-302190.76492486766</v>
          </cell>
          <cell r="AP959">
            <v>-379122.56482103909</v>
          </cell>
          <cell r="AQ959">
            <v>-216970.66619510794</v>
          </cell>
          <cell r="AR959">
            <v>-205838.20558928998</v>
          </cell>
          <cell r="AS959">
            <v>-314279.10852845892</v>
          </cell>
          <cell r="AT959">
            <v>-394288.19535846217</v>
          </cell>
          <cell r="AU959">
            <v>-225650.22796022767</v>
          </cell>
          <cell r="AV959">
            <v>-214071.73381286155</v>
          </cell>
          <cell r="AW959">
            <v>-322810.96548960765</v>
          </cell>
          <cell r="AX959">
            <v>-404991.30581071583</v>
          </cell>
          <cell r="AY959">
            <v>-231777.09303537774</v>
          </cell>
          <cell r="AZ959">
            <v>-219884.35480565729</v>
          </cell>
          <cell r="BA959">
            <v>-335723.40410919185</v>
          </cell>
          <cell r="BB959">
            <v>-421190.95804314408</v>
          </cell>
          <cell r="BC959">
            <v>-241048.17675679279</v>
          </cell>
          <cell r="BD959">
            <v>-231219.82066585755</v>
          </cell>
          <cell r="BE959">
            <v>-349151.5382381074</v>
          </cell>
          <cell r="BF959">
            <v>-438037.77752621635</v>
          </cell>
          <cell r="BG959">
            <v>-250689.27692006069</v>
          </cell>
          <cell r="BH959">
            <v>-237826.91815779888</v>
          </cell>
          <cell r="BI959">
            <v>-363118.43388450181</v>
          </cell>
          <cell r="BJ959">
            <v>-455560.14021946484</v>
          </cell>
          <cell r="BK959">
            <v>-260717.70798014698</v>
          </cell>
          <cell r="BL959">
            <v>-247339.99488411084</v>
          </cell>
          <cell r="BM959">
            <v>-377643.17123988183</v>
          </cell>
          <cell r="BN959">
            <v>-473782.54582824325</v>
          </cell>
          <cell r="BO959">
            <v>-271146.41629935289</v>
          </cell>
          <cell r="BP959">
            <v>-257233.59467947515</v>
          </cell>
          <cell r="BQ959">
            <v>-392748.89808947721</v>
          </cell>
          <cell r="BR959">
            <v>-492733.84766137291</v>
          </cell>
          <cell r="BS959">
            <v>-281992.27295132703</v>
          </cell>
          <cell r="BT959">
            <v>-270494.48644761811</v>
          </cell>
          <cell r="BU959">
            <v>-408457.91574501712</v>
          </cell>
          <cell r="BV959">
            <v>-512442.24364241946</v>
          </cell>
          <cell r="BW959">
            <v>-293270.9965051433</v>
          </cell>
          <cell r="BX959">
            <v>-278223.85600532027</v>
          </cell>
          <cell r="BY959">
            <v>-424797.20817357831</v>
          </cell>
          <cell r="BZ959">
            <v>-532940.92963054078</v>
          </cell>
          <cell r="CA959">
            <v>-305002.84242415521</v>
          </cell>
          <cell r="CB959">
            <v>-289352.81024553307</v>
          </cell>
          <cell r="CC959">
            <v>-441789.09650052147</v>
          </cell>
          <cell r="CD959">
            <v>-554258.56681576255</v>
          </cell>
          <cell r="CE959">
            <v>-317202.95612112142</v>
          </cell>
          <cell r="CF959">
            <v>-300926.92265535437</v>
          </cell>
          <cell r="CG959">
            <v>-459460.66036054218</v>
          </cell>
          <cell r="CH959">
            <v>-576428.90948839299</v>
          </cell>
          <cell r="CI959">
            <v>-329891.0743659662</v>
          </cell>
          <cell r="CJ959">
            <v>-316440.29040355003</v>
          </cell>
          <cell r="CK959">
            <v>-477837.9891340668</v>
          </cell>
          <cell r="CL959">
            <v>-599484.94523068995</v>
          </cell>
          <cell r="CM959">
            <v>-343085.58566127176</v>
          </cell>
          <cell r="CN959">
            <v>-325482.5595440311</v>
          </cell>
          <cell r="CO959">
            <v>-496952.65024596237</v>
          </cell>
        </row>
        <row r="961"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129402.92287735427</v>
          </cell>
          <cell r="AD961">
            <v>168322.6367023722</v>
          </cell>
          <cell r="AE961">
            <v>99814.524874517418</v>
          </cell>
          <cell r="AF961">
            <v>97954.816852217511</v>
          </cell>
          <cell r="AG961">
            <v>154482.3060049476</v>
          </cell>
          <cell r="AH961">
            <v>200029.64058480645</v>
          </cell>
          <cell r="AI961">
            <v>118092.33604713167</v>
          </cell>
          <cell r="AJ961">
            <v>115424.57173846723</v>
          </cell>
          <cell r="AK961">
            <v>181360.99510614469</v>
          </cell>
          <cell r="AL961">
            <v>234003.88855911151</v>
          </cell>
          <cell r="AM961">
            <v>137672.6688737559</v>
          </cell>
          <cell r="AN961">
            <v>135624.89129601198</v>
          </cell>
          <cell r="AO961">
            <v>210142.12206256361</v>
          </cell>
          <cell r="AP961">
            <v>263622.33278847486</v>
          </cell>
          <cell r="AQ961">
            <v>150904.32126519774</v>
          </cell>
          <cell r="AR961">
            <v>143164.92890316786</v>
          </cell>
          <cell r="AS961">
            <v>218548.51995166263</v>
          </cell>
          <cell r="AT961">
            <v>274167.95404459536</v>
          </cell>
          <cell r="AU961">
            <v>156941.22923312103</v>
          </cell>
          <cell r="AV961">
            <v>148891.52605929453</v>
          </cell>
          <cell r="AW961">
            <v>223251.15336973959</v>
          </cell>
          <cell r="AX961">
            <v>280066.2548442944</v>
          </cell>
          <cell r="AY961">
            <v>160319.73435918684</v>
          </cell>
          <cell r="AZ961">
            <v>152096.93874194767</v>
          </cell>
          <cell r="BA961">
            <v>232181.19950452916</v>
          </cell>
          <cell r="BB961">
            <v>291268.90503806598</v>
          </cell>
          <cell r="BC961">
            <v>166732.52373355432</v>
          </cell>
          <cell r="BD961">
            <v>159937.58670730775</v>
          </cell>
          <cell r="BE961">
            <v>241467.64544925813</v>
          </cell>
          <cell r="BF961">
            <v>302918.84240093501</v>
          </cell>
          <cell r="BG961">
            <v>173400.99777589267</v>
          </cell>
          <cell r="BH961">
            <v>164508.04894329057</v>
          </cell>
          <cell r="BI961">
            <v>251127.18538409856</v>
          </cell>
          <cell r="BJ961">
            <v>315036.44768917217</v>
          </cell>
          <cell r="BK961">
            <v>180337.89767021229</v>
          </cell>
          <cell r="BL961">
            <v>171088.37090102219</v>
          </cell>
          <cell r="BM961">
            <v>261172.27279946249</v>
          </cell>
          <cell r="BN961">
            <v>327637.90559673897</v>
          </cell>
          <cell r="BO961">
            <v>187551.41357702072</v>
          </cell>
          <cell r="BP961">
            <v>177931.90573706297</v>
          </cell>
          <cell r="BQ961">
            <v>271619.16371144104</v>
          </cell>
          <cell r="BR961">
            <v>340743.42182060849</v>
          </cell>
          <cell r="BS961">
            <v>195053.47012010153</v>
          </cell>
          <cell r="BT961">
            <v>187104.35487528608</v>
          </cell>
          <cell r="BU961">
            <v>282482.99199185951</v>
          </cell>
          <cell r="BV961">
            <v>354372.20076802466</v>
          </cell>
          <cell r="BW961">
            <v>202854.64156066885</v>
          </cell>
          <cell r="BX961">
            <v>192451.14924520729</v>
          </cell>
          <cell r="BY961">
            <v>293783.28747029451</v>
          </cell>
          <cell r="BZ961">
            <v>368548.08504117007</v>
          </cell>
          <cell r="CA961">
            <v>210969.83328190178</v>
          </cell>
          <cell r="CB961">
            <v>200149.19521501556</v>
          </cell>
          <cell r="CC961">
            <v>305534.61896910629</v>
          </cell>
          <cell r="CD961">
            <v>383290.00844281696</v>
          </cell>
          <cell r="CE961">
            <v>219408.62661317782</v>
          </cell>
          <cell r="CF961">
            <v>208155.16302361616</v>
          </cell>
          <cell r="CG961">
            <v>317756.00372787053</v>
          </cell>
          <cell r="CH961">
            <v>398621.60878052947</v>
          </cell>
          <cell r="CI961">
            <v>228184.97167770498</v>
          </cell>
          <cell r="CJ961">
            <v>218885.6311641311</v>
          </cell>
          <cell r="CK961">
            <v>330465.14623608813</v>
          </cell>
          <cell r="CL961">
            <v>414565.35249451193</v>
          </cell>
          <cell r="CM961">
            <v>237311.23886548018</v>
          </cell>
          <cell r="CN961">
            <v>225140.62432634315</v>
          </cell>
          <cell r="CO961">
            <v>343684.89363206463</v>
          </cell>
        </row>
        <row r="962"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>
            <v>0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0</v>
          </cell>
          <cell r="AU962">
            <v>0</v>
          </cell>
          <cell r="AV962">
            <v>0</v>
          </cell>
          <cell r="AW962">
            <v>0</v>
          </cell>
          <cell r="AX962">
            <v>0</v>
          </cell>
          <cell r="AY962">
            <v>0</v>
          </cell>
          <cell r="AZ962">
            <v>0</v>
          </cell>
          <cell r="BA962">
            <v>0</v>
          </cell>
          <cell r="BB962">
            <v>0</v>
          </cell>
          <cell r="BC962">
            <v>0</v>
          </cell>
          <cell r="BD962">
            <v>0</v>
          </cell>
          <cell r="BE962">
            <v>0</v>
          </cell>
          <cell r="BF962">
            <v>0</v>
          </cell>
          <cell r="BG962">
            <v>0</v>
          </cell>
          <cell r="BH962">
            <v>0</v>
          </cell>
          <cell r="BI962">
            <v>0</v>
          </cell>
          <cell r="BJ962">
            <v>0</v>
          </cell>
          <cell r="BK962">
            <v>0</v>
          </cell>
          <cell r="BL962">
            <v>0</v>
          </cell>
          <cell r="BM962">
            <v>0</v>
          </cell>
          <cell r="BN962">
            <v>0</v>
          </cell>
          <cell r="BO962">
            <v>0</v>
          </cell>
          <cell r="BP962">
            <v>0</v>
          </cell>
          <cell r="BQ962">
            <v>0</v>
          </cell>
          <cell r="BR962">
            <v>0</v>
          </cell>
          <cell r="BS962">
            <v>0</v>
          </cell>
          <cell r="BT962">
            <v>0</v>
          </cell>
          <cell r="BU962">
            <v>0</v>
          </cell>
          <cell r="BV962">
            <v>0</v>
          </cell>
          <cell r="BW962">
            <v>0</v>
          </cell>
          <cell r="BX962">
            <v>0</v>
          </cell>
          <cell r="BY962">
            <v>0</v>
          </cell>
          <cell r="BZ962">
            <v>0</v>
          </cell>
          <cell r="CA962">
            <v>0</v>
          </cell>
          <cell r="CB962">
            <v>0</v>
          </cell>
          <cell r="CC962">
            <v>0</v>
          </cell>
          <cell r="CD962">
            <v>0</v>
          </cell>
          <cell r="CE962">
            <v>0</v>
          </cell>
          <cell r="CF962">
            <v>0</v>
          </cell>
          <cell r="CG962">
            <v>0</v>
          </cell>
          <cell r="CH962">
            <v>0</v>
          </cell>
          <cell r="CI962">
            <v>0</v>
          </cell>
          <cell r="CJ962">
            <v>0</v>
          </cell>
          <cell r="CK962">
            <v>0</v>
          </cell>
          <cell r="CL962">
            <v>0</v>
          </cell>
          <cell r="CM962">
            <v>0</v>
          </cell>
          <cell r="CN962">
            <v>0</v>
          </cell>
          <cell r="CO962">
            <v>0</v>
          </cell>
        </row>
        <row r="963"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-186055.09017940742</v>
          </cell>
          <cell r="AD963">
            <v>-242041.09823244068</v>
          </cell>
          <cell r="AE963">
            <v>-143487.58800601022</v>
          </cell>
          <cell r="AF963">
            <v>-140813.52051370771</v>
          </cell>
          <cell r="AG963">
            <v>-222129.1902204362</v>
          </cell>
          <cell r="AH963">
            <v>-287649.29771768773</v>
          </cell>
          <cell r="AI963">
            <v>-169777.14731171215</v>
          </cell>
          <cell r="AJ963">
            <v>-165940.69712081039</v>
          </cell>
          <cell r="AK963">
            <v>-260791.53012046037</v>
          </cell>
          <cell r="AL963">
            <v>-336518.8874045827</v>
          </cell>
          <cell r="AM963">
            <v>-197940.29122106062</v>
          </cell>
          <cell r="AN963">
            <v>-194994.87562118465</v>
          </cell>
          <cell r="AO963">
            <v>-302190.76492486766</v>
          </cell>
          <cell r="AP963">
            <v>-379122.56482103909</v>
          </cell>
          <cell r="AQ963">
            <v>-216970.66619510794</v>
          </cell>
          <cell r="AR963">
            <v>-205838.20558928998</v>
          </cell>
          <cell r="AS963">
            <v>-314279.10852845892</v>
          </cell>
          <cell r="AT963">
            <v>-394288.19535846217</v>
          </cell>
          <cell r="AU963">
            <v>-225650.22796022767</v>
          </cell>
          <cell r="AV963">
            <v>-214071.73381286155</v>
          </cell>
          <cell r="AW963">
            <v>-322810.96548960765</v>
          </cell>
          <cell r="AX963">
            <v>-404991.30581071583</v>
          </cell>
          <cell r="AY963">
            <v>-231777.09303537774</v>
          </cell>
          <cell r="AZ963">
            <v>-219884.35480565729</v>
          </cell>
          <cell r="BA963">
            <v>-335723.40410919185</v>
          </cell>
          <cell r="BB963">
            <v>-421190.95804314408</v>
          </cell>
          <cell r="BC963">
            <v>-241048.17675679279</v>
          </cell>
          <cell r="BD963">
            <v>-231219.82066585755</v>
          </cell>
          <cell r="BE963">
            <v>-349151.5382381074</v>
          </cell>
          <cell r="BF963">
            <v>-438037.77752621635</v>
          </cell>
          <cell r="BG963">
            <v>-250689.27692006069</v>
          </cell>
          <cell r="BH963">
            <v>-237826.91815779888</v>
          </cell>
          <cell r="BI963">
            <v>-363118.43388450181</v>
          </cell>
          <cell r="BJ963">
            <v>-455560.14021946484</v>
          </cell>
          <cell r="BK963">
            <v>-260717.70798014698</v>
          </cell>
          <cell r="BL963">
            <v>-247339.99488411084</v>
          </cell>
          <cell r="BM963">
            <v>-377643.17123988183</v>
          </cell>
          <cell r="BN963">
            <v>-473782.54582824325</v>
          </cell>
          <cell r="BO963">
            <v>-271146.41629935289</v>
          </cell>
          <cell r="BP963">
            <v>-257233.59467947515</v>
          </cell>
          <cell r="BQ963">
            <v>-392748.89808947721</v>
          </cell>
          <cell r="BR963">
            <v>-492733.84766137291</v>
          </cell>
          <cell r="BS963">
            <v>-281992.27295132703</v>
          </cell>
          <cell r="BT963">
            <v>-270494.48644761811</v>
          </cell>
          <cell r="BU963">
            <v>-408457.91574501712</v>
          </cell>
          <cell r="BV963">
            <v>-512442.24364241946</v>
          </cell>
          <cell r="BW963">
            <v>-293270.9965051433</v>
          </cell>
          <cell r="BX963">
            <v>-278223.85600532027</v>
          </cell>
          <cell r="BY963">
            <v>-424797.20817357831</v>
          </cell>
          <cell r="BZ963">
            <v>-532940.92963054078</v>
          </cell>
          <cell r="CA963">
            <v>-305002.84242415521</v>
          </cell>
          <cell r="CB963">
            <v>-289352.81024553307</v>
          </cell>
          <cell r="CC963">
            <v>-441789.09650052147</v>
          </cell>
          <cell r="CD963">
            <v>-554258.56681576255</v>
          </cell>
          <cell r="CE963">
            <v>-317202.95612112142</v>
          </cell>
          <cell r="CF963">
            <v>-300926.92265535437</v>
          </cell>
          <cell r="CG963">
            <v>-459460.66036054218</v>
          </cell>
          <cell r="CH963">
            <v>-576428.90948839299</v>
          </cell>
          <cell r="CI963">
            <v>-329891.0743659662</v>
          </cell>
          <cell r="CJ963">
            <v>-316440.29040355003</v>
          </cell>
          <cell r="CK963">
            <v>-477837.9891340668</v>
          </cell>
          <cell r="CL963">
            <v>-599484.94523068995</v>
          </cell>
          <cell r="CM963">
            <v>-343085.58566127176</v>
          </cell>
          <cell r="CN963">
            <v>-325482.5595440311</v>
          </cell>
          <cell r="CO963">
            <v>-496952.65024596237</v>
          </cell>
        </row>
        <row r="977"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-2125.3581807013679</v>
          </cell>
          <cell r="AD977">
            <v>-2148.7137651046796</v>
          </cell>
          <cell r="AE977">
            <v>-2148.7137651046796</v>
          </cell>
          <cell r="AF977">
            <v>-2102.0025962980558</v>
          </cell>
          <cell r="AG977">
            <v>-2125.3581807013679</v>
          </cell>
          <cell r="AH977">
            <v>-2148.7137651046796</v>
          </cell>
          <cell r="AI977">
            <v>-2148.7137651046796</v>
          </cell>
          <cell r="AJ977">
            <v>-2102.0025962980558</v>
          </cell>
          <cell r="AK977">
            <v>-2125.3581807013679</v>
          </cell>
          <cell r="AL977">
            <v>-2148.7137651046796</v>
          </cell>
          <cell r="AM977">
            <v>-2148.7137651046796</v>
          </cell>
          <cell r="AN977">
            <v>-2119.5511911366098</v>
          </cell>
          <cell r="AO977">
            <v>-2119.5511911366098</v>
          </cell>
          <cell r="AP977">
            <v>-2142.8429624677815</v>
          </cell>
          <cell r="AQ977">
            <v>-2142.8429624677815</v>
          </cell>
          <cell r="AR977">
            <v>-2102.0025962980558</v>
          </cell>
          <cell r="AS977">
            <v>-2125.3581807013679</v>
          </cell>
          <cell r="AT977">
            <v>-2148.7137651046796</v>
          </cell>
          <cell r="AU977">
            <v>-2148.7137651046796</v>
          </cell>
          <cell r="AV977">
            <v>-2102.0025962980558</v>
          </cell>
          <cell r="AW977">
            <v>-2125.3581807013679</v>
          </cell>
          <cell r="AX977">
            <v>-2148.7137651046796</v>
          </cell>
          <cell r="AY977">
            <v>-2148.7137651046796</v>
          </cell>
          <cell r="AZ977">
            <v>-2102.0025962980558</v>
          </cell>
          <cell r="BA977">
            <v>-2125.3581807013679</v>
          </cell>
          <cell r="BB977">
            <v>-2148.7137651046796</v>
          </cell>
          <cell r="BC977">
            <v>-2148.7137651046796</v>
          </cell>
          <cell r="BD977">
            <v>-2119.5511911366098</v>
          </cell>
          <cell r="BE977">
            <v>-2119.5511911366098</v>
          </cell>
          <cell r="BF977">
            <v>-2142.8429624677815</v>
          </cell>
          <cell r="BG977">
            <v>-2142.8429624677815</v>
          </cell>
          <cell r="BH977">
            <v>-2102.0025962980558</v>
          </cell>
          <cell r="BI977">
            <v>-2125.3581807013679</v>
          </cell>
          <cell r="BJ977">
            <v>-2148.7137651046796</v>
          </cell>
          <cell r="BK977">
            <v>-2148.7137651046796</v>
          </cell>
          <cell r="BL977">
            <v>-2102.0025962980558</v>
          </cell>
          <cell r="BM977">
            <v>-2125.3581807013679</v>
          </cell>
          <cell r="BN977">
            <v>-2148.7137651046796</v>
          </cell>
          <cell r="BO977">
            <v>-2148.7137651046796</v>
          </cell>
          <cell r="BP977">
            <v>-2102.0025962980558</v>
          </cell>
          <cell r="BQ977">
            <v>-2125.3581807013679</v>
          </cell>
          <cell r="BR977">
            <v>-2148.7137651046796</v>
          </cell>
          <cell r="BS977">
            <v>-2148.7137651046796</v>
          </cell>
          <cell r="BT977">
            <v>-2119.5511911366098</v>
          </cell>
          <cell r="BU977">
            <v>-2119.5511911366098</v>
          </cell>
          <cell r="BV977">
            <v>-2142.8429624677815</v>
          </cell>
          <cell r="BW977">
            <v>-2142.8429624677815</v>
          </cell>
          <cell r="BX977">
            <v>-2102.0025962980558</v>
          </cell>
          <cell r="BY977">
            <v>-2125.3581807013679</v>
          </cell>
          <cell r="BZ977">
            <v>-2148.7137651046796</v>
          </cell>
          <cell r="CA977">
            <v>-2148.7137651046796</v>
          </cell>
          <cell r="CB977">
            <v>-2102.0025962980558</v>
          </cell>
          <cell r="CC977">
            <v>-2125.3581807013679</v>
          </cell>
          <cell r="CD977">
            <v>-2148.7137651046796</v>
          </cell>
          <cell r="CE977">
            <v>-2148.7137651046796</v>
          </cell>
          <cell r="CF977">
            <v>-2102.0025962980558</v>
          </cell>
          <cell r="CG977">
            <v>-2125.3581807013679</v>
          </cell>
          <cell r="CH977">
            <v>-2148.7137651046796</v>
          </cell>
          <cell r="CI977">
            <v>-2148.7137651046796</v>
          </cell>
          <cell r="CJ977">
            <v>-2119.5511911366098</v>
          </cell>
          <cell r="CK977">
            <v>-2119.5511911366098</v>
          </cell>
          <cell r="CL977">
            <v>-2142.8429624677815</v>
          </cell>
          <cell r="CM977">
            <v>-2142.8429624677815</v>
          </cell>
          <cell r="CN977">
            <v>-2102.0025962980558</v>
          </cell>
          <cell r="CO977">
            <v>-2125.3581807013679</v>
          </cell>
        </row>
        <row r="980"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</v>
          </cell>
          <cell r="AS980">
            <v>0</v>
          </cell>
          <cell r="AT980">
            <v>0</v>
          </cell>
          <cell r="AU980">
            <v>0</v>
          </cell>
          <cell r="AV980">
            <v>0</v>
          </cell>
          <cell r="AW980">
            <v>0</v>
          </cell>
          <cell r="AX980">
            <v>0</v>
          </cell>
          <cell r="AY980">
            <v>0</v>
          </cell>
          <cell r="AZ980">
            <v>0</v>
          </cell>
          <cell r="BA980">
            <v>0</v>
          </cell>
          <cell r="BB980">
            <v>0</v>
          </cell>
          <cell r="BC980">
            <v>0</v>
          </cell>
          <cell r="BD980">
            <v>0</v>
          </cell>
          <cell r="BE980">
            <v>0</v>
          </cell>
          <cell r="BF980">
            <v>0</v>
          </cell>
          <cell r="BG980">
            <v>0</v>
          </cell>
          <cell r="BH980">
            <v>0</v>
          </cell>
          <cell r="BI980">
            <v>0</v>
          </cell>
          <cell r="BJ980">
            <v>0</v>
          </cell>
          <cell r="BK980">
            <v>0</v>
          </cell>
          <cell r="BL980">
            <v>0</v>
          </cell>
          <cell r="BM980">
            <v>0</v>
          </cell>
          <cell r="BN980">
            <v>0</v>
          </cell>
          <cell r="BO980">
            <v>0</v>
          </cell>
          <cell r="BP980">
            <v>0</v>
          </cell>
          <cell r="BQ980">
            <v>0</v>
          </cell>
          <cell r="BR980">
            <v>0</v>
          </cell>
          <cell r="BS980">
            <v>0</v>
          </cell>
          <cell r="BT980">
            <v>0</v>
          </cell>
          <cell r="BU980">
            <v>0</v>
          </cell>
          <cell r="BV980">
            <v>0</v>
          </cell>
          <cell r="BW980">
            <v>0</v>
          </cell>
          <cell r="BX980">
            <v>0</v>
          </cell>
          <cell r="BY980">
            <v>0</v>
          </cell>
          <cell r="BZ980">
            <v>0</v>
          </cell>
          <cell r="CA980">
            <v>0</v>
          </cell>
          <cell r="CB980">
            <v>0</v>
          </cell>
          <cell r="CC980">
            <v>0</v>
          </cell>
          <cell r="CD980">
            <v>0</v>
          </cell>
          <cell r="CE980">
            <v>0</v>
          </cell>
          <cell r="CF980">
            <v>0</v>
          </cell>
          <cell r="CG980">
            <v>0</v>
          </cell>
          <cell r="CH980">
            <v>0</v>
          </cell>
          <cell r="CI980">
            <v>0</v>
          </cell>
          <cell r="CJ980">
            <v>0</v>
          </cell>
          <cell r="CK980">
            <v>0</v>
          </cell>
          <cell r="CL980">
            <v>0</v>
          </cell>
          <cell r="CM980">
            <v>0</v>
          </cell>
          <cell r="CN980">
            <v>0</v>
          </cell>
          <cell r="CO980">
            <v>0</v>
          </cell>
        </row>
        <row r="981"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-2125.3581807013679</v>
          </cell>
          <cell r="AD981">
            <v>-2148.7137651046796</v>
          </cell>
          <cell r="AE981">
            <v>-2148.7137651046796</v>
          </cell>
          <cell r="AF981">
            <v>-2102.0025962980558</v>
          </cell>
          <cell r="AG981">
            <v>-2125.3581807013679</v>
          </cell>
          <cell r="AH981">
            <v>-2148.7137651046796</v>
          </cell>
          <cell r="AI981">
            <v>-2148.7137651046796</v>
          </cell>
          <cell r="AJ981">
            <v>-2102.0025962980558</v>
          </cell>
          <cell r="AK981">
            <v>-2125.3581807013679</v>
          </cell>
          <cell r="AL981">
            <v>-2148.7137651046796</v>
          </cell>
          <cell r="AM981">
            <v>-2148.7137651046796</v>
          </cell>
          <cell r="AN981">
            <v>-2119.5511911366098</v>
          </cell>
          <cell r="AO981">
            <v>-2119.5511911366098</v>
          </cell>
          <cell r="AP981">
            <v>-2142.8429624677815</v>
          </cell>
          <cell r="AQ981">
            <v>-2142.8429624677815</v>
          </cell>
          <cell r="AR981">
            <v>-2102.0025962980558</v>
          </cell>
          <cell r="AS981">
            <v>-2125.3581807013679</v>
          </cell>
          <cell r="AT981">
            <v>-2148.7137651046796</v>
          </cell>
          <cell r="AU981">
            <v>-2148.7137651046796</v>
          </cell>
          <cell r="AV981">
            <v>-2102.0025962980558</v>
          </cell>
          <cell r="AW981">
            <v>-2125.3581807013679</v>
          </cell>
          <cell r="AX981">
            <v>-2148.7137651046796</v>
          </cell>
          <cell r="AY981">
            <v>-2148.7137651046796</v>
          </cell>
          <cell r="AZ981">
            <v>-2102.0025962980558</v>
          </cell>
          <cell r="BA981">
            <v>-2125.3581807013679</v>
          </cell>
          <cell r="BB981">
            <v>-2148.7137651046796</v>
          </cell>
          <cell r="BC981">
            <v>-2148.7137651046796</v>
          </cell>
          <cell r="BD981">
            <v>-2119.5511911366098</v>
          </cell>
          <cell r="BE981">
            <v>-2119.5511911366098</v>
          </cell>
          <cell r="BF981">
            <v>-2142.8429624677815</v>
          </cell>
          <cell r="BG981">
            <v>-2142.8429624677815</v>
          </cell>
          <cell r="BH981">
            <v>-2102.0025962980558</v>
          </cell>
          <cell r="BI981">
            <v>-2125.3581807013679</v>
          </cell>
          <cell r="BJ981">
            <v>-2148.7137651046796</v>
          </cell>
          <cell r="BK981">
            <v>-2148.7137651046796</v>
          </cell>
          <cell r="BL981">
            <v>-2102.0025962980558</v>
          </cell>
          <cell r="BM981">
            <v>-2125.3581807013679</v>
          </cell>
          <cell r="BN981">
            <v>-2148.7137651046796</v>
          </cell>
          <cell r="BO981">
            <v>-2148.7137651046796</v>
          </cell>
          <cell r="BP981">
            <v>-2102.0025962980558</v>
          </cell>
          <cell r="BQ981">
            <v>-2125.3581807013679</v>
          </cell>
          <cell r="BR981">
            <v>-2148.7137651046796</v>
          </cell>
          <cell r="BS981">
            <v>-2148.7137651046796</v>
          </cell>
          <cell r="BT981">
            <v>-2119.5511911366098</v>
          </cell>
          <cell r="BU981">
            <v>-2119.5511911366098</v>
          </cell>
          <cell r="BV981">
            <v>-2142.8429624677815</v>
          </cell>
          <cell r="BW981">
            <v>-2142.8429624677815</v>
          </cell>
          <cell r="BX981">
            <v>-2102.0025962980558</v>
          </cell>
          <cell r="BY981">
            <v>-2125.3581807013679</v>
          </cell>
          <cell r="BZ981">
            <v>-2148.7137651046796</v>
          </cell>
          <cell r="CA981">
            <v>-2148.7137651046796</v>
          </cell>
          <cell r="CB981">
            <v>-2102.0025962980558</v>
          </cell>
          <cell r="CC981">
            <v>-2125.3581807013679</v>
          </cell>
          <cell r="CD981">
            <v>-2148.7137651046796</v>
          </cell>
          <cell r="CE981">
            <v>-2148.7137651046796</v>
          </cell>
          <cell r="CF981">
            <v>-2102.0025962980558</v>
          </cell>
          <cell r="CG981">
            <v>-2125.3581807013679</v>
          </cell>
          <cell r="CH981">
            <v>-2148.7137651046796</v>
          </cell>
          <cell r="CI981">
            <v>-2148.7137651046796</v>
          </cell>
          <cell r="CJ981">
            <v>-2119.5511911366098</v>
          </cell>
          <cell r="CK981">
            <v>-2119.5511911366098</v>
          </cell>
          <cell r="CL981">
            <v>-2142.8429624677815</v>
          </cell>
          <cell r="CM981">
            <v>-2142.8429624677815</v>
          </cell>
          <cell r="CN981">
            <v>-2102.0025962980558</v>
          </cell>
          <cell r="CO981">
            <v>-2125.3581807013679</v>
          </cell>
        </row>
        <row r="983"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  <cell r="AS983">
            <v>0</v>
          </cell>
          <cell r="AT983">
            <v>0</v>
          </cell>
          <cell r="AU983">
            <v>0</v>
          </cell>
          <cell r="AV983">
            <v>0</v>
          </cell>
          <cell r="AW983">
            <v>0</v>
          </cell>
          <cell r="AX983">
            <v>0</v>
          </cell>
          <cell r="AY983">
            <v>0</v>
          </cell>
          <cell r="AZ983">
            <v>0</v>
          </cell>
          <cell r="BA983">
            <v>0</v>
          </cell>
          <cell r="BB983">
            <v>0</v>
          </cell>
          <cell r="BC983">
            <v>0</v>
          </cell>
          <cell r="BD983">
            <v>0</v>
          </cell>
          <cell r="BE983">
            <v>0</v>
          </cell>
          <cell r="BF983">
            <v>0</v>
          </cell>
          <cell r="BG983">
            <v>0</v>
          </cell>
          <cell r="BH983">
            <v>0</v>
          </cell>
          <cell r="BI983">
            <v>0</v>
          </cell>
          <cell r="BJ983">
            <v>0</v>
          </cell>
          <cell r="BK983">
            <v>0</v>
          </cell>
          <cell r="BL983">
            <v>0</v>
          </cell>
          <cell r="BM983">
            <v>0</v>
          </cell>
          <cell r="BN983">
            <v>0</v>
          </cell>
          <cell r="BO983">
            <v>0</v>
          </cell>
          <cell r="BP983">
            <v>0</v>
          </cell>
          <cell r="BQ983">
            <v>0</v>
          </cell>
          <cell r="BR983">
            <v>0</v>
          </cell>
          <cell r="BS983">
            <v>0</v>
          </cell>
          <cell r="BT983">
            <v>0</v>
          </cell>
          <cell r="BU983">
            <v>0</v>
          </cell>
          <cell r="BV983">
            <v>0</v>
          </cell>
          <cell r="BW983">
            <v>0</v>
          </cell>
          <cell r="BX983">
            <v>0</v>
          </cell>
          <cell r="BY983">
            <v>0</v>
          </cell>
          <cell r="BZ983">
            <v>0</v>
          </cell>
          <cell r="CA983">
            <v>0</v>
          </cell>
          <cell r="CB983">
            <v>0</v>
          </cell>
          <cell r="CC983">
            <v>0</v>
          </cell>
          <cell r="CD983">
            <v>0</v>
          </cell>
          <cell r="CE983">
            <v>0</v>
          </cell>
          <cell r="CF983">
            <v>0</v>
          </cell>
          <cell r="CG983">
            <v>0</v>
          </cell>
          <cell r="CH983">
            <v>0</v>
          </cell>
          <cell r="CI983">
            <v>0</v>
          </cell>
          <cell r="CJ983">
            <v>0</v>
          </cell>
          <cell r="CK983">
            <v>0</v>
          </cell>
          <cell r="CL983">
            <v>0</v>
          </cell>
          <cell r="CM983">
            <v>0</v>
          </cell>
          <cell r="CN983">
            <v>0</v>
          </cell>
          <cell r="CO983">
            <v>0</v>
          </cell>
        </row>
        <row r="996"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106644.87026941165</v>
          </cell>
          <cell r="AD996">
            <v>137262.93135481642</v>
          </cell>
          <cell r="AE996">
            <v>81318.743531123968</v>
          </cell>
          <cell r="AF996">
            <v>81575.80253330135</v>
          </cell>
          <cell r="AG996">
            <v>127341.87472169747</v>
          </cell>
          <cell r="AH996">
            <v>163146.79841029627</v>
          </cell>
          <cell r="AI996">
            <v>96236.52682717843</v>
          </cell>
          <cell r="AJ996">
            <v>96150.679252584523</v>
          </cell>
          <cell r="AK996">
            <v>149524.00773773523</v>
          </cell>
          <cell r="AL996">
            <v>190881.75414004654</v>
          </cell>
          <cell r="AM996">
            <v>112217.62279726745</v>
          </cell>
          <cell r="AN996">
            <v>111761.02482535713</v>
          </cell>
          <cell r="AO996">
            <v>173276.96439550095</v>
          </cell>
          <cell r="AP996">
            <v>215060.10966445238</v>
          </cell>
          <cell r="AQ996">
            <v>123014.77785559912</v>
          </cell>
          <cell r="AR996">
            <v>119290.18860306533</v>
          </cell>
          <cell r="AS996">
            <v>180208.04297132103</v>
          </cell>
          <cell r="AT996">
            <v>223662.51405103051</v>
          </cell>
          <cell r="AU996">
            <v>127935.368969823</v>
          </cell>
          <cell r="AV996">
            <v>124061.79614718788</v>
          </cell>
          <cell r="AW996">
            <v>156692.37047867</v>
          </cell>
          <cell r="AX996">
            <v>194476.38926666649</v>
          </cell>
          <cell r="AY996">
            <v>111240.8519698265</v>
          </cell>
          <cell r="AZ996">
            <v>107872.74864994828</v>
          </cell>
          <cell r="BA996">
            <v>162960.06529781665</v>
          </cell>
          <cell r="BB996">
            <v>202255.44483733294</v>
          </cell>
          <cell r="BC996">
            <v>115690.4860486195</v>
          </cell>
          <cell r="BD996">
            <v>112187.65859594621</v>
          </cell>
          <cell r="BE996">
            <v>169478.4679097294</v>
          </cell>
          <cell r="BF996">
            <v>210345.66263082623</v>
          </cell>
          <cell r="BG996">
            <v>120318.10549056414</v>
          </cell>
          <cell r="BH996">
            <v>116675.16493978404</v>
          </cell>
          <cell r="BI996">
            <v>176257.60662611853</v>
          </cell>
          <cell r="BJ996">
            <v>218759.4891360593</v>
          </cell>
          <cell r="BK996">
            <v>125130.82971018675</v>
          </cell>
          <cell r="BL996">
            <v>121342.17153737543</v>
          </cell>
          <cell r="BM996">
            <v>183307.91089116316</v>
          </cell>
          <cell r="BN996">
            <v>227509.86870150163</v>
          </cell>
          <cell r="BO996">
            <v>130136.06289859425</v>
          </cell>
          <cell r="BP996">
            <v>126195.85839887033</v>
          </cell>
          <cell r="BQ996">
            <v>190640.22732680972</v>
          </cell>
          <cell r="BR996">
            <v>236610.26344956167</v>
          </cell>
          <cell r="BS996">
            <v>135341.50541453791</v>
          </cell>
          <cell r="BT996">
            <v>131243.69273482525</v>
          </cell>
          <cell r="BU996">
            <v>198265.83641988214</v>
          </cell>
          <cell r="BV996">
            <v>246074.67398754414</v>
          </cell>
          <cell r="BW996">
            <v>140755.16563111939</v>
          </cell>
          <cell r="BX996">
            <v>136493.44044421811</v>
          </cell>
          <cell r="BY996">
            <v>206196.46987667726</v>
          </cell>
          <cell r="BZ996">
            <v>255917.66094704589</v>
          </cell>
          <cell r="CA996">
            <v>146385.37225636432</v>
          </cell>
          <cell r="CB996">
            <v>141953.17806198692</v>
          </cell>
          <cell r="CC996">
            <v>214444.32867174444</v>
          </cell>
          <cell r="CD996">
            <v>266154.36738492781</v>
          </cell>
          <cell r="CE996">
            <v>152240.78714661882</v>
          </cell>
          <cell r="CF996">
            <v>147631.30518446636</v>
          </cell>
          <cell r="CG996">
            <v>223022.10181861417</v>
          </cell>
          <cell r="CH996">
            <v>276800.54208032484</v>
          </cell>
          <cell r="CI996">
            <v>158330.41863248358</v>
          </cell>
          <cell r="CJ996">
            <v>153536.55739184498</v>
          </cell>
          <cell r="CK996">
            <v>231942.98589135858</v>
          </cell>
          <cell r="CL996">
            <v>287872.56376353779</v>
          </cell>
          <cell r="CM996">
            <v>164663.63537778286</v>
          </cell>
          <cell r="CN996">
            <v>159678.01968751865</v>
          </cell>
          <cell r="CO996">
            <v>241220.70532701304</v>
          </cell>
        </row>
        <row r="1004"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61336.842916288151</v>
          </cell>
          <cell r="AD1004">
            <v>78926.445075795869</v>
          </cell>
          <cell r="AE1004">
            <v>46789.430871525081</v>
          </cell>
          <cell r="AF1004">
            <v>46937.840171235905</v>
          </cell>
          <cell r="AG1004">
            <v>73229.403369374573</v>
          </cell>
          <cell r="AH1004">
            <v>93798.684038376494</v>
          </cell>
          <cell r="AI1004">
            <v>55362.113253819174</v>
          </cell>
          <cell r="AJ1004">
            <v>55313.565706936817</v>
          </cell>
          <cell r="AK1004">
            <v>85975.229710041865</v>
          </cell>
          <cell r="AL1004">
            <v>109734.41980584222</v>
          </cell>
          <cell r="AM1004">
            <v>64545.747137302387</v>
          </cell>
          <cell r="AN1004">
            <v>64284.02493006087</v>
          </cell>
          <cell r="AO1004">
            <v>99623.329096110188</v>
          </cell>
          <cell r="AP1004">
            <v>123626.92331120837</v>
          </cell>
          <cell r="AQ1004">
            <v>70751.304194056953</v>
          </cell>
          <cell r="AR1004">
            <v>68612.735196429945</v>
          </cell>
          <cell r="AS1004">
            <v>103608.49731707433</v>
          </cell>
          <cell r="AT1004">
            <v>128572.23761688982</v>
          </cell>
          <cell r="AU1004">
            <v>73581.596073987312</v>
          </cell>
          <cell r="AV1004">
            <v>71357.244604287174</v>
          </cell>
          <cell r="AW1004">
            <v>106421.1974141564</v>
          </cell>
          <cell r="AX1004">
            <v>132062.38232958125</v>
          </cell>
          <cell r="AY1004">
            <v>75579.48685936234</v>
          </cell>
          <cell r="AZ1004">
            <v>73294.784935219097</v>
          </cell>
          <cell r="BA1004">
            <v>110678.04531072261</v>
          </cell>
          <cell r="BB1004">
            <v>137344.87762276444</v>
          </cell>
          <cell r="BC1004">
            <v>78602.666333736794</v>
          </cell>
          <cell r="BD1004">
            <v>76226.314505227783</v>
          </cell>
          <cell r="BE1004">
            <v>115104.90271585959</v>
          </cell>
          <cell r="BF1004">
            <v>142838.40571507055</v>
          </cell>
          <cell r="BG1004">
            <v>81746.503343498043</v>
          </cell>
          <cell r="BH1004">
            <v>79275.63938593294</v>
          </cell>
          <cell r="BI1004">
            <v>119709.37380807754</v>
          </cell>
          <cell r="BJ1004">
            <v>148552.21963678207</v>
          </cell>
          <cell r="BK1004">
            <v>85016.64390656969</v>
          </cell>
          <cell r="BL1004">
            <v>82446.664961370319</v>
          </cell>
          <cell r="BM1004">
            <v>124497.74876040063</v>
          </cell>
          <cell r="BN1004">
            <v>154494.30842225318</v>
          </cell>
          <cell r="BO1004">
            <v>88417.309662832471</v>
          </cell>
          <cell r="BP1004">
            <v>85744.531559825031</v>
          </cell>
          <cell r="BQ1004">
            <v>129477.65871081664</v>
          </cell>
          <cell r="BR1004">
            <v>160674.0807591434</v>
          </cell>
          <cell r="BS1004">
            <v>91954.002049345814</v>
          </cell>
          <cell r="BT1004">
            <v>89174.006521192787</v>
          </cell>
          <cell r="BU1004">
            <v>134656.45574011555</v>
          </cell>
          <cell r="BV1004">
            <v>167100.73162252805</v>
          </cell>
          <cell r="BW1004">
            <v>95631.846686459787</v>
          </cell>
          <cell r="BX1004">
            <v>92741.285335106775</v>
          </cell>
          <cell r="BY1004">
            <v>140043.03566161921</v>
          </cell>
          <cell r="BZ1004">
            <v>173785.08574908931</v>
          </cell>
          <cell r="CA1004">
            <v>99457.448616572365</v>
          </cell>
          <cell r="CB1004">
            <v>96450.936748511042</v>
          </cell>
          <cell r="CC1004">
            <v>145644.75708808395</v>
          </cell>
          <cell r="CD1004">
            <v>180736.48917905311</v>
          </cell>
          <cell r="CE1004">
            <v>103435.74656123522</v>
          </cell>
          <cell r="CF1004">
            <v>100308.97421845148</v>
          </cell>
          <cell r="CG1004">
            <v>151470.54737160733</v>
          </cell>
          <cell r="CH1004">
            <v>187965.94874621509</v>
          </cell>
          <cell r="CI1004">
            <v>107573.17642368464</v>
          </cell>
          <cell r="CJ1004">
            <v>104320.97485831316</v>
          </cell>
          <cell r="CK1004">
            <v>157529.00740683521</v>
          </cell>
          <cell r="CL1004">
            <v>195484.22127087705</v>
          </cell>
          <cell r="CM1004">
            <v>111875.73445476248</v>
          </cell>
          <cell r="CN1004">
            <v>108494.18651467701</v>
          </cell>
          <cell r="CO1004">
            <v>163830.54403713049</v>
          </cell>
        </row>
        <row r="1012"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92005.264374432241</v>
          </cell>
          <cell r="AD1012">
            <v>118389.6676136938</v>
          </cell>
          <cell r="AE1012">
            <v>70184.146307287621</v>
          </cell>
          <cell r="AF1012">
            <v>70406.760256853857</v>
          </cell>
          <cell r="AG1012">
            <v>109844.10505406189</v>
          </cell>
          <cell r="AH1012">
            <v>140698.02605756468</v>
          </cell>
          <cell r="AI1012">
            <v>83043.169880728732</v>
          </cell>
          <cell r="AJ1012">
            <v>82970.348560405197</v>
          </cell>
          <cell r="AK1012">
            <v>128962.84456506284</v>
          </cell>
          <cell r="AL1012">
            <v>164601.62970876327</v>
          </cell>
          <cell r="AM1012">
            <v>96818.620705953566</v>
          </cell>
          <cell r="AN1012">
            <v>96426.03739509132</v>
          </cell>
          <cell r="AO1012">
            <v>149434.99364416534</v>
          </cell>
          <cell r="AP1012">
            <v>185440.38496681256</v>
          </cell>
          <cell r="AQ1012">
            <v>106126.95629108546</v>
          </cell>
          <cell r="AR1012">
            <v>102919.10279464503</v>
          </cell>
          <cell r="AS1012">
            <v>155412.74597561159</v>
          </cell>
          <cell r="AT1012">
            <v>192858.35642533482</v>
          </cell>
          <cell r="AU1012">
            <v>110372.39411098091</v>
          </cell>
          <cell r="AV1012">
            <v>107035.86690643078</v>
          </cell>
          <cell r="AW1012">
            <v>159631.79612123454</v>
          </cell>
          <cell r="AX1012">
            <v>198093.57349437184</v>
          </cell>
          <cell r="AY1012">
            <v>113369.23028904345</v>
          </cell>
          <cell r="AZ1012">
            <v>109942.17740282865</v>
          </cell>
          <cell r="BA1012">
            <v>166017.06796608388</v>
          </cell>
          <cell r="BB1012">
            <v>206017.31643414655</v>
          </cell>
          <cell r="BC1012">
            <v>117903.99950060516</v>
          </cell>
          <cell r="BD1012">
            <v>114339.47175784162</v>
          </cell>
          <cell r="BE1012">
            <v>172657.35407378932</v>
          </cell>
          <cell r="BF1012">
            <v>214257.60857260576</v>
          </cell>
          <cell r="BG1012">
            <v>122619.75501524709</v>
          </cell>
          <cell r="BH1012">
            <v>118913.45907889944</v>
          </cell>
          <cell r="BI1012">
            <v>179564.0607121163</v>
          </cell>
          <cell r="BJ1012">
            <v>222828.32945517311</v>
          </cell>
          <cell r="BK1012">
            <v>127524.96585985448</v>
          </cell>
          <cell r="BL1012">
            <v>123669.99744205546</v>
          </cell>
          <cell r="BM1012">
            <v>186746.62314060086</v>
          </cell>
          <cell r="BN1012">
            <v>231741.46263337985</v>
          </cell>
          <cell r="BO1012">
            <v>132625.96449424868</v>
          </cell>
          <cell r="BP1012">
            <v>128616.79733973753</v>
          </cell>
          <cell r="BQ1012">
            <v>194216.48806622496</v>
          </cell>
          <cell r="BR1012">
            <v>241011.12113871495</v>
          </cell>
          <cell r="BS1012">
            <v>137931.00307401863</v>
          </cell>
          <cell r="BT1012">
            <v>133761.00978178915</v>
          </cell>
          <cell r="BU1012">
            <v>201984.68361017329</v>
          </cell>
          <cell r="BV1012">
            <v>250651.09743379208</v>
          </cell>
          <cell r="BW1012">
            <v>143447.77002968959</v>
          </cell>
          <cell r="BX1012">
            <v>139111.92800266016</v>
          </cell>
          <cell r="BY1012">
            <v>210064.55349242891</v>
          </cell>
          <cell r="BZ1012">
            <v>260677.62862363411</v>
          </cell>
          <cell r="CA1012">
            <v>149186.17292485852</v>
          </cell>
          <cell r="CB1012">
            <v>144676.40512276656</v>
          </cell>
          <cell r="CC1012">
            <v>218467.13563212601</v>
          </cell>
          <cell r="CD1012">
            <v>271104.73376857949</v>
          </cell>
          <cell r="CE1012">
            <v>155153.61984185281</v>
          </cell>
          <cell r="CF1012">
            <v>150463.46132767719</v>
          </cell>
          <cell r="CG1012">
            <v>227205.82105741097</v>
          </cell>
          <cell r="CH1012">
            <v>281948.92311932263</v>
          </cell>
          <cell r="CI1012">
            <v>161359.76463552704</v>
          </cell>
          <cell r="CJ1012">
            <v>156481.46228746977</v>
          </cell>
          <cell r="CK1012">
            <v>236293.51111025276</v>
          </cell>
          <cell r="CL1012">
            <v>293226.33190631587</v>
          </cell>
          <cell r="CM1012">
            <v>167813.60168214387</v>
          </cell>
          <cell r="CN1012">
            <v>162741.27977201558</v>
          </cell>
          <cell r="CO1012">
            <v>245745.8160556957</v>
          </cell>
        </row>
        <row r="1017"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-75976.448811267561</v>
          </cell>
          <cell r="AD1017">
            <v>-21823.260005650925</v>
          </cell>
          <cell r="AE1017">
            <v>39875.680721557059</v>
          </cell>
          <cell r="AF1017">
            <v>-182.85435232197051</v>
          </cell>
          <cell r="AG1017">
            <v>-32620.29058932676</v>
          </cell>
          <cell r="AH1017">
            <v>-25520.283354097919</v>
          </cell>
          <cell r="AI1017">
            <v>47691.986190839205</v>
          </cell>
          <cell r="AJ1017">
            <v>61.573801152728265</v>
          </cell>
          <cell r="AK1017">
            <v>-38042.496483598108</v>
          </cell>
          <cell r="AL1017">
            <v>-29478.151354411239</v>
          </cell>
          <cell r="AM1017">
            <v>56069.795008509216</v>
          </cell>
          <cell r="AN1017">
            <v>325.73686828959035</v>
          </cell>
          <cell r="AO1017">
            <v>-43846.287487119116</v>
          </cell>
          <cell r="AP1017">
            <v>-29781.348161402391</v>
          </cell>
          <cell r="AQ1017">
            <v>65607.522250277572</v>
          </cell>
          <cell r="AR1017">
            <v>2655.304753720382</v>
          </cell>
          <cell r="AS1017">
            <v>-43419.973307933542</v>
          </cell>
          <cell r="AT1017">
            <v>-30972.600929801731</v>
          </cell>
          <cell r="AU1017">
            <v>68231.824309756106</v>
          </cell>
          <cell r="AV1017">
            <v>2761.3970877851243</v>
          </cell>
          <cell r="AW1017">
            <v>-15098.597926547576</v>
          </cell>
          <cell r="AX1017">
            <v>-24963.426330284041</v>
          </cell>
          <cell r="AY1017">
            <v>54994.089561730507</v>
          </cell>
          <cell r="AZ1017">
            <v>2225.7523578066612</v>
          </cell>
          <cell r="BA1017">
            <v>-36395.686460116645</v>
          </cell>
          <cell r="BB1017">
            <v>-25961.963383495458</v>
          </cell>
          <cell r="BC1017">
            <v>57193.853144199704</v>
          </cell>
          <cell r="BD1017">
            <v>2314.6515384187514</v>
          </cell>
          <cell r="BE1017">
            <v>-37851.515208467288</v>
          </cell>
          <cell r="BF1017">
            <v>-27000.443221491354</v>
          </cell>
          <cell r="BG1017">
            <v>59481.605954475934</v>
          </cell>
          <cell r="BH1017">
            <v>2407.5085719975468</v>
          </cell>
          <cell r="BI1017">
            <v>-39365.574475262227</v>
          </cell>
          <cell r="BJ1017">
            <v>-28080.459595588502</v>
          </cell>
          <cell r="BK1017">
            <v>61860.871560766303</v>
          </cell>
          <cell r="BL1017">
            <v>2503.6687002116814</v>
          </cell>
          <cell r="BM1017">
            <v>-40940.197454272653</v>
          </cell>
          <cell r="BN1017">
            <v>-29203.677979412023</v>
          </cell>
          <cell r="BO1017">
            <v>64335.306423196918</v>
          </cell>
          <cell r="BP1017">
            <v>2603.8154482202081</v>
          </cell>
          <cell r="BQ1017">
            <v>-42577.805352443567</v>
          </cell>
          <cell r="BR1017">
            <v>-30371.825098588713</v>
          </cell>
          <cell r="BS1017">
            <v>66908.718680125021</v>
          </cell>
          <cell r="BT1017">
            <v>2707.8149156362051</v>
          </cell>
          <cell r="BU1017">
            <v>-44280.919075595506</v>
          </cell>
          <cell r="BV1017">
            <v>-31586.699626455724</v>
          </cell>
          <cell r="BW1017">
            <v>69585.065888390527</v>
          </cell>
          <cell r="BX1017">
            <v>2816.444511224865</v>
          </cell>
          <cell r="BY1017">
            <v>-46052.154269202845</v>
          </cell>
          <cell r="BZ1017">
            <v>-32850.166026633524</v>
          </cell>
          <cell r="CA1017">
            <v>72368.470124422922</v>
          </cell>
          <cell r="CB1017">
            <v>2928.9382603467675</v>
          </cell>
          <cell r="CC1017">
            <v>-47894.240439970978</v>
          </cell>
          <cell r="CD1017">
            <v>-34164.172667699051</v>
          </cell>
          <cell r="CE1017">
            <v>75263.208929400193</v>
          </cell>
          <cell r="CF1017">
            <v>3046.0957907605916</v>
          </cell>
          <cell r="CG1017">
            <v>-49810.010057569889</v>
          </cell>
          <cell r="CH1017">
            <v>-35530.739574406762</v>
          </cell>
          <cell r="CI1017">
            <v>78273.737286576128</v>
          </cell>
          <cell r="CJ1017">
            <v>3167.7604579527979</v>
          </cell>
          <cell r="CK1017">
            <v>-51802.412225252658</v>
          </cell>
          <cell r="CL1017">
            <v>-36951.970940157946</v>
          </cell>
          <cell r="CM1017">
            <v>81404.6849776975</v>
          </cell>
          <cell r="CN1017">
            <v>3294.8417202213896</v>
          </cell>
          <cell r="CO1017">
            <v>-53874.506878267741</v>
          </cell>
        </row>
        <row r="1036"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>
            <v>0</v>
          </cell>
          <cell r="AM1036">
            <v>0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  <cell r="AS1036">
            <v>0</v>
          </cell>
          <cell r="AT1036">
            <v>0</v>
          </cell>
          <cell r="AU1036">
            <v>0</v>
          </cell>
          <cell r="AV1036">
            <v>0</v>
          </cell>
          <cell r="AW1036">
            <v>0</v>
          </cell>
          <cell r="AX1036">
            <v>-50409.807416445168</v>
          </cell>
          <cell r="AY1036">
            <v>-63265.601114696554</v>
          </cell>
          <cell r="AZ1036">
            <v>-36163.77566965617</v>
          </cell>
          <cell r="BA1036">
            <v>-34304.261441579438</v>
          </cell>
          <cell r="BB1036">
            <v>-52426.199713102957</v>
          </cell>
          <cell r="BC1036">
            <v>-65796.225159284382</v>
          </cell>
          <cell r="BD1036">
            <v>-37610.326696442411</v>
          </cell>
          <cell r="BE1036">
            <v>-36072.995540079151</v>
          </cell>
          <cell r="BF1036">
            <v>-54523.408108717515</v>
          </cell>
          <cell r="BG1036">
            <v>-68428.237933386496</v>
          </cell>
          <cell r="BH1036">
            <v>-39114.905145700861</v>
          </cell>
          <cell r="BI1036">
            <v>-37103.4891752123</v>
          </cell>
          <cell r="BJ1036">
            <v>-56704.177609692153</v>
          </cell>
          <cell r="BK1036">
            <v>-71165.197132281988</v>
          </cell>
          <cell r="BL1036">
            <v>-40679.32935487209</v>
          </cell>
          <cell r="BM1036">
            <v>-38587.628742220797</v>
          </cell>
          <cell r="BN1036">
            <v>-58972.344714079838</v>
          </cell>
          <cell r="BO1036">
            <v>-74011.805017573235</v>
          </cell>
          <cell r="BP1036">
            <v>-42306.502529066973</v>
          </cell>
          <cell r="BQ1036">
            <v>-40131.133891909616</v>
          </cell>
          <cell r="BR1036">
            <v>-61331.238502643013</v>
          </cell>
          <cell r="BS1036">
            <v>-76972.277218276169</v>
          </cell>
          <cell r="BT1036">
            <v>-43998.762630229648</v>
          </cell>
          <cell r="BU1036">
            <v>-42200.302617403388</v>
          </cell>
          <cell r="BV1036">
            <v>-63784.675696356542</v>
          </cell>
          <cell r="BW1036">
            <v>-80051.359892088847</v>
          </cell>
          <cell r="BX1036">
            <v>-45758.906608286175</v>
          </cell>
          <cell r="BY1036">
            <v>-43405.834417489437</v>
          </cell>
          <cell r="BZ1036">
            <v>-66335.867564458691</v>
          </cell>
          <cell r="CA1036">
            <v>-83253.215039287505</v>
          </cell>
          <cell r="CB1036">
            <v>-47589.061660856372</v>
          </cell>
          <cell r="CC1036">
            <v>-45142.067794189032</v>
          </cell>
          <cell r="CD1036">
            <v>-68989.302267037026</v>
          </cell>
          <cell r="CE1036">
            <v>-86583.343640858991</v>
          </cell>
          <cell r="CF1036">
            <v>-49492.624127290648</v>
          </cell>
          <cell r="CG1036">
            <v>-46947.750505956574</v>
          </cell>
          <cell r="CH1036">
            <v>-71748.87435771848</v>
          </cell>
          <cell r="CI1036">
            <v>-90046.677386493335</v>
          </cell>
          <cell r="CJ1036">
            <v>-51472.329092382257</v>
          </cell>
          <cell r="CK1036">
            <v>-49368.385251559739</v>
          </cell>
          <cell r="CL1036">
            <v>-74619.048860206662</v>
          </cell>
          <cell r="CM1036">
            <v>-93648.768609400766</v>
          </cell>
          <cell r="CN1036">
            <v>-53531.448591944121</v>
          </cell>
          <cell r="CO1036">
            <v>-50778.686947242604</v>
          </cell>
        </row>
        <row r="1037"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>
            <v>0</v>
          </cell>
          <cell r="AM1037">
            <v>0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  <cell r="AS1037">
            <v>0</v>
          </cell>
          <cell r="AT1037">
            <v>0</v>
          </cell>
          <cell r="AU1037">
            <v>0</v>
          </cell>
          <cell r="AV1037">
            <v>0</v>
          </cell>
          <cell r="AW1037">
            <v>0</v>
          </cell>
          <cell r="AX1037">
            <v>0</v>
          </cell>
          <cell r="AY1037">
            <v>0</v>
          </cell>
          <cell r="AZ1037">
            <v>0</v>
          </cell>
          <cell r="BA1037">
            <v>0</v>
          </cell>
          <cell r="BB1037">
            <v>0</v>
          </cell>
          <cell r="BC1037">
            <v>0</v>
          </cell>
          <cell r="BD1037">
            <v>0</v>
          </cell>
          <cell r="BE1037">
            <v>0</v>
          </cell>
          <cell r="BF1037">
            <v>0</v>
          </cell>
          <cell r="BG1037">
            <v>0</v>
          </cell>
          <cell r="BH1037">
            <v>0</v>
          </cell>
          <cell r="BI1037">
            <v>0</v>
          </cell>
          <cell r="BJ1037">
            <v>0</v>
          </cell>
          <cell r="BK1037">
            <v>0</v>
          </cell>
          <cell r="BL1037">
            <v>0</v>
          </cell>
          <cell r="BM1037">
            <v>0</v>
          </cell>
          <cell r="BN1037">
            <v>0</v>
          </cell>
          <cell r="BO1037">
            <v>0</v>
          </cell>
          <cell r="BP1037">
            <v>0</v>
          </cell>
          <cell r="BQ1037">
            <v>0</v>
          </cell>
          <cell r="BR1037">
            <v>0</v>
          </cell>
          <cell r="BS1037">
            <v>0</v>
          </cell>
          <cell r="BT1037">
            <v>0</v>
          </cell>
          <cell r="BU1037">
            <v>0</v>
          </cell>
          <cell r="BV1037">
            <v>0</v>
          </cell>
          <cell r="BW1037">
            <v>0</v>
          </cell>
          <cell r="BX1037">
            <v>0</v>
          </cell>
          <cell r="BY1037">
            <v>0</v>
          </cell>
          <cell r="BZ1037">
            <v>0</v>
          </cell>
          <cell r="CA1037">
            <v>0</v>
          </cell>
          <cell r="CB1037">
            <v>0</v>
          </cell>
          <cell r="CC1037">
            <v>0</v>
          </cell>
          <cell r="CD1037">
            <v>0</v>
          </cell>
          <cell r="CE1037">
            <v>0</v>
          </cell>
          <cell r="CF1037">
            <v>0</v>
          </cell>
          <cell r="CG1037">
            <v>0</v>
          </cell>
          <cell r="CH1037">
            <v>0</v>
          </cell>
          <cell r="CI1037">
            <v>0</v>
          </cell>
          <cell r="CJ1037">
            <v>0</v>
          </cell>
          <cell r="CK1037">
            <v>0</v>
          </cell>
          <cell r="CL1037">
            <v>0</v>
          </cell>
          <cell r="CM1037">
            <v>0</v>
          </cell>
          <cell r="CN1037">
            <v>0</v>
          </cell>
          <cell r="CO1037">
            <v>0</v>
          </cell>
        </row>
        <row r="1038"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  <cell r="AS1038">
            <v>0</v>
          </cell>
          <cell r="AT1038">
            <v>0</v>
          </cell>
          <cell r="AU1038">
            <v>0</v>
          </cell>
          <cell r="AV1038">
            <v>0</v>
          </cell>
          <cell r="AW1038">
            <v>50409.807416445168</v>
          </cell>
          <cell r="AX1038">
            <v>63265.601114696561</v>
          </cell>
          <cell r="AY1038">
            <v>36163.775669656177</v>
          </cell>
          <cell r="AZ1038">
            <v>34304.261441579438</v>
          </cell>
          <cell r="BA1038">
            <v>52426.199713102949</v>
          </cell>
          <cell r="BB1038">
            <v>65796.225159284368</v>
          </cell>
          <cell r="BC1038">
            <v>37610.326696442396</v>
          </cell>
          <cell r="BD1038">
            <v>36072.995540079137</v>
          </cell>
          <cell r="BE1038">
            <v>54523.4081087175</v>
          </cell>
          <cell r="BF1038">
            <v>68428.237933386481</v>
          </cell>
          <cell r="BG1038">
            <v>39114.905145700846</v>
          </cell>
          <cell r="BH1038">
            <v>37103.489175212293</v>
          </cell>
          <cell r="BI1038">
            <v>56704.177609692146</v>
          </cell>
          <cell r="BJ1038">
            <v>71165.197132281988</v>
          </cell>
          <cell r="BK1038">
            <v>40679.329354872083</v>
          </cell>
          <cell r="BL1038">
            <v>38587.62874222079</v>
          </cell>
          <cell r="BM1038">
            <v>58972.344714079823</v>
          </cell>
          <cell r="BN1038">
            <v>74011.805017573206</v>
          </cell>
          <cell r="BO1038">
            <v>42306.502529066944</v>
          </cell>
          <cell r="BP1038">
            <v>40131.133891909587</v>
          </cell>
          <cell r="BQ1038">
            <v>61331.238502642984</v>
          </cell>
          <cell r="BR1038">
            <v>76972.27721827614</v>
          </cell>
          <cell r="BS1038">
            <v>43998.762630229612</v>
          </cell>
          <cell r="BT1038">
            <v>42200.302617403351</v>
          </cell>
          <cell r="BU1038">
            <v>63784.675696356513</v>
          </cell>
          <cell r="BV1038">
            <v>80051.359892088833</v>
          </cell>
          <cell r="BW1038">
            <v>45758.906608286154</v>
          </cell>
          <cell r="BX1038">
            <v>43405.834417489408</v>
          </cell>
          <cell r="BY1038">
            <v>66335.867564458662</v>
          </cell>
          <cell r="BZ1038">
            <v>83253.215039287461</v>
          </cell>
          <cell r="CA1038">
            <v>47589.061660856329</v>
          </cell>
          <cell r="CB1038">
            <v>45142.067794188988</v>
          </cell>
          <cell r="CC1038">
            <v>68989.302267036983</v>
          </cell>
          <cell r="CD1038">
            <v>86583.343640858962</v>
          </cell>
          <cell r="CE1038">
            <v>49492.624127290634</v>
          </cell>
          <cell r="CF1038">
            <v>46947.750505956559</v>
          </cell>
          <cell r="CG1038">
            <v>71748.874357718465</v>
          </cell>
          <cell r="CH1038">
            <v>90046.677386493335</v>
          </cell>
          <cell r="CI1038">
            <v>51472.32909238225</v>
          </cell>
          <cell r="CJ1038">
            <v>49368.385251559732</v>
          </cell>
          <cell r="CK1038">
            <v>74619.048860206662</v>
          </cell>
          <cell r="CL1038">
            <v>93648.768609400766</v>
          </cell>
          <cell r="CM1038">
            <v>53531.448591944136</v>
          </cell>
          <cell r="CN1038">
            <v>50778.686947242619</v>
          </cell>
          <cell r="CO1038">
            <v>77603.58250530831</v>
          </cell>
        </row>
        <row r="1051">
          <cell r="L1051">
            <v>3471.68581590454</v>
          </cell>
          <cell r="M1051">
            <v>6992.651821090999</v>
          </cell>
          <cell r="N1051">
            <v>10563.59754229781</v>
          </cell>
          <cell r="O1051">
            <v>14185.232435966696</v>
          </cell>
          <cell r="P1051">
            <v>47376.287876262308</v>
          </cell>
          <cell r="Q1051">
            <v>92152.525136306082</v>
          </cell>
          <cell r="R1051">
            <v>137369.96086580615</v>
          </cell>
          <cell r="S1051">
            <v>183032.94237265084</v>
          </cell>
          <cell r="T1051">
            <v>229145.85980052053</v>
          </cell>
          <cell r="U1051">
            <v>275713.14655096602</v>
          </cell>
          <cell r="V1051">
            <v>322739.27970964607</v>
          </cell>
          <cell r="W1051">
            <v>370228.78047676454</v>
          </cell>
          <cell r="X1051">
            <v>418186.21460174897</v>
          </cell>
          <cell r="Y1051">
            <v>466616.1928222123</v>
          </cell>
          <cell r="Z1051">
            <v>515523.37130723952</v>
          </cell>
          <cell r="AA1051">
            <v>541791.87875226722</v>
          </cell>
          <cell r="AB1051">
            <v>568319.22048058535</v>
          </cell>
          <cell r="AC1051">
            <v>50406.498277749866</v>
          </cell>
          <cell r="AD1051">
            <v>54939.331718238682</v>
          </cell>
          <cell r="AE1051">
            <v>49480.182551314581</v>
          </cell>
          <cell r="AF1051">
            <v>36496.843143137543</v>
          </cell>
          <cell r="AG1051">
            <v>46583.443644600869</v>
          </cell>
          <cell r="AH1051">
            <v>65417.077419750305</v>
          </cell>
          <cell r="AI1051">
            <v>58702.997249653075</v>
          </cell>
          <cell r="AJ1051">
            <v>43092.790318800238</v>
          </cell>
          <cell r="AK1051">
            <v>54766.311279720729</v>
          </cell>
          <cell r="AL1051">
            <v>76645.139846633683</v>
          </cell>
          <cell r="AM1051">
            <v>68584.468831776525</v>
          </cell>
          <cell r="AN1051">
            <v>50432.911881378823</v>
          </cell>
          <cell r="AO1051">
            <v>63804.031261057535</v>
          </cell>
          <cell r="AP1051">
            <v>87420.530095596754</v>
          </cell>
          <cell r="AQ1051">
            <v>76490.881849105383</v>
          </cell>
          <cell r="AR1051">
            <v>54265.690642167043</v>
          </cell>
          <cell r="AS1051">
            <v>66746.541371562344</v>
          </cell>
          <cell r="AT1051">
            <v>90917.639489656198</v>
          </cell>
          <cell r="AU1051">
            <v>79550.809735448958</v>
          </cell>
          <cell r="AV1051">
            <v>56436.465291316817</v>
          </cell>
          <cell r="AW1051">
            <v>-22934.211893440777</v>
          </cell>
          <cell r="AX1051">
            <v>-63265.601114696561</v>
          </cell>
          <cell r="AY1051">
            <v>-36163.775669656177</v>
          </cell>
          <cell r="AZ1051">
            <v>-34304.261441579438</v>
          </cell>
          <cell r="BA1051">
            <v>-52426.199713102949</v>
          </cell>
          <cell r="BB1051">
            <v>-65796.225159284368</v>
          </cell>
          <cell r="BC1051">
            <v>-37610.326696442396</v>
          </cell>
          <cell r="BD1051">
            <v>-36072.995540079137</v>
          </cell>
          <cell r="BE1051">
            <v>-54523.4081087175</v>
          </cell>
          <cell r="BF1051">
            <v>-68428.237933386481</v>
          </cell>
          <cell r="BG1051">
            <v>-39114.905145700846</v>
          </cell>
          <cell r="BH1051">
            <v>-37103.489175212293</v>
          </cell>
          <cell r="BI1051">
            <v>-56704.177609692146</v>
          </cell>
          <cell r="BJ1051">
            <v>-71165.197132281988</v>
          </cell>
          <cell r="BK1051">
            <v>-40679.329354872083</v>
          </cell>
          <cell r="BL1051">
            <v>-38587.62874222079</v>
          </cell>
          <cell r="BM1051">
            <v>-58972.344714079823</v>
          </cell>
          <cell r="BN1051">
            <v>-74011.805017573206</v>
          </cell>
          <cell r="BO1051">
            <v>-42306.502529066944</v>
          </cell>
          <cell r="BP1051">
            <v>-40131.133891909587</v>
          </cell>
          <cell r="BQ1051">
            <v>-61331.238502642984</v>
          </cell>
          <cell r="BR1051">
            <v>-76972.27721827614</v>
          </cell>
          <cell r="BS1051">
            <v>-43998.762630229612</v>
          </cell>
          <cell r="BT1051">
            <v>-42200.302617403351</v>
          </cell>
          <cell r="BU1051">
            <v>-63784.675696356513</v>
          </cell>
          <cell r="BV1051">
            <v>-80051.359892088833</v>
          </cell>
          <cell r="BW1051">
            <v>-45758.906608286154</v>
          </cell>
          <cell r="BX1051">
            <v>-43405.834417489408</v>
          </cell>
          <cell r="BY1051">
            <v>-66335.867564458662</v>
          </cell>
          <cell r="BZ1051">
            <v>-83253.215039287461</v>
          </cell>
          <cell r="CA1051">
            <v>-47589.061660856329</v>
          </cell>
          <cell r="CB1051">
            <v>-45142.067794188988</v>
          </cell>
          <cell r="CC1051">
            <v>-68989.302267036983</v>
          </cell>
          <cell r="CD1051">
            <v>-86583.343640858962</v>
          </cell>
          <cell r="CE1051">
            <v>-49492.624127290634</v>
          </cell>
          <cell r="CF1051">
            <v>-46947.750505956559</v>
          </cell>
          <cell r="CG1051">
            <v>-71748.874357718465</v>
          </cell>
          <cell r="CH1051">
            <v>-90046.677386493335</v>
          </cell>
          <cell r="CI1051">
            <v>-51472.32909238225</v>
          </cell>
          <cell r="CJ1051">
            <v>-49368.385251559732</v>
          </cell>
          <cell r="CK1051">
            <v>-74619.048860206662</v>
          </cell>
          <cell r="CL1051">
            <v>-93648.768609400766</v>
          </cell>
          <cell r="CM1051">
            <v>-53531.448591944136</v>
          </cell>
          <cell r="CN1051">
            <v>-50778.686947242619</v>
          </cell>
          <cell r="CO1051">
            <v>-77603.58250530831</v>
          </cell>
        </row>
        <row r="1052">
          <cell r="L1052">
            <v>0</v>
          </cell>
        </row>
        <row r="1053">
          <cell r="L1053">
            <v>-3471.68581590454</v>
          </cell>
          <cell r="M1053">
            <v>-3520.9660051864589</v>
          </cell>
          <cell r="N1053">
            <v>-3570.945721206811</v>
          </cell>
          <cell r="O1053">
            <v>-3621.6348936688864</v>
          </cell>
          <cell r="P1053">
            <v>-33191.055440295611</v>
          </cell>
          <cell r="Q1053">
            <v>-44776.237260043774</v>
          </cell>
          <cell r="R1053">
            <v>-45217.435729500066</v>
          </cell>
          <cell r="S1053">
            <v>-45662.981506844691</v>
          </cell>
          <cell r="T1053">
            <v>-46112.917427869688</v>
          </cell>
          <cell r="U1053">
            <v>-46567.286750445492</v>
          </cell>
          <cell r="V1053">
            <v>-47026.133158680052</v>
          </cell>
          <cell r="W1053">
            <v>-47489.500767118472</v>
          </cell>
          <cell r="X1053">
            <v>-47957.434124984429</v>
          </cell>
          <cell r="Y1053">
            <v>-48429.978220463323</v>
          </cell>
          <cell r="Z1053">
            <v>-48907.178485027223</v>
          </cell>
          <cell r="AA1053">
            <v>-26268.507445027702</v>
          </cell>
          <cell r="AB1053">
            <v>-26527.341728318133</v>
          </cell>
          <cell r="AC1053">
            <v>517912.72220283549</v>
          </cell>
          <cell r="AD1053">
            <v>-4532.8334404888155</v>
          </cell>
          <cell r="AE1053">
            <v>5459.1491669241004</v>
          </cell>
          <cell r="AF1053">
            <v>12983.339408177038</v>
          </cell>
          <cell r="AG1053">
            <v>-10086.600501463327</v>
          </cell>
          <cell r="AH1053">
            <v>-18833.633775149436</v>
          </cell>
          <cell r="AI1053">
            <v>6714.0801700972297</v>
          </cell>
          <cell r="AJ1053">
            <v>15610.206930852837</v>
          </cell>
          <cell r="AK1053">
            <v>-11673.52096092049</v>
          </cell>
          <cell r="AL1053">
            <v>-21878.828566912955</v>
          </cell>
          <cell r="AM1053">
            <v>8060.6710148571583</v>
          </cell>
          <cell r="AN1053">
            <v>18151.556950397702</v>
          </cell>
          <cell r="AO1053">
            <v>-13371.119379678712</v>
          </cell>
          <cell r="AP1053">
            <v>-23616.498834539219</v>
          </cell>
          <cell r="AQ1053">
            <v>10929.648246491372</v>
          </cell>
          <cell r="AR1053">
            <v>22225.19120693834</v>
          </cell>
          <cell r="AS1053">
            <v>-12480.850729395301</v>
          </cell>
          <cell r="AT1053">
            <v>-24171.098118093854</v>
          </cell>
          <cell r="AU1053">
            <v>11366.82975420724</v>
          </cell>
          <cell r="AV1053">
            <v>23114.344444132141</v>
          </cell>
          <cell r="AW1053">
            <v>79370.677184757602</v>
          </cell>
          <cell r="AX1053">
            <v>40331.389221255784</v>
          </cell>
          <cell r="AY1053">
            <v>-27101.825445040384</v>
          </cell>
          <cell r="AZ1053">
            <v>-1859.5142280767395</v>
          </cell>
          <cell r="BA1053">
            <v>18121.938271523512</v>
          </cell>
          <cell r="BB1053">
            <v>13370.025446181418</v>
          </cell>
          <cell r="BC1053">
            <v>-28185.898462841971</v>
          </cell>
          <cell r="BD1053">
            <v>-1537.3311563632597</v>
          </cell>
          <cell r="BE1053">
            <v>18450.412568638363</v>
          </cell>
          <cell r="BF1053">
            <v>13904.829824668981</v>
          </cell>
          <cell r="BG1053">
            <v>-29313.332787685635</v>
          </cell>
          <cell r="BH1053">
            <v>-2011.4159704885533</v>
          </cell>
          <cell r="BI1053">
            <v>19600.688434479853</v>
          </cell>
          <cell r="BJ1053">
            <v>14461.019522589842</v>
          </cell>
          <cell r="BK1053">
            <v>-30485.867777409905</v>
          </cell>
          <cell r="BL1053">
            <v>-2091.7006126512933</v>
          </cell>
          <cell r="BM1053">
            <v>20384.715971859034</v>
          </cell>
          <cell r="BN1053">
            <v>15039.460303493383</v>
          </cell>
          <cell r="BO1053">
            <v>-31705.302488506262</v>
          </cell>
          <cell r="BP1053">
            <v>-2175.3686371573567</v>
          </cell>
          <cell r="BQ1053">
            <v>21200.104610733397</v>
          </cell>
          <cell r="BR1053">
            <v>15641.038715633156</v>
          </cell>
          <cell r="BS1053">
            <v>-32973.514588046528</v>
          </cell>
          <cell r="BT1053">
            <v>-1798.4600128262609</v>
          </cell>
          <cell r="BU1053">
            <v>21584.373078953162</v>
          </cell>
          <cell r="BV1053">
            <v>16266.684195732319</v>
          </cell>
          <cell r="BW1053">
            <v>-34292.453283802679</v>
          </cell>
          <cell r="BX1053">
            <v>-2353.0721907967454</v>
          </cell>
          <cell r="BY1053">
            <v>22930.033146969254</v>
          </cell>
          <cell r="BZ1053">
            <v>16917.347474828799</v>
          </cell>
          <cell r="CA1053">
            <v>-35664.153378431132</v>
          </cell>
          <cell r="CB1053">
            <v>-2446.9938666673406</v>
          </cell>
          <cell r="CC1053">
            <v>23847.234472847995</v>
          </cell>
          <cell r="CD1053">
            <v>17594.04137382198</v>
          </cell>
          <cell r="CE1053">
            <v>-37090.719513568329</v>
          </cell>
          <cell r="CF1053">
            <v>-2544.8736213340744</v>
          </cell>
          <cell r="CG1053">
            <v>24801.123851761906</v>
          </cell>
          <cell r="CH1053">
            <v>18297.80302877487</v>
          </cell>
          <cell r="CI1053">
            <v>-38574.348294111085</v>
          </cell>
          <cell r="CJ1053">
            <v>-2103.9438408225178</v>
          </cell>
          <cell r="CK1053">
            <v>25250.66360864693</v>
          </cell>
          <cell r="CL1053">
            <v>19029.719749194104</v>
          </cell>
          <cell r="CM1053">
            <v>-40117.32001745663</v>
          </cell>
          <cell r="CN1053">
            <v>-2752.7616447015171</v>
          </cell>
          <cell r="CO1053">
            <v>26824.895558065691</v>
          </cell>
        </row>
        <row r="1073"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-1134.7858084972802</v>
          </cell>
          <cell r="AE1073">
            <v>-422.41294914102838</v>
          </cell>
          <cell r="AF1073">
            <v>-422.50407537050165</v>
          </cell>
          <cell r="AG1073">
            <v>-1030.6624350115719</v>
          </cell>
          <cell r="AH1073">
            <v>-1522.5775908471849</v>
          </cell>
          <cell r="AI1073">
            <v>-664.80732552037136</v>
          </cell>
          <cell r="AJ1073">
            <v>-659.13070875901008</v>
          </cell>
          <cell r="AK1073">
            <v>-1371.2610804298899</v>
          </cell>
          <cell r="AL1073">
            <v>-1942.6222463801166</v>
          </cell>
          <cell r="AM1073">
            <v>-935.63177134845114</v>
          </cell>
          <cell r="AN1073">
            <v>-937.9091790124578</v>
          </cell>
          <cell r="AO1073">
            <v>-3416.1537201033821</v>
          </cell>
          <cell r="AP1073">
            <v>-4664.7960915917211</v>
          </cell>
          <cell r="AQ1073">
            <v>-2309.7613012100537</v>
          </cell>
          <cell r="AR1073">
            <v>-2199.9472770251946</v>
          </cell>
          <cell r="AS1073">
            <v>-3841.3770931882977</v>
          </cell>
          <cell r="AT1073">
            <v>-5062.4028515068221</v>
          </cell>
          <cell r="AU1073">
            <v>-9155.793674910421</v>
          </cell>
          <cell r="AV1073">
            <v>-8729.0226904170449</v>
          </cell>
          <cell r="AW1073">
            <v>-8333.6777228647061</v>
          </cell>
          <cell r="AX1073">
            <v>-11056.003907085722</v>
          </cell>
          <cell r="AY1073">
            <v>-5313.1034616377274</v>
          </cell>
          <cell r="AZ1073">
            <v>-4922.4392465010214</v>
          </cell>
          <cell r="BA1073">
            <v>-8760.647552759312</v>
          </cell>
          <cell r="BB1073">
            <v>-11591.932179985497</v>
          </cell>
          <cell r="BC1073">
            <v>-5619.3157167195814</v>
          </cell>
          <cell r="BD1073">
            <v>-5295.6305266984245</v>
          </cell>
          <cell r="BE1073">
            <v>-10205.094519157597</v>
          </cell>
          <cell r="BF1073">
            <v>-13149.701570248315</v>
          </cell>
          <cell r="BG1073">
            <v>-6938.1810132362752</v>
          </cell>
          <cell r="BH1073">
            <v>-6514.9029442733427</v>
          </cell>
          <cell r="BI1073">
            <v>-10666.442455420409</v>
          </cell>
          <cell r="BJ1073">
            <v>-13728.893315326364</v>
          </cell>
          <cell r="BK1073">
            <v>-7268.9113486579581</v>
          </cell>
          <cell r="BL1073">
            <v>-6829.0589589256933</v>
          </cell>
          <cell r="BM1073">
            <v>-11146.725446154973</v>
          </cell>
          <cell r="BN1073">
            <v>-14331.739736093486</v>
          </cell>
          <cell r="BO1073">
            <v>-16858.150943822038</v>
          </cell>
          <cell r="BP1073">
            <v>-15844.944117077714</v>
          </cell>
          <cell r="BQ1073">
            <v>-25788.058032291869</v>
          </cell>
          <cell r="BR1073">
            <v>-33122.835744602162</v>
          </cell>
          <cell r="BS1073">
            <v>-17651.363505344649</v>
          </cell>
          <cell r="BT1073">
            <v>-16812.121239497832</v>
          </cell>
          <cell r="BU1073">
            <v>-26939.367587658569</v>
          </cell>
          <cell r="BV1073">
            <v>-34567.694151002986</v>
          </cell>
          <cell r="BW1073">
            <v>-18477.364485193582</v>
          </cell>
          <cell r="BX1073">
            <v>-17379.829262658448</v>
          </cell>
          <cell r="BY1073">
            <v>-28134.596674785626</v>
          </cell>
          <cell r="BZ1073">
            <v>-36068.18764985197</v>
          </cell>
          <cell r="CA1073">
            <v>-19334.243275871027</v>
          </cell>
          <cell r="CB1073">
            <v>-18193.619347687927</v>
          </cell>
          <cell r="CC1073">
            <v>-29378.722260923474</v>
          </cell>
          <cell r="CD1073">
            <v>-37629.801679615775</v>
          </cell>
          <cell r="CE1073">
            <v>-20226.499530675614</v>
          </cell>
          <cell r="CF1073">
            <v>-19039.96103611857</v>
          </cell>
          <cell r="CG1073">
            <v>-30672.612870506859</v>
          </cell>
          <cell r="CH1073">
            <v>-39253.880270570124</v>
          </cell>
          <cell r="CI1073">
            <v>-21154.446035672387</v>
          </cell>
          <cell r="CJ1073">
            <v>-20171.883492570538</v>
          </cell>
          <cell r="CK1073">
            <v>-32019.329322195124</v>
          </cell>
          <cell r="CL1073">
            <v>-40944.005678343347</v>
          </cell>
          <cell r="CM1073">
            <v>-22120.59578557434</v>
          </cell>
          <cell r="CN1073">
            <v>-20835.559562293038</v>
          </cell>
          <cell r="CO1073">
            <v>-33417.731187798912</v>
          </cell>
        </row>
        <row r="1094"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>
            <v>0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</v>
          </cell>
          <cell r="AS1094">
            <v>0</v>
          </cell>
          <cell r="AT1094">
            <v>0</v>
          </cell>
          <cell r="AU1094">
            <v>0</v>
          </cell>
          <cell r="AV1094">
            <v>0</v>
          </cell>
          <cell r="AW1094">
            <v>0</v>
          </cell>
          <cell r="AX1094">
            <v>0</v>
          </cell>
          <cell r="AY1094">
            <v>0</v>
          </cell>
          <cell r="AZ1094">
            <v>0</v>
          </cell>
          <cell r="BA1094">
            <v>0</v>
          </cell>
          <cell r="BB1094">
            <v>0</v>
          </cell>
          <cell r="BC1094">
            <v>0</v>
          </cell>
          <cell r="BD1094">
            <v>0</v>
          </cell>
          <cell r="BE1094">
            <v>0</v>
          </cell>
          <cell r="BF1094">
            <v>0</v>
          </cell>
          <cell r="BG1094">
            <v>0</v>
          </cell>
          <cell r="BH1094">
            <v>0</v>
          </cell>
          <cell r="BI1094">
            <v>0</v>
          </cell>
          <cell r="BJ1094">
            <v>0</v>
          </cell>
          <cell r="BK1094">
            <v>0</v>
          </cell>
          <cell r="BL1094">
            <v>0</v>
          </cell>
          <cell r="BM1094">
            <v>0</v>
          </cell>
          <cell r="BN1094">
            <v>0</v>
          </cell>
          <cell r="BO1094">
            <v>0</v>
          </cell>
          <cell r="BP1094">
            <v>0</v>
          </cell>
          <cell r="BQ1094">
            <v>0</v>
          </cell>
          <cell r="BR1094">
            <v>0</v>
          </cell>
          <cell r="BS1094">
            <v>0</v>
          </cell>
          <cell r="BT1094">
            <v>0</v>
          </cell>
          <cell r="BU1094">
            <v>0</v>
          </cell>
          <cell r="BV1094">
            <v>0</v>
          </cell>
          <cell r="BW1094">
            <v>0</v>
          </cell>
          <cell r="BX1094">
            <v>0</v>
          </cell>
          <cell r="BY1094">
            <v>0</v>
          </cell>
          <cell r="BZ1094">
            <v>0</v>
          </cell>
          <cell r="CA1094">
            <v>0</v>
          </cell>
          <cell r="CB1094">
            <v>0</v>
          </cell>
          <cell r="CC1094">
            <v>0</v>
          </cell>
          <cell r="CD1094">
            <v>0</v>
          </cell>
          <cell r="CE1094">
            <v>0</v>
          </cell>
          <cell r="CF1094">
            <v>0</v>
          </cell>
          <cell r="CG1094">
            <v>0</v>
          </cell>
          <cell r="CH1094">
            <v>0</v>
          </cell>
          <cell r="CI1094">
            <v>0</v>
          </cell>
          <cell r="CJ1094">
            <v>0</v>
          </cell>
          <cell r="CK1094">
            <v>0</v>
          </cell>
          <cell r="CL1094">
            <v>0</v>
          </cell>
          <cell r="CM1094">
            <v>0</v>
          </cell>
          <cell r="CN1094">
            <v>0</v>
          </cell>
          <cell r="CO1094">
            <v>0</v>
          </cell>
        </row>
        <row r="1100"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>
            <v>0</v>
          </cell>
          <cell r="AM1100">
            <v>0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  <cell r="AR1100">
            <v>0</v>
          </cell>
          <cell r="AS1100">
            <v>0</v>
          </cell>
          <cell r="AT1100">
            <v>0</v>
          </cell>
          <cell r="AU1100">
            <v>0</v>
          </cell>
          <cell r="AV1100">
            <v>0</v>
          </cell>
          <cell r="AW1100">
            <v>0</v>
          </cell>
          <cell r="AX1100">
            <v>0</v>
          </cell>
          <cell r="AY1100">
            <v>0</v>
          </cell>
          <cell r="AZ1100">
            <v>0</v>
          </cell>
          <cell r="BA1100">
            <v>0</v>
          </cell>
          <cell r="BB1100">
            <v>0</v>
          </cell>
          <cell r="BC1100">
            <v>0</v>
          </cell>
          <cell r="BD1100">
            <v>0</v>
          </cell>
          <cell r="BE1100">
            <v>0</v>
          </cell>
          <cell r="BF1100">
            <v>0</v>
          </cell>
          <cell r="BG1100">
            <v>0</v>
          </cell>
          <cell r="BH1100">
            <v>0</v>
          </cell>
          <cell r="BI1100">
            <v>0</v>
          </cell>
          <cell r="BJ1100">
            <v>0</v>
          </cell>
          <cell r="BK1100">
            <v>0</v>
          </cell>
          <cell r="BL1100">
            <v>0</v>
          </cell>
          <cell r="BM1100">
            <v>0</v>
          </cell>
          <cell r="BN1100">
            <v>0</v>
          </cell>
          <cell r="BO1100">
            <v>0</v>
          </cell>
          <cell r="BP1100">
            <v>0</v>
          </cell>
          <cell r="BQ1100">
            <v>0</v>
          </cell>
          <cell r="BR1100">
            <v>0</v>
          </cell>
          <cell r="BS1100">
            <v>0</v>
          </cell>
          <cell r="BT1100">
            <v>0</v>
          </cell>
          <cell r="BU1100">
            <v>0</v>
          </cell>
          <cell r="BV1100">
            <v>0</v>
          </cell>
          <cell r="BW1100">
            <v>0</v>
          </cell>
          <cell r="BX1100">
            <v>0</v>
          </cell>
          <cell r="BY1100">
            <v>0</v>
          </cell>
          <cell r="BZ1100">
            <v>0</v>
          </cell>
          <cell r="CA1100">
            <v>0</v>
          </cell>
          <cell r="CB1100">
            <v>0</v>
          </cell>
          <cell r="CC1100">
            <v>0</v>
          </cell>
          <cell r="CD1100">
            <v>0</v>
          </cell>
          <cell r="CE1100">
            <v>0</v>
          </cell>
          <cell r="CF1100">
            <v>0</v>
          </cell>
          <cell r="CG1100">
            <v>0</v>
          </cell>
          <cell r="CH1100">
            <v>0</v>
          </cell>
          <cell r="CI1100">
            <v>0</v>
          </cell>
          <cell r="CJ1100">
            <v>0</v>
          </cell>
          <cell r="CK1100">
            <v>0</v>
          </cell>
          <cell r="CL1100">
            <v>0</v>
          </cell>
          <cell r="CM1100">
            <v>0</v>
          </cell>
          <cell r="CN1100">
            <v>0</v>
          </cell>
          <cell r="CO1100">
            <v>0</v>
          </cell>
        </row>
        <row r="1124">
          <cell r="E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5.8207660913467407E-11</v>
          </cell>
          <cell r="V1124">
            <v>5.8207660913467407E-11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>
            <v>0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</v>
          </cell>
          <cell r="AS1124">
            <v>0</v>
          </cell>
          <cell r="AT1124">
            <v>0</v>
          </cell>
          <cell r="AU1124">
            <v>0</v>
          </cell>
          <cell r="AV1124">
            <v>0</v>
          </cell>
          <cell r="AW1124">
            <v>0</v>
          </cell>
          <cell r="AX1124">
            <v>0</v>
          </cell>
          <cell r="AY1124">
            <v>0</v>
          </cell>
          <cell r="AZ1124">
            <v>0</v>
          </cell>
          <cell r="BA1124">
            <v>0</v>
          </cell>
          <cell r="BB1124">
            <v>0</v>
          </cell>
          <cell r="BC1124">
            <v>0</v>
          </cell>
          <cell r="BD1124">
            <v>0</v>
          </cell>
          <cell r="BE1124">
            <v>0</v>
          </cell>
          <cell r="BF1124">
            <v>0</v>
          </cell>
          <cell r="BG1124">
            <v>0</v>
          </cell>
          <cell r="BH1124">
            <v>0</v>
          </cell>
          <cell r="BI1124">
            <v>0</v>
          </cell>
          <cell r="BJ1124">
            <v>0</v>
          </cell>
          <cell r="BK1124">
            <v>0</v>
          </cell>
          <cell r="BL1124">
            <v>0</v>
          </cell>
          <cell r="BM1124">
            <v>0</v>
          </cell>
          <cell r="BN1124">
            <v>0</v>
          </cell>
          <cell r="BO1124">
            <v>0</v>
          </cell>
          <cell r="BP1124">
            <v>0</v>
          </cell>
          <cell r="BQ1124">
            <v>0</v>
          </cell>
          <cell r="BR1124">
            <v>0</v>
          </cell>
          <cell r="BS1124">
            <v>0</v>
          </cell>
          <cell r="BT1124">
            <v>0</v>
          </cell>
          <cell r="BU1124">
            <v>0</v>
          </cell>
          <cell r="BV1124">
            <v>0</v>
          </cell>
          <cell r="BW1124">
            <v>0</v>
          </cell>
          <cell r="BX1124">
            <v>0</v>
          </cell>
          <cell r="BY1124">
            <v>0</v>
          </cell>
          <cell r="BZ1124">
            <v>0</v>
          </cell>
          <cell r="CA1124">
            <v>0</v>
          </cell>
          <cell r="CB1124">
            <v>0</v>
          </cell>
          <cell r="CC1124">
            <v>0</v>
          </cell>
          <cell r="CD1124">
            <v>0</v>
          </cell>
          <cell r="CE1124">
            <v>0</v>
          </cell>
          <cell r="CF1124">
            <v>0</v>
          </cell>
          <cell r="CG1124">
            <v>0</v>
          </cell>
          <cell r="CH1124">
            <v>0</v>
          </cell>
          <cell r="CI1124">
            <v>0</v>
          </cell>
          <cell r="CJ1124">
            <v>0</v>
          </cell>
          <cell r="CK1124">
            <v>0</v>
          </cell>
          <cell r="CL1124">
            <v>0</v>
          </cell>
          <cell r="CM1124">
            <v>0</v>
          </cell>
          <cell r="CN1124">
            <v>0</v>
          </cell>
          <cell r="CO1124">
            <v>0</v>
          </cell>
        </row>
        <row r="1201"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142236.70061813446</v>
          </cell>
          <cell r="T1201">
            <v>416214.58965920261</v>
          </cell>
          <cell r="U1201">
            <v>692892.09422642062</v>
          </cell>
          <cell r="V1201">
            <v>972295.81472909369</v>
          </cell>
          <cell r="W1201">
            <v>1254452.6136811741</v>
          </cell>
          <cell r="X1201">
            <v>1539389.6182838848</v>
          </cell>
          <cell r="Y1201">
            <v>1827134.2230337916</v>
          </cell>
          <cell r="Z1201">
            <v>2117714.0923565715</v>
          </cell>
          <cell r="AA1201">
            <v>2411157.1632667347</v>
          </cell>
          <cell r="AB1201">
            <v>2568768.2079369011</v>
          </cell>
          <cell r="AC1201">
            <v>2727932.2583068102</v>
          </cell>
          <cell r="AD1201">
            <v>2284640.8988888375</v>
          </cell>
          <cell r="AE1201">
            <v>2158014.6477784696</v>
          </cell>
          <cell r="AF1201">
            <v>2064325.2072631605</v>
          </cell>
          <cell r="AG1201">
            <v>1997417.1351071005</v>
          </cell>
          <cell r="AH1201">
            <v>1926490.159147413</v>
          </cell>
          <cell r="AI1201">
            <v>1816237.9572750924</v>
          </cell>
          <cell r="AJ1201">
            <v>1694194.7622865967</v>
          </cell>
          <cell r="AK1201">
            <v>1604528.0448478418</v>
          </cell>
          <cell r="AL1201">
            <v>1510436.5524426044</v>
          </cell>
          <cell r="AM1201">
            <v>1370396.5203151663</v>
          </cell>
          <cell r="AN1201">
            <v>1216867.159796515</v>
          </cell>
          <cell r="AO1201">
            <v>1100797.7626716059</v>
          </cell>
          <cell r="AP1201">
            <v>982102.1067559087</v>
          </cell>
          <cell r="AQ1201">
            <v>812311.88717470237</v>
          </cell>
          <cell r="AR1201">
            <v>630011.62150091049</v>
          </cell>
          <cell r="AS1201">
            <v>494790.86546696833</v>
          </cell>
          <cell r="AT1201">
            <v>359566.95002781413</v>
          </cell>
          <cell r="AU1201">
            <v>173550.80903498473</v>
          </cell>
          <cell r="AV1201">
            <v>0</v>
          </cell>
          <cell r="AW1201">
            <v>0</v>
          </cell>
          <cell r="AX1201">
            <v>0</v>
          </cell>
          <cell r="AY1201">
            <v>0</v>
          </cell>
          <cell r="AZ1201">
            <v>0</v>
          </cell>
          <cell r="BA1201">
            <v>0</v>
          </cell>
          <cell r="BB1201">
            <v>0</v>
          </cell>
          <cell r="BC1201">
            <v>0</v>
          </cell>
          <cell r="BD1201">
            <v>0</v>
          </cell>
          <cell r="BE1201">
            <v>0</v>
          </cell>
          <cell r="BF1201">
            <v>0</v>
          </cell>
          <cell r="BG1201">
            <v>0</v>
          </cell>
          <cell r="BH1201">
            <v>0</v>
          </cell>
          <cell r="BI1201">
            <v>0</v>
          </cell>
          <cell r="BJ1201">
            <v>0</v>
          </cell>
          <cell r="BK1201">
            <v>0</v>
          </cell>
          <cell r="BL1201">
            <v>0</v>
          </cell>
          <cell r="BM1201">
            <v>0</v>
          </cell>
          <cell r="BN1201">
            <v>0</v>
          </cell>
          <cell r="BO1201">
            <v>0</v>
          </cell>
          <cell r="BP1201">
            <v>0</v>
          </cell>
          <cell r="BQ1201">
            <v>0</v>
          </cell>
          <cell r="BR1201">
            <v>0</v>
          </cell>
          <cell r="BS1201">
            <v>0</v>
          </cell>
          <cell r="BT1201">
            <v>0</v>
          </cell>
          <cell r="BU1201">
            <v>0</v>
          </cell>
          <cell r="BV1201">
            <v>0</v>
          </cell>
          <cell r="BW1201">
            <v>0</v>
          </cell>
          <cell r="BX1201">
            <v>0</v>
          </cell>
          <cell r="BY1201">
            <v>0</v>
          </cell>
          <cell r="BZ1201">
            <v>0</v>
          </cell>
          <cell r="CA1201">
            <v>0</v>
          </cell>
          <cell r="CB1201">
            <v>0</v>
          </cell>
          <cell r="CC1201">
            <v>0</v>
          </cell>
          <cell r="CD1201">
            <v>0</v>
          </cell>
          <cell r="CE1201">
            <v>0</v>
          </cell>
          <cell r="CF1201">
            <v>0</v>
          </cell>
          <cell r="CG1201">
            <v>0</v>
          </cell>
          <cell r="CH1201">
            <v>0</v>
          </cell>
          <cell r="CI1201">
            <v>0</v>
          </cell>
          <cell r="CJ1201">
            <v>0</v>
          </cell>
          <cell r="CK1201">
            <v>0</v>
          </cell>
          <cell r="CL1201">
            <v>0</v>
          </cell>
          <cell r="CM1201">
            <v>0</v>
          </cell>
          <cell r="CN1201">
            <v>0</v>
          </cell>
          <cell r="CO1201">
            <v>0</v>
          </cell>
        </row>
        <row r="1202"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142236.70061813446</v>
          </cell>
          <cell r="S1202">
            <v>273977.88904106815</v>
          </cell>
          <cell r="T1202">
            <v>276677.50456721801</v>
          </cell>
          <cell r="U1202">
            <v>279403.72050267307</v>
          </cell>
          <cell r="V1202">
            <v>282156.79895208037</v>
          </cell>
          <cell r="W1202">
            <v>284937.00460271077</v>
          </cell>
          <cell r="X1202">
            <v>287744.60474990675</v>
          </cell>
          <cell r="Y1202">
            <v>290579.86932277988</v>
          </cell>
          <cell r="Z1202">
            <v>293443.0709101634</v>
          </cell>
          <cell r="AA1202">
            <v>157611.04467016627</v>
          </cell>
          <cell r="AB1202">
            <v>159164.05036990903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  <cell r="AS1202">
            <v>0</v>
          </cell>
          <cell r="AT1202">
            <v>0</v>
          </cell>
          <cell r="AU1202">
            <v>0</v>
          </cell>
          <cell r="AV1202">
            <v>0</v>
          </cell>
          <cell r="AW1202">
            <v>0</v>
          </cell>
          <cell r="AX1202">
            <v>0</v>
          </cell>
          <cell r="AY1202">
            <v>0</v>
          </cell>
          <cell r="AZ1202">
            <v>0</v>
          </cell>
          <cell r="BA1202">
            <v>0</v>
          </cell>
          <cell r="BB1202">
            <v>0</v>
          </cell>
          <cell r="BC1202">
            <v>0</v>
          </cell>
          <cell r="BD1202">
            <v>0</v>
          </cell>
          <cell r="BE1202">
            <v>0</v>
          </cell>
          <cell r="BF1202">
            <v>0</v>
          </cell>
          <cell r="BG1202">
            <v>0</v>
          </cell>
          <cell r="BH1202">
            <v>0</v>
          </cell>
          <cell r="BI1202">
            <v>0</v>
          </cell>
          <cell r="BJ1202">
            <v>0</v>
          </cell>
          <cell r="BK1202">
            <v>0</v>
          </cell>
          <cell r="BL1202">
            <v>0</v>
          </cell>
          <cell r="BM1202">
            <v>0</v>
          </cell>
          <cell r="BN1202">
            <v>0</v>
          </cell>
          <cell r="BO1202">
            <v>0</v>
          </cell>
          <cell r="BP1202">
            <v>0</v>
          </cell>
          <cell r="BQ1202">
            <v>0</v>
          </cell>
          <cell r="BR1202">
            <v>0</v>
          </cell>
          <cell r="BS1202">
            <v>0</v>
          </cell>
          <cell r="BT1202">
            <v>0</v>
          </cell>
          <cell r="BU1202">
            <v>0</v>
          </cell>
          <cell r="BV1202">
            <v>0</v>
          </cell>
          <cell r="BW1202">
            <v>0</v>
          </cell>
          <cell r="BX1202">
            <v>0</v>
          </cell>
          <cell r="BY1202">
            <v>0</v>
          </cell>
          <cell r="BZ1202">
            <v>0</v>
          </cell>
          <cell r="CA1202">
            <v>0</v>
          </cell>
          <cell r="CB1202">
            <v>0</v>
          </cell>
          <cell r="CC1202">
            <v>0</v>
          </cell>
          <cell r="CD1202">
            <v>0</v>
          </cell>
          <cell r="CE1202">
            <v>0</v>
          </cell>
          <cell r="CF1202">
            <v>0</v>
          </cell>
          <cell r="CG1202">
            <v>0</v>
          </cell>
          <cell r="CH1202">
            <v>0</v>
          </cell>
          <cell r="CI1202">
            <v>0</v>
          </cell>
          <cell r="CJ1202">
            <v>0</v>
          </cell>
          <cell r="CK1202">
            <v>0</v>
          </cell>
          <cell r="CL1202">
            <v>0</v>
          </cell>
          <cell r="CM1202">
            <v>0</v>
          </cell>
          <cell r="CN1202">
            <v>0</v>
          </cell>
          <cell r="CO1202">
            <v>0</v>
          </cell>
        </row>
        <row r="1203"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-443291.35941797256</v>
          </cell>
          <cell r="AD1203">
            <v>-126626.251110368</v>
          </cell>
          <cell r="AE1203">
            <v>-93689.440515309048</v>
          </cell>
          <cell r="AF1203">
            <v>-66908.072156060123</v>
          </cell>
          <cell r="AG1203">
            <v>-70926.975959687552</v>
          </cell>
          <cell r="AH1203">
            <v>-110252.20187232064</v>
          </cell>
          <cell r="AI1203">
            <v>-122043.19498849577</v>
          </cell>
          <cell r="AJ1203">
            <v>-89666.7174387548</v>
          </cell>
          <cell r="AK1203">
            <v>-94091.492405237499</v>
          </cell>
          <cell r="AL1203">
            <v>-140040.03212743805</v>
          </cell>
          <cell r="AM1203">
            <v>-153529.3605186512</v>
          </cell>
          <cell r="AN1203">
            <v>-116069.3971249092</v>
          </cell>
          <cell r="AO1203">
            <v>-118695.65591569725</v>
          </cell>
          <cell r="AP1203">
            <v>-169790.2195812063</v>
          </cell>
          <cell r="AQ1203">
            <v>-182300.26567379184</v>
          </cell>
          <cell r="AR1203">
            <v>-135220.75603394216</v>
          </cell>
          <cell r="AS1203">
            <v>-135223.9154391542</v>
          </cell>
          <cell r="AT1203">
            <v>-186016.1409928294</v>
          </cell>
          <cell r="AU1203">
            <v>-173550.80903498473</v>
          </cell>
          <cell r="AV1203">
            <v>0</v>
          </cell>
          <cell r="AW1203">
            <v>0</v>
          </cell>
          <cell r="AX1203">
            <v>0</v>
          </cell>
          <cell r="AY1203">
            <v>0</v>
          </cell>
          <cell r="AZ1203">
            <v>0</v>
          </cell>
          <cell r="BA1203">
            <v>0</v>
          </cell>
          <cell r="BB1203">
            <v>0</v>
          </cell>
          <cell r="BC1203">
            <v>0</v>
          </cell>
          <cell r="BD1203">
            <v>0</v>
          </cell>
          <cell r="BE1203">
            <v>0</v>
          </cell>
          <cell r="BF1203">
            <v>0</v>
          </cell>
          <cell r="BG1203">
            <v>0</v>
          </cell>
          <cell r="BH1203">
            <v>0</v>
          </cell>
          <cell r="BI1203">
            <v>0</v>
          </cell>
          <cell r="BJ1203">
            <v>0</v>
          </cell>
          <cell r="BK1203">
            <v>0</v>
          </cell>
          <cell r="BL1203">
            <v>0</v>
          </cell>
          <cell r="BM1203">
            <v>0</v>
          </cell>
          <cell r="BN1203">
            <v>0</v>
          </cell>
          <cell r="BO1203">
            <v>0</v>
          </cell>
          <cell r="BP1203">
            <v>0</v>
          </cell>
          <cell r="BQ1203">
            <v>0</v>
          </cell>
          <cell r="BR1203">
            <v>0</v>
          </cell>
          <cell r="BS1203">
            <v>0</v>
          </cell>
          <cell r="BT1203">
            <v>0</v>
          </cell>
          <cell r="BU1203">
            <v>0</v>
          </cell>
          <cell r="BV1203">
            <v>0</v>
          </cell>
          <cell r="BW1203">
            <v>0</v>
          </cell>
          <cell r="BX1203">
            <v>0</v>
          </cell>
          <cell r="BY1203">
            <v>0</v>
          </cell>
          <cell r="BZ1203">
            <v>0</v>
          </cell>
          <cell r="CA1203">
            <v>0</v>
          </cell>
          <cell r="CB1203">
            <v>0</v>
          </cell>
          <cell r="CC1203">
            <v>0</v>
          </cell>
          <cell r="CD1203">
            <v>0</v>
          </cell>
          <cell r="CE1203">
            <v>0</v>
          </cell>
          <cell r="CF1203">
            <v>0</v>
          </cell>
          <cell r="CG1203">
            <v>0</v>
          </cell>
          <cell r="CH1203">
            <v>0</v>
          </cell>
          <cell r="CI1203">
            <v>0</v>
          </cell>
          <cell r="CJ1203">
            <v>0</v>
          </cell>
          <cell r="CK1203">
            <v>0</v>
          </cell>
          <cell r="CL1203">
            <v>0</v>
          </cell>
          <cell r="CM1203">
            <v>0</v>
          </cell>
          <cell r="CN1203">
            <v>0</v>
          </cell>
          <cell r="CO1203">
            <v>0</v>
          </cell>
        </row>
        <row r="1204"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142236.70061813446</v>
          </cell>
          <cell r="S1204">
            <v>416214.58965920261</v>
          </cell>
          <cell r="T1204">
            <v>692892.09422642062</v>
          </cell>
          <cell r="U1204">
            <v>972295.81472909369</v>
          </cell>
          <cell r="V1204">
            <v>1254452.6136811741</v>
          </cell>
          <cell r="W1204">
            <v>1539389.6182838848</v>
          </cell>
          <cell r="X1204">
            <v>1827134.2230337916</v>
          </cell>
          <cell r="Y1204">
            <v>2117714.0923565715</v>
          </cell>
          <cell r="Z1204">
            <v>2411157.1632667347</v>
          </cell>
          <cell r="AA1204">
            <v>2568768.2079369011</v>
          </cell>
          <cell r="AB1204">
            <v>2727932.2583068102</v>
          </cell>
          <cell r="AC1204">
            <v>2284640.8988888375</v>
          </cell>
          <cell r="AD1204">
            <v>2158014.6477784696</v>
          </cell>
          <cell r="AE1204">
            <v>2064325.2072631605</v>
          </cell>
          <cell r="AF1204">
            <v>1997417.1351071005</v>
          </cell>
          <cell r="AG1204">
            <v>1926490.159147413</v>
          </cell>
          <cell r="AH1204">
            <v>1816237.9572750924</v>
          </cell>
          <cell r="AI1204">
            <v>1694194.7622865967</v>
          </cell>
          <cell r="AJ1204">
            <v>1604528.0448478418</v>
          </cell>
          <cell r="AK1204">
            <v>1510436.5524426044</v>
          </cell>
          <cell r="AL1204">
            <v>1370396.5203151663</v>
          </cell>
          <cell r="AM1204">
            <v>1216867.159796515</v>
          </cell>
          <cell r="AN1204">
            <v>1100797.7626716059</v>
          </cell>
          <cell r="AO1204">
            <v>982102.1067559087</v>
          </cell>
          <cell r="AP1204">
            <v>812311.88717470237</v>
          </cell>
          <cell r="AQ1204">
            <v>630011.62150091049</v>
          </cell>
          <cell r="AR1204">
            <v>494790.86546696833</v>
          </cell>
          <cell r="AS1204">
            <v>359566.95002781413</v>
          </cell>
          <cell r="AT1204">
            <v>173550.80903498473</v>
          </cell>
          <cell r="AU1204">
            <v>0</v>
          </cell>
          <cell r="AV1204">
            <v>0</v>
          </cell>
          <cell r="AW1204">
            <v>0</v>
          </cell>
          <cell r="AX1204">
            <v>0</v>
          </cell>
          <cell r="AY1204">
            <v>0</v>
          </cell>
          <cell r="AZ1204">
            <v>0</v>
          </cell>
          <cell r="BA1204">
            <v>0</v>
          </cell>
          <cell r="BB1204">
            <v>0</v>
          </cell>
          <cell r="BC1204">
            <v>0</v>
          </cell>
          <cell r="BD1204">
            <v>0</v>
          </cell>
          <cell r="BE1204">
            <v>0</v>
          </cell>
          <cell r="BF1204">
            <v>0</v>
          </cell>
          <cell r="BG1204">
            <v>0</v>
          </cell>
          <cell r="BH1204">
            <v>0</v>
          </cell>
          <cell r="BI1204">
            <v>0</v>
          </cell>
          <cell r="BJ1204">
            <v>0</v>
          </cell>
          <cell r="BK1204">
            <v>0</v>
          </cell>
          <cell r="BL1204">
            <v>0</v>
          </cell>
          <cell r="BM1204">
            <v>0</v>
          </cell>
          <cell r="BN1204">
            <v>0</v>
          </cell>
          <cell r="BO1204">
            <v>0</v>
          </cell>
          <cell r="BP1204">
            <v>0</v>
          </cell>
          <cell r="BQ1204">
            <v>0</v>
          </cell>
          <cell r="BR1204">
            <v>0</v>
          </cell>
          <cell r="BS1204">
            <v>0</v>
          </cell>
          <cell r="BT1204">
            <v>0</v>
          </cell>
          <cell r="BU1204">
            <v>0</v>
          </cell>
          <cell r="BV1204">
            <v>0</v>
          </cell>
          <cell r="BW1204">
            <v>0</v>
          </cell>
          <cell r="BX1204">
            <v>0</v>
          </cell>
          <cell r="BY1204">
            <v>0</v>
          </cell>
          <cell r="BZ1204">
            <v>0</v>
          </cell>
          <cell r="CA1204">
            <v>0</v>
          </cell>
          <cell r="CB1204">
            <v>0</v>
          </cell>
          <cell r="CC1204">
            <v>0</v>
          </cell>
          <cell r="CD1204">
            <v>0</v>
          </cell>
          <cell r="CE1204">
            <v>0</v>
          </cell>
          <cell r="CF1204">
            <v>0</v>
          </cell>
          <cell r="CG1204">
            <v>0</v>
          </cell>
          <cell r="CH1204">
            <v>0</v>
          </cell>
          <cell r="CI1204">
            <v>0</v>
          </cell>
          <cell r="CJ1204">
            <v>0</v>
          </cell>
          <cell r="CK1204">
            <v>0</v>
          </cell>
          <cell r="CL1204">
            <v>0</v>
          </cell>
          <cell r="CM1204">
            <v>0</v>
          </cell>
          <cell r="CN1204">
            <v>0</v>
          </cell>
          <cell r="CO1204">
            <v>0</v>
          </cell>
        </row>
        <row r="1207"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-994.87752514547208</v>
          </cell>
          <cell r="S1207">
            <v>-3906.099024871347</v>
          </cell>
          <cell r="T1207">
            <v>-7589.0245013817648</v>
          </cell>
          <cell r="U1207">
            <v>-11520.59114271209</v>
          </cell>
          <cell r="V1207">
            <v>-15575.037637620315</v>
          </cell>
          <cell r="W1207">
            <v>-19541.586899196704</v>
          </cell>
          <cell r="X1207">
            <v>-23227.634782206183</v>
          </cell>
          <cell r="Y1207">
            <v>-27217.836635080643</v>
          </cell>
          <cell r="Z1207">
            <v>-31590.733102749455</v>
          </cell>
          <cell r="AA1207">
            <v>-34737.020417166343</v>
          </cell>
          <cell r="AB1207">
            <v>-36242.491546421013</v>
          </cell>
          <cell r="AC1207">
            <v>-37746.361289256289</v>
          </cell>
          <cell r="AD1207">
            <v>-31959.935423907962</v>
          </cell>
          <cell r="AE1207">
            <v>-30188.555593306486</v>
          </cell>
          <cell r="AF1207">
            <v>-28250.149069258867</v>
          </cell>
          <cell r="AG1207">
            <v>-27638.233536598389</v>
          </cell>
          <cell r="AH1207">
            <v>-26949.750007141622</v>
          </cell>
          <cell r="AI1207">
            <v>-25407.427424237321</v>
          </cell>
          <cell r="AJ1207">
            <v>-23184.939281154933</v>
          </cell>
          <cell r="AK1207">
            <v>-22201.832576723358</v>
          </cell>
          <cell r="AL1207">
            <v>-21129.559004854629</v>
          </cell>
          <cell r="AM1207">
            <v>-19170.533240354081</v>
          </cell>
          <cell r="AN1207">
            <v>-16791.769373093714</v>
          </cell>
          <cell r="AO1207">
            <v>-15190.106831620071</v>
          </cell>
          <cell r="AP1207">
            <v>-13701.129390971775</v>
          </cell>
          <cell r="AQ1207">
            <v>-11332.416655502815</v>
          </cell>
          <cell r="AR1207">
            <v>-8621.6658887590347</v>
          </cell>
          <cell r="AS1207">
            <v>-6846.4144275093804</v>
          </cell>
          <cell r="AT1207">
            <v>-5029.996840663066</v>
          </cell>
          <cell r="AU1207">
            <v>-2427.8093998154304</v>
          </cell>
          <cell r="AV1207">
            <v>0</v>
          </cell>
          <cell r="AW1207">
            <v>0</v>
          </cell>
          <cell r="AX1207">
            <v>0</v>
          </cell>
          <cell r="AY1207">
            <v>0</v>
          </cell>
          <cell r="AZ1207">
            <v>0</v>
          </cell>
          <cell r="BA1207">
            <v>0</v>
          </cell>
          <cell r="BB1207">
            <v>0</v>
          </cell>
          <cell r="BC1207">
            <v>0</v>
          </cell>
          <cell r="BD1207">
            <v>0</v>
          </cell>
          <cell r="BE1207">
            <v>0</v>
          </cell>
          <cell r="BF1207">
            <v>0</v>
          </cell>
          <cell r="BG1207">
            <v>0</v>
          </cell>
          <cell r="BH1207">
            <v>0</v>
          </cell>
          <cell r="BI1207">
            <v>0</v>
          </cell>
          <cell r="BJ1207">
            <v>0</v>
          </cell>
          <cell r="BK1207">
            <v>0</v>
          </cell>
          <cell r="BL1207">
            <v>0</v>
          </cell>
          <cell r="BM1207">
            <v>0</v>
          </cell>
          <cell r="BN1207">
            <v>0</v>
          </cell>
          <cell r="BO1207">
            <v>0</v>
          </cell>
          <cell r="BP1207">
            <v>0</v>
          </cell>
          <cell r="BQ1207">
            <v>0</v>
          </cell>
          <cell r="BR1207">
            <v>0</v>
          </cell>
          <cell r="BS1207">
            <v>0</v>
          </cell>
          <cell r="BT1207">
            <v>0</v>
          </cell>
          <cell r="BU1207">
            <v>0</v>
          </cell>
          <cell r="BV1207">
            <v>0</v>
          </cell>
          <cell r="BW1207">
            <v>0</v>
          </cell>
          <cell r="BX1207">
            <v>0</v>
          </cell>
          <cell r="BY1207">
            <v>0</v>
          </cell>
          <cell r="BZ1207">
            <v>0</v>
          </cell>
          <cell r="CA1207">
            <v>0</v>
          </cell>
          <cell r="CB1207">
            <v>0</v>
          </cell>
          <cell r="CC1207">
            <v>0</v>
          </cell>
          <cell r="CD1207">
            <v>0</v>
          </cell>
          <cell r="CE1207">
            <v>0</v>
          </cell>
          <cell r="CF1207">
            <v>0</v>
          </cell>
          <cell r="CG1207">
            <v>0</v>
          </cell>
          <cell r="CH1207">
            <v>0</v>
          </cell>
          <cell r="CI1207">
            <v>0</v>
          </cell>
          <cell r="CJ1207">
            <v>0</v>
          </cell>
          <cell r="CK1207">
            <v>0</v>
          </cell>
          <cell r="CL1207">
            <v>0</v>
          </cell>
          <cell r="CM1207">
            <v>0</v>
          </cell>
          <cell r="CN1207">
            <v>0</v>
          </cell>
          <cell r="CO1207">
            <v>0</v>
          </cell>
        </row>
        <row r="1208"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-994.87752514547208</v>
          </cell>
          <cell r="S1208">
            <v>-3906.099024871347</v>
          </cell>
          <cell r="T1208">
            <v>-7589.0245013817648</v>
          </cell>
          <cell r="U1208">
            <v>-11520.59114271209</v>
          </cell>
          <cell r="V1208">
            <v>-15575.037637620315</v>
          </cell>
          <cell r="W1208">
            <v>-19541.586899196704</v>
          </cell>
          <cell r="X1208">
            <v>-23227.634782206183</v>
          </cell>
          <cell r="Y1208">
            <v>-27217.836635080643</v>
          </cell>
          <cell r="Z1208">
            <v>-31590.733102749455</v>
          </cell>
          <cell r="AA1208">
            <v>-34737.020417166343</v>
          </cell>
          <cell r="AB1208">
            <v>-36242.491546421013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</v>
          </cell>
          <cell r="AS1208">
            <v>0</v>
          </cell>
          <cell r="AT1208">
            <v>0</v>
          </cell>
          <cell r="AU1208">
            <v>0</v>
          </cell>
          <cell r="AV1208">
            <v>0</v>
          </cell>
          <cell r="AW1208">
            <v>0</v>
          </cell>
          <cell r="AX1208">
            <v>0</v>
          </cell>
          <cell r="AY1208">
            <v>0</v>
          </cell>
          <cell r="AZ1208">
            <v>0</v>
          </cell>
          <cell r="BA1208">
            <v>0</v>
          </cell>
          <cell r="BB1208">
            <v>0</v>
          </cell>
          <cell r="BC1208">
            <v>0</v>
          </cell>
          <cell r="BD1208">
            <v>0</v>
          </cell>
          <cell r="BE1208">
            <v>0</v>
          </cell>
          <cell r="BF1208">
            <v>0</v>
          </cell>
          <cell r="BG1208">
            <v>0</v>
          </cell>
          <cell r="BH1208">
            <v>0</v>
          </cell>
          <cell r="BI1208">
            <v>0</v>
          </cell>
          <cell r="BJ1208">
            <v>0</v>
          </cell>
          <cell r="BK1208">
            <v>0</v>
          </cell>
          <cell r="BL1208">
            <v>0</v>
          </cell>
          <cell r="BM1208">
            <v>0</v>
          </cell>
          <cell r="BN1208">
            <v>0</v>
          </cell>
          <cell r="BO1208">
            <v>0</v>
          </cell>
          <cell r="BP1208">
            <v>0</v>
          </cell>
          <cell r="BQ1208">
            <v>0</v>
          </cell>
          <cell r="BR1208">
            <v>0</v>
          </cell>
          <cell r="BS1208">
            <v>0</v>
          </cell>
          <cell r="BT1208">
            <v>0</v>
          </cell>
          <cell r="BU1208">
            <v>0</v>
          </cell>
          <cell r="BV1208">
            <v>0</v>
          </cell>
          <cell r="BW1208">
            <v>0</v>
          </cell>
          <cell r="BX1208">
            <v>0</v>
          </cell>
          <cell r="BY1208">
            <v>0</v>
          </cell>
          <cell r="BZ1208">
            <v>0</v>
          </cell>
          <cell r="CA1208">
            <v>0</v>
          </cell>
          <cell r="CB1208">
            <v>0</v>
          </cell>
          <cell r="CC1208">
            <v>0</v>
          </cell>
          <cell r="CD1208">
            <v>0</v>
          </cell>
          <cell r="CE1208">
            <v>0</v>
          </cell>
          <cell r="CF1208">
            <v>0</v>
          </cell>
          <cell r="CG1208">
            <v>0</v>
          </cell>
          <cell r="CH1208">
            <v>0</v>
          </cell>
          <cell r="CI1208">
            <v>0</v>
          </cell>
          <cell r="CJ1208">
            <v>0</v>
          </cell>
          <cell r="CK1208">
            <v>0</v>
          </cell>
          <cell r="CL1208">
            <v>0</v>
          </cell>
          <cell r="CM1208">
            <v>0</v>
          </cell>
          <cell r="CN1208">
            <v>0</v>
          </cell>
          <cell r="CO1208">
            <v>0</v>
          </cell>
        </row>
        <row r="1209"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-37746.361289256289</v>
          </cell>
          <cell r="AD1209">
            <v>-31959.935423907962</v>
          </cell>
          <cell r="AE1209">
            <v>-30188.555593306486</v>
          </cell>
          <cell r="AF1209">
            <v>-28250.149069258867</v>
          </cell>
          <cell r="AG1209">
            <v>-27638.233536598389</v>
          </cell>
          <cell r="AH1209">
            <v>-26949.750007141622</v>
          </cell>
          <cell r="AI1209">
            <v>-25407.427424237321</v>
          </cell>
          <cell r="AJ1209">
            <v>-23184.939281154933</v>
          </cell>
          <cell r="AK1209">
            <v>-22201.832576723358</v>
          </cell>
          <cell r="AL1209">
            <v>-21129.559004854629</v>
          </cell>
          <cell r="AM1209">
            <v>-19170.533240354081</v>
          </cell>
          <cell r="AN1209">
            <v>-16791.769373093714</v>
          </cell>
          <cell r="AO1209">
            <v>-15190.106831620071</v>
          </cell>
          <cell r="AP1209">
            <v>-13701.129390971775</v>
          </cell>
          <cell r="AQ1209">
            <v>-11332.416655502815</v>
          </cell>
          <cell r="AR1209">
            <v>-8621.6658887590347</v>
          </cell>
          <cell r="AS1209">
            <v>-6846.4144275093804</v>
          </cell>
          <cell r="AT1209">
            <v>-5029.996840663066</v>
          </cell>
          <cell r="AU1209">
            <v>-2427.8093998154304</v>
          </cell>
          <cell r="AV1209">
            <v>0</v>
          </cell>
          <cell r="AW1209">
            <v>0</v>
          </cell>
          <cell r="AX1209">
            <v>0</v>
          </cell>
          <cell r="AY1209">
            <v>0</v>
          </cell>
          <cell r="AZ1209">
            <v>0</v>
          </cell>
          <cell r="BA1209">
            <v>0</v>
          </cell>
          <cell r="BB1209">
            <v>0</v>
          </cell>
          <cell r="BC1209">
            <v>0</v>
          </cell>
          <cell r="BD1209">
            <v>0</v>
          </cell>
          <cell r="BE1209">
            <v>0</v>
          </cell>
          <cell r="BF1209">
            <v>0</v>
          </cell>
          <cell r="BG1209">
            <v>0</v>
          </cell>
          <cell r="BH1209">
            <v>0</v>
          </cell>
          <cell r="BI1209">
            <v>0</v>
          </cell>
          <cell r="BJ1209">
            <v>0</v>
          </cell>
          <cell r="BK1209">
            <v>0</v>
          </cell>
          <cell r="BL1209">
            <v>0</v>
          </cell>
          <cell r="BM1209">
            <v>0</v>
          </cell>
          <cell r="BN1209">
            <v>0</v>
          </cell>
          <cell r="BO1209">
            <v>0</v>
          </cell>
          <cell r="BP1209">
            <v>0</v>
          </cell>
          <cell r="BQ1209">
            <v>0</v>
          </cell>
          <cell r="BR1209">
            <v>0</v>
          </cell>
          <cell r="BS1209">
            <v>0</v>
          </cell>
          <cell r="BT1209">
            <v>0</v>
          </cell>
          <cell r="BU1209">
            <v>0</v>
          </cell>
          <cell r="BV1209">
            <v>0</v>
          </cell>
          <cell r="BW1209">
            <v>0</v>
          </cell>
          <cell r="BX1209">
            <v>0</v>
          </cell>
          <cell r="BY1209">
            <v>0</v>
          </cell>
          <cell r="BZ1209">
            <v>0</v>
          </cell>
          <cell r="CA1209">
            <v>0</v>
          </cell>
          <cell r="CB1209">
            <v>0</v>
          </cell>
          <cell r="CC1209">
            <v>0</v>
          </cell>
          <cell r="CD1209">
            <v>0</v>
          </cell>
          <cell r="CE1209">
            <v>0</v>
          </cell>
          <cell r="CF1209">
            <v>0</v>
          </cell>
          <cell r="CG1209">
            <v>0</v>
          </cell>
          <cell r="CH1209">
            <v>0</v>
          </cell>
          <cell r="CI1209">
            <v>0</v>
          </cell>
          <cell r="CJ1209">
            <v>0</v>
          </cell>
          <cell r="CK1209">
            <v>0</v>
          </cell>
          <cell r="CL1209">
            <v>0</v>
          </cell>
          <cell r="CM1209">
            <v>0</v>
          </cell>
          <cell r="CN1209">
            <v>0</v>
          </cell>
          <cell r="CO1209">
            <v>0</v>
          </cell>
        </row>
        <row r="1210"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-994.87752514547208</v>
          </cell>
          <cell r="S1210">
            <v>-3906.099024871347</v>
          </cell>
          <cell r="T1210">
            <v>-7589.0245013817648</v>
          </cell>
          <cell r="U1210">
            <v>-11520.59114271209</v>
          </cell>
          <cell r="V1210">
            <v>-15575.037637620315</v>
          </cell>
          <cell r="W1210">
            <v>-19541.586899196704</v>
          </cell>
          <cell r="X1210">
            <v>-23227.634782206183</v>
          </cell>
          <cell r="Y1210">
            <v>-27217.836635080643</v>
          </cell>
          <cell r="Z1210">
            <v>-31590.733102749455</v>
          </cell>
          <cell r="AA1210">
            <v>-34737.020417166343</v>
          </cell>
          <cell r="AB1210">
            <v>-36242.491546421013</v>
          </cell>
          <cell r="AC1210">
            <v>-37746.361289256289</v>
          </cell>
          <cell r="AD1210">
            <v>-31959.935423907962</v>
          </cell>
          <cell r="AE1210">
            <v>-30188.555593306486</v>
          </cell>
          <cell r="AF1210">
            <v>-28250.149069258867</v>
          </cell>
          <cell r="AG1210">
            <v>-27638.233536598389</v>
          </cell>
          <cell r="AH1210">
            <v>-26949.750007141622</v>
          </cell>
          <cell r="AI1210">
            <v>-25407.427424237321</v>
          </cell>
          <cell r="AJ1210">
            <v>-23184.939281154933</v>
          </cell>
          <cell r="AK1210">
            <v>-22201.832576723358</v>
          </cell>
          <cell r="AL1210">
            <v>-21129.559004854629</v>
          </cell>
          <cell r="AM1210">
            <v>-19170.533240354081</v>
          </cell>
          <cell r="AN1210">
            <v>-16791.769373093714</v>
          </cell>
          <cell r="AO1210">
            <v>-15190.106831620071</v>
          </cell>
          <cell r="AP1210">
            <v>-13701.129390971775</v>
          </cell>
          <cell r="AQ1210">
            <v>-11332.416655502815</v>
          </cell>
          <cell r="AR1210">
            <v>-8621.6658887590347</v>
          </cell>
          <cell r="AS1210">
            <v>-6846.4144275093804</v>
          </cell>
          <cell r="AT1210">
            <v>-5029.996840663066</v>
          </cell>
          <cell r="AU1210">
            <v>-2427.8093998154304</v>
          </cell>
          <cell r="AV1210">
            <v>0</v>
          </cell>
          <cell r="AW1210">
            <v>0</v>
          </cell>
          <cell r="AX1210">
            <v>0</v>
          </cell>
          <cell r="AY1210">
            <v>0</v>
          </cell>
          <cell r="AZ1210">
            <v>0</v>
          </cell>
          <cell r="BA1210">
            <v>0</v>
          </cell>
          <cell r="BB1210">
            <v>0</v>
          </cell>
          <cell r="BC1210">
            <v>0</v>
          </cell>
          <cell r="BD1210">
            <v>0</v>
          </cell>
          <cell r="BE1210">
            <v>0</v>
          </cell>
          <cell r="BF1210">
            <v>0</v>
          </cell>
          <cell r="BG1210">
            <v>0</v>
          </cell>
          <cell r="BH1210">
            <v>0</v>
          </cell>
          <cell r="BI1210">
            <v>0</v>
          </cell>
          <cell r="BJ1210">
            <v>0</v>
          </cell>
          <cell r="BK1210">
            <v>0</v>
          </cell>
          <cell r="BL1210">
            <v>0</v>
          </cell>
          <cell r="BM1210">
            <v>0</v>
          </cell>
          <cell r="BN1210">
            <v>0</v>
          </cell>
          <cell r="BO1210">
            <v>0</v>
          </cell>
          <cell r="BP1210">
            <v>0</v>
          </cell>
          <cell r="BQ1210">
            <v>0</v>
          </cell>
          <cell r="BR1210">
            <v>0</v>
          </cell>
          <cell r="BS1210">
            <v>0</v>
          </cell>
          <cell r="BT1210">
            <v>0</v>
          </cell>
          <cell r="BU1210">
            <v>0</v>
          </cell>
          <cell r="BV1210">
            <v>0</v>
          </cell>
          <cell r="BW1210">
            <v>0</v>
          </cell>
          <cell r="BX1210">
            <v>0</v>
          </cell>
          <cell r="BY1210">
            <v>0</v>
          </cell>
          <cell r="BZ1210">
            <v>0</v>
          </cell>
          <cell r="CA1210">
            <v>0</v>
          </cell>
          <cell r="CB1210">
            <v>0</v>
          </cell>
          <cell r="CC1210">
            <v>0</v>
          </cell>
          <cell r="CD1210">
            <v>0</v>
          </cell>
          <cell r="CE1210">
            <v>0</v>
          </cell>
          <cell r="CF1210">
            <v>0</v>
          </cell>
          <cell r="CG1210">
            <v>0</v>
          </cell>
          <cell r="CH1210">
            <v>0</v>
          </cell>
          <cell r="CI1210">
            <v>0</v>
          </cell>
          <cell r="CJ1210">
            <v>0</v>
          </cell>
          <cell r="CK1210">
            <v>0</v>
          </cell>
          <cell r="CL1210">
            <v>0</v>
          </cell>
          <cell r="CM1210">
            <v>0</v>
          </cell>
          <cell r="CN1210">
            <v>0</v>
          </cell>
          <cell r="CO1210">
            <v>0</v>
          </cell>
        </row>
        <row r="1215"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-1955.2108874577386</v>
          </cell>
          <cell r="T1215">
            <v>-1710.0377274927509</v>
          </cell>
          <cell r="U1215">
            <v>-1522.0985336820449</v>
          </cell>
          <cell r="V1215">
            <v>-1327.5497491163007</v>
          </cell>
          <cell r="W1215">
            <v>-1114.1928271689742</v>
          </cell>
          <cell r="X1215">
            <v>-886.53590362365742</v>
          </cell>
          <cell r="Y1215">
            <v>-671.90673122823512</v>
          </cell>
          <cell r="Z1215">
            <v>-460.16451858542592</v>
          </cell>
          <cell r="AA1215">
            <v>-238.87957986628643</v>
          </cell>
          <cell r="AB1215">
            <v>-117.73779068459024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>
            <v>0</v>
          </cell>
          <cell r="AM1215">
            <v>0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</v>
          </cell>
          <cell r="AS1215">
            <v>0</v>
          </cell>
          <cell r="AT1215">
            <v>0</v>
          </cell>
          <cell r="AU1215">
            <v>0</v>
          </cell>
          <cell r="AV1215">
            <v>0</v>
          </cell>
          <cell r="AW1215">
            <v>0</v>
          </cell>
          <cell r="AX1215">
            <v>0</v>
          </cell>
          <cell r="AY1215">
            <v>0</v>
          </cell>
          <cell r="AZ1215">
            <v>0</v>
          </cell>
          <cell r="BA1215">
            <v>0</v>
          </cell>
          <cell r="BB1215">
            <v>0</v>
          </cell>
          <cell r="BC1215">
            <v>0</v>
          </cell>
          <cell r="BD1215">
            <v>0</v>
          </cell>
          <cell r="BE1215">
            <v>0</v>
          </cell>
          <cell r="BF1215">
            <v>0</v>
          </cell>
          <cell r="BG1215">
            <v>0</v>
          </cell>
          <cell r="BH1215">
            <v>0</v>
          </cell>
          <cell r="BI1215">
            <v>0</v>
          </cell>
          <cell r="BJ1215">
            <v>0</v>
          </cell>
          <cell r="BK1215">
            <v>0</v>
          </cell>
          <cell r="BL1215">
            <v>0</v>
          </cell>
          <cell r="BM1215">
            <v>0</v>
          </cell>
          <cell r="BN1215">
            <v>0</v>
          </cell>
          <cell r="BO1215">
            <v>0</v>
          </cell>
          <cell r="BP1215">
            <v>0</v>
          </cell>
          <cell r="BQ1215">
            <v>0</v>
          </cell>
          <cell r="BR1215">
            <v>0</v>
          </cell>
          <cell r="BS1215">
            <v>0</v>
          </cell>
          <cell r="BT1215">
            <v>0</v>
          </cell>
          <cell r="BU1215">
            <v>0</v>
          </cell>
          <cell r="BV1215">
            <v>0</v>
          </cell>
          <cell r="BW1215">
            <v>0</v>
          </cell>
          <cell r="BX1215">
            <v>0</v>
          </cell>
          <cell r="BY1215">
            <v>0</v>
          </cell>
          <cell r="BZ1215">
            <v>0</v>
          </cell>
          <cell r="CA1215">
            <v>0</v>
          </cell>
          <cell r="CB1215">
            <v>0</v>
          </cell>
          <cell r="CC1215">
            <v>0</v>
          </cell>
          <cell r="CD1215">
            <v>0</v>
          </cell>
          <cell r="CE1215">
            <v>0</v>
          </cell>
          <cell r="CF1215">
            <v>0</v>
          </cell>
          <cell r="CG1215">
            <v>0</v>
          </cell>
          <cell r="CH1215">
            <v>0</v>
          </cell>
          <cell r="CI1215">
            <v>0</v>
          </cell>
          <cell r="CJ1215">
            <v>0</v>
          </cell>
          <cell r="CK1215">
            <v>0</v>
          </cell>
          <cell r="CL1215">
            <v>0</v>
          </cell>
          <cell r="CM1215">
            <v>0</v>
          </cell>
          <cell r="CN1215">
            <v>0</v>
          </cell>
          <cell r="CO1215">
            <v>0</v>
          </cell>
        </row>
        <row r="1230">
          <cell r="L1230">
            <v>20830.114895427239</v>
          </cell>
          <cell r="M1230">
            <v>21125.796031118753</v>
          </cell>
          <cell r="N1230">
            <v>21425.674327240864</v>
          </cell>
          <cell r="O1230">
            <v>21729.809362013315</v>
          </cell>
          <cell r="P1230">
            <v>199146.33264177365</v>
          </cell>
          <cell r="Q1230">
            <v>268657.42356026266</v>
          </cell>
          <cell r="R1230">
            <v>130062.79128401139</v>
          </cell>
          <cell r="S1230">
            <v>5861.3099123290858</v>
          </cell>
          <cell r="T1230">
            <v>9299.0622288745162</v>
          </cell>
          <cell r="U1230">
            <v>13042.689676394135</v>
          </cell>
          <cell r="V1230">
            <v>16902.587386736617</v>
          </cell>
          <cell r="W1230">
            <v>20655.779726365679</v>
          </cell>
          <cell r="X1230">
            <v>24114.170685829842</v>
          </cell>
          <cell r="Y1230">
            <v>27889.743366308878</v>
          </cell>
          <cell r="Z1230">
            <v>32050.89762133488</v>
          </cell>
          <cell r="AA1230">
            <v>34975.899997032626</v>
          </cell>
          <cell r="AB1230">
            <v>36360.2293371056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G1230">
            <v>0</v>
          </cell>
          <cell r="AH1230">
            <v>0</v>
          </cell>
          <cell r="AI1230">
            <v>0</v>
          </cell>
          <cell r="AJ1230">
            <v>0</v>
          </cell>
          <cell r="AK1230">
            <v>0</v>
          </cell>
          <cell r="AL1230">
            <v>0</v>
          </cell>
          <cell r="AM1230">
            <v>0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</v>
          </cell>
          <cell r="AS1230">
            <v>0</v>
          </cell>
          <cell r="AT1230">
            <v>0</v>
          </cell>
          <cell r="AU1230">
            <v>0</v>
          </cell>
          <cell r="AV1230">
            <v>0</v>
          </cell>
          <cell r="AW1230">
            <v>0</v>
          </cell>
          <cell r="AX1230">
            <v>0</v>
          </cell>
          <cell r="AY1230">
            <v>0</v>
          </cell>
          <cell r="AZ1230">
            <v>0</v>
          </cell>
          <cell r="BA1230">
            <v>0</v>
          </cell>
          <cell r="BB1230">
            <v>0</v>
          </cell>
          <cell r="BC1230">
            <v>0</v>
          </cell>
          <cell r="BD1230">
            <v>0</v>
          </cell>
          <cell r="BE1230">
            <v>0</v>
          </cell>
          <cell r="BF1230">
            <v>0</v>
          </cell>
          <cell r="BG1230">
            <v>0</v>
          </cell>
          <cell r="BH1230">
            <v>0</v>
          </cell>
          <cell r="BI1230">
            <v>0</v>
          </cell>
          <cell r="BJ1230">
            <v>0</v>
          </cell>
          <cell r="BK1230">
            <v>0</v>
          </cell>
          <cell r="BL1230">
            <v>0</v>
          </cell>
          <cell r="BM1230">
            <v>0</v>
          </cell>
          <cell r="BN1230">
            <v>0</v>
          </cell>
          <cell r="BO1230">
            <v>0</v>
          </cell>
          <cell r="BP1230">
            <v>0</v>
          </cell>
          <cell r="BQ1230">
            <v>0</v>
          </cell>
          <cell r="BR1230">
            <v>0</v>
          </cell>
          <cell r="BS1230">
            <v>0</v>
          </cell>
          <cell r="BT1230">
            <v>0</v>
          </cell>
          <cell r="BU1230">
            <v>0</v>
          </cell>
          <cell r="BV1230">
            <v>0</v>
          </cell>
          <cell r="BW1230">
            <v>0</v>
          </cell>
          <cell r="BX1230">
            <v>0</v>
          </cell>
          <cell r="BY1230">
            <v>0</v>
          </cell>
          <cell r="BZ1230">
            <v>0</v>
          </cell>
          <cell r="CA1230">
            <v>0</v>
          </cell>
          <cell r="CB1230">
            <v>0</v>
          </cell>
          <cell r="CC1230">
            <v>0</v>
          </cell>
          <cell r="CD1230">
            <v>0</v>
          </cell>
          <cell r="CE1230">
            <v>0</v>
          </cell>
          <cell r="CF1230">
            <v>0</v>
          </cell>
          <cell r="CG1230">
            <v>0</v>
          </cell>
          <cell r="CH1230">
            <v>0</v>
          </cell>
          <cell r="CI1230">
            <v>0</v>
          </cell>
          <cell r="CJ1230">
            <v>0</v>
          </cell>
          <cell r="CK1230">
            <v>0</v>
          </cell>
          <cell r="CL1230">
            <v>0</v>
          </cell>
          <cell r="CM1230">
            <v>0</v>
          </cell>
          <cell r="CN1230">
            <v>0</v>
          </cell>
          <cell r="CO1230">
            <v>0</v>
          </cell>
        </row>
        <row r="1231"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</v>
          </cell>
          <cell r="AS1231">
            <v>0</v>
          </cell>
          <cell r="AT1231">
            <v>0</v>
          </cell>
          <cell r="AU1231">
            <v>0</v>
          </cell>
          <cell r="AV1231">
            <v>0</v>
          </cell>
          <cell r="AW1231">
            <v>0</v>
          </cell>
          <cell r="AX1231">
            <v>0</v>
          </cell>
          <cell r="AY1231">
            <v>0</v>
          </cell>
          <cell r="AZ1231">
            <v>0</v>
          </cell>
          <cell r="BA1231">
            <v>0</v>
          </cell>
          <cell r="BB1231">
            <v>0</v>
          </cell>
          <cell r="BC1231">
            <v>0</v>
          </cell>
          <cell r="BD1231">
            <v>0</v>
          </cell>
          <cell r="BE1231">
            <v>0</v>
          </cell>
          <cell r="BF1231">
            <v>0</v>
          </cell>
          <cell r="BG1231">
            <v>0</v>
          </cell>
          <cell r="BH1231">
            <v>0</v>
          </cell>
          <cell r="BI1231">
            <v>0</v>
          </cell>
          <cell r="BJ1231">
            <v>0</v>
          </cell>
          <cell r="BK1231">
            <v>0</v>
          </cell>
          <cell r="BL1231">
            <v>0</v>
          </cell>
          <cell r="BM1231">
            <v>0</v>
          </cell>
          <cell r="BN1231">
            <v>0</v>
          </cell>
          <cell r="BO1231">
            <v>0</v>
          </cell>
          <cell r="BP1231">
            <v>0</v>
          </cell>
          <cell r="BQ1231">
            <v>0</v>
          </cell>
          <cell r="BR1231">
            <v>0</v>
          </cell>
          <cell r="BS1231">
            <v>0</v>
          </cell>
          <cell r="BT1231">
            <v>0</v>
          </cell>
          <cell r="BU1231">
            <v>0</v>
          </cell>
          <cell r="BV1231">
            <v>0</v>
          </cell>
          <cell r="BW1231">
            <v>0</v>
          </cell>
          <cell r="BX1231">
            <v>0</v>
          </cell>
          <cell r="BY1231">
            <v>0</v>
          </cell>
          <cell r="BZ1231">
            <v>0</v>
          </cell>
          <cell r="CA1231">
            <v>0</v>
          </cell>
          <cell r="CB1231">
            <v>0</v>
          </cell>
          <cell r="CC1231">
            <v>0</v>
          </cell>
          <cell r="CD1231">
            <v>0</v>
          </cell>
          <cell r="CE1231">
            <v>0</v>
          </cell>
          <cell r="CF1231">
            <v>0</v>
          </cell>
          <cell r="CG1231">
            <v>0</v>
          </cell>
          <cell r="CH1231">
            <v>0</v>
          </cell>
          <cell r="CI1231">
            <v>0</v>
          </cell>
          <cell r="CJ1231">
            <v>0</v>
          </cell>
          <cell r="CK1231">
            <v>0</v>
          </cell>
          <cell r="CL1231">
            <v>0</v>
          </cell>
          <cell r="CM1231">
            <v>0</v>
          </cell>
          <cell r="CN1231">
            <v>0</v>
          </cell>
          <cell r="CO1231">
            <v>0</v>
          </cell>
        </row>
        <row r="1232"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</v>
          </cell>
          <cell r="AS1232">
            <v>0</v>
          </cell>
          <cell r="AT1232">
            <v>0</v>
          </cell>
          <cell r="AU1232">
            <v>0</v>
          </cell>
          <cell r="AV1232">
            <v>0</v>
          </cell>
          <cell r="AW1232">
            <v>0</v>
          </cell>
          <cell r="AX1232">
            <v>0</v>
          </cell>
          <cell r="AY1232">
            <v>0</v>
          </cell>
          <cell r="AZ1232">
            <v>0</v>
          </cell>
          <cell r="BA1232">
            <v>0</v>
          </cell>
          <cell r="BB1232">
            <v>0</v>
          </cell>
          <cell r="BC1232">
            <v>0</v>
          </cell>
          <cell r="BD1232">
            <v>0</v>
          </cell>
          <cell r="BE1232">
            <v>0</v>
          </cell>
          <cell r="BF1232">
            <v>0</v>
          </cell>
          <cell r="BG1232">
            <v>0</v>
          </cell>
          <cell r="BH1232">
            <v>0</v>
          </cell>
          <cell r="BI1232">
            <v>0</v>
          </cell>
          <cell r="BJ1232">
            <v>0</v>
          </cell>
          <cell r="BK1232">
            <v>0</v>
          </cell>
          <cell r="BL1232">
            <v>0</v>
          </cell>
          <cell r="BM1232">
            <v>0</v>
          </cell>
          <cell r="BN1232">
            <v>0</v>
          </cell>
          <cell r="BO1232">
            <v>0</v>
          </cell>
          <cell r="BP1232">
            <v>0</v>
          </cell>
          <cell r="BQ1232">
            <v>0</v>
          </cell>
          <cell r="BR1232">
            <v>0</v>
          </cell>
          <cell r="BS1232">
            <v>0</v>
          </cell>
          <cell r="BT1232">
            <v>0</v>
          </cell>
          <cell r="BU1232">
            <v>0</v>
          </cell>
          <cell r="BV1232">
            <v>0</v>
          </cell>
          <cell r="BW1232">
            <v>0</v>
          </cell>
          <cell r="BX1232">
            <v>0</v>
          </cell>
          <cell r="BY1232">
            <v>0</v>
          </cell>
          <cell r="BZ1232">
            <v>0</v>
          </cell>
          <cell r="CA1232">
            <v>0</v>
          </cell>
          <cell r="CB1232">
            <v>0</v>
          </cell>
          <cell r="CC1232">
            <v>0</v>
          </cell>
          <cell r="CD1232">
            <v>0</v>
          </cell>
          <cell r="CE1232">
            <v>0</v>
          </cell>
          <cell r="CF1232">
            <v>0</v>
          </cell>
          <cell r="CG1232">
            <v>0</v>
          </cell>
          <cell r="CH1232">
            <v>0</v>
          </cell>
          <cell r="CI1232">
            <v>0</v>
          </cell>
          <cell r="CJ1232">
            <v>0</v>
          </cell>
          <cell r="CK1232">
            <v>0</v>
          </cell>
          <cell r="CL1232">
            <v>0</v>
          </cell>
          <cell r="CM1232">
            <v>0</v>
          </cell>
          <cell r="CN1232">
            <v>0</v>
          </cell>
          <cell r="CO1232">
            <v>0</v>
          </cell>
        </row>
        <row r="1234">
          <cell r="L1234">
            <v>20830.114895427239</v>
          </cell>
          <cell r="M1234">
            <v>41955.910926545992</v>
          </cell>
          <cell r="N1234">
            <v>63381.585253786856</v>
          </cell>
          <cell r="O1234">
            <v>85111.394615800178</v>
          </cell>
          <cell r="P1234">
            <v>284257.72725757386</v>
          </cell>
          <cell r="Q1234">
            <v>552915.15081783652</v>
          </cell>
          <cell r="R1234">
            <v>682977.94210184785</v>
          </cell>
          <cell r="S1234">
            <v>688839.25201417692</v>
          </cell>
          <cell r="T1234">
            <v>698138.31424305146</v>
          </cell>
          <cell r="U1234">
            <v>711181.00391944556</v>
          </cell>
          <cell r="V1234">
            <v>728083.59130618221</v>
          </cell>
          <cell r="W1234">
            <v>748739.3710325479</v>
          </cell>
          <cell r="X1234">
            <v>772853.54171837773</v>
          </cell>
          <cell r="Y1234">
            <v>800743.28508468659</v>
          </cell>
          <cell r="Z1234">
            <v>832794.18270602147</v>
          </cell>
          <cell r="AA1234">
            <v>867770.08270305407</v>
          </cell>
          <cell r="AB1234">
            <v>904130.31204015971</v>
          </cell>
          <cell r="AC1234">
            <v>904130.31204015971</v>
          </cell>
          <cell r="AD1234">
            <v>904130.31204015971</v>
          </cell>
          <cell r="AE1234">
            <v>904130.31204015971</v>
          </cell>
          <cell r="AF1234">
            <v>904130.31204015971</v>
          </cell>
          <cell r="AG1234">
            <v>904130.31204015971</v>
          </cell>
          <cell r="AH1234">
            <v>904130.31204015971</v>
          </cell>
          <cell r="AI1234">
            <v>904130.31204015971</v>
          </cell>
          <cell r="AJ1234">
            <v>904130.31204015971</v>
          </cell>
          <cell r="AK1234">
            <v>904130.31204015971</v>
          </cell>
          <cell r="AL1234">
            <v>904130.31204015971</v>
          </cell>
          <cell r="AM1234">
            <v>904130.31204015971</v>
          </cell>
          <cell r="AN1234">
            <v>904130.31204015971</v>
          </cell>
          <cell r="AO1234">
            <v>904130.31204015971</v>
          </cell>
          <cell r="AP1234">
            <v>904130.31204015971</v>
          </cell>
          <cell r="AQ1234">
            <v>904130.31204015971</v>
          </cell>
          <cell r="AR1234">
            <v>904130.31204015971</v>
          </cell>
          <cell r="AS1234">
            <v>904130.31204015971</v>
          </cell>
          <cell r="AT1234">
            <v>904130.31204015971</v>
          </cell>
          <cell r="AU1234">
            <v>904130.31204015971</v>
          </cell>
          <cell r="AV1234">
            <v>904130.31204015971</v>
          </cell>
          <cell r="AW1234">
            <v>904130.31204015971</v>
          </cell>
          <cell r="AX1234">
            <v>904130.31204015971</v>
          </cell>
          <cell r="AY1234">
            <v>904130.31204015971</v>
          </cell>
          <cell r="AZ1234">
            <v>904130.31204015971</v>
          </cell>
          <cell r="BA1234">
            <v>904130.31204015971</v>
          </cell>
          <cell r="BB1234">
            <v>904130.31204015971</v>
          </cell>
          <cell r="BC1234">
            <v>904130.31204015971</v>
          </cell>
          <cell r="BD1234">
            <v>904130.31204015971</v>
          </cell>
          <cell r="BE1234">
            <v>904130.31204015971</v>
          </cell>
          <cell r="BF1234">
            <v>904130.31204015971</v>
          </cell>
          <cell r="BG1234">
            <v>904130.31204015971</v>
          </cell>
          <cell r="BH1234">
            <v>904130.31204015971</v>
          </cell>
          <cell r="BI1234">
            <v>904130.31204015971</v>
          </cell>
          <cell r="BJ1234">
            <v>904130.31204015971</v>
          </cell>
          <cell r="BK1234">
            <v>904130.31204015971</v>
          </cell>
          <cell r="BL1234">
            <v>904130.31204015971</v>
          </cell>
          <cell r="BM1234">
            <v>904130.31204015971</v>
          </cell>
          <cell r="BN1234">
            <v>904130.31204015971</v>
          </cell>
          <cell r="BO1234">
            <v>904130.31204015971</v>
          </cell>
          <cell r="BP1234">
            <v>904130.31204015971</v>
          </cell>
          <cell r="BQ1234">
            <v>904130.31204015971</v>
          </cell>
          <cell r="BR1234">
            <v>904130.31204015971</v>
          </cell>
          <cell r="BS1234">
            <v>904130.31204015971</v>
          </cell>
          <cell r="BT1234">
            <v>904130.31204015971</v>
          </cell>
          <cell r="BU1234">
            <v>904130.31204015971</v>
          </cell>
          <cell r="BV1234">
            <v>904130.31204015971</v>
          </cell>
          <cell r="BW1234">
            <v>904130.31204015971</v>
          </cell>
          <cell r="BX1234">
            <v>904130.31204015971</v>
          </cell>
          <cell r="BY1234">
            <v>904130.31204015971</v>
          </cell>
          <cell r="BZ1234">
            <v>904130.31204015971</v>
          </cell>
          <cell r="CA1234">
            <v>904130.31204015971</v>
          </cell>
          <cell r="CB1234">
            <v>904130.31204015971</v>
          </cell>
          <cell r="CC1234">
            <v>904130.31204015971</v>
          </cell>
          <cell r="CD1234">
            <v>904130.31204015971</v>
          </cell>
          <cell r="CE1234">
            <v>904130.31204015971</v>
          </cell>
          <cell r="CF1234">
            <v>904130.31204015971</v>
          </cell>
          <cell r="CG1234">
            <v>904130.31204015971</v>
          </cell>
          <cell r="CH1234">
            <v>904130.31204015971</v>
          </cell>
          <cell r="CI1234">
            <v>904130.31204015971</v>
          </cell>
          <cell r="CJ1234">
            <v>904130.31204015971</v>
          </cell>
          <cell r="CK1234">
            <v>904130.31204015971</v>
          </cell>
          <cell r="CL1234">
            <v>904130.31204015971</v>
          </cell>
          <cell r="CM1234">
            <v>904130.31204015971</v>
          </cell>
          <cell r="CN1234">
            <v>904130.31204015971</v>
          </cell>
          <cell r="CO1234">
            <v>904130.31204015971</v>
          </cell>
        </row>
        <row r="1243"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-5.9176459653328548E-11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</v>
          </cell>
          <cell r="AS1243">
            <v>0</v>
          </cell>
          <cell r="AT1243">
            <v>0</v>
          </cell>
          <cell r="AU1243">
            <v>0</v>
          </cell>
          <cell r="AV1243">
            <v>0</v>
          </cell>
          <cell r="AW1243">
            <v>0</v>
          </cell>
          <cell r="AX1243">
            <v>0</v>
          </cell>
          <cell r="AY1243">
            <v>0</v>
          </cell>
          <cell r="AZ1243">
            <v>0</v>
          </cell>
          <cell r="BA1243">
            <v>0</v>
          </cell>
          <cell r="BB1243">
            <v>0</v>
          </cell>
          <cell r="BC1243">
            <v>0</v>
          </cell>
          <cell r="BD1243">
            <v>0</v>
          </cell>
          <cell r="BE1243">
            <v>0</v>
          </cell>
          <cell r="BF1243">
            <v>0</v>
          </cell>
          <cell r="BG1243">
            <v>0</v>
          </cell>
          <cell r="BH1243">
            <v>0</v>
          </cell>
          <cell r="BI1243">
            <v>0</v>
          </cell>
          <cell r="BJ1243">
            <v>0</v>
          </cell>
          <cell r="BK1243">
            <v>0</v>
          </cell>
          <cell r="BL1243">
            <v>0</v>
          </cell>
          <cell r="BM1243">
            <v>0</v>
          </cell>
          <cell r="BN1243">
            <v>0</v>
          </cell>
          <cell r="BO1243">
            <v>0</v>
          </cell>
          <cell r="BP1243">
            <v>0</v>
          </cell>
          <cell r="BQ1243">
            <v>0</v>
          </cell>
          <cell r="BR1243">
            <v>0</v>
          </cell>
          <cell r="BS1243">
            <v>0</v>
          </cell>
          <cell r="BT1243">
            <v>0</v>
          </cell>
          <cell r="BU1243">
            <v>0</v>
          </cell>
          <cell r="BV1243">
            <v>0</v>
          </cell>
          <cell r="BW1243">
            <v>0</v>
          </cell>
          <cell r="BX1243">
            <v>0</v>
          </cell>
          <cell r="BY1243">
            <v>0</v>
          </cell>
          <cell r="BZ1243">
            <v>0</v>
          </cell>
          <cell r="CA1243">
            <v>0</v>
          </cell>
          <cell r="CB1243">
            <v>0</v>
          </cell>
          <cell r="CC1243">
            <v>0</v>
          </cell>
          <cell r="CD1243">
            <v>0</v>
          </cell>
          <cell r="CE1243">
            <v>0</v>
          </cell>
          <cell r="CF1243">
            <v>0</v>
          </cell>
          <cell r="CG1243">
            <v>0</v>
          </cell>
          <cell r="CH1243">
            <v>0</v>
          </cell>
          <cell r="CI1243">
            <v>0</v>
          </cell>
          <cell r="CJ1243">
            <v>0</v>
          </cell>
          <cell r="CK1243">
            <v>0</v>
          </cell>
          <cell r="CL1243">
            <v>0</v>
          </cell>
          <cell r="CM1243">
            <v>0</v>
          </cell>
          <cell r="CN1243">
            <v>0</v>
          </cell>
          <cell r="CO1243">
            <v>0</v>
          </cell>
        </row>
        <row r="1244"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5.9176459653328548E-11</v>
          </cell>
          <cell r="AC1244">
            <v>0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>
            <v>0</v>
          </cell>
          <cell r="AM1244">
            <v>0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</v>
          </cell>
          <cell r="AS1244">
            <v>0</v>
          </cell>
          <cell r="AT1244">
            <v>0</v>
          </cell>
          <cell r="AU1244">
            <v>0</v>
          </cell>
          <cell r="AV1244">
            <v>0</v>
          </cell>
          <cell r="AW1244">
            <v>0</v>
          </cell>
          <cell r="AX1244">
            <v>0</v>
          </cell>
          <cell r="AY1244">
            <v>0</v>
          </cell>
          <cell r="AZ1244">
            <v>0</v>
          </cell>
          <cell r="BA1244">
            <v>0</v>
          </cell>
          <cell r="BB1244">
            <v>0</v>
          </cell>
          <cell r="BC1244">
            <v>0</v>
          </cell>
          <cell r="BD1244">
            <v>0</v>
          </cell>
          <cell r="BE1244">
            <v>0</v>
          </cell>
          <cell r="BF1244">
            <v>0</v>
          </cell>
          <cell r="BG1244">
            <v>0</v>
          </cell>
          <cell r="BH1244">
            <v>0</v>
          </cell>
          <cell r="BI1244">
            <v>0</v>
          </cell>
          <cell r="BJ1244">
            <v>0</v>
          </cell>
          <cell r="BK1244">
            <v>0</v>
          </cell>
          <cell r="BL1244">
            <v>0</v>
          </cell>
          <cell r="BM1244">
            <v>0</v>
          </cell>
          <cell r="BN1244">
            <v>0</v>
          </cell>
          <cell r="BO1244">
            <v>0</v>
          </cell>
          <cell r="BP1244">
            <v>0</v>
          </cell>
          <cell r="BQ1244">
            <v>0</v>
          </cell>
          <cell r="BR1244">
            <v>0</v>
          </cell>
          <cell r="BS1244">
            <v>0</v>
          </cell>
          <cell r="BT1244">
            <v>0</v>
          </cell>
          <cell r="BU1244">
            <v>0</v>
          </cell>
          <cell r="BV1244">
            <v>0</v>
          </cell>
          <cell r="BW1244">
            <v>0</v>
          </cell>
          <cell r="BX1244">
            <v>0</v>
          </cell>
          <cell r="BY1244">
            <v>0</v>
          </cell>
          <cell r="BZ1244">
            <v>0</v>
          </cell>
          <cell r="CA1244">
            <v>0</v>
          </cell>
          <cell r="CB1244">
            <v>0</v>
          </cell>
          <cell r="CC1244">
            <v>0</v>
          </cell>
          <cell r="CD1244">
            <v>0</v>
          </cell>
          <cell r="CE1244">
            <v>0</v>
          </cell>
          <cell r="CF1244">
            <v>0</v>
          </cell>
          <cell r="CG1244">
            <v>0</v>
          </cell>
          <cell r="CH1244">
            <v>0</v>
          </cell>
          <cell r="CI1244">
            <v>0</v>
          </cell>
          <cell r="CJ1244">
            <v>0</v>
          </cell>
          <cell r="CK1244">
            <v>0</v>
          </cell>
          <cell r="CL1244">
            <v>0</v>
          </cell>
          <cell r="CM1244">
            <v>0</v>
          </cell>
          <cell r="CN1244">
            <v>0</v>
          </cell>
          <cell r="CO1244">
            <v>0</v>
          </cell>
        </row>
        <row r="1246"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  <cell r="AB1246">
            <v>5.8207660913467407E-11</v>
          </cell>
          <cell r="AC1246">
            <v>0</v>
          </cell>
          <cell r="AD1246">
            <v>0</v>
          </cell>
          <cell r="AE1246">
            <v>0</v>
          </cell>
          <cell r="AF1246">
            <v>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>
            <v>0</v>
          </cell>
          <cell r="AM1246">
            <v>0</v>
          </cell>
          <cell r="AN1246">
            <v>0</v>
          </cell>
          <cell r="AO1246">
            <v>0</v>
          </cell>
          <cell r="AP1246">
            <v>0</v>
          </cell>
          <cell r="AQ1246">
            <v>0</v>
          </cell>
          <cell r="AR1246">
            <v>0</v>
          </cell>
          <cell r="AS1246">
            <v>0</v>
          </cell>
          <cell r="AT1246">
            <v>0</v>
          </cell>
          <cell r="AU1246">
            <v>0</v>
          </cell>
          <cell r="AV1246">
            <v>0</v>
          </cell>
          <cell r="AW1246">
            <v>0</v>
          </cell>
          <cell r="AX1246">
            <v>0</v>
          </cell>
          <cell r="AY1246">
            <v>0</v>
          </cell>
          <cell r="AZ1246">
            <v>0</v>
          </cell>
          <cell r="BA1246">
            <v>0</v>
          </cell>
          <cell r="BB1246">
            <v>0</v>
          </cell>
          <cell r="BC1246">
            <v>0</v>
          </cell>
          <cell r="BD1246">
            <v>0</v>
          </cell>
          <cell r="BE1246">
            <v>0</v>
          </cell>
          <cell r="BF1246">
            <v>0</v>
          </cell>
          <cell r="BG1246">
            <v>0</v>
          </cell>
          <cell r="BH1246">
            <v>0</v>
          </cell>
          <cell r="BI1246">
            <v>0</v>
          </cell>
          <cell r="BJ1246">
            <v>0</v>
          </cell>
          <cell r="BK1246">
            <v>0</v>
          </cell>
          <cell r="BL1246">
            <v>0</v>
          </cell>
          <cell r="BM1246">
            <v>0</v>
          </cell>
          <cell r="BN1246">
            <v>0</v>
          </cell>
          <cell r="BO1246">
            <v>0</v>
          </cell>
          <cell r="BP1246">
            <v>0</v>
          </cell>
          <cell r="BQ1246">
            <v>0</v>
          </cell>
          <cell r="BR1246">
            <v>0</v>
          </cell>
          <cell r="BS1246">
            <v>0</v>
          </cell>
          <cell r="BT1246">
            <v>0</v>
          </cell>
          <cell r="BU1246">
            <v>0</v>
          </cell>
          <cell r="BV1246">
            <v>0</v>
          </cell>
          <cell r="BW1246">
            <v>0</v>
          </cell>
          <cell r="BX1246">
            <v>0</v>
          </cell>
          <cell r="BY1246">
            <v>0</v>
          </cell>
          <cell r="BZ1246">
            <v>0</v>
          </cell>
          <cell r="CA1246">
            <v>0</v>
          </cell>
          <cell r="CB1246">
            <v>0</v>
          </cell>
          <cell r="CC1246">
            <v>0</v>
          </cell>
          <cell r="CD1246">
            <v>0</v>
          </cell>
          <cell r="CE1246">
            <v>0</v>
          </cell>
          <cell r="CF1246">
            <v>0</v>
          </cell>
          <cell r="CG1246">
            <v>0</v>
          </cell>
          <cell r="CH1246">
            <v>0</v>
          </cell>
          <cell r="CI1246">
            <v>0</v>
          </cell>
          <cell r="CJ1246">
            <v>0</v>
          </cell>
          <cell r="CK1246">
            <v>0</v>
          </cell>
          <cell r="CL1246">
            <v>0</v>
          </cell>
          <cell r="CM1246">
            <v>0</v>
          </cell>
          <cell r="CN1246">
            <v>0</v>
          </cell>
          <cell r="CO1246">
            <v>0</v>
          </cell>
        </row>
        <row r="1251"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9.6879873986113571E-13</v>
          </cell>
          <cell r="AC1251">
            <v>1.9917337173729898E-12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>
            <v>0</v>
          </cell>
          <cell r="AM1251">
            <v>0</v>
          </cell>
          <cell r="AN1251">
            <v>0</v>
          </cell>
          <cell r="AO1251">
            <v>0</v>
          </cell>
          <cell r="AP1251">
            <v>0</v>
          </cell>
          <cell r="AQ1251">
            <v>0</v>
          </cell>
          <cell r="AR1251">
            <v>0</v>
          </cell>
          <cell r="AS1251">
            <v>0</v>
          </cell>
          <cell r="AT1251">
            <v>0</v>
          </cell>
          <cell r="AU1251">
            <v>0</v>
          </cell>
          <cell r="AV1251">
            <v>0</v>
          </cell>
          <cell r="AW1251">
            <v>0</v>
          </cell>
          <cell r="AX1251">
            <v>0</v>
          </cell>
          <cell r="AY1251">
            <v>0</v>
          </cell>
          <cell r="AZ1251">
            <v>0</v>
          </cell>
          <cell r="BA1251">
            <v>0</v>
          </cell>
          <cell r="BB1251">
            <v>0</v>
          </cell>
          <cell r="BC1251">
            <v>0</v>
          </cell>
          <cell r="BD1251">
            <v>0</v>
          </cell>
          <cell r="BE1251">
            <v>0</v>
          </cell>
          <cell r="BF1251">
            <v>0</v>
          </cell>
          <cell r="BG1251">
            <v>0</v>
          </cell>
          <cell r="BH1251">
            <v>0</v>
          </cell>
          <cell r="BI1251">
            <v>0</v>
          </cell>
          <cell r="BJ1251">
            <v>0</v>
          </cell>
          <cell r="BK1251">
            <v>0</v>
          </cell>
          <cell r="BL1251">
            <v>0</v>
          </cell>
          <cell r="BM1251">
            <v>0</v>
          </cell>
          <cell r="BN1251">
            <v>0</v>
          </cell>
          <cell r="BO1251">
            <v>0</v>
          </cell>
          <cell r="BP1251">
            <v>0</v>
          </cell>
          <cell r="BQ1251">
            <v>0</v>
          </cell>
          <cell r="BR1251">
            <v>0</v>
          </cell>
          <cell r="BS1251">
            <v>0</v>
          </cell>
          <cell r="BT1251">
            <v>0</v>
          </cell>
          <cell r="BU1251">
            <v>0</v>
          </cell>
          <cell r="BV1251">
            <v>0</v>
          </cell>
          <cell r="BW1251">
            <v>0</v>
          </cell>
          <cell r="BX1251">
            <v>0</v>
          </cell>
          <cell r="BY1251">
            <v>0</v>
          </cell>
          <cell r="BZ1251">
            <v>0</v>
          </cell>
          <cell r="CA1251">
            <v>0</v>
          </cell>
          <cell r="CB1251">
            <v>0</v>
          </cell>
          <cell r="CC1251">
            <v>0</v>
          </cell>
          <cell r="CD1251">
            <v>0</v>
          </cell>
          <cell r="CE1251">
            <v>0</v>
          </cell>
          <cell r="CF1251">
            <v>0</v>
          </cell>
          <cell r="CG1251">
            <v>0</v>
          </cell>
          <cell r="CH1251">
            <v>0</v>
          </cell>
          <cell r="CI1251">
            <v>0</v>
          </cell>
          <cell r="CJ1251">
            <v>0</v>
          </cell>
          <cell r="CK1251">
            <v>0</v>
          </cell>
          <cell r="CL1251">
            <v>0</v>
          </cell>
          <cell r="CM1251">
            <v>0</v>
          </cell>
          <cell r="CN1251">
            <v>0</v>
          </cell>
          <cell r="CO1251">
            <v>0</v>
          </cell>
        </row>
        <row r="1255"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-1.9917337173729898E-12</v>
          </cell>
          <cell r="AD1255">
            <v>0</v>
          </cell>
          <cell r="AE1255">
            <v>0</v>
          </cell>
          <cell r="AF1255">
            <v>0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>
            <v>0</v>
          </cell>
          <cell r="AM1255">
            <v>0</v>
          </cell>
          <cell r="AN1255">
            <v>0</v>
          </cell>
          <cell r="AO1255">
            <v>0</v>
          </cell>
          <cell r="AP1255">
            <v>0</v>
          </cell>
          <cell r="AQ1255">
            <v>0</v>
          </cell>
          <cell r="AR1255">
            <v>0</v>
          </cell>
          <cell r="AS1255">
            <v>0</v>
          </cell>
          <cell r="AT1255">
            <v>0</v>
          </cell>
          <cell r="AU1255">
            <v>0</v>
          </cell>
          <cell r="AV1255">
            <v>0</v>
          </cell>
          <cell r="AW1255">
            <v>0</v>
          </cell>
          <cell r="AX1255">
            <v>0</v>
          </cell>
          <cell r="AY1255">
            <v>0</v>
          </cell>
          <cell r="AZ1255">
            <v>0</v>
          </cell>
          <cell r="BA1255">
            <v>0</v>
          </cell>
          <cell r="BB1255">
            <v>0</v>
          </cell>
          <cell r="BC1255">
            <v>0</v>
          </cell>
          <cell r="BD1255">
            <v>0</v>
          </cell>
          <cell r="BE1255">
            <v>0</v>
          </cell>
          <cell r="BF1255">
            <v>0</v>
          </cell>
          <cell r="BG1255">
            <v>0</v>
          </cell>
          <cell r="BH1255">
            <v>0</v>
          </cell>
          <cell r="BI1255">
            <v>0</v>
          </cell>
          <cell r="BJ1255">
            <v>0</v>
          </cell>
          <cell r="BK1255">
            <v>0</v>
          </cell>
          <cell r="BL1255">
            <v>0</v>
          </cell>
          <cell r="BM1255">
            <v>0</v>
          </cell>
          <cell r="BN1255">
            <v>0</v>
          </cell>
          <cell r="BO1255">
            <v>0</v>
          </cell>
          <cell r="BP1255">
            <v>0</v>
          </cell>
          <cell r="BQ1255">
            <v>0</v>
          </cell>
          <cell r="BR1255">
            <v>0</v>
          </cell>
          <cell r="BS1255">
            <v>0</v>
          </cell>
          <cell r="BT1255">
            <v>0</v>
          </cell>
          <cell r="BU1255">
            <v>0</v>
          </cell>
          <cell r="BV1255">
            <v>0</v>
          </cell>
          <cell r="BW1255">
            <v>0</v>
          </cell>
          <cell r="BX1255">
            <v>0</v>
          </cell>
          <cell r="BY1255">
            <v>0</v>
          </cell>
          <cell r="BZ1255">
            <v>0</v>
          </cell>
          <cell r="CA1255">
            <v>0</v>
          </cell>
          <cell r="CB1255">
            <v>0</v>
          </cell>
          <cell r="CC1255">
            <v>0</v>
          </cell>
          <cell r="CD1255">
            <v>0</v>
          </cell>
          <cell r="CE1255">
            <v>0</v>
          </cell>
          <cell r="CF1255">
            <v>0</v>
          </cell>
          <cell r="CG1255">
            <v>0</v>
          </cell>
          <cell r="CH1255">
            <v>0</v>
          </cell>
          <cell r="CI1255">
            <v>0</v>
          </cell>
          <cell r="CJ1255">
            <v>0</v>
          </cell>
          <cell r="CK1255">
            <v>0</v>
          </cell>
          <cell r="CL1255">
            <v>0</v>
          </cell>
          <cell r="CM1255">
            <v>0</v>
          </cell>
          <cell r="CN1255">
            <v>0</v>
          </cell>
          <cell r="CO1255">
            <v>0</v>
          </cell>
        </row>
        <row r="1257">
          <cell r="E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>
            <v>0</v>
          </cell>
          <cell r="AM1257">
            <v>0</v>
          </cell>
          <cell r="AN1257">
            <v>0</v>
          </cell>
          <cell r="AO1257">
            <v>0</v>
          </cell>
          <cell r="AP1257">
            <v>0</v>
          </cell>
          <cell r="AQ1257">
            <v>0</v>
          </cell>
          <cell r="AR1257">
            <v>0</v>
          </cell>
          <cell r="AS1257">
            <v>0</v>
          </cell>
          <cell r="AT1257">
            <v>0</v>
          </cell>
          <cell r="AU1257">
            <v>0</v>
          </cell>
          <cell r="AV1257">
            <v>0</v>
          </cell>
          <cell r="AW1257">
            <v>0</v>
          </cell>
          <cell r="AX1257">
            <v>0</v>
          </cell>
          <cell r="AY1257">
            <v>0</v>
          </cell>
          <cell r="AZ1257">
            <v>0</v>
          </cell>
          <cell r="BA1257">
            <v>0</v>
          </cell>
          <cell r="BB1257">
            <v>0</v>
          </cell>
          <cell r="BC1257">
            <v>0</v>
          </cell>
          <cell r="BD1257">
            <v>0</v>
          </cell>
          <cell r="BE1257">
            <v>0</v>
          </cell>
          <cell r="BF1257">
            <v>0</v>
          </cell>
          <cell r="BG1257">
            <v>0</v>
          </cell>
          <cell r="BH1257">
            <v>0</v>
          </cell>
          <cell r="BI1257">
            <v>0</v>
          </cell>
          <cell r="BJ1257">
            <v>0</v>
          </cell>
          <cell r="BK1257">
            <v>0</v>
          </cell>
          <cell r="BL1257">
            <v>0</v>
          </cell>
          <cell r="BM1257">
            <v>0</v>
          </cell>
          <cell r="BN1257">
            <v>0</v>
          </cell>
          <cell r="BO1257">
            <v>0</v>
          </cell>
          <cell r="BP1257">
            <v>0</v>
          </cell>
          <cell r="BQ1257">
            <v>0</v>
          </cell>
          <cell r="BR1257">
            <v>0</v>
          </cell>
          <cell r="BS1257">
            <v>0</v>
          </cell>
          <cell r="BT1257">
            <v>0</v>
          </cell>
          <cell r="BU1257">
            <v>0</v>
          </cell>
          <cell r="BV1257">
            <v>0</v>
          </cell>
          <cell r="BW1257">
            <v>0</v>
          </cell>
          <cell r="BX1257">
            <v>0</v>
          </cell>
          <cell r="BY1257">
            <v>0</v>
          </cell>
          <cell r="BZ1257">
            <v>0</v>
          </cell>
          <cell r="CA1257">
            <v>0</v>
          </cell>
          <cell r="CB1257">
            <v>0</v>
          </cell>
          <cell r="CC1257">
            <v>0</v>
          </cell>
          <cell r="CD1257">
            <v>0</v>
          </cell>
          <cell r="CE1257">
            <v>0</v>
          </cell>
          <cell r="CF1257">
            <v>0</v>
          </cell>
          <cell r="CG1257">
            <v>0</v>
          </cell>
          <cell r="CH1257">
            <v>0</v>
          </cell>
          <cell r="CI1257">
            <v>0</v>
          </cell>
          <cell r="CJ1257">
            <v>0</v>
          </cell>
          <cell r="CK1257">
            <v>0</v>
          </cell>
          <cell r="CL1257">
            <v>0</v>
          </cell>
          <cell r="CM1257">
            <v>0</v>
          </cell>
          <cell r="CN1257">
            <v>0</v>
          </cell>
          <cell r="CO1257">
            <v>0</v>
          </cell>
        </row>
        <row r="1275"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-55163.085202902577</v>
          </cell>
          <cell r="AD1275">
            <v>-31717.237306855386</v>
          </cell>
          <cell r="AE1275">
            <v>-24775.599221723096</v>
          </cell>
          <cell r="AF1275">
            <v>-19031.644245063799</v>
          </cell>
          <cell r="AG1275">
            <v>-19713.041899257179</v>
          </cell>
          <cell r="AH1275">
            <v>-27440.390375892457</v>
          </cell>
          <cell r="AI1275">
            <v>-29490.124482546598</v>
          </cell>
          <cell r="AJ1275">
            <v>-22570.331343981947</v>
          </cell>
          <cell r="AK1275">
            <v>-23258.664996392166</v>
          </cell>
          <cell r="AL1275">
            <v>-32233.918226458482</v>
          </cell>
          <cell r="AM1275">
            <v>-34539.978751801013</v>
          </cell>
          <cell r="AN1275">
            <v>-26572.233299600586</v>
          </cell>
          <cell r="AO1275">
            <v>-26777.15254946347</v>
          </cell>
          <cell r="AP1275">
            <v>-36698.26979443559</v>
          </cell>
          <cell r="AQ1275">
            <v>-38726.536465858924</v>
          </cell>
          <cell r="AR1275">
            <v>-28768.484384540236</v>
          </cell>
          <cell r="AS1275">
            <v>-28414.065973332705</v>
          </cell>
          <cell r="AT1275">
            <v>-38209.227566698479</v>
          </cell>
          <cell r="AU1275">
            <v>-59000.43173637765</v>
          </cell>
          <cell r="AV1275">
            <v>-173158.37087390432</v>
          </cell>
          <cell r="AW1275">
            <v>-206302.26831700176</v>
          </cell>
          <cell r="AX1275">
            <v>-193566.19982584263</v>
          </cell>
          <cell r="AY1275">
            <v>-129791.96656203766</v>
          </cell>
          <cell r="AZ1275">
            <v>-97075.687431118393</v>
          </cell>
          <cell r="BA1275">
            <v>-129429.04003879834</v>
          </cell>
          <cell r="BB1275">
            <v>-172726.48890893956</v>
          </cell>
          <cell r="BC1275">
            <v>-134975.90565850705</v>
          </cell>
          <cell r="BD1275">
            <v>-102444.88240606638</v>
          </cell>
          <cell r="BE1275">
            <v>-133207.39940461513</v>
          </cell>
          <cell r="BF1275">
            <v>-178634.09661211263</v>
          </cell>
          <cell r="BG1275">
            <v>-139373.49577542249</v>
          </cell>
          <cell r="BH1275">
            <v>-103977.76372249082</v>
          </cell>
          <cell r="BI1275">
            <v>-138972.95287115331</v>
          </cell>
          <cell r="BJ1275">
            <v>-185805.24597768759</v>
          </cell>
          <cell r="BK1275">
            <v>-144974.21513401956</v>
          </cell>
          <cell r="BL1275">
            <v>-108167.426260352</v>
          </cell>
          <cell r="BM1275">
            <v>-144563.26002070986</v>
          </cell>
          <cell r="BN1275">
            <v>-193269.71367924509</v>
          </cell>
          <cell r="BO1275">
            <v>-141560.64914876659</v>
          </cell>
          <cell r="BP1275">
            <v>-103835.48061482298</v>
          </cell>
          <cell r="BQ1275">
            <v>-136235.34118047549</v>
          </cell>
          <cell r="BR1275">
            <v>-182868.62435795396</v>
          </cell>
          <cell r="BS1275">
            <v>-147190.13714155194</v>
          </cell>
          <cell r="BT1275">
            <v>-109589.06398686038</v>
          </cell>
          <cell r="BU1275">
            <v>-141192.98995318759</v>
          </cell>
          <cell r="BV1275">
            <v>-190156.20404185518</v>
          </cell>
          <cell r="BW1275">
            <v>-153050.58325388288</v>
          </cell>
          <cell r="BX1275">
            <v>-112238.00578880579</v>
          </cell>
          <cell r="BY1275">
            <v>-147283.34114128901</v>
          </cell>
          <cell r="BZ1275">
            <v>-197723.51064030541</v>
          </cell>
          <cell r="CA1275">
            <v>-159133.65886704449</v>
          </cell>
          <cell r="CB1275">
            <v>-116693.04639012105</v>
          </cell>
          <cell r="CC1275">
            <v>-153140.94739502209</v>
          </cell>
          <cell r="CD1275">
            <v>-205599.51309275188</v>
          </cell>
          <cell r="CE1275">
            <v>-165466.06724856119</v>
          </cell>
          <cell r="CF1275">
            <v>-121326.25143505452</v>
          </cell>
          <cell r="CG1275">
            <v>-159232.85789890456</v>
          </cell>
          <cell r="CH1275">
            <v>-213790.55564329657</v>
          </cell>
          <cell r="CI1275">
            <v>-172051.77196533806</v>
          </cell>
          <cell r="CJ1275">
            <v>-128059.64895180287</v>
          </cell>
          <cell r="CK1275">
            <v>-165031.77227311707</v>
          </cell>
          <cell r="CL1275">
            <v>-222315.15047905088</v>
          </cell>
          <cell r="CM1275">
            <v>-178906.82237612776</v>
          </cell>
          <cell r="CN1275">
            <v>-131156.01743545386</v>
          </cell>
          <cell r="CO1275">
            <v>-172157.45522394142</v>
          </cell>
        </row>
        <row r="1292">
          <cell r="L1292">
            <v>-20830.114895427239</v>
          </cell>
          <cell r="M1292">
            <v>-21125.796031118753</v>
          </cell>
          <cell r="N1292">
            <v>-21425.674327240864</v>
          </cell>
          <cell r="O1292">
            <v>-21729.809362013315</v>
          </cell>
          <cell r="P1292">
            <v>-199146.33264177365</v>
          </cell>
          <cell r="Q1292">
            <v>-268657.42356026266</v>
          </cell>
          <cell r="R1292">
            <v>-272299.49190214585</v>
          </cell>
          <cell r="S1292">
            <v>-279839.19895339728</v>
          </cell>
          <cell r="T1292">
            <v>-285976.56679609255</v>
          </cell>
          <cell r="U1292">
            <v>-292446.41017906717</v>
          </cell>
          <cell r="V1292">
            <v>-299059.3863388169</v>
          </cell>
          <cell r="W1292">
            <v>-305592.78432907653</v>
          </cell>
          <cell r="X1292">
            <v>-311858.77543573658</v>
          </cell>
          <cell r="Y1292">
            <v>-318469.61268908874</v>
          </cell>
          <cell r="Z1292">
            <v>-325493.96853149822</v>
          </cell>
          <cell r="AA1292">
            <v>-192586.9446671989</v>
          </cell>
          <cell r="AB1292">
            <v>-195524.27970701468</v>
          </cell>
          <cell r="AC1292">
            <v>96207.544141445833</v>
          </cell>
          <cell r="AD1292">
            <v>31717.237306855386</v>
          </cell>
          <cell r="AE1292">
            <v>24775.599221723096</v>
          </cell>
          <cell r="AF1292">
            <v>19031.644245063799</v>
          </cell>
          <cell r="AG1292">
            <v>19713.041899257179</v>
          </cell>
          <cell r="AH1292">
            <v>27440.390375892457</v>
          </cell>
          <cell r="AI1292">
            <v>29490.124482546598</v>
          </cell>
          <cell r="AJ1292">
            <v>22570.331343981947</v>
          </cell>
          <cell r="AK1292">
            <v>23258.664996392166</v>
          </cell>
          <cell r="AL1292">
            <v>32233.918226458482</v>
          </cell>
          <cell r="AM1292">
            <v>34539.978751801013</v>
          </cell>
          <cell r="AN1292">
            <v>26572.233299600586</v>
          </cell>
          <cell r="AO1292">
            <v>26777.15254946347</v>
          </cell>
          <cell r="AP1292">
            <v>36698.26979443559</v>
          </cell>
          <cell r="AQ1292">
            <v>38726.536465858924</v>
          </cell>
          <cell r="AR1292">
            <v>28768.484384540236</v>
          </cell>
          <cell r="AS1292">
            <v>28414.065973332705</v>
          </cell>
          <cell r="AT1292">
            <v>38209.227566698479</v>
          </cell>
          <cell r="AU1292">
            <v>59000.43173637765</v>
          </cell>
          <cell r="AV1292">
            <v>173158.37087390432</v>
          </cell>
          <cell r="AW1292">
            <v>206302.26831700176</v>
          </cell>
          <cell r="AX1292">
            <v>193566.19982584263</v>
          </cell>
          <cell r="AY1292">
            <v>129791.96656203766</v>
          </cell>
          <cell r="AZ1292">
            <v>97075.687431118393</v>
          </cell>
          <cell r="BA1292">
            <v>129429.04003879834</v>
          </cell>
          <cell r="BB1292">
            <v>172726.48890893956</v>
          </cell>
          <cell r="BC1292">
            <v>134975.90565850705</v>
          </cell>
          <cell r="BD1292">
            <v>102444.88240606638</v>
          </cell>
          <cell r="BE1292">
            <v>133207.39940461513</v>
          </cell>
          <cell r="BF1292">
            <v>178634.09661211263</v>
          </cell>
          <cell r="BG1292">
            <v>139373.49577542249</v>
          </cell>
          <cell r="BH1292">
            <v>103977.76372249082</v>
          </cell>
          <cell r="BI1292">
            <v>138972.95287115331</v>
          </cell>
          <cell r="BJ1292">
            <v>185805.24597768759</v>
          </cell>
          <cell r="BK1292">
            <v>144974.21513401956</v>
          </cell>
          <cell r="BL1292">
            <v>108167.426260352</v>
          </cell>
          <cell r="BM1292">
            <v>144563.26002070986</v>
          </cell>
          <cell r="BN1292">
            <v>193269.71367924509</v>
          </cell>
          <cell r="BO1292">
            <v>141560.64914876659</v>
          </cell>
          <cell r="BP1292">
            <v>103835.48061482298</v>
          </cell>
          <cell r="BQ1292">
            <v>136235.34118047549</v>
          </cell>
          <cell r="BR1292">
            <v>182868.62435795396</v>
          </cell>
          <cell r="BS1292">
            <v>147190.13714155194</v>
          </cell>
          <cell r="BT1292">
            <v>109589.06398686038</v>
          </cell>
          <cell r="BU1292">
            <v>141192.98995318759</v>
          </cell>
          <cell r="BV1292">
            <v>190156.20404185518</v>
          </cell>
          <cell r="BW1292">
            <v>153050.58325388288</v>
          </cell>
          <cell r="BX1292">
            <v>112238.00578880579</v>
          </cell>
          <cell r="BY1292">
            <v>147283.34114128901</v>
          </cell>
          <cell r="BZ1292">
            <v>197723.51064030541</v>
          </cell>
          <cell r="CA1292">
            <v>159133.65886704449</v>
          </cell>
          <cell r="CB1292">
            <v>116693.04639012105</v>
          </cell>
          <cell r="CC1292">
            <v>153140.94739502209</v>
          </cell>
          <cell r="CD1292">
            <v>205599.51309275188</v>
          </cell>
          <cell r="CE1292">
            <v>165466.06724856119</v>
          </cell>
          <cell r="CF1292">
            <v>121326.25143505452</v>
          </cell>
          <cell r="CG1292">
            <v>159232.85789890456</v>
          </cell>
          <cell r="CH1292">
            <v>213790.55564329657</v>
          </cell>
          <cell r="CI1292">
            <v>172051.77196533806</v>
          </cell>
          <cell r="CJ1292">
            <v>128059.64895180287</v>
          </cell>
          <cell r="CK1292">
            <v>165031.77227311707</v>
          </cell>
          <cell r="CL1292">
            <v>222315.15047905088</v>
          </cell>
          <cell r="CM1292">
            <v>178906.82237612776</v>
          </cell>
          <cell r="CN1292">
            <v>131156.01743545386</v>
          </cell>
          <cell r="CO1292">
            <v>172157.45522394142</v>
          </cell>
        </row>
        <row r="1302">
          <cell r="L1302">
            <v>-20830.114895427239</v>
          </cell>
          <cell r="M1302">
            <v>-21125.796031118753</v>
          </cell>
          <cell r="N1302">
            <v>-21425.674327240864</v>
          </cell>
          <cell r="O1302">
            <v>-21729.809362013315</v>
          </cell>
          <cell r="P1302">
            <v>-199146.33264177365</v>
          </cell>
          <cell r="Q1302">
            <v>-268657.42356026266</v>
          </cell>
          <cell r="R1302">
            <v>-271304.61437700037</v>
          </cell>
          <cell r="S1302">
            <v>-275933.09992852592</v>
          </cell>
          <cell r="T1302">
            <v>-278387.54229471076</v>
          </cell>
          <cell r="U1302">
            <v>-280925.81903635507</v>
          </cell>
          <cell r="V1302">
            <v>-283484.34870119661</v>
          </cell>
          <cell r="W1302">
            <v>-286051.1974298798</v>
          </cell>
          <cell r="X1302">
            <v>-288631.14065353037</v>
          </cell>
          <cell r="Y1302">
            <v>-291251.77605400811</v>
          </cell>
          <cell r="Z1302">
            <v>-293903.23542874877</v>
          </cell>
          <cell r="AA1302">
            <v>-157849.92425003255</v>
          </cell>
          <cell r="AB1302">
            <v>-159281.78816059366</v>
          </cell>
          <cell r="AC1302">
            <v>577245.26484867465</v>
          </cell>
          <cell r="AD1302">
            <v>149258.96490258817</v>
          </cell>
          <cell r="AE1302">
            <v>148653.59533033863</v>
          </cell>
          <cell r="AF1302">
            <v>114189.86547038279</v>
          </cell>
          <cell r="AG1302">
            <v>118278.25139554312</v>
          </cell>
          <cell r="AH1302">
            <v>164642.34225535471</v>
          </cell>
          <cell r="AI1302">
            <v>176940.74689527971</v>
          </cell>
          <cell r="AJ1302">
            <v>135421.98806389168</v>
          </cell>
          <cell r="AK1302">
            <v>139551.98997835303</v>
          </cell>
          <cell r="AL1302">
            <v>193403.50935875118</v>
          </cell>
          <cell r="AM1302">
            <v>207239.87251080631</v>
          </cell>
          <cell r="AN1302">
            <v>159433.39979760349</v>
          </cell>
          <cell r="AO1302">
            <v>160662.91529678079</v>
          </cell>
          <cell r="AP1302">
            <v>220189.61876661365</v>
          </cell>
          <cell r="AQ1302">
            <v>232359.21879515357</v>
          </cell>
          <cell r="AR1302">
            <v>172610.90630724144</v>
          </cell>
          <cell r="AS1302">
            <v>170484.39583999629</v>
          </cell>
          <cell r="AT1302">
            <v>229255.36540019096</v>
          </cell>
          <cell r="AU1302">
            <v>234979.05017117781</v>
          </cell>
          <cell r="AV1302">
            <v>173158.37087390432</v>
          </cell>
          <cell r="AW1302">
            <v>206302.26831700176</v>
          </cell>
          <cell r="AX1302">
            <v>193566.19982584263</v>
          </cell>
          <cell r="AY1302">
            <v>129791.96656203766</v>
          </cell>
          <cell r="AZ1302">
            <v>97075.687431118393</v>
          </cell>
          <cell r="BA1302">
            <v>129429.04003879834</v>
          </cell>
          <cell r="BB1302">
            <v>172726.48890893956</v>
          </cell>
          <cell r="BC1302">
            <v>134975.90565850705</v>
          </cell>
          <cell r="BD1302">
            <v>102444.88240606638</v>
          </cell>
          <cell r="BE1302">
            <v>133207.39940461513</v>
          </cell>
          <cell r="BF1302">
            <v>178634.09661211263</v>
          </cell>
          <cell r="BG1302">
            <v>139373.49577542249</v>
          </cell>
          <cell r="BH1302">
            <v>103977.76372249082</v>
          </cell>
          <cell r="BI1302">
            <v>138972.95287115331</v>
          </cell>
          <cell r="BJ1302">
            <v>185805.24597768759</v>
          </cell>
          <cell r="BK1302">
            <v>144974.21513401956</v>
          </cell>
          <cell r="BL1302">
            <v>108167.426260352</v>
          </cell>
          <cell r="BM1302">
            <v>144563.26002070986</v>
          </cell>
          <cell r="BN1302">
            <v>193269.71367924509</v>
          </cell>
          <cell r="BO1302">
            <v>141560.64914876659</v>
          </cell>
          <cell r="BP1302">
            <v>103835.48061482298</v>
          </cell>
          <cell r="BQ1302">
            <v>136235.34118047549</v>
          </cell>
          <cell r="BR1302">
            <v>182868.62435795396</v>
          </cell>
          <cell r="BS1302">
            <v>147190.13714155194</v>
          </cell>
          <cell r="BT1302">
            <v>109589.06398686038</v>
          </cell>
          <cell r="BU1302">
            <v>141192.98995318759</v>
          </cell>
          <cell r="BV1302">
            <v>190156.20404185518</v>
          </cell>
          <cell r="BW1302">
            <v>153050.58325388288</v>
          </cell>
          <cell r="BX1302">
            <v>112238.00578880579</v>
          </cell>
          <cell r="BY1302">
            <v>147283.34114128901</v>
          </cell>
          <cell r="BZ1302">
            <v>197723.51064030541</v>
          </cell>
          <cell r="CA1302">
            <v>159133.65886704449</v>
          </cell>
          <cell r="CB1302">
            <v>116693.04639012105</v>
          </cell>
          <cell r="CC1302">
            <v>153140.94739502209</v>
          </cell>
          <cell r="CD1302">
            <v>205599.51309275188</v>
          </cell>
          <cell r="CE1302">
            <v>165466.06724856119</v>
          </cell>
          <cell r="CF1302">
            <v>121326.25143505452</v>
          </cell>
          <cell r="CG1302">
            <v>159232.85789890456</v>
          </cell>
          <cell r="CH1302">
            <v>213790.55564329657</v>
          </cell>
          <cell r="CI1302">
            <v>172051.77196533806</v>
          </cell>
          <cell r="CJ1302">
            <v>128059.64895180287</v>
          </cell>
          <cell r="CK1302">
            <v>165031.77227311707</v>
          </cell>
          <cell r="CL1302">
            <v>222315.15047905088</v>
          </cell>
          <cell r="CM1302">
            <v>178906.82237612776</v>
          </cell>
          <cell r="CN1302">
            <v>131156.01743545386</v>
          </cell>
          <cell r="CO1302">
            <v>172157.45522394142</v>
          </cell>
        </row>
        <row r="1361">
          <cell r="E1361">
            <v>0.21537282136279923</v>
          </cell>
        </row>
        <row r="1367">
          <cell r="E1367">
            <v>8.9232765739665668E-2</v>
          </cell>
        </row>
        <row r="1387">
          <cell r="E1387">
            <v>1374546.1950014329</v>
          </cell>
        </row>
        <row r="1388">
          <cell r="E1388">
            <v>0.15623513708388659</v>
          </cell>
        </row>
        <row r="1395">
          <cell r="E1395">
            <v>8.7034859101820263</v>
          </cell>
        </row>
        <row r="1425">
          <cell r="E1425">
            <v>7140.8083309312678</v>
          </cell>
        </row>
        <row r="1426">
          <cell r="E1426">
            <v>0.21696003520837648</v>
          </cell>
        </row>
        <row r="1433">
          <cell r="E1433">
            <v>9.4065867725772101</v>
          </cell>
        </row>
      </sheetData>
      <sheetData sheetId="10">
        <row r="9">
          <cell r="L9">
            <v>1</v>
          </cell>
        </row>
        <row r="39">
          <cell r="I39">
            <v>0</v>
          </cell>
        </row>
        <row r="40">
          <cell r="I40">
            <v>0</v>
          </cell>
        </row>
        <row r="55"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55163.085202902577</v>
          </cell>
          <cell r="AD55">
            <v>102390.36376836945</v>
          </cell>
          <cell r="AE55">
            <v>31153.077832744286</v>
          </cell>
          <cell r="AF55">
            <v>31162.190455691616</v>
          </cell>
          <cell r="AG55">
            <v>91978.02641979864</v>
          </cell>
          <cell r="AH55">
            <v>141169.54200335991</v>
          </cell>
          <cell r="AI55">
            <v>55392.515470678583</v>
          </cell>
          <cell r="AJ55">
            <v>54824.853794542447</v>
          </cell>
          <cell r="AK55">
            <v>126037.89096163042</v>
          </cell>
          <cell r="AL55">
            <v>183174.00755665312</v>
          </cell>
          <cell r="AM55">
            <v>82474.96005348656</v>
          </cell>
          <cell r="AN55">
            <v>82702.700819887206</v>
          </cell>
          <cell r="AO55">
            <v>163706.82408711419</v>
          </cell>
          <cell r="AP55">
            <v>222151.58749822745</v>
          </cell>
          <cell r="AQ55">
            <v>104399.84797914412</v>
          </cell>
          <cell r="AR55">
            <v>98909.14676990117</v>
          </cell>
          <cell r="AS55">
            <v>180980.63757805631</v>
          </cell>
          <cell r="AT55">
            <v>242031.92549398256</v>
          </cell>
          <cell r="AU55">
            <v>119708.83541736171</v>
          </cell>
          <cell r="AV55">
            <v>113612.10706745635</v>
          </cell>
          <cell r="AW55">
            <v>107964.32181670869</v>
          </cell>
          <cell r="AX55">
            <v>146854.69587700887</v>
          </cell>
          <cell r="AY55">
            <v>64813.260942037537</v>
          </cell>
          <cell r="AZ55">
            <v>59232.343582941743</v>
          </cell>
          <cell r="BA55">
            <v>114063.89081520305</v>
          </cell>
          <cell r="BB55">
            <v>154510.81406129137</v>
          </cell>
          <cell r="BC55">
            <v>69187.721728921169</v>
          </cell>
          <cell r="BD55">
            <v>64563.647585761733</v>
          </cell>
          <cell r="BE55">
            <v>142416.24775003811</v>
          </cell>
          <cell r="BF55">
            <v>184482.06276561978</v>
          </cell>
          <cell r="BG55">
            <v>95746.054808304936</v>
          </cell>
          <cell r="BH55">
            <v>89699.22525169162</v>
          </cell>
          <cell r="BI55">
            <v>149006.93255379255</v>
          </cell>
          <cell r="BJ55">
            <v>192756.23055244907</v>
          </cell>
          <cell r="BK55">
            <v>100470.77388575755</v>
          </cell>
          <cell r="BL55">
            <v>94187.168318153766</v>
          </cell>
          <cell r="BM55">
            <v>155868.1181357149</v>
          </cell>
          <cell r="BN55">
            <v>201368.32227769366</v>
          </cell>
          <cell r="BO55">
            <v>105391.44734433445</v>
          </cell>
          <cell r="BP55">
            <v>98854.62910727429</v>
          </cell>
          <cell r="BQ55">
            <v>163003.75114091398</v>
          </cell>
          <cell r="BR55">
            <v>210324.89767194813</v>
          </cell>
          <cell r="BS55">
            <v>110508.94774125452</v>
          </cell>
          <cell r="BT55">
            <v>105094.4815099847</v>
          </cell>
          <cell r="BU55">
            <v>170431.55472392496</v>
          </cell>
          <cell r="BV55">
            <v>219646.564810018</v>
          </cell>
          <cell r="BW55">
            <v>115837.98632092506</v>
          </cell>
          <cell r="BX55">
            <v>108757.11391747257</v>
          </cell>
          <cell r="BY55">
            <v>178142.71012474468</v>
          </cell>
          <cell r="BZ55">
            <v>229327.16802839853</v>
          </cell>
          <cell r="CA55">
            <v>121366.23658336018</v>
          </cell>
          <cell r="CB55">
            <v>114007.37253056598</v>
          </cell>
          <cell r="CC55">
            <v>186169.326809505</v>
          </cell>
          <cell r="CD55">
            <v>239402.09725268115</v>
          </cell>
          <cell r="CE55">
            <v>127122.72854984138</v>
          </cell>
          <cell r="CF55">
            <v>119467.64148818303</v>
          </cell>
          <cell r="CG55">
            <v>194517.00816165586</v>
          </cell>
          <cell r="CH55">
            <v>249880.02364593503</v>
          </cell>
          <cell r="CI55">
            <v>133109.48019498185</v>
          </cell>
          <cell r="CJ55">
            <v>126770.36701367958</v>
          </cell>
          <cell r="CK55">
            <v>203205.50139835436</v>
          </cell>
          <cell r="CL55">
            <v>260784.05853479452</v>
          </cell>
          <cell r="CM55">
            <v>139342.70438789768</v>
          </cell>
          <cell r="CN55">
            <v>131052.14810866347</v>
          </cell>
          <cell r="CO55">
            <v>212227.4489183788</v>
          </cell>
        </row>
        <row r="57"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55163.085202902577</v>
          </cell>
          <cell r="AD57">
            <v>101255.57795987217</v>
          </cell>
          <cell r="AE57">
            <v>30730.664883603258</v>
          </cell>
          <cell r="AF57">
            <v>30739.686380321113</v>
          </cell>
          <cell r="AG57">
            <v>90947.363984787065</v>
          </cell>
          <cell r="AH57">
            <v>139646.96441251272</v>
          </cell>
          <cell r="AI57">
            <v>54727.708145158213</v>
          </cell>
          <cell r="AJ57">
            <v>54165.723085783437</v>
          </cell>
          <cell r="AK57">
            <v>124666.62988120053</v>
          </cell>
          <cell r="AL57">
            <v>181231.38531027301</v>
          </cell>
          <cell r="AM57">
            <v>81539.328282138114</v>
          </cell>
          <cell r="AN57">
            <v>81764.791640874755</v>
          </cell>
          <cell r="AO57">
            <v>160290.67036701081</v>
          </cell>
          <cell r="AP57">
            <v>217486.79140663572</v>
          </cell>
          <cell r="AQ57">
            <v>102090.08667793407</v>
          </cell>
          <cell r="AR57">
            <v>96709.199492875981</v>
          </cell>
          <cell r="AS57">
            <v>177139.26048486802</v>
          </cell>
          <cell r="AT57">
            <v>236969.52264247573</v>
          </cell>
          <cell r="AU57">
            <v>110553.04174245129</v>
          </cell>
          <cell r="AV57">
            <v>104883.08437703931</v>
          </cell>
          <cell r="AW57">
            <v>99630.644093843977</v>
          </cell>
          <cell r="AX57">
            <v>135798.69196992315</v>
          </cell>
          <cell r="AY57">
            <v>59500.157480399808</v>
          </cell>
          <cell r="AZ57">
            <v>54309.904336440719</v>
          </cell>
          <cell r="BA57">
            <v>105303.24326244374</v>
          </cell>
          <cell r="BB57">
            <v>142918.88188130586</v>
          </cell>
          <cell r="BC57">
            <v>63568.406012201587</v>
          </cell>
          <cell r="BD57">
            <v>59268.017059063306</v>
          </cell>
          <cell r="BE57">
            <v>132211.1532308805</v>
          </cell>
          <cell r="BF57">
            <v>171332.36119537146</v>
          </cell>
          <cell r="BG57">
            <v>88807.873795068663</v>
          </cell>
          <cell r="BH57">
            <v>83184.322307418275</v>
          </cell>
          <cell r="BI57">
            <v>138340.49009837213</v>
          </cell>
          <cell r="BJ57">
            <v>179027.3372371227</v>
          </cell>
          <cell r="BK57">
            <v>93201.862537099587</v>
          </cell>
          <cell r="BL57">
            <v>87358.109359228067</v>
          </cell>
          <cell r="BM57">
            <v>144721.39268955993</v>
          </cell>
          <cell r="BN57">
            <v>187036.58254160016</v>
          </cell>
          <cell r="BO57">
            <v>88533.296400512409</v>
          </cell>
          <cell r="BP57">
            <v>83009.684990196576</v>
          </cell>
          <cell r="BQ57">
            <v>137215.6931086221</v>
          </cell>
          <cell r="BR57">
            <v>177202.06192734596</v>
          </cell>
          <cell r="BS57">
            <v>92857.584235909875</v>
          </cell>
          <cell r="BT57">
            <v>88282.360270486868</v>
          </cell>
          <cell r="BU57">
            <v>143492.18713626638</v>
          </cell>
          <cell r="BV57">
            <v>185078.87065901503</v>
          </cell>
          <cell r="BW57">
            <v>97360.621835731479</v>
          </cell>
          <cell r="BX57">
            <v>91377.284654814124</v>
          </cell>
          <cell r="BY57">
            <v>150008.11344995906</v>
          </cell>
          <cell r="BZ57">
            <v>193258.98037854658</v>
          </cell>
          <cell r="CA57">
            <v>102031.99330748915</v>
          </cell>
          <cell r="CB57">
            <v>95813.753182878048</v>
          </cell>
          <cell r="CC57">
            <v>156790.60454858153</v>
          </cell>
          <cell r="CD57">
            <v>201772.29557306538</v>
          </cell>
          <cell r="CE57">
            <v>106896.22901916577</v>
          </cell>
          <cell r="CF57">
            <v>100427.68045206447</v>
          </cell>
          <cell r="CG57">
            <v>163844.39529114901</v>
          </cell>
          <cell r="CH57">
            <v>210626.14337536489</v>
          </cell>
          <cell r="CI57">
            <v>111955.03415930946</v>
          </cell>
          <cell r="CJ57">
            <v>106598.48352110904</v>
          </cell>
          <cell r="CK57">
            <v>171186.17207615924</v>
          </cell>
          <cell r="CL57">
            <v>219840.05285645116</v>
          </cell>
          <cell r="CM57">
            <v>117222.10860232334</v>
          </cell>
          <cell r="CN57">
            <v>110216.58854637043</v>
          </cell>
          <cell r="CO57">
            <v>178809.7177305799</v>
          </cell>
        </row>
        <row r="61"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135308.9914571066</v>
          </cell>
          <cell r="AD61">
            <v>176749.84415722516</v>
          </cell>
          <cell r="AE61">
            <v>103741.17839099851</v>
          </cell>
          <cell r="AF61">
            <v>101811.88448989822</v>
          </cell>
          <cell r="AG61">
            <v>162015.80492134477</v>
          </cell>
          <cell r="AH61">
            <v>210518.83697544926</v>
          </cell>
          <cell r="AI61">
            <v>123199.48785986364</v>
          </cell>
          <cell r="AJ61">
            <v>120409.33804064512</v>
          </cell>
          <cell r="AK61">
            <v>190639.26850330152</v>
          </cell>
          <cell r="AL61">
            <v>246703.11152645547</v>
          </cell>
          <cell r="AM61">
            <v>144045.03825878838</v>
          </cell>
          <cell r="AN61">
            <v>141894.01515792866</v>
          </cell>
          <cell r="AO61">
            <v>221296.475883682</v>
          </cell>
          <cell r="AP61">
            <v>278252.26185414696</v>
          </cell>
          <cell r="AQ61">
            <v>158131.80959959468</v>
          </cell>
          <cell r="AR61">
            <v>149930.35762360794</v>
          </cell>
          <cell r="AS61">
            <v>230226.59697051343</v>
          </cell>
          <cell r="AT61">
            <v>289461.46729959338</v>
          </cell>
          <cell r="AU61">
            <v>164536.18978212489</v>
          </cell>
          <cell r="AV61">
            <v>156011.65203240409</v>
          </cell>
          <cell r="AW61">
            <v>150363.86678165643</v>
          </cell>
          <cell r="AX61">
            <v>189254.24084195661</v>
          </cell>
          <cell r="AY61">
            <v>107212.80590698528</v>
          </cell>
          <cell r="AZ61">
            <v>101631.88854788948</v>
          </cell>
          <cell r="BA61">
            <v>156463.43578015079</v>
          </cell>
          <cell r="BB61">
            <v>196910.35902623911</v>
          </cell>
          <cell r="BC61">
            <v>111587.26669386891</v>
          </cell>
          <cell r="BD61">
            <v>106963.19255070931</v>
          </cell>
          <cell r="BE61">
            <v>162813.59656360166</v>
          </cell>
          <cell r="BF61">
            <v>204879.41157918333</v>
          </cell>
          <cell r="BG61">
            <v>116143.40362186849</v>
          </cell>
          <cell r="BH61">
            <v>110096.57406525518</v>
          </cell>
          <cell r="BI61">
            <v>169404.2813673561</v>
          </cell>
          <cell r="BJ61">
            <v>213153.57936601262</v>
          </cell>
          <cell r="BK61">
            <v>120868.1226993211</v>
          </cell>
          <cell r="BL61">
            <v>114584.51713171732</v>
          </cell>
          <cell r="BM61">
            <v>176265.46694927846</v>
          </cell>
          <cell r="BN61">
            <v>221765.67109125722</v>
          </cell>
          <cell r="BO61">
            <v>125788.796157898</v>
          </cell>
          <cell r="BP61">
            <v>119251.97792083785</v>
          </cell>
          <cell r="BQ61">
            <v>183401.09995447754</v>
          </cell>
          <cell r="BR61">
            <v>230722.24648551169</v>
          </cell>
          <cell r="BS61">
            <v>130906.29655481808</v>
          </cell>
          <cell r="BT61">
            <v>125491.83032354827</v>
          </cell>
          <cell r="BU61">
            <v>190828.90353748851</v>
          </cell>
          <cell r="BV61">
            <v>240043.91362358155</v>
          </cell>
          <cell r="BW61">
            <v>136235.33513448862</v>
          </cell>
          <cell r="BX61">
            <v>129154.46273103612</v>
          </cell>
          <cell r="BY61">
            <v>198540.05893830824</v>
          </cell>
          <cell r="BZ61">
            <v>249724.51684196209</v>
          </cell>
          <cell r="CA61">
            <v>141763.58539692374</v>
          </cell>
          <cell r="CB61">
            <v>134404.72134412953</v>
          </cell>
          <cell r="CC61">
            <v>206566.67562306856</v>
          </cell>
          <cell r="CD61">
            <v>259799.44606624471</v>
          </cell>
          <cell r="CE61">
            <v>147520.07736340494</v>
          </cell>
          <cell r="CF61">
            <v>139864.99030174658</v>
          </cell>
          <cell r="CG61">
            <v>214914.35697521942</v>
          </cell>
          <cell r="CH61">
            <v>270277.37245949858</v>
          </cell>
          <cell r="CI61">
            <v>153506.82900854541</v>
          </cell>
          <cell r="CJ61">
            <v>147167.71582724314</v>
          </cell>
          <cell r="CK61">
            <v>223602.85021191792</v>
          </cell>
          <cell r="CL61">
            <v>281181.40734835807</v>
          </cell>
          <cell r="CM61">
            <v>159740.05320146124</v>
          </cell>
          <cell r="CN61">
            <v>151449.49692222703</v>
          </cell>
          <cell r="CO61">
            <v>232624.79773194235</v>
          </cell>
        </row>
        <row r="62"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92909.446492158866</v>
          </cell>
          <cell r="AD62">
            <v>134350.29919227742</v>
          </cell>
          <cell r="AE62">
            <v>61341.633426050772</v>
          </cell>
          <cell r="AF62">
            <v>59412.339524950483</v>
          </cell>
          <cell r="AG62">
            <v>119616.25995639703</v>
          </cell>
          <cell r="AH62">
            <v>168119.29201050152</v>
          </cell>
          <cell r="AI62">
            <v>80799.942894915905</v>
          </cell>
          <cell r="AJ62">
            <v>78009.79307569738</v>
          </cell>
          <cell r="AK62">
            <v>148239.72353835378</v>
          </cell>
          <cell r="AL62">
            <v>204303.56656150773</v>
          </cell>
          <cell r="AM62">
            <v>101645.49329384064</v>
          </cell>
          <cell r="AN62">
            <v>99494.470192980923</v>
          </cell>
          <cell r="AO62">
            <v>178896.93091873426</v>
          </cell>
          <cell r="AP62">
            <v>235852.71688919922</v>
          </cell>
          <cell r="AQ62">
            <v>115732.26463464694</v>
          </cell>
          <cell r="AR62">
            <v>107530.8126586602</v>
          </cell>
          <cell r="AS62">
            <v>187827.0520055657</v>
          </cell>
          <cell r="AT62">
            <v>247061.92233464564</v>
          </cell>
          <cell r="AU62">
            <v>122136.64481717715</v>
          </cell>
          <cell r="AV62">
            <v>113612.10706745635</v>
          </cell>
          <cell r="AW62">
            <v>107964.32181670869</v>
          </cell>
          <cell r="AX62">
            <v>146854.69587700887</v>
          </cell>
          <cell r="AY62">
            <v>64813.260942037537</v>
          </cell>
          <cell r="AZ62">
            <v>59232.343582941743</v>
          </cell>
          <cell r="BA62">
            <v>114063.89081520305</v>
          </cell>
          <cell r="BB62">
            <v>154510.81406129137</v>
          </cell>
          <cell r="BC62">
            <v>69187.721728921169</v>
          </cell>
          <cell r="BD62">
            <v>64563.647585761733</v>
          </cell>
          <cell r="BE62">
            <v>142416.24775003811</v>
          </cell>
          <cell r="BF62">
            <v>184482.06276561978</v>
          </cell>
          <cell r="BG62">
            <v>95746.054808304936</v>
          </cell>
          <cell r="BH62">
            <v>89699.22525169162</v>
          </cell>
          <cell r="BI62">
            <v>149006.93255379255</v>
          </cell>
          <cell r="BJ62">
            <v>192756.23055244907</v>
          </cell>
          <cell r="BK62">
            <v>100470.77388575755</v>
          </cell>
          <cell r="BL62">
            <v>94187.168318153766</v>
          </cell>
          <cell r="BM62">
            <v>155868.1181357149</v>
          </cell>
          <cell r="BN62">
            <v>201368.32227769366</v>
          </cell>
          <cell r="BO62">
            <v>105391.44734433445</v>
          </cell>
          <cell r="BP62">
            <v>98854.62910727429</v>
          </cell>
          <cell r="BQ62">
            <v>163003.75114091398</v>
          </cell>
          <cell r="BR62">
            <v>210324.89767194813</v>
          </cell>
          <cell r="BS62">
            <v>110508.94774125452</v>
          </cell>
          <cell r="BT62">
            <v>105094.4815099847</v>
          </cell>
          <cell r="BU62">
            <v>170431.55472392496</v>
          </cell>
          <cell r="BV62">
            <v>219646.564810018</v>
          </cell>
          <cell r="BW62">
            <v>115837.98632092506</v>
          </cell>
          <cell r="BX62">
            <v>108757.11391747257</v>
          </cell>
          <cell r="BY62">
            <v>178142.71012474468</v>
          </cell>
          <cell r="BZ62">
            <v>229327.16802839853</v>
          </cell>
          <cell r="CA62">
            <v>121366.23658336018</v>
          </cell>
          <cell r="CB62">
            <v>114007.37253056598</v>
          </cell>
          <cell r="CC62">
            <v>186169.326809505</v>
          </cell>
          <cell r="CD62">
            <v>239402.09725268115</v>
          </cell>
          <cell r="CE62">
            <v>127122.72854984138</v>
          </cell>
          <cell r="CF62">
            <v>119467.64148818303</v>
          </cell>
          <cell r="CG62">
            <v>194517.00816165586</v>
          </cell>
          <cell r="CH62">
            <v>249880.02364593503</v>
          </cell>
          <cell r="CI62">
            <v>133109.48019498185</v>
          </cell>
          <cell r="CJ62">
            <v>126770.36701367958</v>
          </cell>
          <cell r="CK62">
            <v>203205.50139835436</v>
          </cell>
          <cell r="CL62">
            <v>260784.05853479452</v>
          </cell>
          <cell r="CM62">
            <v>139342.70438789768</v>
          </cell>
          <cell r="CN62">
            <v>131052.14810866347</v>
          </cell>
          <cell r="CO62">
            <v>212227.4489183788</v>
          </cell>
        </row>
        <row r="78">
          <cell r="L78">
            <v>-3471.68581590454</v>
          </cell>
          <cell r="M78">
            <v>-3520.9660051864589</v>
          </cell>
          <cell r="N78">
            <v>-3570.945721206811</v>
          </cell>
          <cell r="O78">
            <v>-3621.6348936688864</v>
          </cell>
          <cell r="P78">
            <v>-33191.055440295611</v>
          </cell>
          <cell r="Q78">
            <v>-44776.237260043774</v>
          </cell>
          <cell r="R78">
            <v>-46212.313254645538</v>
          </cell>
          <cell r="S78">
            <v>-51524.29141917378</v>
          </cell>
          <cell r="T78">
            <v>-55411.979656744203</v>
          </cell>
          <cell r="U78">
            <v>-59609.976426839625</v>
          </cell>
          <cell r="V78">
            <v>-63928.720545416669</v>
          </cell>
          <cell r="W78">
            <v>-68145.280493484155</v>
          </cell>
          <cell r="X78">
            <v>-72071.604810814271</v>
          </cell>
          <cell r="Y78">
            <v>-76319.721586772197</v>
          </cell>
          <cell r="Z78">
            <v>-80958.076106362103</v>
          </cell>
          <cell r="AA78">
            <v>-61244.407442060328</v>
          </cell>
          <cell r="AB78">
            <v>-62887.571065423734</v>
          </cell>
          <cell r="AC78">
            <v>539498.90355941816</v>
          </cell>
          <cell r="AD78">
            <v>117299.02947868017</v>
          </cell>
          <cell r="AE78">
            <v>118465.03973703214</v>
          </cell>
          <cell r="AF78">
            <v>85939.716401123922</v>
          </cell>
          <cell r="AG78">
            <v>90640.017858944731</v>
          </cell>
          <cell r="AH78">
            <v>137692.5922482131</v>
          </cell>
          <cell r="AI78">
            <v>151533.31947104237</v>
          </cell>
          <cell r="AJ78">
            <v>112237.04878273673</v>
          </cell>
          <cell r="AK78">
            <v>117350.15740162967</v>
          </cell>
          <cell r="AL78">
            <v>172273.95035389657</v>
          </cell>
          <cell r="AM78">
            <v>188069.33927045224</v>
          </cell>
          <cell r="AN78">
            <v>142641.63042450979</v>
          </cell>
          <cell r="AO78">
            <v>145472.80846516072</v>
          </cell>
          <cell r="AP78">
            <v>206488.48937564186</v>
          </cell>
          <cell r="AQ78">
            <v>221026.80213965074</v>
          </cell>
          <cell r="AR78">
            <v>163989.24041848243</v>
          </cell>
          <cell r="AS78">
            <v>163637.98141248693</v>
          </cell>
          <cell r="AT78">
            <v>224225.36855952788</v>
          </cell>
          <cell r="AU78">
            <v>232551.24077136238</v>
          </cell>
          <cell r="AV78">
            <v>173158.37087390432</v>
          </cell>
          <cell r="AW78">
            <v>206302.26831700176</v>
          </cell>
          <cell r="AX78">
            <v>193566.19982584263</v>
          </cell>
          <cell r="AY78">
            <v>129791.96656203768</v>
          </cell>
          <cell r="AZ78">
            <v>97075.687431118393</v>
          </cell>
          <cell r="BA78">
            <v>129429.04003879835</v>
          </cell>
          <cell r="BB78">
            <v>172726.48890893956</v>
          </cell>
          <cell r="BC78">
            <v>134975.90565850708</v>
          </cell>
          <cell r="BD78">
            <v>102444.88240606638</v>
          </cell>
          <cell r="BE78">
            <v>133207.39940461513</v>
          </cell>
          <cell r="BF78">
            <v>178634.09661211265</v>
          </cell>
          <cell r="BG78">
            <v>139373.49577542252</v>
          </cell>
          <cell r="BH78">
            <v>103977.76372249082</v>
          </cell>
          <cell r="BI78">
            <v>138972.95287115331</v>
          </cell>
          <cell r="BJ78">
            <v>185805.24597768759</v>
          </cell>
          <cell r="BK78">
            <v>144974.21513401956</v>
          </cell>
          <cell r="BL78">
            <v>108167.42626035202</v>
          </cell>
          <cell r="BM78">
            <v>144563.26002070986</v>
          </cell>
          <cell r="BN78">
            <v>193269.71367924509</v>
          </cell>
          <cell r="BO78">
            <v>141560.64914876662</v>
          </cell>
          <cell r="BP78">
            <v>103835.48061482298</v>
          </cell>
          <cell r="BQ78">
            <v>136235.34118047552</v>
          </cell>
          <cell r="BR78">
            <v>182868.62435795396</v>
          </cell>
          <cell r="BS78">
            <v>147190.13714155194</v>
          </cell>
          <cell r="BT78">
            <v>109589.06398686039</v>
          </cell>
          <cell r="BU78">
            <v>141192.98995318759</v>
          </cell>
          <cell r="BV78">
            <v>190156.20404185515</v>
          </cell>
          <cell r="BW78">
            <v>153050.58325388288</v>
          </cell>
          <cell r="BX78">
            <v>112238.00578880581</v>
          </cell>
          <cell r="BY78">
            <v>147283.34114128901</v>
          </cell>
          <cell r="BZ78">
            <v>197723.51064030538</v>
          </cell>
          <cell r="CA78">
            <v>159133.65886704449</v>
          </cell>
          <cell r="CB78">
            <v>116693.04639012103</v>
          </cell>
          <cell r="CC78">
            <v>153140.94739502209</v>
          </cell>
          <cell r="CD78">
            <v>205599.51309275185</v>
          </cell>
          <cell r="CE78">
            <v>165466.06724856119</v>
          </cell>
          <cell r="CF78">
            <v>121326.25143505454</v>
          </cell>
          <cell r="CG78">
            <v>159232.85789890459</v>
          </cell>
          <cell r="CH78">
            <v>213790.55564329657</v>
          </cell>
          <cell r="CI78">
            <v>172051.77196533806</v>
          </cell>
          <cell r="CJ78">
            <v>128059.64895180287</v>
          </cell>
          <cell r="CK78">
            <v>165031.77227311707</v>
          </cell>
          <cell r="CL78">
            <v>222315.15047905088</v>
          </cell>
          <cell r="CM78">
            <v>178906.82237612776</v>
          </cell>
          <cell r="CN78">
            <v>131156.01743545386</v>
          </cell>
          <cell r="CO78">
            <v>172157.45522394136</v>
          </cell>
        </row>
        <row r="82">
          <cell r="L82">
            <v>-17358.429079522699</v>
          </cell>
          <cell r="M82">
            <v>-17604.830025932293</v>
          </cell>
          <cell r="N82">
            <v>-17854.728606034052</v>
          </cell>
          <cell r="O82">
            <v>-18108.17446834443</v>
          </cell>
          <cell r="P82">
            <v>-165955.27720147805</v>
          </cell>
          <cell r="Q82">
            <v>-223881.18630021886</v>
          </cell>
          <cell r="R82">
            <v>-226087.17864750029</v>
          </cell>
          <cell r="S82">
            <v>-228314.90753422349</v>
          </cell>
          <cell r="T82">
            <v>-230564.58713934835</v>
          </cell>
          <cell r="U82">
            <v>-232836.43375222755</v>
          </cell>
          <cell r="V82">
            <v>-235130.66579340029</v>
          </cell>
          <cell r="W82">
            <v>-237447.50383559233</v>
          </cell>
          <cell r="X82">
            <v>-239787.17062492229</v>
          </cell>
          <cell r="Y82">
            <v>-242149.89110231656</v>
          </cell>
          <cell r="Z82">
            <v>-244535.89242513615</v>
          </cell>
          <cell r="AA82">
            <v>-131342.53722513857</v>
          </cell>
          <cell r="AB82">
            <v>-132636.70864159093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</row>
        <row r="91">
          <cell r="L91">
            <v>20830.114895427239</v>
          </cell>
          <cell r="M91">
            <v>21125.796031118753</v>
          </cell>
          <cell r="N91">
            <v>21425.674327240864</v>
          </cell>
          <cell r="O91">
            <v>21729.809362013315</v>
          </cell>
          <cell r="P91">
            <v>199146.33264177365</v>
          </cell>
          <cell r="Q91">
            <v>268657.42356026266</v>
          </cell>
          <cell r="R91">
            <v>272299.49190214585</v>
          </cell>
          <cell r="S91">
            <v>279839.19895339722</v>
          </cell>
          <cell r="T91">
            <v>285976.56679609255</v>
          </cell>
          <cell r="U91">
            <v>292446.41017906723</v>
          </cell>
          <cell r="V91">
            <v>299059.38633881696</v>
          </cell>
          <cell r="W91">
            <v>305592.78432907647</v>
          </cell>
          <cell r="X91">
            <v>311858.77543573658</v>
          </cell>
          <cell r="Y91">
            <v>318469.61268908874</v>
          </cell>
          <cell r="Z91">
            <v>325493.96853149828</v>
          </cell>
          <cell r="AA91">
            <v>192586.9446671989</v>
          </cell>
          <cell r="AB91">
            <v>195524.27970701468</v>
          </cell>
          <cell r="AC91">
            <v>-498454.44462087518</v>
          </cell>
          <cell r="AD91">
            <v>-158343.48841722339</v>
          </cell>
          <cell r="AE91">
            <v>-118465.03973703214</v>
          </cell>
          <cell r="AF91">
            <v>-85939.716401123922</v>
          </cell>
          <cell r="AG91">
            <v>-90640.017858944731</v>
          </cell>
          <cell r="AH91">
            <v>-137692.5922482131</v>
          </cell>
          <cell r="AI91">
            <v>-151533.31947104237</v>
          </cell>
          <cell r="AJ91">
            <v>-112237.04878273675</v>
          </cell>
          <cell r="AK91">
            <v>-117350.15740162967</v>
          </cell>
          <cell r="AL91">
            <v>-172273.95035389654</v>
          </cell>
          <cell r="AM91">
            <v>-188069.33927045221</v>
          </cell>
          <cell r="AN91">
            <v>-142641.63042450979</v>
          </cell>
          <cell r="AO91">
            <v>-145472.80846516072</v>
          </cell>
          <cell r="AP91">
            <v>-206488.48937564189</v>
          </cell>
          <cell r="AQ91">
            <v>-221026.80213965077</v>
          </cell>
          <cell r="AR91">
            <v>-163989.2404184824</v>
          </cell>
          <cell r="AS91">
            <v>-163637.9814124869</v>
          </cell>
          <cell r="AT91">
            <v>-224225.36855952788</v>
          </cell>
          <cell r="AU91">
            <v>-232551.24077136238</v>
          </cell>
          <cell r="AV91">
            <v>-173158.37087390432</v>
          </cell>
          <cell r="AW91">
            <v>-206302.26831700176</v>
          </cell>
          <cell r="AX91">
            <v>-193566.19982584263</v>
          </cell>
          <cell r="AY91">
            <v>-129791.96656203766</v>
          </cell>
          <cell r="AZ91">
            <v>-97075.687431118393</v>
          </cell>
          <cell r="BA91">
            <v>-129429.04003879834</v>
          </cell>
          <cell r="BB91">
            <v>-172726.48890893956</v>
          </cell>
          <cell r="BC91">
            <v>-134975.90565850705</v>
          </cell>
          <cell r="BD91">
            <v>-102444.88240606638</v>
          </cell>
          <cell r="BE91">
            <v>-133207.39940461513</v>
          </cell>
          <cell r="BF91">
            <v>-178634.09661211263</v>
          </cell>
          <cell r="BG91">
            <v>-139373.49577542249</v>
          </cell>
          <cell r="BH91">
            <v>-103977.76372249082</v>
          </cell>
          <cell r="BI91">
            <v>-138972.95287115331</v>
          </cell>
          <cell r="BJ91">
            <v>-185805.24597768759</v>
          </cell>
          <cell r="BK91">
            <v>-144974.21513401956</v>
          </cell>
          <cell r="BL91">
            <v>-108167.426260352</v>
          </cell>
          <cell r="BM91">
            <v>-144563.26002070986</v>
          </cell>
          <cell r="BN91">
            <v>-193269.71367924509</v>
          </cell>
          <cell r="BO91">
            <v>-141560.64914876659</v>
          </cell>
          <cell r="BP91">
            <v>-103835.48061482298</v>
          </cell>
          <cell r="BQ91">
            <v>-136235.34118047549</v>
          </cell>
          <cell r="BR91">
            <v>-182868.62435795396</v>
          </cell>
          <cell r="BS91">
            <v>-147190.13714155194</v>
          </cell>
          <cell r="BT91">
            <v>-109589.06398686038</v>
          </cell>
          <cell r="BU91">
            <v>-141192.98995318759</v>
          </cell>
          <cell r="BV91">
            <v>-190156.20404185518</v>
          </cell>
          <cell r="BW91">
            <v>-153050.58325388288</v>
          </cell>
          <cell r="BX91">
            <v>-112238.00578880579</v>
          </cell>
          <cell r="BY91">
            <v>-147283.34114128901</v>
          </cell>
          <cell r="BZ91">
            <v>-197723.51064030541</v>
          </cell>
          <cell r="CA91">
            <v>-159133.65886704449</v>
          </cell>
          <cell r="CB91">
            <v>-116693.04639012105</v>
          </cell>
          <cell r="CC91">
            <v>-153140.94739502209</v>
          </cell>
          <cell r="CD91">
            <v>-205599.51309275188</v>
          </cell>
          <cell r="CE91">
            <v>-165466.06724856119</v>
          </cell>
          <cell r="CF91">
            <v>-121326.25143505452</v>
          </cell>
          <cell r="CG91">
            <v>-159232.85789890456</v>
          </cell>
          <cell r="CH91">
            <v>-213790.55564329657</v>
          </cell>
          <cell r="CI91">
            <v>-172051.77196533806</v>
          </cell>
          <cell r="CJ91">
            <v>-128059.64895180287</v>
          </cell>
          <cell r="CK91">
            <v>-165031.77227311707</v>
          </cell>
          <cell r="CL91">
            <v>-222315.15047905088</v>
          </cell>
          <cell r="CM91">
            <v>-178906.82237612776</v>
          </cell>
          <cell r="CN91">
            <v>-131156.01743545386</v>
          </cell>
          <cell r="CO91">
            <v>-172157.45522394142</v>
          </cell>
        </row>
        <row r="95"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41044.458938542986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>
            <v>0</v>
          </cell>
          <cell r="CO95">
            <v>0</v>
          </cell>
        </row>
        <row r="97"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41044.458938542986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</row>
      </sheetData>
      <sheetData sheetId="11">
        <row r="6">
          <cell r="L6">
            <v>2025</v>
          </cell>
          <cell r="M6">
            <v>2026</v>
          </cell>
          <cell r="N6">
            <v>2027</v>
          </cell>
          <cell r="O6">
            <v>2028</v>
          </cell>
          <cell r="P6">
            <v>2029</v>
          </cell>
          <cell r="Q6">
            <v>2030</v>
          </cell>
          <cell r="R6">
            <v>2031</v>
          </cell>
          <cell r="S6">
            <v>2032</v>
          </cell>
          <cell r="T6">
            <v>2033</v>
          </cell>
          <cell r="U6">
            <v>2034</v>
          </cell>
          <cell r="V6">
            <v>2035</v>
          </cell>
          <cell r="W6">
            <v>2036</v>
          </cell>
          <cell r="X6">
            <v>2037</v>
          </cell>
          <cell r="Y6">
            <v>2038</v>
          </cell>
          <cell r="Z6">
            <v>2039</v>
          </cell>
          <cell r="AA6">
            <v>2040</v>
          </cell>
          <cell r="AB6">
            <v>2041</v>
          </cell>
          <cell r="AC6">
            <v>2042</v>
          </cell>
          <cell r="AD6">
            <v>2043</v>
          </cell>
          <cell r="AE6">
            <v>2044</v>
          </cell>
          <cell r="AF6">
            <v>2045</v>
          </cell>
          <cell r="AG6">
            <v>2046</v>
          </cell>
          <cell r="AH6">
            <v>2047</v>
          </cell>
          <cell r="AI6">
            <v>2048</v>
          </cell>
          <cell r="AJ6">
            <v>2049</v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 t="str">
            <v/>
          </cell>
          <cell r="BC6" t="str">
            <v/>
          </cell>
          <cell r="BD6" t="str">
            <v/>
          </cell>
          <cell r="BE6" t="str">
            <v/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</row>
      </sheetData>
      <sheetData sheetId="12">
        <row r="19">
          <cell r="C19" t="b">
            <v>1</v>
          </cell>
        </row>
      </sheetData>
      <sheetData sheetId="13"/>
      <sheetData sheetId="14"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</sheetData>
      <sheetData sheetId="15">
        <row r="121">
          <cell r="L121">
            <v>0</v>
          </cell>
        </row>
      </sheetData>
      <sheetData sheetId="16"/>
      <sheetData sheetId="17">
        <row r="23"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ТуризмРФ">
      <a:dk1>
        <a:sysClr val="windowText" lastClr="000000"/>
      </a:dk1>
      <a:lt1>
        <a:srgbClr val="FFFFFF"/>
      </a:lt1>
      <a:dk2>
        <a:srgbClr val="075197"/>
      </a:dk2>
      <a:lt2>
        <a:srgbClr val="D0CECE"/>
      </a:lt2>
      <a:accent1>
        <a:srgbClr val="AEABAB"/>
      </a:accent1>
      <a:accent2>
        <a:srgbClr val="757171"/>
      </a:accent2>
      <a:accent3>
        <a:srgbClr val="575757"/>
      </a:accent3>
      <a:accent4>
        <a:srgbClr val="0B7EE7"/>
      </a:accent4>
      <a:accent5>
        <a:srgbClr val="64B2F8"/>
      </a:accent5>
      <a:accent6>
        <a:srgbClr val="BADDFC"/>
      </a:accent6>
      <a:hlink>
        <a:srgbClr val="AEABAB"/>
      </a:hlink>
      <a:folHlink>
        <a:srgbClr val="000000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://people.stern.nyu.edu/adamodar/New_Home_Page/home.htm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s://www.bloomberg.com/markets/rates-bonds/government-bonds/us" TargetMode="External"/><Relationship Id="rId1" Type="http://schemas.openxmlformats.org/officeDocument/2006/relationships/hyperlink" Target="https://smart-lab.ru/q/eurobonds/order_by_mat_years/desc/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smart-lab.ru/q/ofz/order_by_mat_date/desc/" TargetMode="External"/><Relationship Id="rId4" Type="http://schemas.openxmlformats.org/officeDocument/2006/relationships/hyperlink" Target="http://pages.stern.nyu.edu/~adamodar/New_Home_Page/datafile/Betas.html" TargetMode="External"/><Relationship Id="rId9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rusbonds.ru/ank_obl.asp?tool=15347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852AE-3286-4DDF-A622-D79A95C54AEC}">
  <sheetPr codeName="Sheet10">
    <tabColor theme="5"/>
    <pageSetUpPr fitToPage="1"/>
  </sheetPr>
  <dimension ref="A1:KF112"/>
  <sheetViews>
    <sheetView view="pageBreakPreview" zoomScale="70" zoomScaleNormal="60" zoomScaleSheetLayoutView="7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L18" sqref="L18:P19"/>
    </sheetView>
  </sheetViews>
  <sheetFormatPr defaultColWidth="0" defaultRowHeight="15" customHeight="1" zeroHeight="1"/>
  <cols>
    <col min="1" max="1" width="2.26953125" customWidth="1"/>
    <col min="2" max="2" width="2.453125" customWidth="1"/>
    <col min="3" max="3" width="52.453125" customWidth="1"/>
    <col min="4" max="5" width="10.453125" customWidth="1"/>
    <col min="6" max="6" width="2.26953125" customWidth="1"/>
    <col min="7" max="7" width="9.26953125" style="25" customWidth="1"/>
    <col min="8" max="8" width="10.54296875" customWidth="1"/>
    <col min="9" max="9" width="13.453125" customWidth="1"/>
    <col min="10" max="11" width="2.26953125" customWidth="1"/>
    <col min="12" max="93" width="12.453125" customWidth="1"/>
    <col min="94" max="106" width="0" hidden="1" customWidth="1"/>
    <col min="107" max="114" width="12.453125" hidden="1" customWidth="1"/>
    <col min="115" max="126" width="0" hidden="1" customWidth="1"/>
    <col min="127" max="134" width="12.453125" hidden="1" customWidth="1"/>
    <col min="135" max="146" width="0" hidden="1" customWidth="1"/>
    <col min="147" max="155" width="12.453125" hidden="1" customWidth="1"/>
    <col min="156" max="211" width="0" hidden="1" customWidth="1"/>
    <col min="212" max="219" width="12.453125" hidden="1" customWidth="1"/>
    <col min="220" max="243" width="0" hidden="1" customWidth="1"/>
    <col min="244" max="251" width="12.453125" hidden="1" customWidth="1"/>
    <col min="252" max="263" width="0" hidden="1" customWidth="1"/>
    <col min="264" max="271" width="12.453125" hidden="1" customWidth="1"/>
    <col min="272" max="283" width="0" hidden="1" customWidth="1"/>
    <col min="284" max="292" width="12.453125" hidden="1" customWidth="1"/>
    <col min="293" max="16384" width="8.7265625" hidden="1"/>
  </cols>
  <sheetData>
    <row r="1" spans="1:93" ht="14.5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1200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472">
        <f>IF(L7,YEAR(L7),"")</f>
        <v>2025</v>
      </c>
      <c r="M6" s="472">
        <f t="shared" ref="M6:BX6" si="0">IF(M7,YEAR(M7),"")</f>
        <v>2026</v>
      </c>
      <c r="N6" s="472">
        <f t="shared" si="0"/>
        <v>2027</v>
      </c>
      <c r="O6" s="472">
        <f t="shared" si="0"/>
        <v>2028</v>
      </c>
      <c r="P6" s="472">
        <f t="shared" si="0"/>
        <v>2029</v>
      </c>
      <c r="Q6" s="472">
        <f t="shared" si="0"/>
        <v>2030</v>
      </c>
      <c r="R6" s="472">
        <f t="shared" si="0"/>
        <v>2031</v>
      </c>
      <c r="S6" s="472">
        <f t="shared" si="0"/>
        <v>2032</v>
      </c>
      <c r="T6" s="472">
        <f t="shared" si="0"/>
        <v>2033</v>
      </c>
      <c r="U6" s="472">
        <f t="shared" si="0"/>
        <v>2034</v>
      </c>
      <c r="V6" s="472">
        <f t="shared" si="0"/>
        <v>2035</v>
      </c>
      <c r="W6" s="472">
        <f t="shared" si="0"/>
        <v>2036</v>
      </c>
      <c r="X6" s="472">
        <f t="shared" si="0"/>
        <v>2037</v>
      </c>
      <c r="Y6" s="472">
        <f t="shared" si="0"/>
        <v>2038</v>
      </c>
      <c r="Z6" s="472">
        <f t="shared" si="0"/>
        <v>2039</v>
      </c>
      <c r="AA6" s="472">
        <f t="shared" si="0"/>
        <v>2040</v>
      </c>
      <c r="AB6" s="472">
        <f t="shared" si="0"/>
        <v>2041</v>
      </c>
      <c r="AC6" s="472">
        <f t="shared" si="0"/>
        <v>2042</v>
      </c>
      <c r="AD6" s="472">
        <f t="shared" si="0"/>
        <v>2043</v>
      </c>
      <c r="AE6" s="472">
        <f t="shared" si="0"/>
        <v>2044</v>
      </c>
      <c r="AF6" s="472">
        <f t="shared" si="0"/>
        <v>2045</v>
      </c>
      <c r="AG6" s="472">
        <f t="shared" si="0"/>
        <v>2046</v>
      </c>
      <c r="AH6" s="472">
        <f t="shared" si="0"/>
        <v>2047</v>
      </c>
      <c r="AI6" s="472">
        <f t="shared" si="0"/>
        <v>2048</v>
      </c>
      <c r="AJ6" s="472">
        <f t="shared" si="0"/>
        <v>2049</v>
      </c>
      <c r="AK6" s="472" t="str">
        <f t="shared" si="0"/>
        <v/>
      </c>
      <c r="AL6" s="472" t="str">
        <f t="shared" si="0"/>
        <v/>
      </c>
      <c r="AM6" s="472" t="str">
        <f t="shared" si="0"/>
        <v/>
      </c>
      <c r="AN6" s="472" t="str">
        <f t="shared" si="0"/>
        <v/>
      </c>
      <c r="AO6" s="472" t="str">
        <f t="shared" si="0"/>
        <v/>
      </c>
      <c r="AP6" s="472" t="str">
        <f t="shared" si="0"/>
        <v/>
      </c>
      <c r="AQ6" s="472" t="str">
        <f t="shared" si="0"/>
        <v/>
      </c>
      <c r="AR6" s="472" t="str">
        <f t="shared" si="0"/>
        <v/>
      </c>
      <c r="AS6" s="472" t="str">
        <f t="shared" si="0"/>
        <v/>
      </c>
      <c r="AT6" s="472" t="str">
        <f t="shared" si="0"/>
        <v/>
      </c>
      <c r="AU6" s="472" t="str">
        <f t="shared" si="0"/>
        <v/>
      </c>
      <c r="AV6" s="472" t="str">
        <f t="shared" si="0"/>
        <v/>
      </c>
      <c r="AW6" s="472" t="str">
        <f t="shared" si="0"/>
        <v/>
      </c>
      <c r="AX6" s="472" t="str">
        <f t="shared" si="0"/>
        <v/>
      </c>
      <c r="AY6" s="472" t="str">
        <f t="shared" si="0"/>
        <v/>
      </c>
      <c r="AZ6" s="472" t="str">
        <f t="shared" si="0"/>
        <v/>
      </c>
      <c r="BA6" s="472" t="str">
        <f t="shared" si="0"/>
        <v/>
      </c>
      <c r="BB6" s="472" t="str">
        <f t="shared" si="0"/>
        <v/>
      </c>
      <c r="BC6" s="472" t="str">
        <f t="shared" si="0"/>
        <v/>
      </c>
      <c r="BD6" s="472" t="str">
        <f t="shared" si="0"/>
        <v/>
      </c>
      <c r="BE6" s="472" t="str">
        <f t="shared" si="0"/>
        <v/>
      </c>
      <c r="BF6" s="472" t="str">
        <f t="shared" si="0"/>
        <v/>
      </c>
      <c r="BG6" s="472" t="str">
        <f t="shared" si="0"/>
        <v/>
      </c>
      <c r="BH6" s="472" t="str">
        <f t="shared" si="0"/>
        <v/>
      </c>
      <c r="BI6" s="472" t="str">
        <f t="shared" si="0"/>
        <v/>
      </c>
      <c r="BJ6" s="472" t="str">
        <f t="shared" si="0"/>
        <v/>
      </c>
      <c r="BK6" s="472" t="str">
        <f t="shared" si="0"/>
        <v/>
      </c>
      <c r="BL6" s="472" t="str">
        <f t="shared" si="0"/>
        <v/>
      </c>
      <c r="BM6" s="472" t="str">
        <f t="shared" si="0"/>
        <v/>
      </c>
      <c r="BN6" s="472" t="str">
        <f t="shared" si="0"/>
        <v/>
      </c>
      <c r="BO6" s="472" t="str">
        <f t="shared" si="0"/>
        <v/>
      </c>
      <c r="BP6" s="472" t="str">
        <f t="shared" si="0"/>
        <v/>
      </c>
      <c r="BQ6" s="472" t="str">
        <f t="shared" si="0"/>
        <v/>
      </c>
      <c r="BR6" s="472" t="str">
        <f t="shared" si="0"/>
        <v/>
      </c>
      <c r="BS6" s="472" t="str">
        <f t="shared" si="0"/>
        <v/>
      </c>
      <c r="BT6" s="472" t="str">
        <f t="shared" si="0"/>
        <v/>
      </c>
      <c r="BU6" s="472" t="str">
        <f t="shared" si="0"/>
        <v/>
      </c>
      <c r="BV6" s="472" t="str">
        <f t="shared" si="0"/>
        <v/>
      </c>
      <c r="BW6" s="472" t="str">
        <f t="shared" si="0"/>
        <v/>
      </c>
      <c r="BX6" s="472" t="str">
        <f t="shared" si="0"/>
        <v/>
      </c>
      <c r="BY6" s="472" t="str">
        <f t="shared" ref="BY6:CO6" si="1">IF(BY7,YEAR(BY7),"")</f>
        <v/>
      </c>
      <c r="BZ6" s="472" t="str">
        <f t="shared" si="1"/>
        <v/>
      </c>
      <c r="CA6" s="472" t="str">
        <f t="shared" si="1"/>
        <v/>
      </c>
      <c r="CB6" s="472" t="str">
        <f t="shared" si="1"/>
        <v/>
      </c>
      <c r="CC6" s="472" t="str">
        <f t="shared" si="1"/>
        <v/>
      </c>
      <c r="CD6" s="472" t="str">
        <f t="shared" si="1"/>
        <v/>
      </c>
      <c r="CE6" s="472" t="str">
        <f t="shared" si="1"/>
        <v/>
      </c>
      <c r="CF6" s="472" t="str">
        <f t="shared" si="1"/>
        <v/>
      </c>
      <c r="CG6" s="472" t="str">
        <f t="shared" si="1"/>
        <v/>
      </c>
      <c r="CH6" s="472" t="str">
        <f t="shared" si="1"/>
        <v/>
      </c>
      <c r="CI6" s="472" t="str">
        <f t="shared" si="1"/>
        <v/>
      </c>
      <c r="CJ6" s="472" t="str">
        <f t="shared" si="1"/>
        <v/>
      </c>
      <c r="CK6" s="472" t="str">
        <f t="shared" si="1"/>
        <v/>
      </c>
      <c r="CL6" s="472" t="str">
        <f t="shared" si="1"/>
        <v/>
      </c>
      <c r="CM6" s="472" t="str">
        <f t="shared" si="1"/>
        <v/>
      </c>
      <c r="CN6" s="472" t="str">
        <f t="shared" si="1"/>
        <v/>
      </c>
      <c r="CO6" s="472" t="str">
        <f t="shared" si="1"/>
        <v/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471">
        <f>IF(SUM($K7:K7)=0,DATE(YEAR(Date_Model_Start),1,1),IF(K7,IF(K8+1&lt;=Date_Operations_End,K8+1)))</f>
        <v>45658</v>
      </c>
      <c r="M7" s="471">
        <f>IF(SUM($K7:L7)=0,DATE(YEAR(Date_Model_Start),1,1),IF(L7,IF(L8+1&lt;=Date_Operations_End,L8+1)))</f>
        <v>46023</v>
      </c>
      <c r="N7" s="471">
        <f>IF(SUM($K7:M7)=0,DATE(YEAR(Date_Model_Start),1,1),IF(M7,IF(M8+1&lt;=Date_Operations_End,M8+1)))</f>
        <v>46388</v>
      </c>
      <c r="O7" s="471">
        <f>IF(SUM($K7:N7)=0,DATE(YEAR(Date_Model_Start),1,1),IF(N7,IF(N8+1&lt;=Date_Operations_End,N8+1)))</f>
        <v>46753</v>
      </c>
      <c r="P7" s="471">
        <f>IF(SUM($K7:O7)=0,DATE(YEAR(Date_Model_Start),1,1),IF(O7,IF(O8+1&lt;=Date_Operations_End,O8+1)))</f>
        <v>47119</v>
      </c>
      <c r="Q7" s="471">
        <f>IF(SUM($K7:P7)=0,DATE(YEAR(Date_Model_Start),1,1),IF(P7,IF(P8+1&lt;=Date_Operations_End,P8+1)))</f>
        <v>47484</v>
      </c>
      <c r="R7" s="471">
        <f>IF(SUM($K7:Q7)=0,DATE(YEAR(Date_Model_Start),1,1),IF(Q7,IF(Q8+1&lt;=Date_Operations_End,Q8+1)))</f>
        <v>47849</v>
      </c>
      <c r="S7" s="471">
        <f>IF(SUM($K7:R7)=0,DATE(YEAR(Date_Model_Start),1,1),IF(R7,IF(R8+1&lt;=Date_Operations_End,R8+1)))</f>
        <v>48214</v>
      </c>
      <c r="T7" s="471">
        <f>IF(SUM($K7:S7)=0,DATE(YEAR(Date_Model_Start),1,1),IF(S7,IF(S8+1&lt;=Date_Operations_End,S8+1)))</f>
        <v>48580</v>
      </c>
      <c r="U7" s="471">
        <f>IF(SUM($K7:T7)=0,DATE(YEAR(Date_Model_Start),1,1),IF(T7,IF(T8+1&lt;=Date_Operations_End,T8+1)))</f>
        <v>48945</v>
      </c>
      <c r="V7" s="471">
        <f>IF(SUM($K7:U7)=0,DATE(YEAR(Date_Model_Start),1,1),IF(U7,IF(U8+1&lt;=Date_Operations_End,U8+1)))</f>
        <v>49310</v>
      </c>
      <c r="W7" s="471">
        <f>IF(SUM($K7:V7)=0,DATE(YEAR(Date_Model_Start),1,1),IF(V7,IF(V8+1&lt;=Date_Operations_End,V8+1)))</f>
        <v>49675</v>
      </c>
      <c r="X7" s="471">
        <f>IF(SUM($K7:W7)=0,DATE(YEAR(Date_Model_Start),1,1),IF(W7,IF(W8+1&lt;=Date_Operations_End,W8+1)))</f>
        <v>50041</v>
      </c>
      <c r="Y7" s="471">
        <f>IF(SUM($K7:X7)=0,DATE(YEAR(Date_Model_Start),1,1),IF(X7,IF(X8+1&lt;=Date_Operations_End,X8+1)))</f>
        <v>50406</v>
      </c>
      <c r="Z7" s="471">
        <f>IF(SUM($K7:Y7)=0,DATE(YEAR(Date_Model_Start),1,1),IF(Y7,IF(Y8+1&lt;=Date_Operations_End,Y8+1)))</f>
        <v>50771</v>
      </c>
      <c r="AA7" s="471">
        <f>IF(SUM($K7:Z7)=0,DATE(YEAR(Date_Model_Start),1,1),IF(Z7,IF(Z8+1&lt;=Date_Operations_End,Z8+1)))</f>
        <v>51136</v>
      </c>
      <c r="AB7" s="471">
        <f>IF(SUM($K7:AA7)=0,DATE(YEAR(Date_Model_Start),1,1),IF(AA7,IF(AA8+1&lt;=Date_Operations_End,AA8+1)))</f>
        <v>51502</v>
      </c>
      <c r="AC7" s="471">
        <f>IF(SUM($K7:AB7)=0,DATE(YEAR(Date_Model_Start),1,1),IF(AB7,IF(AB8+1&lt;=Date_Operations_End,AB8+1)))</f>
        <v>51867</v>
      </c>
      <c r="AD7" s="471">
        <f>IF(SUM($K7:AC7)=0,DATE(YEAR(Date_Model_Start),1,1),IF(AC7,IF(AC8+1&lt;=Date_Operations_End,AC8+1)))</f>
        <v>52232</v>
      </c>
      <c r="AE7" s="471">
        <f>IF(SUM($K7:AD7)=0,DATE(YEAR(Date_Model_Start),1,1),IF(AD7,IF(AD8+1&lt;=Date_Operations_End,AD8+1)))</f>
        <v>52597</v>
      </c>
      <c r="AF7" s="471">
        <f>IF(SUM($K7:AE7)=0,DATE(YEAR(Date_Model_Start),1,1),IF(AE7,IF(AE8+1&lt;=Date_Operations_End,AE8+1)))</f>
        <v>52963</v>
      </c>
      <c r="AG7" s="471">
        <f>IF(SUM($K7:AF7)=0,DATE(YEAR(Date_Model_Start),1,1),IF(AF7,IF(AF8+1&lt;=Date_Operations_End,AF8+1)))</f>
        <v>53328</v>
      </c>
      <c r="AH7" s="471">
        <f>IF(SUM($K7:AG7)=0,DATE(YEAR(Date_Model_Start),1,1),IF(AG7,IF(AG8+1&lt;=Date_Operations_End,AG8+1)))</f>
        <v>53693</v>
      </c>
      <c r="AI7" s="471">
        <f>IF(SUM($K7:AH7)=0,DATE(YEAR(Date_Model_Start),1,1),IF(AH7,IF(AH8+1&lt;=Date_Operations_End,AH8+1)))</f>
        <v>54058</v>
      </c>
      <c r="AJ7" s="471">
        <f>IF(SUM($K7:AI7)=0,DATE(YEAR(Date_Model_Start),1,1),IF(AI7,IF(AI8+1&lt;=Date_Operations_End,AI8+1)))</f>
        <v>54424</v>
      </c>
      <c r="AK7" s="471" t="b">
        <f>IF(SUM($K7:AJ7)=0,DATE(YEAR(Date_Model_Start),1,1),IF(AJ7,IF(AJ8+1&lt;=Date_Operations_End,AJ8+1)))</f>
        <v>0</v>
      </c>
      <c r="AL7" s="471" t="b">
        <f>IF(SUM($K7:AK7)=0,DATE(YEAR(Date_Model_Start),1,1),IF(AK7,IF(AK8+1&lt;=Date_Operations_End,AK8+1)))</f>
        <v>0</v>
      </c>
      <c r="AM7" s="471" t="b">
        <f>IF(SUM($K7:AL7)=0,DATE(YEAR(Date_Model_Start),1,1),IF(AL7,IF(AL8+1&lt;=Date_Operations_End,AL8+1)))</f>
        <v>0</v>
      </c>
      <c r="AN7" s="471" t="b">
        <f>IF(SUM($K7:AM7)=0,DATE(YEAR(Date_Model_Start),1,1),IF(AM7,IF(AM8+1&lt;=Date_Operations_End,AM8+1)))</f>
        <v>0</v>
      </c>
      <c r="AO7" s="471" t="b">
        <f>IF(SUM($K7:AN7)=0,DATE(YEAR(Date_Model_Start),1,1),IF(AN7,IF(AN8+1&lt;=Date_Operations_End,AN8+1)))</f>
        <v>0</v>
      </c>
      <c r="AP7" s="471" t="b">
        <f>IF(SUM($K7:AO7)=0,DATE(YEAR(Date_Model_Start),1,1),IF(AO7,IF(AO8+1&lt;=Date_Operations_End,AO8+1)))</f>
        <v>0</v>
      </c>
      <c r="AQ7" s="471" t="b">
        <f>IF(SUM($K7:AP7)=0,DATE(YEAR(Date_Model_Start),1,1),IF(AP7,IF(AP8+1&lt;=Date_Operations_End,AP8+1)))</f>
        <v>0</v>
      </c>
      <c r="AR7" s="471" t="b">
        <f>IF(SUM($K7:AQ7)=0,DATE(YEAR(Date_Model_Start),1,1),IF(AQ7,IF(AQ8+1&lt;=Date_Operations_End,AQ8+1)))</f>
        <v>0</v>
      </c>
      <c r="AS7" s="471" t="b">
        <f>IF(SUM($K7:AR7)=0,DATE(YEAR(Date_Model_Start),1,1),IF(AR7,IF(AR8+1&lt;=Date_Operations_End,AR8+1)))</f>
        <v>0</v>
      </c>
      <c r="AT7" s="471" t="b">
        <f>IF(SUM($K7:AS7)=0,DATE(YEAR(Date_Model_Start),1,1),IF(AS7,IF(AS8+1&lt;=Date_Operations_End,AS8+1)))</f>
        <v>0</v>
      </c>
      <c r="AU7" s="471" t="b">
        <f>IF(SUM($K7:AT7)=0,DATE(YEAR(Date_Model_Start),1,1),IF(AT7,IF(AT8+1&lt;=Date_Operations_End,AT8+1)))</f>
        <v>0</v>
      </c>
      <c r="AV7" s="471" t="b">
        <f>IF(SUM($K7:AU7)=0,DATE(YEAR(Date_Model_Start),1,1),IF(AU7,IF(AU8+1&lt;=Date_Operations_End,AU8+1)))</f>
        <v>0</v>
      </c>
      <c r="AW7" s="471" t="b">
        <f>IF(SUM($K7:AV7)=0,DATE(YEAR(Date_Model_Start),1,1),IF(AV7,IF(AV8+1&lt;=Date_Operations_End,AV8+1)))</f>
        <v>0</v>
      </c>
      <c r="AX7" s="471" t="b">
        <f>IF(SUM($K7:AW7)=0,DATE(YEAR(Date_Model_Start),1,1),IF(AW7,IF(AW8+1&lt;=Date_Operations_End,AW8+1)))</f>
        <v>0</v>
      </c>
      <c r="AY7" s="471" t="b">
        <f>IF(SUM($K7:AX7)=0,DATE(YEAR(Date_Model_Start),1,1),IF(AX7,IF(AX8+1&lt;=Date_Operations_End,AX8+1)))</f>
        <v>0</v>
      </c>
      <c r="AZ7" s="471" t="b">
        <f>IF(SUM($K7:AY7)=0,DATE(YEAR(Date_Model_Start),1,1),IF(AY7,IF(AY8+1&lt;=Date_Operations_End,AY8+1)))</f>
        <v>0</v>
      </c>
      <c r="BA7" s="471" t="b">
        <f>IF(SUM($K7:AZ7)=0,DATE(YEAR(Date_Model_Start),1,1),IF(AZ7,IF(AZ8+1&lt;=Date_Operations_End,AZ8+1)))</f>
        <v>0</v>
      </c>
      <c r="BB7" s="471" t="b">
        <f>IF(SUM($K7:BA7)=0,DATE(YEAR(Date_Model_Start),1,1),IF(BA7,IF(BA8+1&lt;=Date_Operations_End,BA8+1)))</f>
        <v>0</v>
      </c>
      <c r="BC7" s="471" t="b">
        <f>IF(SUM($K7:BB7)=0,DATE(YEAR(Date_Model_Start),1,1),IF(BB7,IF(BB8+1&lt;=Date_Operations_End,BB8+1)))</f>
        <v>0</v>
      </c>
      <c r="BD7" s="471" t="b">
        <f>IF(SUM($K7:BC7)=0,DATE(YEAR(Date_Model_Start),1,1),IF(BC7,IF(BC8+1&lt;=Date_Operations_End,BC8+1)))</f>
        <v>0</v>
      </c>
      <c r="BE7" s="471" t="b">
        <f>IF(SUM($K7:BD7)=0,DATE(YEAR(Date_Model_Start),1,1),IF(BD7,IF(BD8+1&lt;=Date_Operations_End,BD8+1)))</f>
        <v>0</v>
      </c>
      <c r="BF7" s="471" t="b">
        <f>IF(SUM($K7:BE7)=0,DATE(YEAR(Date_Model_Start),1,1),IF(BE7,IF(BE8+1&lt;=Date_Operations_End,BE8+1)))</f>
        <v>0</v>
      </c>
      <c r="BG7" s="471" t="b">
        <f>IF(SUM($K7:BF7)=0,DATE(YEAR(Date_Model_Start),1,1),IF(BF7,IF(BF8+1&lt;=Date_Operations_End,BF8+1)))</f>
        <v>0</v>
      </c>
      <c r="BH7" s="471" t="b">
        <f>IF(SUM($K7:BG7)=0,DATE(YEAR(Date_Model_Start),1,1),IF(BG7,IF(BG8+1&lt;=Date_Operations_End,BG8+1)))</f>
        <v>0</v>
      </c>
      <c r="BI7" s="471" t="b">
        <f>IF(SUM($K7:BH7)=0,DATE(YEAR(Date_Model_Start),1,1),IF(BH7,IF(BH8+1&lt;=Date_Operations_End,BH8+1)))</f>
        <v>0</v>
      </c>
      <c r="BJ7" s="471" t="b">
        <f>IF(SUM($K7:BI7)=0,DATE(YEAR(Date_Model_Start),1,1),IF(BI7,IF(BI8+1&lt;=Date_Operations_End,BI8+1)))</f>
        <v>0</v>
      </c>
      <c r="BK7" s="471" t="b">
        <f>IF(SUM($K7:BJ7)=0,DATE(YEAR(Date_Model_Start),1,1),IF(BJ7,IF(BJ8+1&lt;=Date_Operations_End,BJ8+1)))</f>
        <v>0</v>
      </c>
      <c r="BL7" s="471" t="b">
        <f>IF(SUM($K7:BK7)=0,DATE(YEAR(Date_Model_Start),1,1),IF(BK7,IF(BK8+1&lt;=Date_Operations_End,BK8+1)))</f>
        <v>0</v>
      </c>
      <c r="BM7" s="471" t="b">
        <f>IF(SUM($K7:BL7)=0,DATE(YEAR(Date_Model_Start),1,1),IF(BL7,IF(BL8+1&lt;=Date_Operations_End,BL8+1)))</f>
        <v>0</v>
      </c>
      <c r="BN7" s="471" t="b">
        <f>IF(SUM($K7:BM7)=0,DATE(YEAR(Date_Model_Start),1,1),IF(BM7,IF(BM8+1&lt;=Date_Operations_End,BM8+1)))</f>
        <v>0</v>
      </c>
      <c r="BO7" s="471" t="b">
        <f>IF(SUM($K7:BN7)=0,DATE(YEAR(Date_Model_Start),1,1),IF(BN7,IF(BN8+1&lt;=Date_Operations_End,BN8+1)))</f>
        <v>0</v>
      </c>
      <c r="BP7" s="471" t="b">
        <f>IF(SUM($K7:BO7)=0,DATE(YEAR(Date_Model_Start),1,1),IF(BO7,IF(BO8+1&lt;=Date_Operations_End,BO8+1)))</f>
        <v>0</v>
      </c>
      <c r="BQ7" s="471" t="b">
        <f>IF(SUM($K7:BP7)=0,DATE(YEAR(Date_Model_Start),1,1),IF(BP7,IF(BP8+1&lt;=Date_Operations_End,BP8+1)))</f>
        <v>0</v>
      </c>
      <c r="BR7" s="471" t="b">
        <f>IF(SUM($K7:BQ7)=0,DATE(YEAR(Date_Model_Start),1,1),IF(BQ7,IF(BQ8+1&lt;=Date_Operations_End,BQ8+1)))</f>
        <v>0</v>
      </c>
      <c r="BS7" s="471" t="b">
        <f>IF(SUM($K7:BR7)=0,DATE(YEAR(Date_Model_Start),1,1),IF(BR7,IF(BR8+1&lt;=Date_Operations_End,BR8+1)))</f>
        <v>0</v>
      </c>
      <c r="BT7" s="471" t="b">
        <f>IF(SUM($K7:BS7)=0,DATE(YEAR(Date_Model_Start),1,1),IF(BS7,IF(BS8+1&lt;=Date_Operations_End,BS8+1)))</f>
        <v>0</v>
      </c>
      <c r="BU7" s="471" t="b">
        <f>IF(SUM($K7:BT7)=0,DATE(YEAR(Date_Model_Start),1,1),IF(BT7,IF(BT8+1&lt;=Date_Operations_End,BT8+1)))</f>
        <v>0</v>
      </c>
      <c r="BV7" s="471" t="b">
        <f>IF(SUM($K7:BU7)=0,DATE(YEAR(Date_Model_Start),1,1),IF(BU7,IF(BU8+1&lt;=Date_Operations_End,BU8+1)))</f>
        <v>0</v>
      </c>
      <c r="BW7" s="471" t="b">
        <f>IF(SUM($K7:BV7)=0,DATE(YEAR(Date_Model_Start),1,1),IF(BV7,IF(BV8+1&lt;=Date_Operations_End,BV8+1)))</f>
        <v>0</v>
      </c>
      <c r="BX7" s="471" t="b">
        <f>IF(SUM($K7:BW7)=0,DATE(YEAR(Date_Model_Start),1,1),IF(BW7,IF(BW8+1&lt;=Date_Operations_End,BW8+1)))</f>
        <v>0</v>
      </c>
      <c r="BY7" s="471" t="b">
        <f>IF(SUM($K7:BX7)=0,DATE(YEAR(Date_Model_Start),1,1),IF(BX7,IF(BX8+1&lt;=Date_Operations_End,BX8+1)))</f>
        <v>0</v>
      </c>
      <c r="BZ7" s="471" t="b">
        <f>IF(SUM($K7:BY7)=0,DATE(YEAR(Date_Model_Start),1,1),IF(BY7,IF(BY8+1&lt;=Date_Operations_End,BY8+1)))</f>
        <v>0</v>
      </c>
      <c r="CA7" s="471" t="b">
        <f>IF(SUM($K7:BZ7)=0,DATE(YEAR(Date_Model_Start),1,1),IF(BZ7,IF(BZ8+1&lt;=Date_Operations_End,BZ8+1)))</f>
        <v>0</v>
      </c>
      <c r="CB7" s="471" t="b">
        <f>IF(SUM($K7:CA7)=0,DATE(YEAR(Date_Model_Start),1,1),IF(CA7,IF(CA8+1&lt;=Date_Operations_End,CA8+1)))</f>
        <v>0</v>
      </c>
      <c r="CC7" s="471" t="b">
        <f>IF(SUM($K7:CB7)=0,DATE(YEAR(Date_Model_Start),1,1),IF(CB7,IF(CB8+1&lt;=Date_Operations_End,CB8+1)))</f>
        <v>0</v>
      </c>
      <c r="CD7" s="471" t="b">
        <f>IF(SUM($K7:CC7)=0,DATE(YEAR(Date_Model_Start),1,1),IF(CC7,IF(CC8+1&lt;=Date_Operations_End,CC8+1)))</f>
        <v>0</v>
      </c>
      <c r="CE7" s="471" t="b">
        <f>IF(SUM($K7:CD7)=0,DATE(YEAR(Date_Model_Start),1,1),IF(CD7,IF(CD8+1&lt;=Date_Operations_End,CD8+1)))</f>
        <v>0</v>
      </c>
      <c r="CF7" s="471" t="b">
        <f>IF(SUM($K7:CE7)=0,DATE(YEAR(Date_Model_Start),1,1),IF(CE7,IF(CE8+1&lt;=Date_Operations_End,CE8+1)))</f>
        <v>0</v>
      </c>
      <c r="CG7" s="471" t="b">
        <f>IF(SUM($K7:CF7)=0,DATE(YEAR(Date_Model_Start),1,1),IF(CF7,IF(CF8+1&lt;=Date_Operations_End,CF8+1)))</f>
        <v>0</v>
      </c>
      <c r="CH7" s="471" t="b">
        <f>IF(SUM($K7:CG7)=0,DATE(YEAR(Date_Model_Start),1,1),IF(CG7,IF(CG8+1&lt;=Date_Operations_End,CG8+1)))</f>
        <v>0</v>
      </c>
      <c r="CI7" s="471" t="b">
        <f>IF(SUM($K7:CH7)=0,DATE(YEAR(Date_Model_Start),1,1),IF(CH7,IF(CH8+1&lt;=Date_Operations_End,CH8+1)))</f>
        <v>0</v>
      </c>
      <c r="CJ7" s="471" t="b">
        <f>IF(SUM($K7:CI7)=0,DATE(YEAR(Date_Model_Start),1,1),IF(CI7,IF(CI8+1&lt;=Date_Operations_End,CI8+1)))</f>
        <v>0</v>
      </c>
      <c r="CK7" s="471" t="b">
        <f>IF(SUM($K7:CJ7)=0,DATE(YEAR(Date_Model_Start),1,1),IF(CJ7,IF(CJ8+1&lt;=Date_Operations_End,CJ8+1)))</f>
        <v>0</v>
      </c>
      <c r="CL7" s="471" t="b">
        <f>IF(SUM($K7:CK7)=0,DATE(YEAR(Date_Model_Start),1,1),IF(CK7,IF(CK8+1&lt;=Date_Operations_End,CK8+1)))</f>
        <v>0</v>
      </c>
      <c r="CM7" s="471" t="b">
        <f>IF(SUM($K7:CL7)=0,DATE(YEAR(Date_Model_Start),1,1),IF(CL7,IF(CL8+1&lt;=Date_Operations_End,CL8+1)))</f>
        <v>0</v>
      </c>
      <c r="CN7" s="471" t="b">
        <f>IF(SUM($K7:CM7)=0,DATE(YEAR(Date_Model_Start),1,1),IF(CM7,IF(CM8+1&lt;=Date_Operations_End,CM8+1)))</f>
        <v>0</v>
      </c>
      <c r="CO7" s="471" t="b">
        <f>IF(SUM($K7:CN7)=0,DATE(YEAR(Date_Model_Start),1,1),IF(CN7,IF(CN8+1&lt;=Date_Operations_End,CN8+1)))</f>
        <v>0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471">
        <f t="shared" ref="L8:BW8" si="2">MIN(IF(L7,EOMONTH(L$7,Months_in_Year-1)),Date_Operations_End)</f>
        <v>46022</v>
      </c>
      <c r="M8" s="471">
        <f t="shared" si="2"/>
        <v>46387</v>
      </c>
      <c r="N8" s="471">
        <f t="shared" si="2"/>
        <v>46752</v>
      </c>
      <c r="O8" s="471">
        <f t="shared" si="2"/>
        <v>47118</v>
      </c>
      <c r="P8" s="471">
        <f t="shared" si="2"/>
        <v>47483</v>
      </c>
      <c r="Q8" s="471">
        <f t="shared" si="2"/>
        <v>47848</v>
      </c>
      <c r="R8" s="471">
        <f t="shared" si="2"/>
        <v>48213</v>
      </c>
      <c r="S8" s="471">
        <f t="shared" si="2"/>
        <v>48579</v>
      </c>
      <c r="T8" s="471">
        <f t="shared" si="2"/>
        <v>48944</v>
      </c>
      <c r="U8" s="471">
        <f t="shared" si="2"/>
        <v>49309</v>
      </c>
      <c r="V8" s="471">
        <f t="shared" si="2"/>
        <v>49674</v>
      </c>
      <c r="W8" s="471">
        <f t="shared" si="2"/>
        <v>50040</v>
      </c>
      <c r="X8" s="471">
        <f t="shared" si="2"/>
        <v>50405</v>
      </c>
      <c r="Y8" s="471">
        <f t="shared" si="2"/>
        <v>50770</v>
      </c>
      <c r="Z8" s="471">
        <f t="shared" si="2"/>
        <v>51135</v>
      </c>
      <c r="AA8" s="471">
        <f t="shared" si="2"/>
        <v>51501</v>
      </c>
      <c r="AB8" s="471">
        <f t="shared" si="2"/>
        <v>51866</v>
      </c>
      <c r="AC8" s="471">
        <f t="shared" si="2"/>
        <v>52231</v>
      </c>
      <c r="AD8" s="471">
        <f t="shared" si="2"/>
        <v>52596</v>
      </c>
      <c r="AE8" s="471">
        <f t="shared" si="2"/>
        <v>52962</v>
      </c>
      <c r="AF8" s="471">
        <f t="shared" si="2"/>
        <v>53327</v>
      </c>
      <c r="AG8" s="471">
        <f t="shared" si="2"/>
        <v>53692</v>
      </c>
      <c r="AH8" s="471">
        <f t="shared" si="2"/>
        <v>54057</v>
      </c>
      <c r="AI8" s="471">
        <f t="shared" si="2"/>
        <v>54423</v>
      </c>
      <c r="AJ8" s="471">
        <f t="shared" si="2"/>
        <v>54513</v>
      </c>
      <c r="AK8" s="471">
        <f t="shared" si="2"/>
        <v>0</v>
      </c>
      <c r="AL8" s="471">
        <f t="shared" si="2"/>
        <v>0</v>
      </c>
      <c r="AM8" s="471">
        <f t="shared" si="2"/>
        <v>0</v>
      </c>
      <c r="AN8" s="471">
        <f t="shared" si="2"/>
        <v>0</v>
      </c>
      <c r="AO8" s="471">
        <f t="shared" si="2"/>
        <v>0</v>
      </c>
      <c r="AP8" s="471">
        <f t="shared" si="2"/>
        <v>0</v>
      </c>
      <c r="AQ8" s="471">
        <f t="shared" si="2"/>
        <v>0</v>
      </c>
      <c r="AR8" s="471">
        <f t="shared" si="2"/>
        <v>0</v>
      </c>
      <c r="AS8" s="471">
        <f t="shared" si="2"/>
        <v>0</v>
      </c>
      <c r="AT8" s="471">
        <f t="shared" si="2"/>
        <v>0</v>
      </c>
      <c r="AU8" s="471">
        <f t="shared" si="2"/>
        <v>0</v>
      </c>
      <c r="AV8" s="471">
        <f t="shared" si="2"/>
        <v>0</v>
      </c>
      <c r="AW8" s="471">
        <f t="shared" si="2"/>
        <v>0</v>
      </c>
      <c r="AX8" s="471">
        <f t="shared" si="2"/>
        <v>0</v>
      </c>
      <c r="AY8" s="471">
        <f t="shared" si="2"/>
        <v>0</v>
      </c>
      <c r="AZ8" s="471">
        <f t="shared" si="2"/>
        <v>0</v>
      </c>
      <c r="BA8" s="471">
        <f t="shared" si="2"/>
        <v>0</v>
      </c>
      <c r="BB8" s="471">
        <f t="shared" si="2"/>
        <v>0</v>
      </c>
      <c r="BC8" s="471">
        <f t="shared" si="2"/>
        <v>0</v>
      </c>
      <c r="BD8" s="471">
        <f t="shared" si="2"/>
        <v>0</v>
      </c>
      <c r="BE8" s="471">
        <f t="shared" si="2"/>
        <v>0</v>
      </c>
      <c r="BF8" s="471">
        <f t="shared" si="2"/>
        <v>0</v>
      </c>
      <c r="BG8" s="471">
        <f t="shared" si="2"/>
        <v>0</v>
      </c>
      <c r="BH8" s="471">
        <f t="shared" si="2"/>
        <v>0</v>
      </c>
      <c r="BI8" s="471">
        <f t="shared" si="2"/>
        <v>0</v>
      </c>
      <c r="BJ8" s="471">
        <f t="shared" si="2"/>
        <v>0</v>
      </c>
      <c r="BK8" s="471">
        <f t="shared" si="2"/>
        <v>0</v>
      </c>
      <c r="BL8" s="471">
        <f t="shared" si="2"/>
        <v>0</v>
      </c>
      <c r="BM8" s="471">
        <f t="shared" si="2"/>
        <v>0</v>
      </c>
      <c r="BN8" s="471">
        <f t="shared" si="2"/>
        <v>0</v>
      </c>
      <c r="BO8" s="471">
        <f t="shared" si="2"/>
        <v>0</v>
      </c>
      <c r="BP8" s="471">
        <f t="shared" si="2"/>
        <v>0</v>
      </c>
      <c r="BQ8" s="471">
        <f t="shared" si="2"/>
        <v>0</v>
      </c>
      <c r="BR8" s="471">
        <f t="shared" si="2"/>
        <v>0</v>
      </c>
      <c r="BS8" s="471">
        <f t="shared" si="2"/>
        <v>0</v>
      </c>
      <c r="BT8" s="471">
        <f t="shared" si="2"/>
        <v>0</v>
      </c>
      <c r="BU8" s="471">
        <f t="shared" si="2"/>
        <v>0</v>
      </c>
      <c r="BV8" s="471">
        <f t="shared" si="2"/>
        <v>0</v>
      </c>
      <c r="BW8" s="471">
        <f t="shared" si="2"/>
        <v>0</v>
      </c>
      <c r="BX8" s="471">
        <f t="shared" ref="BX8:CO8" si="3">MIN(IF(BX7,EOMONTH(BX$7,Months_in_Year-1)),Date_Operations_End)</f>
        <v>0</v>
      </c>
      <c r="BY8" s="471">
        <f t="shared" si="3"/>
        <v>0</v>
      </c>
      <c r="BZ8" s="471">
        <f t="shared" si="3"/>
        <v>0</v>
      </c>
      <c r="CA8" s="471">
        <f t="shared" si="3"/>
        <v>0</v>
      </c>
      <c r="CB8" s="471">
        <f t="shared" si="3"/>
        <v>0</v>
      </c>
      <c r="CC8" s="471">
        <f t="shared" si="3"/>
        <v>0</v>
      </c>
      <c r="CD8" s="471">
        <f t="shared" si="3"/>
        <v>0</v>
      </c>
      <c r="CE8" s="471">
        <f t="shared" si="3"/>
        <v>0</v>
      </c>
      <c r="CF8" s="471">
        <f t="shared" si="3"/>
        <v>0</v>
      </c>
      <c r="CG8" s="471">
        <f t="shared" si="3"/>
        <v>0</v>
      </c>
      <c r="CH8" s="471">
        <f t="shared" si="3"/>
        <v>0</v>
      </c>
      <c r="CI8" s="471">
        <f t="shared" si="3"/>
        <v>0</v>
      </c>
      <c r="CJ8" s="471">
        <f t="shared" si="3"/>
        <v>0</v>
      </c>
      <c r="CK8" s="471">
        <f t="shared" si="3"/>
        <v>0</v>
      </c>
      <c r="CL8" s="471">
        <f t="shared" si="3"/>
        <v>0</v>
      </c>
      <c r="CM8" s="471">
        <f t="shared" si="3"/>
        <v>0</v>
      </c>
      <c r="CN8" s="471">
        <f t="shared" si="3"/>
        <v>0</v>
      </c>
      <c r="CO8" s="471">
        <f t="shared" si="3"/>
        <v>0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>SUMIF(End_of_period,L$8,Отчетность!$L9:$CO9)</f>
        <v>1</v>
      </c>
      <c r="M9" s="152">
        <f>SUMIF(End_of_period,M$8,Отчетность!$L9:$CO9)</f>
        <v>1</v>
      </c>
      <c r="N9" s="152">
        <f>SUMIF(End_of_period,N$8,Отчетность!$L9:$CO9)</f>
        <v>1</v>
      </c>
      <c r="O9" s="152">
        <f>SUMIF(End_of_period,O$8,Отчетность!$L9:$CO9)</f>
        <v>1</v>
      </c>
      <c r="P9" s="152">
        <f>SUMIF(End_of_period,P$8,Отчетность!$L9:$CO9)</f>
        <v>2</v>
      </c>
      <c r="Q9" s="152">
        <f>SUMIF(End_of_period,Q$8,Отчетность!$L9:$CO9)</f>
        <v>2</v>
      </c>
      <c r="R9" s="152">
        <f>SUMIF(End_of_period,R$8,Отчетность!$L9:$CO9)</f>
        <v>2</v>
      </c>
      <c r="S9" s="152">
        <f>SUMIF(End_of_period,S$8,Отчетность!$L9:$CO9)</f>
        <v>2</v>
      </c>
      <c r="T9" s="152">
        <f>SUMIF(End_of_period,T$8,Отчетность!$L9:$CO9)</f>
        <v>2</v>
      </c>
      <c r="U9" s="152">
        <f>SUMIF(End_of_period,U$8,Отчетность!$L9:$CO9)</f>
        <v>2</v>
      </c>
      <c r="V9" s="152">
        <f>SUMIF(End_of_period,V$8,Отчетность!$L9:$CO9)</f>
        <v>2</v>
      </c>
      <c r="W9" s="152">
        <f>SUMIF(End_of_period,W$8,Отчетность!$L9:$CO9)</f>
        <v>2</v>
      </c>
      <c r="X9" s="152">
        <f>SUMIF(End_of_period,X$8,Отчетность!$L9:$CO9)</f>
        <v>2</v>
      </c>
      <c r="Y9" s="152">
        <f>SUMIF(End_of_period,Y$8,Отчетность!$L9:$CO9)</f>
        <v>2</v>
      </c>
      <c r="Z9" s="152">
        <f>SUMIF(End_of_period,Z$8,Отчетность!$L9:$CO9)</f>
        <v>2</v>
      </c>
      <c r="AA9" s="152">
        <f>SUMIF(End_of_period,AA$8,Отчетность!$L9:$CO9)</f>
        <v>2</v>
      </c>
      <c r="AB9" s="152">
        <f>SUMIF(End_of_period,AB$8,Отчетность!$L9:$CO9)</f>
        <v>2</v>
      </c>
      <c r="AC9" s="152">
        <f>SUMIF(End_of_period,AC$8,Отчетность!$L9:$CO9)</f>
        <v>2</v>
      </c>
      <c r="AD9" s="152">
        <f>SUMIF(End_of_period,AD$8,Отчетность!$L9:$CO9)</f>
        <v>2</v>
      </c>
      <c r="AE9" s="152">
        <f>SUMIF(End_of_period,AE$8,Отчетность!$L9:$CO9)</f>
        <v>2</v>
      </c>
      <c r="AF9" s="152">
        <f>SUMIF(End_of_period,AF$8,Отчетность!$L9:$CO9)</f>
        <v>0</v>
      </c>
      <c r="AG9" s="152">
        <f>SUMIF(End_of_period,AG$8,Отчетность!$L9:$CO9)</f>
        <v>0</v>
      </c>
      <c r="AH9" s="152">
        <f>SUMIF(End_of_period,AH$8,Отчетность!$L9:$CO9)</f>
        <v>0</v>
      </c>
      <c r="AI9" s="152">
        <f>SUMIF(End_of_period,AI$8,Отчетность!$L9:$CO9)</f>
        <v>0</v>
      </c>
      <c r="AJ9" s="152">
        <f>SUMIF(End_of_period,AJ$8,Отчетность!$L9:$CO9)</f>
        <v>0</v>
      </c>
      <c r="AK9" s="152">
        <f>SUMIF(End_of_period,AK$8,Отчетность!$L9:$CO9)</f>
        <v>0</v>
      </c>
      <c r="AL9" s="152">
        <f>SUMIF(End_of_period,AL$8,Отчетность!$L9:$CO9)</f>
        <v>0</v>
      </c>
      <c r="AM9" s="152">
        <f>SUMIF(End_of_period,AM$8,Отчетность!$L9:$CO9)</f>
        <v>0</v>
      </c>
      <c r="AN9" s="152">
        <f>SUMIF(End_of_period,AN$8,Отчетность!$L9:$CO9)</f>
        <v>0</v>
      </c>
      <c r="AO9" s="152">
        <f>SUMIF(End_of_period,AO$8,Отчетность!$L9:$CO9)</f>
        <v>0</v>
      </c>
      <c r="AP9" s="152">
        <f>SUMIF(End_of_period,AP$8,Отчетность!$L9:$CO9)</f>
        <v>0</v>
      </c>
      <c r="AQ9" s="152">
        <f>SUMIF(End_of_period,AQ$8,Отчетность!$L9:$CO9)</f>
        <v>0</v>
      </c>
      <c r="AR9" s="152">
        <f>SUMIF(End_of_period,AR$8,Отчетность!$L9:$CO9)</f>
        <v>0</v>
      </c>
      <c r="AS9" s="152">
        <f>SUMIF(End_of_period,AS$8,Отчетность!$L9:$CO9)</f>
        <v>0</v>
      </c>
      <c r="AT9" s="152">
        <f>SUMIF(End_of_period,AT$8,Отчетность!$L9:$CO9)</f>
        <v>0</v>
      </c>
      <c r="AU9" s="152">
        <f>SUMIF(End_of_period,AU$8,Отчетность!$L9:$CO9)</f>
        <v>0</v>
      </c>
      <c r="AV9" s="152">
        <f>SUMIF(End_of_period,AV$8,Отчетность!$L9:$CO9)</f>
        <v>0</v>
      </c>
      <c r="AW9" s="152">
        <f>SUMIF(End_of_period,AW$8,Отчетность!$L9:$CO9)</f>
        <v>0</v>
      </c>
      <c r="AX9" s="152">
        <f>SUMIF(End_of_period,AX$8,Отчетность!$L9:$CO9)</f>
        <v>0</v>
      </c>
      <c r="AY9" s="152">
        <f>SUMIF(End_of_period,AY$8,Отчетность!$L9:$CO9)</f>
        <v>0</v>
      </c>
      <c r="AZ9" s="152">
        <f>SUMIF(End_of_period,AZ$8,Отчетность!$L9:$CO9)</f>
        <v>0</v>
      </c>
      <c r="BA9" s="152">
        <f>SUMIF(End_of_period,BA$8,Отчетность!$L9:$CO9)</f>
        <v>0</v>
      </c>
      <c r="BB9" s="152">
        <f>SUMIF(End_of_period,BB$8,Отчетность!$L9:$CO9)</f>
        <v>0</v>
      </c>
      <c r="BC9" s="152">
        <f>SUMIF(End_of_period,BC$8,Отчетность!$L9:$CO9)</f>
        <v>0</v>
      </c>
      <c r="BD9" s="152">
        <f>SUMIF(End_of_period,BD$8,Отчетность!$L9:$CO9)</f>
        <v>0</v>
      </c>
      <c r="BE9" s="152">
        <f>SUMIF(End_of_period,BE$8,Отчетность!$L9:$CO9)</f>
        <v>0</v>
      </c>
      <c r="BF9" s="152">
        <f>SUMIF(End_of_period,BF$8,Отчетность!$L9:$CO9)</f>
        <v>0</v>
      </c>
      <c r="BG9" s="152">
        <f>SUMIF(End_of_period,BG$8,Отчетность!$L9:$CO9)</f>
        <v>0</v>
      </c>
      <c r="BH9" s="152">
        <f>SUMIF(End_of_period,BH$8,Отчетность!$L9:$CO9)</f>
        <v>0</v>
      </c>
      <c r="BI9" s="152">
        <f>SUMIF(End_of_period,BI$8,Отчетность!$L9:$CO9)</f>
        <v>0</v>
      </c>
      <c r="BJ9" s="152">
        <f>SUMIF(End_of_period,BJ$8,Отчетность!$L9:$CO9)</f>
        <v>0</v>
      </c>
      <c r="BK9" s="152">
        <f>SUMIF(End_of_period,BK$8,Отчетность!$L9:$CO9)</f>
        <v>0</v>
      </c>
      <c r="BL9" s="152">
        <f>SUMIF(End_of_period,BL$8,Отчетность!$L9:$CO9)</f>
        <v>0</v>
      </c>
      <c r="BM9" s="152">
        <f>SUMIF(End_of_period,BM$8,Отчетность!$L9:$CO9)</f>
        <v>0</v>
      </c>
      <c r="BN9" s="152">
        <f>SUMIF(End_of_period,BN$8,Отчетность!$L9:$CO9)</f>
        <v>0</v>
      </c>
      <c r="BO9" s="152">
        <f>SUMIF(End_of_period,BO$8,Отчетность!$L9:$CO9)</f>
        <v>0</v>
      </c>
      <c r="BP9" s="152">
        <f>SUMIF(End_of_period,BP$8,Отчетность!$L9:$CO9)</f>
        <v>0</v>
      </c>
      <c r="BQ9" s="152">
        <f>SUMIF(End_of_period,BQ$8,Отчетность!$L9:$CO9)</f>
        <v>0</v>
      </c>
      <c r="BR9" s="152">
        <f>SUMIF(End_of_period,BR$8,Отчетность!$L9:$CO9)</f>
        <v>0</v>
      </c>
      <c r="BS9" s="152">
        <f>SUMIF(End_of_period,BS$8,Отчетность!$L9:$CO9)</f>
        <v>0</v>
      </c>
      <c r="BT9" s="152">
        <f>SUMIF(End_of_period,BT$8,Отчетность!$L9:$CO9)</f>
        <v>0</v>
      </c>
      <c r="BU9" s="152">
        <f>SUMIF(End_of_period,BU$8,Отчетность!$L9:$CO9)</f>
        <v>0</v>
      </c>
      <c r="BV9" s="152">
        <f>SUMIF(End_of_period,BV$8,Отчетность!$L9:$CO9)</f>
        <v>0</v>
      </c>
      <c r="BW9" s="152">
        <f>SUMIF(End_of_period,BW$8,Отчетность!$L9:$CO9)</f>
        <v>0</v>
      </c>
      <c r="BX9" s="152">
        <f>SUMIF(End_of_period,BX$8,Отчетность!$L9:$CO9)</f>
        <v>0</v>
      </c>
      <c r="BY9" s="152">
        <f>SUMIF(End_of_period,BY$8,Отчетность!$L9:$CO9)</f>
        <v>0</v>
      </c>
      <c r="BZ9" s="152">
        <f>SUMIF(End_of_period,BZ$8,Отчетность!$L9:$CO9)</f>
        <v>0</v>
      </c>
      <c r="CA9" s="152">
        <f>SUMIF(End_of_period,CA$8,Отчетность!$L9:$CO9)</f>
        <v>0</v>
      </c>
      <c r="CB9" s="152">
        <f>SUMIF(End_of_period,CB$8,Отчетность!$L9:$CO9)</f>
        <v>0</v>
      </c>
      <c r="CC9" s="152">
        <f>SUMIF(End_of_period,CC$8,Отчетность!$L9:$CO9)</f>
        <v>0</v>
      </c>
      <c r="CD9" s="152">
        <f>SUMIF(End_of_period,CD$8,Отчетность!$L9:$CO9)</f>
        <v>0</v>
      </c>
      <c r="CE9" s="152">
        <f>SUMIF(End_of_period,CE$8,Отчетность!$L9:$CO9)</f>
        <v>0</v>
      </c>
      <c r="CF9" s="152">
        <f>SUMIF(End_of_period,CF$8,Отчетность!$L9:$CO9)</f>
        <v>0</v>
      </c>
      <c r="CG9" s="152">
        <f>SUMIF(End_of_period,CG$8,Отчетность!$L9:$CO9)</f>
        <v>0</v>
      </c>
      <c r="CH9" s="152">
        <f>SUMIF(End_of_period,CH$8,Отчетность!$L9:$CO9)</f>
        <v>0</v>
      </c>
      <c r="CI9" s="152">
        <f>SUMIF(End_of_period,CI$8,Отчетность!$L9:$CO9)</f>
        <v>0</v>
      </c>
      <c r="CJ9" s="152">
        <f>SUMIF(End_of_period,CJ$8,Отчетность!$L9:$CO9)</f>
        <v>0</v>
      </c>
      <c r="CK9" s="152">
        <f>SUMIF(End_of_period,CK$8,Отчетность!$L9:$CO9)</f>
        <v>0</v>
      </c>
      <c r="CL9" s="152">
        <f>SUMIF(End_of_period,CL$8,Отчетность!$L9:$CO9)</f>
        <v>0</v>
      </c>
      <c r="CM9" s="152">
        <f>SUMIF(End_of_period,CM$8,Отчетность!$L9:$CO9)</f>
        <v>0</v>
      </c>
      <c r="CN9" s="152">
        <f>SUMIF(End_of_period,CN$8,Отчетность!$L9:$CO9)</f>
        <v>0</v>
      </c>
      <c r="CO9" s="152">
        <f>SUMIF(End_of_period,CO$8,Отчетность!$L9:$CO9)</f>
        <v>0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10"/>
      <c r="B11" s="5" t="s">
        <v>312</v>
      </c>
      <c r="C11" s="5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 ht="14.5">
      <c r="A12" s="73"/>
      <c r="B12" s="73"/>
      <c r="C12" s="73"/>
      <c r="D12" s="73"/>
      <c r="E12" s="73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518" customFormat="1" ht="14">
      <c r="A13" s="35"/>
      <c r="B13" s="35"/>
      <c r="C13" s="512" t="s">
        <v>96</v>
      </c>
      <c r="D13" s="35"/>
      <c r="E13" s="35"/>
      <c r="F13" s="35"/>
      <c r="G13" s="131" t="str">
        <f t="shared" ref="G13:G20" si="4">Monetary_Unit</f>
        <v>тыс. руб.</v>
      </c>
      <c r="H13" s="35"/>
      <c r="I13" s="176">
        <f t="shared" ref="I13:I20" ca="1" si="5">SUM(L13:CQ13)</f>
        <v>54850086.519837223</v>
      </c>
      <c r="J13" s="35"/>
      <c r="K13" s="35"/>
      <c r="L13" s="35">
        <f>SUMIF(Year,L$6,Расчеты!$L$1026:$CO$1026)</f>
        <v>0</v>
      </c>
      <c r="M13" s="35">
        <f t="shared" ref="M13:BW13" ca="1" si="6">SUMIF(Year,M$6,Revenue)</f>
        <v>0</v>
      </c>
      <c r="N13" s="35">
        <f t="shared" ca="1" si="6"/>
        <v>0</v>
      </c>
      <c r="O13" s="35">
        <f t="shared" ca="1" si="6"/>
        <v>0</v>
      </c>
      <c r="P13" s="35">
        <f t="shared" ca="1" si="6"/>
        <v>1655055.6470820154</v>
      </c>
      <c r="Q13" s="35">
        <f t="shared" ca="1" si="6"/>
        <v>2375550.2981476923</v>
      </c>
      <c r="R13" s="35">
        <f t="shared" ca="1" si="6"/>
        <v>2783687.5045269774</v>
      </c>
      <c r="S13" s="35">
        <f t="shared" ca="1" si="6"/>
        <v>3166498.2298717811</v>
      </c>
      <c r="T13" s="35">
        <f t="shared" ca="1" si="6"/>
        <v>3301987.5946275322</v>
      </c>
      <c r="U13" s="35">
        <f t="shared" ca="1" si="6"/>
        <v>3014031.1697501168</v>
      </c>
      <c r="V13" s="35">
        <f t="shared" ca="1" si="6"/>
        <v>3038380.561102998</v>
      </c>
      <c r="W13" s="35">
        <f t="shared" ca="1" si="6"/>
        <v>3166252.9377585752</v>
      </c>
      <c r="X13" s="35">
        <f t="shared" ca="1" si="6"/>
        <v>3286312.4148890013</v>
      </c>
      <c r="Y13" s="35">
        <f t="shared" ca="1" si="6"/>
        <v>3417764.9114845609</v>
      </c>
      <c r="Z13" s="35">
        <f t="shared" ca="1" si="6"/>
        <v>3554475.5079439427</v>
      </c>
      <c r="AA13" s="35">
        <f t="shared" ca="1" si="6"/>
        <v>3704068.1023620144</v>
      </c>
      <c r="AB13" s="35">
        <f t="shared" ca="1" si="6"/>
        <v>3844520.7093921672</v>
      </c>
      <c r="AC13" s="35">
        <f t="shared" ca="1" si="6"/>
        <v>3998301.5377678541</v>
      </c>
      <c r="AD13" s="35">
        <f t="shared" ca="1" si="6"/>
        <v>4158233.5992785678</v>
      </c>
      <c r="AE13" s="35">
        <f t="shared" ca="1" si="6"/>
        <v>4333235.7763711568</v>
      </c>
      <c r="AF13" s="35">
        <f t="shared" ca="1" si="6"/>
        <v>2051730.0174802581</v>
      </c>
      <c r="AG13" s="35">
        <f t="shared" si="6"/>
        <v>0</v>
      </c>
      <c r="AH13" s="35">
        <f t="shared" si="6"/>
        <v>0</v>
      </c>
      <c r="AI13" s="35">
        <f t="shared" si="6"/>
        <v>0</v>
      </c>
      <c r="AJ13" s="35">
        <f t="shared" si="6"/>
        <v>0</v>
      </c>
      <c r="AK13" s="35">
        <f t="shared" si="6"/>
        <v>0</v>
      </c>
      <c r="AL13" s="35">
        <f t="shared" si="6"/>
        <v>0</v>
      </c>
      <c r="AM13" s="35">
        <f t="shared" si="6"/>
        <v>0</v>
      </c>
      <c r="AN13" s="35">
        <f t="shared" si="6"/>
        <v>0</v>
      </c>
      <c r="AO13" s="35">
        <f t="shared" si="6"/>
        <v>0</v>
      </c>
      <c r="AP13" s="35">
        <f t="shared" si="6"/>
        <v>0</v>
      </c>
      <c r="AQ13" s="35">
        <f t="shared" si="6"/>
        <v>0</v>
      </c>
      <c r="AR13" s="35">
        <f t="shared" si="6"/>
        <v>0</v>
      </c>
      <c r="AS13" s="35">
        <f t="shared" si="6"/>
        <v>0</v>
      </c>
      <c r="AT13" s="35">
        <f t="shared" si="6"/>
        <v>0</v>
      </c>
      <c r="AU13" s="35">
        <f t="shared" si="6"/>
        <v>0</v>
      </c>
      <c r="AV13" s="35">
        <f t="shared" si="6"/>
        <v>0</v>
      </c>
      <c r="AW13" s="35">
        <f t="shared" si="6"/>
        <v>0</v>
      </c>
      <c r="AX13" s="35">
        <f t="shared" si="6"/>
        <v>0</v>
      </c>
      <c r="AY13" s="35">
        <f t="shared" si="6"/>
        <v>0</v>
      </c>
      <c r="AZ13" s="35">
        <f t="shared" si="6"/>
        <v>0</v>
      </c>
      <c r="BA13" s="35">
        <f t="shared" si="6"/>
        <v>0</v>
      </c>
      <c r="BB13" s="35">
        <f t="shared" si="6"/>
        <v>0</v>
      </c>
      <c r="BC13" s="35">
        <f t="shared" si="6"/>
        <v>0</v>
      </c>
      <c r="BD13" s="35">
        <f t="shared" si="6"/>
        <v>0</v>
      </c>
      <c r="BE13" s="35">
        <f t="shared" si="6"/>
        <v>0</v>
      </c>
      <c r="BF13" s="35">
        <f t="shared" si="6"/>
        <v>0</v>
      </c>
      <c r="BG13" s="35">
        <f t="shared" si="6"/>
        <v>0</v>
      </c>
      <c r="BH13" s="35">
        <f t="shared" si="6"/>
        <v>0</v>
      </c>
      <c r="BI13" s="35">
        <f t="shared" si="6"/>
        <v>0</v>
      </c>
      <c r="BJ13" s="35">
        <f t="shared" si="6"/>
        <v>0</v>
      </c>
      <c r="BK13" s="35">
        <f t="shared" si="6"/>
        <v>0</v>
      </c>
      <c r="BL13" s="35">
        <f t="shared" si="6"/>
        <v>0</v>
      </c>
      <c r="BM13" s="35">
        <f t="shared" si="6"/>
        <v>0</v>
      </c>
      <c r="BN13" s="35">
        <f t="shared" si="6"/>
        <v>0</v>
      </c>
      <c r="BO13" s="35">
        <f t="shared" si="6"/>
        <v>0</v>
      </c>
      <c r="BP13" s="35">
        <f t="shared" si="6"/>
        <v>0</v>
      </c>
      <c r="BQ13" s="35">
        <f t="shared" si="6"/>
        <v>0</v>
      </c>
      <c r="BR13" s="35">
        <f t="shared" si="6"/>
        <v>0</v>
      </c>
      <c r="BS13" s="35">
        <f t="shared" si="6"/>
        <v>0</v>
      </c>
      <c r="BT13" s="35">
        <f t="shared" si="6"/>
        <v>0</v>
      </c>
      <c r="BU13" s="35">
        <f t="shared" si="6"/>
        <v>0</v>
      </c>
      <c r="BV13" s="35">
        <f t="shared" si="6"/>
        <v>0</v>
      </c>
      <c r="BW13" s="35">
        <f t="shared" si="6"/>
        <v>0</v>
      </c>
      <c r="BX13" s="35">
        <f t="shared" ref="BX13:CO13" si="7">SUMIF(Year,BX$6,Revenue)</f>
        <v>0</v>
      </c>
      <c r="BY13" s="35">
        <f t="shared" si="7"/>
        <v>0</v>
      </c>
      <c r="BZ13" s="35">
        <f t="shared" si="7"/>
        <v>0</v>
      </c>
      <c r="CA13" s="35">
        <f t="shared" si="7"/>
        <v>0</v>
      </c>
      <c r="CB13" s="35">
        <f t="shared" si="7"/>
        <v>0</v>
      </c>
      <c r="CC13" s="35">
        <f t="shared" si="7"/>
        <v>0</v>
      </c>
      <c r="CD13" s="35">
        <f t="shared" si="7"/>
        <v>0</v>
      </c>
      <c r="CE13" s="35">
        <f t="shared" si="7"/>
        <v>0</v>
      </c>
      <c r="CF13" s="35">
        <f t="shared" si="7"/>
        <v>0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>
        <f t="shared" si="7"/>
        <v>0</v>
      </c>
      <c r="CL13" s="35">
        <f t="shared" si="7"/>
        <v>0</v>
      </c>
      <c r="CM13" s="35">
        <f t="shared" si="7"/>
        <v>0</v>
      </c>
      <c r="CN13" s="35">
        <f t="shared" si="7"/>
        <v>0</v>
      </c>
      <c r="CO13" s="35">
        <f t="shared" si="7"/>
        <v>0</v>
      </c>
    </row>
    <row r="14" spans="1:93" s="517" customFormat="1" ht="14.5">
      <c r="A14" s="225"/>
      <c r="B14" s="225"/>
      <c r="C14" s="514" t="s">
        <v>1537</v>
      </c>
      <c r="D14" s="225"/>
      <c r="E14" s="225"/>
      <c r="F14" s="225"/>
      <c r="G14" s="515" t="str">
        <f t="shared" si="4"/>
        <v>тыс. руб.</v>
      </c>
      <c r="H14" s="225"/>
      <c r="I14" s="516">
        <f t="shared" ca="1" si="5"/>
        <v>9825957.1223051231</v>
      </c>
      <c r="J14" s="225"/>
      <c r="K14" s="225"/>
      <c r="L14" s="35">
        <f ca="1">SUMIF(Year,L$6,Расчеты!$L$1388:$CO$1388)</f>
        <v>-128324.85692220708</v>
      </c>
      <c r="M14" s="35">
        <f ca="1">SUMIF(Year,M$6,Расчеты!$L$1388:$CO$1388)</f>
        <v>-1118766.2436879175</v>
      </c>
      <c r="N14" s="35">
        <f ca="1">SUMIF(Year,N$6,Расчеты!$L$1388:$CO$1388)</f>
        <v>-1175779.2821139083</v>
      </c>
      <c r="O14" s="35">
        <f ca="1">SUMIF(Year,O$6,Расчеты!$L$1388:$CO$1388)</f>
        <v>-2534343.5209497269</v>
      </c>
      <c r="P14" s="35">
        <f ca="1">SUMIF(Year,P$6,Расчеты!$L$1388:$CO$1388)</f>
        <v>579383.39213276806</v>
      </c>
      <c r="Q14" s="35">
        <f ca="1">SUMIF(Year,Q$6,Расчеты!$L$1388:$CO$1388)</f>
        <v>833895.83167231013</v>
      </c>
      <c r="R14" s="35">
        <f ca="1">SUMIF(Year,R$6,Расчеты!$L$1388:$CO$1388)</f>
        <v>982973.37400328601</v>
      </c>
      <c r="S14" s="35">
        <f ca="1">SUMIF(Year,S$6,Расчеты!$L$1388:$CO$1388)</f>
        <v>1129724.5829525064</v>
      </c>
      <c r="T14" s="35">
        <f ca="1">SUMIF(Year,T$6,Расчеты!$L$1388:$CO$1388)</f>
        <v>1175229.2999263355</v>
      </c>
      <c r="U14" s="35">
        <f ca="1">SUMIF(Year,U$6,Расчеты!$L$1388:$CO$1388)</f>
        <v>996211.719741393</v>
      </c>
      <c r="V14" s="35">
        <f ca="1">SUMIF(Year,V$6,Расчеты!$L$1388:$CO$1388)</f>
        <v>766876.06660536712</v>
      </c>
      <c r="W14" s="35">
        <f ca="1">SUMIF(Year,W$6,Расчеты!$L$1388:$CO$1388)</f>
        <v>793987.32523955032</v>
      </c>
      <c r="X14" s="35">
        <f ca="1">SUMIF(Year,X$6,Расчеты!$L$1388:$CO$1388)</f>
        <v>822485.44224311016</v>
      </c>
      <c r="Y14" s="35">
        <f ca="1">SUMIF(Year,Y$6,Расчеты!$L$1388:$CO$1388)</f>
        <v>842664.11652800627</v>
      </c>
      <c r="Z14" s="35">
        <f ca="1">SUMIF(Year,Z$6,Расчеты!$L$1388:$CO$1388)</f>
        <v>818616.70790710032</v>
      </c>
      <c r="AA14" s="35">
        <f ca="1">SUMIF(Year,AA$6,Расчеты!$L$1388:$CO$1388)</f>
        <v>852864.09115192026</v>
      </c>
      <c r="AB14" s="35">
        <f ca="1">SUMIF(Year,AB$6,Расчеты!$L$1388:$CO$1388)</f>
        <v>885002.38998968841</v>
      </c>
      <c r="AC14" s="35">
        <f ca="1">SUMIF(Year,AC$6,Расчеты!$L$1388:$CO$1388)</f>
        <v>920199.87299901806</v>
      </c>
      <c r="AD14" s="35">
        <f ca="1">SUMIF(Year,AD$6,Расчеты!$L$1388:$CO$1388)</f>
        <v>956805.21814828669</v>
      </c>
      <c r="AE14" s="35">
        <f ca="1">SUMIF(Year,AE$6,Расчеты!$L$1388:$CO$1388)</f>
        <v>996869.81259483879</v>
      </c>
      <c r="AF14" s="35">
        <f ca="1">SUMIF(Year,AF$6,Расчеты!$L$1388:$CO$1388)</f>
        <v>429381.78214339697</v>
      </c>
      <c r="AG14" s="35">
        <f>SUMIF(Year,AG$6,Расчеты!$L$1388:$CO$1388)</f>
        <v>0</v>
      </c>
      <c r="AH14" s="35">
        <f>SUMIF(Year,AH$6,Расчеты!$L$1388:$CO$1388)</f>
        <v>0</v>
      </c>
      <c r="AI14" s="35">
        <f>SUMIF(Year,AI$6,Расчеты!$L$1388:$CO$1388)</f>
        <v>0</v>
      </c>
      <c r="AJ14" s="10">
        <f>SUMIF(Year,AJ$6,Расчеты!$L$704:$CO$704)</f>
        <v>0</v>
      </c>
      <c r="AK14" s="10">
        <f>SUMIF(Year,AK$6,Расчеты!$L$704:$CO$704)</f>
        <v>0</v>
      </c>
      <c r="AL14" s="10">
        <f>SUMIF(Year,AL$6,Расчеты!$L$704:$CO$704)</f>
        <v>0</v>
      </c>
      <c r="AM14" s="10">
        <f>SUMIF(Year,AM$6,Расчеты!$L$704:$CO$704)</f>
        <v>0</v>
      </c>
      <c r="AN14" s="10">
        <f>SUMIF(Year,AN$6,Расчеты!$L$704:$CO$704)</f>
        <v>0</v>
      </c>
      <c r="AO14" s="10">
        <f>SUMIF(Year,AO$6,Расчеты!$L$704:$CO$704)</f>
        <v>0</v>
      </c>
      <c r="AP14" s="10">
        <f>SUMIF(Year,AP$6,Расчеты!$L$704:$CO$704)</f>
        <v>0</v>
      </c>
      <c r="AQ14" s="10">
        <f>SUMIF(Year,AQ$6,Расчеты!AM704:DP704)</f>
        <v>0</v>
      </c>
      <c r="AR14" s="10">
        <f>SUMIF(Year,AR$6,Расчеты!AN704:DQ704)</f>
        <v>0</v>
      </c>
      <c r="AS14" s="10">
        <f>SUMIF(Year,AS$6,Расчеты!AO704:DR704)</f>
        <v>0</v>
      </c>
      <c r="AT14" s="10">
        <f>SUMIF(Year,AT$6,Расчеты!AP704:DS704)</f>
        <v>0</v>
      </c>
      <c r="AU14" s="10">
        <f>SUMIF(Year,AU$6,Расчеты!AQ704:DT704)</f>
        <v>0</v>
      </c>
      <c r="AV14" s="10">
        <f>SUMIF(Year,AV$6,Расчеты!AR704:DU704)</f>
        <v>0</v>
      </c>
      <c r="AW14" s="10">
        <f>SUMIF(Year,AW$6,Расчеты!AS704:DV704)</f>
        <v>0</v>
      </c>
      <c r="AX14" s="10">
        <f>SUMIF(Year,AX$6,Расчеты!AT704:DW704)</f>
        <v>0</v>
      </c>
      <c r="AY14" s="10">
        <f>SUMIF(Year,AY$6,Расчеты!AU704:DX704)</f>
        <v>0</v>
      </c>
      <c r="AZ14" s="10">
        <f>SUMIF(Year,AZ$6,Расчеты!AV704:DY704)</f>
        <v>0</v>
      </c>
      <c r="BA14" s="10">
        <f>SUMIF(Year,BA$6,Расчеты!AW704:DZ704)</f>
        <v>0</v>
      </c>
      <c r="BB14" s="10">
        <f>SUMIF(Year,BB$6,Расчеты!AX704:EA704)</f>
        <v>0</v>
      </c>
      <c r="BC14" s="10">
        <f>SUMIF(Year,BC$6,Расчеты!AY704:EB704)</f>
        <v>0</v>
      </c>
      <c r="BD14" s="10">
        <f>SUMIF(Year,BD$6,Расчеты!AZ704:EC704)</f>
        <v>0</v>
      </c>
      <c r="BE14" s="10">
        <f>SUMIF(Year,BE$6,Расчеты!BA704:ED704)</f>
        <v>0</v>
      </c>
      <c r="BF14" s="10">
        <f>SUMIF(Year,BF$6,Расчеты!BB704:EE704)</f>
        <v>0</v>
      </c>
      <c r="BG14" s="10">
        <f>SUMIF(Year,BG$6,Расчеты!BC704:EF704)</f>
        <v>0</v>
      </c>
      <c r="BH14" s="10">
        <f>SUMIF(Year,BH$6,Расчеты!BD704:EG704)</f>
        <v>0</v>
      </c>
      <c r="BI14" s="10">
        <f>SUMIF(Year,BI$6,Расчеты!BE704:EH704)</f>
        <v>0</v>
      </c>
      <c r="BJ14" s="10">
        <f>SUMIF(Year,BJ$6,Расчеты!BF704:EI704)</f>
        <v>0</v>
      </c>
      <c r="BK14" s="10">
        <f>SUMIF(Year,BK$6,Расчеты!BG704:EJ704)</f>
        <v>0</v>
      </c>
      <c r="BL14" s="10">
        <f>SUMIF(Year,BL$6,Расчеты!BH704:EK704)</f>
        <v>0</v>
      </c>
      <c r="BM14" s="10">
        <f>SUMIF(Year,BM$6,Расчеты!BI704:EL704)</f>
        <v>0</v>
      </c>
      <c r="BN14" s="10">
        <f>SUMIF(Year,BN$6,Расчеты!BJ704:EM704)</f>
        <v>0</v>
      </c>
      <c r="BO14" s="10">
        <f>SUMIF(Year,BO$6,Расчеты!BK704:EN704)</f>
        <v>0</v>
      </c>
      <c r="BP14" s="10">
        <f>SUMIF(Year,BP$6,Расчеты!BL704:EO704)</f>
        <v>0</v>
      </c>
      <c r="BQ14" s="10">
        <f>SUMIF(Year,BQ$6,Расчеты!BM704:EP704)</f>
        <v>0</v>
      </c>
      <c r="BR14" s="10">
        <f>SUMIF(Year,BR$6,Расчеты!BN704:EQ704)</f>
        <v>0</v>
      </c>
      <c r="BS14" s="10">
        <f>SUMIF(Year,BS$6,Расчеты!BO704:ER704)</f>
        <v>0</v>
      </c>
      <c r="BT14" s="10">
        <f>SUMIF(Year,BT$6,Расчеты!BP704:ES704)</f>
        <v>0</v>
      </c>
      <c r="BU14" s="10">
        <f>SUMIF(Year,BU$6,Расчеты!BQ704:ET704)</f>
        <v>0</v>
      </c>
      <c r="BV14" s="10">
        <f>SUMIF(Year,BV$6,Расчеты!BR704:EU704)</f>
        <v>0</v>
      </c>
      <c r="BW14" s="10">
        <f>SUMIF(Year,BW$6,Расчеты!BS704:EV704)</f>
        <v>0</v>
      </c>
      <c r="BX14" s="10">
        <f>SUMIF(Year,BX$6,Расчеты!BT704:EW704)</f>
        <v>0</v>
      </c>
      <c r="BY14" s="10">
        <f>SUMIF(Year,BY$6,Расчеты!BU704:EX704)</f>
        <v>0</v>
      </c>
      <c r="BZ14" s="10">
        <f>SUMIF(Year,BZ$6,Расчеты!BV704:EY704)</f>
        <v>0</v>
      </c>
      <c r="CA14" s="10">
        <f>SUMIF(Year,CA$6,Расчеты!BW704:EZ704)</f>
        <v>0</v>
      </c>
      <c r="CB14" s="10">
        <f>SUMIF(Year,CB$6,Расчеты!BX704:FA704)</f>
        <v>0</v>
      </c>
      <c r="CC14" s="10">
        <f>SUMIF(Year,CC$6,Расчеты!BY704:FB704)</f>
        <v>0</v>
      </c>
      <c r="CD14" s="10">
        <f>SUMIF(Year,CD$6,Расчеты!BZ704:FC704)</f>
        <v>0</v>
      </c>
      <c r="CE14" s="10">
        <f>SUMIF(Year,CE$6,Расчеты!CA704:FD704)</f>
        <v>0</v>
      </c>
      <c r="CF14" s="10">
        <f>SUMIF(Year,CF$6,Расчеты!CB704:FE704)</f>
        <v>0</v>
      </c>
      <c r="CG14" s="10">
        <f>SUMIF(Year,CG$6,Расчеты!CC704:FF704)</f>
        <v>0</v>
      </c>
      <c r="CH14" s="10">
        <f>SUMIF(Year,CH$6,Расчеты!CD704:FG704)</f>
        <v>0</v>
      </c>
      <c r="CI14" s="10">
        <f>SUMIF(Year,CI$6,Расчеты!CE704:FH704)</f>
        <v>0</v>
      </c>
      <c r="CJ14" s="10">
        <f>SUMIF(Year,CJ$6,Расчеты!CF704:FI704)</f>
        <v>0</v>
      </c>
      <c r="CK14" s="10">
        <f>SUMIF(Year,CK$6,Расчеты!CG704:FJ704)</f>
        <v>0</v>
      </c>
      <c r="CL14" s="10">
        <f>SUMIF(Year,CL$6,Расчеты!CH704:FK704)</f>
        <v>0</v>
      </c>
      <c r="CM14" s="10">
        <f>SUMIF(Year,CM$6,Расчеты!CI704:FL704)</f>
        <v>0</v>
      </c>
      <c r="CN14" s="10">
        <f>SUMIF(Year,CN$6,Расчеты!CJ704:FM704)</f>
        <v>0</v>
      </c>
      <c r="CO14" s="10">
        <f>SUMIF(Year,CO$6,Расчеты!CK704:FN704)</f>
        <v>0</v>
      </c>
    </row>
    <row r="15" spans="1:93" s="517" customFormat="1" ht="14.5">
      <c r="A15" s="225"/>
      <c r="B15" s="225"/>
      <c r="C15" s="514" t="s">
        <v>1538</v>
      </c>
      <c r="D15" s="225"/>
      <c r="E15" s="225"/>
      <c r="F15" s="225"/>
      <c r="G15" s="515" t="str">
        <f t="shared" si="4"/>
        <v>тыс. руб.</v>
      </c>
      <c r="H15" s="225"/>
      <c r="I15" s="516">
        <f t="shared" ca="1" si="5"/>
        <v>8525791.8185832519</v>
      </c>
      <c r="J15" s="225"/>
      <c r="K15" s="225"/>
      <c r="L15" s="35">
        <f ca="1">SUMIF(Year,L$6,Расчеты!$L$1425:$CO$1425)</f>
        <v>-128324.85692220708</v>
      </c>
      <c r="M15" s="35">
        <f ca="1">SUMIF(Year,M$6,Расчеты!$L$1425:$CO$1425)</f>
        <v>-1026430.01596743</v>
      </c>
      <c r="N15" s="35">
        <f ca="1">SUMIF(Year,N$6,Расчеты!$L$1425:$CO$1425)</f>
        <v>-49672.380042942998</v>
      </c>
      <c r="O15" s="35">
        <f ca="1">SUMIF(Year,O$6,Расчеты!$L$1425:$CO$1425)</f>
        <v>-146877.96513782989</v>
      </c>
      <c r="P15" s="35">
        <f ca="1">SUMIF(Year,P$6,Расчеты!$L$1425:$CO$1425)</f>
        <v>803155.21153117251</v>
      </c>
      <c r="Q15" s="35">
        <f ca="1">SUMIF(Year,Q$6,Расчеты!$L$1425:$CO$1425)</f>
        <v>100275.87604573886</v>
      </c>
      <c r="R15" s="35">
        <f ca="1">SUMIF(Year,R$6,Расчеты!$L$1425:$CO$1425)</f>
        <v>248416.16270955221</v>
      </c>
      <c r="S15" s="35">
        <f ca="1">SUMIF(Year,S$6,Расчеты!$L$1425:$CO$1425)</f>
        <v>395214.26919213915</v>
      </c>
      <c r="T15" s="35">
        <f ca="1">SUMIF(Year,T$6,Расчеты!$L$1425:$CO$1425)</f>
        <v>443026.35505939374</v>
      </c>
      <c r="U15" s="35">
        <f ca="1">SUMIF(Year,U$6,Расчеты!$L$1425:$CO$1425)</f>
        <v>267489.79998110898</v>
      </c>
      <c r="V15" s="35">
        <f ca="1">SUMIF(Year,V$6,Расчеты!$L$1425:$CO$1425)</f>
        <v>35463.312971187785</v>
      </c>
      <c r="W15" s="35">
        <f ca="1">SUMIF(Year,W$6,Расчеты!$L$1425:$CO$1425)</f>
        <v>59166.61545800374</v>
      </c>
      <c r="X15" s="35">
        <f ca="1">SUMIF(Year,X$6,Расчеты!$L$1425:$CO$1425)</f>
        <v>822485.44224311016</v>
      </c>
      <c r="Y15" s="35">
        <f ca="1">SUMIF(Year,Y$6,Расчеты!$L$1425:$CO$1425)</f>
        <v>842664.11652800627</v>
      </c>
      <c r="Z15" s="35">
        <f ca="1">SUMIF(Year,Z$6,Расчеты!$L$1425:$CO$1425)</f>
        <v>818616.70790710032</v>
      </c>
      <c r="AA15" s="35">
        <f ca="1">SUMIF(Year,AA$6,Расчеты!$L$1425:$CO$1425)</f>
        <v>852864.09115192026</v>
      </c>
      <c r="AB15" s="35">
        <f ca="1">SUMIF(Year,AB$6,Расчеты!$L$1425:$CO$1425)</f>
        <v>885002.38998968841</v>
      </c>
      <c r="AC15" s="35">
        <f ca="1">SUMIF(Year,AC$6,Расчеты!$L$1425:$CO$1425)</f>
        <v>920199.87299901806</v>
      </c>
      <c r="AD15" s="35">
        <f ca="1">SUMIF(Year,AD$6,Расчеты!$L$1425:$CO$1425)</f>
        <v>956805.21814828669</v>
      </c>
      <c r="AE15" s="35">
        <f ca="1">SUMIF(Year,AE$6,Расчеты!$L$1425:$CO$1425)</f>
        <v>996869.81259483879</v>
      </c>
      <c r="AF15" s="35">
        <f ca="1">SUMIF(Year,AF$6,Расчеты!$L$1425:$CO$1425)</f>
        <v>429381.78214339697</v>
      </c>
      <c r="AG15" s="35">
        <f>SUMIF(Year,AG$6,Расчеты!$L$1425:$CO$1425)</f>
        <v>0</v>
      </c>
      <c r="AH15" s="35">
        <f>SUMIF(Year,AH$6,Расчеты!$L$1425:$CO$1425)</f>
        <v>0</v>
      </c>
      <c r="AI15" s="35">
        <f>SUMIF(Year,AI$6,Расчеты!$L$1425:$CO$1425)</f>
        <v>0</v>
      </c>
      <c r="AJ15" s="35">
        <f>SUMIF(Year,AJ$6,Расчеты!$L$1425:$CO$1425)</f>
        <v>0</v>
      </c>
      <c r="AK15" s="35">
        <f>SUMIF(Year,AK$6,Расчеты!$L$1425:$CO$1425)</f>
        <v>0</v>
      </c>
      <c r="AL15" s="10">
        <f>SUMIF(Year,AL$6,Расчеты!$L$705:$CO$705)</f>
        <v>0</v>
      </c>
      <c r="AM15" s="10">
        <f>SUMIF(Year,AM$6,Расчеты!$L$705:$CO$705)</f>
        <v>0</v>
      </c>
      <c r="AN15" s="10">
        <f>SUMIF(Year,AN$6,Расчеты!$L$705:$CO$705)</f>
        <v>0</v>
      </c>
      <c r="AO15" s="10">
        <f>SUMIF(Year,AO$6,Расчеты!$L$705:$CO$705)</f>
        <v>0</v>
      </c>
      <c r="AP15" s="10">
        <f>SUMIF(Year,AP$6,Расчеты!$L$705:$CO$705)</f>
        <v>0</v>
      </c>
      <c r="AQ15" s="10">
        <f>SUMIF(Year,AQ$6,Расчеты!AM705:DP705)</f>
        <v>0</v>
      </c>
      <c r="AR15" s="10">
        <f>SUMIF(Year,AR$6,Расчеты!AN705:DQ705)</f>
        <v>0</v>
      </c>
      <c r="AS15" s="10">
        <f>SUMIF(Year,AS$6,Расчеты!AO705:DR705)</f>
        <v>0</v>
      </c>
      <c r="AT15" s="10">
        <f>SUMIF(Year,AT$6,Расчеты!AP705:DS705)</f>
        <v>0</v>
      </c>
      <c r="AU15" s="10">
        <f>SUMIF(Year,AU$6,Расчеты!AQ705:DT705)</f>
        <v>0</v>
      </c>
      <c r="AV15" s="10">
        <f>SUMIF(Year,AV$6,Расчеты!AR705:DU705)</f>
        <v>0</v>
      </c>
      <c r="AW15" s="10">
        <f>SUMIF(Year,AW$6,Расчеты!AS705:DV705)</f>
        <v>0</v>
      </c>
      <c r="AX15" s="10">
        <f>SUMIF(Year,AX$6,Расчеты!AT705:DW705)</f>
        <v>0</v>
      </c>
      <c r="AY15" s="10">
        <f>SUMIF(Year,AY$6,Расчеты!AU705:DX705)</f>
        <v>0</v>
      </c>
      <c r="AZ15" s="10">
        <f>SUMIF(Year,AZ$6,Расчеты!AV705:DY705)</f>
        <v>0</v>
      </c>
      <c r="BA15" s="10">
        <f>SUMIF(Year,BA$6,Расчеты!AW705:DZ705)</f>
        <v>0</v>
      </c>
      <c r="BB15" s="10">
        <f>SUMIF(Year,BB$6,Расчеты!AX705:EA705)</f>
        <v>0</v>
      </c>
      <c r="BC15" s="10">
        <f>SUMIF(Year,BC$6,Расчеты!AY705:EB705)</f>
        <v>0</v>
      </c>
      <c r="BD15" s="10">
        <f>SUMIF(Year,BD$6,Расчеты!AZ705:EC705)</f>
        <v>0</v>
      </c>
      <c r="BE15" s="10">
        <f>SUMIF(Year,BE$6,Расчеты!BA705:ED705)</f>
        <v>0</v>
      </c>
      <c r="BF15" s="10">
        <f>SUMIF(Year,BF$6,Расчеты!BB705:EE705)</f>
        <v>0</v>
      </c>
      <c r="BG15" s="10">
        <f>SUMIF(Year,BG$6,Расчеты!BC705:EF705)</f>
        <v>0</v>
      </c>
      <c r="BH15" s="10">
        <f>SUMIF(Year,BH$6,Расчеты!BD705:EG705)</f>
        <v>0</v>
      </c>
      <c r="BI15" s="10">
        <f>SUMIF(Year,BI$6,Расчеты!BE705:EH705)</f>
        <v>0</v>
      </c>
      <c r="BJ15" s="10">
        <f>SUMIF(Year,BJ$6,Расчеты!BF705:EI705)</f>
        <v>0</v>
      </c>
      <c r="BK15" s="10">
        <f>SUMIF(Year,BK$6,Расчеты!BG705:EJ705)</f>
        <v>0</v>
      </c>
      <c r="BL15" s="10">
        <f>SUMIF(Year,BL$6,Расчеты!BH705:EK705)</f>
        <v>0</v>
      </c>
      <c r="BM15" s="10">
        <f>SUMIF(Year,BM$6,Расчеты!BI705:EL705)</f>
        <v>0</v>
      </c>
      <c r="BN15" s="10">
        <f>SUMIF(Year,BN$6,Расчеты!BJ705:EM705)</f>
        <v>0</v>
      </c>
      <c r="BO15" s="10">
        <f>SUMIF(Year,BO$6,Расчеты!BK705:EN705)</f>
        <v>0</v>
      </c>
      <c r="BP15" s="10">
        <f>SUMIF(Year,BP$6,Расчеты!BL705:EO705)</f>
        <v>0</v>
      </c>
      <c r="BQ15" s="10">
        <f>SUMIF(Year,BQ$6,Расчеты!BM705:EP705)</f>
        <v>0</v>
      </c>
      <c r="BR15" s="10">
        <f>SUMIF(Year,BR$6,Расчеты!BN705:EQ705)</f>
        <v>0</v>
      </c>
      <c r="BS15" s="10">
        <f>SUMIF(Year,BS$6,Расчеты!BO705:ER705)</f>
        <v>0</v>
      </c>
      <c r="BT15" s="10">
        <f>SUMIF(Year,BT$6,Расчеты!BP705:ES705)</f>
        <v>0</v>
      </c>
      <c r="BU15" s="10">
        <f>SUMIF(Year,BU$6,Расчеты!BQ705:ET705)</f>
        <v>0</v>
      </c>
      <c r="BV15" s="10">
        <f>SUMIF(Year,BV$6,Расчеты!BR705:EU705)</f>
        <v>0</v>
      </c>
      <c r="BW15" s="10">
        <f>SUMIF(Year,BW$6,Расчеты!BS705:EV705)</f>
        <v>0</v>
      </c>
      <c r="BX15" s="10">
        <f>SUMIF(Year,BX$6,Расчеты!BT705:EW705)</f>
        <v>0</v>
      </c>
      <c r="BY15" s="10">
        <f>SUMIF(Year,BY$6,Расчеты!BU705:EX705)</f>
        <v>0</v>
      </c>
      <c r="BZ15" s="10">
        <f>SUMIF(Year,BZ$6,Расчеты!BV705:EY705)</f>
        <v>0</v>
      </c>
      <c r="CA15" s="10">
        <f>SUMIF(Year,CA$6,Расчеты!BW705:EZ705)</f>
        <v>0</v>
      </c>
      <c r="CB15" s="10">
        <f>SUMIF(Year,CB$6,Расчеты!BX705:FA705)</f>
        <v>0</v>
      </c>
      <c r="CC15" s="10">
        <f>SUMIF(Year,CC$6,Расчеты!BY705:FB705)</f>
        <v>0</v>
      </c>
      <c r="CD15" s="10">
        <f>SUMIF(Year,CD$6,Расчеты!BZ705:FC705)</f>
        <v>0</v>
      </c>
      <c r="CE15" s="10">
        <f>SUMIF(Year,CE$6,Расчеты!CA705:FD705)</f>
        <v>0</v>
      </c>
      <c r="CF15" s="10">
        <f>SUMIF(Year,CF$6,Расчеты!CB705:FE705)</f>
        <v>0</v>
      </c>
      <c r="CG15" s="10">
        <f>SUMIF(Year,CG$6,Расчеты!CC705:FF705)</f>
        <v>0</v>
      </c>
      <c r="CH15" s="10">
        <f>SUMIF(Year,CH$6,Расчеты!CD705:FG705)</f>
        <v>0</v>
      </c>
      <c r="CI15" s="10">
        <f>SUMIF(Year,CI$6,Расчеты!CE705:FH705)</f>
        <v>0</v>
      </c>
      <c r="CJ15" s="10">
        <f>SUMIF(Year,CJ$6,Расчеты!CF705:FI705)</f>
        <v>0</v>
      </c>
      <c r="CK15" s="10">
        <f>SUMIF(Year,CK$6,Расчеты!CG705:FJ705)</f>
        <v>0</v>
      </c>
      <c r="CL15" s="10">
        <f>SUMIF(Year,CL$6,Расчеты!CH705:FK705)</f>
        <v>0</v>
      </c>
      <c r="CM15" s="10">
        <f>SUMIF(Year,CM$6,Расчеты!CI705:FL705)</f>
        <v>0</v>
      </c>
      <c r="CN15" s="10">
        <f>SUMIF(Year,CN$6,Расчеты!CJ705:FM705)</f>
        <v>0</v>
      </c>
      <c r="CO15" s="10">
        <f>SUMIF(Year,CO$6,Расчеты!CK705:FN705)</f>
        <v>0</v>
      </c>
    </row>
    <row r="16" spans="1:93" s="517" customFormat="1" ht="14.5">
      <c r="A16" s="225"/>
      <c r="B16" s="225"/>
      <c r="C16" s="514" t="s">
        <v>120</v>
      </c>
      <c r="D16" s="225"/>
      <c r="E16" s="225"/>
      <c r="F16" s="225"/>
      <c r="G16" s="515" t="str">
        <f t="shared" si="4"/>
        <v>тыс. руб.</v>
      </c>
      <c r="H16" s="225"/>
      <c r="I16" s="516">
        <f t="shared" ca="1" si="5"/>
        <v>-961679.90095596761</v>
      </c>
      <c r="J16" s="225"/>
      <c r="K16" s="225"/>
      <c r="L16" s="10">
        <f ca="1">SUMIF(Year,L$6,Расчеты!$L$1037:$CO$1037)</f>
        <v>-21387.476153701184</v>
      </c>
      <c r="M16" s="10">
        <f ca="1">SUMIF(Year,M$6,Расчеты!$L$1037:$CO$1037)</f>
        <v>-186461.04061465291</v>
      </c>
      <c r="N16" s="10">
        <f ca="1">SUMIF(Year,N$6,Расчеты!$L$1037:$CO$1037)</f>
        <v>-193919.48223923898</v>
      </c>
      <c r="O16" s="10">
        <f ca="1">SUMIF(Year,O$6,Расчеты!$L$1037:$CO$1037)</f>
        <v>-421182.52756295528</v>
      </c>
      <c r="P16" s="10">
        <f ca="1">SUMIF(Year,P$6,Расчеты!$L$1037:$CO$1037)</f>
        <v>-138729.37438541927</v>
      </c>
      <c r="Q16" s="10">
        <f ca="1">SUMIF(Year,Q$6,Расчеты!$L$1037:$CO$1037)</f>
        <v>0</v>
      </c>
      <c r="R16" s="10">
        <f ca="1">SUMIF(Year,R$6,Расчеты!$L$1037:$CO$1037)</f>
        <v>0</v>
      </c>
      <c r="S16" s="10">
        <f ca="1">SUMIF(Year,S$6,Расчеты!$L$1037:$CO$1037)</f>
        <v>0</v>
      </c>
      <c r="T16" s="10">
        <f ca="1">SUMIF(Year,T$6,Расчеты!$L$1037:$CO$1037)</f>
        <v>0</v>
      </c>
      <c r="U16" s="10">
        <f ca="1">SUMIF(Year,U$6,Расчеты!$L$1037:$CO$1037)</f>
        <v>0</v>
      </c>
      <c r="V16" s="10">
        <f ca="1">SUMIF(Year,V$6,Расчеты!$L$1037:$CO$1037)</f>
        <v>0</v>
      </c>
      <c r="W16" s="10">
        <f ca="1">SUMIF(Year,W$6,Расчеты!$L$1037:$CO$1037)</f>
        <v>0</v>
      </c>
      <c r="X16" s="10">
        <f ca="1">SUMIF(Year,X$6,Расчеты!$L$1037:$CO$1037)</f>
        <v>0</v>
      </c>
      <c r="Y16" s="10">
        <f ca="1">SUMIF(Year,Y$6,Расчеты!$L$1037:$CO$1037)</f>
        <v>0</v>
      </c>
      <c r="Z16" s="10">
        <f ca="1">SUMIF(Year,Z$6,Расчеты!$L$1037:$CO$1037)</f>
        <v>0</v>
      </c>
      <c r="AA16" s="10">
        <f ca="1">SUMIF(Year,AA$6,Расчеты!$L$1037:$CO$1037)</f>
        <v>0</v>
      </c>
      <c r="AB16" s="10">
        <f ca="1">SUMIF(Year,AB$6,Расчеты!$L$1037:$CO$1037)</f>
        <v>0</v>
      </c>
      <c r="AC16" s="10">
        <f ca="1">SUMIF(Year,AC$6,Расчеты!$L$1037:$CO$1037)</f>
        <v>0</v>
      </c>
      <c r="AD16" s="10">
        <f ca="1">SUMIF(Year,AD$6,Расчеты!$L$1037:$CO$1037)</f>
        <v>0</v>
      </c>
      <c r="AE16" s="10">
        <f ca="1">SUMIF(Year,AE$6,Расчеты!$L$1037:$CO$1037)</f>
        <v>0</v>
      </c>
      <c r="AF16" s="10">
        <f ca="1">SUMIF(Year,AF$6,Расчеты!$L$1037:$CO$1037)</f>
        <v>0</v>
      </c>
      <c r="AG16" s="10">
        <f>SUMIF(Year,AG$6,Расчеты!$L$1037:$CO$1037)</f>
        <v>0</v>
      </c>
      <c r="AH16" s="10">
        <f>SUMIF(Year,AH$6,Расчеты!$L$1037:$CO$1037)</f>
        <v>0</v>
      </c>
      <c r="AI16" s="10">
        <f>SUMIF(Year,AI$6,Расчеты!$L$1037:$CO$1037)</f>
        <v>0</v>
      </c>
      <c r="AJ16" s="10">
        <f>SUMIF(Year,AJ$6,Расчеты!$L$1037:$CO$1037)</f>
        <v>0</v>
      </c>
      <c r="AK16" s="10">
        <f>SUMIF(Year,AK$6,Расчеты!$L$1037:$CO$1037)</f>
        <v>0</v>
      </c>
      <c r="AL16" s="10">
        <f>SUMIF(Year,AL$6,Расчеты!AH706:DK706)</f>
        <v>0</v>
      </c>
      <c r="AM16" s="10">
        <f>SUMIF(Year,AM$6,Расчеты!AI706:DL706)</f>
        <v>0</v>
      </c>
      <c r="AN16" s="10">
        <f>SUMIF(Year,AN$6,Расчеты!AJ706:DM706)</f>
        <v>0</v>
      </c>
      <c r="AO16" s="10">
        <f>SUMIF(Year,AO$6,Расчеты!AK706:DN706)</f>
        <v>0</v>
      </c>
      <c r="AP16" s="10">
        <f>SUMIF(Year,AP$6,Расчеты!AL706:DO706)</f>
        <v>0</v>
      </c>
      <c r="AQ16" s="10">
        <f>SUMIF(Year,AQ$6,Расчеты!AM706:DP706)</f>
        <v>0</v>
      </c>
      <c r="AR16" s="10">
        <f>SUMIF(Year,AR$6,Расчеты!AN706:DQ706)</f>
        <v>0</v>
      </c>
      <c r="AS16" s="10">
        <f>SUMIF(Year,AS$6,Расчеты!AO706:DR706)</f>
        <v>0</v>
      </c>
      <c r="AT16" s="10">
        <f>SUMIF(Year,AT$6,Расчеты!AP706:DS706)</f>
        <v>0</v>
      </c>
      <c r="AU16" s="10">
        <f>SUMIF(Year,AU$6,Расчеты!AQ706:DT706)</f>
        <v>0</v>
      </c>
      <c r="AV16" s="10">
        <f>SUMIF(Year,AV$6,Расчеты!AR706:DU706)</f>
        <v>0</v>
      </c>
      <c r="AW16" s="10">
        <f>SUMIF(Year,AW$6,Расчеты!AS706:DV706)</f>
        <v>0</v>
      </c>
      <c r="AX16" s="10">
        <f>SUMIF(Year,AX$6,Расчеты!AT706:DW706)</f>
        <v>0</v>
      </c>
      <c r="AY16" s="10">
        <f>SUMIF(Year,AY$6,Расчеты!AU706:DX706)</f>
        <v>0</v>
      </c>
      <c r="AZ16" s="10">
        <f>SUMIF(Year,AZ$6,Расчеты!AV706:DY706)</f>
        <v>0</v>
      </c>
      <c r="BA16" s="10">
        <f>SUMIF(Year,BA$6,Расчеты!AW706:DZ706)</f>
        <v>0</v>
      </c>
      <c r="BB16" s="10">
        <f>SUMIF(Year,BB$6,Расчеты!AX706:EA706)</f>
        <v>0</v>
      </c>
      <c r="BC16" s="10">
        <f>SUMIF(Year,BC$6,Расчеты!AY706:EB706)</f>
        <v>0</v>
      </c>
      <c r="BD16" s="10">
        <f>SUMIF(Year,BD$6,Расчеты!AZ706:EC706)</f>
        <v>0</v>
      </c>
      <c r="BE16" s="10">
        <f>SUMIF(Year,BE$6,Расчеты!BA706:ED706)</f>
        <v>0</v>
      </c>
      <c r="BF16" s="10">
        <f>SUMIF(Year,BF$6,Расчеты!BB706:EE706)</f>
        <v>0</v>
      </c>
      <c r="BG16" s="10">
        <f>SUMIF(Year,BG$6,Расчеты!BC706:EF706)</f>
        <v>0</v>
      </c>
      <c r="BH16" s="10">
        <f>SUMIF(Year,BH$6,Расчеты!BD706:EG706)</f>
        <v>0</v>
      </c>
      <c r="BI16" s="10">
        <f>SUMIF(Year,BI$6,Расчеты!BE706:EH706)</f>
        <v>0</v>
      </c>
      <c r="BJ16" s="10">
        <f>SUMIF(Year,BJ$6,Расчеты!BF706:EI706)</f>
        <v>0</v>
      </c>
      <c r="BK16" s="10">
        <f>SUMIF(Year,BK$6,Расчеты!BG706:EJ706)</f>
        <v>0</v>
      </c>
      <c r="BL16" s="10">
        <f>SUMIF(Year,BL$6,Расчеты!BH706:EK706)</f>
        <v>0</v>
      </c>
      <c r="BM16" s="10">
        <f>SUMIF(Year,BM$6,Расчеты!BI706:EL706)</f>
        <v>0</v>
      </c>
      <c r="BN16" s="10">
        <f>SUMIF(Year,BN$6,Расчеты!BJ706:EM706)</f>
        <v>0</v>
      </c>
      <c r="BO16" s="10">
        <f>SUMIF(Year,BO$6,Расчеты!BK706:EN706)</f>
        <v>0</v>
      </c>
      <c r="BP16" s="10">
        <f>SUMIF(Year,BP$6,Расчеты!BL706:EO706)</f>
        <v>0</v>
      </c>
      <c r="BQ16" s="10">
        <f>SUMIF(Year,BQ$6,Расчеты!BM706:EP706)</f>
        <v>0</v>
      </c>
      <c r="BR16" s="10">
        <f>SUMIF(Year,BR$6,Расчеты!BN706:EQ706)</f>
        <v>0</v>
      </c>
      <c r="BS16" s="10">
        <f>SUMIF(Year,BS$6,Расчеты!BO706:ER706)</f>
        <v>0</v>
      </c>
      <c r="BT16" s="10">
        <f>SUMIF(Year,BT$6,Расчеты!BP706:ES706)</f>
        <v>0</v>
      </c>
      <c r="BU16" s="10">
        <f>SUMIF(Year,BU$6,Расчеты!BQ706:ET706)</f>
        <v>0</v>
      </c>
      <c r="BV16" s="10">
        <f>SUMIF(Year,BV$6,Расчеты!BR706:EU706)</f>
        <v>0</v>
      </c>
      <c r="BW16" s="10">
        <f>SUMIF(Year,BW$6,Расчеты!BS706:EV706)</f>
        <v>0</v>
      </c>
      <c r="BX16" s="10">
        <f>SUMIF(Year,BX$6,Расчеты!BT706:EW706)</f>
        <v>0</v>
      </c>
      <c r="BY16" s="10">
        <f>SUMIF(Year,BY$6,Расчеты!BU706:EX706)</f>
        <v>0</v>
      </c>
      <c r="BZ16" s="10">
        <f>SUMIF(Year,BZ$6,Расчеты!BV706:EY706)</f>
        <v>0</v>
      </c>
      <c r="CA16" s="10">
        <f>SUMIF(Year,CA$6,Расчеты!BW706:EZ706)</f>
        <v>0</v>
      </c>
      <c r="CB16" s="10">
        <f>SUMIF(Year,CB$6,Расчеты!BX706:FA706)</f>
        <v>0</v>
      </c>
      <c r="CC16" s="10">
        <f>SUMIF(Year,CC$6,Расчеты!BY706:FB706)</f>
        <v>0</v>
      </c>
      <c r="CD16" s="10">
        <f>SUMIF(Year,CD$6,Расчеты!BZ706:FC706)</f>
        <v>0</v>
      </c>
      <c r="CE16" s="10">
        <f>SUMIF(Year,CE$6,Расчеты!CA706:FD706)</f>
        <v>0</v>
      </c>
      <c r="CF16" s="10">
        <f>SUMIF(Year,CF$6,Расчеты!CB706:FE706)</f>
        <v>0</v>
      </c>
      <c r="CG16" s="10">
        <f>SUMIF(Year,CG$6,Расчеты!CC706:FF706)</f>
        <v>0</v>
      </c>
      <c r="CH16" s="10">
        <f>SUMIF(Year,CH$6,Расчеты!CD706:FG706)</f>
        <v>0</v>
      </c>
      <c r="CI16" s="10">
        <f>SUMIF(Year,CI$6,Расчеты!CE706:FH706)</f>
        <v>0</v>
      </c>
      <c r="CJ16" s="10">
        <f>SUMIF(Year,CJ$6,Расчеты!CF706:FI706)</f>
        <v>0</v>
      </c>
      <c r="CK16" s="10">
        <f>SUMIF(Year,CK$6,Расчеты!CG706:FJ706)</f>
        <v>0</v>
      </c>
      <c r="CL16" s="10">
        <f>SUMIF(Year,CL$6,Расчеты!CH706:FK706)</f>
        <v>0</v>
      </c>
      <c r="CM16" s="10">
        <f>SUMIF(Year,CM$6,Расчеты!CI706:FL706)</f>
        <v>0</v>
      </c>
      <c r="CN16" s="10">
        <f>SUMIF(Year,CN$6,Расчеты!CJ706:FM706)</f>
        <v>0</v>
      </c>
      <c r="CO16" s="10">
        <f>SUMIF(Year,CO$6,Расчеты!CK706:FN706)</f>
        <v>0</v>
      </c>
    </row>
    <row r="17" spans="1:93" s="133" customFormat="1" ht="14">
      <c r="A17" s="10"/>
      <c r="B17" s="10"/>
      <c r="C17" s="17"/>
      <c r="D17" s="10"/>
      <c r="E17" s="10"/>
      <c r="F17" s="10"/>
      <c r="G17" s="134"/>
      <c r="H17" s="10"/>
      <c r="I17" s="23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3" s="518" customFormat="1" ht="14">
      <c r="A18" s="35"/>
      <c r="B18" s="35"/>
      <c r="C18" s="17" t="s">
        <v>1574</v>
      </c>
      <c r="D18" s="35"/>
      <c r="E18" s="35"/>
      <c r="F18" s="35"/>
      <c r="G18" s="519" t="str">
        <f t="shared" si="4"/>
        <v>тыс. руб.</v>
      </c>
      <c r="H18" s="35"/>
      <c r="I18" s="23">
        <f t="shared" si="5"/>
        <v>-1409395.9556499999</v>
      </c>
      <c r="J18" s="35"/>
      <c r="K18" s="35"/>
      <c r="L18" s="10">
        <f>-SUMIF(Year,L$6,Финансирование!$L$13:$XFD$13)</f>
        <v>-128324.85692200001</v>
      </c>
      <c r="M18" s="10">
        <f>-SUMIF(Year,M$6,Финансирование!$L$13:$XFD$13)</f>
        <v>-1026430.015967</v>
      </c>
      <c r="N18" s="10">
        <f>-SUMIF(Year,N$6,Финансирование!$L$13:$XFD$13)</f>
        <v>-49672.380042999997</v>
      </c>
      <c r="O18" s="10">
        <f>-SUMIF(Year,O$6,Финансирование!$L$13:$XFD$13)</f>
        <v>-146877.965138</v>
      </c>
      <c r="P18" s="10">
        <f>-SUMIF(Year,P$6,Финансирование!$L$13:$XFD$13)</f>
        <v>-58090.737580000001</v>
      </c>
      <c r="Q18" s="10">
        <f>-SUMIF(Year,Q$6,Финансирование!$L$13:$XFD$13)</f>
        <v>0</v>
      </c>
      <c r="R18" s="10">
        <f>-SUMIF(Year,R$6,Финансирование!$L$13:$XFD$13)</f>
        <v>0</v>
      </c>
      <c r="S18" s="10">
        <f>-SUMIF(Year,S$6,Финансирование!$L$13:$XFD$13)</f>
        <v>0</v>
      </c>
      <c r="T18" s="10">
        <f>-SUMIF(Year,T$6,Финансирование!$L$13:$XFD$13)</f>
        <v>0</v>
      </c>
      <c r="U18" s="10">
        <f>-SUMIF(Year,U$6,Финансирование!$L$13:$XFD$13)</f>
        <v>0</v>
      </c>
      <c r="V18" s="10">
        <f>-SUMIF(Year,V$6,Финансирование!$L$13:$XFD$13)</f>
        <v>0</v>
      </c>
      <c r="W18" s="10">
        <f>-SUMIF(Year,W$6,Финансирование!$L$13:$XFD$13)</f>
        <v>0</v>
      </c>
      <c r="X18" s="10">
        <f>-SUMIF(Year,X$6,Финансирование!$L$13:$XFD$13)</f>
        <v>0</v>
      </c>
      <c r="Y18" s="10">
        <f>-SUMIF(Year,Y$6,Финансирование!$L$13:$XFD$13)</f>
        <v>0</v>
      </c>
      <c r="Z18" s="10">
        <f>-SUMIF(Year,Z$6,Финансирование!$L$13:$XFD$13)</f>
        <v>0</v>
      </c>
      <c r="AA18" s="10">
        <f>-SUMIF(Year,AA$6,Финансирование!$L$13:$XFD$13)</f>
        <v>0</v>
      </c>
      <c r="AB18" s="10">
        <f>-SUMIF(Year,AB$6,Финансирование!$L$13:$XFD$13)</f>
        <v>0</v>
      </c>
      <c r="AC18" s="10">
        <f>-SUMIF(Year,AC$6,Финансирование!$L$13:$XFD$13)</f>
        <v>0</v>
      </c>
      <c r="AD18" s="10">
        <f>-SUMIF(Year,AD$6,Финансирование!$L$13:$XFD$13)</f>
        <v>0</v>
      </c>
      <c r="AE18" s="10">
        <f>-SUMIF(Year,AE$6,Финансирование!$L$13:$XFD$13)</f>
        <v>0</v>
      </c>
      <c r="AF18" s="10">
        <f>-SUMIF(Year,AF$6,Финансирование!$L$13:$XFD$13)</f>
        <v>0</v>
      </c>
      <c r="AG18" s="10">
        <f>-SUMIF(Year,AG$6,Финансирование!$L$13:$XFD$13)</f>
        <v>0</v>
      </c>
      <c r="AH18" s="10">
        <f>-SUMIF(Year,AH$6,Финансирование!$L$13:$XFD$13)</f>
        <v>0</v>
      </c>
      <c r="AI18" s="10">
        <f>-SUMIF(Year,AI$6,Финансирование!$L$13:$XFD$13)</f>
        <v>0</v>
      </c>
      <c r="AJ18" s="10">
        <f>-SUMIF(Year,AJ$6,Финансирование!$L$13:$XFD$13)</f>
        <v>0</v>
      </c>
      <c r="AK18" s="10">
        <f>-SUMIF(Year,AK$6,Финансирование!$L$13:$XFD$13)</f>
        <v>0</v>
      </c>
      <c r="AL18" s="10">
        <f>-SUMIF(Year,AL$6,'Бюдж эффективность'!$L$121:$XFD$121)</f>
        <v>0</v>
      </c>
      <c r="AM18" s="10">
        <f>-SUMIF(Year,AM$6,'Бюдж эффективность'!$L$121:$XFD$121)</f>
        <v>0</v>
      </c>
      <c r="AN18" s="10">
        <f>-SUMIF(Year,AN$6,'Бюдж эффективность'!$L$121:$XFD$121)</f>
        <v>0</v>
      </c>
      <c r="AO18" s="10">
        <f>-SUMIF(Year,AO$6,'Бюдж эффективность'!$L$121:$XFD$121)</f>
        <v>0</v>
      </c>
      <c r="AP18" s="10">
        <f>-SUMIF(Year,AP$6,'Бюдж эффективность'!$L$121:$XFD$121)</f>
        <v>0</v>
      </c>
      <c r="AQ18" s="10">
        <f>-SUMIF(Year,AQ$6,'Бюдж эффективность'!$L$121:$XFD$121)</f>
        <v>0</v>
      </c>
      <c r="AR18" s="10">
        <f>-SUMIF(Year,AR$6,'Бюдж эффективность'!$L$121:$XFD$121)</f>
        <v>0</v>
      </c>
      <c r="AS18" s="10">
        <f>-SUMIF(Year,AS$6,'Бюдж эффективность'!$L$121:$XFD$121)</f>
        <v>0</v>
      </c>
      <c r="AT18" s="10">
        <f>-SUMIF(Year,AT$6,'Бюдж эффективность'!$L$121:$XFD$121)</f>
        <v>0</v>
      </c>
      <c r="AU18" s="10">
        <f>-SUMIF(Year,AU$6,'Бюдж эффективность'!$L$121:$XFD$121)</f>
        <v>0</v>
      </c>
      <c r="AV18" s="10">
        <f>-SUMIF(Year,AV$6,'Бюдж эффективность'!$L$121:$XFD$121)</f>
        <v>0</v>
      </c>
      <c r="AW18" s="10">
        <f>-SUMIF(Year,AW$6,'Бюдж эффективность'!$L$121:$XFD$121)</f>
        <v>0</v>
      </c>
      <c r="AX18" s="10">
        <f>-SUMIF(Year,AX$6,'Бюдж эффективность'!$L$121:$XFD$121)</f>
        <v>0</v>
      </c>
      <c r="AY18" s="10">
        <f>-SUMIF(Year,AY$6,'Бюдж эффективность'!$L$121:$XFD$121)</f>
        <v>0</v>
      </c>
      <c r="AZ18" s="10">
        <f>-SUMIF(Year,AZ$6,'Бюдж эффективность'!$L$121:$XFD$121)</f>
        <v>0</v>
      </c>
      <c r="BA18" s="10">
        <f>-SUMIF(Year,BA$6,'Бюдж эффективность'!$L$121:$XFD$121)</f>
        <v>0</v>
      </c>
      <c r="BB18" s="10">
        <f>-SUMIF(Year,BB$6,'Бюдж эффективность'!$L$121:$XFD$121)</f>
        <v>0</v>
      </c>
      <c r="BC18" s="10">
        <f>-SUMIF(Year,BC$6,'Бюдж эффективность'!$L$121:$XFD$121)</f>
        <v>0</v>
      </c>
      <c r="BD18" s="10">
        <f>-SUMIF(Year,BD$6,'Бюдж эффективность'!$L$121:$XFD$121)</f>
        <v>0</v>
      </c>
      <c r="BE18" s="10">
        <f>-SUMIF(Year,BE$6,'Бюдж эффективность'!$L$121:$XFD$121)</f>
        <v>0</v>
      </c>
      <c r="BF18" s="10">
        <f>-SUMIF(Year,BF$6,'Бюдж эффективность'!$L$121:$XFD$121)</f>
        <v>0</v>
      </c>
      <c r="BG18" s="10">
        <f>-SUMIF(Year,BG$6,'Бюдж эффективность'!$L$121:$XFD$121)</f>
        <v>0</v>
      </c>
      <c r="BH18" s="10">
        <f>-SUMIF(Year,BH$6,'Бюдж эффективность'!$L$121:$XFD$121)</f>
        <v>0</v>
      </c>
      <c r="BI18" s="10">
        <f>-SUMIF(Year,BI$6,'Бюдж эффективность'!$L$121:$XFD$121)</f>
        <v>0</v>
      </c>
      <c r="BJ18" s="10">
        <f>-SUMIF(Year,BJ$6,'Бюдж эффективность'!$L$121:$XFD$121)</f>
        <v>0</v>
      </c>
      <c r="BK18" s="10">
        <f>-SUMIF(Year,BK$6,'Бюдж эффективность'!$L$121:$XFD$121)</f>
        <v>0</v>
      </c>
      <c r="BL18" s="10">
        <f>-SUMIF(Year,BL$6,'Бюдж эффективность'!$L$121:$XFD$121)</f>
        <v>0</v>
      </c>
      <c r="BM18" s="10">
        <f>-SUMIF(Year,BM$6,'Бюдж эффективность'!$L$121:$XFD$121)</f>
        <v>0</v>
      </c>
      <c r="BN18" s="10">
        <f>-SUMIF(Year,BN$6,'Бюдж эффективность'!$L$121:$XFD$121)</f>
        <v>0</v>
      </c>
      <c r="BO18" s="10">
        <f>-SUMIF(Year,BO$6,'Бюдж эффективность'!$L$121:$XFD$121)</f>
        <v>0</v>
      </c>
      <c r="BP18" s="10">
        <f>-SUMIF(Year,BP$6,'Бюдж эффективность'!$L$121:$XFD$121)</f>
        <v>0</v>
      </c>
      <c r="BQ18" s="10">
        <f>-SUMIF(Year,BQ$6,'Бюдж эффективность'!$L$121:$XFD$121)</f>
        <v>0</v>
      </c>
      <c r="BR18" s="10">
        <f>-SUMIF(Year,BR$6,'Бюдж эффективность'!$L$121:$XFD$121)</f>
        <v>0</v>
      </c>
      <c r="BS18" s="10">
        <f>-SUMIF(Year,BS$6,'Бюдж эффективность'!$L$121:$XFD$121)</f>
        <v>0</v>
      </c>
      <c r="BT18" s="10">
        <f>-SUMIF(Year,BT$6,'Бюдж эффективность'!$L$121:$XFD$121)</f>
        <v>0</v>
      </c>
      <c r="BU18" s="10">
        <f>-SUMIF(Year,BU$6,'Бюдж эффективность'!$L$121:$XFD$121)</f>
        <v>0</v>
      </c>
      <c r="BV18" s="10">
        <f>-SUMIF(Year,BV$6,'Бюдж эффективность'!$L$121:$XFD$121)</f>
        <v>0</v>
      </c>
      <c r="BW18" s="10">
        <f>-SUMIF(Year,BW$6,'Бюдж эффективность'!$L$121:$XFD$121)</f>
        <v>0</v>
      </c>
      <c r="BX18" s="10">
        <f>-SUMIF(Year,BX$6,'Бюдж эффективность'!$L$121:$XFD$121)</f>
        <v>0</v>
      </c>
      <c r="BY18" s="10">
        <f>-SUMIF(Year,BY$6,'Бюдж эффективность'!$L$121:$XFD$121)</f>
        <v>0</v>
      </c>
      <c r="BZ18" s="10">
        <f>-SUMIF(Year,BZ$6,'Бюдж эффективность'!$L$121:$XFD$121)</f>
        <v>0</v>
      </c>
      <c r="CA18" s="10">
        <f>-SUMIF(Year,CA$6,'Бюдж эффективность'!$L$121:$XFD$121)</f>
        <v>0</v>
      </c>
      <c r="CB18" s="10">
        <f>-SUMIF(Year,CB$6,'Бюдж эффективность'!$L$121:$XFD$121)</f>
        <v>0</v>
      </c>
      <c r="CC18" s="10">
        <f>-SUMIF(Year,CC$6,'Бюдж эффективность'!$L$121:$XFD$121)</f>
        <v>0</v>
      </c>
      <c r="CD18" s="10">
        <f>-SUMIF(Year,CD$6,'Бюдж эффективность'!$L$121:$XFD$121)</f>
        <v>0</v>
      </c>
      <c r="CE18" s="10">
        <f>-SUMIF(Year,CE$6,'Бюдж эффективность'!$L$121:$XFD$121)</f>
        <v>0</v>
      </c>
      <c r="CF18" s="10">
        <f>-SUMIF(Year,CF$6,'Бюдж эффективность'!$L$121:$XFD$121)</f>
        <v>0</v>
      </c>
      <c r="CG18" s="10">
        <f>-SUMIF(Year,CG$6,'Бюдж эффективность'!$L$121:$XFD$121)</f>
        <v>0</v>
      </c>
      <c r="CH18" s="10">
        <f>-SUMIF(Year,CH$6,'Бюдж эффективность'!$L$121:$XFD$121)</f>
        <v>0</v>
      </c>
      <c r="CI18" s="10">
        <f>-SUMIF(Year,CI$6,'Бюдж эффективность'!$L$121:$XFD$121)</f>
        <v>0</v>
      </c>
      <c r="CJ18" s="10">
        <f>-SUMIF(Year,CJ$6,'Бюдж эффективность'!$L$121:$XFD$121)</f>
        <v>0</v>
      </c>
      <c r="CK18" s="10">
        <f>-SUMIF(Year,CK$6,'Бюдж эффективность'!$L$121:$XFD$121)</f>
        <v>0</v>
      </c>
      <c r="CL18" s="10">
        <f>-SUMIF(Year,CL$6,'Бюдж эффективность'!$L$121:$XFD$121)</f>
        <v>0</v>
      </c>
      <c r="CM18" s="10">
        <f>-SUMIF(Year,CM$6,'Бюдж эффективность'!$L$121:$XFD$121)</f>
        <v>0</v>
      </c>
      <c r="CN18" s="10">
        <f>-SUMIF(Year,CN$6,'Бюдж эффективность'!$L$121:$XFD$121)</f>
        <v>0</v>
      </c>
      <c r="CO18" s="10">
        <f>-SUMIF(Year,CO$6,'Бюдж эффективность'!$L$121:$XFD$121)</f>
        <v>0</v>
      </c>
    </row>
    <row r="19" spans="1:93" s="133" customFormat="1" ht="14">
      <c r="A19" s="10"/>
      <c r="B19" s="10"/>
      <c r="C19" s="17" t="s">
        <v>1575</v>
      </c>
      <c r="D19" s="10"/>
      <c r="E19" s="10"/>
      <c r="F19" s="10"/>
      <c r="G19" s="134" t="str">
        <f t="shared" si="4"/>
        <v>тыс. руб.</v>
      </c>
      <c r="H19" s="10"/>
      <c r="I19" s="23">
        <f t="shared" ca="1" si="5"/>
        <v>-4616063.5245886445</v>
      </c>
      <c r="J19" s="10"/>
      <c r="K19" s="10"/>
      <c r="L19" s="10">
        <f ca="1">-SUMIF(Year,L$6,Финансирование!$L$17:$XFD$17)</f>
        <v>0</v>
      </c>
      <c r="M19" s="10">
        <f ca="1">-SUMIF(Year,M$6,Финансирование!$L$17:$XFD$17)</f>
        <v>-93075.219462963287</v>
      </c>
      <c r="N19" s="10">
        <f ca="1">-SUMIF(Year,N$6,Финансирование!$L$17:$XFD$17)</f>
        <v>-1163516.8934354337</v>
      </c>
      <c r="O19" s="10">
        <f ca="1">-SUMIF(Year,O$6,Финансирование!$L$17:$XFD$17)</f>
        <v>-2527095.1653777319</v>
      </c>
      <c r="P19" s="10">
        <f ca="1">-SUMIF(Year,P$6,Финансирование!$L$17:$XFD$17)</f>
        <v>-832376.24631251558</v>
      </c>
      <c r="Q19" s="10">
        <f ca="1">-SUMIF(Year,Q$6,Финансирование!$L$17:$XFD$17)</f>
        <v>0</v>
      </c>
      <c r="R19" s="10">
        <f ca="1">-SUMIF(Year,R$6,Финансирование!$L$17:$XFD$17)</f>
        <v>0</v>
      </c>
      <c r="S19" s="10">
        <f ca="1">-SUMIF(Year,S$6,Финансирование!$L$17:$XFD$17)</f>
        <v>0</v>
      </c>
      <c r="T19" s="10">
        <f ca="1">-SUMIF(Year,T$6,Финансирование!$L$17:$XFD$17)</f>
        <v>0</v>
      </c>
      <c r="U19" s="10">
        <f ca="1">-SUMIF(Year,U$6,Финансирование!$L$17:$XFD$17)</f>
        <v>0</v>
      </c>
      <c r="V19" s="10">
        <f ca="1">-SUMIF(Year,V$6,Финансирование!$L$17:$XFD$17)</f>
        <v>0</v>
      </c>
      <c r="W19" s="10">
        <f ca="1">-SUMIF(Year,W$6,Финансирование!$L$17:$XFD$17)</f>
        <v>0</v>
      </c>
      <c r="X19" s="10">
        <f ca="1">-SUMIF(Year,X$6,Финансирование!$L$17:$XFD$17)</f>
        <v>0</v>
      </c>
      <c r="Y19" s="10">
        <f ca="1">-SUMIF(Year,Y$6,Финансирование!$L$17:$XFD$17)</f>
        <v>0</v>
      </c>
      <c r="Z19" s="10">
        <f ca="1">-SUMIF(Year,Z$6,Финансирование!$L$17:$XFD$17)</f>
        <v>0</v>
      </c>
      <c r="AA19" s="10">
        <f ca="1">-SUMIF(Year,AA$6,Финансирование!$L$17:$XFD$17)</f>
        <v>0</v>
      </c>
      <c r="AB19" s="10">
        <f ca="1">-SUMIF(Year,AB$6,Финансирование!$L$17:$XFD$17)</f>
        <v>0</v>
      </c>
      <c r="AC19" s="10">
        <f ca="1">-SUMIF(Year,AC$6,Финансирование!$L$17:$XFD$17)</f>
        <v>0</v>
      </c>
      <c r="AD19" s="10">
        <f ca="1">-SUMIF(Year,AD$6,Финансирование!$L$17:$XFD$17)</f>
        <v>0</v>
      </c>
      <c r="AE19" s="10">
        <f ca="1">-SUMIF(Year,AE$6,Финансирование!$L$17:$XFD$17)</f>
        <v>0</v>
      </c>
      <c r="AF19" s="10">
        <f ca="1">-SUMIF(Year,AF$6,Финансирование!$L$17:$XFD$17)</f>
        <v>0</v>
      </c>
      <c r="AG19" s="10">
        <f>-SUMIF(Year,AG$6,Финансирование!$L$17:$XFD$17)</f>
        <v>0</v>
      </c>
      <c r="AH19" s="10">
        <f>-SUMIF(Year,AH$6,Финансирование!$L$17:$XFD$17)</f>
        <v>0</v>
      </c>
      <c r="AI19" s="10">
        <f>-SUMIF(Year,AI$6,Финансирование!$L$17:$XFD$17)</f>
        <v>0</v>
      </c>
      <c r="AJ19" s="10">
        <f>-SUMIF(Year,AJ$6,Финансирование!$L$17:$XFD$17)</f>
        <v>0</v>
      </c>
      <c r="AK19" s="10">
        <f>-SUMIF(Year,AK$6,Финансирование!$L$17:$XFD$17)</f>
        <v>0</v>
      </c>
      <c r="AL19" s="10">
        <f t="shared" ref="AL19:AU19" si="8">SUMIF(Year,AL$6,COGS_PL)-AL18</f>
        <v>0</v>
      </c>
      <c r="AM19" s="10">
        <f t="shared" si="8"/>
        <v>0</v>
      </c>
      <c r="AN19" s="10">
        <f t="shared" si="8"/>
        <v>0</v>
      </c>
      <c r="AO19" s="10">
        <f t="shared" si="8"/>
        <v>0</v>
      </c>
      <c r="AP19" s="10">
        <f t="shared" si="8"/>
        <v>0</v>
      </c>
      <c r="AQ19" s="10">
        <f t="shared" si="8"/>
        <v>0</v>
      </c>
      <c r="AR19" s="10">
        <f t="shared" si="8"/>
        <v>0</v>
      </c>
      <c r="AS19" s="10">
        <f t="shared" si="8"/>
        <v>0</v>
      </c>
      <c r="AT19" s="10">
        <f t="shared" si="8"/>
        <v>0</v>
      </c>
      <c r="AU19" s="10">
        <f t="shared" si="8"/>
        <v>0</v>
      </c>
      <c r="AV19" s="10">
        <f t="shared" ref="AV19:CA19" si="9">SUMIF(Year,AV$6,COGS_PL)-AV18</f>
        <v>0</v>
      </c>
      <c r="AW19" s="10">
        <f t="shared" si="9"/>
        <v>0</v>
      </c>
      <c r="AX19" s="10">
        <f t="shared" si="9"/>
        <v>0</v>
      </c>
      <c r="AY19" s="10">
        <f t="shared" si="9"/>
        <v>0</v>
      </c>
      <c r="AZ19" s="10">
        <f t="shared" si="9"/>
        <v>0</v>
      </c>
      <c r="BA19" s="10">
        <f t="shared" si="9"/>
        <v>0</v>
      </c>
      <c r="BB19" s="10">
        <f t="shared" si="9"/>
        <v>0</v>
      </c>
      <c r="BC19" s="10">
        <f t="shared" si="9"/>
        <v>0</v>
      </c>
      <c r="BD19" s="10">
        <f t="shared" si="9"/>
        <v>0</v>
      </c>
      <c r="BE19" s="10">
        <f t="shared" si="9"/>
        <v>0</v>
      </c>
      <c r="BF19" s="10">
        <f t="shared" si="9"/>
        <v>0</v>
      </c>
      <c r="BG19" s="10">
        <f t="shared" si="9"/>
        <v>0</v>
      </c>
      <c r="BH19" s="10">
        <f t="shared" si="9"/>
        <v>0</v>
      </c>
      <c r="BI19" s="10">
        <f t="shared" si="9"/>
        <v>0</v>
      </c>
      <c r="BJ19" s="10">
        <f t="shared" si="9"/>
        <v>0</v>
      </c>
      <c r="BK19" s="10">
        <f t="shared" si="9"/>
        <v>0</v>
      </c>
      <c r="BL19" s="10">
        <f t="shared" si="9"/>
        <v>0</v>
      </c>
      <c r="BM19" s="10">
        <f t="shared" si="9"/>
        <v>0</v>
      </c>
      <c r="BN19" s="10">
        <f t="shared" si="9"/>
        <v>0</v>
      </c>
      <c r="BO19" s="10">
        <f t="shared" si="9"/>
        <v>0</v>
      </c>
      <c r="BP19" s="10">
        <f t="shared" si="9"/>
        <v>0</v>
      </c>
      <c r="BQ19" s="10">
        <f t="shared" si="9"/>
        <v>0</v>
      </c>
      <c r="BR19" s="10">
        <f t="shared" si="9"/>
        <v>0</v>
      </c>
      <c r="BS19" s="10">
        <f t="shared" si="9"/>
        <v>0</v>
      </c>
      <c r="BT19" s="10">
        <f t="shared" si="9"/>
        <v>0</v>
      </c>
      <c r="BU19" s="10">
        <f t="shared" si="9"/>
        <v>0</v>
      </c>
      <c r="BV19" s="10">
        <f t="shared" si="9"/>
        <v>0</v>
      </c>
      <c r="BW19" s="10">
        <f t="shared" si="9"/>
        <v>0</v>
      </c>
      <c r="BX19" s="10">
        <f t="shared" si="9"/>
        <v>0</v>
      </c>
      <c r="BY19" s="10">
        <f t="shared" si="9"/>
        <v>0</v>
      </c>
      <c r="BZ19" s="10">
        <f t="shared" si="9"/>
        <v>0</v>
      </c>
      <c r="CA19" s="10">
        <f t="shared" si="9"/>
        <v>0</v>
      </c>
      <c r="CB19" s="10">
        <f t="shared" ref="CB19:CO19" si="10">SUMIF(Year,CB$6,COGS_PL)-CB18</f>
        <v>0</v>
      </c>
      <c r="CC19" s="10">
        <f t="shared" si="10"/>
        <v>0</v>
      </c>
      <c r="CD19" s="10">
        <f t="shared" si="10"/>
        <v>0</v>
      </c>
      <c r="CE19" s="10">
        <f t="shared" si="10"/>
        <v>0</v>
      </c>
      <c r="CF19" s="10">
        <f t="shared" si="10"/>
        <v>0</v>
      </c>
      <c r="CG19" s="10">
        <f t="shared" si="10"/>
        <v>0</v>
      </c>
      <c r="CH19" s="10">
        <f t="shared" si="10"/>
        <v>0</v>
      </c>
      <c r="CI19" s="10">
        <f t="shared" si="10"/>
        <v>0</v>
      </c>
      <c r="CJ19" s="10">
        <f t="shared" si="10"/>
        <v>0</v>
      </c>
      <c r="CK19" s="10">
        <f t="shared" si="10"/>
        <v>0</v>
      </c>
      <c r="CL19" s="10">
        <f t="shared" si="10"/>
        <v>0</v>
      </c>
      <c r="CM19" s="10">
        <f t="shared" si="10"/>
        <v>0</v>
      </c>
      <c r="CN19" s="10">
        <f t="shared" si="10"/>
        <v>0</v>
      </c>
      <c r="CO19" s="10">
        <f t="shared" si="10"/>
        <v>0</v>
      </c>
    </row>
    <row r="20" spans="1:93" s="133" customFormat="1" ht="14">
      <c r="A20" s="10"/>
      <c r="B20" s="10"/>
      <c r="C20" s="17" t="s">
        <v>751</v>
      </c>
      <c r="D20" s="10"/>
      <c r="E20" s="10"/>
      <c r="F20" s="10"/>
      <c r="G20" s="134" t="str">
        <f t="shared" si="4"/>
        <v>тыс. руб.</v>
      </c>
      <c r="H20" s="10"/>
      <c r="I20" s="23">
        <f t="shared" ca="1" si="5"/>
        <v>-234399.59558506208</v>
      </c>
      <c r="J20" s="10"/>
      <c r="K20" s="10"/>
      <c r="L20" s="10">
        <f t="shared" ref="L20:BW20" ca="1" si="11">SUMIF(Year,L$6,SGA_PL)</f>
        <v>0</v>
      </c>
      <c r="M20" s="10">
        <f t="shared" ca="1" si="11"/>
        <v>0</v>
      </c>
      <c r="N20" s="10">
        <f t="shared" ca="1" si="11"/>
        <v>0</v>
      </c>
      <c r="O20" s="10">
        <f t="shared" ca="1" si="11"/>
        <v>0</v>
      </c>
      <c r="P20" s="10">
        <f t="shared" ca="1" si="11"/>
        <v>-10868.300250529772</v>
      </c>
      <c r="Q20" s="10">
        <f t="shared" ca="1" si="11"/>
        <v>-14425.198514339516</v>
      </c>
      <c r="R20" s="10">
        <f t="shared" ca="1" si="11"/>
        <v>-14425.198514339516</v>
      </c>
      <c r="S20" s="10">
        <f t="shared" ca="1" si="11"/>
        <v>-14425.198514339514</v>
      </c>
      <c r="T20" s="10">
        <f t="shared" ca="1" si="11"/>
        <v>-14425.198514339516</v>
      </c>
      <c r="U20" s="10">
        <f t="shared" ca="1" si="11"/>
        <v>-14425.198514339516</v>
      </c>
      <c r="V20" s="10">
        <f t="shared" ca="1" si="11"/>
        <v>-14425.198514339516</v>
      </c>
      <c r="W20" s="10">
        <f t="shared" ca="1" si="11"/>
        <v>-14425.198514339514</v>
      </c>
      <c r="X20" s="10">
        <f t="shared" ca="1" si="11"/>
        <v>-14425.198514339516</v>
      </c>
      <c r="Y20" s="10">
        <f t="shared" ca="1" si="11"/>
        <v>-14425.198514339516</v>
      </c>
      <c r="Z20" s="10">
        <f t="shared" ca="1" si="11"/>
        <v>-14425.198514339516</v>
      </c>
      <c r="AA20" s="10">
        <f t="shared" ca="1" si="11"/>
        <v>-14425.198514339514</v>
      </c>
      <c r="AB20" s="10">
        <f t="shared" ca="1" si="11"/>
        <v>-14425.198514339516</v>
      </c>
      <c r="AC20" s="10">
        <f t="shared" ca="1" si="11"/>
        <v>-14425.198514339516</v>
      </c>
      <c r="AD20" s="10">
        <f t="shared" ca="1" si="11"/>
        <v>-14425.198514339516</v>
      </c>
      <c r="AE20" s="10">
        <f t="shared" ca="1" si="11"/>
        <v>-14425.198514339514</v>
      </c>
      <c r="AF20" s="10">
        <f t="shared" ca="1" si="11"/>
        <v>-7153.3176194395946</v>
      </c>
      <c r="AG20" s="10">
        <f t="shared" si="11"/>
        <v>0</v>
      </c>
      <c r="AH20" s="10">
        <f t="shared" si="11"/>
        <v>0</v>
      </c>
      <c r="AI20" s="10">
        <f t="shared" si="11"/>
        <v>0</v>
      </c>
      <c r="AJ20" s="10">
        <f t="shared" si="11"/>
        <v>0</v>
      </c>
      <c r="AK20" s="10">
        <f t="shared" si="11"/>
        <v>0</v>
      </c>
      <c r="AL20" s="10">
        <f t="shared" si="11"/>
        <v>0</v>
      </c>
      <c r="AM20" s="10">
        <f t="shared" si="11"/>
        <v>0</v>
      </c>
      <c r="AN20" s="10">
        <f t="shared" si="11"/>
        <v>0</v>
      </c>
      <c r="AO20" s="10">
        <f t="shared" si="11"/>
        <v>0</v>
      </c>
      <c r="AP20" s="10">
        <f t="shared" si="11"/>
        <v>0</v>
      </c>
      <c r="AQ20" s="10">
        <f t="shared" si="11"/>
        <v>0</v>
      </c>
      <c r="AR20" s="10">
        <f t="shared" si="11"/>
        <v>0</v>
      </c>
      <c r="AS20" s="10">
        <f t="shared" si="11"/>
        <v>0</v>
      </c>
      <c r="AT20" s="10">
        <f t="shared" si="11"/>
        <v>0</v>
      </c>
      <c r="AU20" s="10">
        <f t="shared" si="11"/>
        <v>0</v>
      </c>
      <c r="AV20" s="10">
        <f t="shared" si="11"/>
        <v>0</v>
      </c>
      <c r="AW20" s="10">
        <f t="shared" si="11"/>
        <v>0</v>
      </c>
      <c r="AX20" s="10">
        <f t="shared" si="11"/>
        <v>0</v>
      </c>
      <c r="AY20" s="10">
        <f t="shared" si="11"/>
        <v>0</v>
      </c>
      <c r="AZ20" s="10">
        <f t="shared" si="11"/>
        <v>0</v>
      </c>
      <c r="BA20" s="10">
        <f t="shared" si="11"/>
        <v>0</v>
      </c>
      <c r="BB20" s="10">
        <f t="shared" si="11"/>
        <v>0</v>
      </c>
      <c r="BC20" s="10">
        <f t="shared" si="11"/>
        <v>0</v>
      </c>
      <c r="BD20" s="10">
        <f t="shared" si="11"/>
        <v>0</v>
      </c>
      <c r="BE20" s="10">
        <f t="shared" si="11"/>
        <v>0</v>
      </c>
      <c r="BF20" s="10">
        <f t="shared" si="11"/>
        <v>0</v>
      </c>
      <c r="BG20" s="10">
        <f t="shared" si="11"/>
        <v>0</v>
      </c>
      <c r="BH20" s="10">
        <f t="shared" si="11"/>
        <v>0</v>
      </c>
      <c r="BI20" s="10">
        <f t="shared" si="11"/>
        <v>0</v>
      </c>
      <c r="BJ20" s="10">
        <f t="shared" si="11"/>
        <v>0</v>
      </c>
      <c r="BK20" s="10">
        <f t="shared" si="11"/>
        <v>0</v>
      </c>
      <c r="BL20" s="10">
        <f t="shared" si="11"/>
        <v>0</v>
      </c>
      <c r="BM20" s="10">
        <f t="shared" si="11"/>
        <v>0</v>
      </c>
      <c r="BN20" s="10">
        <f t="shared" si="11"/>
        <v>0</v>
      </c>
      <c r="BO20" s="10">
        <f t="shared" si="11"/>
        <v>0</v>
      </c>
      <c r="BP20" s="10">
        <f t="shared" si="11"/>
        <v>0</v>
      </c>
      <c r="BQ20" s="10">
        <f t="shared" si="11"/>
        <v>0</v>
      </c>
      <c r="BR20" s="10">
        <f t="shared" si="11"/>
        <v>0</v>
      </c>
      <c r="BS20" s="10">
        <f t="shared" si="11"/>
        <v>0</v>
      </c>
      <c r="BT20" s="10">
        <f t="shared" si="11"/>
        <v>0</v>
      </c>
      <c r="BU20" s="10">
        <f t="shared" si="11"/>
        <v>0</v>
      </c>
      <c r="BV20" s="10">
        <f t="shared" si="11"/>
        <v>0</v>
      </c>
      <c r="BW20" s="10">
        <f t="shared" si="11"/>
        <v>0</v>
      </c>
      <c r="BX20" s="10">
        <f t="shared" ref="BX20:CO20" si="12">SUMIF(Year,BX$6,SGA_PL)</f>
        <v>0</v>
      </c>
      <c r="BY20" s="10">
        <f t="shared" si="12"/>
        <v>0</v>
      </c>
      <c r="BZ20" s="10">
        <f t="shared" si="12"/>
        <v>0</v>
      </c>
      <c r="CA20" s="10">
        <f t="shared" si="12"/>
        <v>0</v>
      </c>
      <c r="CB20" s="10">
        <f t="shared" si="12"/>
        <v>0</v>
      </c>
      <c r="CC20" s="10">
        <f t="shared" si="12"/>
        <v>0</v>
      </c>
      <c r="CD20" s="10">
        <f t="shared" si="12"/>
        <v>0</v>
      </c>
      <c r="CE20" s="10">
        <f t="shared" si="12"/>
        <v>0</v>
      </c>
      <c r="CF20" s="10">
        <f t="shared" si="12"/>
        <v>0</v>
      </c>
      <c r="CG20" s="10">
        <f t="shared" si="12"/>
        <v>0</v>
      </c>
      <c r="CH20" s="10">
        <f t="shared" si="12"/>
        <v>0</v>
      </c>
      <c r="CI20" s="10">
        <f t="shared" si="12"/>
        <v>0</v>
      </c>
      <c r="CJ20" s="10">
        <f t="shared" si="12"/>
        <v>0</v>
      </c>
      <c r="CK20" s="10">
        <f t="shared" si="12"/>
        <v>0</v>
      </c>
      <c r="CL20" s="10">
        <f t="shared" si="12"/>
        <v>0</v>
      </c>
      <c r="CM20" s="10">
        <f t="shared" si="12"/>
        <v>0</v>
      </c>
      <c r="CN20" s="10">
        <f t="shared" si="12"/>
        <v>0</v>
      </c>
      <c r="CO20" s="10">
        <f t="shared" si="12"/>
        <v>0</v>
      </c>
    </row>
    <row r="21" spans="1:93" ht="15" customHeight="1"/>
    <row r="22" spans="1:93" ht="15" customHeight="1"/>
    <row r="23" spans="1:93" ht="15" customHeight="1"/>
    <row r="24" spans="1:93" ht="15" customHeight="1"/>
    <row r="25" spans="1:93" ht="15" customHeight="1"/>
    <row r="26" spans="1:93" ht="15" customHeight="1"/>
    <row r="27" spans="1:93" ht="15" customHeight="1"/>
    <row r="28" spans="1:93" ht="15" customHeight="1"/>
    <row r="29" spans="1:93" ht="15" customHeight="1"/>
    <row r="30" spans="1:93" ht="15" customHeight="1"/>
    <row r="31" spans="1:93" ht="15" customHeight="1"/>
    <row r="32" spans="1:93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</sheetData>
  <conditionalFormatting sqref="L9:CO9">
    <cfRule type="cellIs" dxfId="299" priority="3" operator="equal">
      <formula>2</formula>
    </cfRule>
    <cfRule type="cellIs" dxfId="298" priority="4" operator="equal">
      <formula>1</formula>
    </cfRule>
  </conditionalFormatting>
  <conditionalFormatting sqref="E4">
    <cfRule type="cellIs" dxfId="297" priority="1" operator="equal">
      <formula>FALSE</formula>
    </cfRule>
    <cfRule type="cellIs" dxfId="296" priority="2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8" scale="17" fitToHeight="0" orientation="landscape" r:id="rId1"/>
  <colBreaks count="1" manualBreakCount="1">
    <brk id="45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A1:L19"/>
  <sheetViews>
    <sheetView zoomScale="70" zoomScaleNormal="70" workbookViewId="0">
      <selection activeCell="B1" sqref="B1"/>
    </sheetView>
  </sheetViews>
  <sheetFormatPr defaultColWidth="0" defaultRowHeight="14.5" zeroHeight="1"/>
  <cols>
    <col min="1" max="2" width="2.7265625" customWidth="1"/>
    <col min="3" max="5" width="24.54296875" customWidth="1"/>
    <col min="6" max="6" width="27.26953125" customWidth="1"/>
    <col min="7" max="7" width="2.7265625" customWidth="1"/>
    <col min="8" max="8" width="18.26953125" customWidth="1"/>
    <col min="9" max="10" width="2.7265625" customWidth="1"/>
    <col min="11" max="12" width="0" hidden="1" customWidth="1"/>
    <col min="13" max="16384" width="9.26953125" hidden="1"/>
  </cols>
  <sheetData>
    <row r="1" spans="1:10" s="5" customFormat="1" ht="27.65" customHeight="1">
      <c r="A1" s="251"/>
      <c r="B1" s="251"/>
      <c r="C1" s="251"/>
      <c r="D1" s="251"/>
      <c r="E1" s="251"/>
      <c r="F1" s="251"/>
      <c r="G1" s="251"/>
      <c r="H1" s="251"/>
      <c r="I1" s="251"/>
      <c r="J1" s="251"/>
    </row>
    <row r="2" spans="1:10" ht="22.15" customHeight="1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 ht="22.15" customHeight="1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ht="22.15" customHeight="1">
      <c r="A4" s="10"/>
      <c r="B4" s="90"/>
      <c r="C4" s="91"/>
      <c r="D4" s="90"/>
      <c r="E4" s="90"/>
      <c r="G4" s="90"/>
      <c r="H4" s="90"/>
      <c r="I4" s="91"/>
      <c r="J4" s="90"/>
    </row>
    <row r="5" spans="1:10" ht="22.15" customHeight="1">
      <c r="A5" s="10"/>
      <c r="B5" s="90"/>
      <c r="C5" s="90"/>
      <c r="D5" s="90"/>
      <c r="E5" s="90"/>
      <c r="F5" s="90"/>
      <c r="G5" s="90"/>
      <c r="H5" s="90"/>
      <c r="I5" s="90"/>
      <c r="J5" s="90"/>
    </row>
    <row r="6" spans="1:10" ht="22.15" customHeight="1">
      <c r="A6" s="10"/>
      <c r="B6" s="90"/>
      <c r="C6" s="98"/>
      <c r="D6" s="90"/>
      <c r="E6" s="90"/>
      <c r="F6" s="90"/>
      <c r="G6" s="90"/>
      <c r="H6" s="90"/>
      <c r="I6" s="90"/>
      <c r="J6" s="90"/>
    </row>
    <row r="7" spans="1:10" ht="22.15" customHeight="1">
      <c r="A7" s="10"/>
      <c r="B7" s="90"/>
      <c r="C7" s="91"/>
      <c r="D7" s="90"/>
      <c r="E7" s="90"/>
      <c r="F7" s="90"/>
      <c r="G7" s="90"/>
      <c r="H7" s="90"/>
      <c r="I7" s="90"/>
      <c r="J7" s="90"/>
    </row>
    <row r="8" spans="1:10" s="91" customFormat="1" ht="22.15" customHeight="1">
      <c r="A8" s="90"/>
      <c r="B8" s="90"/>
      <c r="C8" s="90"/>
      <c r="D8" s="90"/>
      <c r="E8" s="90"/>
      <c r="F8" s="218"/>
      <c r="G8" s="219"/>
      <c r="H8" s="220"/>
      <c r="I8" s="90"/>
      <c r="J8" s="90"/>
    </row>
    <row r="9" spans="1:10" s="91" customFormat="1">
      <c r="A9" s="90"/>
      <c r="B9" s="90"/>
      <c r="C9" s="90"/>
      <c r="D9" s="90"/>
      <c r="E9" s="90"/>
      <c r="F9" s="218"/>
      <c r="G9" s="219"/>
      <c r="H9" s="221"/>
      <c r="I9" s="90"/>
      <c r="J9" s="90"/>
    </row>
    <row r="10" spans="1:10" s="91" customFormat="1">
      <c r="A10" s="90"/>
      <c r="B10" s="90"/>
      <c r="C10" s="90"/>
      <c r="D10" s="90"/>
      <c r="E10" s="90"/>
      <c r="F10" s="218"/>
      <c r="G10" s="219"/>
      <c r="H10" s="222"/>
      <c r="I10" s="90"/>
      <c r="J10" s="90"/>
    </row>
    <row r="11" spans="1:10" s="91" customFormat="1" ht="20.5" customHeight="1">
      <c r="A11" s="90"/>
      <c r="B11" s="90"/>
      <c r="C11" s="90"/>
      <c r="D11" s="90"/>
      <c r="E11" s="90"/>
      <c r="F11" s="90"/>
      <c r="G11" s="90"/>
      <c r="H11" s="90"/>
      <c r="I11" s="90"/>
      <c r="J11" s="90"/>
    </row>
    <row r="12" spans="1:10" s="91" customFormat="1" ht="20.5" customHeight="1">
      <c r="A12" s="90"/>
      <c r="B12" s="90"/>
      <c r="C12" s="90"/>
      <c r="D12" s="90"/>
      <c r="E12" s="90"/>
      <c r="F12" s="90"/>
      <c r="G12" s="90"/>
      <c r="H12" s="90"/>
      <c r="I12" s="90"/>
      <c r="J12" s="90"/>
    </row>
    <row r="13" spans="1:10" s="254" customFormat="1" ht="14.5" customHeight="1">
      <c r="A13" s="253"/>
      <c r="B13" s="253"/>
      <c r="C13" s="253"/>
      <c r="D13" s="253"/>
      <c r="E13" s="253"/>
      <c r="F13" s="253"/>
      <c r="G13" s="253"/>
      <c r="H13" s="253"/>
      <c r="I13" s="253"/>
      <c r="J13" s="253"/>
    </row>
    <row r="14" spans="1:10" s="254" customFormat="1" ht="14.5" customHeight="1">
      <c r="A14" s="253"/>
      <c r="B14" s="253"/>
      <c r="C14" s="253"/>
      <c r="D14" s="253"/>
      <c r="E14" s="253"/>
      <c r="F14" s="255" t="s">
        <v>0</v>
      </c>
      <c r="G14" s="253"/>
      <c r="H14" s="256">
        <f xml:space="preserve"> Version_Model</f>
        <v>1</v>
      </c>
      <c r="I14" s="253"/>
      <c r="J14" s="253"/>
    </row>
    <row r="15" spans="1:10" s="254" customFormat="1" ht="14.5" customHeight="1">
      <c r="A15" s="253"/>
      <c r="B15" s="253"/>
      <c r="C15" s="253"/>
      <c r="D15" s="253"/>
      <c r="E15" s="253"/>
      <c r="F15" s="255" t="s">
        <v>932</v>
      </c>
      <c r="G15" s="253"/>
      <c r="H15" s="257">
        <f xml:space="preserve"> Предпосылки!E15</f>
        <v>45505</v>
      </c>
      <c r="I15" s="253"/>
      <c r="J15" s="253"/>
    </row>
    <row r="16" spans="1:10" s="254" customFormat="1" ht="14.5" customHeight="1">
      <c r="A16" s="253"/>
      <c r="B16" s="253"/>
      <c r="C16" s="253"/>
      <c r="D16" s="253"/>
      <c r="E16" s="253"/>
      <c r="F16" s="253"/>
      <c r="G16" s="253"/>
      <c r="H16" s="253"/>
      <c r="I16" s="253"/>
      <c r="J16" s="253"/>
    </row>
    <row r="17" spans="1:10" s="91" customFormat="1" ht="20.5" customHeight="1">
      <c r="A17" s="90"/>
      <c r="B17" s="90"/>
      <c r="C17" s="252" t="s">
        <v>1</v>
      </c>
      <c r="D17" s="212"/>
      <c r="E17" s="212"/>
      <c r="F17" s="212"/>
      <c r="G17" s="212"/>
      <c r="H17" s="212"/>
      <c r="I17" s="90"/>
      <c r="J17" s="90"/>
    </row>
    <row r="18" spans="1:10" s="96" customFormat="1" ht="82.15" customHeight="1">
      <c r="A18" s="95"/>
      <c r="B18" s="95"/>
      <c r="C18" s="631" t="s">
        <v>561</v>
      </c>
      <c r="D18" s="631"/>
      <c r="E18" s="631"/>
      <c r="F18" s="631"/>
      <c r="G18" s="631"/>
      <c r="H18" s="631"/>
      <c r="I18" s="90"/>
      <c r="J18" s="90"/>
    </row>
    <row r="19" spans="1:10" s="5" customFormat="1" ht="15.5">
      <c r="A19" s="251"/>
      <c r="B19" s="251"/>
      <c r="C19" s="251"/>
      <c r="D19" s="251"/>
      <c r="E19" s="251"/>
      <c r="F19" s="251"/>
      <c r="G19" s="251"/>
      <c r="H19" s="251"/>
      <c r="I19" s="251"/>
      <c r="J19" s="251"/>
    </row>
  </sheetData>
  <mergeCells count="1">
    <mergeCell ref="C18:H1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/>
  </sheetPr>
  <dimension ref="A1:J41"/>
  <sheetViews>
    <sheetView zoomScale="70" zoomScaleNormal="70" workbookViewId="0">
      <pane ySplit="3" topLeftCell="A4" activePane="bottomLeft" state="frozen"/>
      <selection pane="bottomLeft" activeCell="G10" sqref="G10"/>
    </sheetView>
  </sheetViews>
  <sheetFormatPr defaultColWidth="0" defaultRowHeight="14.5" zeroHeight="1"/>
  <cols>
    <col min="1" max="1" width="2" customWidth="1"/>
    <col min="2" max="2" width="45.7265625" customWidth="1"/>
    <col min="3" max="3" width="2" customWidth="1"/>
    <col min="4" max="4" width="90.26953125" customWidth="1"/>
    <col min="5" max="6" width="2.7265625" customWidth="1"/>
    <col min="7" max="7" width="23.453125" customWidth="1"/>
    <col min="8" max="8" width="2" customWidth="1"/>
    <col min="9" max="9" width="64.453125" customWidth="1"/>
    <col min="10" max="10" width="2" customWidth="1"/>
    <col min="11" max="16384" width="9.26953125" hidden="1"/>
  </cols>
  <sheetData>
    <row r="1" spans="1:10">
      <c r="A1" s="10"/>
      <c r="B1" s="10"/>
      <c r="C1" s="10"/>
      <c r="D1" s="10"/>
      <c r="E1" s="10"/>
      <c r="F1" s="10"/>
      <c r="G1" s="10"/>
      <c r="H1" s="10"/>
      <c r="I1" s="10"/>
      <c r="J1" s="10"/>
    </row>
    <row r="2" spans="1:10" ht="29.65" customHeight="1">
      <c r="A2" s="10"/>
      <c r="B2" s="258" t="str">
        <f>Name_Model</f>
        <v>Гостиница UAI 5*</v>
      </c>
      <c r="C2" s="258"/>
      <c r="D2" s="251"/>
      <c r="E2" s="251"/>
      <c r="F2" s="251"/>
      <c r="G2" s="251"/>
      <c r="H2" s="251"/>
      <c r="I2" s="251"/>
      <c r="J2" s="10"/>
    </row>
    <row r="3" spans="1:10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s="39" customFormat="1" ht="21.65" customHeight="1">
      <c r="A4" s="37"/>
      <c r="B4" s="258" t="s">
        <v>2</v>
      </c>
      <c r="C4" s="258"/>
      <c r="D4" s="258" t="s">
        <v>3</v>
      </c>
      <c r="E4" s="10"/>
      <c r="F4" s="10"/>
      <c r="G4" s="258" t="s">
        <v>6</v>
      </c>
      <c r="H4" s="258"/>
      <c r="I4" s="258" t="s">
        <v>7</v>
      </c>
      <c r="J4" s="10"/>
    </row>
    <row r="5" spans="1:10" s="81" customFormat="1" ht="15" customHeight="1">
      <c r="A5" s="38"/>
      <c r="B5" s="38"/>
      <c r="C5" s="38"/>
      <c r="D5" s="38"/>
      <c r="E5" s="10"/>
      <c r="F5" s="10"/>
      <c r="G5" s="10"/>
      <c r="H5" s="10"/>
      <c r="I5" s="10"/>
      <c r="J5" s="10"/>
    </row>
    <row r="6" spans="1:10" s="81" customFormat="1" ht="15" customHeight="1" thickBot="1">
      <c r="A6" s="38"/>
      <c r="B6" s="12" t="s">
        <v>794</v>
      </c>
      <c r="C6" s="30"/>
      <c r="D6" s="109"/>
      <c r="E6" s="10"/>
      <c r="F6" s="10"/>
      <c r="G6" s="12" t="s">
        <v>8</v>
      </c>
      <c r="H6" s="30"/>
      <c r="I6" s="109"/>
      <c r="J6" s="10"/>
    </row>
    <row r="7" spans="1:10" s="81" customFormat="1" ht="15" customHeight="1">
      <c r="A7" s="38"/>
      <c r="B7" s="82"/>
      <c r="C7" s="38"/>
      <c r="D7" s="38"/>
      <c r="E7" s="10"/>
      <c r="F7" s="10"/>
      <c r="G7" s="10"/>
      <c r="H7" s="10"/>
      <c r="I7" s="28"/>
      <c r="J7" s="10"/>
    </row>
    <row r="8" spans="1:10" s="81" customFormat="1" ht="15.65" customHeight="1">
      <c r="A8" s="38"/>
      <c r="B8" s="386" t="s">
        <v>795</v>
      </c>
      <c r="C8" s="387"/>
      <c r="D8" s="387" t="s">
        <v>796</v>
      </c>
      <c r="E8" s="10"/>
      <c r="F8" s="10"/>
      <c r="G8" s="15" t="s">
        <v>9</v>
      </c>
      <c r="H8" s="10"/>
      <c r="I8" s="10" t="s">
        <v>10</v>
      </c>
      <c r="J8" s="10"/>
    </row>
    <row r="9" spans="1:10" s="81" customFormat="1" ht="15.65" customHeight="1">
      <c r="A9" s="38"/>
      <c r="B9" s="386" t="s">
        <v>3</v>
      </c>
      <c r="C9" s="387"/>
      <c r="D9" s="387" t="s">
        <v>797</v>
      </c>
      <c r="E9" s="10"/>
      <c r="F9" s="10"/>
      <c r="G9" s="10"/>
      <c r="H9" s="10"/>
      <c r="I9" s="10"/>
      <c r="J9" s="10"/>
    </row>
    <row r="10" spans="1:10" s="81" customFormat="1" ht="15.65" customHeight="1" thickBot="1">
      <c r="A10" s="38"/>
      <c r="B10" s="386" t="s">
        <v>798</v>
      </c>
      <c r="C10" s="387"/>
      <c r="D10" s="387" t="s">
        <v>799</v>
      </c>
      <c r="E10" s="10"/>
      <c r="F10" s="10"/>
      <c r="G10" s="26" t="s">
        <v>9</v>
      </c>
      <c r="H10" s="10"/>
      <c r="I10" s="10" t="s">
        <v>11</v>
      </c>
      <c r="J10" s="10"/>
    </row>
    <row r="11" spans="1:10" s="81" customFormat="1" ht="15.65" customHeight="1" thickTop="1">
      <c r="A11" s="38"/>
      <c r="B11" s="386" t="s">
        <v>4</v>
      </c>
      <c r="C11" s="387"/>
      <c r="D11" s="387" t="s">
        <v>800</v>
      </c>
      <c r="E11" s="10"/>
      <c r="F11" s="10"/>
      <c r="G11" s="10"/>
      <c r="H11" s="10"/>
      <c r="I11" s="10"/>
      <c r="J11" s="10"/>
    </row>
    <row r="12" spans="1:10" s="81" customFormat="1" ht="15.65" customHeight="1" thickBot="1">
      <c r="A12" s="38"/>
      <c r="B12" s="386" t="s">
        <v>801</v>
      </c>
      <c r="C12" s="387"/>
      <c r="D12" s="387" t="s">
        <v>802</v>
      </c>
      <c r="E12" s="10"/>
      <c r="F12" s="10"/>
      <c r="G12" s="12" t="s">
        <v>9</v>
      </c>
      <c r="H12" s="10"/>
      <c r="I12" s="10" t="s">
        <v>12</v>
      </c>
      <c r="J12" s="10"/>
    </row>
    <row r="13" spans="1:10" s="81" customFormat="1" ht="15.65" customHeight="1">
      <c r="A13" s="38"/>
      <c r="B13" s="388" t="s">
        <v>944</v>
      </c>
      <c r="C13" s="387"/>
      <c r="D13" s="387" t="s">
        <v>1075</v>
      </c>
      <c r="E13" s="10"/>
      <c r="F13" s="10"/>
      <c r="G13" s="10"/>
      <c r="H13" s="10"/>
      <c r="I13" s="10"/>
      <c r="J13" s="10"/>
    </row>
    <row r="14" spans="1:10" s="81" customFormat="1" ht="15.65" customHeight="1">
      <c r="A14" s="38"/>
      <c r="B14" s="386" t="s">
        <v>314</v>
      </c>
      <c r="C14" s="387"/>
      <c r="D14" s="387" t="s">
        <v>803</v>
      </c>
      <c r="E14" s="10"/>
      <c r="F14" s="10"/>
      <c r="G14" s="16" t="s">
        <v>9</v>
      </c>
      <c r="H14" s="10"/>
      <c r="I14" s="10" t="s">
        <v>13</v>
      </c>
      <c r="J14" s="10"/>
    </row>
    <row r="15" spans="1:10" s="81" customFormat="1" ht="15.65" customHeight="1">
      <c r="A15" s="38"/>
      <c r="B15" s="386" t="s">
        <v>804</v>
      </c>
      <c r="C15" s="387"/>
      <c r="D15" s="387" t="s">
        <v>805</v>
      </c>
      <c r="E15" s="10"/>
      <c r="F15" s="10"/>
      <c r="G15" s="10"/>
      <c r="H15" s="10"/>
      <c r="I15" s="28"/>
      <c r="J15" s="10"/>
    </row>
    <row r="16" spans="1:10" s="81" customFormat="1" ht="15.65" customHeight="1" thickBot="1">
      <c r="A16" s="38"/>
      <c r="B16" s="386"/>
      <c r="C16" s="387"/>
      <c r="D16" s="387"/>
      <c r="E16" s="10"/>
      <c r="F16" s="10"/>
      <c r="G16" s="12" t="s">
        <v>97</v>
      </c>
      <c r="H16" s="30"/>
      <c r="I16" s="109"/>
      <c r="J16" s="10"/>
    </row>
    <row r="17" spans="1:10" s="81" customFormat="1" ht="15.65" customHeight="1">
      <c r="A17" s="38"/>
      <c r="B17" s="389"/>
      <c r="C17" s="387"/>
      <c r="D17" s="387"/>
      <c r="E17" s="38"/>
      <c r="F17" s="10"/>
      <c r="G17" s="10"/>
      <c r="H17" s="10"/>
      <c r="I17" s="28"/>
      <c r="J17" s="10"/>
    </row>
    <row r="18" spans="1:10" s="81" customFormat="1" ht="15.65" customHeight="1" thickBot="1">
      <c r="A18" s="38"/>
      <c r="B18" s="390" t="s">
        <v>806</v>
      </c>
      <c r="C18" s="391"/>
      <c r="D18" s="392"/>
      <c r="E18" s="38"/>
      <c r="F18" s="10"/>
      <c r="G18" s="14">
        <v>100</v>
      </c>
      <c r="H18" s="10"/>
      <c r="I18" s="28" t="s">
        <v>14</v>
      </c>
      <c r="J18" s="10"/>
    </row>
    <row r="19" spans="1:10" s="81" customFormat="1" ht="15.65" customHeight="1">
      <c r="A19" s="38"/>
      <c r="B19" s="389"/>
      <c r="C19" s="387"/>
      <c r="D19" s="387"/>
      <c r="E19" s="38"/>
      <c r="F19" s="10"/>
      <c r="G19" s="10"/>
      <c r="H19" s="10"/>
      <c r="I19" s="28"/>
      <c r="J19" s="10"/>
    </row>
    <row r="20" spans="1:10" s="81" customFormat="1" ht="15.65" customHeight="1">
      <c r="A20" s="38"/>
      <c r="B20" s="393" t="s">
        <v>379</v>
      </c>
      <c r="C20" s="9"/>
      <c r="D20" s="9" t="s">
        <v>807</v>
      </c>
      <c r="E20" s="38"/>
      <c r="F20" s="10"/>
      <c r="G20" s="66">
        <v>100</v>
      </c>
      <c r="H20" s="10"/>
      <c r="I20" s="28" t="s">
        <v>15</v>
      </c>
      <c r="J20" s="10"/>
    </row>
    <row r="21" spans="1:10" s="81" customFormat="1" ht="15.65" customHeight="1">
      <c r="A21" s="38"/>
      <c r="B21" s="393" t="s">
        <v>382</v>
      </c>
      <c r="C21" s="9"/>
      <c r="D21" s="9" t="s">
        <v>1076</v>
      </c>
      <c r="E21" s="38"/>
      <c r="F21" s="10"/>
      <c r="G21" s="10"/>
      <c r="H21" s="10"/>
      <c r="I21" s="28"/>
      <c r="J21" s="10"/>
    </row>
    <row r="22" spans="1:10" s="81" customFormat="1" ht="15.65" customHeight="1">
      <c r="A22" s="38"/>
      <c r="B22" s="393" t="s">
        <v>576</v>
      </c>
      <c r="C22" s="9"/>
      <c r="D22" s="9" t="s">
        <v>1077</v>
      </c>
      <c r="E22" s="38"/>
      <c r="F22" s="10"/>
      <c r="G22" s="64">
        <v>100</v>
      </c>
      <c r="H22" s="10"/>
      <c r="I22" s="28" t="s">
        <v>16</v>
      </c>
      <c r="J22" s="10"/>
    </row>
    <row r="23" spans="1:10" s="81" customFormat="1" ht="15.65" customHeight="1">
      <c r="A23" s="38"/>
      <c r="B23" s="393" t="s">
        <v>299</v>
      </c>
      <c r="C23" s="9"/>
      <c r="D23" s="9" t="s">
        <v>1078</v>
      </c>
      <c r="E23" s="38"/>
      <c r="F23" s="10"/>
      <c r="G23" s="10"/>
      <c r="H23" s="10"/>
      <c r="I23" s="28"/>
      <c r="J23" s="10"/>
    </row>
    <row r="24" spans="1:10" s="81" customFormat="1" ht="15.65" customHeight="1">
      <c r="A24" s="38"/>
      <c r="B24" s="393" t="s">
        <v>96</v>
      </c>
      <c r="C24" s="9"/>
      <c r="D24" s="9" t="s">
        <v>1086</v>
      </c>
      <c r="E24" s="38"/>
      <c r="F24" s="10"/>
      <c r="G24" s="184">
        <v>100</v>
      </c>
      <c r="H24" s="10"/>
      <c r="I24" s="28" t="s">
        <v>114</v>
      </c>
      <c r="J24" s="10"/>
    </row>
    <row r="25" spans="1:10" s="81" customFormat="1" ht="15.65" customHeight="1">
      <c r="A25" s="38"/>
      <c r="B25" s="393" t="s">
        <v>722</v>
      </c>
      <c r="C25" s="9"/>
      <c r="D25" s="9" t="s">
        <v>1079</v>
      </c>
      <c r="E25" s="38"/>
      <c r="F25" s="10"/>
      <c r="G25" s="10"/>
      <c r="H25" s="10"/>
      <c r="I25" s="28"/>
      <c r="J25" s="10"/>
    </row>
    <row r="26" spans="1:10" s="83" customFormat="1" ht="15.65" customHeight="1">
      <c r="A26" s="38"/>
      <c r="B26" s="393" t="s">
        <v>808</v>
      </c>
      <c r="C26" s="9"/>
      <c r="D26" s="9" t="s">
        <v>1080</v>
      </c>
      <c r="E26" s="28"/>
      <c r="F26" s="10"/>
      <c r="G26" s="52">
        <v>1</v>
      </c>
      <c r="H26" s="10"/>
      <c r="I26" s="28" t="s">
        <v>304</v>
      </c>
      <c r="J26" s="10"/>
    </row>
    <row r="27" spans="1:10" ht="15.65" customHeight="1">
      <c r="A27" s="38"/>
      <c r="B27" s="393" t="s">
        <v>98</v>
      </c>
      <c r="C27" s="9"/>
      <c r="D27" s="9" t="s">
        <v>1087</v>
      </c>
      <c r="E27" s="28"/>
      <c r="F27" s="10"/>
      <c r="G27" s="10"/>
      <c r="H27" s="10"/>
      <c r="I27" s="28"/>
      <c r="J27" s="10"/>
    </row>
    <row r="28" spans="1:10" ht="15.65" customHeight="1">
      <c r="A28" s="38"/>
      <c r="B28" s="393" t="s">
        <v>498</v>
      </c>
      <c r="C28" s="9"/>
      <c r="D28" s="9" t="s">
        <v>1088</v>
      </c>
      <c r="E28" s="28"/>
      <c r="F28" s="10"/>
      <c r="G28" s="223" t="b">
        <f ca="1">Overall_Check</f>
        <v>1</v>
      </c>
      <c r="H28" s="10"/>
      <c r="I28" s="28" t="s">
        <v>17</v>
      </c>
      <c r="J28" s="10"/>
    </row>
    <row r="29" spans="1:10" ht="15.65" customHeight="1">
      <c r="A29" s="38"/>
      <c r="B29" s="393" t="s">
        <v>107</v>
      </c>
      <c r="C29" s="9"/>
      <c r="D29" s="9" t="s">
        <v>1081</v>
      </c>
      <c r="E29" s="28"/>
      <c r="F29" s="10"/>
      <c r="G29" s="10"/>
      <c r="H29" s="10"/>
      <c r="I29" s="28"/>
      <c r="J29" s="10"/>
    </row>
    <row r="30" spans="1:10" ht="15.65" customHeight="1">
      <c r="A30" s="38"/>
      <c r="B30" s="393" t="s">
        <v>111</v>
      </c>
      <c r="C30" s="9"/>
      <c r="D30" s="9" t="s">
        <v>1082</v>
      </c>
      <c r="E30" s="28"/>
      <c r="F30" s="10"/>
      <c r="G30" s="224">
        <v>100</v>
      </c>
      <c r="H30" s="10"/>
      <c r="I30" s="28" t="s">
        <v>115</v>
      </c>
      <c r="J30" s="10"/>
    </row>
    <row r="31" spans="1:10" ht="15.65" customHeight="1">
      <c r="A31" s="38"/>
      <c r="B31" s="393" t="s">
        <v>173</v>
      </c>
      <c r="C31" s="9"/>
      <c r="D31" s="9" t="s">
        <v>1119</v>
      </c>
      <c r="E31" s="28"/>
      <c r="F31" s="10"/>
      <c r="G31" s="10"/>
      <c r="H31" s="10"/>
      <c r="I31" s="28"/>
      <c r="J31" s="10"/>
    </row>
    <row r="32" spans="1:10" ht="15.65" customHeight="1">
      <c r="A32" s="38"/>
      <c r="B32" s="393" t="s">
        <v>489</v>
      </c>
      <c r="C32" s="9"/>
      <c r="D32" s="9" t="s">
        <v>1120</v>
      </c>
      <c r="E32" s="28"/>
      <c r="F32" s="10"/>
      <c r="G32" s="62" t="str">
        <f>Monetary_Unit</f>
        <v>тыс. руб.</v>
      </c>
      <c r="H32" s="10"/>
      <c r="I32" s="28" t="s">
        <v>18</v>
      </c>
      <c r="J32" s="10"/>
    </row>
    <row r="33" spans="1:10" ht="15.65" customHeight="1" thickBot="1">
      <c r="A33" s="38"/>
      <c r="B33" s="393" t="s">
        <v>490</v>
      </c>
      <c r="C33" s="9"/>
      <c r="D33" s="9" t="s">
        <v>1121</v>
      </c>
      <c r="E33" s="28"/>
      <c r="F33" s="10"/>
      <c r="G33" s="10"/>
      <c r="H33" s="10"/>
      <c r="I33" s="28"/>
      <c r="J33" s="10"/>
    </row>
    <row r="34" spans="1:10" ht="15.65" customHeight="1" thickTop="1">
      <c r="A34" s="38"/>
      <c r="B34" s="393" t="s">
        <v>166</v>
      </c>
      <c r="C34" s="9"/>
      <c r="D34" s="9" t="s">
        <v>1083</v>
      </c>
      <c r="E34" s="28"/>
      <c r="F34" s="10"/>
      <c r="G34" s="136">
        <v>100</v>
      </c>
      <c r="H34" s="10"/>
      <c r="I34" s="28" t="s">
        <v>19</v>
      </c>
      <c r="J34" s="10"/>
    </row>
    <row r="35" spans="1:10" ht="15.65" customHeight="1">
      <c r="A35" s="38"/>
      <c r="B35" s="393" t="s">
        <v>197</v>
      </c>
      <c r="C35" s="9"/>
      <c r="D35" s="9" t="s">
        <v>197</v>
      </c>
      <c r="E35" s="28"/>
      <c r="F35" s="10"/>
      <c r="G35" s="10"/>
      <c r="H35" s="10"/>
      <c r="I35" s="28"/>
      <c r="J35" s="10"/>
    </row>
    <row r="36" spans="1:10" ht="15.65" customHeight="1">
      <c r="A36" s="38"/>
      <c r="B36" s="393" t="s">
        <v>171</v>
      </c>
      <c r="C36" s="9"/>
      <c r="D36" s="9" t="s">
        <v>1089</v>
      </c>
      <c r="E36" s="28"/>
      <c r="F36" s="10"/>
      <c r="G36" s="24">
        <v>100</v>
      </c>
      <c r="H36" s="10"/>
      <c r="I36" s="28" t="s">
        <v>333</v>
      </c>
      <c r="J36" s="10"/>
    </row>
    <row r="37" spans="1:10" ht="15.65" customHeight="1">
      <c r="A37" s="38"/>
      <c r="B37" s="393" t="s">
        <v>809</v>
      </c>
      <c r="C37" s="9"/>
      <c r="D37" s="9" t="s">
        <v>1090</v>
      </c>
      <c r="E37" s="28"/>
      <c r="F37" s="10"/>
      <c r="G37" s="10"/>
      <c r="H37" s="10"/>
      <c r="I37" s="28"/>
      <c r="J37" s="10"/>
    </row>
    <row r="38" spans="1:10" ht="15.65" customHeight="1">
      <c r="A38" s="38"/>
      <c r="B38" s="393" t="s">
        <v>230</v>
      </c>
      <c r="C38" s="9"/>
      <c r="D38" s="9" t="s">
        <v>1084</v>
      </c>
      <c r="E38" s="28"/>
      <c r="F38" s="10"/>
      <c r="G38" s="144">
        <v>1</v>
      </c>
      <c r="H38" s="10"/>
      <c r="I38" s="28" t="s">
        <v>332</v>
      </c>
      <c r="J38" s="10"/>
    </row>
    <row r="39" spans="1:10" ht="15.65" customHeight="1">
      <c r="A39" s="38"/>
      <c r="B39" s="393" t="s">
        <v>810</v>
      </c>
      <c r="C39" s="9"/>
      <c r="D39" s="9" t="s">
        <v>1085</v>
      </c>
      <c r="E39" s="28"/>
      <c r="F39" s="10"/>
      <c r="G39" s="10"/>
      <c r="H39" s="10"/>
      <c r="I39" s="28"/>
      <c r="J39" s="10"/>
    </row>
    <row r="40" spans="1:10" ht="15" customHeight="1">
      <c r="A40" s="38"/>
      <c r="B40" s="28"/>
      <c r="C40" s="28"/>
      <c r="D40" s="28"/>
      <c r="E40" s="28"/>
      <c r="F40" s="10"/>
      <c r="G40" s="27">
        <v>1</v>
      </c>
      <c r="H40" s="10"/>
      <c r="I40" s="28" t="s">
        <v>95</v>
      </c>
      <c r="J40" s="10"/>
    </row>
    <row r="41" spans="1:10" ht="15" customHeight="1">
      <c r="A41" s="28"/>
      <c r="B41" s="28"/>
      <c r="C41" s="28"/>
      <c r="D41" s="28"/>
      <c r="E41" s="28"/>
      <c r="F41" s="10"/>
      <c r="G41" s="27"/>
      <c r="H41" s="10"/>
      <c r="I41" s="28"/>
      <c r="J41" s="10"/>
    </row>
  </sheetData>
  <conditionalFormatting sqref="G26">
    <cfRule type="cellIs" dxfId="295" priority="7" operator="equal">
      <formula>1</formula>
    </cfRule>
  </conditionalFormatting>
  <conditionalFormatting sqref="G28">
    <cfRule type="cellIs" dxfId="294" priority="1" operator="equal">
      <formula>FALSE</formula>
    </cfRule>
    <cfRule type="cellIs" dxfId="293" priority="2" operator="equal">
      <formula>TRUE</formula>
    </cfRule>
  </conditionalFormatting>
  <hyperlinks>
    <hyperlink ref="B8" location="Титул!A1" display="Титул" xr:uid="{00000000-0004-0000-0100-000000000000}"/>
    <hyperlink ref="B9" location="Описание!A1" display="Описание" xr:uid="{00000000-0004-0000-0100-000001000000}"/>
    <hyperlink ref="B10" location="Контр_панель!A1" display="Контр_панель" xr:uid="{00000000-0004-0000-0100-000002000000}"/>
    <hyperlink ref="B11" location="Предпосылки!A1" display="Предпосылки" xr:uid="{00000000-0004-0000-0100-000003000000}"/>
    <hyperlink ref="B12" location="Расчеты!A1" display="Расчеты" xr:uid="{00000000-0004-0000-0100-000004000000}"/>
    <hyperlink ref="B13" location="Отчетность!A1" display="Отчетность" xr:uid="{00000000-0004-0000-0100-000005000000}"/>
    <hyperlink ref="B14" location="Проверки!A1" display="Проверки" xr:uid="{00000000-0004-0000-0100-000006000000}"/>
    <hyperlink ref="B15" location="Свод!A1" display="Свод" xr:uid="{00000000-0004-0000-0100-000007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3"/>
    <pageSetUpPr fitToPage="1"/>
  </sheetPr>
  <dimension ref="A1:AG228"/>
  <sheetViews>
    <sheetView view="pageBreakPreview" topLeftCell="A3" zoomScale="85" zoomScaleNormal="85" zoomScaleSheetLayoutView="85" workbookViewId="0">
      <selection activeCell="H13" sqref="H13"/>
    </sheetView>
  </sheetViews>
  <sheetFormatPr defaultColWidth="0" defaultRowHeight="14.5" zeroHeight="1"/>
  <cols>
    <col min="1" max="1" width="2.26953125" customWidth="1"/>
    <col min="2" max="2" width="2.54296875" customWidth="1"/>
    <col min="3" max="13" width="15.81640625" customWidth="1"/>
    <col min="14" max="14" width="3.1796875" customWidth="1"/>
    <col min="15" max="15" width="2.26953125" customWidth="1"/>
    <col min="16" max="16" width="1.7265625" hidden="1" customWidth="1"/>
    <col min="17" max="26" width="16" hidden="1"/>
    <col min="30" max="33" width="16" hidden="1"/>
  </cols>
  <sheetData>
    <row r="1" spans="1:16" s="119" customFormat="1" ht="15.65" customHeight="1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</row>
    <row r="2" spans="1:16" s="3" customFormat="1" ht="15.65" customHeight="1">
      <c r="A2" s="118"/>
      <c r="B2" s="259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1"/>
      <c r="O2" s="119"/>
      <c r="P2" s="119"/>
    </row>
    <row r="3" spans="1:16" s="3" customFormat="1" ht="15.5">
      <c r="A3" s="118"/>
      <c r="B3" s="262"/>
      <c r="C3" s="263"/>
      <c r="D3" s="263"/>
      <c r="E3" s="263"/>
      <c r="F3" s="264" t="str">
        <f xml:space="preserve"> Name_Model</f>
        <v>Гостиница UAI 5*</v>
      </c>
      <c r="G3" s="265"/>
      <c r="H3" s="265"/>
      <c r="I3" s="265"/>
      <c r="J3" s="265"/>
      <c r="K3" s="265"/>
      <c r="L3" s="265"/>
      <c r="M3" s="265"/>
      <c r="N3" s="266"/>
      <c r="O3" s="119"/>
      <c r="P3" s="119"/>
    </row>
    <row r="4" spans="1:16" s="3" customFormat="1" ht="15.5">
      <c r="A4" s="118"/>
      <c r="B4" s="262"/>
      <c r="C4" s="263"/>
      <c r="D4" s="263"/>
      <c r="E4" s="263"/>
      <c r="F4" s="267" t="s">
        <v>562</v>
      </c>
      <c r="G4" s="382">
        <f>Предпосылки!E15</f>
        <v>45505</v>
      </c>
      <c r="H4" s="265"/>
      <c r="I4" s="265"/>
      <c r="J4" s="265"/>
      <c r="K4" s="265"/>
      <c r="L4" s="265"/>
      <c r="M4" s="265"/>
      <c r="N4" s="266"/>
      <c r="O4" s="119"/>
      <c r="P4" s="119"/>
    </row>
    <row r="5" spans="1:16" s="3" customFormat="1" ht="15.5">
      <c r="A5" s="118"/>
      <c r="B5" s="262"/>
      <c r="C5" s="263"/>
      <c r="D5" s="263"/>
      <c r="E5" s="263"/>
      <c r="F5" s="267" t="s">
        <v>563</v>
      </c>
      <c r="G5" s="268" t="b">
        <f ca="1">Overall_Check</f>
        <v>1</v>
      </c>
      <c r="H5" s="265"/>
      <c r="I5" s="265"/>
      <c r="J5" s="265"/>
      <c r="K5" s="265"/>
      <c r="L5" s="265"/>
      <c r="M5" s="265"/>
      <c r="N5" s="266"/>
      <c r="O5" s="119"/>
      <c r="P5" s="119"/>
    </row>
    <row r="6" spans="1:16" s="3" customFormat="1" ht="15.5">
      <c r="A6" s="118"/>
      <c r="B6" s="262"/>
      <c r="C6" s="263"/>
      <c r="D6" s="263"/>
      <c r="E6" s="263"/>
      <c r="F6" s="267" t="s">
        <v>594</v>
      </c>
      <c r="G6" s="267"/>
      <c r="H6" s="269"/>
      <c r="I6" s="265"/>
      <c r="J6" s="265"/>
      <c r="K6" s="265"/>
      <c r="L6" s="265"/>
      <c r="M6" s="265"/>
      <c r="N6" s="266"/>
      <c r="O6" s="119"/>
      <c r="P6" s="119"/>
    </row>
    <row r="7" spans="1:16" s="3" customFormat="1" ht="15.5">
      <c r="A7" s="118"/>
      <c r="B7" s="270"/>
      <c r="C7" s="271"/>
      <c r="D7" s="271"/>
      <c r="E7" s="271"/>
      <c r="F7" s="271"/>
      <c r="G7" s="271"/>
      <c r="H7" s="271"/>
      <c r="I7" s="271"/>
      <c r="J7" s="271"/>
      <c r="K7" s="271"/>
      <c r="L7" s="271"/>
      <c r="M7" s="271"/>
      <c r="N7" s="272"/>
      <c r="O7" s="119"/>
      <c r="P7" s="119"/>
    </row>
    <row r="8" spans="1:16" ht="14.5" customHeight="1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9"/>
      <c r="P8" s="119"/>
    </row>
    <row r="9" spans="1:16" ht="25.15" customHeight="1">
      <c r="A9" s="117"/>
      <c r="B9" s="120"/>
      <c r="C9" s="121" t="s">
        <v>781</v>
      </c>
      <c r="D9" s="121"/>
      <c r="E9" s="121"/>
      <c r="F9" s="121"/>
      <c r="G9" s="121"/>
      <c r="H9" s="121"/>
      <c r="I9" s="121" t="s">
        <v>869</v>
      </c>
      <c r="J9" s="121"/>
      <c r="K9" s="121"/>
      <c r="L9" s="121"/>
      <c r="M9" s="121"/>
      <c r="N9" s="122"/>
      <c r="O9" s="119"/>
      <c r="P9" s="119"/>
    </row>
    <row r="10" spans="1:16" ht="14.9" customHeight="1">
      <c r="A10" s="118"/>
      <c r="B10" s="129"/>
      <c r="C10" s="125"/>
      <c r="D10" s="125"/>
      <c r="E10" s="125"/>
      <c r="F10" s="88"/>
      <c r="G10" s="125"/>
      <c r="H10" s="125"/>
      <c r="I10" s="125"/>
      <c r="J10" s="125"/>
      <c r="K10" s="125"/>
      <c r="L10" s="125"/>
      <c r="M10" s="125"/>
      <c r="N10" s="124"/>
      <c r="O10" s="119"/>
      <c r="P10" s="119"/>
    </row>
    <row r="11" spans="1:16" ht="14.9" customHeight="1" thickBot="1">
      <c r="A11" s="118"/>
      <c r="B11" s="129"/>
      <c r="C11" s="282" t="s">
        <v>584</v>
      </c>
      <c r="D11" s="278"/>
      <c r="E11" s="278"/>
      <c r="F11" s="279"/>
      <c r="G11" s="280"/>
      <c r="H11" s="210"/>
      <c r="I11" s="282" t="s">
        <v>41</v>
      </c>
      <c r="J11" s="278"/>
      <c r="K11" s="282"/>
      <c r="L11" s="278"/>
      <c r="M11" s="282"/>
      <c r="N11" s="124"/>
      <c r="O11" s="119"/>
      <c r="P11" s="119"/>
    </row>
    <row r="12" spans="1:16" ht="14.9" customHeight="1" thickBot="1">
      <c r="A12" s="118"/>
      <c r="B12" s="123"/>
      <c r="C12" s="17" t="str">
        <f xml:space="preserve"> "Чистая приведенная стоимость (NPV)"</f>
        <v>Чистая приведенная стоимость (NPV)</v>
      </c>
      <c r="D12" s="10"/>
      <c r="E12" s="10"/>
      <c r="F12" s="142" t="s">
        <v>292</v>
      </c>
      <c r="G12" s="277">
        <f ca="1">NPV / 1000</f>
        <v>1640.7429843818063</v>
      </c>
      <c r="H12" s="210"/>
      <c r="I12" s="17" t="s">
        <v>42</v>
      </c>
      <c r="J12" s="210"/>
      <c r="K12" s="210"/>
      <c r="L12" s="210"/>
      <c r="M12" s="276">
        <f ca="1" xml:space="preserve"> Проверки!C9</f>
        <v>0</v>
      </c>
      <c r="N12" s="124"/>
      <c r="O12" s="119"/>
      <c r="P12" s="119"/>
    </row>
    <row r="13" spans="1:16" ht="14.9" customHeight="1" thickBot="1">
      <c r="A13" s="118"/>
      <c r="B13" s="123"/>
      <c r="C13" s="17" t="s">
        <v>293</v>
      </c>
      <c r="D13" s="10"/>
      <c r="E13" s="10"/>
      <c r="F13" s="142" t="s">
        <v>28</v>
      </c>
      <c r="G13" s="214">
        <f ca="1" xml:space="preserve"> IRR</f>
        <v>0.14218453612103432</v>
      </c>
      <c r="H13" s="210"/>
      <c r="I13" s="17" t="s">
        <v>351</v>
      </c>
      <c r="J13" s="210"/>
      <c r="K13" s="210"/>
      <c r="L13" s="210"/>
      <c r="M13" s="276">
        <f ca="1" xml:space="preserve"> Проверки!C10</f>
        <v>0</v>
      </c>
      <c r="N13" s="124"/>
      <c r="O13" s="119"/>
      <c r="P13" s="119"/>
    </row>
    <row r="14" spans="1:16" ht="14.9" customHeight="1" thickBot="1">
      <c r="A14" s="117"/>
      <c r="B14" s="123"/>
      <c r="C14" s="17" t="s">
        <v>220</v>
      </c>
      <c r="D14" s="10"/>
      <c r="E14" s="10"/>
      <c r="F14" s="142" t="s">
        <v>123</v>
      </c>
      <c r="G14" s="215">
        <f ca="1">PBP</f>
        <v>9.2607760538892272</v>
      </c>
      <c r="H14" s="210"/>
      <c r="I14" s="17" t="s">
        <v>352</v>
      </c>
      <c r="J14" s="210"/>
      <c r="K14" s="210"/>
      <c r="L14" s="210"/>
      <c r="M14" s="276">
        <f ca="1" xml:space="preserve"> Проверки!C11</f>
        <v>0</v>
      </c>
      <c r="N14" s="124"/>
      <c r="O14" s="119"/>
      <c r="P14" s="119"/>
    </row>
    <row r="15" spans="1:16" ht="14.9" customHeight="1" thickBot="1">
      <c r="A15" s="117"/>
      <c r="B15" s="123"/>
      <c r="C15" s="17" t="s">
        <v>225</v>
      </c>
      <c r="D15" s="10"/>
      <c r="E15" s="10"/>
      <c r="F15" s="142" t="s">
        <v>123</v>
      </c>
      <c r="G15" s="215">
        <f ca="1" xml:space="preserve"> Расчеты!E1416</f>
        <v>12.877355115697521</v>
      </c>
      <c r="H15" s="210"/>
      <c r="I15" s="17" t="s">
        <v>353</v>
      </c>
      <c r="J15" s="210"/>
      <c r="K15" s="210"/>
      <c r="L15" s="210"/>
      <c r="M15" s="276">
        <f ca="1" xml:space="preserve"> Проверки!C12</f>
        <v>0</v>
      </c>
      <c r="N15" s="124"/>
      <c r="O15" s="119"/>
      <c r="P15" s="119"/>
    </row>
    <row r="16" spans="1:16" ht="14.9" customHeight="1" thickBot="1">
      <c r="A16" s="117"/>
      <c r="B16" s="123"/>
      <c r="C16" s="17"/>
      <c r="D16" s="10"/>
      <c r="E16" s="10"/>
      <c r="F16" s="142"/>
      <c r="G16" s="212"/>
      <c r="H16" s="210"/>
      <c r="I16" s="17" t="s">
        <v>43</v>
      </c>
      <c r="J16" s="210"/>
      <c r="K16" s="210"/>
      <c r="L16" s="210"/>
      <c r="M16" s="276">
        <f ca="1" xml:space="preserve"> Проверки!C13</f>
        <v>0</v>
      </c>
      <c r="N16" s="124"/>
      <c r="O16" s="119"/>
      <c r="P16" s="119"/>
    </row>
    <row r="17" spans="1:16" ht="14.9" customHeight="1" thickBot="1">
      <c r="A17" s="117"/>
      <c r="B17" s="129"/>
      <c r="C17" s="282" t="s">
        <v>585</v>
      </c>
      <c r="D17" s="278"/>
      <c r="E17" s="278"/>
      <c r="F17" s="281"/>
      <c r="G17" s="281"/>
      <c r="H17" s="210"/>
      <c r="I17" s="17" t="s">
        <v>350</v>
      </c>
      <c r="J17" s="210"/>
      <c r="K17" s="210"/>
      <c r="L17" s="210"/>
      <c r="M17" s="276">
        <f ca="1" xml:space="preserve"> Проверки!C14</f>
        <v>0</v>
      </c>
      <c r="N17" s="124"/>
      <c r="O17" s="119"/>
      <c r="P17" s="119"/>
    </row>
    <row r="18" spans="1:16" ht="14.9" customHeight="1" thickBot="1">
      <c r="A18" s="117"/>
      <c r="B18" s="129"/>
      <c r="C18" s="17" t="str">
        <f xml:space="preserve"> "Чистая приведенная стоимость (NPV Equity)"</f>
        <v>Чистая приведенная стоимость (NPV Equity)</v>
      </c>
      <c r="D18" s="10"/>
      <c r="E18" s="10"/>
      <c r="F18" s="142" t="s">
        <v>292</v>
      </c>
      <c r="G18" s="213">
        <f ca="1" xml:space="preserve"> NPV_Equity / 1000</f>
        <v>21.437651870644174</v>
      </c>
      <c r="H18" s="210"/>
      <c r="I18" s="17" t="s">
        <v>268</v>
      </c>
      <c r="J18" s="210"/>
      <c r="K18" s="210"/>
      <c r="L18" s="210"/>
      <c r="M18" s="276">
        <f ca="1" xml:space="preserve"> Проверки!C15</f>
        <v>0</v>
      </c>
      <c r="N18" s="124"/>
      <c r="O18" s="119"/>
      <c r="P18" s="119"/>
    </row>
    <row r="19" spans="1:16" ht="14.9" customHeight="1" thickBot="1">
      <c r="A19" s="117"/>
      <c r="B19" s="123"/>
      <c r="C19" s="17" t="s">
        <v>586</v>
      </c>
      <c r="D19" s="10"/>
      <c r="E19" s="10"/>
      <c r="F19" s="142" t="s">
        <v>28</v>
      </c>
      <c r="G19" s="214">
        <f ca="1" xml:space="preserve"> IRR_Equity</f>
        <v>0.2191525565137169</v>
      </c>
      <c r="H19" s="210"/>
      <c r="I19" s="17" t="s">
        <v>297</v>
      </c>
      <c r="J19" s="210"/>
      <c r="K19" s="210"/>
      <c r="L19" s="210"/>
      <c r="M19" s="276">
        <f xml:space="preserve"> Проверки!C16</f>
        <v>0</v>
      </c>
      <c r="N19" s="124"/>
      <c r="O19" s="119"/>
      <c r="P19" s="119"/>
    </row>
    <row r="20" spans="1:16" ht="14.9" customHeight="1" thickBot="1">
      <c r="A20" s="117"/>
      <c r="B20" s="123"/>
      <c r="C20" s="17" t="s">
        <v>587</v>
      </c>
      <c r="D20" s="10"/>
      <c r="E20" s="10"/>
      <c r="F20" s="142" t="s">
        <v>123</v>
      </c>
      <c r="G20" s="215">
        <f ca="1" xml:space="preserve"> PBP_Equity</f>
        <v>7.6912559799116611</v>
      </c>
      <c r="H20" s="210"/>
      <c r="I20" s="17" t="s">
        <v>354</v>
      </c>
      <c r="J20" s="210"/>
      <c r="K20" s="210"/>
      <c r="L20" s="210"/>
      <c r="M20" s="276">
        <f ca="1" xml:space="preserve"> Проверки!C17</f>
        <v>0</v>
      </c>
      <c r="N20" s="124"/>
      <c r="O20" s="119"/>
      <c r="P20" s="119"/>
    </row>
    <row r="21" spans="1:16" ht="14.9" customHeight="1" thickBot="1">
      <c r="A21" s="117"/>
      <c r="B21" s="123"/>
      <c r="C21" s="17" t="s">
        <v>588</v>
      </c>
      <c r="D21" s="10"/>
      <c r="E21" s="10"/>
      <c r="F21" s="142" t="s">
        <v>123</v>
      </c>
      <c r="G21" s="215">
        <f ca="1" xml:space="preserve"> Расчеты!E1454</f>
        <v>19.948175321021857</v>
      </c>
      <c r="H21" s="210"/>
      <c r="I21" s="17" t="s">
        <v>596</v>
      </c>
      <c r="J21" s="210"/>
      <c r="K21" s="210"/>
      <c r="L21" s="210"/>
      <c r="M21" s="275" t="b">
        <f ca="1" xml:space="preserve"> Overall_Check</f>
        <v>1</v>
      </c>
      <c r="N21" s="124"/>
      <c r="O21" s="119"/>
      <c r="P21" s="119"/>
    </row>
    <row r="22" spans="1:16" ht="14.9" customHeight="1">
      <c r="A22" s="117"/>
      <c r="B22" s="126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8"/>
      <c r="O22" s="119"/>
      <c r="P22" s="119"/>
    </row>
    <row r="23" spans="1:16" ht="14.9" customHeight="1">
      <c r="A23" s="117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9"/>
      <c r="P23" s="119"/>
    </row>
    <row r="24" spans="1:16" ht="25.15" customHeight="1">
      <c r="A24" s="117"/>
      <c r="B24" s="120"/>
      <c r="C24" s="121" t="s">
        <v>811</v>
      </c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2"/>
      <c r="O24" s="119"/>
      <c r="P24" s="119"/>
    </row>
    <row r="25" spans="1:16" s="133" customFormat="1" ht="14.9" customHeight="1">
      <c r="A25" s="285"/>
      <c r="B25" s="286"/>
      <c r="C25" s="287"/>
      <c r="D25" s="287"/>
      <c r="E25" s="287"/>
      <c r="F25" s="287"/>
      <c r="G25" s="294"/>
      <c r="H25" s="287"/>
      <c r="I25" s="294"/>
      <c r="J25" s="294"/>
      <c r="K25" s="294"/>
      <c r="L25" s="294"/>
      <c r="M25" s="294"/>
      <c r="N25" s="288"/>
      <c r="O25" s="284"/>
      <c r="P25" s="284"/>
    </row>
    <row r="26" spans="1:16" s="133" customFormat="1" ht="14.9" customHeight="1" thickBot="1">
      <c r="A26" s="285"/>
      <c r="B26" s="286"/>
      <c r="C26" s="282" t="s">
        <v>870</v>
      </c>
      <c r="D26" s="293"/>
      <c r="E26" s="293"/>
      <c r="F26" s="287"/>
      <c r="G26" s="292">
        <v>1</v>
      </c>
      <c r="H26" s="287"/>
      <c r="I26" s="469">
        <v>1</v>
      </c>
      <c r="J26" s="469">
        <v>2</v>
      </c>
      <c r="K26" s="469">
        <v>3</v>
      </c>
      <c r="L26" s="469">
        <v>4</v>
      </c>
      <c r="M26" s="469">
        <v>5</v>
      </c>
      <c r="N26" s="288"/>
      <c r="O26" s="284"/>
      <c r="P26" s="284"/>
    </row>
    <row r="27" spans="1:16" s="133" customFormat="1" ht="14.9" customHeight="1">
      <c r="A27" s="285"/>
      <c r="B27" s="286"/>
      <c r="C27" s="287"/>
      <c r="D27" s="287"/>
      <c r="E27" s="287"/>
      <c r="F27" s="287"/>
      <c r="G27" s="287"/>
      <c r="H27" s="287"/>
      <c r="I27" s="287"/>
      <c r="J27" s="287"/>
      <c r="K27" s="287"/>
      <c r="L27" s="287"/>
      <c r="M27" s="287"/>
      <c r="N27" s="288"/>
      <c r="O27" s="284"/>
      <c r="P27" s="284"/>
    </row>
    <row r="28" spans="1:16" s="133" customFormat="1" ht="14.9" customHeight="1">
      <c r="A28" s="285"/>
      <c r="B28" s="286"/>
      <c r="C28" s="295" t="s">
        <v>871</v>
      </c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88"/>
      <c r="O28" s="284"/>
      <c r="P28" s="284"/>
    </row>
    <row r="29" spans="1:16" s="133" customFormat="1" ht="14.9" customHeight="1" thickBot="1">
      <c r="A29" s="285"/>
      <c r="B29" s="286"/>
      <c r="C29" s="287"/>
      <c r="D29" s="287"/>
      <c r="E29" s="287"/>
      <c r="F29" s="287"/>
      <c r="G29" s="287"/>
      <c r="H29" s="287"/>
      <c r="I29" s="287"/>
      <c r="J29" s="287"/>
      <c r="K29" s="287"/>
      <c r="L29" s="287"/>
      <c r="M29" s="287"/>
      <c r="N29" s="288"/>
      <c r="O29" s="284"/>
      <c r="P29" s="284"/>
    </row>
    <row r="30" spans="1:16" s="133" customFormat="1" ht="14.9" customHeight="1" thickBot="1">
      <c r="A30" s="285"/>
      <c r="B30" s="286"/>
      <c r="C30" s="444" t="str">
        <f>Предпосылки!C84</f>
        <v>Объект размещения (отель)</v>
      </c>
      <c r="D30" s="287"/>
      <c r="E30" s="287"/>
      <c r="F30" s="287"/>
      <c r="G30" s="400" t="str">
        <f>CHOOSE(SC_Global,I30,J30,K30,L30,M30)</f>
        <v>в проекте</v>
      </c>
      <c r="H30" s="9"/>
      <c r="I30" s="305" t="s">
        <v>872</v>
      </c>
      <c r="J30" s="305" t="s">
        <v>904</v>
      </c>
      <c r="K30" s="305" t="s">
        <v>904</v>
      </c>
      <c r="L30" s="305" t="s">
        <v>904</v>
      </c>
      <c r="M30" s="305" t="s">
        <v>904</v>
      </c>
      <c r="N30" s="288"/>
      <c r="O30" s="284"/>
      <c r="P30" s="284"/>
    </row>
    <row r="31" spans="1:16" s="133" customFormat="1" ht="14.9" customHeight="1" thickBot="1">
      <c r="A31" s="285"/>
      <c r="B31" s="286"/>
      <c r="C31" s="445" t="str">
        <f xml:space="preserve"> Предпосылки!C134</f>
        <v>Развлекательный комплекс</v>
      </c>
      <c r="D31" s="287"/>
      <c r="E31" s="287"/>
      <c r="F31" s="287"/>
      <c r="G31" s="400" t="str">
        <f>CHOOSE(SC_Global,I31,J31,K31,L31,M31)</f>
        <v>в проекте</v>
      </c>
      <c r="H31" s="9"/>
      <c r="I31" s="305" t="s">
        <v>872</v>
      </c>
      <c r="J31" s="305" t="s">
        <v>904</v>
      </c>
      <c r="K31" s="305" t="s">
        <v>904</v>
      </c>
      <c r="L31" s="305" t="s">
        <v>904</v>
      </c>
      <c r="M31" s="305" t="s">
        <v>904</v>
      </c>
      <c r="N31" s="288"/>
      <c r="O31" s="284"/>
      <c r="P31" s="284"/>
    </row>
    <row r="32" spans="1:16" s="133" customFormat="1" ht="14.9" customHeight="1" thickBot="1">
      <c r="A32" s="285"/>
      <c r="B32" s="286"/>
      <c r="C32" s="446" t="str">
        <f xml:space="preserve"> Предпосылки!C142</f>
        <v>Крытый парк развлечений</v>
      </c>
      <c r="D32" s="287"/>
      <c r="E32" s="287"/>
      <c r="F32" s="287"/>
      <c r="G32" s="400" t="str">
        <f>CHOOSE(SC_Global,I32,J32,K32,L32,M32)</f>
        <v>в проекте</v>
      </c>
      <c r="H32" s="9"/>
      <c r="I32" s="305" t="s">
        <v>872</v>
      </c>
      <c r="J32" s="305" t="s">
        <v>904</v>
      </c>
      <c r="K32" s="305" t="s">
        <v>904</v>
      </c>
      <c r="L32" s="305" t="s">
        <v>904</v>
      </c>
      <c r="M32" s="305" t="s">
        <v>904</v>
      </c>
      <c r="N32" s="288"/>
      <c r="O32" s="284"/>
      <c r="P32" s="284"/>
    </row>
    <row r="33" spans="1:16" s="133" customFormat="1" ht="14.9" customHeight="1" thickBot="1">
      <c r="A33" s="285"/>
      <c r="B33" s="286"/>
      <c r="C33" s="9"/>
      <c r="D33" s="9"/>
      <c r="E33" s="9"/>
      <c r="F33" s="9"/>
      <c r="G33" s="9"/>
      <c r="H33" s="9"/>
      <c r="I33" s="306"/>
      <c r="J33" s="306"/>
      <c r="K33" s="306"/>
      <c r="L33" s="306"/>
      <c r="M33" s="306"/>
      <c r="N33" s="288"/>
      <c r="O33" s="284"/>
      <c r="P33" s="284"/>
    </row>
    <row r="34" spans="1:16" s="133" customFormat="1" ht="14.9" customHeight="1" thickBot="1">
      <c r="A34" s="285"/>
      <c r="B34" s="286"/>
      <c r="C34" s="9" t="s">
        <v>1217</v>
      </c>
      <c r="D34" s="9"/>
      <c r="E34" s="9"/>
      <c r="F34" s="9"/>
      <c r="G34" s="215" t="str">
        <f>CHOOSE(SC_Global,I34,J34,K34,L34,M34)</f>
        <v>да</v>
      </c>
      <c r="H34" s="9"/>
      <c r="I34" s="305" t="s">
        <v>873</v>
      </c>
      <c r="J34" s="305" t="s">
        <v>873</v>
      </c>
      <c r="K34" s="305" t="s">
        <v>1064</v>
      </c>
      <c r="L34" s="305" t="s">
        <v>1064</v>
      </c>
      <c r="M34" s="305" t="s">
        <v>1064</v>
      </c>
      <c r="N34" s="288"/>
      <c r="O34" s="284"/>
      <c r="P34" s="284"/>
    </row>
    <row r="35" spans="1:16" s="133" customFormat="1" ht="14.9" customHeight="1">
      <c r="A35" s="285"/>
      <c r="B35" s="286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8"/>
      <c r="O35" s="284"/>
      <c r="P35" s="284"/>
    </row>
    <row r="36" spans="1:16" s="133" customFormat="1" ht="14.9" customHeight="1">
      <c r="A36" s="285"/>
      <c r="B36" s="286"/>
      <c r="C36" s="295" t="s">
        <v>925</v>
      </c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88"/>
      <c r="O36" s="284"/>
      <c r="P36" s="284"/>
    </row>
    <row r="37" spans="1:16" s="133" customFormat="1" ht="14.9" customHeight="1" thickBot="1">
      <c r="A37" s="285"/>
      <c r="B37" s="286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8"/>
      <c r="O37" s="284"/>
      <c r="P37" s="284"/>
    </row>
    <row r="38" spans="1:16" s="133" customFormat="1" ht="14.9" customHeight="1" thickBot="1">
      <c r="A38" s="285"/>
      <c r="B38" s="286"/>
      <c r="C38" s="9" t="str">
        <f>"[+/-] Изменение затрат на " &amp; C30</f>
        <v>[+/-] Изменение затрат на Объект размещения (отель)</v>
      </c>
      <c r="D38" s="287"/>
      <c r="E38" s="287"/>
      <c r="F38" s="287"/>
      <c r="G38" s="308">
        <f>CHOOSE(SC_Global,I38,J38,K38,L38,M38)</f>
        <v>0</v>
      </c>
      <c r="H38" s="287"/>
      <c r="I38" s="307">
        <v>0</v>
      </c>
      <c r="J38" s="307">
        <v>-0.2</v>
      </c>
      <c r="K38" s="307">
        <v>-0.2</v>
      </c>
      <c r="L38" s="307">
        <v>-0.2</v>
      </c>
      <c r="M38" s="307">
        <v>-0.2</v>
      </c>
      <c r="N38" s="288"/>
      <c r="O38" s="284"/>
      <c r="P38" s="284"/>
    </row>
    <row r="39" spans="1:16" s="133" customFormat="1" ht="14.9" customHeight="1" thickBot="1">
      <c r="A39" s="285"/>
      <c r="B39" s="286"/>
      <c r="C39" s="9" t="str">
        <f t="shared" ref="C39:C40" si="0">"[+/-] Изменение затрат на " &amp; C31</f>
        <v>[+/-] Изменение затрат на Развлекательный комплекс</v>
      </c>
      <c r="D39" s="287"/>
      <c r="E39" s="287"/>
      <c r="F39" s="287"/>
      <c r="G39" s="308">
        <f>CHOOSE(SC_Global,I39,J39,K39,L39,M39)</f>
        <v>0</v>
      </c>
      <c r="H39" s="287"/>
      <c r="I39" s="307">
        <v>0</v>
      </c>
      <c r="J39" s="307">
        <v>-0.2</v>
      </c>
      <c r="K39" s="307">
        <v>-0.2</v>
      </c>
      <c r="L39" s="307">
        <v>-0.2</v>
      </c>
      <c r="M39" s="307">
        <v>-0.2</v>
      </c>
      <c r="N39" s="288"/>
      <c r="O39" s="284"/>
      <c r="P39" s="284"/>
    </row>
    <row r="40" spans="1:16" s="133" customFormat="1" ht="14.9" customHeight="1" thickBot="1">
      <c r="A40" s="285"/>
      <c r="B40" s="286"/>
      <c r="C40" s="9" t="str">
        <f t="shared" si="0"/>
        <v>[+/-] Изменение затрат на Крытый парк развлечений</v>
      </c>
      <c r="D40" s="287"/>
      <c r="E40" s="287"/>
      <c r="F40" s="287"/>
      <c r="G40" s="308">
        <f>CHOOSE(SC_Global,I40,J40,K40,L40,M40)</f>
        <v>0</v>
      </c>
      <c r="H40" s="287"/>
      <c r="I40" s="307">
        <v>0</v>
      </c>
      <c r="J40" s="307">
        <v>-0.2</v>
      </c>
      <c r="K40" s="307">
        <v>-0.2</v>
      </c>
      <c r="L40" s="307">
        <v>-0.2</v>
      </c>
      <c r="M40" s="307">
        <v>-0.2</v>
      </c>
      <c r="N40" s="288"/>
      <c r="O40" s="284"/>
      <c r="P40" s="284"/>
    </row>
    <row r="41" spans="1:16" s="133" customFormat="1" ht="14.9" customHeight="1" thickBot="1">
      <c r="A41" s="285"/>
      <c r="B41" s="286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8"/>
      <c r="O41" s="284"/>
      <c r="P41" s="284"/>
    </row>
    <row r="42" spans="1:16" s="133" customFormat="1" ht="14.9" customHeight="1" thickBot="1">
      <c r="A42" s="285"/>
      <c r="B42" s="286"/>
      <c r="C42" s="450" t="str">
        <f>Предпосылки!C66</f>
        <v>Транспортная инфраструктура</v>
      </c>
      <c r="D42" s="287"/>
      <c r="E42" s="287"/>
      <c r="F42" s="287"/>
      <c r="G42" s="399">
        <f>CHOOSE(SC_Global,I42,J42,K42,L42,M42)</f>
        <v>0</v>
      </c>
      <c r="H42" s="287"/>
      <c r="I42" s="307">
        <v>0</v>
      </c>
      <c r="J42" s="307">
        <v>-0.2</v>
      </c>
      <c r="K42" s="307">
        <v>-0.2</v>
      </c>
      <c r="L42" s="307">
        <v>-0.2</v>
      </c>
      <c r="M42" s="307">
        <v>-0.2</v>
      </c>
      <c r="N42" s="288"/>
      <c r="O42" s="284"/>
      <c r="P42" s="284"/>
    </row>
    <row r="43" spans="1:16" s="133" customFormat="1" ht="14.9" customHeight="1" thickBot="1">
      <c r="A43" s="285"/>
      <c r="B43" s="286"/>
      <c r="C43" s="450" t="str">
        <f>Предпосылки!C72</f>
        <v>Коммунальная инфраструктура</v>
      </c>
      <c r="D43" s="287"/>
      <c r="E43" s="287"/>
      <c r="F43" s="287"/>
      <c r="G43" s="399">
        <f>CHOOSE(SC_Global,I43,J43,K43,L43,M43)</f>
        <v>0</v>
      </c>
      <c r="H43" s="287"/>
      <c r="I43" s="307">
        <v>0</v>
      </c>
      <c r="J43" s="307">
        <v>-0.2</v>
      </c>
      <c r="K43" s="307">
        <v>-0.2</v>
      </c>
      <c r="L43" s="307">
        <v>-0.2</v>
      </c>
      <c r="M43" s="307">
        <v>-0.2</v>
      </c>
      <c r="N43" s="288"/>
      <c r="O43" s="284"/>
      <c r="P43" s="284"/>
    </row>
    <row r="44" spans="1:16" s="133" customFormat="1" ht="14.9" customHeight="1" thickBot="1">
      <c r="A44" s="285"/>
      <c r="B44" s="286"/>
      <c r="C44" s="450" t="str">
        <f>Предпосылки!C80</f>
        <v>Прочая обеспечивающая инфраструктура</v>
      </c>
      <c r="D44" s="287"/>
      <c r="E44" s="287"/>
      <c r="F44" s="287"/>
      <c r="G44" s="399">
        <f>CHOOSE(SC_Global,I44,J44,K44,L44,M44)</f>
        <v>0</v>
      </c>
      <c r="H44" s="287"/>
      <c r="I44" s="307">
        <v>0</v>
      </c>
      <c r="J44" s="307">
        <v>-0.2</v>
      </c>
      <c r="K44" s="307">
        <v>-0.2</v>
      </c>
      <c r="L44" s="307">
        <v>-0.2</v>
      </c>
      <c r="M44" s="307">
        <v>-0.2</v>
      </c>
      <c r="N44" s="288"/>
      <c r="O44" s="284"/>
      <c r="P44" s="284"/>
    </row>
    <row r="45" spans="1:16" s="133" customFormat="1" ht="14.9" customHeight="1">
      <c r="A45" s="285"/>
      <c r="B45" s="286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8"/>
      <c r="O45" s="284"/>
      <c r="P45" s="284"/>
    </row>
    <row r="46" spans="1:16" s="133" customFormat="1" ht="14.9" customHeight="1">
      <c r="A46" s="285"/>
      <c r="B46" s="286"/>
      <c r="C46" s="295" t="s">
        <v>926</v>
      </c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88"/>
      <c r="O46" s="284"/>
      <c r="P46" s="284"/>
    </row>
    <row r="47" spans="1:16" s="133" customFormat="1" ht="14.9" customHeight="1" thickBot="1">
      <c r="A47" s="285"/>
      <c r="B47" s="286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8"/>
      <c r="O47" s="284"/>
      <c r="P47" s="284"/>
    </row>
    <row r="48" spans="1:16" s="133" customFormat="1" ht="14.9" customHeight="1" thickBot="1">
      <c r="A48" s="285"/>
      <c r="B48" s="286"/>
      <c r="C48" s="9" t="str">
        <f>"[+/-] Изменение выручки " &amp; C30</f>
        <v>[+/-] Изменение выручки Объект размещения (отель)</v>
      </c>
      <c r="D48" s="287"/>
      <c r="E48" s="287"/>
      <c r="F48" s="287"/>
      <c r="G48" s="308">
        <f>CHOOSE(SC_Global,I48,J48,K48,L48,M48)</f>
        <v>0</v>
      </c>
      <c r="H48" s="287"/>
      <c r="I48" s="307">
        <v>0</v>
      </c>
      <c r="J48" s="307">
        <v>0.2</v>
      </c>
      <c r="K48" s="307">
        <v>0.2</v>
      </c>
      <c r="L48" s="307">
        <v>0.2</v>
      </c>
      <c r="M48" s="307">
        <v>0.2</v>
      </c>
      <c r="N48" s="288"/>
      <c r="O48" s="284"/>
      <c r="P48" s="284"/>
    </row>
    <row r="49" spans="1:16" s="133" customFormat="1" ht="14.5" customHeight="1" thickBot="1">
      <c r="A49" s="285"/>
      <c r="B49" s="286"/>
      <c r="C49" s="9" t="str">
        <f t="shared" ref="C49:C50" si="1">"[+/-] Изменение выручки " &amp; C31</f>
        <v>[+/-] Изменение выручки Развлекательный комплекс</v>
      </c>
      <c r="D49" s="287"/>
      <c r="E49" s="287"/>
      <c r="F49" s="287"/>
      <c r="G49" s="308">
        <f>CHOOSE(SC_Global,I49,J49,K49,L49,M49)</f>
        <v>0</v>
      </c>
      <c r="H49" s="287"/>
      <c r="I49" s="307">
        <v>0</v>
      </c>
      <c r="J49" s="307">
        <v>0.2</v>
      </c>
      <c r="K49" s="307">
        <v>0.2</v>
      </c>
      <c r="L49" s="307">
        <v>0.2</v>
      </c>
      <c r="M49" s="307">
        <v>0.2</v>
      </c>
      <c r="N49" s="288"/>
      <c r="O49" s="284"/>
      <c r="P49" s="284"/>
    </row>
    <row r="50" spans="1:16" s="133" customFormat="1" ht="14.5" customHeight="1" thickBot="1">
      <c r="A50" s="285"/>
      <c r="B50" s="286"/>
      <c r="C50" s="9" t="str">
        <f t="shared" si="1"/>
        <v>[+/-] Изменение выручки Крытый парк развлечений</v>
      </c>
      <c r="D50" s="287"/>
      <c r="E50" s="287"/>
      <c r="F50" s="287"/>
      <c r="G50" s="308">
        <f>CHOOSE(SC_Global,I50,J50,K50,L50,M50)</f>
        <v>0</v>
      </c>
      <c r="H50" s="287"/>
      <c r="I50" s="307">
        <v>0</v>
      </c>
      <c r="J50" s="307">
        <v>0.2</v>
      </c>
      <c r="K50" s="307">
        <v>0.2</v>
      </c>
      <c r="L50" s="307">
        <v>0.2</v>
      </c>
      <c r="M50" s="307">
        <v>0.2</v>
      </c>
      <c r="N50" s="288"/>
      <c r="O50" s="284"/>
      <c r="P50" s="284"/>
    </row>
    <row r="51" spans="1:16" s="133" customFormat="1" ht="14.5" customHeight="1">
      <c r="A51" s="285"/>
      <c r="B51" s="286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8"/>
      <c r="O51" s="284"/>
      <c r="P51" s="284"/>
    </row>
    <row r="52" spans="1:16" s="133" customFormat="1" ht="14.9" customHeight="1">
      <c r="A52" s="285"/>
      <c r="B52" s="286"/>
      <c r="C52" s="295" t="s">
        <v>927</v>
      </c>
      <c r="D52" s="295"/>
      <c r="E52" s="295"/>
      <c r="F52" s="295"/>
      <c r="G52" s="295"/>
      <c r="H52" s="295"/>
      <c r="I52" s="295"/>
      <c r="J52" s="295"/>
      <c r="K52" s="295"/>
      <c r="L52" s="295"/>
      <c r="M52" s="295"/>
      <c r="N52" s="288"/>
      <c r="O52" s="284"/>
      <c r="P52" s="284"/>
    </row>
    <row r="53" spans="1:16" s="133" customFormat="1" ht="14.9" customHeight="1" thickBot="1">
      <c r="A53" s="285"/>
      <c r="B53" s="286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8"/>
      <c r="O53" s="284"/>
      <c r="P53" s="284"/>
    </row>
    <row r="54" spans="1:16" s="133" customFormat="1" ht="14.9" customHeight="1" thickBot="1">
      <c r="A54" s="285"/>
      <c r="B54" s="286"/>
      <c r="C54" s="9" t="str">
        <f>"[+/-] Изменение затрат на " &amp; C30</f>
        <v>[+/-] Изменение затрат на Объект размещения (отель)</v>
      </c>
      <c r="D54" s="287"/>
      <c r="E54" s="287"/>
      <c r="F54" s="287"/>
      <c r="G54" s="308">
        <f>CHOOSE(SC_Global,I54,J54,K54,L54,M54)</f>
        <v>0</v>
      </c>
      <c r="H54" s="287"/>
      <c r="I54" s="307">
        <v>0</v>
      </c>
      <c r="J54" s="307">
        <v>-0.2</v>
      </c>
      <c r="K54" s="307">
        <v>-0.2</v>
      </c>
      <c r="L54" s="307">
        <v>-0.2</v>
      </c>
      <c r="M54" s="307">
        <v>-0.2</v>
      </c>
      <c r="N54" s="288"/>
      <c r="O54" s="284"/>
      <c r="P54" s="284"/>
    </row>
    <row r="55" spans="1:16" s="133" customFormat="1" ht="14.9" customHeight="1" thickBot="1">
      <c r="A55" s="285"/>
      <c r="B55" s="286"/>
      <c r="C55" s="9" t="str">
        <f t="shared" ref="C55:C56" si="2">"[+/-] Изменение затрат на " &amp; C31</f>
        <v>[+/-] Изменение затрат на Развлекательный комплекс</v>
      </c>
      <c r="D55" s="287"/>
      <c r="E55" s="287"/>
      <c r="F55" s="287"/>
      <c r="G55" s="308">
        <f>CHOOSE(SC_Global,I55,J55,K55,L55,M55)</f>
        <v>0</v>
      </c>
      <c r="H55" s="287"/>
      <c r="I55" s="307">
        <v>0</v>
      </c>
      <c r="J55" s="307">
        <v>-0.2</v>
      </c>
      <c r="K55" s="307">
        <v>-0.2</v>
      </c>
      <c r="L55" s="307">
        <v>-0.2</v>
      </c>
      <c r="M55" s="307">
        <v>-0.2</v>
      </c>
      <c r="N55" s="288"/>
      <c r="O55" s="284"/>
      <c r="P55" s="284"/>
    </row>
    <row r="56" spans="1:16" s="133" customFormat="1" ht="14.9" customHeight="1" thickBot="1">
      <c r="A56" s="285"/>
      <c r="B56" s="286"/>
      <c r="C56" s="9" t="str">
        <f t="shared" si="2"/>
        <v>[+/-] Изменение затрат на Крытый парк развлечений</v>
      </c>
      <c r="D56" s="287"/>
      <c r="E56" s="287"/>
      <c r="F56" s="287"/>
      <c r="G56" s="308">
        <f>CHOOSE(SC_Global,I56,J56,K56,L56,M56)</f>
        <v>0</v>
      </c>
      <c r="H56" s="287"/>
      <c r="I56" s="307">
        <v>0</v>
      </c>
      <c r="J56" s="307">
        <v>-0.2</v>
      </c>
      <c r="K56" s="307">
        <v>-0.2</v>
      </c>
      <c r="L56" s="307">
        <v>-0.2</v>
      </c>
      <c r="M56" s="307">
        <v>-0.2</v>
      </c>
      <c r="N56" s="288"/>
      <c r="O56" s="284"/>
      <c r="P56" s="284"/>
    </row>
    <row r="57" spans="1:16" s="133" customFormat="1" ht="14.9" customHeight="1" thickBot="1">
      <c r="A57" s="285"/>
      <c r="B57" s="286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8"/>
      <c r="O57" s="284"/>
      <c r="P57" s="284"/>
    </row>
    <row r="58" spans="1:16" s="133" customFormat="1" ht="14.9" customHeight="1" thickBot="1">
      <c r="A58" s="285"/>
      <c r="B58" s="286"/>
      <c r="C58" s="9" t="s">
        <v>929</v>
      </c>
      <c r="D58" s="287"/>
      <c r="E58" s="287"/>
      <c r="F58" s="287"/>
      <c r="G58" s="308">
        <f>CHOOSE(SC_Global,I58,J58,K58,L58,M58)</f>
        <v>0</v>
      </c>
      <c r="H58" s="287"/>
      <c r="I58" s="307">
        <v>0</v>
      </c>
      <c r="J58" s="307">
        <v>-0.2</v>
      </c>
      <c r="K58" s="307">
        <v>-0.2</v>
      </c>
      <c r="L58" s="307">
        <v>-0.2</v>
      </c>
      <c r="M58" s="307">
        <v>-0.2</v>
      </c>
      <c r="N58" s="288"/>
      <c r="O58" s="284"/>
      <c r="P58" s="284"/>
    </row>
    <row r="59" spans="1:16" s="133" customFormat="1" ht="14.9" customHeight="1">
      <c r="A59" s="285"/>
      <c r="B59" s="289"/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1"/>
      <c r="O59" s="284"/>
      <c r="P59" s="284"/>
    </row>
    <row r="60" spans="1:16" ht="14.9" customHeight="1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9"/>
      <c r="P60" s="119"/>
    </row>
    <row r="61" spans="1:16" ht="24.65" customHeight="1">
      <c r="A61" s="117"/>
      <c r="B61" s="120"/>
      <c r="C61" s="121" t="s">
        <v>874</v>
      </c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2"/>
      <c r="O61" s="119"/>
      <c r="P61" s="119"/>
    </row>
    <row r="62" spans="1:16" ht="14.9" customHeight="1">
      <c r="A62" s="117"/>
      <c r="B62" s="129"/>
      <c r="C62" s="125"/>
      <c r="D62" s="125"/>
      <c r="E62" s="125"/>
      <c r="F62" s="88"/>
      <c r="G62" s="125"/>
      <c r="H62" s="125"/>
      <c r="I62" s="125"/>
      <c r="J62" s="125"/>
      <c r="K62" s="125"/>
      <c r="L62" s="125"/>
      <c r="M62" s="125"/>
      <c r="N62" s="124"/>
      <c r="O62" s="119"/>
      <c r="P62" s="119"/>
    </row>
    <row r="63" spans="1:16" ht="14.9" customHeight="1">
      <c r="A63" s="117"/>
      <c r="B63" s="129"/>
      <c r="C63" s="295" t="s">
        <v>894</v>
      </c>
      <c r="D63" s="295"/>
      <c r="E63" s="295"/>
      <c r="F63" s="295"/>
      <c r="G63" s="295"/>
      <c r="H63" s="295"/>
      <c r="I63" s="295"/>
      <c r="J63" s="295"/>
      <c r="K63" s="295"/>
      <c r="L63" s="295"/>
      <c r="M63" s="295"/>
      <c r="N63" s="124"/>
      <c r="O63" s="119"/>
      <c r="P63" s="119"/>
    </row>
    <row r="64" spans="1:16" s="141" customFormat="1" ht="14.9" customHeight="1" thickBot="1">
      <c r="A64" s="283"/>
      <c r="B64" s="298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299"/>
      <c r="O64" s="300"/>
      <c r="P64" s="300"/>
    </row>
    <row r="65" spans="1:16" s="93" customFormat="1" ht="14.9" customHeight="1" thickBot="1">
      <c r="A65" s="117"/>
      <c r="B65" s="123"/>
      <c r="C65" s="9" t="str">
        <f>"[1] " &amp; C30</f>
        <v>[1] Объект размещения (отель)</v>
      </c>
      <c r="D65" s="88"/>
      <c r="E65" s="88"/>
      <c r="F65" s="88"/>
      <c r="G65" s="297">
        <f ca="1" xml:space="preserve"> Расчеты!I212</f>
        <v>4780624.7071368461</v>
      </c>
      <c r="H65" s="68"/>
      <c r="I65" s="303">
        <v>6681588.5315792728</v>
      </c>
      <c r="J65" s="303">
        <v>0</v>
      </c>
      <c r="K65" s="303">
        <v>0</v>
      </c>
      <c r="L65" s="303">
        <v>0</v>
      </c>
      <c r="M65" s="303">
        <v>0</v>
      </c>
      <c r="N65" s="301"/>
      <c r="O65" s="302"/>
      <c r="P65" s="302"/>
    </row>
    <row r="66" spans="1:16" s="93" customFormat="1" ht="14.9" customHeight="1" thickBot="1">
      <c r="A66" s="117"/>
      <c r="B66" s="123"/>
      <c r="C66" s="9" t="str">
        <f>"[2] " &amp; C31</f>
        <v>[2] Развлекательный комплекс</v>
      </c>
      <c r="D66" s="88"/>
      <c r="E66" s="88"/>
      <c r="F66" s="88"/>
      <c r="G66" s="297">
        <f ca="1" xml:space="preserve"> Расчеты!I235</f>
        <v>0</v>
      </c>
      <c r="H66" s="88"/>
      <c r="I66" s="303">
        <v>194198.13715150568</v>
      </c>
      <c r="J66" s="303">
        <v>0</v>
      </c>
      <c r="K66" s="303">
        <v>0</v>
      </c>
      <c r="L66" s="303">
        <v>0</v>
      </c>
      <c r="M66" s="303">
        <v>0</v>
      </c>
      <c r="N66" s="301"/>
      <c r="O66" s="302"/>
      <c r="P66" s="302"/>
    </row>
    <row r="67" spans="1:16" s="93" customFormat="1" ht="14.9" customHeight="1" thickBot="1">
      <c r="A67" s="117"/>
      <c r="B67" s="123"/>
      <c r="C67" s="9" t="str">
        <f>"[3] " &amp; C32</f>
        <v>[3] Крытый парк развлечений</v>
      </c>
      <c r="D67" s="88"/>
      <c r="E67" s="88"/>
      <c r="F67" s="88"/>
      <c r="G67" s="297">
        <f ca="1" xml:space="preserve"> Расчеты!I258</f>
        <v>0</v>
      </c>
      <c r="H67" s="88"/>
      <c r="I67" s="303">
        <v>0</v>
      </c>
      <c r="J67" s="303">
        <v>0</v>
      </c>
      <c r="K67" s="303">
        <v>0</v>
      </c>
      <c r="L67" s="303">
        <v>0</v>
      </c>
      <c r="M67" s="303">
        <v>0</v>
      </c>
      <c r="N67" s="301"/>
      <c r="O67" s="302"/>
      <c r="P67" s="302"/>
    </row>
    <row r="68" spans="1:16" s="93" customFormat="1" ht="14.9" customHeight="1" thickBot="1">
      <c r="A68" s="117"/>
      <c r="B68" s="123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301"/>
      <c r="O68" s="302"/>
      <c r="P68" s="302"/>
    </row>
    <row r="69" spans="1:16" s="93" customFormat="1" ht="14.9" customHeight="1" thickBot="1">
      <c r="A69" s="117"/>
      <c r="B69" s="123"/>
      <c r="C69" s="9" t="s">
        <v>875</v>
      </c>
      <c r="D69" s="88"/>
      <c r="E69" s="88"/>
      <c r="F69" s="88"/>
      <c r="G69" s="297">
        <f ca="1" xml:space="preserve"> Расчеты!I163</f>
        <v>27774.797642991573</v>
      </c>
      <c r="H69" s="88"/>
      <c r="I69" s="303">
        <v>26527.307824473515</v>
      </c>
      <c r="J69" s="303">
        <v>0</v>
      </c>
      <c r="K69" s="303">
        <v>0</v>
      </c>
      <c r="L69" s="303">
        <v>0</v>
      </c>
      <c r="M69" s="303">
        <v>0</v>
      </c>
      <c r="N69" s="301"/>
      <c r="O69" s="302"/>
      <c r="P69" s="302"/>
    </row>
    <row r="70" spans="1:16" s="93" customFormat="1" ht="14.9" customHeight="1" thickBot="1">
      <c r="A70" s="117"/>
      <c r="B70" s="123"/>
      <c r="C70" s="9" t="s">
        <v>876</v>
      </c>
      <c r="D70" s="88"/>
      <c r="E70" s="88"/>
      <c r="F70" s="88"/>
      <c r="G70" s="297">
        <f ca="1">Расчеты!I170</f>
        <v>0</v>
      </c>
      <c r="H70" s="88"/>
      <c r="I70" s="303">
        <v>0</v>
      </c>
      <c r="J70" s="303">
        <v>0</v>
      </c>
      <c r="K70" s="303">
        <v>0</v>
      </c>
      <c r="L70" s="303">
        <v>0</v>
      </c>
      <c r="M70" s="303">
        <v>0</v>
      </c>
      <c r="N70" s="301"/>
      <c r="O70" s="302"/>
      <c r="P70" s="302"/>
    </row>
    <row r="71" spans="1:16" s="93" customFormat="1" ht="14.9" customHeight="1" thickBot="1">
      <c r="A71" s="117"/>
      <c r="B71" s="123"/>
      <c r="C71" s="9" t="s">
        <v>877</v>
      </c>
      <c r="D71" s="88"/>
      <c r="E71" s="88"/>
      <c r="F71" s="88"/>
      <c r="G71" s="297">
        <f ca="1">Расчеты!I177</f>
        <v>0</v>
      </c>
      <c r="H71" s="88"/>
      <c r="I71" s="303">
        <v>0</v>
      </c>
      <c r="J71" s="303">
        <v>0</v>
      </c>
      <c r="K71" s="303">
        <v>91734.195390778914</v>
      </c>
      <c r="L71" s="303">
        <v>91734.195390778914</v>
      </c>
      <c r="M71" s="303">
        <v>91734.195390778914</v>
      </c>
      <c r="N71" s="301"/>
      <c r="O71" s="302"/>
      <c r="P71" s="302"/>
    </row>
    <row r="72" spans="1:16" s="93" customFormat="1" ht="14.9" customHeight="1" thickBot="1">
      <c r="A72" s="117"/>
      <c r="B72" s="123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301"/>
      <c r="O72" s="302"/>
      <c r="P72" s="302"/>
    </row>
    <row r="73" spans="1:16" s="93" customFormat="1" ht="14.9" customHeight="1" thickBot="1">
      <c r="A73" s="117"/>
      <c r="B73" s="123"/>
      <c r="C73" s="304" t="s">
        <v>880</v>
      </c>
      <c r="D73" s="88"/>
      <c r="E73" s="88"/>
      <c r="F73" s="88"/>
      <c r="G73" s="313">
        <f ca="1">SUM(G65:G67,G69:G71)</f>
        <v>4808399.504779838</v>
      </c>
      <c r="H73" s="88"/>
      <c r="I73" s="315">
        <v>6902313.9765552524</v>
      </c>
      <c r="J73" s="315">
        <v>0</v>
      </c>
      <c r="K73" s="315">
        <v>91734.195390778914</v>
      </c>
      <c r="L73" s="315">
        <v>91734.195390778914</v>
      </c>
      <c r="M73" s="315">
        <v>91734.195390778914</v>
      </c>
      <c r="N73" s="301"/>
      <c r="O73" s="302"/>
      <c r="P73" s="302"/>
    </row>
    <row r="74" spans="1:16" s="93" customFormat="1" ht="14.9" customHeight="1">
      <c r="A74" s="117"/>
      <c r="B74" s="123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301"/>
      <c r="O74" s="302"/>
      <c r="P74" s="302"/>
    </row>
    <row r="75" spans="1:16" ht="14.9" customHeight="1">
      <c r="A75" s="117"/>
      <c r="B75" s="129"/>
      <c r="C75" s="295" t="s">
        <v>895</v>
      </c>
      <c r="D75" s="295"/>
      <c r="E75" s="295"/>
      <c r="F75" s="295"/>
      <c r="G75" s="295"/>
      <c r="H75" s="295"/>
      <c r="I75" s="295"/>
      <c r="J75" s="295"/>
      <c r="K75" s="295"/>
      <c r="L75" s="295"/>
      <c r="M75" s="295"/>
      <c r="N75" s="124"/>
      <c r="O75" s="119"/>
      <c r="P75" s="119"/>
    </row>
    <row r="76" spans="1:16" s="93" customFormat="1" ht="14.9" customHeight="1" thickBot="1">
      <c r="A76" s="117"/>
      <c r="B76" s="123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301"/>
      <c r="O76" s="302"/>
      <c r="P76" s="302"/>
    </row>
    <row r="77" spans="1:16" s="93" customFormat="1" ht="14.9" customHeight="1" thickBot="1">
      <c r="A77" s="117"/>
      <c r="B77" s="123"/>
      <c r="C77" s="9" t="str">
        <f>C65</f>
        <v>[1] Объект размещения (отель)</v>
      </c>
      <c r="D77" s="88"/>
      <c r="E77" s="88"/>
      <c r="F77" s="88"/>
      <c r="G77" s="297">
        <f ca="1" xml:space="preserve"> Расчеты!I707</f>
        <v>54850086.519837193</v>
      </c>
      <c r="H77" s="88"/>
      <c r="I77" s="303">
        <v>110202923.72622789</v>
      </c>
      <c r="J77" s="303">
        <v>0</v>
      </c>
      <c r="K77" s="303">
        <v>0</v>
      </c>
      <c r="L77" s="303">
        <v>0</v>
      </c>
      <c r="M77" s="303">
        <v>0</v>
      </c>
      <c r="N77" s="301"/>
      <c r="O77" s="302"/>
      <c r="P77" s="302"/>
    </row>
    <row r="78" spans="1:16" s="93" customFormat="1" ht="14.9" customHeight="1" thickBot="1">
      <c r="A78" s="117"/>
      <c r="B78" s="123"/>
      <c r="C78" s="9" t="str">
        <f t="shared" ref="C78:C79" si="3">C66</f>
        <v>[2] Развлекательный комплекс</v>
      </c>
      <c r="D78" s="88"/>
      <c r="E78" s="88"/>
      <c r="F78" s="88"/>
      <c r="G78" s="297">
        <f ca="1" xml:space="preserve"> Расчеты!I746</f>
        <v>0</v>
      </c>
      <c r="H78" s="88"/>
      <c r="I78" s="303">
        <v>0</v>
      </c>
      <c r="J78" s="303">
        <v>0</v>
      </c>
      <c r="K78" s="303">
        <v>0</v>
      </c>
      <c r="L78" s="303">
        <v>0</v>
      </c>
      <c r="M78" s="303">
        <v>0</v>
      </c>
      <c r="N78" s="301"/>
      <c r="O78" s="302"/>
      <c r="P78" s="302"/>
    </row>
    <row r="79" spans="1:16" s="93" customFormat="1" ht="14.9" customHeight="1" thickBot="1">
      <c r="A79" s="117"/>
      <c r="B79" s="123"/>
      <c r="C79" s="9" t="str">
        <f t="shared" si="3"/>
        <v>[3] Крытый парк развлечений</v>
      </c>
      <c r="D79" s="88"/>
      <c r="E79" s="88"/>
      <c r="F79" s="88"/>
      <c r="G79" s="297">
        <f ca="1" xml:space="preserve"> Расчеты!I757</f>
        <v>0</v>
      </c>
      <c r="H79" s="88"/>
      <c r="I79" s="303">
        <v>0</v>
      </c>
      <c r="J79" s="303">
        <v>0</v>
      </c>
      <c r="K79" s="303">
        <v>0</v>
      </c>
      <c r="L79" s="303">
        <v>0</v>
      </c>
      <c r="M79" s="303">
        <v>0</v>
      </c>
      <c r="N79" s="301"/>
      <c r="O79" s="302"/>
      <c r="P79" s="302"/>
    </row>
    <row r="80" spans="1:16" s="93" customFormat="1" ht="14.9" customHeight="1" thickBot="1">
      <c r="A80" s="117"/>
      <c r="B80" s="123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301"/>
      <c r="O80" s="302"/>
      <c r="P80" s="302"/>
    </row>
    <row r="81" spans="1:16" s="93" customFormat="1" ht="14.9" customHeight="1" thickBot="1">
      <c r="A81" s="117"/>
      <c r="B81" s="123"/>
      <c r="C81" s="304" t="s">
        <v>896</v>
      </c>
      <c r="D81" s="88"/>
      <c r="E81" s="88"/>
      <c r="F81" s="88"/>
      <c r="G81" s="313">
        <f ca="1">SUM(G77:G79)</f>
        <v>54850086.519837193</v>
      </c>
      <c r="H81" s="88"/>
      <c r="I81" s="315">
        <v>110202923.72622789</v>
      </c>
      <c r="J81" s="315">
        <v>0</v>
      </c>
      <c r="K81" s="315">
        <v>0</v>
      </c>
      <c r="L81" s="315">
        <v>0</v>
      </c>
      <c r="M81" s="315">
        <v>0</v>
      </c>
      <c r="N81" s="301"/>
      <c r="O81" s="302"/>
      <c r="P81" s="302"/>
    </row>
    <row r="82" spans="1:16" s="93" customFormat="1" ht="14.9" customHeight="1">
      <c r="A82" s="117"/>
      <c r="B82" s="123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301"/>
      <c r="O82" s="302"/>
      <c r="P82" s="302"/>
    </row>
    <row r="83" spans="1:16" ht="14.9" customHeight="1">
      <c r="A83" s="117"/>
      <c r="B83" s="129"/>
      <c r="C83" s="295" t="s">
        <v>930</v>
      </c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124"/>
      <c r="O83" s="119"/>
      <c r="P83" s="119"/>
    </row>
    <row r="84" spans="1:16" s="93" customFormat="1" ht="14.9" customHeight="1" thickBot="1">
      <c r="A84" s="117"/>
      <c r="B84" s="123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301"/>
      <c r="O84" s="302"/>
      <c r="P84" s="302"/>
    </row>
    <row r="85" spans="1:16" s="93" customFormat="1" ht="14.9" customHeight="1" thickBot="1">
      <c r="A85" s="117"/>
      <c r="B85" s="123"/>
      <c r="C85" s="9" t="str">
        <f>C77</f>
        <v>[1] Объект размещения (отель)</v>
      </c>
      <c r="D85" s="88"/>
      <c r="E85" s="88"/>
      <c r="F85" s="88"/>
      <c r="G85" s="297">
        <f ca="1" xml:space="preserve"> Расчеты!I903</f>
        <v>38527145.039903209</v>
      </c>
      <c r="H85" s="68"/>
      <c r="I85" s="303">
        <v>76914999.077746242</v>
      </c>
      <c r="J85" s="303">
        <v>0</v>
      </c>
      <c r="K85" s="303">
        <v>0</v>
      </c>
      <c r="L85" s="303">
        <v>0</v>
      </c>
      <c r="M85" s="303">
        <v>0</v>
      </c>
      <c r="N85" s="301"/>
      <c r="O85" s="302"/>
      <c r="P85" s="302"/>
    </row>
    <row r="86" spans="1:16" s="93" customFormat="1" ht="14.9" customHeight="1" thickBot="1">
      <c r="A86" s="117"/>
      <c r="B86" s="123"/>
      <c r="C86" s="9" t="str">
        <f t="shared" ref="C86:C87" si="4">C78</f>
        <v>[2] Развлекательный комплекс</v>
      </c>
      <c r="D86" s="88"/>
      <c r="E86" s="88"/>
      <c r="F86" s="88"/>
      <c r="G86" s="297">
        <f ca="1" xml:space="preserve"> Расчеты!I956</f>
        <v>0</v>
      </c>
      <c r="H86" s="88"/>
      <c r="I86" s="303">
        <v>0</v>
      </c>
      <c r="J86" s="303">
        <v>0</v>
      </c>
      <c r="K86" s="303">
        <v>0</v>
      </c>
      <c r="L86" s="303">
        <v>0</v>
      </c>
      <c r="M86" s="303">
        <v>0</v>
      </c>
      <c r="N86" s="301"/>
      <c r="O86" s="302"/>
      <c r="P86" s="302"/>
    </row>
    <row r="87" spans="1:16" s="93" customFormat="1" ht="14.9" customHeight="1" thickBot="1">
      <c r="A87" s="117"/>
      <c r="B87" s="123"/>
      <c r="C87" s="9" t="str">
        <f t="shared" si="4"/>
        <v>[3] Крытый парк развлечений</v>
      </c>
      <c r="D87" s="88"/>
      <c r="E87" s="88"/>
      <c r="F87" s="88"/>
      <c r="G87" s="297">
        <f ca="1" xml:space="preserve"> Расчеты!I968</f>
        <v>0</v>
      </c>
      <c r="H87" s="88"/>
      <c r="I87" s="303">
        <v>0</v>
      </c>
      <c r="J87" s="303">
        <v>0</v>
      </c>
      <c r="K87" s="303">
        <v>0</v>
      </c>
      <c r="L87" s="303">
        <v>0</v>
      </c>
      <c r="M87" s="303">
        <v>0</v>
      </c>
      <c r="N87" s="301"/>
      <c r="O87" s="302"/>
      <c r="P87" s="302"/>
    </row>
    <row r="88" spans="1:16" s="93" customFormat="1" ht="14.9" customHeight="1" thickBot="1">
      <c r="A88" s="117"/>
      <c r="B88" s="123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301"/>
      <c r="O88" s="302"/>
      <c r="P88" s="302"/>
    </row>
    <row r="89" spans="1:16" s="93" customFormat="1" ht="14.9" customHeight="1" thickBot="1">
      <c r="A89" s="117"/>
      <c r="B89" s="123"/>
      <c r="C89" s="9" t="str">
        <f>C69</f>
        <v>[•] Транспортная инфраструктура</v>
      </c>
      <c r="D89" s="88"/>
      <c r="E89" s="88"/>
      <c r="F89" s="88"/>
      <c r="G89" s="297">
        <f ca="1">Расчеты!I793</f>
        <v>20234.399718852401</v>
      </c>
      <c r="H89" s="88"/>
      <c r="I89" s="303">
        <v>19643.223396722438</v>
      </c>
      <c r="J89" s="303">
        <v>0</v>
      </c>
      <c r="K89" s="303">
        <v>0</v>
      </c>
      <c r="L89" s="303">
        <v>0</v>
      </c>
      <c r="M89" s="303">
        <v>0</v>
      </c>
      <c r="N89" s="301"/>
      <c r="O89" s="302"/>
      <c r="P89" s="302"/>
    </row>
    <row r="90" spans="1:16" s="93" customFormat="1" ht="14.9" customHeight="1" thickBot="1">
      <c r="A90" s="117"/>
      <c r="B90" s="123"/>
      <c r="C90" s="9" t="str">
        <f t="shared" ref="C90:C91" si="5">C70</f>
        <v>[•] Коммунальная инфраструктура</v>
      </c>
      <c r="D90" s="88"/>
      <c r="E90" s="88"/>
      <c r="F90" s="88"/>
      <c r="G90" s="297">
        <f ca="1">Расчеты!I794</f>
        <v>0</v>
      </c>
      <c r="H90" s="88"/>
      <c r="I90" s="303">
        <v>0</v>
      </c>
      <c r="J90" s="303">
        <v>0</v>
      </c>
      <c r="K90" s="303">
        <v>0</v>
      </c>
      <c r="L90" s="303">
        <v>0</v>
      </c>
      <c r="M90" s="303">
        <v>0</v>
      </c>
      <c r="N90" s="301"/>
      <c r="O90" s="302"/>
      <c r="P90" s="302"/>
    </row>
    <row r="91" spans="1:16" s="93" customFormat="1" ht="14.9" customHeight="1" thickBot="1">
      <c r="A91" s="117"/>
      <c r="B91" s="123"/>
      <c r="C91" s="9" t="str">
        <f t="shared" si="5"/>
        <v>[•] Прочая обеспечивающая инфраструктура</v>
      </c>
      <c r="D91" s="88"/>
      <c r="E91" s="88"/>
      <c r="F91" s="88"/>
      <c r="G91" s="297">
        <f ca="1">Расчеты!I795</f>
        <v>0</v>
      </c>
      <c r="H91" s="88"/>
      <c r="I91" s="303">
        <v>0</v>
      </c>
      <c r="J91" s="303">
        <v>0</v>
      </c>
      <c r="K91" s="303">
        <v>0</v>
      </c>
      <c r="L91" s="303">
        <v>0</v>
      </c>
      <c r="M91" s="303">
        <v>0</v>
      </c>
      <c r="N91" s="301"/>
      <c r="O91" s="302"/>
      <c r="P91" s="302"/>
    </row>
    <row r="92" spans="1:16" s="93" customFormat="1" ht="14.9" customHeight="1" thickBot="1">
      <c r="A92" s="117"/>
      <c r="B92" s="123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301"/>
      <c r="O92" s="302"/>
      <c r="P92" s="302"/>
    </row>
    <row r="93" spans="1:16" s="93" customFormat="1" ht="14.9" customHeight="1" thickBot="1">
      <c r="A93" s="117"/>
      <c r="B93" s="123"/>
      <c r="C93" s="304" t="s">
        <v>931</v>
      </c>
      <c r="D93" s="88"/>
      <c r="E93" s="88"/>
      <c r="F93" s="88"/>
      <c r="G93" s="313">
        <f ca="1">SUM(G85:G87,G89:G91)</f>
        <v>38547379.439622059</v>
      </c>
      <c r="H93" s="88"/>
      <c r="I93" s="315">
        <v>76934642.301142961</v>
      </c>
      <c r="J93" s="315">
        <v>0</v>
      </c>
      <c r="K93" s="315">
        <v>0</v>
      </c>
      <c r="L93" s="315">
        <v>0</v>
      </c>
      <c r="M93" s="315">
        <v>0</v>
      </c>
      <c r="N93" s="301"/>
      <c r="O93" s="302"/>
      <c r="P93" s="302"/>
    </row>
    <row r="94" spans="1:16" s="93" customFormat="1" ht="14.9" customHeight="1">
      <c r="A94" s="117"/>
      <c r="B94" s="123"/>
      <c r="C94" s="304"/>
      <c r="D94" s="88"/>
      <c r="E94" s="88"/>
      <c r="F94" s="88"/>
      <c r="G94" s="88"/>
      <c r="H94" s="88"/>
      <c r="I94" s="338"/>
      <c r="J94" s="338"/>
      <c r="K94" s="338"/>
      <c r="L94" s="338"/>
      <c r="M94" s="338"/>
      <c r="N94" s="301"/>
      <c r="O94" s="302"/>
      <c r="P94" s="302"/>
    </row>
    <row r="95" spans="1:16" s="93" customFormat="1" ht="14.9" customHeight="1">
      <c r="A95" s="117"/>
      <c r="B95" s="123"/>
      <c r="C95" s="295" t="s">
        <v>781</v>
      </c>
      <c r="D95" s="295"/>
      <c r="E95" s="295"/>
      <c r="F95" s="295"/>
      <c r="G95" s="295"/>
      <c r="H95" s="295"/>
      <c r="I95" s="295"/>
      <c r="J95" s="295"/>
      <c r="K95" s="295"/>
      <c r="L95" s="295"/>
      <c r="M95" s="295"/>
      <c r="N95" s="301"/>
      <c r="O95" s="302"/>
      <c r="P95" s="302"/>
    </row>
    <row r="96" spans="1:16" s="93" customFormat="1" ht="14.9" customHeight="1">
      <c r="A96" s="117"/>
      <c r="B96" s="123"/>
      <c r="C96" s="304"/>
      <c r="D96" s="88"/>
      <c r="E96" s="88"/>
      <c r="F96" s="88"/>
      <c r="G96" s="88"/>
      <c r="H96" s="88"/>
      <c r="I96" s="338"/>
      <c r="J96" s="338"/>
      <c r="K96" s="338"/>
      <c r="L96" s="338"/>
      <c r="M96" s="338"/>
      <c r="N96" s="301"/>
      <c r="O96" s="302"/>
      <c r="P96" s="302"/>
    </row>
    <row r="97" spans="1:16" s="93" customFormat="1" ht="14.9" customHeight="1" thickBot="1">
      <c r="A97" s="117"/>
      <c r="B97" s="123"/>
      <c r="C97" s="340" t="s">
        <v>584</v>
      </c>
      <c r="D97" s="10"/>
      <c r="E97" s="10"/>
      <c r="F97" s="9"/>
      <c r="G97" s="88"/>
      <c r="H97" s="88"/>
      <c r="I97" s="338"/>
      <c r="J97" s="338"/>
      <c r="K97" s="338"/>
      <c r="L97" s="338"/>
      <c r="M97" s="338"/>
      <c r="N97" s="301"/>
      <c r="O97" s="302"/>
      <c r="P97" s="302"/>
    </row>
    <row r="98" spans="1:16" s="93" customFormat="1" ht="14.9" customHeight="1" thickBot="1">
      <c r="A98" s="117"/>
      <c r="B98" s="123"/>
      <c r="C98" s="341" t="str">
        <f xml:space="preserve"> "Чистая приведенная стоимость (NPV)"</f>
        <v>Чистая приведенная стоимость (NPV)</v>
      </c>
      <c r="D98" s="342"/>
      <c r="E98" s="342"/>
      <c r="F98" s="343" t="s">
        <v>292</v>
      </c>
      <c r="G98" s="344">
        <f ca="1">NPV / 1000</f>
        <v>1640.7429843818063</v>
      </c>
      <c r="H98" s="345"/>
      <c r="I98" s="346">
        <v>9010.2756228661019</v>
      </c>
      <c r="J98" s="346">
        <v>-150</v>
      </c>
      <c r="K98" s="346">
        <v>-168.43677456383301</v>
      </c>
      <c r="L98" s="346">
        <v>-168.43677456383301</v>
      </c>
      <c r="M98" s="346">
        <v>-168.43677456383301</v>
      </c>
      <c r="N98" s="301"/>
      <c r="O98" s="302"/>
      <c r="P98" s="302"/>
    </row>
    <row r="99" spans="1:16" s="93" customFormat="1" ht="14.9" customHeight="1" thickBot="1">
      <c r="A99" s="117"/>
      <c r="B99" s="123"/>
      <c r="C99" s="17" t="s">
        <v>293</v>
      </c>
      <c r="D99" s="10"/>
      <c r="E99" s="10"/>
      <c r="F99" s="142" t="s">
        <v>28</v>
      </c>
      <c r="G99" s="214">
        <f ca="1" xml:space="preserve"> IRR</f>
        <v>0.14218453612103432</v>
      </c>
      <c r="H99" s="88"/>
      <c r="I99" s="339">
        <v>0.21976387694085542</v>
      </c>
      <c r="J99" s="339">
        <v>0</v>
      </c>
      <c r="K99" s="339">
        <v>0</v>
      </c>
      <c r="L99" s="339">
        <v>0</v>
      </c>
      <c r="M99" s="339">
        <v>0</v>
      </c>
      <c r="N99" s="301"/>
      <c r="O99" s="302"/>
      <c r="P99" s="302"/>
    </row>
    <row r="100" spans="1:16" s="93" customFormat="1" ht="14.9" customHeight="1" thickBot="1">
      <c r="A100" s="117"/>
      <c r="B100" s="123"/>
      <c r="C100" s="17" t="s">
        <v>220</v>
      </c>
      <c r="D100" s="10"/>
      <c r="E100" s="10"/>
      <c r="F100" s="142" t="s">
        <v>123</v>
      </c>
      <c r="G100" s="215">
        <f ca="1">PBP</f>
        <v>9.2607760538892272</v>
      </c>
      <c r="H100" s="88"/>
      <c r="I100" s="303">
        <v>6.4575650728067853</v>
      </c>
      <c r="J100" s="303" t="s">
        <v>983</v>
      </c>
      <c r="K100" s="303" t="s">
        <v>983</v>
      </c>
      <c r="L100" s="303" t="s">
        <v>983</v>
      </c>
      <c r="M100" s="303" t="s">
        <v>983</v>
      </c>
      <c r="N100" s="301"/>
      <c r="O100" s="302"/>
      <c r="P100" s="302"/>
    </row>
    <row r="101" spans="1:16" s="93" customFormat="1" ht="14.9" customHeight="1" thickBot="1">
      <c r="A101" s="117"/>
      <c r="B101" s="123"/>
      <c r="C101" s="17" t="s">
        <v>225</v>
      </c>
      <c r="D101" s="10"/>
      <c r="E101" s="10"/>
      <c r="F101" s="142" t="s">
        <v>123</v>
      </c>
      <c r="G101" s="215">
        <f ca="1" xml:space="preserve"> Расчеты!E1416</f>
        <v>12.877355115697521</v>
      </c>
      <c r="H101" s="88"/>
      <c r="I101" s="303">
        <v>7.561298209520066</v>
      </c>
      <c r="J101" s="303" t="s">
        <v>983</v>
      </c>
      <c r="K101" s="303" t="s">
        <v>983</v>
      </c>
      <c r="L101" s="303" t="s">
        <v>983</v>
      </c>
      <c r="M101" s="303" t="s">
        <v>983</v>
      </c>
      <c r="N101" s="301"/>
      <c r="O101" s="302"/>
      <c r="P101" s="302"/>
    </row>
    <row r="102" spans="1:16" s="93" customFormat="1" ht="14.9" customHeight="1">
      <c r="A102" s="117"/>
      <c r="B102" s="123"/>
      <c r="C102" s="17"/>
      <c r="D102" s="10"/>
      <c r="E102" s="10"/>
      <c r="F102" s="142"/>
      <c r="G102" s="212"/>
      <c r="H102" s="88"/>
      <c r="I102" s="338"/>
      <c r="J102" s="338"/>
      <c r="K102" s="338"/>
      <c r="L102" s="338"/>
      <c r="M102" s="338"/>
      <c r="N102" s="301"/>
      <c r="O102" s="302"/>
      <c r="P102" s="302"/>
    </row>
    <row r="103" spans="1:16" s="93" customFormat="1" ht="14.9" customHeight="1" thickBot="1">
      <c r="A103" s="117"/>
      <c r="B103" s="123"/>
      <c r="C103" s="340" t="s">
        <v>585</v>
      </c>
      <c r="D103" s="10"/>
      <c r="E103" s="10"/>
      <c r="F103" s="210"/>
      <c r="G103" s="210"/>
      <c r="H103" s="88"/>
      <c r="I103" s="338"/>
      <c r="J103" s="338"/>
      <c r="K103" s="338"/>
      <c r="L103" s="338"/>
      <c r="M103" s="338"/>
      <c r="N103" s="301"/>
      <c r="O103" s="302"/>
      <c r="P103" s="302"/>
    </row>
    <row r="104" spans="1:16" s="93" customFormat="1" ht="14.9" customHeight="1" thickBot="1">
      <c r="A104" s="117"/>
      <c r="B104" s="123"/>
      <c r="C104" s="341" t="str">
        <f xml:space="preserve"> "Чистая приведенная стоимость (NPV Equity)"</f>
        <v>Чистая приведенная стоимость (NPV Equity)</v>
      </c>
      <c r="D104" s="342"/>
      <c r="E104" s="342"/>
      <c r="F104" s="343" t="s">
        <v>292</v>
      </c>
      <c r="G104" s="344">
        <f ca="1" xml:space="preserve"> NPV_Equity / 1000</f>
        <v>21.437651870644174</v>
      </c>
      <c r="H104" s="345"/>
      <c r="I104" s="346">
        <v>2971.2047119656381</v>
      </c>
      <c r="J104" s="346" t="e">
        <v>#DIV/0!</v>
      </c>
      <c r="K104" s="346" t="e">
        <v>#DIV/0!</v>
      </c>
      <c r="L104" s="346" t="e">
        <v>#DIV/0!</v>
      </c>
      <c r="M104" s="346" t="e">
        <v>#DIV/0!</v>
      </c>
      <c r="N104" s="301"/>
      <c r="O104" s="302"/>
      <c r="P104" s="302"/>
    </row>
    <row r="105" spans="1:16" s="93" customFormat="1" ht="14.9" customHeight="1" thickBot="1">
      <c r="A105" s="117"/>
      <c r="B105" s="123"/>
      <c r="C105" s="17" t="s">
        <v>586</v>
      </c>
      <c r="D105" s="10"/>
      <c r="E105" s="10"/>
      <c r="F105" s="142" t="s">
        <v>28</v>
      </c>
      <c r="G105" s="214">
        <f ca="1" xml:space="preserve"> IRR_Equity</f>
        <v>0.2191525565137169</v>
      </c>
      <c r="H105" s="88"/>
      <c r="I105" s="339">
        <v>0.39994119250210503</v>
      </c>
      <c r="J105" s="339">
        <v>0</v>
      </c>
      <c r="K105" s="339">
        <v>0</v>
      </c>
      <c r="L105" s="339">
        <v>0</v>
      </c>
      <c r="M105" s="339">
        <v>0</v>
      </c>
      <c r="N105" s="301"/>
      <c r="O105" s="302"/>
      <c r="P105" s="302"/>
    </row>
    <row r="106" spans="1:16" s="93" customFormat="1" ht="14.9" customHeight="1" thickBot="1">
      <c r="A106" s="117"/>
      <c r="B106" s="123"/>
      <c r="C106" s="17" t="s">
        <v>587</v>
      </c>
      <c r="D106" s="10"/>
      <c r="E106" s="10"/>
      <c r="F106" s="142" t="s">
        <v>123</v>
      </c>
      <c r="G106" s="215">
        <f ca="1" xml:space="preserve"> PBP_Equity</f>
        <v>7.6912559799116611</v>
      </c>
      <c r="H106" s="88"/>
      <c r="I106" s="303">
        <v>4.5926964003852673</v>
      </c>
      <c r="J106" s="303" t="s">
        <v>983</v>
      </c>
      <c r="K106" s="303" t="s">
        <v>983</v>
      </c>
      <c r="L106" s="303" t="s">
        <v>983</v>
      </c>
      <c r="M106" s="303" t="s">
        <v>983</v>
      </c>
      <c r="N106" s="301"/>
      <c r="O106" s="302"/>
      <c r="P106" s="302"/>
    </row>
    <row r="107" spans="1:16" s="93" customFormat="1" ht="14.9" customHeight="1" thickBot="1">
      <c r="A107" s="117"/>
      <c r="B107" s="123"/>
      <c r="C107" s="17" t="s">
        <v>588</v>
      </c>
      <c r="D107" s="10"/>
      <c r="E107" s="10"/>
      <c r="F107" s="142" t="s">
        <v>123</v>
      </c>
      <c r="G107" s="215">
        <f ca="1" xml:space="preserve"> Расчеты!E1454</f>
        <v>19.948175321021857</v>
      </c>
      <c r="H107" s="88"/>
      <c r="I107" s="303">
        <v>5.4953687968605864</v>
      </c>
      <c r="J107" s="303" t="s">
        <v>983</v>
      </c>
      <c r="K107" s="303" t="s">
        <v>983</v>
      </c>
      <c r="L107" s="303" t="s">
        <v>983</v>
      </c>
      <c r="M107" s="303" t="s">
        <v>983</v>
      </c>
      <c r="N107" s="301"/>
      <c r="O107" s="302"/>
      <c r="P107" s="302"/>
    </row>
    <row r="108" spans="1:16" ht="14.9" customHeight="1">
      <c r="A108" s="117"/>
      <c r="B108" s="126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N108" s="128"/>
      <c r="O108" s="119"/>
      <c r="P108" s="119"/>
    </row>
    <row r="109" spans="1:16" ht="14.9" customHeight="1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9"/>
      <c r="P109" s="119"/>
    </row>
    <row r="110" spans="1:16" ht="24.65" customHeight="1">
      <c r="A110" s="117"/>
      <c r="B110" s="120"/>
      <c r="C110" s="121" t="s">
        <v>811</v>
      </c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2"/>
      <c r="O110" s="119"/>
      <c r="P110" s="119"/>
    </row>
    <row r="111" spans="1:16" ht="14.9" customHeight="1">
      <c r="A111" s="117"/>
      <c r="B111" s="129"/>
      <c r="C111" s="125"/>
      <c r="D111" s="125"/>
      <c r="E111" s="125"/>
      <c r="F111" s="88"/>
      <c r="G111" s="125"/>
      <c r="H111" s="125"/>
      <c r="I111" s="125"/>
      <c r="J111" s="125"/>
      <c r="K111" s="125"/>
      <c r="L111" s="125"/>
      <c r="M111" s="125"/>
      <c r="N111" s="124"/>
      <c r="O111" s="119"/>
      <c r="P111" s="119"/>
    </row>
    <row r="112" spans="1:16" ht="14.9" customHeight="1">
      <c r="A112" s="117"/>
      <c r="B112" s="129"/>
      <c r="C112" s="67" t="s">
        <v>574</v>
      </c>
      <c r="D112" s="125"/>
      <c r="E112" s="125"/>
      <c r="F112" s="88"/>
      <c r="G112" s="125"/>
      <c r="H112" s="125"/>
      <c r="I112" s="125"/>
      <c r="J112" s="125"/>
      <c r="K112" s="125"/>
      <c r="L112" s="125"/>
      <c r="M112" s="125"/>
      <c r="N112" s="124"/>
      <c r="O112" s="119"/>
      <c r="P112" s="119"/>
    </row>
    <row r="113" spans="1:16" ht="14.9" customHeight="1">
      <c r="A113" s="117"/>
      <c r="B113" s="129"/>
      <c r="C113" s="125"/>
      <c r="D113" s="125"/>
      <c r="E113" s="125"/>
      <c r="F113" s="88"/>
      <c r="G113" s="125"/>
      <c r="H113" s="125"/>
      <c r="I113" s="125"/>
      <c r="J113" s="125"/>
      <c r="K113" s="125"/>
      <c r="L113" s="125"/>
      <c r="M113" s="125"/>
      <c r="N113" s="124"/>
      <c r="O113" s="119"/>
      <c r="P113" s="119"/>
    </row>
    <row r="114" spans="1:16" ht="14.9" customHeight="1">
      <c r="A114" s="117"/>
      <c r="B114" s="129"/>
      <c r="C114" s="67" t="s">
        <v>771</v>
      </c>
      <c r="D114" s="10"/>
      <c r="E114" s="10"/>
      <c r="F114" s="9"/>
      <c r="G114" s="209"/>
      <c r="H114" s="210"/>
      <c r="I114" s="210"/>
      <c r="J114" s="210"/>
      <c r="K114" s="125"/>
      <c r="L114" s="125"/>
      <c r="M114" s="125"/>
      <c r="N114" s="124"/>
      <c r="O114" s="119"/>
      <c r="P114" s="119"/>
    </row>
    <row r="115" spans="1:16" ht="14.9" customHeight="1">
      <c r="A115" s="117"/>
      <c r="B115" s="129"/>
      <c r="C115" s="17" t="s">
        <v>1522</v>
      </c>
      <c r="D115" s="153"/>
      <c r="F115" s="217" t="s">
        <v>309</v>
      </c>
      <c r="G115" s="217"/>
      <c r="H115" s="217"/>
      <c r="I115" s="245"/>
      <c r="J115" s="463">
        <v>0.8</v>
      </c>
      <c r="K115" s="125"/>
      <c r="L115" s="125"/>
      <c r="M115" s="125"/>
      <c r="N115" s="124"/>
      <c r="O115" s="119"/>
      <c r="P115" s="119"/>
    </row>
    <row r="116" spans="1:16" ht="14.9" customHeight="1">
      <c r="A116" s="117"/>
      <c r="B116" s="129"/>
      <c r="C116" s="17" t="s">
        <v>770</v>
      </c>
      <c r="D116" s="10"/>
      <c r="E116" s="10"/>
      <c r="F116" s="217"/>
      <c r="G116" s="217"/>
      <c r="H116" s="217"/>
      <c r="I116" s="245"/>
      <c r="J116" s="246">
        <f xml:space="preserve"> 1 - J115</f>
        <v>0.19999999999999996</v>
      </c>
      <c r="K116" s="125"/>
      <c r="L116" s="125"/>
      <c r="M116" s="125"/>
      <c r="N116" s="124"/>
      <c r="O116" s="119"/>
      <c r="P116" s="119"/>
    </row>
    <row r="117" spans="1:16" ht="14.9" customHeight="1">
      <c r="A117" s="117"/>
      <c r="B117" s="129"/>
      <c r="C117" s="17"/>
      <c r="D117" s="10"/>
      <c r="E117" s="10"/>
      <c r="F117" s="9"/>
      <c r="G117" s="211"/>
      <c r="H117" s="142"/>
      <c r="I117" s="245"/>
      <c r="J117" s="245"/>
      <c r="K117" s="125"/>
      <c r="L117" s="125"/>
      <c r="M117" s="125"/>
      <c r="N117" s="124"/>
      <c r="O117" s="119"/>
      <c r="P117" s="119"/>
    </row>
    <row r="118" spans="1:16" ht="14.9" customHeight="1">
      <c r="A118" s="117"/>
      <c r="B118" s="129"/>
      <c r="C118" s="67" t="s">
        <v>177</v>
      </c>
      <c r="D118" s="10"/>
      <c r="E118" s="10"/>
      <c r="F118" s="9"/>
      <c r="G118" s="211"/>
      <c r="H118" s="142"/>
      <c r="I118" s="245"/>
      <c r="J118" s="245"/>
      <c r="K118" s="125"/>
      <c r="L118" s="125"/>
      <c r="M118" s="125"/>
      <c r="N118" s="124"/>
      <c r="O118" s="119"/>
      <c r="P118" s="119"/>
    </row>
    <row r="119" spans="1:16" ht="14.9" customHeight="1">
      <c r="A119" s="117"/>
      <c r="B119" s="129"/>
      <c r="C119" s="21" t="s">
        <v>106</v>
      </c>
      <c r="D119" s="10"/>
      <c r="E119" s="10"/>
      <c r="F119" s="217" t="s">
        <v>772</v>
      </c>
      <c r="G119" s="47"/>
      <c r="H119" s="142"/>
      <c r="I119" s="245"/>
      <c r="J119" s="463">
        <v>1</v>
      </c>
      <c r="K119" s="125"/>
      <c r="L119" s="125"/>
      <c r="M119" s="125"/>
      <c r="N119" s="124"/>
      <c r="O119" s="119"/>
      <c r="P119" s="119"/>
    </row>
    <row r="120" spans="1:16" ht="14.9" customHeight="1">
      <c r="A120" s="117"/>
      <c r="B120" s="129"/>
      <c r="C120" s="21" t="s">
        <v>1516</v>
      </c>
      <c r="D120" s="10"/>
      <c r="E120" s="10"/>
      <c r="F120" s="217" t="s">
        <v>773</v>
      </c>
      <c r="G120" s="211"/>
      <c r="H120" s="209"/>
      <c r="I120" s="245"/>
      <c r="J120" s="246">
        <f xml:space="preserve"> 1 - J119</f>
        <v>0</v>
      </c>
      <c r="K120" s="125"/>
      <c r="L120" s="125"/>
      <c r="M120" s="125"/>
      <c r="N120" s="124"/>
      <c r="O120" s="119"/>
      <c r="P120" s="119"/>
    </row>
    <row r="121" spans="1:16" ht="14.9" customHeight="1">
      <c r="A121" s="117"/>
      <c r="B121" s="129"/>
      <c r="C121" s="21"/>
      <c r="D121" s="10"/>
      <c r="E121" s="10"/>
      <c r="F121" s="217"/>
      <c r="G121" s="211"/>
      <c r="H121" s="209"/>
      <c r="I121" s="245"/>
      <c r="J121" s="246"/>
      <c r="K121" s="125"/>
      <c r="L121" s="125"/>
      <c r="M121" s="125"/>
      <c r="N121" s="124"/>
      <c r="O121" s="119"/>
      <c r="P121" s="119"/>
    </row>
    <row r="122" spans="1:16" ht="14.9" customHeight="1">
      <c r="A122" s="117"/>
      <c r="B122" s="129"/>
      <c r="C122" s="21"/>
      <c r="D122" s="10"/>
      <c r="E122" s="10"/>
      <c r="F122" s="153" t="s">
        <v>599</v>
      </c>
      <c r="G122" s="3"/>
      <c r="H122" s="3"/>
      <c r="I122" s="244" t="s">
        <v>1517</v>
      </c>
      <c r="J122" s="463">
        <v>0.05</v>
      </c>
      <c r="K122" s="125"/>
      <c r="L122" s="125"/>
      <c r="M122" s="125"/>
      <c r="N122" s="124"/>
      <c r="O122" s="119"/>
      <c r="P122" s="119"/>
    </row>
    <row r="123" spans="1:16" ht="14.9" customHeight="1">
      <c r="A123" s="117"/>
      <c r="B123" s="129"/>
      <c r="C123" s="3"/>
      <c r="D123" s="3"/>
      <c r="E123" s="3"/>
      <c r="F123" s="3"/>
      <c r="G123" s="3"/>
      <c r="H123" s="3"/>
      <c r="I123" s="247"/>
      <c r="J123" s="248"/>
      <c r="K123" s="125"/>
      <c r="L123" s="125"/>
      <c r="M123" s="125"/>
      <c r="N123" s="124"/>
      <c r="O123" s="119"/>
      <c r="P123" s="119"/>
    </row>
    <row r="124" spans="1:16" ht="14.9" customHeight="1">
      <c r="A124" s="117"/>
      <c r="B124" s="129"/>
      <c r="C124" s="67" t="s">
        <v>774</v>
      </c>
      <c r="D124" s="3"/>
      <c r="E124" s="3"/>
      <c r="F124" s="3"/>
      <c r="G124" s="3"/>
      <c r="H124" s="3"/>
      <c r="I124" s="247"/>
      <c r="J124" s="248"/>
      <c r="K124" s="125"/>
      <c r="L124" s="125"/>
      <c r="M124" s="125"/>
      <c r="N124" s="124"/>
      <c r="O124" s="119"/>
      <c r="P124" s="119"/>
    </row>
    <row r="125" spans="1:16" ht="14.9" customHeight="1">
      <c r="A125" s="117"/>
      <c r="B125" s="129"/>
      <c r="C125" s="153" t="s">
        <v>599</v>
      </c>
      <c r="D125" s="3"/>
      <c r="E125" s="3"/>
      <c r="F125" s="244" t="s">
        <v>1236</v>
      </c>
      <c r="G125" s="3"/>
      <c r="H125" s="634" t="s">
        <v>1235</v>
      </c>
      <c r="I125" s="635"/>
      <c r="J125" s="636"/>
      <c r="K125" s="125"/>
      <c r="L125" s="125"/>
      <c r="M125" s="125"/>
      <c r="N125" s="124"/>
      <c r="O125" s="119"/>
      <c r="P125" s="119"/>
    </row>
    <row r="126" spans="1:16" ht="14.9" customHeight="1">
      <c r="A126" s="117"/>
      <c r="B126" s="129"/>
      <c r="C126" s="153" t="s">
        <v>598</v>
      </c>
      <c r="D126" s="3"/>
      <c r="E126" s="3"/>
      <c r="F126" s="244" t="s">
        <v>602</v>
      </c>
      <c r="G126" s="3"/>
      <c r="H126" s="3"/>
      <c r="I126" s="632" t="s">
        <v>517</v>
      </c>
      <c r="J126" s="633"/>
      <c r="K126" s="125"/>
      <c r="L126" s="125"/>
      <c r="M126" s="125"/>
      <c r="N126" s="124"/>
      <c r="O126" s="119"/>
      <c r="P126" s="119"/>
    </row>
    <row r="127" spans="1:16" ht="14.9" customHeight="1">
      <c r="A127" s="117"/>
      <c r="B127" s="129"/>
      <c r="C127" s="153" t="s">
        <v>600</v>
      </c>
      <c r="D127" s="3"/>
      <c r="E127" s="3"/>
      <c r="F127" s="244" t="s">
        <v>549</v>
      </c>
      <c r="G127" s="3"/>
      <c r="H127" s="3"/>
      <c r="I127" s="247"/>
      <c r="J127" s="464">
        <v>0.03</v>
      </c>
      <c r="K127" s="125"/>
      <c r="L127" s="125"/>
      <c r="M127" s="125"/>
      <c r="N127" s="124"/>
      <c r="O127" s="119"/>
      <c r="P127" s="119"/>
    </row>
    <row r="128" spans="1:16" ht="14.9" customHeight="1">
      <c r="A128" s="117"/>
      <c r="B128" s="129"/>
      <c r="C128" s="153" t="s">
        <v>1233</v>
      </c>
      <c r="D128" s="3"/>
      <c r="E128" s="3"/>
      <c r="F128" s="244" t="s">
        <v>1237</v>
      </c>
      <c r="G128" s="3"/>
      <c r="H128" s="3"/>
      <c r="I128" s="247"/>
      <c r="J128" s="464">
        <v>0.3</v>
      </c>
      <c r="K128" s="125"/>
      <c r="L128" s="125"/>
      <c r="M128" s="125"/>
      <c r="N128" s="124"/>
      <c r="O128" s="119"/>
      <c r="P128" s="119"/>
    </row>
    <row r="129" spans="1:16" ht="14.9" customHeight="1">
      <c r="A129" s="117"/>
      <c r="B129" s="129"/>
      <c r="C129" s="153" t="s">
        <v>550</v>
      </c>
      <c r="D129" s="3"/>
      <c r="E129" s="3"/>
      <c r="F129" s="244" t="s">
        <v>601</v>
      </c>
      <c r="G129" s="3"/>
      <c r="H129" s="3"/>
      <c r="I129" s="247"/>
      <c r="J129" s="463"/>
      <c r="K129" s="125"/>
      <c r="L129" s="125"/>
      <c r="M129" s="125"/>
      <c r="N129" s="124"/>
      <c r="O129" s="119"/>
      <c r="P129" s="119"/>
    </row>
    <row r="130" spans="1:16" ht="14.9" customHeight="1">
      <c r="A130" s="117"/>
      <c r="B130" s="126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8"/>
      <c r="O130" s="119"/>
      <c r="P130" s="119"/>
    </row>
    <row r="131" spans="1:16" ht="14.9" customHeight="1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9"/>
      <c r="P131" s="119"/>
    </row>
    <row r="132" spans="1:16" ht="24.65" customHeight="1">
      <c r="A132" s="117"/>
      <c r="B132" s="120"/>
      <c r="C132" s="121" t="s">
        <v>1167</v>
      </c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2"/>
      <c r="O132" s="119"/>
      <c r="P132" s="119"/>
    </row>
    <row r="133" spans="1:16" ht="14.9" customHeight="1">
      <c r="A133" s="117"/>
      <c r="B133" s="129"/>
      <c r="C133" s="125"/>
      <c r="D133" s="125"/>
      <c r="E133" s="125"/>
      <c r="F133" s="88"/>
      <c r="G133" s="125"/>
      <c r="H133" s="125"/>
      <c r="I133" s="125"/>
      <c r="J133" s="125"/>
      <c r="K133" s="125"/>
      <c r="L133" s="125"/>
      <c r="M133" s="125"/>
      <c r="N133" s="124"/>
      <c r="O133" s="119"/>
      <c r="P133" s="119"/>
    </row>
    <row r="134" spans="1:16" ht="14.9" customHeight="1">
      <c r="A134" s="117"/>
      <c r="B134" s="129"/>
      <c r="C134" s="431" t="s">
        <v>1151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  <c r="N134" s="124"/>
      <c r="O134" s="119"/>
      <c r="P134" s="119"/>
    </row>
    <row r="135" spans="1:16" s="141" customFormat="1" ht="6" customHeight="1">
      <c r="A135" s="283"/>
      <c r="B135" s="29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299"/>
      <c r="O135" s="300"/>
      <c r="P135" s="300"/>
    </row>
    <row r="136" spans="1:16" s="141" customFormat="1" ht="14.9" customHeight="1" thickBot="1">
      <c r="A136" s="283"/>
      <c r="B136" s="298"/>
      <c r="C136" s="428"/>
      <c r="D136" s="428"/>
      <c r="E136" s="428"/>
      <c r="F136" s="429" t="s">
        <v>1169</v>
      </c>
      <c r="G136" s="429" t="s">
        <v>20</v>
      </c>
      <c r="H136" s="430">
        <f>YEAR(Date_Model_Start)</f>
        <v>2025</v>
      </c>
      <c r="I136" s="430">
        <f>H136+1</f>
        <v>2026</v>
      </c>
      <c r="J136" s="430">
        <f>I136+1</f>
        <v>2027</v>
      </c>
      <c r="K136" s="430">
        <f t="shared" ref="K136:M136" si="6">J136+1</f>
        <v>2028</v>
      </c>
      <c r="L136" s="430">
        <f t="shared" si="6"/>
        <v>2029</v>
      </c>
      <c r="M136" s="430">
        <f t="shared" si="6"/>
        <v>2030</v>
      </c>
      <c r="N136" s="299"/>
      <c r="O136" s="300"/>
      <c r="P136" s="300"/>
    </row>
    <row r="137" spans="1:16" s="93" customFormat="1" ht="14.9" customHeight="1" thickBot="1">
      <c r="A137" s="117"/>
      <c r="B137" s="123"/>
      <c r="C137" s="425" t="str">
        <f>Финансирование!C13</f>
        <v>Взносы в уставной капитал</v>
      </c>
      <c r="D137" s="426"/>
      <c r="E137" s="426"/>
      <c r="F137" s="427" t="s">
        <v>1168</v>
      </c>
      <c r="G137" s="433">
        <f>SUM(H137:M137)</f>
        <v>1409395.9556499999</v>
      </c>
      <c r="H137" s="424">
        <f>SUMIF(Финансирование!$L$6:$CO$6,H$136,Финансирование!$L13:$CO13)</f>
        <v>128324.85692200001</v>
      </c>
      <c r="I137" s="424">
        <f>SUMIF(Финансирование!$L$6:$CO$6,I$136,Финансирование!$L13:$CO13)</f>
        <v>1026430.015967</v>
      </c>
      <c r="J137" s="424">
        <f>SUMIF(Финансирование!$L$6:$CO$6,J$136,Финансирование!$L13:$CO13)</f>
        <v>49672.380042999997</v>
      </c>
      <c r="K137" s="424">
        <f>SUMIF(Финансирование!$L$6:$CO$6,K$136,Финансирование!$L13:$CO13)</f>
        <v>146877.965138</v>
      </c>
      <c r="L137" s="424">
        <f>SUMIF(Финансирование!$L$6:$CO$6,L$136,Финансирование!$L13:$CO13)</f>
        <v>58090.737580000001</v>
      </c>
      <c r="M137" s="424">
        <f>SUMIF(Финансирование!$L$6:$CO$6,M$136,Финансирование!$L13:$CO13)</f>
        <v>0</v>
      </c>
      <c r="N137" s="301"/>
      <c r="O137" s="302"/>
      <c r="P137" s="302"/>
    </row>
    <row r="138" spans="1:16" s="93" customFormat="1" ht="14.9" customHeight="1" thickBot="1">
      <c r="A138" s="117"/>
      <c r="B138" s="123"/>
      <c r="C138" s="17" t="str">
        <f>Финансирование!C14</f>
        <v>Денежные взносы инвестора</v>
      </c>
      <c r="D138" s="88"/>
      <c r="E138" s="88"/>
      <c r="F138" s="142" t="s">
        <v>1168</v>
      </c>
      <c r="G138" s="434">
        <f t="shared" ref="G138:G152" si="7">SUM(H138:M138)</f>
        <v>1409395.9556499999</v>
      </c>
      <c r="H138" s="423">
        <f>SUMIF(Финансирование!$L$6:$CO$6,H$136,Финансирование!$L14:$CO14)</f>
        <v>128324.85692200001</v>
      </c>
      <c r="I138" s="423">
        <f>SUMIF(Финансирование!$L$6:$CO$6,I$136,Финансирование!$L14:$CO14)</f>
        <v>1026430.015967</v>
      </c>
      <c r="J138" s="423">
        <f>SUMIF(Финансирование!$L$6:$CO$6,J$136,Финансирование!$L14:$CO14)</f>
        <v>49672.380042999997</v>
      </c>
      <c r="K138" s="423">
        <f>SUMIF(Финансирование!$L$6:$CO$6,K$136,Финансирование!$L14:$CO14)</f>
        <v>146877.965138</v>
      </c>
      <c r="L138" s="423">
        <f>SUMIF(Финансирование!$L$6:$CO$6,L$136,Финансирование!$L14:$CO14)</f>
        <v>58090.737580000001</v>
      </c>
      <c r="M138" s="423">
        <f>SUMIF(Финансирование!$L$6:$CO$6,M$136,Финансирование!$L14:$CO14)</f>
        <v>0</v>
      </c>
      <c r="N138" s="301"/>
      <c r="O138" s="302"/>
      <c r="P138" s="302"/>
    </row>
    <row r="139" spans="1:16" s="93" customFormat="1" ht="14.9" customHeight="1" thickBot="1">
      <c r="A139" s="117"/>
      <c r="B139" s="123"/>
      <c r="C139" s="17" t="str">
        <f>Финансирование!C15</f>
        <v>Имущественные взносы инвестора</v>
      </c>
      <c r="D139" s="88"/>
      <c r="E139" s="88"/>
      <c r="F139" s="142" t="s">
        <v>1168</v>
      </c>
      <c r="G139" s="435">
        <f t="shared" si="7"/>
        <v>0</v>
      </c>
      <c r="H139" s="303">
        <f>SUMIF(Финансирование!$L$6:$CO$6,H$136,Финансирование!$L15:$CO15)</f>
        <v>0</v>
      </c>
      <c r="I139" s="303">
        <f>SUMIF(Финансирование!$L$6:$CO$6,I$136,Финансирование!$L15:$CO15)</f>
        <v>0</v>
      </c>
      <c r="J139" s="303">
        <f>SUMIF(Финансирование!$L$6:$CO$6,J$136,Финансирование!$L15:$CO15)</f>
        <v>0</v>
      </c>
      <c r="K139" s="303">
        <f>SUMIF(Финансирование!$L$6:$CO$6,K$136,Финансирование!$L15:$CO15)</f>
        <v>0</v>
      </c>
      <c r="L139" s="303">
        <f>SUMIF(Финансирование!$L$6:$CO$6,L$136,Финансирование!$L15:$CO15)</f>
        <v>0</v>
      </c>
      <c r="M139" s="303">
        <f>SUMIF(Финансирование!$L$6:$CO$6,M$136,Финансирование!$L15:$CO15)</f>
        <v>0</v>
      </c>
      <c r="N139" s="301"/>
      <c r="O139" s="302"/>
      <c r="P139" s="302"/>
    </row>
    <row r="140" spans="1:16" s="93" customFormat="1" ht="14.9" customHeight="1" thickBot="1">
      <c r="A140" s="117"/>
      <c r="B140" s="123"/>
      <c r="C140" s="17">
        <f>Финансирование!C16</f>
        <v>0</v>
      </c>
      <c r="D140" s="88"/>
      <c r="E140" s="88"/>
      <c r="F140" s="142" t="s">
        <v>1168</v>
      </c>
      <c r="G140" s="435">
        <f t="shared" si="7"/>
        <v>0</v>
      </c>
      <c r="H140" s="303">
        <f>SUMIF(Финансирование!$L$6:$CO$6,H$136,Финансирование!$L16:$CO16)</f>
        <v>0</v>
      </c>
      <c r="I140" s="303">
        <f>SUMIF(Финансирование!$L$6:$CO$6,I$136,Финансирование!$L16:$CO16)</f>
        <v>0</v>
      </c>
      <c r="J140" s="303">
        <f>SUMIF(Финансирование!$L$6:$CO$6,J$136,Финансирование!$L16:$CO16)</f>
        <v>0</v>
      </c>
      <c r="K140" s="303">
        <f>SUMIF(Финансирование!$L$6:$CO$6,K$136,Финансирование!$L16:$CO16)</f>
        <v>0</v>
      </c>
      <c r="L140" s="303">
        <f>SUMIF(Финансирование!$L$6:$CO$6,L$136,Финансирование!$L16:$CO16)</f>
        <v>0</v>
      </c>
      <c r="M140" s="303">
        <f>SUMIF(Финансирование!$L$6:$CO$6,M$136,Финансирование!$L16:$CO16)</f>
        <v>0</v>
      </c>
      <c r="N140" s="301"/>
      <c r="O140" s="302"/>
      <c r="P140" s="302"/>
    </row>
    <row r="141" spans="1:16" ht="6" customHeight="1" thickBot="1">
      <c r="A141" s="117"/>
      <c r="B141" s="129"/>
      <c r="C141" s="3"/>
      <c r="D141" s="3"/>
      <c r="E141" s="3"/>
      <c r="F141" s="3"/>
      <c r="G141" s="436"/>
      <c r="H141" s="3"/>
      <c r="I141" s="247"/>
      <c r="J141" s="248"/>
      <c r="K141" s="125"/>
      <c r="L141" s="125"/>
      <c r="M141" s="125"/>
      <c r="N141" s="124"/>
      <c r="O141" s="119"/>
      <c r="P141" s="119"/>
    </row>
    <row r="142" spans="1:16" s="93" customFormat="1" ht="14.9" customHeight="1" thickBot="1">
      <c r="A142" s="117"/>
      <c r="B142" s="123"/>
      <c r="C142" s="425" t="str">
        <f>Финансирование!C17</f>
        <v>Заемные средства</v>
      </c>
      <c r="D142" s="426"/>
      <c r="E142" s="426"/>
      <c r="F142" s="427" t="s">
        <v>1168</v>
      </c>
      <c r="G142" s="433">
        <f t="shared" ca="1" si="7"/>
        <v>4616063.5245886445</v>
      </c>
      <c r="H142" s="424">
        <f ca="1">SUMIF(Финансирование!$L$6:$CO$6,H$136,Финансирование!$L17:$CO17)</f>
        <v>0</v>
      </c>
      <c r="I142" s="424">
        <f ca="1">SUMIF(Финансирование!$L$6:$CO$6,I$136,Финансирование!$L17:$CO17)</f>
        <v>93075.219462963287</v>
      </c>
      <c r="J142" s="424">
        <f ca="1">SUMIF(Финансирование!$L$6:$CO$6,J$136,Финансирование!$L17:$CO17)</f>
        <v>1163516.8934354337</v>
      </c>
      <c r="K142" s="424">
        <f ca="1">SUMIF(Финансирование!$L$6:$CO$6,K$136,Финансирование!$L17:$CO17)</f>
        <v>2527095.1653777319</v>
      </c>
      <c r="L142" s="424">
        <f ca="1">SUMIF(Финансирование!$L$6:$CO$6,L$136,Финансирование!$L17:$CO17)</f>
        <v>832376.24631251558</v>
      </c>
      <c r="M142" s="424">
        <f ca="1">SUMIF(Финансирование!$L$6:$CO$6,M$136,Финансирование!$L17:$CO17)</f>
        <v>0</v>
      </c>
      <c r="N142" s="301"/>
      <c r="O142" s="302"/>
      <c r="P142" s="302"/>
    </row>
    <row r="143" spans="1:16" s="93" customFormat="1" ht="14.9" customHeight="1" thickBot="1">
      <c r="A143" s="117"/>
      <c r="B143" s="123"/>
      <c r="C143" s="17" t="str">
        <f>Финансирование!C18</f>
        <v>Банковский кредит</v>
      </c>
      <c r="D143" s="88"/>
      <c r="E143" s="88"/>
      <c r="F143" s="142" t="s">
        <v>1168</v>
      </c>
      <c r="G143" s="435">
        <f t="shared" si="7"/>
        <v>4616063.5245886445</v>
      </c>
      <c r="H143" s="303">
        <f>SUMIF(Финансирование!$L$6:$CO$6,H$136,Финансирование!$L18:$CO18)</f>
        <v>0</v>
      </c>
      <c r="I143" s="303">
        <f>SUMIF(Финансирование!$L$6:$CO$6,I$136,Финансирование!$L18:$CO18)</f>
        <v>93075.219462963287</v>
      </c>
      <c r="J143" s="303">
        <f>SUMIF(Финансирование!$L$6:$CO$6,J$136,Финансирование!$L18:$CO18)</f>
        <v>1163516.8934354337</v>
      </c>
      <c r="K143" s="303">
        <f>SUMIF(Финансирование!$L$6:$CO$6,K$136,Финансирование!$L18:$CO18)</f>
        <v>2527095.1653777319</v>
      </c>
      <c r="L143" s="303">
        <f>SUMIF(Финансирование!$L$6:$CO$6,L$136,Финансирование!$L18:$CO18)</f>
        <v>832376.24631251558</v>
      </c>
      <c r="M143" s="303">
        <f>SUMIF(Финансирование!$L$6:$CO$6,M$136,Финансирование!$L18:$CO18)</f>
        <v>0</v>
      </c>
      <c r="N143" s="301"/>
      <c r="O143" s="302"/>
      <c r="P143" s="302"/>
    </row>
    <row r="144" spans="1:16" s="93" customFormat="1" ht="14.9" customHeight="1" thickBot="1">
      <c r="A144" s="117"/>
      <c r="B144" s="123"/>
      <c r="C144" s="17" t="str">
        <f>Финансирование!C19</f>
        <v>Акционерный займ\Коммерческий кредит</v>
      </c>
      <c r="D144" s="88"/>
      <c r="E144" s="88"/>
      <c r="F144" s="142" t="s">
        <v>1168</v>
      </c>
      <c r="G144" s="435">
        <f t="shared" ca="1" si="7"/>
        <v>0</v>
      </c>
      <c r="H144" s="303">
        <f ca="1">SUMIF(Финансирование!$L$6:$CO$6,H$136,Финансирование!$L19:$CO19)</f>
        <v>0</v>
      </c>
      <c r="I144" s="303">
        <f ca="1">SUMIF(Финансирование!$L$6:$CO$6,I$136,Финансирование!$L19:$CO19)</f>
        <v>0</v>
      </c>
      <c r="J144" s="303">
        <f ca="1">SUMIF(Финансирование!$L$6:$CO$6,J$136,Финансирование!$L19:$CO19)</f>
        <v>0</v>
      </c>
      <c r="K144" s="303">
        <f ca="1">SUMIF(Финансирование!$L$6:$CO$6,K$136,Финансирование!$L19:$CO19)</f>
        <v>0</v>
      </c>
      <c r="L144" s="303">
        <f ca="1">SUMIF(Финансирование!$L$6:$CO$6,L$136,Финансирование!$L19:$CO19)</f>
        <v>0</v>
      </c>
      <c r="M144" s="303">
        <f ca="1">SUMIF(Финансирование!$L$6:$CO$6,M$136,Финансирование!$L19:$CO19)</f>
        <v>0</v>
      </c>
      <c r="N144" s="301"/>
      <c r="O144" s="302"/>
      <c r="P144" s="302"/>
    </row>
    <row r="145" spans="1:16" ht="6" customHeight="1" thickBot="1">
      <c r="A145" s="117"/>
      <c r="B145" s="129"/>
      <c r="C145" s="3"/>
      <c r="D145" s="3"/>
      <c r="E145" s="3"/>
      <c r="F145" s="3"/>
      <c r="G145" s="436"/>
      <c r="H145" s="3"/>
      <c r="I145" s="247"/>
      <c r="J145" s="248"/>
      <c r="K145" s="125"/>
      <c r="L145" s="125"/>
      <c r="M145" s="125"/>
      <c r="N145" s="124"/>
      <c r="O145" s="119"/>
      <c r="P145" s="119"/>
    </row>
    <row r="146" spans="1:16" s="93" customFormat="1" ht="14.9" customHeight="1" thickBot="1">
      <c r="A146" s="117"/>
      <c r="B146" s="123"/>
      <c r="C146" s="425" t="str">
        <f>Финансирование!C20</f>
        <v>Прочие источники</v>
      </c>
      <c r="D146" s="426"/>
      <c r="E146" s="426"/>
      <c r="F146" s="427" t="s">
        <v>1168</v>
      </c>
      <c r="G146" s="433">
        <f t="shared" ca="1" si="7"/>
        <v>0</v>
      </c>
      <c r="H146" s="424">
        <f ca="1">SUMIF(Финансирование!$L$6:$CO$6,H$136,Финансирование!$L20:$CO20)</f>
        <v>0</v>
      </c>
      <c r="I146" s="424">
        <f ca="1">SUMIF(Финансирование!$L$6:$CO$6,I$136,Финансирование!$L20:$CO20)</f>
        <v>0</v>
      </c>
      <c r="J146" s="424">
        <f ca="1">SUMIF(Финансирование!$L$6:$CO$6,J$136,Финансирование!$L20:$CO20)</f>
        <v>0</v>
      </c>
      <c r="K146" s="424">
        <f ca="1">SUMIF(Финансирование!$L$6:$CO$6,K$136,Финансирование!$L20:$CO20)</f>
        <v>0</v>
      </c>
      <c r="L146" s="424">
        <f ca="1">SUMIF(Финансирование!$L$6:$CO$6,L$136,Финансирование!$L20:$CO20)</f>
        <v>0</v>
      </c>
      <c r="M146" s="424">
        <f ca="1">SUMIF(Финансирование!$L$6:$CO$6,M$136,Финансирование!$L20:$CO20)</f>
        <v>0</v>
      </c>
      <c r="N146" s="301"/>
      <c r="O146" s="302"/>
      <c r="P146" s="302"/>
    </row>
    <row r="147" spans="1:16" s="93" customFormat="1" ht="14.9" customHeight="1" thickBot="1">
      <c r="A147" s="117"/>
      <c r="B147" s="123"/>
      <c r="C147" s="17" t="str">
        <f>Финансирование!C21</f>
        <v>Возмещение НДС</v>
      </c>
      <c r="D147" s="88"/>
      <c r="E147" s="88"/>
      <c r="F147" s="142" t="s">
        <v>1168</v>
      </c>
      <c r="G147" s="435">
        <f t="shared" ca="1" si="7"/>
        <v>0</v>
      </c>
      <c r="H147" s="303">
        <f ca="1">SUMIF(Финансирование!$L$6:$CO$6,H$136,Финансирование!$L21:$CO21)</f>
        <v>0</v>
      </c>
      <c r="I147" s="303">
        <f ca="1">SUMIF(Финансирование!$L$6:$CO$6,I$136,Финансирование!$L21:$CO21)</f>
        <v>0</v>
      </c>
      <c r="J147" s="303">
        <f ca="1">SUMIF(Финансирование!$L$6:$CO$6,J$136,Финансирование!$L21:$CO21)</f>
        <v>0</v>
      </c>
      <c r="K147" s="303">
        <f ca="1">SUMIF(Финансирование!$L$6:$CO$6,K$136,Финансирование!$L21:$CO21)</f>
        <v>0</v>
      </c>
      <c r="L147" s="303">
        <f ca="1">SUMIF(Финансирование!$L$6:$CO$6,L$136,Финансирование!$L21:$CO21)</f>
        <v>0</v>
      </c>
      <c r="M147" s="303">
        <f ca="1">SUMIF(Финансирование!$L$6:$CO$6,M$136,Финансирование!$L21:$CO21)</f>
        <v>0</v>
      </c>
      <c r="N147" s="301"/>
      <c r="O147" s="302"/>
      <c r="P147" s="302"/>
    </row>
    <row r="148" spans="1:16" s="93" customFormat="1" ht="14.9" customHeight="1" thickBot="1">
      <c r="A148" s="117"/>
      <c r="B148" s="123"/>
      <c r="C148" s="17" t="str">
        <f>Финансирование!C22</f>
        <v>Чистая прибыль от операционной деятельности</v>
      </c>
      <c r="D148" s="88"/>
      <c r="E148" s="88"/>
      <c r="F148" s="142" t="s">
        <v>1168</v>
      </c>
      <c r="G148" s="435">
        <f t="shared" ca="1" si="7"/>
        <v>0</v>
      </c>
      <c r="H148" s="303">
        <f ca="1">SUMIF(Финансирование!$L$6:$CO$6,H$136,Финансирование!$L22:$CO22)</f>
        <v>0</v>
      </c>
      <c r="I148" s="303">
        <f ca="1">SUMIF(Финансирование!$L$6:$CO$6,I$136,Финансирование!$L22:$CO22)</f>
        <v>0</v>
      </c>
      <c r="J148" s="303">
        <f ca="1">SUMIF(Финансирование!$L$6:$CO$6,J$136,Финансирование!$L22:$CO22)</f>
        <v>0</v>
      </c>
      <c r="K148" s="303">
        <f ca="1">SUMIF(Финансирование!$L$6:$CO$6,K$136,Финансирование!$L22:$CO22)</f>
        <v>0</v>
      </c>
      <c r="L148" s="303">
        <f ca="1">SUMIF(Финансирование!$L$6:$CO$6,L$136,Финансирование!$L22:$CO22)</f>
        <v>0</v>
      </c>
      <c r="M148" s="303">
        <f ca="1">SUMIF(Финансирование!$L$6:$CO$6,M$136,Финансирование!$L22:$CO22)</f>
        <v>0</v>
      </c>
      <c r="N148" s="301"/>
      <c r="O148" s="302"/>
      <c r="P148" s="302"/>
    </row>
    <row r="149" spans="1:16" s="93" customFormat="1" ht="14.9" customHeight="1" thickBot="1">
      <c r="A149" s="117"/>
      <c r="B149" s="123"/>
      <c r="C149" s="17" t="str">
        <f>Финансирование!C23</f>
        <v>Прочие поступления</v>
      </c>
      <c r="D149" s="88"/>
      <c r="E149" s="88"/>
      <c r="F149" s="142" t="s">
        <v>1168</v>
      </c>
      <c r="G149" s="435">
        <f t="shared" ca="1" si="7"/>
        <v>0</v>
      </c>
      <c r="H149" s="303">
        <f ca="1">SUMIF(Финансирование!$L$6:$CO$6,H$136,Финансирование!$L23:$CO23)</f>
        <v>0</v>
      </c>
      <c r="I149" s="303">
        <f ca="1">SUMIF(Финансирование!$L$6:$CO$6,I$136,Финансирование!$L23:$CO23)</f>
        <v>0</v>
      </c>
      <c r="J149" s="303">
        <f ca="1">SUMIF(Финансирование!$L$6:$CO$6,J$136,Финансирование!$L23:$CO23)</f>
        <v>0</v>
      </c>
      <c r="K149" s="303">
        <f ca="1">SUMIF(Финансирование!$L$6:$CO$6,K$136,Финансирование!$L23:$CO23)</f>
        <v>0</v>
      </c>
      <c r="L149" s="303">
        <f ca="1">SUMIF(Финансирование!$L$6:$CO$6,L$136,Финансирование!$L23:$CO23)</f>
        <v>0</v>
      </c>
      <c r="M149" s="303">
        <f ca="1">SUMIF(Финансирование!$L$6:$CO$6,M$136,Финансирование!$L23:$CO23)</f>
        <v>0</v>
      </c>
      <c r="N149" s="301"/>
      <c r="O149" s="302"/>
      <c r="P149" s="302"/>
    </row>
    <row r="150" spans="1:16" s="93" customFormat="1" ht="14.9" customHeight="1" thickBot="1">
      <c r="A150" s="117"/>
      <c r="B150" s="123"/>
      <c r="C150" s="17" t="str">
        <f>Финансирование!C24</f>
        <v>Уменьшение денежных средств на счетах</v>
      </c>
      <c r="D150" s="88"/>
      <c r="E150" s="88"/>
      <c r="F150" s="142" t="s">
        <v>1168</v>
      </c>
      <c r="G150" s="435">
        <f t="shared" ca="1" si="7"/>
        <v>0</v>
      </c>
      <c r="H150" s="303">
        <f ca="1">MAX(SUMIF(Финансирование!$L$6:$CO$6,H$136,Финансирование!$L24:$CO24)-SUMIF(Финансирование!$L$6:$CO$6,H$136,Финансирование!$L44:$CO44),0)</f>
        <v>0</v>
      </c>
      <c r="I150" s="303">
        <f ca="1">MAX(SUMIF(Финансирование!$L$6:$CO$6,I$136,Финансирование!$L24:$CO24)-SUMIF(Финансирование!$L$6:$CO$6,I$136,Финансирование!$L44:$CO44),0)</f>
        <v>0</v>
      </c>
      <c r="J150" s="303">
        <f ca="1">MAX(SUMIF(Финансирование!$L$6:$CO$6,J$136,Финансирование!$L24:$CO24)-SUMIF(Финансирование!$L$6:$CO$6,J$136,Финансирование!$L44:$CO44),0)</f>
        <v>0</v>
      </c>
      <c r="K150" s="303">
        <f ca="1">MAX(SUMIF(Финансирование!$L$6:$CO$6,K$136,Финансирование!$L24:$CO24)-SUMIF(Финансирование!$L$6:$CO$6,K$136,Финансирование!$L44:$CO44),0)</f>
        <v>0</v>
      </c>
      <c r="L150" s="303">
        <f ca="1">MAX(SUMIF(Финансирование!$L$6:$CO$6,L$136,Финансирование!$L24:$CO24)-SUMIF(Финансирование!$L$6:$CO$6,L$136,Финансирование!$L44:$CO44),0)</f>
        <v>0</v>
      </c>
      <c r="M150" s="303">
        <f ca="1">MAX(SUMIF(Финансирование!$L$6:$CO$6,M$136,Финансирование!$L24:$CO24)-SUMIF(Финансирование!$L$6:$CO$6,M$136,Финансирование!$L44:$CO44),0)</f>
        <v>0</v>
      </c>
      <c r="N150" s="301"/>
      <c r="O150" s="302"/>
      <c r="P150" s="302"/>
    </row>
    <row r="151" spans="1:16" ht="6" customHeight="1" thickBot="1">
      <c r="A151" s="117"/>
      <c r="B151" s="129"/>
      <c r="C151" s="3"/>
      <c r="D151" s="3"/>
      <c r="E151" s="3"/>
      <c r="F151" s="3"/>
      <c r="G151" s="436"/>
      <c r="H151" s="3"/>
      <c r="I151" s="247"/>
      <c r="J151" s="248"/>
      <c r="K151" s="125"/>
      <c r="L151" s="125"/>
      <c r="M151" s="125"/>
      <c r="N151" s="124"/>
      <c r="O151" s="119"/>
      <c r="P151" s="119"/>
    </row>
    <row r="152" spans="1:16" s="93" customFormat="1" ht="14.9" customHeight="1" thickBot="1">
      <c r="A152" s="117"/>
      <c r="B152" s="123"/>
      <c r="C152" s="432" t="s">
        <v>1171</v>
      </c>
      <c r="D152" s="88"/>
      <c r="E152" s="88"/>
      <c r="F152" s="142" t="s">
        <v>1168</v>
      </c>
      <c r="G152" s="437">
        <f t="shared" ca="1" si="7"/>
        <v>6025459.4802386444</v>
      </c>
      <c r="H152" s="315">
        <f ca="1">SUM(H137,H142,H146)</f>
        <v>128324.85692200001</v>
      </c>
      <c r="I152" s="315">
        <f t="shared" ref="I152:M152" ca="1" si="8">SUM(I137,I142,I146)</f>
        <v>1119505.2354299633</v>
      </c>
      <c r="J152" s="315">
        <f t="shared" ca="1" si="8"/>
        <v>1213189.2734784337</v>
      </c>
      <c r="K152" s="315">
        <f t="shared" ca="1" si="8"/>
        <v>2673973.1305157319</v>
      </c>
      <c r="L152" s="315">
        <f t="shared" ca="1" si="8"/>
        <v>890466.98389251553</v>
      </c>
      <c r="M152" s="315">
        <f t="shared" ca="1" si="8"/>
        <v>0</v>
      </c>
      <c r="N152" s="301"/>
      <c r="O152" s="302"/>
      <c r="P152" s="302"/>
    </row>
    <row r="153" spans="1:16" ht="14.9" customHeight="1">
      <c r="A153" s="117"/>
      <c r="B153" s="129"/>
      <c r="C153" s="3"/>
      <c r="D153" s="3"/>
      <c r="E153" s="3"/>
      <c r="F153" s="3"/>
      <c r="G153" s="3"/>
      <c r="H153" s="3"/>
      <c r="I153" s="247"/>
      <c r="J153" s="248"/>
      <c r="K153" s="125"/>
      <c r="L153" s="125"/>
      <c r="M153" s="125"/>
      <c r="N153" s="124"/>
      <c r="O153" s="119"/>
      <c r="P153" s="119"/>
    </row>
    <row r="154" spans="1:16" ht="14.9" customHeight="1">
      <c r="A154" s="117"/>
      <c r="B154" s="129"/>
      <c r="C154" s="431" t="s">
        <v>1155</v>
      </c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  <c r="N154" s="124"/>
      <c r="O154" s="119"/>
      <c r="P154" s="119"/>
    </row>
    <row r="155" spans="1:16" s="141" customFormat="1" ht="6" customHeight="1">
      <c r="A155" s="283"/>
      <c r="B155" s="298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299"/>
      <c r="O155" s="300"/>
      <c r="P155" s="300"/>
    </row>
    <row r="156" spans="1:16" s="141" customFormat="1" ht="14.9" customHeight="1" thickBot="1">
      <c r="A156" s="283"/>
      <c r="B156" s="298"/>
      <c r="C156" s="428"/>
      <c r="D156" s="428"/>
      <c r="E156" s="428"/>
      <c r="F156" s="429" t="s">
        <v>1169</v>
      </c>
      <c r="G156" s="429" t="s">
        <v>20</v>
      </c>
      <c r="H156" s="430">
        <f>YEAR(Date_Model_Start)</f>
        <v>2025</v>
      </c>
      <c r="I156" s="430">
        <f>H156+1</f>
        <v>2026</v>
      </c>
      <c r="J156" s="430">
        <f>I156+1</f>
        <v>2027</v>
      </c>
      <c r="K156" s="430">
        <f t="shared" ref="K156:M156" si="9">J156+1</f>
        <v>2028</v>
      </c>
      <c r="L156" s="430">
        <f t="shared" si="9"/>
        <v>2029</v>
      </c>
      <c r="M156" s="430">
        <f t="shared" si="9"/>
        <v>2030</v>
      </c>
      <c r="N156" s="299"/>
      <c r="O156" s="300"/>
      <c r="P156" s="300"/>
    </row>
    <row r="157" spans="1:16" s="93" customFormat="1" ht="14.9" customHeight="1" thickBot="1">
      <c r="A157" s="117"/>
      <c r="B157" s="123"/>
      <c r="C157" s="425" t="str">
        <f>Финансирование!C32</f>
        <v>Капитальные затраты</v>
      </c>
      <c r="D157" s="426"/>
      <c r="E157" s="426"/>
      <c r="F157" s="427" t="s">
        <v>1168</v>
      </c>
      <c r="G157" s="433">
        <f ca="1">SUM(H157:M157)</f>
        <v>4808399.504779838</v>
      </c>
      <c r="H157" s="424">
        <f ca="1">SUMIF(Финансирование!$L$6:$CO$6,H$136,Финансирование!$L32:$CO32)</f>
        <v>106937.3807685059</v>
      </c>
      <c r="I157" s="424">
        <f ca="1">SUMIF(Финансирование!$L$6:$CO$6,I$136,Финансирование!$L32:$CO32)</f>
        <v>932305.20307326433</v>
      </c>
      <c r="J157" s="424">
        <f ca="1">SUMIF(Финансирование!$L$6:$CO$6,J$136,Финансирование!$L32:$CO32)</f>
        <v>969597.41119619482</v>
      </c>
      <c r="K157" s="424">
        <f ca="1">SUMIF(Финансирование!$L$6:$CO$6,K$136,Финансирование!$L32:$CO32)</f>
        <v>2105912.6378147765</v>
      </c>
      <c r="L157" s="424">
        <f ca="1">SUMIF(Финансирование!$L$6:$CO$6,L$136,Финансирование!$L32:$CO32)</f>
        <v>693646.87192709628</v>
      </c>
      <c r="M157" s="424">
        <f ca="1">SUMIF(Финансирование!$L$6:$CO$6,M$136,Финансирование!$L32:$CO32)</f>
        <v>0</v>
      </c>
      <c r="N157" s="301"/>
      <c r="O157" s="302"/>
      <c r="P157" s="302"/>
    </row>
    <row r="158" spans="1:16" s="93" customFormat="1" ht="14.9" customHeight="1" thickBot="1">
      <c r="A158" s="117"/>
      <c r="B158" s="123"/>
      <c r="C158" s="17" t="str">
        <f>Финансирование!C33</f>
        <v>Финансирование капитальных затрат, без НДС</v>
      </c>
      <c r="D158" s="88"/>
      <c r="E158" s="88"/>
      <c r="F158" s="142" t="s">
        <v>1168</v>
      </c>
      <c r="G158" s="434">
        <f t="shared" ref="G158:G159" ca="1" si="10">SUM(H158:M158)</f>
        <v>4808399.504779838</v>
      </c>
      <c r="H158" s="423">
        <f ca="1">SUMIF(Финансирование!$L$6:$CO$6,H$136,Финансирование!$L33:$CO33)</f>
        <v>106937.3807685059</v>
      </c>
      <c r="I158" s="423">
        <f ca="1">SUMIF(Финансирование!$L$6:$CO$6,I$136,Финансирование!$L33:$CO33)</f>
        <v>932305.20307326433</v>
      </c>
      <c r="J158" s="423">
        <f ca="1">SUMIF(Финансирование!$L$6:$CO$6,J$136,Финансирование!$L33:$CO33)</f>
        <v>969597.41119619482</v>
      </c>
      <c r="K158" s="423">
        <f ca="1">SUMIF(Финансирование!$L$6:$CO$6,K$136,Финансирование!$L33:$CO33)</f>
        <v>2105912.6378147765</v>
      </c>
      <c r="L158" s="423">
        <f ca="1">SUMIF(Финансирование!$L$6:$CO$6,L$136,Финансирование!$L33:$CO33)</f>
        <v>693646.87192709628</v>
      </c>
      <c r="M158" s="423">
        <f ca="1">SUMIF(Финансирование!$L$6:$CO$6,M$136,Финансирование!$L33:$CO33)</f>
        <v>0</v>
      </c>
      <c r="N158" s="301"/>
      <c r="O158" s="302"/>
      <c r="P158" s="302"/>
    </row>
    <row r="159" spans="1:16" s="93" customFormat="1" ht="14.9" customHeight="1" thickBot="1">
      <c r="A159" s="117"/>
      <c r="B159" s="123"/>
      <c r="C159" s="17" t="str">
        <f>Финансирование!C34</f>
        <v>Внеоборотные активы, внесенные в уставной капитал, без НДС</v>
      </c>
      <c r="D159" s="88"/>
      <c r="E159" s="88"/>
      <c r="F159" s="142" t="s">
        <v>1168</v>
      </c>
      <c r="G159" s="435">
        <f t="shared" si="10"/>
        <v>0</v>
      </c>
      <c r="H159" s="303">
        <f>SUMIF(Финансирование!$L$6:$CO$6,H$136,Финансирование!$L34:$CO34)</f>
        <v>0</v>
      </c>
      <c r="I159" s="303">
        <f>SUMIF(Финансирование!$L$6:$CO$6,I$136,Финансирование!$L34:$CO34)</f>
        <v>0</v>
      </c>
      <c r="J159" s="303">
        <f>SUMIF(Финансирование!$L$6:$CO$6,J$136,Финансирование!$L34:$CO34)</f>
        <v>0</v>
      </c>
      <c r="K159" s="303">
        <f>SUMIF(Финансирование!$L$6:$CO$6,K$136,Финансирование!$L34:$CO34)</f>
        <v>0</v>
      </c>
      <c r="L159" s="303">
        <f>SUMIF(Финансирование!$L$6:$CO$6,L$136,Финансирование!$L34:$CO34)</f>
        <v>0</v>
      </c>
      <c r="M159" s="303">
        <f>SUMIF(Финансирование!$L$6:$CO$6,M$136,Финансирование!$L34:$CO34)</f>
        <v>0</v>
      </c>
      <c r="N159" s="301"/>
      <c r="O159" s="302"/>
      <c r="P159" s="302"/>
    </row>
    <row r="160" spans="1:16" ht="6" customHeight="1" thickBot="1">
      <c r="A160" s="117"/>
      <c r="B160" s="129"/>
      <c r="C160" s="3"/>
      <c r="D160" s="3"/>
      <c r="E160" s="3"/>
      <c r="F160" s="3"/>
      <c r="G160" s="436"/>
      <c r="H160" s="3"/>
      <c r="I160" s="247"/>
      <c r="J160" s="248"/>
      <c r="K160" s="125"/>
      <c r="L160" s="125"/>
      <c r="M160" s="125"/>
      <c r="N160" s="124"/>
      <c r="O160" s="119"/>
      <c r="P160" s="119"/>
    </row>
    <row r="161" spans="1:16" s="93" customFormat="1" ht="14.9" customHeight="1" thickBot="1">
      <c r="A161" s="117"/>
      <c r="B161" s="123"/>
      <c r="C161" s="425" t="str">
        <f>Финансирование!C35</f>
        <v>Обслуживание займов и кредитов</v>
      </c>
      <c r="D161" s="426"/>
      <c r="E161" s="426"/>
      <c r="F161" s="427" t="s">
        <v>1168</v>
      </c>
      <c r="G161" s="433">
        <f t="shared" ref="G161:G163" ca="1" si="11">SUM(H161:M161)</f>
        <v>255380.07450313668</v>
      </c>
      <c r="H161" s="424">
        <f ca="1">SUMIF(Финансирование!$L$6:$CO$6,H$136,Финансирование!$L35:$CO35)</f>
        <v>0</v>
      </c>
      <c r="I161" s="424">
        <f ca="1">SUMIF(Финансирование!$L$6:$CO$6,I$136,Финансирование!$L35:$CO35)</f>
        <v>738.99174247580174</v>
      </c>
      <c r="J161" s="424">
        <f ca="1">SUMIF(Финансирование!$L$6:$CO$6,J$136,Финансирование!$L35:$CO35)</f>
        <v>49672.380042942983</v>
      </c>
      <c r="K161" s="424">
        <f ca="1">SUMIF(Финансирование!$L$6:$CO$6,K$136,Финансирование!$L35:$CO35)</f>
        <v>146877.96513782983</v>
      </c>
      <c r="L161" s="424">
        <f ca="1">SUMIF(Финансирование!$L$6:$CO$6,L$136,Финансирование!$L35:$CO35)</f>
        <v>58090.737579888082</v>
      </c>
      <c r="M161" s="424">
        <f ca="1">SUMIF(Финансирование!$L$6:$CO$6,M$136,Финансирование!$L35:$CO35)</f>
        <v>0</v>
      </c>
      <c r="N161" s="301"/>
      <c r="O161" s="302"/>
      <c r="P161" s="302"/>
    </row>
    <row r="162" spans="1:16" s="93" customFormat="1" ht="14.9" customHeight="1" thickBot="1">
      <c r="A162" s="117"/>
      <c r="B162" s="123"/>
      <c r="C162" s="17" t="str">
        <f>Финансирование!C36</f>
        <v>Проценты по кредитам и займам</v>
      </c>
      <c r="D162" s="88"/>
      <c r="E162" s="88"/>
      <c r="F162" s="142" t="s">
        <v>1168</v>
      </c>
      <c r="G162" s="435">
        <f t="shared" ca="1" si="11"/>
        <v>235253.59987868246</v>
      </c>
      <c r="H162" s="303">
        <f ca="1">SUMIF(Финансирование!$L$6:$CO$6,H$136,Финансирование!$L36:$CO36)</f>
        <v>0</v>
      </c>
      <c r="I162" s="303">
        <f ca="1">SUMIF(Финансирование!$L$6:$CO$6,I$136,Финансирование!$L36:$CO36)</f>
        <v>738.99174247580174</v>
      </c>
      <c r="J162" s="303">
        <f ca="1">SUMIF(Финансирование!$L$6:$CO$6,J$136,Финансирование!$L36:$CO36)</f>
        <v>37409.991364468544</v>
      </c>
      <c r="K162" s="303">
        <f ca="1">SUMIF(Финансирование!$L$6:$CO$6,K$136,Финансирование!$L36:$CO36)</f>
        <v>139629.60956583463</v>
      </c>
      <c r="L162" s="303">
        <f ca="1">SUMIF(Финансирование!$L$6:$CO$6,L$136,Финансирование!$L36:$CO36)</f>
        <v>57475.007205903479</v>
      </c>
      <c r="M162" s="303">
        <f ca="1">SUMIF(Финансирование!$L$6:$CO$6,M$136,Финансирование!$L36:$CO36)</f>
        <v>0</v>
      </c>
      <c r="N162" s="301"/>
      <c r="O162" s="302"/>
      <c r="P162" s="302"/>
    </row>
    <row r="163" spans="1:16" s="93" customFormat="1" ht="14.9" customHeight="1" thickBot="1">
      <c r="A163" s="117"/>
      <c r="B163" s="123"/>
      <c r="C163" s="17" t="str">
        <f>Финансирование!C37</f>
        <v>Прочие платы по кредитам</v>
      </c>
      <c r="D163" s="88"/>
      <c r="E163" s="88"/>
      <c r="F163" s="142" t="s">
        <v>1168</v>
      </c>
      <c r="G163" s="435">
        <f t="shared" si="11"/>
        <v>20126.474624454262</v>
      </c>
      <c r="H163" s="303">
        <f>SUMIF(Финансирование!$L$6:$CO$6,H$136,Финансирование!$L37:$CO37)</f>
        <v>0</v>
      </c>
      <c r="I163" s="303">
        <f>SUMIF(Финансирование!$L$6:$CO$6,I$136,Финансирование!$L37:$CO37)</f>
        <v>0</v>
      </c>
      <c r="J163" s="303">
        <f>SUMIF(Финансирование!$L$6:$CO$6,J$136,Финансирование!$L37:$CO37)</f>
        <v>12262.388678474441</v>
      </c>
      <c r="K163" s="303">
        <f>SUMIF(Финансирование!$L$6:$CO$6,K$136,Финансирование!$L37:$CO37)</f>
        <v>7248.3555719952219</v>
      </c>
      <c r="L163" s="303">
        <f>SUMIF(Финансирование!$L$6:$CO$6,L$136,Финансирование!$L37:$CO37)</f>
        <v>615.73037398460076</v>
      </c>
      <c r="M163" s="303">
        <f>SUMIF(Финансирование!$L$6:$CO$6,M$136,Финансирование!$L37:$CO37)</f>
        <v>0</v>
      </c>
      <c r="N163" s="301"/>
      <c r="O163" s="302"/>
      <c r="P163" s="302"/>
    </row>
    <row r="164" spans="1:16" s="93" customFormat="1" ht="14.9" customHeight="1" thickBot="1">
      <c r="A164" s="117"/>
      <c r="B164" s="123"/>
      <c r="C164" s="17" t="str">
        <f>Финансирование!C38</f>
        <v>Возврат банковского кредита</v>
      </c>
      <c r="D164" s="88"/>
      <c r="E164" s="88"/>
      <c r="F164" s="142" t="s">
        <v>1168</v>
      </c>
      <c r="G164" s="435">
        <f>SUM(H164:M164)</f>
        <v>0</v>
      </c>
      <c r="H164" s="303">
        <f>SUMIF(Финансирование!$L$6:$CO$6,H$136,Финансирование!$L38:$CO38)</f>
        <v>0</v>
      </c>
      <c r="I164" s="303">
        <f>SUMIF(Финансирование!$L$6:$CO$6,I$136,Финансирование!$L38:$CO38)</f>
        <v>0</v>
      </c>
      <c r="J164" s="303">
        <f>SUMIF(Финансирование!$L$6:$CO$6,J$136,Финансирование!$L38:$CO38)</f>
        <v>0</v>
      </c>
      <c r="K164" s="303">
        <f>SUMIF(Финансирование!$L$6:$CO$6,K$136,Финансирование!$L38:$CO38)</f>
        <v>0</v>
      </c>
      <c r="L164" s="303">
        <f>SUMIF(Финансирование!$L$6:$CO$6,L$136,Финансирование!$L38:$CO38)</f>
        <v>0</v>
      </c>
      <c r="M164" s="303">
        <f>SUMIF(Финансирование!$L$6:$CO$6,M$136,Финансирование!$L38:$CO38)</f>
        <v>0</v>
      </c>
      <c r="N164" s="301"/>
      <c r="O164" s="302"/>
      <c r="P164" s="302"/>
    </row>
    <row r="165" spans="1:16" s="93" customFormat="1" ht="14.9" customHeight="1" thickBot="1">
      <c r="A165" s="117"/>
      <c r="B165" s="123"/>
      <c r="C165" s="17" t="str">
        <f>Финансирование!C39</f>
        <v>Возврат акционерного займа</v>
      </c>
      <c r="D165" s="88"/>
      <c r="E165" s="88"/>
      <c r="F165" s="142" t="s">
        <v>1168</v>
      </c>
      <c r="G165" s="435">
        <f ca="1">SUM(H165:M165)</f>
        <v>0</v>
      </c>
      <c r="H165" s="303">
        <f ca="1">SUMIF(Финансирование!$L$6:$CO$6,H$136,Финансирование!$L39:$CO39)</f>
        <v>0</v>
      </c>
      <c r="I165" s="303">
        <f ca="1">SUMIF(Финансирование!$L$6:$CO$6,I$136,Финансирование!$L39:$CO39)</f>
        <v>0</v>
      </c>
      <c r="J165" s="303">
        <f ca="1">SUMIF(Финансирование!$L$6:$CO$6,J$136,Финансирование!$L39:$CO39)</f>
        <v>0</v>
      </c>
      <c r="K165" s="303">
        <f ca="1">SUMIF(Финансирование!$L$6:$CO$6,K$136,Финансирование!$L39:$CO39)</f>
        <v>0</v>
      </c>
      <c r="L165" s="303">
        <f ca="1">SUMIF(Финансирование!$L$6:$CO$6,L$136,Финансирование!$L39:$CO39)</f>
        <v>0</v>
      </c>
      <c r="M165" s="303">
        <f ca="1">SUMIF(Финансирование!$L$6:$CO$6,M$136,Финансирование!$L39:$CO39)</f>
        <v>0</v>
      </c>
      <c r="N165" s="301"/>
      <c r="O165" s="302"/>
      <c r="P165" s="302"/>
    </row>
    <row r="166" spans="1:16" ht="6" customHeight="1" thickBot="1">
      <c r="A166" s="117"/>
      <c r="B166" s="129"/>
      <c r="C166" s="3"/>
      <c r="D166" s="3"/>
      <c r="E166" s="3"/>
      <c r="F166" s="3"/>
      <c r="G166" s="436"/>
      <c r="H166" s="3"/>
      <c r="I166" s="247"/>
      <c r="J166" s="248"/>
      <c r="K166" s="125"/>
      <c r="L166" s="125"/>
      <c r="M166" s="125"/>
      <c r="N166" s="124"/>
      <c r="O166" s="119"/>
      <c r="P166" s="119"/>
    </row>
    <row r="167" spans="1:16" s="93" customFormat="1" ht="14.9" customHeight="1" thickBot="1">
      <c r="A167" s="117"/>
      <c r="B167" s="123"/>
      <c r="C167" s="425" t="str">
        <f>Финансирование!C40</f>
        <v>Прочие направления</v>
      </c>
      <c r="D167" s="426"/>
      <c r="E167" s="426"/>
      <c r="F167" s="427" t="s">
        <v>1168</v>
      </c>
      <c r="G167" s="433">
        <f t="shared" ref="G167:G171" ca="1" si="12">SUM(H167:M167)</f>
        <v>961679.90095596761</v>
      </c>
      <c r="H167" s="424">
        <f ca="1">SUMIF(Финансирование!$L$6:$CO$6,H$136,Финансирование!$L40:$CO40)</f>
        <v>21387.476153701184</v>
      </c>
      <c r="I167" s="424">
        <f ca="1">SUMIF(Финансирование!$L$6:$CO$6,I$136,Финансирование!$L40:$CO40)</f>
        <v>186461.04061465285</v>
      </c>
      <c r="J167" s="424">
        <f ca="1">SUMIF(Финансирование!$L$6:$CO$6,J$136,Финансирование!$L40:$CO40)</f>
        <v>193919.48223923898</v>
      </c>
      <c r="K167" s="424">
        <f ca="1">SUMIF(Финансирование!$L$6:$CO$6,K$136,Финансирование!$L40:$CO40)</f>
        <v>421182.52756295528</v>
      </c>
      <c r="L167" s="424">
        <f ca="1">SUMIF(Финансирование!$L$6:$CO$6,L$136,Финансирование!$L40:$CO40)</f>
        <v>138729.3743854193</v>
      </c>
      <c r="M167" s="424">
        <f ca="1">SUMIF(Финансирование!$L$6:$CO$6,M$136,Финансирование!$L40:$CO40)</f>
        <v>0</v>
      </c>
      <c r="N167" s="301"/>
      <c r="O167" s="302"/>
      <c r="P167" s="302"/>
    </row>
    <row r="168" spans="1:16" s="93" customFormat="1" ht="14.9" customHeight="1" thickBot="1">
      <c r="A168" s="117"/>
      <c r="B168" s="123"/>
      <c r="C168" s="17" t="str">
        <f>Финансирование!C41</f>
        <v>Оплата НДС</v>
      </c>
      <c r="D168" s="88"/>
      <c r="E168" s="88"/>
      <c r="F168" s="142" t="s">
        <v>1168</v>
      </c>
      <c r="G168" s="435">
        <f t="shared" ca="1" si="12"/>
        <v>961679.90095596761</v>
      </c>
      <c r="H168" s="303">
        <f ca="1">SUMIF(Финансирование!$L$6:$CO$6,H$136,Финансирование!$L41:$CO41)</f>
        <v>21387.476153701184</v>
      </c>
      <c r="I168" s="303">
        <f ca="1">SUMIF(Финансирование!$L$6:$CO$6,I$136,Финансирование!$L41:$CO41)</f>
        <v>186461.04061465285</v>
      </c>
      <c r="J168" s="303">
        <f ca="1">SUMIF(Финансирование!$L$6:$CO$6,J$136,Финансирование!$L41:$CO41)</f>
        <v>193919.48223923898</v>
      </c>
      <c r="K168" s="303">
        <f ca="1">SUMIF(Финансирование!$L$6:$CO$6,K$136,Финансирование!$L41:$CO41)</f>
        <v>421182.52756295528</v>
      </c>
      <c r="L168" s="303">
        <f ca="1">SUMIF(Финансирование!$L$6:$CO$6,L$136,Финансирование!$L41:$CO41)</f>
        <v>138729.3743854193</v>
      </c>
      <c r="M168" s="303">
        <f ca="1">SUMIF(Финансирование!$L$6:$CO$6,M$136,Финансирование!$L41:$CO41)</f>
        <v>0</v>
      </c>
      <c r="N168" s="301"/>
      <c r="O168" s="302"/>
      <c r="P168" s="302"/>
    </row>
    <row r="169" spans="1:16" s="93" customFormat="1" ht="14.9" customHeight="1" thickBot="1">
      <c r="A169" s="117"/>
      <c r="B169" s="123"/>
      <c r="C169" s="17" t="str">
        <f>Финансирование!C42</f>
        <v>Капитализируемые операционные расходы, без НДС</v>
      </c>
      <c r="D169" s="88"/>
      <c r="E169" s="88"/>
      <c r="F169" s="142" t="s">
        <v>1168</v>
      </c>
      <c r="G169" s="435">
        <f t="shared" ca="1" si="12"/>
        <v>0</v>
      </c>
      <c r="H169" s="303">
        <f ca="1">SUMIF(Финансирование!$L$6:$CO$6,H$136,Финансирование!$L42:$CO42)</f>
        <v>0</v>
      </c>
      <c r="I169" s="303">
        <f ca="1">SUMIF(Финансирование!$L$6:$CO$6,I$136,Финансирование!$L42:$CO42)</f>
        <v>0</v>
      </c>
      <c r="J169" s="303">
        <f ca="1">SUMIF(Финансирование!$L$6:$CO$6,J$136,Финансирование!$L42:$CO42)</f>
        <v>0</v>
      </c>
      <c r="K169" s="303">
        <f ca="1">SUMIF(Финансирование!$L$6:$CO$6,K$136,Финансирование!$L42:$CO42)</f>
        <v>0</v>
      </c>
      <c r="L169" s="303">
        <f ca="1">SUMIF(Финансирование!$L$6:$CO$6,L$136,Финансирование!$L42:$CO42)</f>
        <v>0</v>
      </c>
      <c r="M169" s="303">
        <f ca="1">SUMIF(Финансирование!$L$6:$CO$6,M$136,Финансирование!$L42:$CO42)</f>
        <v>0</v>
      </c>
      <c r="N169" s="301"/>
      <c r="O169" s="302"/>
      <c r="P169" s="302"/>
    </row>
    <row r="170" spans="1:16" s="93" customFormat="1" ht="14.9" customHeight="1" thickBot="1">
      <c r="A170" s="117"/>
      <c r="B170" s="123"/>
      <c r="C170" s="17" t="str">
        <f>Финансирование!C43</f>
        <v>Прочие расходы</v>
      </c>
      <c r="D170" s="88"/>
      <c r="E170" s="88"/>
      <c r="F170" s="142" t="s">
        <v>1168</v>
      </c>
      <c r="G170" s="435">
        <f t="shared" ca="1" si="12"/>
        <v>0</v>
      </c>
      <c r="H170" s="303">
        <f ca="1">SUMIF(Финансирование!$L$6:$CO$6,H$136,Финансирование!$L43:$CO43)</f>
        <v>0</v>
      </c>
      <c r="I170" s="303">
        <f ca="1">SUMIF(Финансирование!$L$6:$CO$6,I$136,Финансирование!$L43:$CO43)</f>
        <v>0</v>
      </c>
      <c r="J170" s="303">
        <f ca="1">SUMIF(Финансирование!$L$6:$CO$6,J$136,Финансирование!$L43:$CO43)</f>
        <v>0</v>
      </c>
      <c r="K170" s="303">
        <f ca="1">SUMIF(Финансирование!$L$6:$CO$6,K$136,Финансирование!$L43:$CO43)</f>
        <v>0</v>
      </c>
      <c r="L170" s="303">
        <f ca="1">SUMIF(Финансирование!$L$6:$CO$6,L$136,Финансирование!$L43:$CO43)</f>
        <v>0</v>
      </c>
      <c r="M170" s="303">
        <f ca="1">SUMIF(Финансирование!$L$6:$CO$6,M$136,Финансирование!$L43:$CO43)</f>
        <v>0</v>
      </c>
      <c r="N170" s="301"/>
      <c r="O170" s="302"/>
      <c r="P170" s="302"/>
    </row>
    <row r="171" spans="1:16" s="93" customFormat="1" ht="14.9" customHeight="1" thickBot="1">
      <c r="A171" s="117"/>
      <c r="B171" s="123"/>
      <c r="C171" s="17" t="str">
        <f>Финансирование!C44</f>
        <v>Увеличение денежных средств на счетах</v>
      </c>
      <c r="D171" s="88"/>
      <c r="E171" s="88"/>
      <c r="F171" s="142" t="s">
        <v>1168</v>
      </c>
      <c r="G171" s="435">
        <f t="shared" ca="1" si="12"/>
        <v>0</v>
      </c>
      <c r="H171" s="303">
        <f ca="1">MAX(-SUMIF(Финансирование!$L$6:$CO$6,H$136,Финансирование!$L24:$CO24)+SUMIF(Финансирование!$L$6:$CO$6,H$136,Финансирование!$L44:$CO44),0)</f>
        <v>0</v>
      </c>
      <c r="I171" s="303">
        <f ca="1">MAX(-SUMIF(Финансирование!$L$6:$CO$6,I$136,Финансирование!$L24:$CO24)+SUMIF(Финансирование!$L$6:$CO$6,I$136,Финансирование!$L44:$CO44),0)</f>
        <v>0</v>
      </c>
      <c r="J171" s="303">
        <f ca="1">MAX(-SUMIF(Финансирование!$L$6:$CO$6,J$136,Финансирование!$L24:$CO24)+SUMIF(Финансирование!$L$6:$CO$6,J$136,Финансирование!$L44:$CO44),0)</f>
        <v>0</v>
      </c>
      <c r="K171" s="303">
        <f ca="1">MAX(-SUMIF(Финансирование!$L$6:$CO$6,K$136,Финансирование!$L24:$CO24)+SUMIF(Финансирование!$L$6:$CO$6,K$136,Финансирование!$L44:$CO44),0)</f>
        <v>0</v>
      </c>
      <c r="L171" s="303">
        <f ca="1">MAX(-SUMIF(Финансирование!$L$6:$CO$6,L$136,Финансирование!$L24:$CO24)+SUMIF(Финансирование!$L$6:$CO$6,L$136,Финансирование!$L44:$CO44),0)</f>
        <v>0</v>
      </c>
      <c r="M171" s="303">
        <f ca="1">MAX(-SUMIF(Финансирование!$L$6:$CO$6,M$136,Финансирование!$L24:$CO24)+SUMIF(Финансирование!$L$6:$CO$6,M$136,Финансирование!$L44:$CO44),0)</f>
        <v>0</v>
      </c>
      <c r="N171" s="301"/>
      <c r="O171" s="302"/>
      <c r="P171" s="302"/>
    </row>
    <row r="172" spans="1:16" ht="6" customHeight="1" thickBot="1">
      <c r="A172" s="117"/>
      <c r="B172" s="129"/>
      <c r="C172" s="3"/>
      <c r="D172" s="3"/>
      <c r="E172" s="3"/>
      <c r="F172" s="3"/>
      <c r="G172" s="436"/>
      <c r="H172" s="3"/>
      <c r="I172" s="247"/>
      <c r="J172" s="248"/>
      <c r="K172" s="125"/>
      <c r="L172" s="125"/>
      <c r="M172" s="125"/>
      <c r="N172" s="124"/>
      <c r="O172" s="119"/>
      <c r="P172" s="119"/>
    </row>
    <row r="173" spans="1:16" s="93" customFormat="1" ht="14.9" customHeight="1" thickBot="1">
      <c r="A173" s="117"/>
      <c r="B173" s="123"/>
      <c r="C173" s="432" t="s">
        <v>1170</v>
      </c>
      <c r="D173" s="88"/>
      <c r="E173" s="88"/>
      <c r="F173" s="142" t="s">
        <v>1168</v>
      </c>
      <c r="G173" s="437">
        <f t="shared" ref="G173" ca="1" si="13">SUM(H173:M173)</f>
        <v>6025459.4802389424</v>
      </c>
      <c r="H173" s="315">
        <f ca="1">SUM(H157,H161,H167)</f>
        <v>128324.85692220708</v>
      </c>
      <c r="I173" s="315">
        <f t="shared" ref="I173:M173" ca="1" si="14">SUM(I157,I161,I167)</f>
        <v>1119505.2354303929</v>
      </c>
      <c r="J173" s="315">
        <f t="shared" ca="1" si="14"/>
        <v>1213189.2734783767</v>
      </c>
      <c r="K173" s="315">
        <f t="shared" ca="1" si="14"/>
        <v>2673973.1305155619</v>
      </c>
      <c r="L173" s="315">
        <f t="shared" ca="1" si="14"/>
        <v>890466.98389240366</v>
      </c>
      <c r="M173" s="315">
        <f t="shared" ca="1" si="14"/>
        <v>0</v>
      </c>
      <c r="N173" s="301"/>
      <c r="O173" s="302"/>
      <c r="P173" s="302"/>
    </row>
    <row r="174" spans="1:16" ht="14.9" customHeight="1">
      <c r="A174" s="117"/>
      <c r="B174" s="126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N174" s="128"/>
      <c r="O174" s="119"/>
      <c r="P174" s="119"/>
    </row>
    <row r="175" spans="1:16" ht="14.9" customHeight="1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9"/>
      <c r="P175" s="119"/>
    </row>
    <row r="176" spans="1:16" ht="25.15" customHeight="1">
      <c r="A176" s="117"/>
      <c r="B176" s="120"/>
      <c r="C176" s="121" t="s">
        <v>593</v>
      </c>
      <c r="D176" s="121"/>
      <c r="E176" s="121"/>
      <c r="F176" s="121"/>
      <c r="G176" s="121"/>
      <c r="H176" s="121"/>
      <c r="I176" s="121" t="s">
        <v>782</v>
      </c>
      <c r="J176" s="121"/>
      <c r="K176" s="121"/>
      <c r="L176" s="121"/>
      <c r="M176" s="121"/>
      <c r="N176" s="122"/>
      <c r="O176" s="119"/>
      <c r="P176" s="119"/>
    </row>
    <row r="177" spans="1:16" ht="14.9" customHeight="1">
      <c r="A177" s="117"/>
      <c r="B177" s="129"/>
      <c r="C177" s="125"/>
      <c r="D177" s="125"/>
      <c r="E177" s="125"/>
      <c r="F177" s="88"/>
      <c r="G177" s="125"/>
      <c r="H177" s="125"/>
      <c r="I177" s="125"/>
      <c r="J177" s="125"/>
      <c r="K177" s="125"/>
      <c r="L177" s="125"/>
      <c r="M177" s="125"/>
      <c r="N177" s="124"/>
      <c r="O177" s="119"/>
      <c r="P177" s="119"/>
    </row>
    <row r="178" spans="1:16" ht="14.9" customHeight="1">
      <c r="A178" s="117"/>
      <c r="B178" s="129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124"/>
      <c r="O178" s="119"/>
      <c r="P178" s="119"/>
    </row>
    <row r="179" spans="1:16" ht="14.9" customHeight="1">
      <c r="A179" s="117"/>
      <c r="B179" s="12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124"/>
      <c r="O179" s="119"/>
      <c r="P179" s="119"/>
    </row>
    <row r="180" spans="1:16" ht="14.9" customHeight="1">
      <c r="A180" s="117"/>
      <c r="B180" s="12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124"/>
      <c r="O180" s="119"/>
      <c r="P180" s="119"/>
    </row>
    <row r="181" spans="1:16" ht="14.9" customHeight="1">
      <c r="A181" s="117"/>
      <c r="B181" s="12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124"/>
      <c r="O181" s="119"/>
      <c r="P181" s="119"/>
    </row>
    <row r="182" spans="1:16" ht="14.9" customHeight="1">
      <c r="A182" s="117"/>
      <c r="B182" s="12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124"/>
      <c r="O182" s="119"/>
      <c r="P182" s="119"/>
    </row>
    <row r="183" spans="1:16" ht="14.9" customHeight="1">
      <c r="A183" s="117"/>
      <c r="B183" s="12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124"/>
      <c r="O183" s="119"/>
      <c r="P183" s="119"/>
    </row>
    <row r="184" spans="1:16" ht="14.9" customHeight="1">
      <c r="A184" s="117"/>
      <c r="B184" s="129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124"/>
      <c r="O184" s="119"/>
      <c r="P184" s="119"/>
    </row>
    <row r="185" spans="1:16" ht="14.9" customHeight="1">
      <c r="A185" s="117"/>
      <c r="B185" s="129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124"/>
      <c r="O185" s="119"/>
      <c r="P185" s="119"/>
    </row>
    <row r="186" spans="1:16" ht="14.9" customHeight="1">
      <c r="A186" s="117"/>
      <c r="B186" s="12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124"/>
      <c r="O186" s="119"/>
      <c r="P186" s="119"/>
    </row>
    <row r="187" spans="1:16" ht="14.9" customHeight="1">
      <c r="A187" s="117"/>
      <c r="B187" s="12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124"/>
      <c r="O187" s="119"/>
      <c r="P187" s="119"/>
    </row>
    <row r="188" spans="1:16" ht="14.9" customHeight="1">
      <c r="A188" s="117"/>
      <c r="B188" s="12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124"/>
      <c r="O188" s="119"/>
      <c r="P188" s="119"/>
    </row>
    <row r="189" spans="1:16" ht="14.9" customHeight="1">
      <c r="A189" s="117"/>
      <c r="B189" s="12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124"/>
      <c r="O189" s="119"/>
      <c r="P189" s="119"/>
    </row>
    <row r="190" spans="1:16" ht="14.9" customHeight="1">
      <c r="A190" s="117"/>
      <c r="B190" s="12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124"/>
      <c r="O190" s="119"/>
      <c r="P190" s="119"/>
    </row>
    <row r="191" spans="1:16" ht="14.9" customHeight="1">
      <c r="A191" s="117"/>
      <c r="B191" s="12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124"/>
      <c r="O191" s="119"/>
      <c r="P191" s="119"/>
    </row>
    <row r="192" spans="1:16" ht="14.9" customHeight="1">
      <c r="A192" s="117"/>
      <c r="B192" s="126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N192" s="128"/>
      <c r="O192" s="119"/>
      <c r="P192" s="119"/>
    </row>
    <row r="193" spans="1:16" ht="14.65" customHeight="1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9"/>
      <c r="P193" s="119"/>
    </row>
    <row r="194" spans="1:16" ht="14.9" hidden="1" customHeight="1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9"/>
      <c r="P194" s="119"/>
    </row>
    <row r="209"/>
    <row r="216"/>
    <row r="217"/>
    <row r="218"/>
    <row r="219"/>
    <row r="220"/>
    <row r="221"/>
    <row r="222"/>
    <row r="223"/>
    <row r="224"/>
    <row r="225"/>
    <row r="226"/>
    <row r="227"/>
    <row r="228"/>
  </sheetData>
  <mergeCells count="2">
    <mergeCell ref="I126:J126"/>
    <mergeCell ref="H125:J125"/>
  </mergeCells>
  <conditionalFormatting sqref="G5">
    <cfRule type="cellIs" dxfId="292" priority="25" operator="equal">
      <formula>FALSE</formula>
    </cfRule>
    <cfRule type="cellIs" dxfId="291" priority="26" operator="equal">
      <formula>TRUE</formula>
    </cfRule>
  </conditionalFormatting>
  <conditionalFormatting sqref="M21">
    <cfRule type="cellIs" dxfId="290" priority="2" operator="equal">
      <formula>FALSE</formula>
    </cfRule>
    <cfRule type="cellIs" dxfId="289" priority="3" operator="equal">
      <formula>TRUE</formula>
    </cfRule>
  </conditionalFormatting>
  <conditionalFormatting sqref="M12:M20">
    <cfRule type="cellIs" dxfId="288" priority="1" operator="notEqual">
      <formula>0</formula>
    </cfRule>
  </conditionalFormatting>
  <dataValidations count="4">
    <dataValidation type="list" allowBlank="1" showInputMessage="1" showErrorMessage="1" sqref="G26" xr:uid="{00000000-0002-0000-0200-000000000000}">
      <formula1>"1,2,3,4,5"</formula1>
    </dataValidation>
    <dataValidation type="list" allowBlank="1" showInputMessage="1" showErrorMessage="1" sqref="I30:M32" xr:uid="{00000000-0002-0000-0200-000001000000}">
      <formula1>"в проекте,вне проекта"</formula1>
    </dataValidation>
    <dataValidation type="list" allowBlank="1" showInputMessage="1" showErrorMessage="1" sqref="I34:M34" xr:uid="{00000000-0002-0000-0200-000002000000}">
      <formula1>"да,нет"</formula1>
    </dataValidation>
    <dataValidation type="list" allowBlank="1" showInputMessage="1" showErrorMessage="1" sqref="I54:M56 I38:M40 I48:M50 I42:M44 I58:M58" xr:uid="{00000000-0002-0000-0200-000003000000}">
      <formula1>"20%,15%,10%,5%,0%,-5%,-10%,-15%,-20%"</formula1>
    </dataValidation>
  </dataValidations>
  <pageMargins left="0.7" right="0.7" top="0.75" bottom="0.75" header="0.3" footer="0.3"/>
  <pageSetup paperSize="8" scale="3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4000000}">
          <x14:formula1>
            <xm:f>Предпосылки!$C$577:$C$578</xm:f>
          </x14:formula1>
          <xm:sqref>I126</xm:sqref>
        </x14:dataValidation>
        <x14:dataValidation type="list" allowBlank="1" showInputMessage="1" showErrorMessage="1" xr:uid="{00000000-0002-0000-0200-000005000000}">
          <x14:formula1>
            <xm:f>Предпосылки!$C$571:$C$572</xm:f>
          </x14:formula1>
          <xm:sqref>H125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D584-F562-42F8-A6DA-166E5E0FDC31}">
  <sheetPr codeName="Лист1"/>
  <dimension ref="A1:F60"/>
  <sheetViews>
    <sheetView topLeftCell="A35" workbookViewId="0">
      <selection activeCell="D48" sqref="D48"/>
    </sheetView>
  </sheetViews>
  <sheetFormatPr defaultColWidth="14.453125" defaultRowHeight="15" customHeight="1"/>
  <cols>
    <col min="1" max="1" width="27.26953125" style="521" customWidth="1"/>
    <col min="2" max="3" width="11.7265625" style="521" customWidth="1"/>
    <col min="4" max="5" width="11.7265625" style="483" customWidth="1"/>
    <col min="6" max="16" width="8.7265625" style="483" customWidth="1"/>
    <col min="17" max="16384" width="14.453125" style="483"/>
  </cols>
  <sheetData>
    <row r="1" spans="1:2" ht="14.5"/>
    <row r="2" spans="1:2" ht="14.5"/>
    <row r="3" spans="1:2" ht="14.5">
      <c r="A3" s="524" t="s">
        <v>1539</v>
      </c>
    </row>
    <row r="4" spans="1:2" ht="14.5">
      <c r="A4" s="525" t="s">
        <v>1272</v>
      </c>
      <c r="B4" s="526">
        <v>0.34599999999999997</v>
      </c>
    </row>
    <row r="5" spans="1:2" ht="14.5">
      <c r="A5" s="525" t="s">
        <v>1273</v>
      </c>
      <c r="B5" s="526">
        <v>0.27200000000000002</v>
      </c>
    </row>
    <row r="6" spans="1:2" ht="15" customHeight="1">
      <c r="A6" s="525" t="s">
        <v>1274</v>
      </c>
      <c r="B6" s="526">
        <v>0.113</v>
      </c>
    </row>
    <row r="7" spans="1:2" ht="15" customHeight="1">
      <c r="A7" s="525" t="s">
        <v>1275</v>
      </c>
      <c r="B7" s="526">
        <v>0.122</v>
      </c>
    </row>
    <row r="8" spans="1:2" ht="15" customHeight="1">
      <c r="A8" s="525" t="s">
        <v>1276</v>
      </c>
      <c r="B8" s="526">
        <v>0.14699999999999999</v>
      </c>
    </row>
    <row r="13" spans="1:2" ht="15.75" customHeight="1">
      <c r="A13" s="524" t="s">
        <v>1540</v>
      </c>
    </row>
    <row r="14" spans="1:2" ht="15.75" customHeight="1">
      <c r="A14" s="525" t="s">
        <v>1277</v>
      </c>
      <c r="B14" s="526">
        <v>0.85</v>
      </c>
    </row>
    <row r="15" spans="1:2" ht="15.75" customHeight="1">
      <c r="A15" s="525" t="s">
        <v>1278</v>
      </c>
      <c r="B15" s="526">
        <v>0.03</v>
      </c>
    </row>
    <row r="16" spans="1:2" ht="15.75" customHeight="1">
      <c r="A16" s="525" t="s">
        <v>1279</v>
      </c>
      <c r="B16" s="526">
        <v>0.09</v>
      </c>
    </row>
    <row r="17" spans="1:2" ht="15.75" customHeight="1">
      <c r="A17" s="525" t="s">
        <v>1280</v>
      </c>
      <c r="B17" s="526">
        <v>0.03</v>
      </c>
    </row>
    <row r="18" spans="1:2" ht="15.75" customHeight="1"/>
    <row r="19" spans="1:2" ht="15.75" customHeight="1">
      <c r="A19" s="524" t="s">
        <v>1541</v>
      </c>
    </row>
    <row r="20" spans="1:2" ht="15.75" customHeight="1">
      <c r="A20" s="525" t="s">
        <v>1281</v>
      </c>
      <c r="B20" s="526">
        <v>0.19</v>
      </c>
    </row>
    <row r="21" spans="1:2" ht="15.75" customHeight="1">
      <c r="A21" s="525" t="s">
        <v>1282</v>
      </c>
      <c r="B21" s="526">
        <v>0.08</v>
      </c>
    </row>
    <row r="22" spans="1:2" ht="15.75" customHeight="1">
      <c r="A22" s="525" t="s">
        <v>1283</v>
      </c>
      <c r="B22" s="526">
        <v>0.08</v>
      </c>
    </row>
    <row r="23" spans="1:2" ht="15.75" customHeight="1">
      <c r="A23" s="525" t="s">
        <v>1284</v>
      </c>
      <c r="B23" s="526">
        <v>0.06</v>
      </c>
    </row>
    <row r="24" spans="1:2" ht="15.75" customHeight="1">
      <c r="A24" s="525" t="s">
        <v>1285</v>
      </c>
      <c r="B24" s="526">
        <v>0.05</v>
      </c>
    </row>
    <row r="25" spans="1:2" ht="44.5" customHeight="1">
      <c r="A25" s="527" t="s">
        <v>1286</v>
      </c>
      <c r="B25" s="526">
        <f>1-B20-B21-B22-B23-B24</f>
        <v>0.54</v>
      </c>
    </row>
    <row r="26" spans="1:2" ht="15.75" customHeight="1"/>
    <row r="27" spans="1:2" ht="15.75" customHeight="1">
      <c r="A27" s="524" t="s">
        <v>1542</v>
      </c>
    </row>
    <row r="28" spans="1:2" ht="15.75" customHeight="1">
      <c r="A28" s="525" t="s">
        <v>1287</v>
      </c>
      <c r="B28" s="526">
        <v>0.33900000000000002</v>
      </c>
    </row>
    <row r="29" spans="1:2" ht="15.75" customHeight="1">
      <c r="A29" s="525" t="s">
        <v>1288</v>
      </c>
      <c r="B29" s="526">
        <v>0.2329</v>
      </c>
    </row>
    <row r="30" spans="1:2" ht="15.75" customHeight="1">
      <c r="A30" s="525" t="s">
        <v>1289</v>
      </c>
      <c r="B30" s="526">
        <v>0.192</v>
      </c>
    </row>
    <row r="31" spans="1:2" ht="15.75" customHeight="1">
      <c r="A31" s="525" t="s">
        <v>1290</v>
      </c>
      <c r="B31" s="526">
        <v>6.3299999999999995E-2</v>
      </c>
    </row>
    <row r="32" spans="1:2" ht="15.75" customHeight="1">
      <c r="A32" s="525" t="s">
        <v>1291</v>
      </c>
      <c r="B32" s="526">
        <v>4.8399999999999999E-2</v>
      </c>
    </row>
    <row r="33" spans="1:5" ht="15.75" customHeight="1">
      <c r="A33" s="525" t="s">
        <v>1292</v>
      </c>
      <c r="B33" s="526">
        <v>3.4599999999999999E-2</v>
      </c>
    </row>
    <row r="34" spans="1:5" ht="15.75" customHeight="1">
      <c r="A34" s="525" t="s">
        <v>1293</v>
      </c>
      <c r="B34" s="526">
        <v>2.6700000000000002E-2</v>
      </c>
    </row>
    <row r="35" spans="1:5" ht="15.75" customHeight="1">
      <c r="A35" s="525" t="s">
        <v>1294</v>
      </c>
      <c r="B35" s="526">
        <v>2.23E-2</v>
      </c>
    </row>
    <row r="36" spans="1:5" ht="15.75" customHeight="1">
      <c r="A36" s="525" t="s">
        <v>1295</v>
      </c>
      <c r="B36" s="526">
        <v>2.1000000000000001E-2</v>
      </c>
    </row>
    <row r="37" spans="1:5" ht="15.75" customHeight="1">
      <c r="A37" s="525" t="s">
        <v>1296</v>
      </c>
      <c r="B37" s="526">
        <v>2.0099999999999996E-2</v>
      </c>
    </row>
    <row r="38" spans="1:5" ht="15.75" customHeight="1"/>
    <row r="39" spans="1:5" ht="15.75" customHeight="1"/>
    <row r="40" spans="1:5" ht="15.75" customHeight="1">
      <c r="A40" s="637" t="s">
        <v>1515</v>
      </c>
      <c r="B40" s="637"/>
      <c r="C40" s="637"/>
      <c r="D40" s="637"/>
      <c r="E40" s="637"/>
    </row>
    <row r="41" spans="1:5" ht="15.75" customHeight="1">
      <c r="A41" s="528"/>
      <c r="B41" s="529" t="s">
        <v>1297</v>
      </c>
      <c r="C41" s="529" t="s">
        <v>1298</v>
      </c>
      <c r="D41" s="530" t="s">
        <v>1299</v>
      </c>
      <c r="E41" s="529" t="s">
        <v>1300</v>
      </c>
    </row>
    <row r="42" spans="1:5" ht="15.75" customHeight="1">
      <c r="A42" s="528" t="s">
        <v>1301</v>
      </c>
      <c r="B42" s="531">
        <v>0.56999999999999995</v>
      </c>
      <c r="C42" s="531">
        <v>0.17</v>
      </c>
      <c r="D42" s="532">
        <v>0.48</v>
      </c>
      <c r="E42" s="531">
        <v>0.28000000000000003</v>
      </c>
    </row>
    <row r="43" spans="1:5" ht="15.75" customHeight="1">
      <c r="A43" s="528" t="s">
        <v>1302</v>
      </c>
      <c r="B43" s="531">
        <f t="shared" ref="B43:E43" si="0">1-B42</f>
        <v>0.43000000000000005</v>
      </c>
      <c r="C43" s="531">
        <f t="shared" si="0"/>
        <v>0.83</v>
      </c>
      <c r="D43" s="532">
        <f t="shared" si="0"/>
        <v>0.52</v>
      </c>
      <c r="E43" s="531">
        <f t="shared" si="0"/>
        <v>0.72</v>
      </c>
    </row>
    <row r="44" spans="1:5" ht="15.75" customHeight="1"/>
    <row r="45" spans="1:5" ht="15.75" customHeight="1"/>
    <row r="46" spans="1:5" ht="15.75" customHeight="1">
      <c r="C46" s="522"/>
    </row>
    <row r="47" spans="1:5" ht="15.75" customHeight="1">
      <c r="C47" s="522"/>
    </row>
    <row r="48" spans="1:5" ht="15.75" customHeight="1">
      <c r="C48" s="522"/>
    </row>
    <row r="49" spans="3:6" ht="15.75" customHeight="1">
      <c r="C49" s="522"/>
    </row>
    <row r="50" spans="3:6" ht="15.75" customHeight="1">
      <c r="C50" s="522"/>
    </row>
    <row r="51" spans="3:6" ht="15.75" customHeight="1"/>
    <row r="52" spans="3:6" ht="15.75" customHeight="1"/>
    <row r="53" spans="3:6" ht="15.75" customHeight="1">
      <c r="E53" s="482"/>
    </row>
    <row r="54" spans="3:6" ht="15.75" customHeight="1">
      <c r="C54" s="523"/>
      <c r="D54" s="484"/>
      <c r="E54" s="484"/>
      <c r="F54" s="484"/>
    </row>
    <row r="55" spans="3:6" ht="15.75" customHeight="1">
      <c r="C55" s="523"/>
      <c r="D55" s="484"/>
      <c r="E55" s="484"/>
      <c r="F55" s="484"/>
    </row>
    <row r="56" spans="3:6" ht="15.75" customHeight="1">
      <c r="C56" s="523"/>
      <c r="D56" s="484"/>
      <c r="E56" s="484"/>
      <c r="F56" s="484"/>
    </row>
    <row r="57" spans="3:6" ht="15.75" customHeight="1"/>
    <row r="58" spans="3:6" ht="15.75" customHeight="1"/>
    <row r="59" spans="3:6" ht="15.75" customHeight="1"/>
    <row r="60" spans="3:6" ht="15.75" customHeight="1"/>
  </sheetData>
  <mergeCells count="1">
    <mergeCell ref="A40:E40"/>
  </mergeCell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37FA-FFEF-40E6-B1E3-AA8AD784240A}">
  <sheetPr codeName="Лист2"/>
  <dimension ref="A1:R117"/>
  <sheetViews>
    <sheetView topLeftCell="A41" workbookViewId="0">
      <selection activeCell="F49" sqref="F49"/>
    </sheetView>
  </sheetViews>
  <sheetFormatPr defaultColWidth="14.453125" defaultRowHeight="15" customHeight="1"/>
  <cols>
    <col min="1" max="1" width="30.7265625" style="483" customWidth="1"/>
    <col min="2" max="2" width="15.7265625" style="483" customWidth="1"/>
    <col min="3" max="3" width="9.1796875" style="483" customWidth="1"/>
    <col min="4" max="4" width="17.26953125" style="483" customWidth="1"/>
    <col min="5" max="5" width="15.7265625" style="483" customWidth="1"/>
    <col min="6" max="6" width="22.7265625" style="483" customWidth="1"/>
    <col min="7" max="9" width="15.7265625" style="483" customWidth="1"/>
    <col min="10" max="10" width="9.1796875" style="483" customWidth="1"/>
    <col min="11" max="18" width="8.7265625" style="483" customWidth="1"/>
    <col min="19" max="16384" width="14.453125" style="483"/>
  </cols>
  <sheetData>
    <row r="1" spans="1:18" ht="15" customHeight="1">
      <c r="A1" s="648" t="s">
        <v>1543</v>
      </c>
      <c r="B1" s="648"/>
      <c r="C1" s="648"/>
      <c r="D1" s="648"/>
      <c r="E1" s="648"/>
      <c r="F1" s="648"/>
      <c r="G1" s="648"/>
      <c r="H1" s="648"/>
      <c r="I1" s="490"/>
      <c r="J1" s="490"/>
    </row>
    <row r="2" spans="1:18" ht="56">
      <c r="A2" s="533" t="s">
        <v>1317</v>
      </c>
      <c r="B2" s="533" t="s">
        <v>1318</v>
      </c>
      <c r="C2" s="533" t="s">
        <v>1319</v>
      </c>
      <c r="D2" s="533" t="s">
        <v>1512</v>
      </c>
      <c r="E2" s="533" t="s">
        <v>1509</v>
      </c>
      <c r="F2" s="533" t="s">
        <v>1510</v>
      </c>
      <c r="G2" s="533" t="s">
        <v>1328</v>
      </c>
      <c r="H2" s="533" t="s">
        <v>1329</v>
      </c>
      <c r="J2" s="482"/>
      <c r="K2" s="482"/>
      <c r="L2" s="482"/>
      <c r="M2" s="482"/>
      <c r="N2" s="482"/>
      <c r="O2" s="482"/>
      <c r="P2" s="482"/>
      <c r="Q2" s="482"/>
      <c r="R2" s="482"/>
    </row>
    <row r="3" spans="1:18" ht="14.5">
      <c r="A3" s="645" t="s">
        <v>1322</v>
      </c>
      <c r="B3" s="645" t="s">
        <v>1321</v>
      </c>
      <c r="C3" s="645" t="s">
        <v>1320</v>
      </c>
      <c r="D3" s="528">
        <v>25</v>
      </c>
      <c r="E3" s="534">
        <f>G3-12000</f>
        <v>33370</v>
      </c>
      <c r="F3" s="534">
        <f>H3-12000</f>
        <v>10230</v>
      </c>
      <c r="G3" s="534">
        <v>45370</v>
      </c>
      <c r="H3" s="534">
        <v>22230</v>
      </c>
      <c r="I3" s="487"/>
      <c r="J3" s="482"/>
      <c r="K3" s="482"/>
      <c r="L3" s="482"/>
      <c r="M3" s="482"/>
      <c r="N3" s="482"/>
      <c r="O3" s="482"/>
      <c r="P3" s="482"/>
      <c r="Q3" s="482"/>
      <c r="R3" s="482"/>
    </row>
    <row r="4" spans="1:18" ht="14.5">
      <c r="A4" s="645"/>
      <c r="B4" s="645"/>
      <c r="C4" s="645"/>
      <c r="D4" s="535">
        <v>35</v>
      </c>
      <c r="E4" s="534">
        <f t="shared" ref="E4:E7" si="0">G4-12000</f>
        <v>42120</v>
      </c>
      <c r="F4" s="534">
        <f t="shared" ref="F4:F7" si="1">H4-12000</f>
        <v>16600</v>
      </c>
      <c r="G4" s="534">
        <v>54120</v>
      </c>
      <c r="H4" s="534">
        <v>28600</v>
      </c>
      <c r="I4" s="482"/>
      <c r="J4" s="482"/>
      <c r="K4" s="482"/>
      <c r="L4" s="482"/>
      <c r="M4" s="482"/>
      <c r="N4" s="482"/>
      <c r="O4" s="482"/>
      <c r="P4" s="482"/>
      <c r="Q4" s="482"/>
      <c r="R4" s="482"/>
    </row>
    <row r="5" spans="1:18" ht="14.5">
      <c r="A5" s="645"/>
      <c r="B5" s="645"/>
      <c r="C5" s="645"/>
      <c r="D5" s="535">
        <v>78</v>
      </c>
      <c r="E5" s="534">
        <f t="shared" si="0"/>
        <v>77570</v>
      </c>
      <c r="F5" s="534">
        <f t="shared" si="1"/>
        <v>28000</v>
      </c>
      <c r="G5" s="534">
        <v>89570</v>
      </c>
      <c r="H5" s="534">
        <v>40000</v>
      </c>
      <c r="I5" s="482"/>
      <c r="J5" s="482"/>
      <c r="K5" s="482"/>
      <c r="L5" s="482"/>
      <c r="M5" s="482"/>
      <c r="N5" s="482"/>
      <c r="O5" s="482"/>
      <c r="P5" s="482"/>
      <c r="Q5" s="482"/>
      <c r="R5" s="482"/>
    </row>
    <row r="6" spans="1:18" ht="14.5">
      <c r="A6" s="645"/>
      <c r="B6" s="645"/>
      <c r="C6" s="645"/>
      <c r="D6" s="535">
        <v>44</v>
      </c>
      <c r="E6" s="534">
        <f t="shared" si="0"/>
        <v>51830</v>
      </c>
      <c r="F6" s="534">
        <f t="shared" si="1"/>
        <v>20000</v>
      </c>
      <c r="G6" s="534">
        <v>63830</v>
      </c>
      <c r="H6" s="534">
        <v>32000</v>
      </c>
      <c r="I6" s="482"/>
      <c r="J6" s="482"/>
      <c r="K6" s="482"/>
      <c r="L6" s="482"/>
      <c r="M6" s="482"/>
      <c r="N6" s="482"/>
      <c r="O6" s="482"/>
      <c r="P6" s="482"/>
      <c r="Q6" s="482"/>
      <c r="R6" s="482"/>
    </row>
    <row r="7" spans="1:18" ht="14.5">
      <c r="A7" s="645"/>
      <c r="B7" s="645"/>
      <c r="C7" s="645"/>
      <c r="D7" s="535">
        <v>110</v>
      </c>
      <c r="E7" s="534">
        <f t="shared" si="0"/>
        <v>76660</v>
      </c>
      <c r="F7" s="534">
        <f t="shared" si="1"/>
        <v>33000</v>
      </c>
      <c r="G7" s="534">
        <v>88660</v>
      </c>
      <c r="H7" s="534">
        <v>45000</v>
      </c>
      <c r="I7" s="482"/>
      <c r="J7" s="485"/>
      <c r="K7" s="482"/>
      <c r="L7" s="482"/>
      <c r="M7" s="482"/>
      <c r="N7" s="482"/>
      <c r="O7" s="482"/>
      <c r="P7" s="482"/>
      <c r="Q7" s="482"/>
      <c r="R7" s="482"/>
    </row>
    <row r="8" spans="1:18" ht="14.5">
      <c r="A8" s="645" t="s">
        <v>1323</v>
      </c>
      <c r="B8" s="645" t="s">
        <v>1321</v>
      </c>
      <c r="C8" s="645" t="s">
        <v>1320</v>
      </c>
      <c r="D8" s="535">
        <v>25</v>
      </c>
      <c r="E8" s="534">
        <f>G8-14000</f>
        <v>13900</v>
      </c>
      <c r="F8" s="534">
        <v>7600</v>
      </c>
      <c r="G8" s="534">
        <v>27900</v>
      </c>
      <c r="H8" s="534">
        <f>42800/2</f>
        <v>21400</v>
      </c>
      <c r="I8" s="482"/>
      <c r="J8" s="485"/>
      <c r="K8" s="482"/>
      <c r="L8" s="482"/>
      <c r="M8" s="482"/>
      <c r="N8" s="482"/>
      <c r="O8" s="482"/>
      <c r="P8" s="482"/>
      <c r="Q8" s="482"/>
      <c r="R8" s="482"/>
    </row>
    <row r="9" spans="1:18" ht="14.5">
      <c r="A9" s="645"/>
      <c r="B9" s="645"/>
      <c r="C9" s="645"/>
      <c r="D9" s="535">
        <v>40</v>
      </c>
      <c r="E9" s="534">
        <f t="shared" ref="E9:E12" si="2">G9-14000</f>
        <v>17400</v>
      </c>
      <c r="F9" s="534">
        <f t="shared" ref="F9:F12" si="3">H9-14000</f>
        <v>12900</v>
      </c>
      <c r="G9" s="534">
        <v>31400</v>
      </c>
      <c r="H9" s="534">
        <f>53800/2</f>
        <v>26900</v>
      </c>
      <c r="I9" s="482"/>
      <c r="J9" s="485"/>
      <c r="K9" s="482"/>
      <c r="L9" s="482"/>
      <c r="M9" s="482"/>
      <c r="N9" s="482"/>
      <c r="O9" s="482"/>
      <c r="P9" s="482"/>
      <c r="Q9" s="482"/>
      <c r="R9" s="482"/>
    </row>
    <row r="10" spans="1:18" ht="14.5">
      <c r="A10" s="645"/>
      <c r="B10" s="645"/>
      <c r="C10" s="645"/>
      <c r="D10" s="535">
        <v>44</v>
      </c>
      <c r="E10" s="534">
        <f t="shared" si="2"/>
        <v>21400</v>
      </c>
      <c r="F10" s="534">
        <f t="shared" si="3"/>
        <v>14900</v>
      </c>
      <c r="G10" s="534">
        <v>35400</v>
      </c>
      <c r="H10" s="534">
        <f>57800/2</f>
        <v>28900</v>
      </c>
      <c r="I10" s="482"/>
      <c r="J10" s="485"/>
      <c r="K10" s="482"/>
      <c r="L10" s="482"/>
      <c r="M10" s="482"/>
      <c r="N10" s="482"/>
      <c r="O10" s="482"/>
      <c r="P10" s="482"/>
      <c r="Q10" s="482"/>
      <c r="R10" s="482"/>
    </row>
    <row r="11" spans="1:18" ht="14.5">
      <c r="A11" s="645"/>
      <c r="B11" s="645"/>
      <c r="C11" s="645"/>
      <c r="D11" s="535">
        <v>50</v>
      </c>
      <c r="E11" s="534">
        <f t="shared" si="2"/>
        <v>41400</v>
      </c>
      <c r="F11" s="534">
        <f t="shared" si="3"/>
        <v>19900</v>
      </c>
      <c r="G11" s="534">
        <v>55400</v>
      </c>
      <c r="H11" s="534">
        <f>67800/2</f>
        <v>33900</v>
      </c>
      <c r="I11" s="482"/>
      <c r="J11" s="485"/>
      <c r="K11" s="482"/>
      <c r="L11" s="482"/>
      <c r="M11" s="482"/>
      <c r="N11" s="482"/>
      <c r="O11" s="482"/>
      <c r="P11" s="482"/>
      <c r="Q11" s="482"/>
      <c r="R11" s="482"/>
    </row>
    <row r="12" spans="1:18" ht="14.5">
      <c r="A12" s="645"/>
      <c r="B12" s="645"/>
      <c r="C12" s="645"/>
      <c r="D12" s="535">
        <v>54</v>
      </c>
      <c r="E12" s="534">
        <f t="shared" si="2"/>
        <v>51900</v>
      </c>
      <c r="F12" s="534">
        <f t="shared" si="3"/>
        <v>26900</v>
      </c>
      <c r="G12" s="534">
        <v>65900</v>
      </c>
      <c r="H12" s="534">
        <f>81800/2</f>
        <v>40900</v>
      </c>
      <c r="I12" s="482"/>
      <c r="J12" s="485"/>
      <c r="K12" s="482"/>
      <c r="L12" s="482"/>
      <c r="M12" s="482"/>
      <c r="N12" s="482"/>
      <c r="O12" s="482"/>
      <c r="P12" s="482"/>
      <c r="Q12" s="482"/>
      <c r="R12" s="482"/>
    </row>
    <row r="13" spans="1:18" ht="14.5">
      <c r="A13" s="638" t="s">
        <v>1324</v>
      </c>
      <c r="B13" s="638" t="s">
        <v>1321</v>
      </c>
      <c r="C13" s="638" t="s">
        <v>1320</v>
      </c>
      <c r="D13" s="535">
        <v>25</v>
      </c>
      <c r="E13" s="534">
        <f t="shared" ref="E13:E18" si="4">G13-14000</f>
        <v>22900</v>
      </c>
      <c r="F13" s="534">
        <f t="shared" ref="F13:F18" si="5">H13-14000</f>
        <v>9400</v>
      </c>
      <c r="G13" s="534">
        <v>36900</v>
      </c>
      <c r="H13" s="534">
        <f>46800/2</f>
        <v>23400</v>
      </c>
      <c r="I13" s="482"/>
      <c r="J13" s="482"/>
      <c r="K13" s="482"/>
      <c r="L13" s="482"/>
      <c r="M13" s="482"/>
      <c r="N13" s="482"/>
      <c r="O13" s="482"/>
      <c r="P13" s="482"/>
      <c r="Q13" s="482"/>
      <c r="R13" s="482"/>
    </row>
    <row r="14" spans="1:18" ht="14.5">
      <c r="A14" s="638"/>
      <c r="B14" s="638"/>
      <c r="C14" s="638"/>
      <c r="D14" s="535">
        <v>32</v>
      </c>
      <c r="E14" s="534">
        <f t="shared" si="4"/>
        <v>31400</v>
      </c>
      <c r="F14" s="534">
        <f t="shared" si="5"/>
        <v>11400</v>
      </c>
      <c r="G14" s="534">
        <v>45400</v>
      </c>
      <c r="H14" s="534">
        <f>50800/2</f>
        <v>25400</v>
      </c>
      <c r="I14" s="482"/>
      <c r="J14" s="482"/>
      <c r="K14" s="482"/>
      <c r="L14" s="482"/>
      <c r="M14" s="482"/>
      <c r="N14" s="482"/>
      <c r="O14" s="482"/>
      <c r="P14" s="482"/>
      <c r="Q14" s="482"/>
      <c r="R14" s="482"/>
    </row>
    <row r="15" spans="1:18" ht="14.5">
      <c r="A15" s="638"/>
      <c r="B15" s="638"/>
      <c r="C15" s="638"/>
      <c r="D15" s="535">
        <v>43</v>
      </c>
      <c r="E15" s="534">
        <f t="shared" si="4"/>
        <v>43900</v>
      </c>
      <c r="F15" s="534">
        <f t="shared" si="5"/>
        <v>21400</v>
      </c>
      <c r="G15" s="534">
        <v>57900</v>
      </c>
      <c r="H15" s="534">
        <f>70800/2</f>
        <v>35400</v>
      </c>
      <c r="I15" s="482"/>
      <c r="J15" s="482"/>
      <c r="K15" s="482"/>
      <c r="L15" s="482"/>
      <c r="M15" s="482"/>
      <c r="N15" s="482"/>
      <c r="O15" s="482"/>
      <c r="P15" s="482"/>
      <c r="Q15" s="482"/>
      <c r="R15" s="482"/>
    </row>
    <row r="16" spans="1:18" ht="14.5">
      <c r="A16" s="638"/>
      <c r="B16" s="638"/>
      <c r="C16" s="638"/>
      <c r="D16" s="535">
        <v>50</v>
      </c>
      <c r="E16" s="534">
        <f t="shared" si="4"/>
        <v>45900</v>
      </c>
      <c r="F16" s="534">
        <f t="shared" si="5"/>
        <v>24400</v>
      </c>
      <c r="G16" s="534">
        <v>59900</v>
      </c>
      <c r="H16" s="534">
        <f>76800/2</f>
        <v>38400</v>
      </c>
      <c r="I16" s="482"/>
      <c r="J16" s="482"/>
      <c r="K16" s="482"/>
      <c r="L16" s="482"/>
      <c r="M16" s="482"/>
      <c r="N16" s="482"/>
      <c r="O16" s="482"/>
      <c r="P16" s="482"/>
      <c r="Q16" s="482"/>
      <c r="R16" s="482"/>
    </row>
    <row r="17" spans="1:18" ht="14.5">
      <c r="A17" s="638"/>
      <c r="B17" s="638"/>
      <c r="C17" s="638"/>
      <c r="D17" s="535">
        <v>90</v>
      </c>
      <c r="E17" s="534">
        <f t="shared" si="4"/>
        <v>70900</v>
      </c>
      <c r="F17" s="534">
        <f t="shared" si="5"/>
        <v>44400</v>
      </c>
      <c r="G17" s="534">
        <v>84900</v>
      </c>
      <c r="H17" s="534">
        <f>116800/2</f>
        <v>58400</v>
      </c>
      <c r="I17" s="482"/>
      <c r="J17" s="482"/>
      <c r="K17" s="482"/>
      <c r="L17" s="482"/>
      <c r="M17" s="482"/>
      <c r="N17" s="482"/>
      <c r="O17" s="482"/>
      <c r="P17" s="482"/>
      <c r="Q17" s="482"/>
      <c r="R17" s="482"/>
    </row>
    <row r="18" spans="1:18" ht="14.5">
      <c r="A18" s="638"/>
      <c r="B18" s="638"/>
      <c r="C18" s="638"/>
      <c r="D18" s="535">
        <v>80</v>
      </c>
      <c r="E18" s="534">
        <f t="shared" si="4"/>
        <v>55400</v>
      </c>
      <c r="F18" s="534">
        <f t="shared" si="5"/>
        <v>37400</v>
      </c>
      <c r="G18" s="534">
        <v>69400</v>
      </c>
      <c r="H18" s="534">
        <f>102800/2</f>
        <v>51400</v>
      </c>
      <c r="I18" s="482"/>
      <c r="J18" s="482"/>
      <c r="K18" s="482"/>
      <c r="L18" s="482"/>
      <c r="M18" s="482"/>
      <c r="N18" s="482"/>
      <c r="O18" s="482"/>
      <c r="P18" s="482"/>
      <c r="Q18" s="482"/>
      <c r="R18" s="482"/>
    </row>
    <row r="19" spans="1:18" ht="14.5">
      <c r="A19" s="645" t="s">
        <v>1325</v>
      </c>
      <c r="B19" s="645" t="s">
        <v>1321</v>
      </c>
      <c r="C19" s="645" t="s">
        <v>1320</v>
      </c>
      <c r="D19" s="535">
        <v>31</v>
      </c>
      <c r="E19" s="534">
        <v>28400</v>
      </c>
      <c r="F19" s="534">
        <f>18000-1800*2</f>
        <v>14400</v>
      </c>
      <c r="G19" s="534">
        <v>42000</v>
      </c>
      <c r="H19" s="534">
        <f>56000/2</f>
        <v>28000</v>
      </c>
      <c r="I19" s="482">
        <v>1800</v>
      </c>
      <c r="K19" s="482" t="s">
        <v>1326</v>
      </c>
      <c r="L19" s="482"/>
      <c r="M19" s="482"/>
      <c r="N19" s="482"/>
      <c r="O19" s="482"/>
      <c r="P19" s="482"/>
      <c r="Q19" s="482"/>
      <c r="R19" s="482"/>
    </row>
    <row r="20" spans="1:18" ht="14.5">
      <c r="A20" s="645"/>
      <c r="B20" s="645"/>
      <c r="C20" s="645"/>
      <c r="D20" s="535">
        <v>35</v>
      </c>
      <c r="E20" s="534">
        <f t="shared" ref="E20:E22" si="6">G20-13600</f>
        <v>37400</v>
      </c>
      <c r="F20" s="534">
        <f t="shared" ref="F20:F22" si="7">H20-13600</f>
        <v>23400</v>
      </c>
      <c r="G20" s="534">
        <v>51000</v>
      </c>
      <c r="H20" s="534">
        <f>74000/2</f>
        <v>37000</v>
      </c>
      <c r="I20" s="482">
        <v>5000</v>
      </c>
      <c r="K20" s="482" t="s">
        <v>1327</v>
      </c>
      <c r="L20" s="482"/>
      <c r="M20" s="482"/>
      <c r="N20" s="482"/>
      <c r="O20" s="482"/>
      <c r="P20" s="482"/>
      <c r="Q20" s="482"/>
      <c r="R20" s="482"/>
    </row>
    <row r="21" spans="1:18" ht="14.5">
      <c r="A21" s="645"/>
      <c r="B21" s="645"/>
      <c r="C21" s="645"/>
      <c r="D21" s="535">
        <v>45</v>
      </c>
      <c r="E21" s="534">
        <f t="shared" si="6"/>
        <v>44200</v>
      </c>
      <c r="F21" s="534">
        <f t="shared" si="7"/>
        <v>29900</v>
      </c>
      <c r="G21" s="534">
        <v>57800</v>
      </c>
      <c r="H21" s="534">
        <f>87000/2</f>
        <v>43500</v>
      </c>
      <c r="I21" s="482"/>
      <c r="K21" s="482"/>
      <c r="L21" s="482"/>
      <c r="M21" s="482"/>
      <c r="N21" s="482"/>
      <c r="O21" s="482"/>
      <c r="P21" s="482"/>
      <c r="Q21" s="482"/>
      <c r="R21" s="482"/>
    </row>
    <row r="22" spans="1:18" ht="14.5">
      <c r="A22" s="645"/>
      <c r="B22" s="645"/>
      <c r="C22" s="645"/>
      <c r="D22" s="535">
        <v>63</v>
      </c>
      <c r="E22" s="534">
        <f t="shared" si="6"/>
        <v>68400</v>
      </c>
      <c r="F22" s="534">
        <f t="shared" si="7"/>
        <v>49400</v>
      </c>
      <c r="G22" s="534">
        <v>82000</v>
      </c>
      <c r="H22" s="534">
        <f>126000/2</f>
        <v>63000</v>
      </c>
      <c r="I22" s="482"/>
      <c r="K22" s="482"/>
      <c r="L22" s="482"/>
      <c r="M22" s="482"/>
      <c r="N22" s="482"/>
      <c r="O22" s="482"/>
      <c r="P22" s="482"/>
      <c r="Q22" s="482"/>
      <c r="R22" s="482"/>
    </row>
    <row r="23" spans="1:18" ht="14.5">
      <c r="A23" s="645"/>
      <c r="B23" s="645"/>
      <c r="C23" s="645"/>
      <c r="D23" s="535">
        <v>180</v>
      </c>
      <c r="E23" s="534">
        <f>G23-13600</f>
        <v>251200</v>
      </c>
      <c r="F23" s="534">
        <f>H23-13600</f>
        <v>240200</v>
      </c>
      <c r="G23" s="534">
        <v>264800</v>
      </c>
      <c r="H23" s="534">
        <v>253800</v>
      </c>
      <c r="I23" s="482"/>
      <c r="K23" s="482"/>
      <c r="L23" s="482"/>
      <c r="M23" s="482"/>
      <c r="N23" s="482"/>
      <c r="O23" s="482"/>
      <c r="P23" s="482"/>
      <c r="Q23" s="482"/>
      <c r="R23" s="482"/>
    </row>
    <row r="24" spans="1:18" ht="14.5">
      <c r="A24" s="638" t="s">
        <v>1330</v>
      </c>
      <c r="B24" s="638"/>
      <c r="C24" s="638"/>
      <c r="D24" s="535">
        <v>32</v>
      </c>
      <c r="E24" s="534">
        <v>43000</v>
      </c>
      <c r="F24" s="534">
        <v>22000</v>
      </c>
      <c r="G24" s="534">
        <f>E24+15000</f>
        <v>58000</v>
      </c>
      <c r="H24" s="534">
        <v>37000</v>
      </c>
      <c r="I24" s="482">
        <v>2500</v>
      </c>
      <c r="K24" s="482" t="s">
        <v>1326</v>
      </c>
      <c r="L24" s="482"/>
      <c r="M24" s="482"/>
      <c r="N24" s="482"/>
      <c r="O24" s="482"/>
      <c r="P24" s="482"/>
      <c r="Q24" s="482"/>
      <c r="R24" s="482"/>
    </row>
    <row r="25" spans="1:18" ht="14.5">
      <c r="A25" s="638"/>
      <c r="B25" s="638"/>
      <c r="C25" s="638"/>
      <c r="D25" s="535">
        <v>65</v>
      </c>
      <c r="E25" s="534">
        <v>105000</v>
      </c>
      <c r="F25" s="534">
        <v>53700</v>
      </c>
      <c r="G25" s="534">
        <f>E25+15000</f>
        <v>120000</v>
      </c>
      <c r="H25" s="534">
        <f>F25+15000</f>
        <v>68700</v>
      </c>
      <c r="I25" s="482">
        <v>2500</v>
      </c>
      <c r="K25" s="482" t="s">
        <v>1327</v>
      </c>
      <c r="L25" s="482"/>
      <c r="M25" s="482"/>
      <c r="N25" s="482"/>
      <c r="O25" s="482"/>
      <c r="P25" s="482"/>
      <c r="Q25" s="482"/>
      <c r="R25" s="482"/>
    </row>
    <row r="26" spans="1:18" ht="14.5">
      <c r="A26" s="638"/>
      <c r="B26" s="638"/>
      <c r="C26" s="638"/>
      <c r="D26" s="535">
        <v>200</v>
      </c>
      <c r="E26" s="534">
        <v>283021</v>
      </c>
      <c r="F26" s="534">
        <v>120000</v>
      </c>
      <c r="G26" s="534"/>
      <c r="H26" s="534"/>
      <c r="I26" s="482">
        <v>2500</v>
      </c>
      <c r="K26" s="482" t="s">
        <v>1331</v>
      </c>
      <c r="L26" s="482"/>
      <c r="M26" s="482"/>
      <c r="N26" s="482"/>
      <c r="O26" s="482"/>
      <c r="P26" s="482"/>
      <c r="Q26" s="482"/>
      <c r="R26" s="482"/>
    </row>
    <row r="27" spans="1:18" ht="14.5">
      <c r="A27" s="536"/>
      <c r="B27" s="536"/>
      <c r="C27" s="536"/>
      <c r="D27" s="537"/>
      <c r="E27" s="538"/>
      <c r="F27" s="538"/>
      <c r="G27" s="538"/>
      <c r="H27" s="538"/>
      <c r="I27" s="482"/>
      <c r="K27" s="482"/>
      <c r="L27" s="482"/>
      <c r="M27" s="482"/>
      <c r="N27" s="482"/>
      <c r="O27" s="482"/>
      <c r="P27" s="482"/>
      <c r="Q27" s="482"/>
      <c r="R27" s="482"/>
    </row>
    <row r="28" spans="1:18" ht="14.5">
      <c r="A28" s="646" t="s">
        <v>1544</v>
      </c>
      <c r="B28" s="647"/>
      <c r="C28" s="540" t="s">
        <v>674</v>
      </c>
      <c r="D28" s="540" t="s">
        <v>673</v>
      </c>
      <c r="E28" s="539" t="s">
        <v>672</v>
      </c>
      <c r="F28" s="538"/>
      <c r="G28" s="538"/>
      <c r="H28" s="538"/>
      <c r="I28" s="482"/>
      <c r="K28" s="482"/>
      <c r="L28" s="482"/>
      <c r="M28" s="482"/>
      <c r="N28" s="482"/>
      <c r="O28" s="482"/>
      <c r="P28" s="482"/>
      <c r="Q28" s="482"/>
      <c r="R28" s="482"/>
    </row>
    <row r="29" spans="1:18" ht="14.5">
      <c r="A29" s="639" t="s">
        <v>1545</v>
      </c>
      <c r="B29" s="641"/>
      <c r="C29" s="542">
        <v>180</v>
      </c>
      <c r="D29" s="542">
        <v>100</v>
      </c>
      <c r="E29" s="543">
        <v>140</v>
      </c>
      <c r="F29" s="538"/>
      <c r="G29" s="538"/>
      <c r="H29" s="538"/>
      <c r="I29" s="482"/>
      <c r="K29" s="482"/>
      <c r="L29" s="482"/>
      <c r="M29" s="482"/>
      <c r="N29" s="482"/>
      <c r="O29" s="482"/>
      <c r="P29" s="482"/>
      <c r="Q29" s="482"/>
      <c r="R29" s="482"/>
    </row>
    <row r="30" spans="1:18" ht="14.5">
      <c r="A30" s="639" t="s">
        <v>1546</v>
      </c>
      <c r="B30" s="641"/>
      <c r="C30" s="544">
        <f>C34*100/D34</f>
        <v>222.48939179632248</v>
      </c>
      <c r="D30" s="544">
        <v>100</v>
      </c>
      <c r="E30" s="545">
        <f>E34*100/D34</f>
        <v>161.24469589816124</v>
      </c>
      <c r="F30" s="538"/>
      <c r="G30" s="538"/>
      <c r="H30" s="538"/>
      <c r="I30" s="482"/>
      <c r="K30" s="482"/>
      <c r="L30" s="482"/>
      <c r="M30" s="482"/>
      <c r="N30" s="482"/>
      <c r="O30" s="482"/>
      <c r="P30" s="482"/>
      <c r="Q30" s="482"/>
      <c r="R30" s="482"/>
    </row>
    <row r="31" spans="1:18" ht="14.5">
      <c r="A31" s="536"/>
      <c r="B31" s="536"/>
      <c r="C31" s="536"/>
      <c r="D31" s="537"/>
      <c r="E31" s="538"/>
      <c r="F31" s="538"/>
      <c r="G31" s="538"/>
      <c r="H31" s="538"/>
      <c r="I31" s="482"/>
      <c r="K31" s="482"/>
      <c r="L31" s="482"/>
      <c r="M31" s="482"/>
      <c r="N31" s="482"/>
      <c r="O31" s="482"/>
      <c r="P31" s="482"/>
      <c r="Q31" s="482"/>
      <c r="R31" s="482"/>
    </row>
    <row r="32" spans="1:18" ht="14.5">
      <c r="A32" s="546" t="s">
        <v>1350</v>
      </c>
      <c r="B32" s="547"/>
      <c r="C32" s="548"/>
      <c r="D32" s="548"/>
      <c r="E32" s="549"/>
      <c r="F32" s="548"/>
      <c r="G32" s="538"/>
      <c r="H32" s="538"/>
      <c r="I32" s="482"/>
      <c r="K32" s="482"/>
      <c r="L32" s="482"/>
      <c r="M32" s="482"/>
      <c r="N32" s="482"/>
      <c r="O32" s="482"/>
      <c r="P32" s="482"/>
      <c r="Q32" s="482"/>
      <c r="R32" s="482"/>
    </row>
    <row r="33" spans="1:18" ht="14.5">
      <c r="A33" s="550" t="s">
        <v>1547</v>
      </c>
      <c r="B33" s="551" t="s">
        <v>1511</v>
      </c>
      <c r="C33" s="552" t="s">
        <v>674</v>
      </c>
      <c r="D33" s="552" t="s">
        <v>673</v>
      </c>
      <c r="E33" s="553" t="s">
        <v>672</v>
      </c>
      <c r="F33" s="554" t="s">
        <v>1548</v>
      </c>
      <c r="G33" s="541"/>
      <c r="H33" s="541"/>
      <c r="I33" s="482"/>
      <c r="J33" s="482"/>
      <c r="K33" s="482"/>
      <c r="L33" s="482"/>
      <c r="M33" s="482"/>
      <c r="N33" s="482"/>
      <c r="O33" s="482"/>
      <c r="P33" s="482"/>
      <c r="Q33" s="482"/>
      <c r="R33" s="482"/>
    </row>
    <row r="34" spans="1:18" ht="14.5">
      <c r="A34" s="555" t="s">
        <v>1549</v>
      </c>
      <c r="B34" s="555"/>
      <c r="C34" s="556">
        <f>AVERAGE(E3,E8,E13,E19,E24)</f>
        <v>28314</v>
      </c>
      <c r="D34" s="556">
        <f>AVERAGE(F3,F8,F13,F19,F24)</f>
        <v>12726</v>
      </c>
      <c r="E34" s="556">
        <f>AVERAGE(C34:D34)</f>
        <v>20520</v>
      </c>
      <c r="F34" s="557"/>
      <c r="H34" s="541"/>
      <c r="I34" s="482"/>
      <c r="J34" s="482"/>
      <c r="K34" s="482"/>
      <c r="L34" s="482"/>
      <c r="M34" s="482"/>
      <c r="N34" s="482"/>
      <c r="O34" s="482"/>
      <c r="P34" s="482"/>
      <c r="Q34" s="482"/>
      <c r="R34" s="482"/>
    </row>
    <row r="35" spans="1:18" ht="14.5">
      <c r="A35" s="555" t="s">
        <v>1348</v>
      </c>
      <c r="B35" s="558"/>
      <c r="C35" s="556">
        <f>AVERAGE(E4,E9,E14,E20,E24)</f>
        <v>34264</v>
      </c>
      <c r="D35" s="556">
        <f>AVERAGE(F4,F9,F14,F20,F24)</f>
        <v>17260</v>
      </c>
      <c r="E35" s="556">
        <f>AVERAGE(C35:D35)</f>
        <v>25762</v>
      </c>
      <c r="F35" s="559">
        <f>E35*100/$E$34</f>
        <v>125.5458089668616</v>
      </c>
      <c r="H35" s="487"/>
      <c r="I35" s="491"/>
      <c r="J35" s="482"/>
      <c r="K35" s="482"/>
      <c r="L35" s="482"/>
      <c r="M35" s="482"/>
      <c r="N35" s="482"/>
      <c r="O35" s="482"/>
      <c r="P35" s="482"/>
      <c r="Q35" s="482"/>
      <c r="R35" s="482"/>
    </row>
    <row r="36" spans="1:18" ht="14.5">
      <c r="A36" s="555" t="s">
        <v>1349</v>
      </c>
      <c r="B36" s="558"/>
      <c r="C36" s="556">
        <f>AVERAGE(E6,E10,E15,E21)</f>
        <v>40332.5</v>
      </c>
      <c r="D36" s="556">
        <f>AVERAGE(F6,F10,F15,F21)</f>
        <v>21550</v>
      </c>
      <c r="E36" s="556">
        <f>AVERAGE(C36:D36)</f>
        <v>30941.25</v>
      </c>
      <c r="F36" s="559">
        <f>E36*100/$E$34</f>
        <v>150.78581871345028</v>
      </c>
      <c r="J36" s="482"/>
      <c r="K36" s="482"/>
      <c r="L36" s="482"/>
      <c r="M36" s="482"/>
      <c r="N36" s="482"/>
      <c r="O36" s="482"/>
      <c r="P36" s="482"/>
      <c r="Q36" s="482"/>
      <c r="R36" s="482"/>
    </row>
    <row r="37" spans="1:18" ht="14.5">
      <c r="A37" s="555" t="s">
        <v>1351</v>
      </c>
      <c r="B37" s="558"/>
      <c r="C37" s="556">
        <f>E7</f>
        <v>76660</v>
      </c>
      <c r="D37" s="556">
        <f>F7</f>
        <v>33000</v>
      </c>
      <c r="E37" s="556">
        <f>AVERAGE(C37:D37)</f>
        <v>54830</v>
      </c>
      <c r="F37" s="559">
        <f>E37*100/$E$34</f>
        <v>267.20272904483431</v>
      </c>
      <c r="J37" s="482"/>
      <c r="K37" s="482"/>
      <c r="L37" s="482"/>
      <c r="M37" s="482"/>
      <c r="N37" s="482"/>
      <c r="O37" s="482"/>
      <c r="P37" s="482"/>
      <c r="Q37" s="482"/>
      <c r="R37" s="482"/>
    </row>
    <row r="38" spans="1:18" ht="14.5">
      <c r="A38" s="555" t="s">
        <v>1352</v>
      </c>
      <c r="B38" s="558"/>
      <c r="C38" s="556">
        <f>AVERAGE(E5,E18)</f>
        <v>66485</v>
      </c>
      <c r="D38" s="556">
        <f>AVERAGE(F5,F18)</f>
        <v>32700</v>
      </c>
      <c r="E38" s="556">
        <f>AVERAGE(C38:D38)</f>
        <v>49592.5</v>
      </c>
      <c r="F38" s="559">
        <f>E38*100/$E$34</f>
        <v>241.67884990253413</v>
      </c>
      <c r="J38" s="482"/>
      <c r="K38" s="482"/>
      <c r="L38" s="482"/>
      <c r="M38" s="482"/>
      <c r="N38" s="482"/>
      <c r="O38" s="482"/>
      <c r="P38" s="482"/>
      <c r="Q38" s="482"/>
      <c r="R38" s="482"/>
    </row>
    <row r="39" spans="1:18" ht="14.5">
      <c r="A39" s="488"/>
      <c r="B39" s="488"/>
      <c r="D39" s="489"/>
      <c r="J39" s="482"/>
      <c r="K39" s="482"/>
      <c r="L39" s="482"/>
      <c r="M39" s="482"/>
      <c r="N39" s="482"/>
      <c r="O39" s="482"/>
      <c r="P39" s="482"/>
      <c r="Q39" s="482"/>
      <c r="R39" s="482"/>
    </row>
    <row r="40" spans="1:18" ht="14.5">
      <c r="A40" s="560" t="s">
        <v>1514</v>
      </c>
      <c r="B40" s="560"/>
      <c r="C40" s="560"/>
      <c r="D40" s="560"/>
      <c r="E40" s="560"/>
      <c r="F40" s="560"/>
      <c r="I40" s="482"/>
      <c r="J40" s="482"/>
      <c r="K40" s="482"/>
      <c r="L40" s="482"/>
      <c r="M40" s="482"/>
      <c r="N40" s="482"/>
      <c r="O40" s="482"/>
      <c r="P40" s="482"/>
      <c r="Q40" s="482"/>
      <c r="R40" s="482"/>
    </row>
    <row r="41" spans="1:18" ht="15.75" customHeight="1">
      <c r="A41" s="639" t="s">
        <v>1523</v>
      </c>
      <c r="B41" s="640"/>
      <c r="C41" s="640"/>
      <c r="D41" s="641"/>
      <c r="E41" s="534">
        <f>D34*0.9</f>
        <v>11453.4</v>
      </c>
      <c r="F41" s="561"/>
      <c r="G41" s="487"/>
      <c r="H41" s="487"/>
      <c r="I41" s="482"/>
      <c r="J41" s="482"/>
      <c r="K41" s="482"/>
      <c r="L41" s="482"/>
      <c r="M41" s="482"/>
      <c r="N41" s="482"/>
      <c r="O41" s="482"/>
      <c r="P41" s="482"/>
      <c r="Q41" s="482"/>
      <c r="R41" s="482"/>
    </row>
    <row r="42" spans="1:18" ht="15.75" customHeight="1">
      <c r="A42" s="639" t="s">
        <v>1353</v>
      </c>
      <c r="B42" s="640"/>
      <c r="C42" s="640"/>
      <c r="D42" s="641"/>
      <c r="E42" s="534">
        <f>E41*(Предпосылки!L58+1)</f>
        <v>12117.697200000001</v>
      </c>
      <c r="F42" s="534"/>
      <c r="H42" s="482"/>
      <c r="I42" s="482"/>
      <c r="J42" s="482"/>
      <c r="K42" s="482"/>
      <c r="L42" s="482"/>
      <c r="M42" s="482"/>
      <c r="N42" s="482"/>
      <c r="O42" s="482"/>
      <c r="P42" s="482"/>
      <c r="Q42" s="482"/>
      <c r="R42" s="482"/>
    </row>
    <row r="43" spans="1:18" ht="15.75" customHeight="1">
      <c r="A43" s="642" t="s">
        <v>1550</v>
      </c>
      <c r="B43" s="643"/>
      <c r="C43" s="643"/>
      <c r="D43" s="644"/>
      <c r="E43" s="540">
        <f>E42/1.2</f>
        <v>10098.081</v>
      </c>
      <c r="F43" s="540"/>
      <c r="H43" s="482"/>
      <c r="I43" s="482"/>
      <c r="J43" s="482"/>
      <c r="K43" s="482"/>
      <c r="L43" s="482"/>
      <c r="M43" s="482"/>
      <c r="N43" s="482"/>
      <c r="O43" s="482"/>
      <c r="P43" s="482"/>
      <c r="Q43" s="482"/>
      <c r="R43" s="482"/>
    </row>
    <row r="44" spans="1:18" ht="15.75" customHeight="1">
      <c r="A44" s="488"/>
      <c r="H44" s="482"/>
      <c r="I44" s="482"/>
      <c r="J44" s="482"/>
      <c r="K44" s="482"/>
      <c r="L44" s="482"/>
      <c r="M44" s="482"/>
      <c r="N44" s="482"/>
      <c r="O44" s="482"/>
      <c r="P44" s="482"/>
      <c r="Q44" s="482"/>
      <c r="R44" s="482"/>
    </row>
    <row r="45" spans="1:18" ht="15.75" customHeight="1">
      <c r="A45" s="562" t="s">
        <v>1551</v>
      </c>
      <c r="B45" s="482"/>
      <c r="C45" s="482"/>
      <c r="D45" s="482"/>
      <c r="E45" s="482"/>
      <c r="F45" s="524" t="s">
        <v>1513</v>
      </c>
      <c r="G45" s="482"/>
      <c r="H45" s="482"/>
      <c r="I45" s="482"/>
      <c r="J45" s="491"/>
      <c r="K45" s="482"/>
      <c r="L45" s="482"/>
      <c r="M45" s="482"/>
      <c r="N45" s="482"/>
      <c r="O45" s="482"/>
      <c r="P45" s="482"/>
      <c r="Q45" s="482"/>
      <c r="R45" s="482"/>
    </row>
    <row r="46" spans="1:18" ht="15.75" customHeight="1">
      <c r="A46" s="533" t="s">
        <v>1317</v>
      </c>
      <c r="B46" s="533" t="s">
        <v>1318</v>
      </c>
      <c r="C46" s="533" t="s">
        <v>1319</v>
      </c>
      <c r="D46" s="533" t="s">
        <v>1552</v>
      </c>
      <c r="E46" s="533" t="s">
        <v>1553</v>
      </c>
      <c r="F46" s="540" t="s">
        <v>22</v>
      </c>
      <c r="G46" s="540" t="s">
        <v>1554</v>
      </c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</row>
    <row r="47" spans="1:18" ht="15.75" customHeight="1">
      <c r="A47" s="645" t="s">
        <v>1325</v>
      </c>
      <c r="B47" s="645" t="s">
        <v>1321</v>
      </c>
      <c r="C47" s="645" t="s">
        <v>1320</v>
      </c>
      <c r="D47" s="528">
        <v>1800</v>
      </c>
      <c r="E47" s="528" t="s">
        <v>1326</v>
      </c>
      <c r="F47" s="528" t="s">
        <v>1354</v>
      </c>
      <c r="G47" s="528">
        <f>SUM(I19:I26)/2</f>
        <v>7150</v>
      </c>
      <c r="H47" s="482"/>
      <c r="I47" s="482"/>
      <c r="J47" s="482"/>
      <c r="K47" s="482"/>
      <c r="L47" s="482"/>
      <c r="M47" s="482"/>
      <c r="N47" s="482"/>
      <c r="O47" s="482"/>
      <c r="P47" s="482"/>
      <c r="Q47" s="482"/>
      <c r="R47" s="482"/>
    </row>
    <row r="48" spans="1:18" ht="15.75" customHeight="1">
      <c r="A48" s="645"/>
      <c r="B48" s="645"/>
      <c r="C48" s="645"/>
      <c r="D48" s="528">
        <v>5000</v>
      </c>
      <c r="E48" s="528" t="s">
        <v>1327</v>
      </c>
      <c r="F48" s="528" t="s">
        <v>1355</v>
      </c>
      <c r="G48" s="528">
        <f>(Предпосылки!L58+1)*G47</f>
        <v>7564.7000000000007</v>
      </c>
      <c r="H48" s="482"/>
      <c r="I48" s="482"/>
      <c r="J48" s="482"/>
      <c r="K48" s="482"/>
      <c r="L48" s="482"/>
      <c r="M48" s="482"/>
      <c r="N48" s="482"/>
      <c r="O48" s="482"/>
      <c r="P48" s="482"/>
      <c r="Q48" s="482"/>
      <c r="R48" s="482"/>
    </row>
    <row r="49" spans="1:18" ht="15.75" customHeight="1">
      <c r="A49" s="645"/>
      <c r="B49" s="645"/>
      <c r="C49" s="645"/>
      <c r="D49" s="528"/>
      <c r="E49" s="528"/>
      <c r="F49" s="528" t="s">
        <v>1507</v>
      </c>
      <c r="G49" s="528">
        <v>1000</v>
      </c>
      <c r="H49" s="482"/>
      <c r="I49" s="482"/>
      <c r="J49" s="482"/>
      <c r="K49" s="482"/>
      <c r="L49" s="482"/>
      <c r="M49" s="482"/>
      <c r="N49" s="482"/>
      <c r="O49" s="482"/>
      <c r="P49" s="482"/>
      <c r="Q49" s="482"/>
      <c r="R49" s="482"/>
    </row>
    <row r="50" spans="1:18" ht="15.75" customHeight="1">
      <c r="A50" s="645"/>
      <c r="B50" s="645"/>
      <c r="C50" s="645"/>
      <c r="D50" s="528"/>
      <c r="E50" s="528"/>
      <c r="F50" s="528" t="s">
        <v>1557</v>
      </c>
      <c r="G50" s="528">
        <f>(G49+G48)/1.2*0.9*(Предпосылки!L58+1)</f>
        <v>6796.0894500000013</v>
      </c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</row>
    <row r="51" spans="1:18" ht="15.75" customHeight="1">
      <c r="A51" s="645"/>
      <c r="B51" s="645"/>
      <c r="C51" s="645"/>
      <c r="D51" s="528"/>
      <c r="E51" s="528"/>
      <c r="F51" s="528"/>
      <c r="G51" s="528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</row>
    <row r="52" spans="1:18" ht="15.75" customHeight="1">
      <c r="A52" s="638" t="s">
        <v>1330</v>
      </c>
      <c r="B52" s="638" t="s">
        <v>1555</v>
      </c>
      <c r="C52" s="638" t="s">
        <v>1320</v>
      </c>
      <c r="D52" s="528">
        <v>2500</v>
      </c>
      <c r="E52" s="528" t="s">
        <v>1326</v>
      </c>
      <c r="F52" s="528"/>
      <c r="G52" s="528"/>
      <c r="H52" s="482"/>
      <c r="I52" s="482"/>
      <c r="J52" s="482"/>
      <c r="K52" s="482"/>
      <c r="L52" s="482"/>
      <c r="M52" s="482"/>
      <c r="N52" s="482"/>
      <c r="O52" s="482"/>
      <c r="P52" s="482"/>
      <c r="Q52" s="482"/>
      <c r="R52" s="482"/>
    </row>
    <row r="53" spans="1:18" ht="15.75" customHeight="1">
      <c r="A53" s="638"/>
      <c r="B53" s="638"/>
      <c r="C53" s="638"/>
      <c r="D53" s="528">
        <v>2500</v>
      </c>
      <c r="E53" s="528" t="s">
        <v>1556</v>
      </c>
      <c r="F53" s="528"/>
      <c r="G53" s="528"/>
      <c r="H53" s="482"/>
      <c r="I53" s="482"/>
      <c r="J53" s="482"/>
      <c r="K53" s="482"/>
      <c r="L53" s="482"/>
      <c r="M53" s="482"/>
      <c r="N53" s="482"/>
      <c r="O53" s="482"/>
      <c r="P53" s="482"/>
      <c r="Q53" s="482"/>
      <c r="R53" s="482"/>
    </row>
    <row r="54" spans="1:18" ht="15.75" customHeight="1">
      <c r="A54" s="638"/>
      <c r="B54" s="638"/>
      <c r="C54" s="638"/>
      <c r="D54" s="528">
        <v>2500</v>
      </c>
      <c r="E54" s="528" t="s">
        <v>1331</v>
      </c>
      <c r="F54" s="528"/>
      <c r="G54" s="528"/>
      <c r="H54" s="482"/>
      <c r="I54" s="482"/>
      <c r="J54" s="482"/>
      <c r="K54" s="482"/>
      <c r="L54" s="482"/>
      <c r="M54" s="482"/>
      <c r="N54" s="482"/>
      <c r="O54" s="482"/>
      <c r="P54" s="482"/>
      <c r="Q54" s="482"/>
      <c r="R54" s="482"/>
    </row>
    <row r="55" spans="1:18" ht="15.75" customHeight="1">
      <c r="A55" s="486"/>
      <c r="B55" s="482"/>
      <c r="C55" s="482"/>
      <c r="D55" s="482"/>
      <c r="E55" s="482"/>
      <c r="F55" s="482"/>
      <c r="G55" s="482"/>
      <c r="H55" s="482"/>
      <c r="I55" s="482"/>
      <c r="J55" s="482"/>
      <c r="K55" s="482"/>
      <c r="L55" s="482"/>
      <c r="M55" s="482"/>
      <c r="N55" s="482"/>
      <c r="O55" s="482"/>
      <c r="P55" s="482"/>
      <c r="Q55" s="482"/>
      <c r="R55" s="482"/>
    </row>
    <row r="56" spans="1:18" ht="15.75" customHeight="1">
      <c r="A56" s="486"/>
      <c r="B56" s="482"/>
      <c r="C56" s="482"/>
      <c r="D56" s="489"/>
      <c r="E56" s="487"/>
      <c r="F56" s="487"/>
      <c r="G56" s="482"/>
      <c r="H56" s="482"/>
      <c r="I56" s="482"/>
      <c r="J56" s="482"/>
      <c r="K56" s="482"/>
      <c r="L56" s="482"/>
      <c r="M56" s="482"/>
      <c r="N56" s="482"/>
      <c r="O56" s="482"/>
      <c r="P56" s="482"/>
      <c r="Q56" s="482"/>
      <c r="R56" s="482"/>
    </row>
    <row r="57" spans="1:18" ht="15.75" customHeight="1">
      <c r="A57" s="486"/>
      <c r="B57" s="482"/>
      <c r="C57" s="482"/>
      <c r="D57" s="489"/>
      <c r="E57" s="487"/>
      <c r="F57" s="487"/>
      <c r="G57" s="482"/>
      <c r="H57" s="482"/>
      <c r="I57" s="482"/>
      <c r="J57" s="482"/>
      <c r="K57" s="482"/>
      <c r="L57" s="482"/>
      <c r="M57" s="482"/>
      <c r="N57" s="482"/>
      <c r="O57" s="482"/>
      <c r="P57" s="482"/>
      <c r="Q57" s="482"/>
      <c r="R57" s="482"/>
    </row>
    <row r="58" spans="1:18" ht="15.75" customHeight="1">
      <c r="A58" s="486"/>
      <c r="B58" s="482"/>
      <c r="C58" s="482"/>
      <c r="D58" s="489"/>
      <c r="E58" s="487"/>
      <c r="F58" s="487"/>
      <c r="G58" s="482"/>
      <c r="H58" s="482"/>
      <c r="I58" s="482"/>
      <c r="J58" s="482"/>
      <c r="K58" s="482"/>
      <c r="L58" s="482"/>
      <c r="M58" s="482"/>
      <c r="N58" s="482"/>
      <c r="O58" s="482"/>
      <c r="P58" s="482"/>
      <c r="Q58" s="482"/>
      <c r="R58" s="482"/>
    </row>
    <row r="59" spans="1:18" ht="15.75" customHeight="1">
      <c r="A59" s="486"/>
      <c r="B59" s="482"/>
      <c r="C59" s="482"/>
      <c r="D59" s="482"/>
      <c r="E59" s="482"/>
      <c r="F59" s="482"/>
      <c r="G59" s="482"/>
      <c r="H59" s="482"/>
      <c r="I59" s="482"/>
      <c r="J59" s="482"/>
      <c r="K59" s="482"/>
      <c r="L59" s="482"/>
      <c r="M59" s="482"/>
      <c r="N59" s="482"/>
      <c r="O59" s="482"/>
      <c r="P59" s="482"/>
      <c r="Q59" s="482"/>
      <c r="R59" s="482"/>
    </row>
    <row r="60" spans="1:18" ht="15.75" customHeight="1">
      <c r="A60" s="486"/>
      <c r="B60" s="482"/>
      <c r="C60" s="482"/>
      <c r="D60" s="482"/>
      <c r="E60" s="482"/>
      <c r="F60" s="482"/>
      <c r="G60" s="482"/>
      <c r="H60" s="482"/>
      <c r="I60" s="482"/>
      <c r="J60" s="482"/>
      <c r="K60" s="482"/>
      <c r="L60" s="482"/>
      <c r="M60" s="482"/>
      <c r="N60" s="482"/>
      <c r="O60" s="482"/>
      <c r="P60" s="482"/>
      <c r="Q60" s="482"/>
      <c r="R60" s="482"/>
    </row>
    <row r="61" spans="1:18" ht="15.75" customHeight="1">
      <c r="A61" s="486"/>
      <c r="B61" s="482"/>
      <c r="C61" s="482"/>
      <c r="D61" s="482"/>
      <c r="E61" s="482"/>
      <c r="F61" s="482"/>
      <c r="G61" s="482"/>
      <c r="H61" s="482"/>
      <c r="I61" s="482"/>
      <c r="J61" s="482"/>
      <c r="K61" s="482"/>
      <c r="L61" s="482"/>
      <c r="M61" s="482"/>
      <c r="N61" s="482"/>
      <c r="O61" s="482"/>
      <c r="P61" s="482"/>
      <c r="Q61" s="482"/>
      <c r="R61" s="482"/>
    </row>
    <row r="62" spans="1:18" ht="15.75" customHeight="1">
      <c r="A62" s="486"/>
      <c r="B62" s="482"/>
      <c r="C62" s="482"/>
      <c r="D62" s="482"/>
      <c r="E62" s="482"/>
      <c r="F62" s="482"/>
      <c r="G62" s="482"/>
      <c r="H62" s="482"/>
      <c r="I62" s="482"/>
      <c r="J62" s="482"/>
      <c r="K62" s="482"/>
      <c r="L62" s="482"/>
      <c r="M62" s="482"/>
      <c r="N62" s="482"/>
      <c r="O62" s="482"/>
      <c r="P62" s="482"/>
      <c r="Q62" s="482"/>
      <c r="R62" s="482"/>
    </row>
    <row r="63" spans="1:18" ht="15.75" customHeight="1">
      <c r="A63" s="486"/>
      <c r="B63" s="482"/>
      <c r="C63" s="482"/>
      <c r="D63" s="482"/>
      <c r="E63" s="482"/>
      <c r="F63" s="482"/>
      <c r="G63" s="482"/>
      <c r="H63" s="482"/>
      <c r="I63" s="482"/>
      <c r="J63" s="482"/>
      <c r="K63" s="482"/>
      <c r="L63" s="482"/>
      <c r="M63" s="482"/>
      <c r="N63" s="482"/>
      <c r="O63" s="482"/>
      <c r="P63" s="482"/>
      <c r="Q63" s="482"/>
      <c r="R63" s="482"/>
    </row>
    <row r="64" spans="1:18" ht="15.75" customHeight="1">
      <c r="A64" s="486"/>
      <c r="B64" s="482"/>
      <c r="C64" s="482"/>
      <c r="D64" s="482"/>
      <c r="E64" s="482"/>
      <c r="F64" s="482"/>
      <c r="G64" s="482"/>
      <c r="H64" s="482"/>
      <c r="I64" s="482"/>
      <c r="J64" s="482"/>
      <c r="K64" s="482"/>
      <c r="L64" s="482"/>
      <c r="M64" s="482"/>
      <c r="N64" s="482"/>
      <c r="O64" s="482"/>
      <c r="P64" s="482"/>
      <c r="Q64" s="482"/>
      <c r="R64" s="482"/>
    </row>
    <row r="65" spans="1:18" ht="15.75" customHeight="1">
      <c r="A65" s="486"/>
      <c r="B65" s="482"/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</row>
    <row r="66" spans="1:18" ht="15.75" customHeight="1">
      <c r="A66" s="486"/>
      <c r="B66" s="482"/>
      <c r="C66" s="482"/>
      <c r="D66" s="482"/>
      <c r="E66" s="482"/>
      <c r="F66" s="482"/>
      <c r="G66" s="482"/>
      <c r="H66" s="482"/>
      <c r="I66" s="482"/>
      <c r="J66" s="482"/>
      <c r="K66" s="482"/>
      <c r="L66" s="482"/>
      <c r="M66" s="482"/>
      <c r="N66" s="482"/>
      <c r="O66" s="482"/>
      <c r="P66" s="482"/>
      <c r="Q66" s="482"/>
      <c r="R66" s="482"/>
    </row>
    <row r="67" spans="1:18" ht="15.75" customHeight="1">
      <c r="A67" s="486"/>
      <c r="B67" s="482"/>
      <c r="C67" s="482"/>
      <c r="D67" s="482"/>
      <c r="E67" s="482"/>
      <c r="F67" s="482"/>
      <c r="G67" s="482"/>
      <c r="H67" s="482"/>
      <c r="I67" s="482"/>
      <c r="J67" s="482"/>
      <c r="K67" s="482"/>
      <c r="L67" s="482"/>
      <c r="M67" s="482"/>
      <c r="N67" s="482"/>
      <c r="O67" s="482"/>
      <c r="P67" s="482"/>
      <c r="Q67" s="482"/>
      <c r="R67" s="482"/>
    </row>
    <row r="68" spans="1:18" ht="15.75" customHeight="1">
      <c r="A68" s="486"/>
      <c r="B68" s="482"/>
      <c r="C68" s="482"/>
      <c r="D68" s="482"/>
      <c r="E68" s="482"/>
      <c r="F68" s="482"/>
      <c r="G68" s="482"/>
      <c r="H68" s="482"/>
      <c r="I68" s="482"/>
      <c r="J68" s="482"/>
      <c r="K68" s="482"/>
      <c r="L68" s="482"/>
      <c r="M68" s="482"/>
      <c r="N68" s="482"/>
      <c r="O68" s="482"/>
      <c r="P68" s="482"/>
      <c r="Q68" s="482"/>
      <c r="R68" s="482"/>
    </row>
    <row r="69" spans="1:18" ht="15.75" customHeight="1">
      <c r="A69" s="486"/>
      <c r="B69" s="482"/>
      <c r="C69" s="482"/>
      <c r="D69" s="482"/>
      <c r="E69" s="482"/>
      <c r="F69" s="482"/>
      <c r="G69" s="482"/>
      <c r="H69" s="482"/>
      <c r="I69" s="482"/>
      <c r="J69" s="482"/>
      <c r="K69" s="482"/>
      <c r="L69" s="482"/>
      <c r="M69" s="482"/>
      <c r="N69" s="482"/>
      <c r="O69" s="482"/>
      <c r="P69" s="482"/>
      <c r="Q69" s="482"/>
      <c r="R69" s="482"/>
    </row>
    <row r="70" spans="1:18" ht="15.75" customHeight="1">
      <c r="A70" s="486"/>
      <c r="B70" s="482"/>
      <c r="C70" s="482"/>
      <c r="D70" s="482"/>
      <c r="E70" s="482"/>
      <c r="F70" s="482"/>
      <c r="G70" s="482"/>
      <c r="H70" s="482"/>
      <c r="I70" s="482"/>
      <c r="J70" s="482"/>
      <c r="K70" s="482"/>
      <c r="L70" s="482"/>
      <c r="M70" s="482"/>
      <c r="N70" s="482"/>
      <c r="O70" s="482"/>
      <c r="P70" s="482"/>
      <c r="Q70" s="482"/>
      <c r="R70" s="482"/>
    </row>
    <row r="71" spans="1:18" ht="15.75" customHeight="1">
      <c r="A71" s="486"/>
      <c r="B71" s="482"/>
      <c r="C71" s="482"/>
      <c r="D71" s="482"/>
      <c r="E71" s="482"/>
      <c r="F71" s="482"/>
      <c r="G71" s="482"/>
      <c r="H71" s="482"/>
      <c r="I71" s="482"/>
      <c r="J71" s="482"/>
      <c r="K71" s="482"/>
      <c r="L71" s="482"/>
      <c r="M71" s="482"/>
      <c r="N71" s="482"/>
      <c r="O71" s="482"/>
      <c r="P71" s="482"/>
      <c r="Q71" s="482"/>
      <c r="R71" s="482"/>
    </row>
    <row r="72" spans="1:18" ht="15.75" customHeight="1">
      <c r="A72" s="486"/>
      <c r="B72" s="482"/>
      <c r="C72" s="482"/>
      <c r="D72" s="482"/>
      <c r="E72" s="482"/>
      <c r="F72" s="482"/>
      <c r="G72" s="482"/>
      <c r="H72" s="482"/>
      <c r="I72" s="482"/>
      <c r="J72" s="482"/>
      <c r="K72" s="482"/>
      <c r="L72" s="482"/>
      <c r="M72" s="482"/>
      <c r="N72" s="482"/>
      <c r="O72" s="482"/>
      <c r="P72" s="482"/>
      <c r="Q72" s="482"/>
      <c r="R72" s="482"/>
    </row>
    <row r="73" spans="1:18" ht="15.75" customHeight="1">
      <c r="A73" s="486"/>
      <c r="B73" s="482"/>
      <c r="C73" s="482"/>
      <c r="D73" s="482"/>
      <c r="E73" s="482"/>
      <c r="F73" s="482"/>
      <c r="G73" s="482"/>
      <c r="H73" s="482"/>
      <c r="I73" s="482"/>
      <c r="J73" s="482"/>
      <c r="K73" s="482"/>
      <c r="L73" s="482"/>
      <c r="M73" s="482"/>
      <c r="N73" s="482"/>
      <c r="O73" s="482"/>
      <c r="P73" s="482"/>
      <c r="Q73" s="482"/>
      <c r="R73" s="482"/>
    </row>
    <row r="74" spans="1:18" ht="15.75" customHeight="1">
      <c r="A74" s="486"/>
      <c r="B74" s="482"/>
      <c r="C74" s="482"/>
      <c r="D74" s="482"/>
      <c r="E74" s="482"/>
      <c r="F74" s="482"/>
      <c r="G74" s="482"/>
      <c r="H74" s="482"/>
      <c r="I74" s="482"/>
      <c r="J74" s="482"/>
      <c r="K74" s="482"/>
      <c r="L74" s="482"/>
      <c r="M74" s="482"/>
      <c r="N74" s="482"/>
      <c r="O74" s="482"/>
      <c r="P74" s="482"/>
      <c r="Q74" s="482"/>
      <c r="R74" s="482"/>
    </row>
    <row r="75" spans="1:18" ht="15.75" customHeight="1">
      <c r="A75" s="486"/>
      <c r="B75" s="482"/>
      <c r="C75" s="482"/>
      <c r="D75" s="482"/>
      <c r="E75" s="482"/>
      <c r="F75" s="482"/>
      <c r="G75" s="482"/>
      <c r="H75" s="482"/>
      <c r="I75" s="482"/>
      <c r="J75" s="482"/>
      <c r="K75" s="482"/>
      <c r="L75" s="482"/>
      <c r="M75" s="482"/>
      <c r="N75" s="482"/>
      <c r="O75" s="482"/>
      <c r="P75" s="482"/>
      <c r="Q75" s="482"/>
      <c r="R75" s="482"/>
    </row>
    <row r="76" spans="1:18" ht="15.75" customHeight="1">
      <c r="A76" s="486"/>
      <c r="B76" s="482"/>
      <c r="C76" s="482"/>
      <c r="D76" s="482"/>
      <c r="E76" s="482"/>
      <c r="F76" s="482"/>
      <c r="G76" s="482"/>
      <c r="H76" s="482"/>
      <c r="I76" s="482"/>
      <c r="J76" s="482"/>
      <c r="K76" s="482"/>
      <c r="L76" s="482"/>
      <c r="M76" s="482"/>
      <c r="N76" s="482"/>
      <c r="O76" s="482"/>
      <c r="P76" s="482"/>
      <c r="Q76" s="482"/>
      <c r="R76" s="482"/>
    </row>
    <row r="77" spans="1:18" ht="15.75" customHeight="1">
      <c r="A77" s="486"/>
      <c r="B77" s="482"/>
      <c r="C77" s="482"/>
      <c r="D77" s="482"/>
      <c r="E77" s="482"/>
      <c r="F77" s="482"/>
      <c r="G77" s="482"/>
      <c r="H77" s="482"/>
      <c r="I77" s="482"/>
      <c r="J77" s="482"/>
      <c r="K77" s="482"/>
      <c r="L77" s="482"/>
      <c r="M77" s="482"/>
      <c r="N77" s="482"/>
      <c r="O77" s="482"/>
      <c r="P77" s="482"/>
      <c r="Q77" s="482"/>
      <c r="R77" s="482"/>
    </row>
    <row r="78" spans="1:18" ht="15.75" customHeight="1">
      <c r="A78" s="486"/>
      <c r="B78" s="482"/>
      <c r="C78" s="482"/>
      <c r="D78" s="482"/>
      <c r="E78" s="482"/>
      <c r="F78" s="482"/>
      <c r="G78" s="482"/>
      <c r="H78" s="482"/>
      <c r="I78" s="482"/>
      <c r="J78" s="482"/>
      <c r="K78" s="482"/>
      <c r="L78" s="482"/>
      <c r="M78" s="482"/>
      <c r="N78" s="482"/>
      <c r="O78" s="482"/>
      <c r="P78" s="482"/>
      <c r="Q78" s="482"/>
      <c r="R78" s="482"/>
    </row>
    <row r="79" spans="1:18" ht="15.75" customHeight="1">
      <c r="A79" s="486"/>
      <c r="B79" s="482"/>
      <c r="C79" s="482"/>
      <c r="D79" s="482"/>
      <c r="E79" s="482"/>
      <c r="F79" s="482"/>
      <c r="G79" s="482"/>
      <c r="H79" s="482"/>
      <c r="I79" s="482"/>
      <c r="J79" s="482"/>
      <c r="K79" s="482"/>
      <c r="L79" s="482"/>
      <c r="M79" s="482"/>
      <c r="N79" s="482"/>
      <c r="O79" s="482"/>
      <c r="P79" s="482"/>
      <c r="Q79" s="482"/>
      <c r="R79" s="482"/>
    </row>
    <row r="80" spans="1:18" ht="15.75" customHeight="1">
      <c r="A80" s="486"/>
      <c r="B80" s="482"/>
      <c r="C80" s="482"/>
      <c r="D80" s="482"/>
      <c r="E80" s="482"/>
      <c r="F80" s="482"/>
      <c r="G80" s="482"/>
      <c r="H80" s="482"/>
      <c r="I80" s="482"/>
      <c r="J80" s="482"/>
      <c r="K80" s="482"/>
      <c r="L80" s="482"/>
      <c r="M80" s="482"/>
      <c r="N80" s="482"/>
      <c r="O80" s="482"/>
      <c r="P80" s="482"/>
      <c r="Q80" s="482"/>
      <c r="R80" s="482"/>
    </row>
    <row r="81" spans="1:18" ht="15.75" customHeight="1">
      <c r="A81" s="486"/>
      <c r="B81" s="482"/>
      <c r="C81" s="482"/>
      <c r="D81" s="482"/>
      <c r="E81" s="482"/>
      <c r="F81" s="482"/>
      <c r="G81" s="482"/>
      <c r="H81" s="482"/>
      <c r="I81" s="482"/>
      <c r="J81" s="482"/>
      <c r="K81" s="482"/>
      <c r="L81" s="482"/>
      <c r="M81" s="482"/>
      <c r="N81" s="482"/>
      <c r="O81" s="482"/>
      <c r="P81" s="482"/>
      <c r="Q81" s="482"/>
      <c r="R81" s="482"/>
    </row>
    <row r="82" spans="1:18" ht="15.75" customHeight="1">
      <c r="A82" s="486"/>
      <c r="B82" s="482"/>
      <c r="C82" s="482"/>
      <c r="D82" s="482"/>
      <c r="E82" s="482"/>
      <c r="F82" s="482"/>
      <c r="G82" s="482"/>
      <c r="H82" s="482"/>
      <c r="I82" s="482"/>
      <c r="J82" s="482"/>
      <c r="K82" s="482"/>
      <c r="L82" s="482"/>
      <c r="M82" s="482"/>
      <c r="N82" s="482"/>
      <c r="O82" s="482"/>
      <c r="P82" s="482"/>
      <c r="Q82" s="482"/>
      <c r="R82" s="482"/>
    </row>
    <row r="83" spans="1:18" ht="15.75" customHeight="1">
      <c r="A83" s="486"/>
      <c r="B83" s="482"/>
      <c r="C83" s="482"/>
      <c r="D83" s="482"/>
      <c r="E83" s="482"/>
      <c r="F83" s="482"/>
      <c r="G83" s="482"/>
      <c r="H83" s="482"/>
      <c r="I83" s="482"/>
      <c r="J83" s="482"/>
      <c r="K83" s="482"/>
      <c r="L83" s="482"/>
      <c r="M83" s="482"/>
      <c r="N83" s="482"/>
      <c r="O83" s="482"/>
      <c r="P83" s="482"/>
      <c r="Q83" s="482"/>
      <c r="R83" s="482"/>
    </row>
    <row r="84" spans="1:18" ht="15.75" customHeight="1">
      <c r="A84" s="486"/>
      <c r="B84" s="482"/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</row>
    <row r="85" spans="1:18" ht="15.75" customHeight="1">
      <c r="A85" s="486"/>
      <c r="B85" s="482"/>
      <c r="C85" s="482"/>
      <c r="D85" s="482"/>
      <c r="E85" s="482"/>
      <c r="F85" s="482"/>
      <c r="G85" s="482"/>
      <c r="H85" s="482"/>
      <c r="I85" s="482"/>
      <c r="J85" s="482"/>
      <c r="K85" s="482"/>
      <c r="L85" s="482"/>
      <c r="M85" s="482"/>
      <c r="N85" s="482"/>
      <c r="O85" s="482"/>
      <c r="P85" s="482"/>
      <c r="Q85" s="482"/>
      <c r="R85" s="482"/>
    </row>
    <row r="86" spans="1:18" ht="15.75" customHeight="1">
      <c r="A86" s="486"/>
      <c r="B86" s="482"/>
      <c r="C86" s="482"/>
      <c r="D86" s="482"/>
      <c r="E86" s="482"/>
      <c r="F86" s="482"/>
      <c r="G86" s="482"/>
      <c r="H86" s="482"/>
      <c r="I86" s="482"/>
      <c r="J86" s="482"/>
      <c r="K86" s="482"/>
      <c r="L86" s="482"/>
      <c r="M86" s="482"/>
      <c r="N86" s="482"/>
      <c r="O86" s="482"/>
      <c r="P86" s="482"/>
      <c r="Q86" s="482"/>
      <c r="R86" s="482"/>
    </row>
    <row r="87" spans="1:18" ht="15.75" customHeight="1">
      <c r="A87" s="486"/>
      <c r="B87" s="482"/>
      <c r="C87" s="482"/>
      <c r="D87" s="482"/>
      <c r="E87" s="482"/>
      <c r="F87" s="482"/>
      <c r="G87" s="482"/>
      <c r="H87" s="482"/>
      <c r="I87" s="482"/>
      <c r="J87" s="482"/>
      <c r="K87" s="482"/>
      <c r="L87" s="482"/>
      <c r="M87" s="482"/>
      <c r="N87" s="482"/>
      <c r="O87" s="482"/>
      <c r="P87" s="482"/>
      <c r="Q87" s="482"/>
      <c r="R87" s="482"/>
    </row>
    <row r="88" spans="1:18" ht="15.75" customHeight="1">
      <c r="A88" s="486"/>
      <c r="B88" s="482"/>
      <c r="C88" s="482"/>
      <c r="D88" s="482"/>
      <c r="E88" s="482"/>
      <c r="F88" s="482"/>
      <c r="G88" s="482"/>
      <c r="H88" s="482"/>
      <c r="I88" s="482"/>
      <c r="J88" s="482"/>
      <c r="K88" s="482"/>
      <c r="L88" s="482"/>
      <c r="M88" s="482"/>
      <c r="N88" s="482"/>
      <c r="O88" s="482"/>
      <c r="P88" s="482"/>
      <c r="Q88" s="482"/>
      <c r="R88" s="482"/>
    </row>
    <row r="89" spans="1:18" ht="15.75" customHeight="1">
      <c r="A89" s="486"/>
      <c r="B89" s="482"/>
      <c r="C89" s="482"/>
      <c r="D89" s="482"/>
      <c r="E89" s="482"/>
      <c r="F89" s="482"/>
      <c r="G89" s="482"/>
      <c r="H89" s="482"/>
      <c r="I89" s="482"/>
      <c r="J89" s="482"/>
      <c r="K89" s="482"/>
      <c r="L89" s="482"/>
      <c r="M89" s="482"/>
      <c r="N89" s="482"/>
      <c r="O89" s="482"/>
      <c r="P89" s="482"/>
      <c r="Q89" s="482"/>
      <c r="R89" s="482"/>
    </row>
    <row r="90" spans="1:18" ht="15.75" customHeight="1">
      <c r="A90" s="486"/>
      <c r="B90" s="482"/>
      <c r="C90" s="482"/>
      <c r="D90" s="482"/>
      <c r="E90" s="482"/>
      <c r="F90" s="482"/>
      <c r="G90" s="482"/>
      <c r="H90" s="482"/>
      <c r="I90" s="482"/>
      <c r="J90" s="482"/>
      <c r="K90" s="482"/>
      <c r="L90" s="482"/>
      <c r="M90" s="482"/>
      <c r="N90" s="482"/>
      <c r="O90" s="482"/>
      <c r="P90" s="482"/>
      <c r="Q90" s="482"/>
      <c r="R90" s="482"/>
    </row>
    <row r="91" spans="1:18" ht="15.75" customHeight="1">
      <c r="A91" s="486"/>
      <c r="B91" s="482"/>
      <c r="C91" s="482"/>
      <c r="D91" s="482"/>
      <c r="E91" s="482"/>
      <c r="F91" s="482"/>
      <c r="G91" s="482"/>
      <c r="H91" s="482"/>
      <c r="I91" s="482"/>
      <c r="J91" s="482"/>
      <c r="K91" s="482"/>
      <c r="L91" s="482"/>
      <c r="M91" s="482"/>
      <c r="N91" s="482"/>
      <c r="O91" s="482"/>
      <c r="P91" s="482"/>
      <c r="Q91" s="482"/>
      <c r="R91" s="482"/>
    </row>
    <row r="92" spans="1:18" ht="15.75" customHeight="1">
      <c r="A92" s="486"/>
      <c r="B92" s="482"/>
      <c r="C92" s="482"/>
      <c r="D92" s="482"/>
      <c r="E92" s="482"/>
      <c r="F92" s="482"/>
      <c r="G92" s="482"/>
      <c r="H92" s="482"/>
      <c r="I92" s="482"/>
      <c r="J92" s="482"/>
      <c r="K92" s="482"/>
      <c r="L92" s="482"/>
      <c r="M92" s="482"/>
      <c r="N92" s="482"/>
      <c r="O92" s="482"/>
      <c r="P92" s="482"/>
      <c r="Q92" s="482"/>
      <c r="R92" s="482"/>
    </row>
    <row r="93" spans="1:18" ht="15.75" customHeight="1">
      <c r="A93" s="486"/>
      <c r="B93" s="482"/>
      <c r="C93" s="482"/>
      <c r="D93" s="482"/>
      <c r="E93" s="482"/>
      <c r="F93" s="482"/>
      <c r="G93" s="482"/>
      <c r="H93" s="482"/>
      <c r="I93" s="482"/>
      <c r="J93" s="482"/>
      <c r="K93" s="482"/>
      <c r="L93" s="482"/>
      <c r="M93" s="482"/>
      <c r="N93" s="482"/>
      <c r="O93" s="482"/>
      <c r="P93" s="482"/>
      <c r="Q93" s="482"/>
      <c r="R93" s="482"/>
    </row>
    <row r="94" spans="1:18" ht="15.75" customHeight="1">
      <c r="A94" s="486"/>
      <c r="B94" s="482"/>
      <c r="C94" s="482"/>
      <c r="D94" s="482"/>
      <c r="E94" s="482"/>
      <c r="F94" s="482"/>
      <c r="G94" s="482"/>
      <c r="H94" s="482"/>
      <c r="I94" s="482"/>
      <c r="J94" s="482"/>
      <c r="K94" s="482"/>
      <c r="L94" s="482"/>
      <c r="M94" s="482"/>
      <c r="N94" s="482"/>
      <c r="O94" s="482"/>
      <c r="P94" s="482"/>
      <c r="Q94" s="482"/>
      <c r="R94" s="482"/>
    </row>
    <row r="95" spans="1:18" ht="15.75" customHeight="1">
      <c r="A95" s="486"/>
      <c r="B95" s="482"/>
      <c r="C95" s="482"/>
      <c r="D95" s="482"/>
      <c r="E95" s="482"/>
      <c r="F95" s="482"/>
      <c r="G95" s="482"/>
      <c r="H95" s="482"/>
      <c r="I95" s="482"/>
      <c r="J95" s="482"/>
      <c r="K95" s="482"/>
      <c r="L95" s="482"/>
      <c r="M95" s="482"/>
      <c r="N95" s="482"/>
      <c r="O95" s="482"/>
      <c r="P95" s="482"/>
      <c r="Q95" s="482"/>
      <c r="R95" s="482"/>
    </row>
    <row r="96" spans="1:18" ht="15.75" customHeight="1">
      <c r="A96" s="486"/>
      <c r="B96" s="482"/>
      <c r="C96" s="482"/>
      <c r="D96" s="482"/>
      <c r="E96" s="482"/>
      <c r="F96" s="482"/>
      <c r="G96" s="482"/>
      <c r="H96" s="482"/>
      <c r="I96" s="482"/>
      <c r="J96" s="482"/>
      <c r="K96" s="482"/>
      <c r="L96" s="482"/>
      <c r="M96" s="482"/>
      <c r="N96" s="482"/>
      <c r="O96" s="482"/>
      <c r="P96" s="482"/>
      <c r="Q96" s="482"/>
      <c r="R96" s="482"/>
    </row>
    <row r="97" spans="1:18" ht="15.75" customHeight="1">
      <c r="A97" s="486"/>
      <c r="B97" s="482"/>
      <c r="C97" s="482"/>
      <c r="D97" s="482"/>
      <c r="E97" s="482"/>
      <c r="F97" s="482"/>
      <c r="G97" s="482"/>
      <c r="H97" s="482"/>
      <c r="I97" s="482"/>
      <c r="J97" s="482"/>
      <c r="K97" s="482"/>
      <c r="L97" s="482"/>
      <c r="M97" s="482"/>
      <c r="N97" s="482"/>
      <c r="O97" s="482"/>
      <c r="P97" s="482"/>
      <c r="Q97" s="482"/>
      <c r="R97" s="482"/>
    </row>
    <row r="98" spans="1:18" ht="15.75" customHeight="1">
      <c r="A98" s="486"/>
      <c r="B98" s="482"/>
      <c r="C98" s="482"/>
      <c r="D98" s="482"/>
      <c r="E98" s="482"/>
      <c r="F98" s="482"/>
      <c r="G98" s="482"/>
      <c r="H98" s="482"/>
      <c r="I98" s="482"/>
      <c r="J98" s="482"/>
      <c r="K98" s="482"/>
      <c r="L98" s="482"/>
      <c r="M98" s="482"/>
      <c r="N98" s="482"/>
      <c r="O98" s="482"/>
      <c r="P98" s="482"/>
      <c r="Q98" s="482"/>
      <c r="R98" s="482"/>
    </row>
    <row r="99" spans="1:18" ht="15.75" customHeight="1">
      <c r="A99" s="486"/>
      <c r="B99" s="482"/>
      <c r="C99" s="482"/>
      <c r="D99" s="482"/>
      <c r="E99" s="482"/>
      <c r="F99" s="482"/>
      <c r="G99" s="482"/>
      <c r="H99" s="482"/>
      <c r="I99" s="482"/>
      <c r="J99" s="482"/>
      <c r="K99" s="482"/>
      <c r="L99" s="482"/>
      <c r="M99" s="482"/>
      <c r="N99" s="482"/>
      <c r="O99" s="482"/>
      <c r="P99" s="482"/>
      <c r="Q99" s="482"/>
      <c r="R99" s="482"/>
    </row>
    <row r="100" spans="1:18" ht="15.75" customHeight="1">
      <c r="A100" s="486"/>
      <c r="B100" s="482"/>
      <c r="C100" s="482"/>
      <c r="D100" s="482"/>
      <c r="E100" s="482"/>
      <c r="F100" s="482"/>
      <c r="G100" s="482"/>
      <c r="H100" s="482"/>
      <c r="I100" s="482"/>
      <c r="J100" s="482"/>
      <c r="K100" s="482"/>
      <c r="L100" s="482"/>
      <c r="M100" s="482"/>
      <c r="N100" s="482"/>
      <c r="O100" s="482"/>
      <c r="P100" s="482"/>
      <c r="Q100" s="482"/>
      <c r="R100" s="482"/>
    </row>
    <row r="101" spans="1:18" ht="15.75" customHeight="1">
      <c r="A101" s="486"/>
      <c r="B101" s="482"/>
      <c r="C101" s="482"/>
      <c r="D101" s="482"/>
      <c r="E101" s="482"/>
      <c r="F101" s="482"/>
      <c r="G101" s="482"/>
      <c r="H101" s="482"/>
      <c r="I101" s="482"/>
      <c r="J101" s="482"/>
      <c r="K101" s="482"/>
      <c r="L101" s="482"/>
      <c r="M101" s="482"/>
      <c r="N101" s="482"/>
      <c r="O101" s="482"/>
      <c r="P101" s="482"/>
      <c r="Q101" s="482"/>
      <c r="R101" s="482"/>
    </row>
    <row r="102" spans="1:18" ht="15.75" customHeight="1">
      <c r="A102" s="486"/>
      <c r="B102" s="482"/>
      <c r="C102" s="482"/>
      <c r="D102" s="482"/>
      <c r="E102" s="482"/>
      <c r="F102" s="482"/>
      <c r="G102" s="482"/>
      <c r="H102" s="482"/>
      <c r="I102" s="482"/>
      <c r="J102" s="482"/>
      <c r="K102" s="482"/>
      <c r="L102" s="482"/>
      <c r="M102" s="482"/>
      <c r="N102" s="482"/>
      <c r="O102" s="482"/>
      <c r="P102" s="482"/>
      <c r="Q102" s="482"/>
      <c r="R102" s="482"/>
    </row>
    <row r="103" spans="1:18" ht="15.75" customHeight="1">
      <c r="A103" s="486"/>
      <c r="B103" s="482"/>
      <c r="C103" s="482"/>
      <c r="D103" s="482"/>
      <c r="E103" s="482"/>
      <c r="F103" s="482"/>
      <c r="G103" s="482"/>
      <c r="H103" s="482"/>
      <c r="I103" s="482"/>
      <c r="J103" s="482"/>
      <c r="K103" s="482"/>
      <c r="L103" s="482"/>
      <c r="M103" s="482"/>
      <c r="N103" s="482"/>
      <c r="O103" s="482"/>
      <c r="P103" s="482"/>
      <c r="Q103" s="482"/>
      <c r="R103" s="482"/>
    </row>
    <row r="104" spans="1:18" ht="15.75" customHeight="1">
      <c r="A104" s="486"/>
      <c r="B104" s="482"/>
      <c r="C104" s="482"/>
      <c r="D104" s="482"/>
      <c r="E104" s="482"/>
      <c r="F104" s="482"/>
      <c r="G104" s="482"/>
      <c r="H104" s="482"/>
      <c r="I104" s="482"/>
      <c r="J104" s="482"/>
      <c r="K104" s="482"/>
      <c r="L104" s="482"/>
      <c r="M104" s="482"/>
      <c r="N104" s="482"/>
      <c r="O104" s="482"/>
      <c r="P104" s="482"/>
      <c r="Q104" s="482"/>
      <c r="R104" s="482"/>
    </row>
    <row r="105" spans="1:18" ht="15.75" customHeight="1">
      <c r="A105" s="486"/>
      <c r="B105" s="482"/>
      <c r="C105" s="482"/>
      <c r="D105" s="482"/>
      <c r="E105" s="482"/>
      <c r="F105" s="482"/>
      <c r="G105" s="482"/>
      <c r="H105" s="482"/>
      <c r="I105" s="482"/>
      <c r="J105" s="482"/>
      <c r="K105" s="482"/>
      <c r="L105" s="482"/>
      <c r="M105" s="482"/>
      <c r="N105" s="482"/>
      <c r="O105" s="482"/>
      <c r="P105" s="482"/>
      <c r="Q105" s="482"/>
      <c r="R105" s="482"/>
    </row>
    <row r="106" spans="1:18" ht="15.75" customHeight="1">
      <c r="A106" s="486"/>
      <c r="B106" s="482"/>
      <c r="C106" s="482"/>
      <c r="D106" s="482"/>
      <c r="E106" s="482"/>
      <c r="F106" s="482"/>
      <c r="G106" s="482"/>
      <c r="H106" s="482"/>
      <c r="I106" s="482"/>
      <c r="J106" s="482"/>
      <c r="K106" s="482"/>
      <c r="L106" s="482"/>
      <c r="M106" s="482"/>
      <c r="N106" s="482"/>
      <c r="O106" s="482"/>
      <c r="P106" s="482"/>
      <c r="Q106" s="482"/>
      <c r="R106" s="482"/>
    </row>
    <row r="107" spans="1:18" ht="15.75" customHeight="1">
      <c r="A107" s="486"/>
      <c r="B107" s="482"/>
      <c r="C107" s="482"/>
      <c r="D107" s="482"/>
      <c r="E107" s="482"/>
      <c r="F107" s="482"/>
      <c r="G107" s="482"/>
      <c r="H107" s="482"/>
      <c r="I107" s="482"/>
      <c r="J107" s="482"/>
      <c r="K107" s="482"/>
      <c r="L107" s="482"/>
      <c r="M107" s="482"/>
      <c r="N107" s="482"/>
      <c r="O107" s="482"/>
      <c r="P107" s="482"/>
      <c r="Q107" s="482"/>
      <c r="R107" s="482"/>
    </row>
    <row r="108" spans="1:18" ht="15.75" customHeight="1">
      <c r="A108" s="486"/>
      <c r="B108" s="482"/>
      <c r="C108" s="482"/>
      <c r="D108" s="482"/>
      <c r="E108" s="482"/>
      <c r="F108" s="482"/>
      <c r="G108" s="482"/>
      <c r="H108" s="482"/>
      <c r="I108" s="482"/>
      <c r="J108" s="482"/>
      <c r="K108" s="482"/>
      <c r="L108" s="482"/>
      <c r="M108" s="482"/>
      <c r="N108" s="482"/>
      <c r="O108" s="482"/>
      <c r="P108" s="482"/>
      <c r="Q108" s="482"/>
      <c r="R108" s="482"/>
    </row>
    <row r="109" spans="1:18" ht="15.75" customHeight="1">
      <c r="A109" s="486"/>
      <c r="B109" s="482"/>
      <c r="C109" s="482"/>
      <c r="D109" s="482"/>
      <c r="E109" s="482"/>
      <c r="F109" s="482"/>
      <c r="G109" s="482"/>
      <c r="H109" s="482"/>
      <c r="I109" s="482"/>
      <c r="J109" s="482"/>
      <c r="K109" s="482"/>
      <c r="L109" s="482"/>
      <c r="M109" s="482"/>
      <c r="N109" s="482"/>
      <c r="O109" s="482"/>
      <c r="P109" s="482"/>
      <c r="Q109" s="482"/>
      <c r="R109" s="482"/>
    </row>
    <row r="110" spans="1:18" ht="15.75" customHeight="1">
      <c r="A110" s="486"/>
      <c r="B110" s="482"/>
      <c r="C110" s="482"/>
      <c r="D110" s="482"/>
      <c r="E110" s="482"/>
      <c r="F110" s="482"/>
      <c r="G110" s="482"/>
      <c r="H110" s="482"/>
      <c r="I110" s="482"/>
      <c r="J110" s="482"/>
      <c r="K110" s="482"/>
      <c r="L110" s="482"/>
      <c r="M110" s="482"/>
      <c r="N110" s="482"/>
      <c r="O110" s="482"/>
      <c r="P110" s="482"/>
      <c r="Q110" s="482"/>
      <c r="R110" s="482"/>
    </row>
    <row r="111" spans="1:18" ht="15.75" customHeight="1">
      <c r="A111" s="486"/>
      <c r="B111" s="482"/>
      <c r="C111" s="482"/>
      <c r="D111" s="482"/>
      <c r="E111" s="482"/>
      <c r="F111" s="482"/>
      <c r="G111" s="482"/>
      <c r="H111" s="482"/>
      <c r="I111" s="482"/>
      <c r="J111" s="482"/>
      <c r="K111" s="482"/>
      <c r="L111" s="482"/>
      <c r="M111" s="482"/>
      <c r="N111" s="482"/>
      <c r="O111" s="482"/>
      <c r="P111" s="482"/>
      <c r="Q111" s="482"/>
      <c r="R111" s="482"/>
    </row>
    <row r="112" spans="1:18" ht="15.75" customHeight="1">
      <c r="A112" s="486"/>
      <c r="B112" s="482"/>
      <c r="C112" s="482"/>
      <c r="D112" s="482"/>
      <c r="E112" s="482"/>
      <c r="F112" s="482"/>
      <c r="G112" s="482"/>
      <c r="H112" s="482"/>
      <c r="I112" s="482"/>
      <c r="J112" s="482"/>
      <c r="K112" s="482"/>
      <c r="L112" s="482"/>
      <c r="M112" s="482"/>
      <c r="N112" s="482"/>
      <c r="O112" s="482"/>
      <c r="P112" s="482"/>
      <c r="Q112" s="482"/>
      <c r="R112" s="482"/>
    </row>
    <row r="113" spans="1:18" ht="15.75" customHeight="1">
      <c r="A113" s="486"/>
      <c r="B113" s="482"/>
      <c r="C113" s="482"/>
      <c r="D113" s="482"/>
      <c r="E113" s="482"/>
      <c r="F113" s="482"/>
      <c r="G113" s="482"/>
      <c r="H113" s="482"/>
      <c r="I113" s="482"/>
      <c r="J113" s="482"/>
      <c r="K113" s="482"/>
      <c r="L113" s="482"/>
      <c r="M113" s="482"/>
      <c r="N113" s="482"/>
      <c r="O113" s="482"/>
      <c r="P113" s="482"/>
      <c r="Q113" s="482"/>
      <c r="R113" s="482"/>
    </row>
    <row r="114" spans="1:18" ht="15.75" customHeight="1">
      <c r="A114" s="486"/>
      <c r="B114" s="482"/>
      <c r="C114" s="482"/>
      <c r="D114" s="482"/>
      <c r="E114" s="482"/>
      <c r="F114" s="482"/>
      <c r="G114" s="482"/>
      <c r="H114" s="482"/>
      <c r="I114" s="482"/>
      <c r="J114" s="482"/>
      <c r="K114" s="482"/>
      <c r="L114" s="482"/>
      <c r="M114" s="482"/>
      <c r="N114" s="482"/>
      <c r="O114" s="482"/>
      <c r="P114" s="482"/>
      <c r="Q114" s="482"/>
      <c r="R114" s="482"/>
    </row>
    <row r="115" spans="1:18" ht="15.75" customHeight="1">
      <c r="A115" s="486"/>
      <c r="B115" s="482"/>
      <c r="C115" s="482"/>
      <c r="D115" s="482"/>
      <c r="E115" s="482"/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482"/>
      <c r="R115" s="482"/>
    </row>
    <row r="116" spans="1:18" ht="15.75" customHeight="1">
      <c r="A116" s="486"/>
      <c r="B116" s="482"/>
      <c r="C116" s="482"/>
      <c r="D116" s="482"/>
      <c r="E116" s="482"/>
      <c r="F116" s="482"/>
      <c r="G116" s="482"/>
      <c r="H116" s="482"/>
      <c r="I116" s="482"/>
      <c r="J116" s="482"/>
      <c r="K116" s="482"/>
      <c r="L116" s="482"/>
      <c r="M116" s="482"/>
      <c r="N116" s="482"/>
      <c r="O116" s="482"/>
      <c r="P116" s="482"/>
      <c r="Q116" s="482"/>
      <c r="R116" s="482"/>
    </row>
    <row r="117" spans="1:18" ht="15.75" customHeight="1">
      <c r="A117" s="486"/>
      <c r="B117" s="482"/>
      <c r="C117" s="482"/>
      <c r="D117" s="482"/>
      <c r="E117" s="482"/>
      <c r="F117" s="482"/>
      <c r="G117" s="482"/>
      <c r="H117" s="482"/>
      <c r="I117" s="482"/>
      <c r="J117" s="482"/>
      <c r="K117" s="482"/>
      <c r="L117" s="482"/>
      <c r="M117" s="482"/>
      <c r="N117" s="482"/>
      <c r="O117" s="482"/>
      <c r="P117" s="482"/>
      <c r="Q117" s="482"/>
      <c r="R117" s="482"/>
    </row>
  </sheetData>
  <mergeCells count="28">
    <mergeCell ref="A13:A18"/>
    <mergeCell ref="B13:B18"/>
    <mergeCell ref="C13:C18"/>
    <mergeCell ref="A19:A23"/>
    <mergeCell ref="B19:B23"/>
    <mergeCell ref="C19:C23"/>
    <mergeCell ref="A1:H1"/>
    <mergeCell ref="A3:A7"/>
    <mergeCell ref="B3:B7"/>
    <mergeCell ref="C3:C7"/>
    <mergeCell ref="A8:A12"/>
    <mergeCell ref="B8:B12"/>
    <mergeCell ref="C8:C12"/>
    <mergeCell ref="B24:B26"/>
    <mergeCell ref="C24:C26"/>
    <mergeCell ref="A28:B28"/>
    <mergeCell ref="A29:B29"/>
    <mergeCell ref="A30:B30"/>
    <mergeCell ref="A24:A26"/>
    <mergeCell ref="A52:A54"/>
    <mergeCell ref="B52:B54"/>
    <mergeCell ref="C52:C54"/>
    <mergeCell ref="A41:D41"/>
    <mergeCell ref="A42:D42"/>
    <mergeCell ref="A43:D43"/>
    <mergeCell ref="A47:A51"/>
    <mergeCell ref="B47:B51"/>
    <mergeCell ref="C47:C51"/>
  </mergeCell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29D8C-1947-4AF2-9E4B-C5CE4091A5F8}">
  <sheetPr codeName="Лист3"/>
  <dimension ref="A1:M80"/>
  <sheetViews>
    <sheetView topLeftCell="A4" zoomScale="120" zoomScaleNormal="120" workbookViewId="0">
      <selection sqref="A1:D16"/>
    </sheetView>
  </sheetViews>
  <sheetFormatPr defaultColWidth="14.453125" defaultRowHeight="15" customHeight="1"/>
  <cols>
    <col min="1" max="1" width="17.1796875" style="483" customWidth="1"/>
    <col min="2" max="6" width="8.7265625" style="483" customWidth="1"/>
    <col min="7" max="7" width="13.453125" style="483" customWidth="1"/>
    <col min="8" max="11" width="8.7265625" style="483" customWidth="1"/>
    <col min="12" max="12" width="11.54296875" style="483" customWidth="1"/>
    <col min="13" max="14" width="8.7265625" style="483" customWidth="1"/>
    <col min="15" max="16384" width="14.453125" style="483"/>
  </cols>
  <sheetData>
    <row r="1" spans="1:13" s="490" customFormat="1" ht="15" customHeight="1">
      <c r="A1" s="649" t="s">
        <v>1332</v>
      </c>
      <c r="B1" s="649"/>
      <c r="C1" s="649"/>
      <c r="D1" s="649"/>
      <c r="E1" s="573"/>
      <c r="F1" s="573"/>
      <c r="G1" s="649" t="s">
        <v>1508</v>
      </c>
      <c r="H1" s="649"/>
      <c r="I1" s="649"/>
      <c r="J1" s="649"/>
      <c r="K1" s="649"/>
      <c r="L1" s="649"/>
      <c r="M1" s="573"/>
    </row>
    <row r="2" spans="1:13" ht="26.5">
      <c r="A2" s="563" t="s">
        <v>1558</v>
      </c>
      <c r="B2" s="566" t="s">
        <v>1333</v>
      </c>
      <c r="C2" s="566" t="s">
        <v>1304</v>
      </c>
      <c r="D2" s="566" t="s">
        <v>1305</v>
      </c>
      <c r="E2" s="521"/>
      <c r="F2" s="521"/>
      <c r="G2" s="563" t="s">
        <v>1558</v>
      </c>
      <c r="H2" s="564" t="s">
        <v>1559</v>
      </c>
      <c r="I2" s="527" t="s">
        <v>1560</v>
      </c>
      <c r="J2" s="525"/>
      <c r="K2" s="525"/>
      <c r="L2" s="565" t="s">
        <v>1341</v>
      </c>
      <c r="M2" s="521"/>
    </row>
    <row r="3" spans="1:13" ht="14.5">
      <c r="A3" s="563" t="s">
        <v>1306</v>
      </c>
      <c r="B3" s="566">
        <v>40</v>
      </c>
      <c r="C3" s="566">
        <v>43</v>
      </c>
      <c r="D3" s="566">
        <v>41</v>
      </c>
      <c r="E3" s="521"/>
      <c r="F3" s="521"/>
      <c r="G3" s="563" t="s">
        <v>1306</v>
      </c>
      <c r="H3" s="566">
        <v>52</v>
      </c>
      <c r="I3" s="525"/>
      <c r="J3" s="525"/>
      <c r="K3" s="525">
        <f>H3*100*31/100</f>
        <v>1612</v>
      </c>
      <c r="L3" s="567"/>
      <c r="M3" s="521"/>
    </row>
    <row r="4" spans="1:13" ht="14.5">
      <c r="A4" s="563" t="s">
        <v>1307</v>
      </c>
      <c r="B4" s="566">
        <v>43</v>
      </c>
      <c r="C4" s="566">
        <v>45</v>
      </c>
      <c r="D4" s="566">
        <v>44</v>
      </c>
      <c r="E4" s="521"/>
      <c r="F4" s="521"/>
      <c r="G4" s="563" t="s">
        <v>1307</v>
      </c>
      <c r="H4" s="566">
        <v>45</v>
      </c>
      <c r="I4" s="525" t="s">
        <v>1336</v>
      </c>
      <c r="J4" s="525"/>
      <c r="K4" s="525">
        <f>H4*100*28/100</f>
        <v>1260</v>
      </c>
      <c r="L4" s="568"/>
      <c r="M4" s="521"/>
    </row>
    <row r="5" spans="1:13" ht="14.5">
      <c r="A5" s="563" t="s">
        <v>1308</v>
      </c>
      <c r="B5" s="566">
        <v>45</v>
      </c>
      <c r="C5" s="566">
        <v>45</v>
      </c>
      <c r="D5" s="566">
        <v>45</v>
      </c>
      <c r="E5" s="521"/>
      <c r="F5" s="521"/>
      <c r="G5" s="563" t="s">
        <v>1308</v>
      </c>
      <c r="H5" s="566">
        <v>50</v>
      </c>
      <c r="I5" s="566">
        <f>AVERAGE(H3:H5)</f>
        <v>49</v>
      </c>
      <c r="J5" s="569">
        <f>0.49*3</f>
        <v>1.47</v>
      </c>
      <c r="K5" s="525">
        <f t="shared" ref="K5:K14" si="0">H5*100*31/100</f>
        <v>1550</v>
      </c>
      <c r="L5" s="570">
        <f>(K5+K4+K3)*100/$K$15</f>
        <v>18.601716304896517</v>
      </c>
      <c r="M5" s="521"/>
    </row>
    <row r="6" spans="1:13" ht="14.5">
      <c r="A6" s="563" t="s">
        <v>1309</v>
      </c>
      <c r="B6" s="566">
        <v>43</v>
      </c>
      <c r="C6" s="566">
        <v>45</v>
      </c>
      <c r="D6" s="566">
        <v>45</v>
      </c>
      <c r="E6" s="521"/>
      <c r="F6" s="521"/>
      <c r="G6" s="563" t="s">
        <v>1309</v>
      </c>
      <c r="H6" s="566">
        <v>56</v>
      </c>
      <c r="I6" s="525"/>
      <c r="J6" s="525"/>
      <c r="K6" s="525">
        <f>H6*100*30/100</f>
        <v>1680</v>
      </c>
      <c r="L6" s="568"/>
      <c r="M6" s="521"/>
    </row>
    <row r="7" spans="1:13" ht="14.5">
      <c r="A7" s="563" t="s">
        <v>1310</v>
      </c>
      <c r="B7" s="566">
        <v>70</v>
      </c>
      <c r="C7" s="566">
        <v>73</v>
      </c>
      <c r="D7" s="566">
        <v>72</v>
      </c>
      <c r="E7" s="521"/>
      <c r="F7" s="521"/>
      <c r="G7" s="563" t="s">
        <v>1310</v>
      </c>
      <c r="H7" s="566">
        <v>75</v>
      </c>
      <c r="I7" s="525" t="s">
        <v>1337</v>
      </c>
      <c r="J7" s="525"/>
      <c r="K7" s="525">
        <f t="shared" si="0"/>
        <v>2325</v>
      </c>
      <c r="L7" s="568"/>
      <c r="M7" s="521"/>
    </row>
    <row r="8" spans="1:13" ht="14.5">
      <c r="A8" s="563" t="s">
        <v>1311</v>
      </c>
      <c r="B8" s="566">
        <v>66</v>
      </c>
      <c r="C8" s="566">
        <v>75</v>
      </c>
      <c r="D8" s="566">
        <v>70</v>
      </c>
      <c r="E8" s="521"/>
      <c r="F8" s="521"/>
      <c r="G8" s="563" t="s">
        <v>1311</v>
      </c>
      <c r="H8" s="566">
        <v>87</v>
      </c>
      <c r="I8" s="566">
        <f>AVERAGE(H6:H8)</f>
        <v>72.666666666666671</v>
      </c>
      <c r="J8" s="569">
        <f>0.71*3</f>
        <v>2.13</v>
      </c>
      <c r="K8" s="525">
        <f>H8*100*30/100</f>
        <v>2610</v>
      </c>
      <c r="L8" s="570">
        <f>(K8+K7+K6)*100/$K$15</f>
        <v>27.82685512367491</v>
      </c>
      <c r="M8" s="521"/>
    </row>
    <row r="9" spans="1:13" ht="14.5">
      <c r="A9" s="563" t="s">
        <v>1312</v>
      </c>
      <c r="B9" s="566">
        <v>81</v>
      </c>
      <c r="C9" s="566">
        <v>85</v>
      </c>
      <c r="D9" s="566">
        <v>85</v>
      </c>
      <c r="E9" s="521"/>
      <c r="F9" s="521"/>
      <c r="G9" s="563" t="s">
        <v>1312</v>
      </c>
      <c r="H9" s="566">
        <v>90</v>
      </c>
      <c r="I9" s="525"/>
      <c r="J9" s="525"/>
      <c r="K9" s="525">
        <f t="shared" si="0"/>
        <v>2790</v>
      </c>
      <c r="L9" s="568"/>
      <c r="M9" s="521"/>
    </row>
    <row r="10" spans="1:13" ht="14.5">
      <c r="A10" s="563" t="s">
        <v>1313</v>
      </c>
      <c r="B10" s="566">
        <v>93</v>
      </c>
      <c r="C10" s="566">
        <v>94</v>
      </c>
      <c r="D10" s="566">
        <v>94</v>
      </c>
      <c r="E10" s="521"/>
      <c r="F10" s="521"/>
      <c r="G10" s="563" t="s">
        <v>1313</v>
      </c>
      <c r="H10" s="566">
        <v>90</v>
      </c>
      <c r="I10" s="525" t="s">
        <v>1339</v>
      </c>
      <c r="J10" s="525"/>
      <c r="K10" s="525">
        <f t="shared" si="0"/>
        <v>2790</v>
      </c>
      <c r="L10" s="568"/>
      <c r="M10" s="521"/>
    </row>
    <row r="11" spans="1:13" ht="14.5">
      <c r="A11" s="563" t="s">
        <v>1314</v>
      </c>
      <c r="B11" s="566">
        <v>90</v>
      </c>
      <c r="C11" s="566">
        <v>94</v>
      </c>
      <c r="D11" s="566">
        <v>94</v>
      </c>
      <c r="E11" s="521"/>
      <c r="F11" s="521"/>
      <c r="G11" s="563" t="s">
        <v>1314</v>
      </c>
      <c r="H11" s="566">
        <v>85</v>
      </c>
      <c r="I11" s="566">
        <f>AVERAGE(H9:H11)</f>
        <v>88.333333333333329</v>
      </c>
      <c r="J11" s="569">
        <f>0.88*3</f>
        <v>2.64</v>
      </c>
      <c r="K11" s="525">
        <f>H11*100*30/100</f>
        <v>2550</v>
      </c>
      <c r="L11" s="570">
        <f>(K11+K10+K9)*100/$K$15</f>
        <v>34.19989904088844</v>
      </c>
      <c r="M11" s="521"/>
    </row>
    <row r="12" spans="1:13" ht="14.5">
      <c r="A12" s="563" t="s">
        <v>1338</v>
      </c>
      <c r="B12" s="566">
        <v>45</v>
      </c>
      <c r="C12" s="566">
        <v>50</v>
      </c>
      <c r="D12" s="566">
        <v>41</v>
      </c>
      <c r="E12" s="521"/>
      <c r="F12" s="521"/>
      <c r="G12" s="563" t="s">
        <v>1338</v>
      </c>
      <c r="H12" s="566">
        <v>55</v>
      </c>
      <c r="I12" s="525"/>
      <c r="J12" s="525"/>
      <c r="K12" s="525">
        <f t="shared" si="0"/>
        <v>1705</v>
      </c>
      <c r="L12" s="568"/>
      <c r="M12" s="521"/>
    </row>
    <row r="13" spans="1:13" ht="14.5">
      <c r="A13" s="563" t="s">
        <v>1315</v>
      </c>
      <c r="B13" s="566">
        <v>25</v>
      </c>
      <c r="C13" s="566">
        <v>45</v>
      </c>
      <c r="D13" s="566">
        <v>45</v>
      </c>
      <c r="E13" s="521"/>
      <c r="F13" s="521"/>
      <c r="G13" s="563" t="s">
        <v>1315</v>
      </c>
      <c r="H13" s="566">
        <v>45</v>
      </c>
      <c r="I13" s="525" t="s">
        <v>1340</v>
      </c>
      <c r="J13" s="525"/>
      <c r="K13" s="525">
        <f>H13*100*30/100</f>
        <v>1350</v>
      </c>
      <c r="L13" s="568"/>
      <c r="M13" s="521"/>
    </row>
    <row r="14" spans="1:13" ht="14.5">
      <c r="A14" s="563" t="s">
        <v>1316</v>
      </c>
      <c r="B14" s="566">
        <v>23</v>
      </c>
      <c r="C14" s="566">
        <v>43</v>
      </c>
      <c r="D14" s="566">
        <v>43</v>
      </c>
      <c r="E14" s="521"/>
      <c r="F14" s="521"/>
      <c r="G14" s="563" t="s">
        <v>1316</v>
      </c>
      <c r="H14" s="566">
        <v>50</v>
      </c>
      <c r="I14" s="566">
        <f>AVERAGE(H12:H14)</f>
        <v>50</v>
      </c>
      <c r="J14" s="569">
        <f>0.5*3</f>
        <v>1.5</v>
      </c>
      <c r="K14" s="525">
        <f t="shared" si="0"/>
        <v>1550</v>
      </c>
      <c r="L14" s="570">
        <f>(K14+K13+K12)*100/$K$15</f>
        <v>19.37152953054013</v>
      </c>
      <c r="M14" s="521"/>
    </row>
    <row r="15" spans="1:13" ht="14.5">
      <c r="A15" s="563" t="s">
        <v>1335</v>
      </c>
      <c r="B15" s="566">
        <f>AVERAGE(B3:B14)</f>
        <v>55.333333333333336</v>
      </c>
      <c r="C15" s="566">
        <f>AVERAGE(C3:C14)</f>
        <v>61.416666666666664</v>
      </c>
      <c r="D15" s="566">
        <f>AVERAGE(D3:D14)</f>
        <v>59.916666666666664</v>
      </c>
      <c r="E15" s="521"/>
      <c r="F15" s="521"/>
      <c r="G15" s="571" t="s">
        <v>1335</v>
      </c>
      <c r="H15" s="572">
        <f>AVERAGE(H3:H14)</f>
        <v>65</v>
      </c>
      <c r="I15" s="525"/>
      <c r="J15" s="525"/>
      <c r="K15" s="525">
        <f>SUM(K3:K14)</f>
        <v>23772</v>
      </c>
      <c r="L15" s="568"/>
      <c r="M15" s="521"/>
    </row>
    <row r="16" spans="1:13" ht="15" customHeight="1">
      <c r="A16" s="573" t="s">
        <v>1334</v>
      </c>
      <c r="B16" s="521"/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1"/>
    </row>
    <row r="17" spans="1:13" ht="14.5">
      <c r="A17" s="521"/>
      <c r="B17" s="521"/>
      <c r="C17" s="521"/>
      <c r="D17" s="521"/>
      <c r="E17" s="521"/>
      <c r="F17" s="521"/>
      <c r="G17" s="573"/>
      <c r="H17" s="573"/>
      <c r="I17" s="573"/>
      <c r="J17" s="573"/>
      <c r="K17" s="573"/>
      <c r="L17" s="573"/>
      <c r="M17" s="521"/>
    </row>
    <row r="18" spans="1:13" s="490" customFormat="1" ht="14.5">
      <c r="A18" s="650" t="s">
        <v>1561</v>
      </c>
      <c r="B18" s="650"/>
      <c r="C18" s="650"/>
      <c r="D18" s="650"/>
      <c r="E18" s="574"/>
      <c r="F18" s="573"/>
      <c r="G18" s="521"/>
      <c r="H18" s="521"/>
      <c r="I18" s="521"/>
      <c r="J18" s="521"/>
      <c r="K18" s="521"/>
      <c r="L18" s="521"/>
      <c r="M18" s="573"/>
    </row>
    <row r="19" spans="1:13" ht="14.5">
      <c r="A19" s="521"/>
      <c r="B19" s="521"/>
      <c r="C19" s="521"/>
      <c r="D19" s="521"/>
      <c r="E19" s="521"/>
      <c r="F19" s="521"/>
      <c r="G19" s="575" t="s">
        <v>1562</v>
      </c>
      <c r="H19" s="552" t="s">
        <v>28</v>
      </c>
      <c r="I19" s="552" t="s">
        <v>1342</v>
      </c>
      <c r="J19" s="552"/>
      <c r="K19" s="521"/>
      <c r="L19" s="521"/>
      <c r="M19" s="521"/>
    </row>
    <row r="20" spans="1:13" ht="14.5">
      <c r="A20" s="521"/>
      <c r="B20" s="521"/>
      <c r="C20" s="521"/>
      <c r="D20" s="521"/>
      <c r="E20" s="521"/>
      <c r="F20" s="521"/>
      <c r="G20" s="576" t="s">
        <v>1563</v>
      </c>
      <c r="H20" s="525">
        <v>3.4</v>
      </c>
      <c r="I20" s="525">
        <v>1.4</v>
      </c>
      <c r="J20" s="525">
        <f>I20*H20</f>
        <v>4.76</v>
      </c>
      <c r="K20" s="521"/>
      <c r="L20" s="521"/>
      <c r="M20" s="521"/>
    </row>
    <row r="21" spans="1:13" ht="14.5">
      <c r="A21" s="521"/>
      <c r="B21" s="521"/>
      <c r="C21" s="521"/>
      <c r="D21" s="521"/>
      <c r="E21" s="521"/>
      <c r="F21" s="521"/>
      <c r="G21" s="576" t="s">
        <v>1564</v>
      </c>
      <c r="H21" s="576">
        <v>6.06</v>
      </c>
      <c r="I21" s="525">
        <v>2.2000000000000002</v>
      </c>
      <c r="J21" s="525">
        <f t="shared" ref="J21:J23" si="1">I21*H21</f>
        <v>13.332000000000001</v>
      </c>
      <c r="K21" s="521"/>
      <c r="L21" s="521"/>
      <c r="M21" s="521"/>
    </row>
    <row r="22" spans="1:13" ht="14.5">
      <c r="A22" s="521"/>
      <c r="B22" s="521"/>
      <c r="C22" s="521"/>
      <c r="D22" s="521"/>
      <c r="E22" s="521"/>
      <c r="F22" s="521"/>
      <c r="G22" s="576" t="s">
        <v>1565</v>
      </c>
      <c r="H22" s="525">
        <v>36.799999999999997</v>
      </c>
      <c r="I22" s="525">
        <v>2</v>
      </c>
      <c r="J22" s="525">
        <f t="shared" si="1"/>
        <v>73.599999999999994</v>
      </c>
      <c r="K22" s="521"/>
      <c r="L22" s="521"/>
      <c r="M22" s="521"/>
    </row>
    <row r="23" spans="1:13" ht="14.5">
      <c r="A23" s="521"/>
      <c r="B23" s="521"/>
      <c r="C23" s="521"/>
      <c r="D23" s="521"/>
      <c r="E23" s="521"/>
      <c r="F23" s="521"/>
      <c r="G23" s="576" t="s">
        <v>1566</v>
      </c>
      <c r="H23" s="525">
        <v>45.7</v>
      </c>
      <c r="I23" s="525">
        <v>3.2</v>
      </c>
      <c r="J23" s="525">
        <f t="shared" si="1"/>
        <v>146.24</v>
      </c>
      <c r="K23" s="521"/>
      <c r="L23" s="521"/>
      <c r="M23" s="521"/>
    </row>
    <row r="24" spans="1:13" ht="15.75" customHeight="1">
      <c r="A24" s="521"/>
      <c r="B24" s="521"/>
      <c r="C24" s="521"/>
      <c r="D24" s="521"/>
      <c r="E24" s="521"/>
      <c r="F24" s="521"/>
      <c r="G24" s="576"/>
      <c r="H24" s="525">
        <f>SUM(H20:H23)</f>
        <v>91.960000000000008</v>
      </c>
      <c r="I24" s="525"/>
      <c r="J24" s="525">
        <f>SUM(J20:J23)</f>
        <v>237.93200000000002</v>
      </c>
      <c r="K24" s="521"/>
      <c r="L24" s="521"/>
      <c r="M24" s="521"/>
    </row>
    <row r="25" spans="1:13" ht="15.75" customHeight="1">
      <c r="A25" s="521"/>
      <c r="B25" s="521"/>
      <c r="C25" s="521"/>
      <c r="D25" s="521"/>
      <c r="E25" s="521"/>
      <c r="F25" s="521"/>
      <c r="G25" s="577" t="s">
        <v>1343</v>
      </c>
      <c r="H25" s="578"/>
      <c r="I25" s="578"/>
      <c r="J25" s="578">
        <f>J24/H24</f>
        <v>2.5873423227490213</v>
      </c>
      <c r="K25" s="521"/>
      <c r="L25" s="521"/>
      <c r="M25" s="521"/>
    </row>
    <row r="26" spans="1:13" ht="15.75" customHeight="1">
      <c r="A26" s="521"/>
      <c r="B26" s="521"/>
      <c r="C26" s="521"/>
      <c r="D26" s="521"/>
      <c r="E26" s="521"/>
      <c r="F26" s="521"/>
      <c r="G26" s="521"/>
      <c r="H26" s="521"/>
      <c r="I26" s="521"/>
      <c r="K26" s="521"/>
      <c r="L26" s="521"/>
      <c r="M26" s="521"/>
    </row>
    <row r="27" spans="1:13" ht="15.75" customHeight="1">
      <c r="A27" s="521"/>
      <c r="B27" s="521"/>
      <c r="C27" s="521"/>
      <c r="D27" s="521"/>
      <c r="E27" s="521"/>
      <c r="F27" s="521"/>
      <c r="G27" s="521"/>
      <c r="H27" s="521"/>
      <c r="I27" s="521"/>
      <c r="J27" s="521"/>
      <c r="K27" s="521"/>
      <c r="L27" s="521"/>
      <c r="M27" s="521"/>
    </row>
    <row r="28" spans="1:13" ht="15.75" customHeight="1">
      <c r="A28" s="521"/>
      <c r="B28" s="521"/>
      <c r="C28" s="521"/>
      <c r="D28" s="521"/>
      <c r="E28" s="521"/>
      <c r="F28" s="521"/>
      <c r="G28" s="521"/>
      <c r="H28" s="521"/>
      <c r="I28" s="521"/>
      <c r="J28" s="521"/>
      <c r="K28" s="521"/>
      <c r="L28" s="521"/>
      <c r="M28" s="521"/>
    </row>
    <row r="29" spans="1:13" ht="15.75" customHeight="1">
      <c r="A29" s="521"/>
      <c r="B29" s="521"/>
      <c r="C29" s="521"/>
      <c r="D29" s="521"/>
      <c r="E29" s="521"/>
      <c r="F29" s="521"/>
      <c r="G29" s="521"/>
      <c r="H29" s="521"/>
      <c r="I29" s="521"/>
      <c r="J29" s="521"/>
      <c r="K29" s="521"/>
      <c r="L29" s="521"/>
      <c r="M29" s="521"/>
    </row>
    <row r="30" spans="1:13" ht="15.75" customHeight="1">
      <c r="A30" s="521"/>
      <c r="B30" s="521"/>
      <c r="C30" s="521"/>
      <c r="D30" s="521"/>
      <c r="E30" s="521"/>
      <c r="F30" s="521"/>
      <c r="G30" s="521"/>
      <c r="H30" s="521"/>
      <c r="I30" s="521"/>
      <c r="J30" s="521"/>
      <c r="K30" s="521"/>
      <c r="L30" s="521"/>
      <c r="M30" s="521"/>
    </row>
    <row r="31" spans="1:13" ht="15.75" customHeight="1">
      <c r="A31" s="521"/>
      <c r="B31" s="521"/>
      <c r="C31" s="521"/>
      <c r="D31" s="521"/>
      <c r="E31" s="521"/>
      <c r="F31" s="521"/>
      <c r="G31" s="521"/>
      <c r="H31" s="521"/>
      <c r="I31" s="521"/>
      <c r="J31" s="521"/>
      <c r="K31" s="521"/>
      <c r="L31" s="521"/>
      <c r="M31" s="521"/>
    </row>
    <row r="32" spans="1:13" ht="15.75" customHeight="1">
      <c r="A32" s="579"/>
      <c r="B32" s="580" t="s">
        <v>1303</v>
      </c>
      <c r="C32" s="580" t="s">
        <v>1304</v>
      </c>
      <c r="D32" s="580" t="s">
        <v>1305</v>
      </c>
      <c r="E32" s="521"/>
      <c r="F32" s="521"/>
      <c r="G32" s="521"/>
      <c r="H32" s="521"/>
      <c r="I32" s="521"/>
      <c r="J32" s="521"/>
      <c r="K32" s="521"/>
      <c r="L32" s="521"/>
      <c r="M32" s="521"/>
    </row>
    <row r="33" spans="1:13" ht="15.75" customHeight="1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</row>
    <row r="34" spans="1:13" ht="15.75" customHeight="1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</row>
    <row r="35" spans="1:13" ht="15.75" customHeight="1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</row>
    <row r="36" spans="1:13" ht="15.75" customHeight="1">
      <c r="A36" s="521"/>
      <c r="B36" s="521"/>
      <c r="C36" s="521"/>
      <c r="D36" s="521"/>
      <c r="E36" s="521"/>
      <c r="F36" s="521"/>
      <c r="J36" s="521"/>
      <c r="K36" s="521"/>
      <c r="L36" s="521"/>
      <c r="M36" s="521"/>
    </row>
    <row r="37" spans="1:13" ht="15.75" customHeight="1">
      <c r="A37" s="521"/>
      <c r="B37" s="521"/>
      <c r="C37" s="521"/>
      <c r="D37" s="521"/>
      <c r="E37" s="521"/>
      <c r="F37" s="521"/>
      <c r="M37" s="521"/>
    </row>
    <row r="38" spans="1:13" ht="15.75" customHeight="1"/>
    <row r="39" spans="1:13" ht="15.75" customHeight="1"/>
    <row r="40" spans="1:13" ht="15.75" customHeight="1"/>
    <row r="41" spans="1:13" ht="15.75" customHeight="1"/>
    <row r="42" spans="1:13" ht="15.75" customHeight="1"/>
    <row r="43" spans="1:13" ht="15.75" customHeight="1"/>
    <row r="44" spans="1:13" ht="15.75" customHeight="1"/>
    <row r="45" spans="1:13" ht="15.75" customHeight="1"/>
    <row r="46" spans="1:13" ht="15.75" customHeight="1"/>
    <row r="47" spans="1:13" ht="15.75" customHeight="1"/>
    <row r="48" spans="1:1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</sheetData>
  <mergeCells count="3">
    <mergeCell ref="A1:D1"/>
    <mergeCell ref="G1:L1"/>
    <mergeCell ref="A18:D18"/>
  </mergeCells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3E05-1D7D-4ABC-A196-2DD6481E5C6F}">
  <sheetPr codeName="Лист4"/>
  <dimension ref="A1:J1009"/>
  <sheetViews>
    <sheetView zoomScale="85" zoomScaleNormal="85" workbookViewId="0">
      <pane ySplit="2" topLeftCell="A130" activePane="bottomLeft" state="frozen"/>
      <selection pane="bottomLeft" activeCell="A135" sqref="A135:XFD139"/>
    </sheetView>
  </sheetViews>
  <sheetFormatPr defaultColWidth="14.453125" defaultRowHeight="15" customHeight="1" outlineLevelRow="1" outlineLevelCol="1"/>
  <cols>
    <col min="1" max="1" width="6" style="493" customWidth="1"/>
    <col min="2" max="2" width="20.1796875" style="493" customWidth="1"/>
    <col min="3" max="3" width="26.54296875" style="493" customWidth="1" outlineLevel="1"/>
    <col min="4" max="4" width="7.54296875" style="493" customWidth="1" outlineLevel="1"/>
    <col min="5" max="5" width="8.1796875" style="493" customWidth="1" outlineLevel="1"/>
    <col min="6" max="6" width="10.7265625" style="493" customWidth="1" outlineLevel="1"/>
    <col min="7" max="7" width="9.81640625" style="493" customWidth="1" outlineLevel="1"/>
    <col min="8" max="8" width="9.1796875" style="493" customWidth="1" outlineLevel="1"/>
    <col min="9" max="9" width="14" style="493" bestFit="1" customWidth="1" outlineLevel="1"/>
    <col min="10" max="10" width="12.81640625" style="493" customWidth="1" outlineLevel="1"/>
    <col min="11" max="16384" width="14.453125" style="493"/>
  </cols>
  <sheetData>
    <row r="1" spans="1:10" ht="34.5" customHeight="1">
      <c r="A1" s="603" t="s">
        <v>1369</v>
      </c>
      <c r="B1" s="604" t="s">
        <v>1370</v>
      </c>
      <c r="C1" s="603" t="s">
        <v>1371</v>
      </c>
      <c r="D1" s="605" t="s">
        <v>1372</v>
      </c>
      <c r="E1" s="581"/>
      <c r="F1" s="581"/>
      <c r="G1" s="581"/>
      <c r="H1" s="581"/>
      <c r="I1" s="581"/>
      <c r="J1" s="582"/>
    </row>
    <row r="2" spans="1:10" ht="13.75" customHeight="1">
      <c r="A2" s="606"/>
      <c r="B2" s="607"/>
      <c r="C2" s="606"/>
      <c r="D2" s="605"/>
      <c r="E2" s="583"/>
      <c r="F2" s="583"/>
      <c r="G2" s="583"/>
      <c r="H2" s="583"/>
      <c r="I2" s="583"/>
      <c r="J2" s="584"/>
    </row>
    <row r="3" spans="1:10" ht="13.75" customHeight="1">
      <c r="A3" s="606" t="s">
        <v>113</v>
      </c>
      <c r="B3" s="607"/>
      <c r="C3" s="606"/>
      <c r="D3" s="602"/>
      <c r="E3" s="585"/>
      <c r="F3" s="585"/>
      <c r="G3" s="585"/>
      <c r="H3" s="586"/>
      <c r="I3" s="586"/>
      <c r="J3" s="587"/>
    </row>
    <row r="4" spans="1:10" ht="13.75" customHeight="1" outlineLevel="1">
      <c r="A4" s="606">
        <v>1</v>
      </c>
      <c r="B4" s="607" t="s">
        <v>1374</v>
      </c>
      <c r="C4" s="606" t="s">
        <v>1375</v>
      </c>
      <c r="D4" s="602">
        <v>1</v>
      </c>
      <c r="E4" s="588"/>
      <c r="F4" s="588"/>
      <c r="G4" s="588"/>
      <c r="H4" s="588"/>
      <c r="I4" s="586"/>
      <c r="J4" s="589"/>
    </row>
    <row r="5" spans="1:10" ht="33.75" customHeight="1" outlineLevel="1">
      <c r="A5" s="606">
        <f>A4+1</f>
        <v>2</v>
      </c>
      <c r="B5" s="607" t="s">
        <v>1374</v>
      </c>
      <c r="C5" s="606" t="s">
        <v>1376</v>
      </c>
      <c r="D5" s="602">
        <v>1</v>
      </c>
      <c r="E5" s="588"/>
      <c r="F5" s="588"/>
      <c r="G5" s="588"/>
      <c r="H5" s="588"/>
      <c r="I5" s="586"/>
      <c r="J5" s="589"/>
    </row>
    <row r="6" spans="1:10" ht="12.75" customHeight="1" outlineLevel="1">
      <c r="A6" s="606">
        <v>3</v>
      </c>
      <c r="B6" s="607" t="s">
        <v>1374</v>
      </c>
      <c r="C6" s="606" t="s">
        <v>1377</v>
      </c>
      <c r="D6" s="602"/>
      <c r="E6" s="588"/>
      <c r="F6" s="588"/>
      <c r="G6" s="588"/>
      <c r="H6" s="588"/>
      <c r="I6" s="586"/>
      <c r="J6" s="589"/>
    </row>
    <row r="7" spans="1:10" ht="13.75" customHeight="1" outlineLevel="1">
      <c r="A7" s="606">
        <v>4</v>
      </c>
      <c r="B7" s="607" t="s">
        <v>1374</v>
      </c>
      <c r="C7" s="606" t="s">
        <v>1378</v>
      </c>
      <c r="D7" s="602">
        <v>1</v>
      </c>
      <c r="E7" s="588"/>
      <c r="F7" s="588"/>
      <c r="G7" s="588"/>
      <c r="H7" s="588"/>
      <c r="I7" s="586"/>
      <c r="J7" s="589"/>
    </row>
    <row r="8" spans="1:10" ht="13.75" customHeight="1" outlineLevel="1">
      <c r="A8" s="606">
        <f>A7+1</f>
        <v>5</v>
      </c>
      <c r="B8" s="607" t="s">
        <v>1374</v>
      </c>
      <c r="C8" s="606" t="s">
        <v>1379</v>
      </c>
      <c r="D8" s="602">
        <v>1</v>
      </c>
      <c r="E8" s="588"/>
      <c r="F8" s="588"/>
      <c r="G8" s="588"/>
      <c r="H8" s="588"/>
      <c r="I8" s="586"/>
      <c r="J8" s="589"/>
    </row>
    <row r="9" spans="1:10" ht="13.75" customHeight="1" outlineLevel="1">
      <c r="A9" s="606">
        <v>6</v>
      </c>
      <c r="B9" s="607" t="s">
        <v>1374</v>
      </c>
      <c r="C9" s="606" t="s">
        <v>1380</v>
      </c>
      <c r="D9" s="602">
        <v>1</v>
      </c>
      <c r="E9" s="588"/>
      <c r="F9" s="588"/>
      <c r="G9" s="588"/>
      <c r="H9" s="588"/>
      <c r="I9" s="586"/>
      <c r="J9" s="589"/>
    </row>
    <row r="10" spans="1:10" ht="23.25" customHeight="1" outlineLevel="1">
      <c r="A10" s="606">
        <v>7</v>
      </c>
      <c r="B10" s="607" t="s">
        <v>1374</v>
      </c>
      <c r="C10" s="606"/>
      <c r="D10" s="602"/>
      <c r="E10" s="588"/>
      <c r="F10" s="588"/>
      <c r="G10" s="588"/>
      <c r="H10" s="588"/>
      <c r="I10" s="586"/>
      <c r="J10" s="589"/>
    </row>
    <row r="11" spans="1:10" ht="13.75" customHeight="1">
      <c r="A11" s="603"/>
      <c r="B11" s="604" t="s">
        <v>1374</v>
      </c>
      <c r="C11" s="604"/>
      <c r="D11" s="604"/>
      <c r="E11" s="590"/>
      <c r="F11" s="590"/>
      <c r="G11" s="590"/>
      <c r="H11" s="590"/>
      <c r="I11" s="590"/>
      <c r="J11" s="591"/>
    </row>
    <row r="12" spans="1:10" ht="19" customHeight="1" outlineLevel="1">
      <c r="A12" s="606">
        <v>8</v>
      </c>
      <c r="B12" s="607" t="s">
        <v>1381</v>
      </c>
      <c r="C12" s="606" t="s">
        <v>1382</v>
      </c>
      <c r="D12" s="602">
        <v>1</v>
      </c>
      <c r="E12" s="588"/>
      <c r="F12" s="588"/>
      <c r="G12" s="588"/>
      <c r="H12" s="588"/>
      <c r="I12" s="586"/>
      <c r="J12" s="589"/>
    </row>
    <row r="13" spans="1:10" ht="19" customHeight="1" outlineLevel="1">
      <c r="A13" s="606">
        <v>9</v>
      </c>
      <c r="B13" s="607" t="s">
        <v>1381</v>
      </c>
      <c r="C13" s="606" t="s">
        <v>1383</v>
      </c>
      <c r="D13" s="602">
        <v>2</v>
      </c>
      <c r="E13" s="588"/>
      <c r="F13" s="588"/>
      <c r="G13" s="588"/>
      <c r="H13" s="588"/>
      <c r="I13" s="586"/>
      <c r="J13" s="589"/>
    </row>
    <row r="14" spans="1:10" ht="19" customHeight="1">
      <c r="A14" s="608"/>
      <c r="B14" s="604" t="s">
        <v>1381</v>
      </c>
      <c r="C14" s="603"/>
      <c r="D14" s="602"/>
      <c r="E14" s="592"/>
      <c r="F14" s="592"/>
      <c r="G14" s="592"/>
      <c r="H14" s="592"/>
      <c r="I14" s="586"/>
      <c r="J14" s="591"/>
    </row>
    <row r="15" spans="1:10" ht="14.25" customHeight="1" outlineLevel="1">
      <c r="A15" s="606">
        <v>10</v>
      </c>
      <c r="B15" s="607" t="s">
        <v>1384</v>
      </c>
      <c r="C15" s="607" t="s">
        <v>1385</v>
      </c>
      <c r="D15" s="602">
        <v>1</v>
      </c>
      <c r="E15" s="588"/>
      <c r="F15" s="588"/>
      <c r="G15" s="588"/>
      <c r="H15" s="588"/>
      <c r="I15" s="586"/>
      <c r="J15" s="589"/>
    </row>
    <row r="16" spans="1:10" ht="14.25" customHeight="1">
      <c r="A16" s="608"/>
      <c r="B16" s="604" t="s">
        <v>1384</v>
      </c>
      <c r="C16" s="603"/>
      <c r="D16" s="602"/>
      <c r="E16" s="592"/>
      <c r="F16" s="592"/>
      <c r="G16" s="592"/>
      <c r="H16" s="592"/>
      <c r="I16" s="586"/>
      <c r="J16" s="591"/>
    </row>
    <row r="17" spans="1:10" ht="13.75" customHeight="1" outlineLevel="1">
      <c r="A17" s="606">
        <v>11</v>
      </c>
      <c r="B17" s="607" t="s">
        <v>1386</v>
      </c>
      <c r="C17" s="606" t="s">
        <v>1387</v>
      </c>
      <c r="D17" s="602">
        <v>1</v>
      </c>
      <c r="E17" s="585"/>
      <c r="F17" s="585"/>
      <c r="G17" s="585"/>
      <c r="H17" s="585"/>
      <c r="I17" s="586"/>
      <c r="J17" s="589"/>
    </row>
    <row r="18" spans="1:10" ht="13.75" customHeight="1" outlineLevel="1">
      <c r="A18" s="606">
        <f>A17+1</f>
        <v>12</v>
      </c>
      <c r="B18" s="607" t="s">
        <v>1386</v>
      </c>
      <c r="C18" s="606" t="s">
        <v>1388</v>
      </c>
      <c r="D18" s="602">
        <v>1</v>
      </c>
      <c r="E18" s="585"/>
      <c r="F18" s="585"/>
      <c r="G18" s="585"/>
      <c r="H18" s="585"/>
      <c r="I18" s="586"/>
      <c r="J18" s="589"/>
    </row>
    <row r="19" spans="1:10" ht="13.75" customHeight="1" outlineLevel="1">
      <c r="A19" s="606">
        <f>A18+1</f>
        <v>13</v>
      </c>
      <c r="B19" s="607" t="s">
        <v>1386</v>
      </c>
      <c r="C19" s="606" t="s">
        <v>1389</v>
      </c>
      <c r="D19" s="602">
        <v>1</v>
      </c>
      <c r="E19" s="585"/>
      <c r="F19" s="585"/>
      <c r="G19" s="585"/>
      <c r="H19" s="585"/>
      <c r="I19" s="586"/>
      <c r="J19" s="589"/>
    </row>
    <row r="20" spans="1:10" ht="13.75" customHeight="1" outlineLevel="1">
      <c r="A20" s="606">
        <f>A19+1</f>
        <v>14</v>
      </c>
      <c r="B20" s="607" t="s">
        <v>1386</v>
      </c>
      <c r="C20" s="606" t="s">
        <v>1390</v>
      </c>
      <c r="D20" s="602">
        <v>1</v>
      </c>
      <c r="E20" s="585"/>
      <c r="F20" s="585"/>
      <c r="G20" s="585"/>
      <c r="H20" s="585"/>
      <c r="I20" s="586"/>
      <c r="J20" s="589"/>
    </row>
    <row r="21" spans="1:10" ht="13.75" customHeight="1" outlineLevel="1">
      <c r="A21" s="606">
        <f>A20+1</f>
        <v>15</v>
      </c>
      <c r="B21" s="607" t="s">
        <v>1386</v>
      </c>
      <c r="C21" s="606" t="s">
        <v>1391</v>
      </c>
      <c r="D21" s="602">
        <v>2</v>
      </c>
      <c r="E21" s="585"/>
      <c r="F21" s="585"/>
      <c r="G21" s="585"/>
      <c r="H21" s="585"/>
      <c r="I21" s="586"/>
      <c r="J21" s="589"/>
    </row>
    <row r="22" spans="1:10" ht="13.75" customHeight="1" outlineLevel="1">
      <c r="A22" s="606">
        <f>A21+1</f>
        <v>16</v>
      </c>
      <c r="B22" s="607" t="s">
        <v>1386</v>
      </c>
      <c r="C22" s="606" t="s">
        <v>1392</v>
      </c>
      <c r="D22" s="602">
        <v>2</v>
      </c>
      <c r="E22" s="585"/>
      <c r="F22" s="585"/>
      <c r="G22" s="585"/>
      <c r="H22" s="585"/>
      <c r="I22" s="586"/>
      <c r="J22" s="589"/>
    </row>
    <row r="23" spans="1:10" ht="13.75" customHeight="1">
      <c r="A23" s="603"/>
      <c r="B23" s="604" t="s">
        <v>1386</v>
      </c>
      <c r="C23" s="603"/>
      <c r="D23" s="602"/>
      <c r="E23" s="586"/>
      <c r="F23" s="586"/>
      <c r="G23" s="586"/>
      <c r="H23" s="586"/>
      <c r="I23" s="586"/>
      <c r="J23" s="591"/>
    </row>
    <row r="24" spans="1:10" ht="13.75" customHeight="1" outlineLevel="1">
      <c r="A24" s="606">
        <v>17</v>
      </c>
      <c r="B24" s="607" t="s">
        <v>1393</v>
      </c>
      <c r="C24" s="606" t="s">
        <v>1394</v>
      </c>
      <c r="D24" s="609">
        <v>2</v>
      </c>
      <c r="E24" s="593"/>
      <c r="F24" s="593"/>
      <c r="G24" s="593"/>
      <c r="H24" s="593"/>
      <c r="I24" s="594"/>
      <c r="J24" s="595"/>
    </row>
    <row r="25" spans="1:10" ht="13.75" customHeight="1" outlineLevel="1">
      <c r="A25" s="606">
        <v>18</v>
      </c>
      <c r="B25" s="607" t="s">
        <v>1393</v>
      </c>
      <c r="C25" s="606" t="s">
        <v>1395</v>
      </c>
      <c r="D25" s="609">
        <v>2</v>
      </c>
      <c r="E25" s="593"/>
      <c r="F25" s="593"/>
      <c r="G25" s="593"/>
      <c r="H25" s="593"/>
      <c r="I25" s="594"/>
      <c r="J25" s="595"/>
    </row>
    <row r="26" spans="1:10" ht="13.75" customHeight="1" outlineLevel="1">
      <c r="A26" s="606">
        <v>19</v>
      </c>
      <c r="B26" s="607" t="s">
        <v>1393</v>
      </c>
      <c r="C26" s="606" t="s">
        <v>1396</v>
      </c>
      <c r="D26" s="609"/>
      <c r="E26" s="593"/>
      <c r="F26" s="593"/>
      <c r="G26" s="593"/>
      <c r="H26" s="593"/>
      <c r="I26" s="594"/>
      <c r="J26" s="595"/>
    </row>
    <row r="27" spans="1:10" ht="13.75" customHeight="1">
      <c r="A27" s="603"/>
      <c r="B27" s="604" t="s">
        <v>1393</v>
      </c>
      <c r="C27" s="603"/>
      <c r="D27" s="602"/>
      <c r="E27" s="586"/>
      <c r="F27" s="586"/>
      <c r="G27" s="586"/>
      <c r="H27" s="586"/>
      <c r="I27" s="586"/>
      <c r="J27" s="591"/>
    </row>
    <row r="28" spans="1:10" ht="13.75" customHeight="1">
      <c r="A28" s="603"/>
      <c r="B28" s="607" t="s">
        <v>1397</v>
      </c>
      <c r="C28" s="606" t="s">
        <v>1398</v>
      </c>
      <c r="D28" s="609">
        <v>4</v>
      </c>
      <c r="E28" s="593"/>
      <c r="F28" s="593"/>
      <c r="G28" s="593"/>
      <c r="H28" s="593"/>
      <c r="I28" s="594"/>
      <c r="J28" s="591"/>
    </row>
    <row r="29" spans="1:10" ht="13.75" customHeight="1">
      <c r="A29" s="603"/>
      <c r="B29" s="604" t="s">
        <v>1397</v>
      </c>
      <c r="C29" s="603"/>
      <c r="D29" s="602"/>
      <c r="E29" s="586"/>
      <c r="F29" s="586"/>
      <c r="G29" s="586"/>
      <c r="H29" s="586"/>
      <c r="I29" s="586"/>
      <c r="J29" s="591"/>
    </row>
    <row r="30" spans="1:10" ht="19" customHeight="1" outlineLevel="1">
      <c r="A30" s="606">
        <v>19</v>
      </c>
      <c r="B30" s="607" t="s">
        <v>1399</v>
      </c>
      <c r="C30" s="606" t="s">
        <v>1400</v>
      </c>
      <c r="D30" s="602">
        <v>1</v>
      </c>
      <c r="E30" s="585"/>
      <c r="F30" s="585"/>
      <c r="G30" s="585"/>
      <c r="H30" s="585"/>
      <c r="I30" s="586"/>
      <c r="J30" s="596"/>
    </row>
    <row r="31" spans="1:10" ht="21.75" customHeight="1" outlineLevel="1">
      <c r="A31" s="606">
        <v>20</v>
      </c>
      <c r="B31" s="607" t="s">
        <v>1399</v>
      </c>
      <c r="C31" s="606" t="s">
        <v>1401</v>
      </c>
      <c r="D31" s="602">
        <v>1</v>
      </c>
      <c r="E31" s="585"/>
      <c r="F31" s="585"/>
      <c r="G31" s="585"/>
      <c r="H31" s="585"/>
      <c r="I31" s="586"/>
      <c r="J31" s="596"/>
    </row>
    <row r="32" spans="1:10" ht="13.75" customHeight="1" outlineLevel="1">
      <c r="A32" s="606">
        <v>21</v>
      </c>
      <c r="B32" s="607" t="s">
        <v>1399</v>
      </c>
      <c r="C32" s="606" t="s">
        <v>1402</v>
      </c>
      <c r="D32" s="602">
        <v>4</v>
      </c>
      <c r="E32" s="585"/>
      <c r="F32" s="585"/>
      <c r="G32" s="585"/>
      <c r="H32" s="585"/>
      <c r="I32" s="586"/>
      <c r="J32" s="596"/>
    </row>
    <row r="33" spans="1:10" ht="13.75" customHeight="1" outlineLevel="1">
      <c r="A33" s="606">
        <v>22</v>
      </c>
      <c r="B33" s="607" t="s">
        <v>1399</v>
      </c>
      <c r="C33" s="606" t="s">
        <v>1403</v>
      </c>
      <c r="D33" s="602">
        <v>2</v>
      </c>
      <c r="E33" s="585"/>
      <c r="F33" s="585"/>
      <c r="G33" s="585"/>
      <c r="H33" s="585"/>
      <c r="I33" s="586"/>
      <c r="J33" s="596"/>
    </row>
    <row r="34" spans="1:10" ht="13.75" customHeight="1">
      <c r="A34" s="603"/>
      <c r="B34" s="604" t="s">
        <v>1399</v>
      </c>
      <c r="C34" s="603"/>
      <c r="D34" s="602"/>
      <c r="E34" s="586"/>
      <c r="F34" s="586"/>
      <c r="G34" s="586"/>
      <c r="H34" s="586"/>
      <c r="I34" s="586"/>
      <c r="J34" s="591"/>
    </row>
    <row r="35" spans="1:10" ht="12.75" customHeight="1" outlineLevel="1">
      <c r="A35" s="606">
        <v>23</v>
      </c>
      <c r="B35" s="607" t="s">
        <v>1404</v>
      </c>
      <c r="C35" s="610"/>
      <c r="D35" s="611"/>
      <c r="E35" s="597"/>
      <c r="F35" s="597"/>
      <c r="G35" s="597"/>
      <c r="H35" s="598"/>
      <c r="I35" s="598"/>
      <c r="J35" s="596"/>
    </row>
    <row r="36" spans="1:10" ht="13.75" customHeight="1" outlineLevel="1">
      <c r="A36" s="606">
        <v>24</v>
      </c>
      <c r="B36" s="607" t="s">
        <v>1404</v>
      </c>
      <c r="C36" s="610" t="s">
        <v>1405</v>
      </c>
      <c r="D36" s="611">
        <v>0</v>
      </c>
      <c r="E36" s="597"/>
      <c r="F36" s="597"/>
      <c r="G36" s="597"/>
      <c r="H36" s="598"/>
      <c r="I36" s="598"/>
      <c r="J36" s="596"/>
    </row>
    <row r="37" spans="1:10" ht="13.75" customHeight="1" outlineLevel="1">
      <c r="A37" s="606">
        <v>25</v>
      </c>
      <c r="B37" s="607" t="s">
        <v>1404</v>
      </c>
      <c r="C37" s="610" t="s">
        <v>1406</v>
      </c>
      <c r="D37" s="611"/>
      <c r="E37" s="597"/>
      <c r="F37" s="597"/>
      <c r="G37" s="597"/>
      <c r="H37" s="598"/>
      <c r="I37" s="598"/>
      <c r="J37" s="596"/>
    </row>
    <row r="38" spans="1:10" ht="13.75" customHeight="1" outlineLevel="1">
      <c r="A38" s="606">
        <v>26</v>
      </c>
      <c r="B38" s="607" t="s">
        <v>1404</v>
      </c>
      <c r="C38" s="610" t="s">
        <v>1407</v>
      </c>
      <c r="D38" s="611"/>
      <c r="E38" s="597"/>
      <c r="F38" s="597"/>
      <c r="G38" s="597"/>
      <c r="H38" s="598"/>
      <c r="I38" s="598"/>
      <c r="J38" s="596"/>
    </row>
    <row r="39" spans="1:10" ht="13.75" customHeight="1">
      <c r="A39" s="603"/>
      <c r="B39" s="604" t="s">
        <v>1404</v>
      </c>
      <c r="C39" s="612"/>
      <c r="D39" s="611"/>
      <c r="E39" s="598"/>
      <c r="F39" s="598"/>
      <c r="G39" s="598"/>
      <c r="H39" s="598"/>
      <c r="I39" s="598"/>
      <c r="J39" s="591"/>
    </row>
    <row r="40" spans="1:10" ht="13.75" customHeight="1" outlineLevel="1">
      <c r="A40" s="606">
        <v>27</v>
      </c>
      <c r="B40" s="607" t="s">
        <v>1408</v>
      </c>
      <c r="C40" s="606" t="s">
        <v>1409</v>
      </c>
      <c r="D40" s="602">
        <v>0</v>
      </c>
      <c r="E40" s="585"/>
      <c r="F40" s="585"/>
      <c r="G40" s="585"/>
      <c r="H40" s="586"/>
      <c r="I40" s="586"/>
      <c r="J40" s="599"/>
    </row>
    <row r="41" spans="1:10" ht="23.25" customHeight="1" outlineLevel="1">
      <c r="A41" s="606">
        <v>28</v>
      </c>
      <c r="B41" s="607" t="s">
        <v>1408</v>
      </c>
      <c r="C41" s="606" t="s">
        <v>1410</v>
      </c>
      <c r="D41" s="602">
        <v>8</v>
      </c>
      <c r="E41" s="585"/>
      <c r="F41" s="585"/>
      <c r="G41" s="585"/>
      <c r="H41" s="586"/>
      <c r="I41" s="586"/>
      <c r="J41" s="599"/>
    </row>
    <row r="42" spans="1:10" ht="21" customHeight="1" outlineLevel="1">
      <c r="A42" s="606">
        <v>29</v>
      </c>
      <c r="B42" s="607" t="s">
        <v>1408</v>
      </c>
      <c r="C42" s="606" t="s">
        <v>1411</v>
      </c>
      <c r="D42" s="602">
        <v>2</v>
      </c>
      <c r="E42" s="585"/>
      <c r="F42" s="585"/>
      <c r="G42" s="585"/>
      <c r="H42" s="586"/>
      <c r="I42" s="586"/>
      <c r="J42" s="599"/>
    </row>
    <row r="43" spans="1:10" ht="13.75" customHeight="1">
      <c r="A43" s="606"/>
      <c r="B43" s="613" t="str">
        <f>B42</f>
        <v>СПиР</v>
      </c>
      <c r="C43" s="610"/>
      <c r="D43" s="602"/>
      <c r="E43" s="597"/>
      <c r="F43" s="597"/>
      <c r="G43" s="597"/>
      <c r="H43" s="598"/>
      <c r="I43" s="598"/>
      <c r="J43" s="591"/>
    </row>
    <row r="44" spans="1:10" ht="19" customHeight="1" outlineLevel="1">
      <c r="A44" s="606">
        <v>30</v>
      </c>
      <c r="B44" s="614" t="s">
        <v>1412</v>
      </c>
      <c r="C44" s="610" t="s">
        <v>1413</v>
      </c>
      <c r="D44" s="602">
        <v>2</v>
      </c>
      <c r="E44" s="597"/>
      <c r="F44" s="597"/>
      <c r="G44" s="597"/>
      <c r="H44" s="586"/>
      <c r="I44" s="586"/>
      <c r="J44" s="599"/>
    </row>
    <row r="45" spans="1:10" ht="19" customHeight="1" outlineLevel="1">
      <c r="A45" s="606">
        <v>31</v>
      </c>
      <c r="B45" s="614" t="s">
        <v>1412</v>
      </c>
      <c r="C45" s="610" t="s">
        <v>1414</v>
      </c>
      <c r="D45" s="602">
        <v>1</v>
      </c>
      <c r="E45" s="597"/>
      <c r="F45" s="597"/>
      <c r="G45" s="597"/>
      <c r="H45" s="586"/>
      <c r="I45" s="586"/>
      <c r="J45" s="599"/>
    </row>
    <row r="46" spans="1:10" ht="19" customHeight="1" outlineLevel="1">
      <c r="A46" s="606">
        <v>32</v>
      </c>
      <c r="B46" s="614" t="s">
        <v>1412</v>
      </c>
      <c r="C46" s="610" t="s">
        <v>1415</v>
      </c>
      <c r="D46" s="602">
        <v>1</v>
      </c>
      <c r="E46" s="597"/>
      <c r="F46" s="597"/>
      <c r="G46" s="597"/>
      <c r="H46" s="586"/>
      <c r="I46" s="586"/>
      <c r="J46" s="599"/>
    </row>
    <row r="47" spans="1:10" ht="21.75" customHeight="1" outlineLevel="1">
      <c r="A47" s="606">
        <v>33</v>
      </c>
      <c r="B47" s="614" t="s">
        <v>1412</v>
      </c>
      <c r="C47" s="610" t="s">
        <v>1506</v>
      </c>
      <c r="D47" s="602">
        <v>22</v>
      </c>
      <c r="E47" s="597"/>
      <c r="F47" s="597"/>
      <c r="G47" s="597"/>
      <c r="H47" s="586"/>
      <c r="I47" s="586"/>
      <c r="J47" s="599"/>
    </row>
    <row r="48" spans="1:10" ht="21.75" customHeight="1" outlineLevel="1">
      <c r="A48" s="606">
        <v>34</v>
      </c>
      <c r="B48" s="614" t="s">
        <v>1412</v>
      </c>
      <c r="C48" s="610" t="s">
        <v>1416</v>
      </c>
      <c r="D48" s="602">
        <v>1</v>
      </c>
      <c r="E48" s="597"/>
      <c r="F48" s="597"/>
      <c r="G48" s="597"/>
      <c r="H48" s="586"/>
      <c r="I48" s="586"/>
      <c r="J48" s="599"/>
    </row>
    <row r="49" spans="1:10" ht="21.75" customHeight="1" outlineLevel="1">
      <c r="A49" s="606">
        <v>35</v>
      </c>
      <c r="B49" s="614" t="s">
        <v>1412</v>
      </c>
      <c r="C49" s="610" t="s">
        <v>1417</v>
      </c>
      <c r="D49" s="602">
        <v>4</v>
      </c>
      <c r="E49" s="597"/>
      <c r="F49" s="597"/>
      <c r="G49" s="597"/>
      <c r="H49" s="586"/>
      <c r="I49" s="586"/>
      <c r="J49" s="599"/>
    </row>
    <row r="50" spans="1:10" ht="13.75" customHeight="1" outlineLevel="1">
      <c r="A50" s="606">
        <v>36</v>
      </c>
      <c r="B50" s="614" t="s">
        <v>1412</v>
      </c>
      <c r="C50" s="610" t="s">
        <v>1418</v>
      </c>
      <c r="D50" s="602">
        <v>1</v>
      </c>
      <c r="E50" s="585"/>
      <c r="F50" s="597"/>
      <c r="G50" s="597"/>
      <c r="H50" s="586"/>
      <c r="I50" s="586"/>
      <c r="J50" s="599"/>
    </row>
    <row r="51" spans="1:10" ht="26.25" customHeight="1" outlineLevel="1">
      <c r="A51" s="606">
        <v>37</v>
      </c>
      <c r="B51" s="614" t="s">
        <v>1412</v>
      </c>
      <c r="C51" s="610" t="s">
        <v>1419</v>
      </c>
      <c r="D51" s="602">
        <v>16</v>
      </c>
      <c r="E51" s="597"/>
      <c r="F51" s="597"/>
      <c r="G51" s="597"/>
      <c r="H51" s="586"/>
      <c r="I51" s="586"/>
      <c r="J51" s="596"/>
    </row>
    <row r="52" spans="1:10" ht="26.25" customHeight="1" outlineLevel="1">
      <c r="A52" s="606">
        <v>38</v>
      </c>
      <c r="B52" s="614" t="s">
        <v>1412</v>
      </c>
      <c r="C52" s="610" t="s">
        <v>1420</v>
      </c>
      <c r="D52" s="602">
        <v>1</v>
      </c>
      <c r="E52" s="597"/>
      <c r="F52" s="597"/>
      <c r="G52" s="597"/>
      <c r="H52" s="586"/>
      <c r="I52" s="586"/>
      <c r="J52" s="596"/>
    </row>
    <row r="53" spans="1:10" ht="26.25" customHeight="1" outlineLevel="1">
      <c r="A53" s="606">
        <v>39</v>
      </c>
      <c r="B53" s="614" t="s">
        <v>1412</v>
      </c>
      <c r="C53" s="610" t="s">
        <v>1421</v>
      </c>
      <c r="D53" s="602">
        <v>2</v>
      </c>
      <c r="E53" s="597"/>
      <c r="F53" s="597"/>
      <c r="G53" s="597"/>
      <c r="H53" s="586"/>
      <c r="I53" s="586"/>
      <c r="J53" s="596"/>
    </row>
    <row r="54" spans="1:10" ht="13.75" customHeight="1">
      <c r="A54" s="603"/>
      <c r="B54" s="603" t="str">
        <f>B51</f>
        <v>СГХ</v>
      </c>
      <c r="C54" s="603"/>
      <c r="D54" s="602"/>
      <c r="E54" s="586"/>
      <c r="F54" s="586"/>
      <c r="G54" s="586"/>
      <c r="H54" s="586"/>
      <c r="I54" s="586"/>
      <c r="J54" s="591"/>
    </row>
    <row r="55" spans="1:10" ht="13.75" customHeight="1" outlineLevel="1">
      <c r="A55" s="610">
        <v>40</v>
      </c>
      <c r="B55" s="610" t="s">
        <v>1422</v>
      </c>
      <c r="C55" s="610" t="s">
        <v>1423</v>
      </c>
      <c r="D55" s="602">
        <v>1</v>
      </c>
      <c r="E55" s="597"/>
      <c r="F55" s="597"/>
      <c r="G55" s="597"/>
      <c r="H55" s="586"/>
      <c r="I55" s="586"/>
      <c r="J55" s="596"/>
    </row>
    <row r="56" spans="1:10" ht="13.75" customHeight="1" outlineLevel="1">
      <c r="A56" s="610">
        <v>41</v>
      </c>
      <c r="B56" s="610" t="s">
        <v>1422</v>
      </c>
      <c r="C56" s="610" t="s">
        <v>1424</v>
      </c>
      <c r="D56" s="602"/>
      <c r="E56" s="597"/>
      <c r="F56" s="597"/>
      <c r="G56" s="597"/>
      <c r="H56" s="586"/>
      <c r="I56" s="586"/>
      <c r="J56" s="596"/>
    </row>
    <row r="57" spans="1:10" ht="13.75" customHeight="1" outlineLevel="1">
      <c r="A57" s="610">
        <v>42</v>
      </c>
      <c r="B57" s="610" t="s">
        <v>1422</v>
      </c>
      <c r="C57" s="610" t="s">
        <v>1425</v>
      </c>
      <c r="D57" s="602">
        <v>4</v>
      </c>
      <c r="E57" s="597"/>
      <c r="F57" s="597"/>
      <c r="G57" s="597"/>
      <c r="H57" s="586"/>
      <c r="I57" s="586"/>
      <c r="J57" s="599"/>
    </row>
    <row r="58" spans="1:10" ht="13.75" customHeight="1" outlineLevel="1">
      <c r="A58" s="610">
        <v>43</v>
      </c>
      <c r="B58" s="610" t="s">
        <v>1422</v>
      </c>
      <c r="C58" s="610" t="s">
        <v>1426</v>
      </c>
      <c r="D58" s="602">
        <v>10</v>
      </c>
      <c r="E58" s="597"/>
      <c r="F58" s="597"/>
      <c r="G58" s="597"/>
      <c r="H58" s="586"/>
      <c r="I58" s="586"/>
      <c r="J58" s="599"/>
    </row>
    <row r="59" spans="1:10" ht="13.75" customHeight="1" outlineLevel="1">
      <c r="A59" s="610">
        <v>44</v>
      </c>
      <c r="B59" s="610" t="s">
        <v>1422</v>
      </c>
      <c r="C59" s="610" t="s">
        <v>1427</v>
      </c>
      <c r="D59" s="602">
        <v>4</v>
      </c>
      <c r="E59" s="597"/>
      <c r="F59" s="597"/>
      <c r="G59" s="597"/>
      <c r="H59" s="586"/>
      <c r="I59" s="586"/>
      <c r="J59" s="599"/>
    </row>
    <row r="60" spans="1:10" ht="13.75" customHeight="1" outlineLevel="1">
      <c r="A60" s="610">
        <v>45</v>
      </c>
      <c r="B60" s="610" t="s">
        <v>1422</v>
      </c>
      <c r="C60" s="610" t="s">
        <v>1428</v>
      </c>
      <c r="D60" s="602">
        <v>2</v>
      </c>
      <c r="E60" s="597"/>
      <c r="F60" s="597"/>
      <c r="G60" s="597"/>
      <c r="H60" s="586"/>
      <c r="I60" s="586"/>
      <c r="J60" s="599"/>
    </row>
    <row r="61" spans="1:10" ht="13.75" customHeight="1">
      <c r="A61" s="612"/>
      <c r="B61" s="612" t="str">
        <f>B57</f>
        <v>АКВА центр и СПА</v>
      </c>
      <c r="C61" s="612"/>
      <c r="D61" s="602"/>
      <c r="E61" s="598"/>
      <c r="F61" s="598"/>
      <c r="G61" s="598"/>
      <c r="H61" s="586"/>
      <c r="I61" s="586"/>
      <c r="J61" s="591"/>
    </row>
    <row r="62" spans="1:10" ht="23.25" customHeight="1" outlineLevel="1">
      <c r="A62" s="606">
        <v>46</v>
      </c>
      <c r="B62" s="606" t="s">
        <v>1429</v>
      </c>
      <c r="C62" s="606" t="s">
        <v>1430</v>
      </c>
      <c r="D62" s="602">
        <v>1</v>
      </c>
      <c r="E62" s="585"/>
      <c r="F62" s="585"/>
      <c r="G62" s="585"/>
      <c r="H62" s="586"/>
      <c r="I62" s="586"/>
      <c r="J62" s="596"/>
    </row>
    <row r="63" spans="1:10" ht="13.75" customHeight="1" outlineLevel="1">
      <c r="A63" s="606">
        <v>47</v>
      </c>
      <c r="B63" s="606" t="s">
        <v>1429</v>
      </c>
      <c r="C63" s="606"/>
      <c r="D63" s="602"/>
      <c r="E63" s="585"/>
      <c r="F63" s="585"/>
      <c r="G63" s="585"/>
      <c r="H63" s="586"/>
      <c r="I63" s="586"/>
      <c r="J63" s="596"/>
    </row>
    <row r="64" spans="1:10" ht="13.75" customHeight="1" outlineLevel="1">
      <c r="A64" s="606">
        <v>48</v>
      </c>
      <c r="B64" s="606" t="s">
        <v>1429</v>
      </c>
      <c r="C64" s="606" t="s">
        <v>1431</v>
      </c>
      <c r="D64" s="602">
        <v>8</v>
      </c>
      <c r="E64" s="585"/>
      <c r="F64" s="585"/>
      <c r="G64" s="585"/>
      <c r="H64" s="586"/>
      <c r="I64" s="586"/>
      <c r="J64" s="596"/>
    </row>
    <row r="65" spans="1:10" ht="13.75" customHeight="1" outlineLevel="1">
      <c r="A65" s="606">
        <v>49</v>
      </c>
      <c r="B65" s="606" t="s">
        <v>1429</v>
      </c>
      <c r="C65" s="606" t="s">
        <v>1432</v>
      </c>
      <c r="D65" s="602">
        <v>1</v>
      </c>
      <c r="E65" s="585"/>
      <c r="F65" s="585"/>
      <c r="G65" s="585"/>
      <c r="H65" s="586"/>
      <c r="I65" s="586"/>
      <c r="J65" s="596"/>
    </row>
    <row r="66" spans="1:10" ht="13.75" customHeight="1" outlineLevel="1">
      <c r="A66" s="606">
        <v>50</v>
      </c>
      <c r="B66" s="606" t="s">
        <v>1429</v>
      </c>
      <c r="C66" s="606" t="s">
        <v>1433</v>
      </c>
      <c r="D66" s="602">
        <v>10</v>
      </c>
      <c r="E66" s="585"/>
      <c r="F66" s="585"/>
      <c r="G66" s="585"/>
      <c r="H66" s="586"/>
      <c r="I66" s="586"/>
      <c r="J66" s="596"/>
    </row>
    <row r="67" spans="1:10" ht="13.75" customHeight="1" outlineLevel="1">
      <c r="A67" s="606">
        <v>51</v>
      </c>
      <c r="B67" s="606" t="s">
        <v>1429</v>
      </c>
      <c r="C67" s="606" t="s">
        <v>1434</v>
      </c>
      <c r="D67" s="602">
        <v>4</v>
      </c>
      <c r="E67" s="585"/>
      <c r="F67" s="585"/>
      <c r="G67" s="585"/>
      <c r="H67" s="586"/>
      <c r="I67" s="586"/>
      <c r="J67" s="596"/>
    </row>
    <row r="68" spans="1:10" ht="13.75" customHeight="1" outlineLevel="1">
      <c r="A68" s="606">
        <v>52</v>
      </c>
      <c r="B68" s="606" t="s">
        <v>1429</v>
      </c>
      <c r="C68" s="606" t="s">
        <v>1435</v>
      </c>
      <c r="D68" s="602">
        <v>20</v>
      </c>
      <c r="E68" s="585"/>
      <c r="F68" s="585"/>
      <c r="G68" s="585"/>
      <c r="H68" s="586"/>
      <c r="I68" s="586"/>
      <c r="J68" s="596"/>
    </row>
    <row r="69" spans="1:10" ht="13.75" customHeight="1" outlineLevel="1">
      <c r="A69" s="606">
        <v>53</v>
      </c>
      <c r="B69" s="606" t="s">
        <v>1429</v>
      </c>
      <c r="C69" s="606" t="s">
        <v>1436</v>
      </c>
      <c r="D69" s="602">
        <v>3</v>
      </c>
      <c r="E69" s="585"/>
      <c r="F69" s="585"/>
      <c r="G69" s="585"/>
      <c r="H69" s="586"/>
      <c r="I69" s="586"/>
      <c r="J69" s="596"/>
    </row>
    <row r="70" spans="1:10" ht="13.75" customHeight="1" outlineLevel="1">
      <c r="A70" s="606">
        <v>54</v>
      </c>
      <c r="B70" s="606" t="s">
        <v>1429</v>
      </c>
      <c r="C70" s="606" t="s">
        <v>1437</v>
      </c>
      <c r="D70" s="602">
        <v>8</v>
      </c>
      <c r="E70" s="585"/>
      <c r="F70" s="585"/>
      <c r="G70" s="585"/>
      <c r="H70" s="586"/>
      <c r="I70" s="586"/>
      <c r="J70" s="596"/>
    </row>
    <row r="71" spans="1:10" ht="12.75" customHeight="1" outlineLevel="1">
      <c r="A71" s="606">
        <v>55</v>
      </c>
      <c r="B71" s="606" t="s">
        <v>1429</v>
      </c>
      <c r="C71" s="606" t="s">
        <v>1438</v>
      </c>
      <c r="D71" s="602">
        <v>2</v>
      </c>
      <c r="E71" s="585"/>
      <c r="F71" s="585"/>
      <c r="G71" s="585"/>
      <c r="H71" s="586"/>
      <c r="I71" s="586"/>
      <c r="J71" s="596"/>
    </row>
    <row r="72" spans="1:10" ht="13.75" customHeight="1" outlineLevel="1">
      <c r="A72" s="606">
        <v>56</v>
      </c>
      <c r="B72" s="606" t="s">
        <v>1429</v>
      </c>
      <c r="C72" s="606" t="s">
        <v>1439</v>
      </c>
      <c r="D72" s="602">
        <v>4</v>
      </c>
      <c r="E72" s="585"/>
      <c r="F72" s="585"/>
      <c r="G72" s="585"/>
      <c r="H72" s="586"/>
      <c r="I72" s="586"/>
      <c r="J72" s="596"/>
    </row>
    <row r="73" spans="1:10" ht="13.75" customHeight="1" outlineLevel="1">
      <c r="A73" s="606">
        <v>57</v>
      </c>
      <c r="B73" s="606" t="s">
        <v>1429</v>
      </c>
      <c r="C73" s="606" t="s">
        <v>1440</v>
      </c>
      <c r="D73" s="602">
        <v>1</v>
      </c>
      <c r="E73" s="585"/>
      <c r="F73" s="585"/>
      <c r="G73" s="585"/>
      <c r="H73" s="586"/>
      <c r="I73" s="586"/>
      <c r="J73" s="596"/>
    </row>
    <row r="74" spans="1:10" ht="13.75" customHeight="1" outlineLevel="1">
      <c r="A74" s="606">
        <v>58</v>
      </c>
      <c r="B74" s="606" t="s">
        <v>1429</v>
      </c>
      <c r="C74" s="606" t="s">
        <v>1441</v>
      </c>
      <c r="D74" s="602">
        <v>6</v>
      </c>
      <c r="E74" s="585"/>
      <c r="F74" s="585"/>
      <c r="G74" s="585"/>
      <c r="H74" s="586"/>
      <c r="I74" s="586"/>
      <c r="J74" s="596"/>
    </row>
    <row r="75" spans="1:10" ht="13.75" customHeight="1" outlineLevel="1">
      <c r="A75" s="606">
        <v>59</v>
      </c>
      <c r="B75" s="606" t="s">
        <v>1429</v>
      </c>
      <c r="C75" s="606" t="s">
        <v>1442</v>
      </c>
      <c r="D75" s="602">
        <v>1</v>
      </c>
      <c r="E75" s="585"/>
      <c r="F75" s="585"/>
      <c r="G75" s="585"/>
      <c r="H75" s="586"/>
      <c r="I75" s="586"/>
      <c r="J75" s="596"/>
    </row>
    <row r="76" spans="1:10" ht="13.75" customHeight="1" outlineLevel="1">
      <c r="A76" s="606">
        <v>60</v>
      </c>
      <c r="B76" s="606" t="s">
        <v>1429</v>
      </c>
      <c r="C76" s="606"/>
      <c r="D76" s="602"/>
      <c r="E76" s="585"/>
      <c r="F76" s="585"/>
      <c r="G76" s="585"/>
      <c r="H76" s="586"/>
      <c r="I76" s="586"/>
      <c r="J76" s="596"/>
    </row>
    <row r="77" spans="1:10" ht="13.75" customHeight="1" outlineLevel="1">
      <c r="A77" s="606">
        <v>61</v>
      </c>
      <c r="B77" s="606" t="s">
        <v>1429</v>
      </c>
      <c r="C77" s="606" t="s">
        <v>1443</v>
      </c>
      <c r="D77" s="602">
        <v>2</v>
      </c>
      <c r="E77" s="585"/>
      <c r="F77" s="585"/>
      <c r="G77" s="585"/>
      <c r="H77" s="586"/>
      <c r="I77" s="586"/>
      <c r="J77" s="596"/>
    </row>
    <row r="78" spans="1:10" ht="13.75" customHeight="1" outlineLevel="1">
      <c r="A78" s="606">
        <v>62</v>
      </c>
      <c r="B78" s="606" t="s">
        <v>1429</v>
      </c>
      <c r="C78" s="606" t="s">
        <v>1444</v>
      </c>
      <c r="D78" s="602">
        <v>2</v>
      </c>
      <c r="E78" s="585"/>
      <c r="F78" s="585"/>
      <c r="G78" s="585"/>
      <c r="H78" s="586"/>
      <c r="I78" s="586"/>
      <c r="J78" s="596"/>
    </row>
    <row r="79" spans="1:10" ht="13.75" customHeight="1" outlineLevel="1">
      <c r="A79" s="606">
        <v>63</v>
      </c>
      <c r="B79" s="606" t="s">
        <v>1429</v>
      </c>
      <c r="C79" s="606" t="s">
        <v>1445</v>
      </c>
      <c r="D79" s="602">
        <v>2</v>
      </c>
      <c r="E79" s="585"/>
      <c r="F79" s="585"/>
      <c r="G79" s="585"/>
      <c r="H79" s="586"/>
      <c r="I79" s="586"/>
      <c r="J79" s="596"/>
    </row>
    <row r="80" spans="1:10" ht="13.75" customHeight="1" outlineLevel="1">
      <c r="A80" s="606">
        <v>64</v>
      </c>
      <c r="B80" s="606" t="s">
        <v>1429</v>
      </c>
      <c r="C80" s="606" t="s">
        <v>1446</v>
      </c>
      <c r="D80" s="602">
        <v>8</v>
      </c>
      <c r="E80" s="585"/>
      <c r="F80" s="585"/>
      <c r="G80" s="585"/>
      <c r="H80" s="586"/>
      <c r="I80" s="586"/>
      <c r="J80" s="596"/>
    </row>
    <row r="81" spans="1:10" ht="13.75" customHeight="1" outlineLevel="1">
      <c r="A81" s="606">
        <v>65</v>
      </c>
      <c r="B81" s="606" t="s">
        <v>1429</v>
      </c>
      <c r="C81" s="606" t="s">
        <v>1447</v>
      </c>
      <c r="D81" s="602">
        <v>0</v>
      </c>
      <c r="E81" s="585"/>
      <c r="F81" s="585"/>
      <c r="G81" s="585"/>
      <c r="H81" s="586"/>
      <c r="I81" s="586"/>
      <c r="J81" s="596"/>
    </row>
    <row r="82" spans="1:10" ht="13.75" customHeight="1" outlineLevel="1">
      <c r="A82" s="606">
        <v>66</v>
      </c>
      <c r="B82" s="606" t="s">
        <v>1429</v>
      </c>
      <c r="C82" s="606" t="s">
        <v>1448</v>
      </c>
      <c r="D82" s="602">
        <v>6</v>
      </c>
      <c r="E82" s="585"/>
      <c r="F82" s="585"/>
      <c r="G82" s="585"/>
      <c r="H82" s="586"/>
      <c r="I82" s="586"/>
      <c r="J82" s="596"/>
    </row>
    <row r="83" spans="1:10" ht="13.75" customHeight="1" outlineLevel="1">
      <c r="A83" s="606">
        <v>67</v>
      </c>
      <c r="B83" s="606" t="s">
        <v>1429</v>
      </c>
      <c r="C83" s="606" t="s">
        <v>1449</v>
      </c>
      <c r="D83" s="602">
        <v>4</v>
      </c>
      <c r="E83" s="585"/>
      <c r="F83" s="585"/>
      <c r="G83" s="585"/>
      <c r="H83" s="586"/>
      <c r="I83" s="586"/>
      <c r="J83" s="596"/>
    </row>
    <row r="84" spans="1:10" ht="13.75" customHeight="1" outlineLevel="1">
      <c r="A84" s="606">
        <v>68</v>
      </c>
      <c r="B84" s="606" t="s">
        <v>1429</v>
      </c>
      <c r="C84" s="606" t="s">
        <v>1450</v>
      </c>
      <c r="D84" s="602">
        <v>0</v>
      </c>
      <c r="E84" s="585"/>
      <c r="F84" s="585"/>
      <c r="G84" s="585"/>
      <c r="H84" s="586"/>
      <c r="I84" s="586"/>
      <c r="J84" s="596"/>
    </row>
    <row r="85" spans="1:10" ht="13.75" customHeight="1" outlineLevel="1">
      <c r="A85" s="606">
        <v>69</v>
      </c>
      <c r="B85" s="606" t="s">
        <v>1429</v>
      </c>
      <c r="C85" s="606" t="s">
        <v>1451</v>
      </c>
      <c r="D85" s="602">
        <v>4</v>
      </c>
      <c r="E85" s="585"/>
      <c r="F85" s="585"/>
      <c r="G85" s="585"/>
      <c r="H85" s="586"/>
      <c r="I85" s="586"/>
      <c r="J85" s="596"/>
    </row>
    <row r="86" spans="1:10" ht="23.25" customHeight="1" outlineLevel="1">
      <c r="A86" s="606">
        <v>70</v>
      </c>
      <c r="B86" s="606" t="s">
        <v>1429</v>
      </c>
      <c r="C86" s="606" t="s">
        <v>1452</v>
      </c>
      <c r="D86" s="602">
        <v>1</v>
      </c>
      <c r="E86" s="585"/>
      <c r="F86" s="585"/>
      <c r="G86" s="585"/>
      <c r="H86" s="586"/>
      <c r="I86" s="586"/>
      <c r="J86" s="596"/>
    </row>
    <row r="87" spans="1:10" ht="13.75" customHeight="1" outlineLevel="1">
      <c r="A87" s="606">
        <v>71</v>
      </c>
      <c r="B87" s="606" t="s">
        <v>1429</v>
      </c>
      <c r="C87" s="606" t="s">
        <v>1453</v>
      </c>
      <c r="D87" s="602">
        <v>2</v>
      </c>
      <c r="E87" s="585"/>
      <c r="F87" s="585"/>
      <c r="G87" s="585"/>
      <c r="H87" s="586"/>
      <c r="I87" s="586"/>
      <c r="J87" s="596"/>
    </row>
    <row r="88" spans="1:10" ht="13.75" customHeight="1" outlineLevel="1">
      <c r="A88" s="606">
        <v>72</v>
      </c>
      <c r="B88" s="606" t="s">
        <v>1429</v>
      </c>
      <c r="C88" s="606" t="s">
        <v>1454</v>
      </c>
      <c r="D88" s="602">
        <v>16</v>
      </c>
      <c r="E88" s="585"/>
      <c r="F88" s="585"/>
      <c r="G88" s="585"/>
      <c r="H88" s="586"/>
      <c r="I88" s="586"/>
      <c r="J88" s="596"/>
    </row>
    <row r="89" spans="1:10" ht="23.25" customHeight="1" outlineLevel="1">
      <c r="A89" s="606">
        <v>73</v>
      </c>
      <c r="B89" s="606" t="s">
        <v>1429</v>
      </c>
      <c r="C89" s="606" t="s">
        <v>1455</v>
      </c>
      <c r="D89" s="602">
        <v>1</v>
      </c>
      <c r="E89" s="585"/>
      <c r="F89" s="585"/>
      <c r="G89" s="585"/>
      <c r="H89" s="586"/>
      <c r="I89" s="586"/>
      <c r="J89" s="599"/>
    </row>
    <row r="90" spans="1:10" ht="13.75" customHeight="1" outlineLevel="1">
      <c r="A90" s="606">
        <v>74</v>
      </c>
      <c r="B90" s="606" t="s">
        <v>1429</v>
      </c>
      <c r="C90" s="606" t="s">
        <v>1456</v>
      </c>
      <c r="D90" s="602">
        <v>0</v>
      </c>
      <c r="E90" s="585"/>
      <c r="F90" s="585"/>
      <c r="G90" s="585"/>
      <c r="H90" s="586"/>
      <c r="I90" s="586"/>
    </row>
    <row r="91" spans="1:10" ht="13.75" customHeight="1">
      <c r="A91" s="606"/>
      <c r="B91" s="603" t="str">
        <f>B89</f>
        <v>Служба питания и напитков</v>
      </c>
      <c r="C91" s="603"/>
      <c r="D91" s="602"/>
      <c r="E91" s="586"/>
      <c r="F91" s="586"/>
      <c r="G91" s="586"/>
      <c r="H91" s="586"/>
      <c r="I91" s="586"/>
      <c r="J91" s="596"/>
    </row>
    <row r="92" spans="1:10" ht="13.75" customHeight="1" outlineLevel="1">
      <c r="A92" s="606">
        <v>75</v>
      </c>
      <c r="B92" s="606" t="s">
        <v>1457</v>
      </c>
      <c r="C92" s="606" t="s">
        <v>1458</v>
      </c>
      <c r="D92" s="602">
        <v>1</v>
      </c>
      <c r="E92" s="585"/>
      <c r="F92" s="585"/>
      <c r="G92" s="585"/>
      <c r="H92" s="586"/>
      <c r="I92" s="586"/>
      <c r="J92" s="599"/>
    </row>
    <row r="93" spans="1:10" ht="14.25" customHeight="1" outlineLevel="1">
      <c r="A93" s="606">
        <v>76</v>
      </c>
      <c r="B93" s="606" t="s">
        <v>1457</v>
      </c>
      <c r="C93" s="606" t="s">
        <v>1459</v>
      </c>
      <c r="D93" s="602">
        <v>1</v>
      </c>
      <c r="E93" s="585"/>
      <c r="F93" s="585"/>
      <c r="G93" s="585"/>
      <c r="H93" s="586"/>
      <c r="I93" s="586"/>
      <c r="J93" s="599"/>
    </row>
    <row r="94" spans="1:10" ht="13.75" customHeight="1">
      <c r="A94" s="608"/>
      <c r="B94" s="603" t="s">
        <v>1457</v>
      </c>
      <c r="C94" s="608"/>
      <c r="D94" s="615"/>
      <c r="E94" s="495"/>
      <c r="F94" s="495"/>
      <c r="G94" s="495"/>
      <c r="H94" s="495"/>
      <c r="I94" s="495"/>
      <c r="J94" s="591"/>
    </row>
    <row r="95" spans="1:10" ht="13.75" customHeight="1">
      <c r="A95" s="608">
        <v>75</v>
      </c>
      <c r="B95" s="603" t="s">
        <v>1460</v>
      </c>
      <c r="C95" s="606" t="s">
        <v>1461</v>
      </c>
      <c r="D95" s="602">
        <v>6</v>
      </c>
      <c r="E95" s="585"/>
      <c r="F95" s="585"/>
      <c r="G95" s="585"/>
      <c r="H95" s="586"/>
      <c r="I95" s="586"/>
      <c r="J95" s="591"/>
    </row>
    <row r="96" spans="1:10" ht="13.75" customHeight="1">
      <c r="A96" s="608"/>
      <c r="B96" s="603" t="s">
        <v>1460</v>
      </c>
      <c r="C96" s="608"/>
      <c r="D96" s="615"/>
      <c r="E96" s="495"/>
      <c r="F96" s="495"/>
      <c r="G96" s="495"/>
      <c r="H96" s="495"/>
      <c r="I96" s="495"/>
      <c r="J96" s="591"/>
    </row>
    <row r="97" spans="1:10" ht="19.5" customHeight="1" outlineLevel="1">
      <c r="A97" s="606">
        <v>77</v>
      </c>
      <c r="B97" s="607" t="s">
        <v>1462</v>
      </c>
      <c r="C97" s="606" t="s">
        <v>1463</v>
      </c>
      <c r="D97" s="602">
        <v>1</v>
      </c>
      <c r="E97" s="585"/>
      <c r="F97" s="585"/>
      <c r="G97" s="585"/>
      <c r="H97" s="586"/>
      <c r="I97" s="586"/>
      <c r="J97" s="599"/>
    </row>
    <row r="98" spans="1:10" ht="13.75" customHeight="1" outlineLevel="1">
      <c r="A98" s="606">
        <v>78</v>
      </c>
      <c r="B98" s="607" t="s">
        <v>1462</v>
      </c>
      <c r="C98" s="606" t="s">
        <v>1464</v>
      </c>
      <c r="D98" s="602">
        <v>1</v>
      </c>
      <c r="E98" s="585"/>
      <c r="F98" s="585"/>
      <c r="G98" s="585"/>
      <c r="H98" s="586"/>
      <c r="I98" s="586"/>
      <c r="J98" s="599"/>
    </row>
    <row r="99" spans="1:10" ht="13.75" customHeight="1" outlineLevel="1">
      <c r="A99" s="606">
        <v>79</v>
      </c>
      <c r="B99" s="607" t="s">
        <v>1462</v>
      </c>
      <c r="C99" s="606" t="s">
        <v>1465</v>
      </c>
      <c r="D99" s="602">
        <v>1</v>
      </c>
      <c r="E99" s="585"/>
      <c r="F99" s="585"/>
      <c r="G99" s="585"/>
      <c r="H99" s="586"/>
      <c r="I99" s="586"/>
      <c r="J99" s="599"/>
    </row>
    <row r="100" spans="1:10" ht="23.25" customHeight="1" outlineLevel="1">
      <c r="A100" s="606">
        <v>80</v>
      </c>
      <c r="B100" s="607" t="s">
        <v>1462</v>
      </c>
      <c r="C100" s="606" t="s">
        <v>1466</v>
      </c>
      <c r="D100" s="602">
        <v>1</v>
      </c>
      <c r="E100" s="585"/>
      <c r="F100" s="585"/>
      <c r="G100" s="585"/>
      <c r="H100" s="586"/>
      <c r="I100" s="586"/>
      <c r="J100" s="599"/>
    </row>
    <row r="101" spans="1:10" ht="13.75" customHeight="1" outlineLevel="1">
      <c r="A101" s="606">
        <v>81</v>
      </c>
      <c r="B101" s="607" t="s">
        <v>1462</v>
      </c>
      <c r="C101" s="606" t="s">
        <v>1467</v>
      </c>
      <c r="D101" s="602">
        <v>4</v>
      </c>
      <c r="E101" s="585"/>
      <c r="F101" s="585"/>
      <c r="G101" s="585"/>
      <c r="H101" s="586"/>
      <c r="I101" s="586"/>
      <c r="J101" s="599"/>
    </row>
    <row r="102" spans="1:10" ht="13.75" customHeight="1" outlineLevel="1">
      <c r="A102" s="606">
        <v>82</v>
      </c>
      <c r="B102" s="607" t="s">
        <v>1462</v>
      </c>
      <c r="C102" s="606" t="s">
        <v>1468</v>
      </c>
      <c r="D102" s="602">
        <v>2</v>
      </c>
      <c r="E102" s="585"/>
      <c r="F102" s="585"/>
      <c r="G102" s="585"/>
      <c r="H102" s="586"/>
      <c r="I102" s="586"/>
      <c r="J102" s="599"/>
    </row>
    <row r="103" spans="1:10" ht="13.75" customHeight="1" outlineLevel="1">
      <c r="A103" s="606">
        <v>83</v>
      </c>
      <c r="B103" s="607" t="s">
        <v>1462</v>
      </c>
      <c r="C103" s="606" t="s">
        <v>1469</v>
      </c>
      <c r="D103" s="602">
        <v>0</v>
      </c>
      <c r="E103" s="585"/>
      <c r="F103" s="585"/>
      <c r="G103" s="585"/>
      <c r="H103" s="586"/>
      <c r="I103" s="586"/>
      <c r="J103" s="599"/>
    </row>
    <row r="104" spans="1:10" ht="13.75" customHeight="1" outlineLevel="1">
      <c r="A104" s="606">
        <v>84</v>
      </c>
      <c r="B104" s="607" t="s">
        <v>1462</v>
      </c>
      <c r="C104" s="606" t="s">
        <v>1470</v>
      </c>
      <c r="D104" s="602">
        <v>1</v>
      </c>
      <c r="E104" s="585"/>
      <c r="F104" s="585"/>
      <c r="G104" s="585"/>
      <c r="H104" s="586"/>
      <c r="I104" s="586"/>
      <c r="J104" s="599"/>
    </row>
    <row r="105" spans="1:10" ht="13.75" customHeight="1" outlineLevel="1">
      <c r="A105" s="606">
        <v>85</v>
      </c>
      <c r="B105" s="607" t="s">
        <v>1462</v>
      </c>
      <c r="C105" s="606" t="s">
        <v>1471</v>
      </c>
      <c r="D105" s="602">
        <v>0</v>
      </c>
      <c r="E105" s="585"/>
      <c r="F105" s="585"/>
      <c r="G105" s="585"/>
      <c r="H105" s="586"/>
      <c r="I105" s="586"/>
      <c r="J105" s="599"/>
    </row>
    <row r="106" spans="1:10" ht="13.75" customHeight="1" outlineLevel="1">
      <c r="A106" s="606">
        <v>86</v>
      </c>
      <c r="B106" s="607" t="s">
        <v>1462</v>
      </c>
      <c r="C106" s="606" t="s">
        <v>1472</v>
      </c>
      <c r="D106" s="602">
        <v>6</v>
      </c>
      <c r="E106" s="585"/>
      <c r="F106" s="585"/>
      <c r="G106" s="585"/>
      <c r="H106" s="586"/>
      <c r="I106" s="586"/>
      <c r="J106" s="599"/>
    </row>
    <row r="107" spans="1:10" ht="13.75" customHeight="1">
      <c r="A107" s="603"/>
      <c r="B107" s="604" t="str">
        <f>B106</f>
        <v>Техническая служба</v>
      </c>
      <c r="C107" s="603"/>
      <c r="D107" s="602"/>
      <c r="E107" s="586"/>
      <c r="F107" s="586"/>
      <c r="G107" s="586"/>
      <c r="H107" s="586"/>
      <c r="I107" s="586"/>
      <c r="J107" s="591"/>
    </row>
    <row r="108" spans="1:10" ht="13.75" customHeight="1" outlineLevel="1">
      <c r="A108" s="606">
        <v>87</v>
      </c>
      <c r="B108" s="607" t="s">
        <v>1473</v>
      </c>
      <c r="C108" s="606" t="s">
        <v>1474</v>
      </c>
      <c r="D108" s="602">
        <v>1</v>
      </c>
      <c r="E108" s="585"/>
      <c r="F108" s="585"/>
      <c r="G108" s="585"/>
      <c r="H108" s="586"/>
      <c r="I108" s="586"/>
      <c r="J108" s="599"/>
    </row>
    <row r="109" spans="1:10" ht="13.75" customHeight="1" outlineLevel="1">
      <c r="A109" s="606">
        <v>88</v>
      </c>
      <c r="B109" s="607" t="s">
        <v>1473</v>
      </c>
      <c r="C109" s="606" t="s">
        <v>1475</v>
      </c>
      <c r="D109" s="602"/>
      <c r="E109" s="585"/>
      <c r="F109" s="585"/>
      <c r="G109" s="585"/>
      <c r="H109" s="586"/>
      <c r="I109" s="586"/>
      <c r="J109" s="599"/>
    </row>
    <row r="110" spans="1:10" ht="13.75" customHeight="1" outlineLevel="1">
      <c r="A110" s="606">
        <v>89</v>
      </c>
      <c r="B110" s="607" t="s">
        <v>1473</v>
      </c>
      <c r="C110" s="606" t="s">
        <v>1476</v>
      </c>
      <c r="D110" s="602">
        <v>1</v>
      </c>
      <c r="E110" s="585"/>
      <c r="F110" s="585"/>
      <c r="G110" s="585"/>
      <c r="H110" s="586"/>
      <c r="I110" s="586"/>
      <c r="J110" s="599"/>
    </row>
    <row r="111" spans="1:10" ht="13.75" customHeight="1" outlineLevel="1">
      <c r="A111" s="606">
        <v>90</v>
      </c>
      <c r="B111" s="607" t="s">
        <v>1473</v>
      </c>
      <c r="C111" s="606" t="s">
        <v>1477</v>
      </c>
      <c r="D111" s="602">
        <v>2</v>
      </c>
      <c r="E111" s="585"/>
      <c r="F111" s="585"/>
      <c r="G111" s="585"/>
      <c r="H111" s="586"/>
      <c r="I111" s="586"/>
      <c r="J111" s="599"/>
    </row>
    <row r="112" spans="1:10" ht="13.75" customHeight="1" outlineLevel="1">
      <c r="A112" s="606">
        <v>91</v>
      </c>
      <c r="B112" s="607" t="s">
        <v>1473</v>
      </c>
      <c r="C112" s="606" t="s">
        <v>1478</v>
      </c>
      <c r="D112" s="602"/>
      <c r="E112" s="585"/>
      <c r="F112" s="585"/>
      <c r="G112" s="585"/>
      <c r="H112" s="586"/>
      <c r="I112" s="586"/>
      <c r="J112" s="599"/>
    </row>
    <row r="113" spans="1:10" ht="13.75" customHeight="1">
      <c r="A113" s="603"/>
      <c r="B113" s="604" t="str">
        <f>B112</f>
        <v>Транспортная служба</v>
      </c>
      <c r="C113" s="603"/>
      <c r="D113" s="602"/>
      <c r="E113" s="586"/>
      <c r="F113" s="586"/>
      <c r="G113" s="586"/>
      <c r="H113" s="586"/>
      <c r="I113" s="586"/>
      <c r="J113" s="591"/>
    </row>
    <row r="114" spans="1:10" ht="13.75" customHeight="1" outlineLevel="1">
      <c r="A114" s="606">
        <v>92</v>
      </c>
      <c r="B114" s="607" t="s">
        <v>1479</v>
      </c>
      <c r="C114" s="606" t="s">
        <v>1480</v>
      </c>
      <c r="D114" s="611">
        <v>1</v>
      </c>
      <c r="E114" s="597"/>
      <c r="F114" s="597"/>
      <c r="G114" s="597"/>
      <c r="H114" s="598"/>
      <c r="I114" s="598"/>
      <c r="J114" s="596"/>
    </row>
    <row r="115" spans="1:10" ht="13.75" customHeight="1" outlineLevel="1">
      <c r="A115" s="606">
        <v>93</v>
      </c>
      <c r="B115" s="607" t="s">
        <v>1479</v>
      </c>
      <c r="C115" s="606" t="s">
        <v>1481</v>
      </c>
      <c r="D115" s="611">
        <v>12</v>
      </c>
      <c r="E115" s="597"/>
      <c r="F115" s="597"/>
      <c r="G115" s="597"/>
      <c r="H115" s="598"/>
      <c r="I115" s="598"/>
      <c r="J115" s="596"/>
    </row>
    <row r="116" spans="1:10" ht="13.75" customHeight="1">
      <c r="A116" s="606"/>
      <c r="B116" s="604" t="str">
        <f>B115</f>
        <v>Служба внутреннего контроля</v>
      </c>
      <c r="C116" s="612"/>
      <c r="D116" s="611"/>
      <c r="E116" s="598"/>
      <c r="F116" s="598"/>
      <c r="G116" s="598"/>
      <c r="H116" s="598"/>
      <c r="I116" s="598"/>
      <c r="J116" s="591"/>
    </row>
    <row r="117" spans="1:10" ht="13.75" customHeight="1" outlineLevel="1">
      <c r="A117" s="606">
        <v>94</v>
      </c>
      <c r="B117" s="607" t="s">
        <v>1482</v>
      </c>
      <c r="C117" s="607" t="s">
        <v>1483</v>
      </c>
      <c r="D117" s="602">
        <v>0</v>
      </c>
      <c r="E117" s="585"/>
      <c r="F117" s="585"/>
      <c r="G117" s="585"/>
      <c r="H117" s="586"/>
      <c r="I117" s="586"/>
      <c r="J117" s="599"/>
    </row>
    <row r="118" spans="1:10" ht="13.75" customHeight="1" outlineLevel="1">
      <c r="A118" s="606">
        <v>95</v>
      </c>
      <c r="B118" s="607" t="s">
        <v>1482</v>
      </c>
      <c r="C118" s="607" t="s">
        <v>1484</v>
      </c>
      <c r="D118" s="602">
        <v>2</v>
      </c>
      <c r="E118" s="585"/>
      <c r="F118" s="585"/>
      <c r="G118" s="585"/>
      <c r="H118" s="586"/>
      <c r="I118" s="586"/>
      <c r="J118" s="599"/>
    </row>
    <row r="119" spans="1:10" ht="13.75" customHeight="1" outlineLevel="1">
      <c r="A119" s="606">
        <v>96</v>
      </c>
      <c r="B119" s="607" t="s">
        <v>1482</v>
      </c>
      <c r="C119" s="607" t="s">
        <v>1485</v>
      </c>
      <c r="D119" s="602">
        <v>4</v>
      </c>
      <c r="E119" s="585"/>
      <c r="F119" s="585"/>
      <c r="G119" s="585"/>
      <c r="H119" s="586"/>
      <c r="I119" s="586"/>
      <c r="J119" s="599"/>
    </row>
    <row r="120" spans="1:10" ht="13.75" customHeight="1">
      <c r="A120" s="603"/>
      <c r="B120" s="604" t="str">
        <f>B119</f>
        <v>Парковая служба</v>
      </c>
      <c r="C120" s="603"/>
      <c r="D120" s="602"/>
      <c r="E120" s="586"/>
      <c r="F120" s="586"/>
      <c r="G120" s="586"/>
      <c r="H120" s="586"/>
      <c r="I120" s="586"/>
      <c r="J120" s="591"/>
    </row>
    <row r="121" spans="1:10" ht="13.75" customHeight="1">
      <c r="A121" s="494"/>
      <c r="B121" s="496" t="s">
        <v>1373</v>
      </c>
      <c r="D121" s="520">
        <f>SUM(D2:D120)</f>
        <v>280</v>
      </c>
      <c r="E121" s="622">
        <f>D121/200</f>
        <v>1.4</v>
      </c>
      <c r="I121" s="600"/>
      <c r="J121" s="601"/>
    </row>
    <row r="122" spans="1:10" ht="13.75" customHeight="1">
      <c r="A122" s="497"/>
      <c r="B122" s="616" t="s">
        <v>1486</v>
      </c>
      <c r="C122" s="623">
        <f>H137*12*D121</f>
        <v>292976880</v>
      </c>
      <c r="D122" s="616"/>
      <c r="E122" s="616"/>
      <c r="F122" s="616"/>
      <c r="G122" s="616"/>
      <c r="H122" s="616"/>
      <c r="I122" s="616"/>
      <c r="J122" s="497"/>
    </row>
    <row r="123" spans="1:10" ht="13.75" customHeight="1">
      <c r="A123" s="497"/>
      <c r="B123" s="616" t="s">
        <v>1487</v>
      </c>
      <c r="C123" s="619">
        <f>$C$122*0.1</f>
        <v>29297688</v>
      </c>
      <c r="D123" s="616">
        <f>I121/D121</f>
        <v>0</v>
      </c>
      <c r="E123" s="616"/>
      <c r="F123" s="616"/>
      <c r="G123" s="616"/>
      <c r="H123" s="616"/>
      <c r="I123" s="616"/>
      <c r="J123" s="497"/>
    </row>
    <row r="124" spans="1:10" ht="13.75" customHeight="1">
      <c r="A124" s="497"/>
      <c r="B124" s="616" t="s">
        <v>1488</v>
      </c>
      <c r="C124" s="623">
        <f>SUM(C122:C123)*4.6%</f>
        <v>14824630.128</v>
      </c>
      <c r="D124" s="616"/>
      <c r="E124" s="616"/>
      <c r="F124" s="617"/>
      <c r="G124" s="616"/>
      <c r="H124" s="616"/>
      <c r="I124" s="616"/>
      <c r="J124" s="497"/>
    </row>
    <row r="125" spans="1:10" ht="13.75" customHeight="1">
      <c r="A125" s="497"/>
      <c r="B125" s="616"/>
      <c r="C125" s="623">
        <f>SUM(C122:C124)</f>
        <v>337099198.12800002</v>
      </c>
      <c r="D125" s="616"/>
      <c r="E125" s="616"/>
      <c r="F125" s="616"/>
      <c r="G125" s="616"/>
      <c r="H125" s="616"/>
      <c r="I125" s="616"/>
      <c r="J125" s="497"/>
    </row>
    <row r="126" spans="1:10" ht="13.75" customHeight="1">
      <c r="A126" s="497"/>
      <c r="B126" s="620" t="s">
        <v>1567</v>
      </c>
      <c r="C126" s="621" t="s">
        <v>1489</v>
      </c>
      <c r="D126" s="620" t="s">
        <v>1490</v>
      </c>
      <c r="E126" s="620"/>
      <c r="F126" s="620" t="s">
        <v>1491</v>
      </c>
      <c r="G126" s="620" t="s">
        <v>1505</v>
      </c>
      <c r="H126" s="616"/>
      <c r="I126" s="616"/>
      <c r="J126" s="497"/>
    </row>
    <row r="127" spans="1:10" ht="13.75" customHeight="1">
      <c r="A127" s="497"/>
      <c r="B127" s="620" t="s">
        <v>1492</v>
      </c>
      <c r="C127" s="621">
        <v>49.3</v>
      </c>
      <c r="D127" s="653">
        <f>C127*$C$125/100</f>
        <v>166189904.677104</v>
      </c>
      <c r="E127" s="653"/>
      <c r="F127" s="620">
        <f>Расчеты!E673*365</f>
        <v>741775418.70044315</v>
      </c>
      <c r="G127" s="620">
        <f>D127*100/F127</f>
        <v>22.404342404371011</v>
      </c>
      <c r="H127" s="616"/>
      <c r="I127" s="617"/>
      <c r="J127" s="497"/>
    </row>
    <row r="128" spans="1:10" ht="13.75" customHeight="1">
      <c r="A128" s="497"/>
      <c r="B128" s="620" t="s">
        <v>1493</v>
      </c>
      <c r="C128" s="621">
        <f>SUM(D62:D90,D24:D26)*100/D121</f>
        <v>43.214285714285715</v>
      </c>
      <c r="D128" s="653">
        <f t="shared" ref="D128:D129" si="0">C128*$C$125/100</f>
        <v>145675010.6196</v>
      </c>
      <c r="E128" s="653"/>
      <c r="F128" s="620">
        <f>Расчеты!E674*365</f>
        <v>982441432.37903035</v>
      </c>
      <c r="G128" s="620">
        <f t="shared" ref="G128:G129" si="1">D128*100/F128</f>
        <v>14.827856991621452</v>
      </c>
      <c r="H128" s="616"/>
      <c r="I128" s="617"/>
      <c r="J128" s="497"/>
    </row>
    <row r="129" spans="1:10" ht="13.75" customHeight="1">
      <c r="A129" s="497"/>
      <c r="B129" s="620" t="s">
        <v>1494</v>
      </c>
      <c r="C129" s="621">
        <f>SUM(D55:D60)*100/D121</f>
        <v>7.5</v>
      </c>
      <c r="D129" s="653">
        <f t="shared" si="0"/>
        <v>25282439.8596</v>
      </c>
      <c r="E129" s="653"/>
      <c r="F129" s="620">
        <f>Расчеты!E675*365</f>
        <v>241390359.15112633</v>
      </c>
      <c r="G129" s="620">
        <f t="shared" si="1"/>
        <v>10.473674238071588</v>
      </c>
      <c r="H129" s="616"/>
      <c r="I129" s="618"/>
      <c r="J129" s="497"/>
    </row>
    <row r="130" spans="1:10" ht="13.75" customHeight="1">
      <c r="A130" s="497"/>
      <c r="B130" s="497"/>
      <c r="C130" s="498"/>
      <c r="D130" s="497"/>
      <c r="E130" s="497"/>
      <c r="F130" s="497"/>
      <c r="G130" s="497"/>
      <c r="H130" s="497"/>
      <c r="I130" s="497"/>
      <c r="J130" s="497"/>
    </row>
    <row r="131" spans="1:10" ht="13.75" customHeight="1">
      <c r="A131" s="497"/>
      <c r="B131" s="497"/>
      <c r="C131" s="497"/>
      <c r="D131" s="497"/>
      <c r="E131" s="497"/>
      <c r="F131" s="497"/>
      <c r="G131" s="497"/>
      <c r="H131" s="497"/>
      <c r="I131" s="497"/>
      <c r="J131" s="497"/>
    </row>
    <row r="132" spans="1:10" ht="13.75" customHeight="1">
      <c r="B132" s="654" t="s">
        <v>1495</v>
      </c>
      <c r="C132" s="654"/>
      <c r="D132" s="654"/>
      <c r="E132" s="654"/>
      <c r="F132" s="654"/>
      <c r="G132" s="654"/>
      <c r="H132" s="654"/>
    </row>
    <row r="133" spans="1:10" ht="13.75" customHeight="1">
      <c r="B133" s="655" t="s">
        <v>1496</v>
      </c>
      <c r="C133" s="656" t="s">
        <v>1497</v>
      </c>
      <c r="D133" s="657" t="s">
        <v>1498</v>
      </c>
      <c r="E133" s="657"/>
      <c r="F133" s="657"/>
      <c r="G133" s="657"/>
      <c r="H133" s="657"/>
    </row>
    <row r="134" spans="1:10" ht="13.75" customHeight="1">
      <c r="B134" s="655"/>
      <c r="C134" s="656"/>
      <c r="D134" s="624" t="s">
        <v>1499</v>
      </c>
      <c r="E134" s="624" t="s">
        <v>1500</v>
      </c>
      <c r="F134" s="624" t="s">
        <v>1501</v>
      </c>
      <c r="G134" s="624" t="s">
        <v>1502</v>
      </c>
      <c r="H134" s="624" t="s">
        <v>1503</v>
      </c>
    </row>
    <row r="135" spans="1:10" ht="30" customHeight="1">
      <c r="A135" s="497"/>
      <c r="B135" s="625" t="s">
        <v>1568</v>
      </c>
      <c r="C135" s="626" t="s">
        <v>1504</v>
      </c>
      <c r="D135" s="627">
        <v>1015896</v>
      </c>
      <c r="E135" s="627">
        <v>1011742</v>
      </c>
      <c r="F135" s="627">
        <v>1027809</v>
      </c>
      <c r="G135" s="627">
        <v>1020710</v>
      </c>
      <c r="H135" s="627">
        <v>1029241</v>
      </c>
      <c r="I135" s="497"/>
      <c r="J135" s="497"/>
    </row>
    <row r="136" spans="1:10" ht="30" customHeight="1">
      <c r="A136" s="497"/>
      <c r="B136" s="625" t="s">
        <v>1569</v>
      </c>
      <c r="C136" s="626" t="s">
        <v>1504</v>
      </c>
      <c r="D136" s="627">
        <v>953455</v>
      </c>
      <c r="E136" s="627">
        <v>948500</v>
      </c>
      <c r="F136" s="627">
        <v>963842</v>
      </c>
      <c r="G136" s="627">
        <v>957041</v>
      </c>
      <c r="H136" s="627">
        <v>964039</v>
      </c>
      <c r="I136" s="497"/>
      <c r="J136" s="497"/>
    </row>
    <row r="137" spans="1:10" ht="30" customHeight="1">
      <c r="A137" s="497"/>
      <c r="B137" s="625" t="s">
        <v>1570</v>
      </c>
      <c r="C137" s="626" t="s">
        <v>666</v>
      </c>
      <c r="D137" s="628">
        <v>83673.3</v>
      </c>
      <c r="E137" s="628">
        <v>79981.399999999994</v>
      </c>
      <c r="F137" s="628">
        <v>86013.8</v>
      </c>
      <c r="G137" s="628">
        <v>86325.2</v>
      </c>
      <c r="H137" s="628">
        <v>87195.5</v>
      </c>
      <c r="I137" s="497"/>
      <c r="J137" s="497"/>
    </row>
    <row r="138" spans="1:10" ht="30" customHeight="1">
      <c r="A138" s="497"/>
      <c r="B138" s="651" t="s">
        <v>1571</v>
      </c>
      <c r="C138" s="651"/>
      <c r="D138" s="651"/>
      <c r="E138" s="651"/>
      <c r="F138" s="651"/>
      <c r="G138" s="651"/>
      <c r="H138" s="651"/>
      <c r="I138" s="497"/>
      <c r="J138" s="497"/>
    </row>
    <row r="139" spans="1:10" ht="30" customHeight="1">
      <c r="A139" s="497"/>
      <c r="B139" s="652" t="s">
        <v>1572</v>
      </c>
      <c r="C139" s="652"/>
      <c r="D139" s="652"/>
      <c r="E139" s="652"/>
      <c r="F139" s="652"/>
      <c r="G139" s="652"/>
      <c r="H139" s="652"/>
      <c r="I139" s="497"/>
      <c r="J139" s="497"/>
    </row>
    <row r="140" spans="1:10" ht="13.75" customHeight="1">
      <c r="A140" s="494"/>
      <c r="B140" s="629"/>
      <c r="C140" s="629"/>
      <c r="D140" s="630"/>
      <c r="E140" s="629"/>
      <c r="F140" s="629"/>
      <c r="G140" s="629"/>
      <c r="H140" s="629"/>
    </row>
    <row r="141" spans="1:10" ht="13.75" customHeight="1">
      <c r="A141" s="497"/>
      <c r="B141" s="497"/>
      <c r="C141" s="497"/>
      <c r="D141" s="497"/>
      <c r="E141" s="497"/>
      <c r="F141" s="497"/>
      <c r="G141" s="497"/>
      <c r="H141" s="497"/>
      <c r="I141" s="497"/>
      <c r="J141" s="497"/>
    </row>
    <row r="142" spans="1:10" ht="13.75" customHeight="1">
      <c r="A142" s="494"/>
      <c r="B142" s="495"/>
      <c r="D142" s="500"/>
    </row>
    <row r="143" spans="1:10" ht="13.75" customHeight="1">
      <c r="A143" s="494"/>
      <c r="B143" s="495"/>
      <c r="D143" s="500"/>
    </row>
    <row r="144" spans="1:10" ht="13.75" customHeight="1">
      <c r="A144" s="497"/>
      <c r="B144" s="497"/>
      <c r="C144" s="497"/>
      <c r="D144" s="497"/>
      <c r="E144" s="497"/>
      <c r="F144" s="497"/>
      <c r="G144" s="497"/>
      <c r="H144" s="497"/>
      <c r="I144" s="497"/>
      <c r="J144" s="497"/>
    </row>
    <row r="145" spans="1:10" ht="13.75" customHeight="1">
      <c r="A145" s="494"/>
      <c r="B145" s="495"/>
      <c r="D145" s="500"/>
    </row>
    <row r="146" spans="1:10" ht="13.75" customHeight="1">
      <c r="A146" s="494"/>
      <c r="B146" s="495"/>
      <c r="D146" s="500"/>
    </row>
    <row r="147" spans="1:10" ht="13.75" customHeight="1">
      <c r="A147" s="494"/>
      <c r="B147" s="495"/>
      <c r="D147" s="500"/>
    </row>
    <row r="148" spans="1:10" ht="13.75" customHeight="1">
      <c r="A148" s="494"/>
      <c r="B148" s="495"/>
      <c r="D148" s="500"/>
    </row>
    <row r="149" spans="1:10" ht="13.75" customHeight="1">
      <c r="A149" s="501"/>
      <c r="B149" s="501"/>
      <c r="C149" s="501"/>
      <c r="D149" s="501"/>
      <c r="E149" s="501"/>
      <c r="F149" s="501"/>
      <c r="G149" s="501"/>
      <c r="H149" s="501"/>
      <c r="I149" s="501"/>
      <c r="J149" s="501"/>
    </row>
    <row r="150" spans="1:10" ht="13.75" customHeight="1">
      <c r="A150" s="494"/>
      <c r="B150" s="495"/>
      <c r="D150" s="500"/>
    </row>
    <row r="151" spans="1:10" ht="13.75" customHeight="1">
      <c r="A151" s="494"/>
      <c r="B151" s="495"/>
      <c r="D151" s="500"/>
    </row>
    <row r="152" spans="1:10" ht="13.75" customHeight="1">
      <c r="A152" s="494"/>
      <c r="B152" s="495"/>
      <c r="D152" s="500"/>
    </row>
    <row r="153" spans="1:10" ht="13.75" customHeight="1">
      <c r="A153" s="494"/>
      <c r="B153" s="495"/>
      <c r="D153" s="500"/>
    </row>
    <row r="154" spans="1:10" ht="13.75" customHeight="1">
      <c r="A154" s="494"/>
      <c r="B154" s="495"/>
      <c r="D154" s="500"/>
    </row>
    <row r="155" spans="1:10" ht="13.75" customHeight="1">
      <c r="A155" s="494"/>
      <c r="B155" s="495"/>
      <c r="D155" s="500"/>
    </row>
    <row r="156" spans="1:10" ht="13.75" customHeight="1">
      <c r="A156" s="494"/>
      <c r="B156" s="495"/>
      <c r="D156" s="500"/>
    </row>
    <row r="157" spans="1:10" ht="13.75" customHeight="1">
      <c r="A157" s="494"/>
      <c r="B157" s="495"/>
      <c r="D157" s="500"/>
    </row>
    <row r="158" spans="1:10" ht="13.75" customHeight="1">
      <c r="A158" s="494"/>
      <c r="B158" s="495"/>
      <c r="D158" s="500"/>
    </row>
    <row r="159" spans="1:10" ht="13.75" customHeight="1">
      <c r="A159" s="494"/>
      <c r="B159" s="495"/>
      <c r="D159" s="500"/>
    </row>
    <row r="160" spans="1:10" ht="13.75" customHeight="1">
      <c r="A160" s="494"/>
      <c r="B160" s="495"/>
      <c r="D160" s="500"/>
    </row>
    <row r="161" spans="1:10" ht="13.75" customHeight="1">
      <c r="A161" s="494"/>
      <c r="B161" s="495"/>
      <c r="D161" s="500"/>
    </row>
    <row r="162" spans="1:10" ht="13.75" customHeight="1">
      <c r="A162" s="494"/>
      <c r="B162" s="495"/>
      <c r="D162" s="500"/>
    </row>
    <row r="163" spans="1:10" ht="13.75" customHeight="1">
      <c r="A163" s="494"/>
      <c r="B163" s="495"/>
      <c r="D163" s="500"/>
    </row>
    <row r="164" spans="1:10" ht="13.75" customHeight="1">
      <c r="A164" s="494"/>
      <c r="B164" s="495"/>
      <c r="D164" s="500"/>
    </row>
    <row r="165" spans="1:10" ht="13.75" customHeight="1">
      <c r="A165" s="494"/>
      <c r="B165" s="495"/>
      <c r="D165" s="500"/>
    </row>
    <row r="166" spans="1:10" ht="13.75" customHeight="1">
      <c r="A166" s="494"/>
      <c r="B166" s="495"/>
      <c r="D166" s="500"/>
    </row>
    <row r="167" spans="1:10" ht="13.75" customHeight="1">
      <c r="A167" s="494"/>
      <c r="B167" s="495"/>
      <c r="D167" s="500"/>
    </row>
    <row r="168" spans="1:10" ht="13.75" customHeight="1">
      <c r="A168" s="494"/>
      <c r="B168" s="495"/>
      <c r="D168" s="500"/>
    </row>
    <row r="169" spans="1:10" ht="13.75" customHeight="1">
      <c r="A169" s="494"/>
      <c r="B169" s="495"/>
      <c r="D169" s="500"/>
    </row>
    <row r="170" spans="1:10" ht="13.75" customHeight="1">
      <c r="A170" s="494"/>
      <c r="B170" s="495"/>
      <c r="D170" s="500"/>
    </row>
    <row r="171" spans="1:10" ht="13.75" customHeight="1">
      <c r="A171" s="494"/>
      <c r="B171" s="495"/>
      <c r="D171" s="500"/>
    </row>
    <row r="172" spans="1:10" ht="13.75" customHeight="1">
      <c r="A172" s="494"/>
      <c r="B172" s="495"/>
      <c r="D172" s="500"/>
    </row>
    <row r="173" spans="1:10" ht="13.75" customHeight="1">
      <c r="A173" s="494"/>
      <c r="B173" s="495"/>
      <c r="D173" s="500"/>
    </row>
    <row r="174" spans="1:10" ht="13.75" customHeight="1" thickBot="1">
      <c r="A174" s="502"/>
      <c r="B174" s="503"/>
      <c r="C174" s="504"/>
      <c r="D174" s="505"/>
      <c r="E174" s="506"/>
      <c r="F174" s="506"/>
      <c r="G174" s="506"/>
      <c r="H174" s="507"/>
      <c r="I174" s="507"/>
      <c r="J174" s="508"/>
    </row>
    <row r="175" spans="1:10" ht="13.75" customHeight="1">
      <c r="A175" s="509"/>
      <c r="B175" s="495"/>
      <c r="D175" s="500"/>
    </row>
    <row r="176" spans="1:10" ht="13.75" customHeight="1">
      <c r="A176" s="499"/>
      <c r="B176" s="495"/>
      <c r="D176" s="500"/>
    </row>
    <row r="177" spans="1:4" ht="13.75" customHeight="1">
      <c r="A177" s="499"/>
      <c r="B177" s="495"/>
      <c r="D177" s="500"/>
    </row>
    <row r="178" spans="1:4" ht="13.75" customHeight="1">
      <c r="A178" s="494"/>
      <c r="B178" s="495"/>
      <c r="D178" s="500"/>
    </row>
    <row r="179" spans="1:4" ht="13.75" customHeight="1">
      <c r="A179" s="494"/>
      <c r="B179" s="495"/>
      <c r="D179" s="500"/>
    </row>
    <row r="180" spans="1:4" ht="13.75" customHeight="1">
      <c r="A180" s="494"/>
      <c r="B180" s="495"/>
      <c r="D180" s="500"/>
    </row>
    <row r="181" spans="1:4" ht="13.75" customHeight="1">
      <c r="A181" s="494"/>
      <c r="B181" s="495"/>
      <c r="D181" s="500"/>
    </row>
    <row r="182" spans="1:4" ht="13.75" customHeight="1">
      <c r="A182" s="494"/>
      <c r="B182" s="495"/>
      <c r="D182" s="500"/>
    </row>
    <row r="183" spans="1:4" ht="13.75" customHeight="1">
      <c r="A183" s="494"/>
      <c r="B183" s="495"/>
      <c r="D183" s="500"/>
    </row>
    <row r="184" spans="1:4" ht="13.75" customHeight="1">
      <c r="A184" s="494"/>
      <c r="B184" s="495"/>
      <c r="D184" s="500"/>
    </row>
    <row r="185" spans="1:4" ht="13.75" customHeight="1">
      <c r="A185" s="494"/>
      <c r="B185" s="495"/>
      <c r="D185" s="500"/>
    </row>
    <row r="186" spans="1:4" ht="13.75" customHeight="1">
      <c r="A186" s="494"/>
      <c r="B186" s="495"/>
      <c r="D186" s="500"/>
    </row>
    <row r="187" spans="1:4" ht="13.75" customHeight="1">
      <c r="A187" s="494"/>
      <c r="B187" s="495"/>
      <c r="D187" s="500"/>
    </row>
    <row r="188" spans="1:4" ht="13.75" customHeight="1">
      <c r="A188" s="494"/>
      <c r="B188" s="495"/>
      <c r="D188" s="500"/>
    </row>
    <row r="189" spans="1:4" ht="13.75" customHeight="1">
      <c r="A189" s="494"/>
      <c r="B189" s="495"/>
      <c r="D189" s="500"/>
    </row>
    <row r="190" spans="1:4" ht="13.75" customHeight="1">
      <c r="A190" s="494"/>
      <c r="B190" s="495"/>
      <c r="D190" s="500"/>
    </row>
    <row r="191" spans="1:4" ht="13.75" customHeight="1">
      <c r="A191" s="494"/>
      <c r="B191" s="495"/>
      <c r="D191" s="500"/>
    </row>
    <row r="192" spans="1:4" ht="13.75" customHeight="1">
      <c r="A192" s="494"/>
      <c r="B192" s="495"/>
      <c r="D192" s="500"/>
    </row>
    <row r="193" spans="1:4" ht="13.75" customHeight="1">
      <c r="A193" s="494"/>
      <c r="B193" s="495"/>
      <c r="D193" s="500"/>
    </row>
    <row r="194" spans="1:4" ht="13.75" customHeight="1">
      <c r="A194" s="494"/>
      <c r="B194" s="495"/>
      <c r="D194" s="500"/>
    </row>
    <row r="195" spans="1:4" ht="13.75" customHeight="1">
      <c r="A195" s="494"/>
      <c r="B195" s="495"/>
      <c r="D195" s="500"/>
    </row>
    <row r="196" spans="1:4" ht="13.75" customHeight="1">
      <c r="A196" s="494"/>
      <c r="B196" s="495"/>
      <c r="D196" s="500"/>
    </row>
    <row r="197" spans="1:4" ht="13.75" customHeight="1">
      <c r="A197" s="494"/>
      <c r="B197" s="495"/>
      <c r="D197" s="500"/>
    </row>
    <row r="198" spans="1:4" ht="13.75" customHeight="1">
      <c r="A198" s="494"/>
      <c r="B198" s="495"/>
      <c r="D198" s="500"/>
    </row>
    <row r="199" spans="1:4" ht="13.75" customHeight="1">
      <c r="A199" s="494"/>
      <c r="B199" s="495"/>
      <c r="D199" s="500"/>
    </row>
    <row r="200" spans="1:4" ht="13.75" customHeight="1">
      <c r="A200" s="494"/>
      <c r="B200" s="495"/>
      <c r="D200" s="500"/>
    </row>
    <row r="201" spans="1:4" ht="13.75" customHeight="1">
      <c r="A201" s="494"/>
      <c r="B201" s="495"/>
      <c r="D201" s="500"/>
    </row>
    <row r="202" spans="1:4" ht="13.75" customHeight="1">
      <c r="A202" s="494"/>
      <c r="B202" s="495"/>
      <c r="D202" s="500"/>
    </row>
    <row r="203" spans="1:4" ht="13.75" customHeight="1">
      <c r="A203" s="494"/>
      <c r="B203" s="495"/>
      <c r="D203" s="500"/>
    </row>
    <row r="204" spans="1:4" ht="13.75" customHeight="1">
      <c r="A204" s="494"/>
      <c r="B204" s="495"/>
      <c r="D204" s="500"/>
    </row>
    <row r="205" spans="1:4" ht="13.75" customHeight="1">
      <c r="A205" s="494"/>
      <c r="B205" s="495"/>
      <c r="D205" s="500"/>
    </row>
    <row r="206" spans="1:4" ht="13.75" customHeight="1">
      <c r="A206" s="494"/>
      <c r="B206" s="495"/>
      <c r="D206" s="500"/>
    </row>
    <row r="207" spans="1:4" ht="13.75" customHeight="1">
      <c r="A207" s="494"/>
      <c r="B207" s="495"/>
      <c r="D207" s="500"/>
    </row>
    <row r="208" spans="1:4" ht="13.75" customHeight="1">
      <c r="A208" s="494"/>
      <c r="B208" s="495"/>
      <c r="D208" s="500"/>
    </row>
    <row r="209" spans="1:9" ht="13.75" customHeight="1">
      <c r="A209" s="494"/>
      <c r="B209" s="495"/>
      <c r="D209" s="500"/>
    </row>
    <row r="210" spans="1:9" ht="13.75" customHeight="1">
      <c r="A210" s="494"/>
      <c r="B210" s="495"/>
      <c r="D210" s="500"/>
    </row>
    <row r="211" spans="1:9" ht="13.75" customHeight="1">
      <c r="A211" s="494"/>
      <c r="B211" s="495"/>
      <c r="D211" s="500"/>
    </row>
    <row r="212" spans="1:9" ht="13.75" customHeight="1">
      <c r="A212" s="494"/>
      <c r="B212" s="495"/>
      <c r="D212" s="500"/>
    </row>
    <row r="213" spans="1:9" ht="13.75" customHeight="1">
      <c r="A213" s="494"/>
      <c r="B213" s="495"/>
      <c r="D213" s="500"/>
    </row>
    <row r="214" spans="1:9" ht="13.75" customHeight="1">
      <c r="A214" s="494"/>
      <c r="B214" s="495"/>
      <c r="D214" s="500"/>
    </row>
    <row r="215" spans="1:9" ht="13.75" customHeight="1">
      <c r="A215" s="494"/>
      <c r="B215" s="495"/>
      <c r="D215" s="500"/>
      <c r="H215" s="510" t="e">
        <f>'Штатное расписание'!#REF!</f>
        <v>#REF!</v>
      </c>
      <c r="I215" s="510"/>
    </row>
    <row r="216" spans="1:9" ht="13.75" customHeight="1">
      <c r="A216" s="494"/>
      <c r="B216" s="495"/>
      <c r="D216" s="500"/>
    </row>
    <row r="217" spans="1:9" ht="13.75" customHeight="1">
      <c r="A217" s="494"/>
      <c r="B217" s="495"/>
      <c r="D217" s="500"/>
    </row>
    <row r="218" spans="1:9" ht="13.75" customHeight="1">
      <c r="A218" s="494"/>
      <c r="B218" s="495"/>
      <c r="D218" s="500"/>
    </row>
    <row r="219" spans="1:9" ht="13.75" customHeight="1">
      <c r="A219" s="494"/>
      <c r="B219" s="495"/>
      <c r="D219" s="500"/>
    </row>
    <row r="220" spans="1:9" ht="13.75" customHeight="1">
      <c r="A220" s="494"/>
      <c r="B220" s="495"/>
      <c r="D220" s="500"/>
    </row>
    <row r="221" spans="1:9" ht="13.75" customHeight="1">
      <c r="A221" s="494"/>
      <c r="B221" s="495"/>
      <c r="D221" s="500"/>
    </row>
    <row r="222" spans="1:9" ht="13.75" customHeight="1">
      <c r="A222" s="494"/>
      <c r="B222" s="495"/>
      <c r="D222" s="500"/>
    </row>
    <row r="223" spans="1:9" ht="13.75" customHeight="1">
      <c r="A223" s="494"/>
      <c r="B223" s="495"/>
      <c r="D223" s="500"/>
    </row>
    <row r="224" spans="1:9" ht="13.75" customHeight="1">
      <c r="A224" s="494"/>
      <c r="B224" s="495"/>
      <c r="D224" s="500"/>
    </row>
    <row r="225" spans="1:4" ht="13.75" customHeight="1">
      <c r="A225" s="494"/>
      <c r="B225" s="495"/>
      <c r="D225" s="500"/>
    </row>
    <row r="226" spans="1:4" ht="13.75" customHeight="1">
      <c r="A226" s="494"/>
      <c r="B226" s="495"/>
      <c r="D226" s="500"/>
    </row>
    <row r="227" spans="1:4" ht="13.75" customHeight="1">
      <c r="A227" s="494"/>
      <c r="B227" s="495"/>
      <c r="D227" s="500"/>
    </row>
    <row r="228" spans="1:4" ht="13.75" customHeight="1">
      <c r="A228" s="494"/>
      <c r="B228" s="495"/>
      <c r="D228" s="500"/>
    </row>
    <row r="229" spans="1:4" ht="13.75" customHeight="1">
      <c r="A229" s="494"/>
      <c r="B229" s="495"/>
      <c r="D229" s="500"/>
    </row>
    <row r="230" spans="1:4" ht="13.75" customHeight="1">
      <c r="A230" s="494"/>
      <c r="B230" s="495"/>
      <c r="D230" s="500"/>
    </row>
    <row r="231" spans="1:4" ht="13.75" customHeight="1">
      <c r="A231" s="494"/>
      <c r="B231" s="495"/>
      <c r="D231" s="500"/>
    </row>
    <row r="232" spans="1:4" ht="13.75" customHeight="1">
      <c r="A232" s="494"/>
      <c r="B232" s="495"/>
      <c r="D232" s="500"/>
    </row>
    <row r="233" spans="1:4" ht="13.75" customHeight="1">
      <c r="A233" s="494"/>
      <c r="B233" s="495"/>
      <c r="D233" s="500"/>
    </row>
    <row r="234" spans="1:4" ht="13.75" customHeight="1">
      <c r="A234" s="494"/>
      <c r="B234" s="495"/>
      <c r="D234" s="500"/>
    </row>
    <row r="235" spans="1:4" ht="13.75" customHeight="1">
      <c r="A235" s="494"/>
      <c r="B235" s="495"/>
      <c r="D235" s="500"/>
    </row>
    <row r="236" spans="1:4" ht="13.75" customHeight="1">
      <c r="A236" s="494"/>
      <c r="B236" s="495"/>
      <c r="D236" s="500"/>
    </row>
    <row r="237" spans="1:4" ht="13.75" customHeight="1">
      <c r="A237" s="494"/>
      <c r="B237" s="495"/>
      <c r="D237" s="500"/>
    </row>
    <row r="238" spans="1:4" ht="13.75" customHeight="1">
      <c r="A238" s="494"/>
      <c r="B238" s="495"/>
      <c r="D238" s="500"/>
    </row>
    <row r="239" spans="1:4" ht="13.75" customHeight="1">
      <c r="A239" s="494"/>
      <c r="B239" s="495"/>
      <c r="D239" s="500"/>
    </row>
    <row r="240" spans="1:4" ht="13.75" customHeight="1">
      <c r="A240" s="494"/>
      <c r="B240" s="495"/>
      <c r="D240" s="500"/>
    </row>
    <row r="241" spans="1:4" ht="13.75" customHeight="1">
      <c r="A241" s="494"/>
      <c r="B241" s="495"/>
      <c r="D241" s="500"/>
    </row>
    <row r="242" spans="1:4" ht="13.75" customHeight="1">
      <c r="A242" s="494"/>
      <c r="B242" s="495"/>
      <c r="D242" s="500"/>
    </row>
    <row r="243" spans="1:4" ht="13.75" customHeight="1">
      <c r="A243" s="494"/>
      <c r="B243" s="495"/>
      <c r="D243" s="500"/>
    </row>
    <row r="244" spans="1:4" ht="13.75" customHeight="1">
      <c r="A244" s="494"/>
      <c r="B244" s="495"/>
      <c r="D244" s="500"/>
    </row>
    <row r="245" spans="1:4" ht="13.75" customHeight="1">
      <c r="A245" s="494"/>
      <c r="B245" s="495"/>
      <c r="D245" s="500"/>
    </row>
    <row r="246" spans="1:4" ht="13.75" customHeight="1">
      <c r="A246" s="494"/>
      <c r="B246" s="495"/>
      <c r="D246" s="500"/>
    </row>
    <row r="247" spans="1:4" ht="13.75" customHeight="1">
      <c r="A247" s="494"/>
      <c r="B247" s="495"/>
      <c r="D247" s="500"/>
    </row>
    <row r="248" spans="1:4" ht="13.75" customHeight="1">
      <c r="A248" s="494"/>
      <c r="B248" s="495"/>
      <c r="D248" s="500"/>
    </row>
    <row r="249" spans="1:4" ht="13.75" customHeight="1">
      <c r="A249" s="494"/>
      <c r="B249" s="495"/>
      <c r="D249" s="500"/>
    </row>
    <row r="250" spans="1:4" ht="13.75" customHeight="1">
      <c r="A250" s="494"/>
      <c r="B250" s="495"/>
      <c r="D250" s="500"/>
    </row>
    <row r="251" spans="1:4" ht="13.75" customHeight="1">
      <c r="A251" s="494"/>
      <c r="B251" s="495"/>
      <c r="D251" s="500"/>
    </row>
    <row r="252" spans="1:4" ht="13.75" customHeight="1">
      <c r="A252" s="494"/>
      <c r="B252" s="495"/>
      <c r="D252" s="500"/>
    </row>
    <row r="253" spans="1:4" ht="13.75" customHeight="1">
      <c r="A253" s="494"/>
      <c r="B253" s="495"/>
      <c r="D253" s="500"/>
    </row>
    <row r="254" spans="1:4" ht="13.75" customHeight="1">
      <c r="A254" s="494"/>
      <c r="B254" s="495"/>
      <c r="D254" s="500"/>
    </row>
    <row r="255" spans="1:4" ht="13.75" customHeight="1">
      <c r="A255" s="494"/>
      <c r="B255" s="495"/>
      <c r="D255" s="500"/>
    </row>
    <row r="256" spans="1:4" ht="13.75" customHeight="1">
      <c r="A256" s="494"/>
      <c r="B256" s="495"/>
      <c r="D256" s="500"/>
    </row>
    <row r="257" spans="1:4" ht="13.75" customHeight="1">
      <c r="A257" s="494"/>
      <c r="B257" s="495"/>
      <c r="D257" s="500"/>
    </row>
    <row r="258" spans="1:4" ht="13.75" customHeight="1">
      <c r="A258" s="494"/>
      <c r="B258" s="495"/>
      <c r="D258" s="500"/>
    </row>
    <row r="259" spans="1:4" ht="13.75" customHeight="1">
      <c r="A259" s="494"/>
      <c r="B259" s="495"/>
      <c r="D259" s="500"/>
    </row>
    <row r="260" spans="1:4" ht="13.75" customHeight="1">
      <c r="A260" s="494"/>
      <c r="B260" s="495"/>
      <c r="D260" s="500"/>
    </row>
    <row r="261" spans="1:4" ht="13.75" customHeight="1">
      <c r="A261" s="494"/>
      <c r="B261" s="495"/>
      <c r="D261" s="500"/>
    </row>
    <row r="262" spans="1:4" ht="13.75" customHeight="1">
      <c r="A262" s="494"/>
      <c r="B262" s="495"/>
      <c r="D262" s="500"/>
    </row>
    <row r="263" spans="1:4" ht="13.75" customHeight="1">
      <c r="A263" s="494"/>
      <c r="B263" s="495"/>
      <c r="D263" s="500"/>
    </row>
    <row r="264" spans="1:4" ht="13.75" customHeight="1">
      <c r="A264" s="494"/>
      <c r="B264" s="495"/>
      <c r="D264" s="500"/>
    </row>
    <row r="265" spans="1:4" ht="13.75" customHeight="1">
      <c r="A265" s="494"/>
      <c r="B265" s="495"/>
      <c r="D265" s="500"/>
    </row>
    <row r="266" spans="1:4" ht="13.75" customHeight="1">
      <c r="A266" s="494"/>
      <c r="B266" s="495"/>
      <c r="D266" s="500"/>
    </row>
    <row r="267" spans="1:4" ht="13.75" customHeight="1">
      <c r="A267" s="494"/>
      <c r="B267" s="495"/>
      <c r="D267" s="500"/>
    </row>
    <row r="268" spans="1:4" ht="13.75" customHeight="1">
      <c r="A268" s="494"/>
      <c r="B268" s="495"/>
      <c r="D268" s="500"/>
    </row>
    <row r="269" spans="1:4" ht="13.75" customHeight="1">
      <c r="A269" s="494"/>
      <c r="B269" s="495"/>
      <c r="D269" s="500"/>
    </row>
    <row r="270" spans="1:4" ht="13.75" customHeight="1">
      <c r="A270" s="494"/>
      <c r="B270" s="495"/>
      <c r="D270" s="500"/>
    </row>
    <row r="271" spans="1:4" ht="13.75" customHeight="1">
      <c r="A271" s="494"/>
      <c r="B271" s="495"/>
      <c r="D271" s="500"/>
    </row>
    <row r="272" spans="1:4" ht="13.75" customHeight="1">
      <c r="A272" s="494"/>
      <c r="B272" s="495"/>
      <c r="D272" s="500"/>
    </row>
    <row r="273" spans="1:4" ht="13.75" customHeight="1">
      <c r="A273" s="494"/>
      <c r="B273" s="495"/>
      <c r="D273" s="500"/>
    </row>
    <row r="274" spans="1:4" ht="13.75" customHeight="1">
      <c r="A274" s="494"/>
      <c r="B274" s="495"/>
      <c r="D274" s="500"/>
    </row>
    <row r="275" spans="1:4" ht="13.75" customHeight="1">
      <c r="A275" s="494"/>
      <c r="B275" s="495"/>
      <c r="D275" s="500"/>
    </row>
    <row r="276" spans="1:4" ht="13.75" customHeight="1">
      <c r="A276" s="494"/>
      <c r="B276" s="495"/>
      <c r="D276" s="500"/>
    </row>
    <row r="277" spans="1:4" ht="13.75" customHeight="1">
      <c r="A277" s="494"/>
      <c r="B277" s="495"/>
      <c r="D277" s="500"/>
    </row>
    <row r="278" spans="1:4" ht="13.75" customHeight="1">
      <c r="A278" s="494"/>
      <c r="B278" s="495"/>
      <c r="D278" s="500"/>
    </row>
    <row r="279" spans="1:4" ht="13.75" customHeight="1">
      <c r="A279" s="494"/>
      <c r="B279" s="495"/>
      <c r="D279" s="500"/>
    </row>
    <row r="280" spans="1:4" ht="13.75" customHeight="1">
      <c r="A280" s="494"/>
      <c r="B280" s="495"/>
      <c r="D280" s="500"/>
    </row>
    <row r="281" spans="1:4" ht="13.75" customHeight="1">
      <c r="A281" s="494"/>
      <c r="B281" s="495"/>
      <c r="D281" s="500"/>
    </row>
    <row r="282" spans="1:4" ht="13.75" customHeight="1">
      <c r="A282" s="494"/>
      <c r="B282" s="495"/>
      <c r="D282" s="500"/>
    </row>
    <row r="283" spans="1:4" ht="13.75" customHeight="1">
      <c r="A283" s="494"/>
      <c r="B283" s="495"/>
      <c r="D283" s="500"/>
    </row>
    <row r="284" spans="1:4" ht="13.75" customHeight="1">
      <c r="A284" s="494"/>
      <c r="B284" s="495"/>
      <c r="D284" s="500"/>
    </row>
    <row r="285" spans="1:4" ht="13.75" customHeight="1">
      <c r="A285" s="494"/>
      <c r="B285" s="495"/>
      <c r="D285" s="500"/>
    </row>
    <row r="286" spans="1:4" ht="13.75" customHeight="1">
      <c r="A286" s="494"/>
      <c r="B286" s="495"/>
      <c r="D286" s="500"/>
    </row>
    <row r="287" spans="1:4" ht="13.75" customHeight="1">
      <c r="A287" s="494"/>
      <c r="B287" s="495"/>
      <c r="D287" s="500"/>
    </row>
    <row r="288" spans="1:4" ht="13.75" customHeight="1">
      <c r="A288" s="494"/>
      <c r="B288" s="495"/>
      <c r="D288" s="500"/>
    </row>
    <row r="289" spans="1:4" ht="13.75" customHeight="1">
      <c r="A289" s="494"/>
      <c r="B289" s="495"/>
      <c r="D289" s="500"/>
    </row>
    <row r="290" spans="1:4" ht="13.75" customHeight="1">
      <c r="A290" s="494"/>
      <c r="B290" s="495"/>
      <c r="D290" s="500"/>
    </row>
    <row r="291" spans="1:4" ht="13.75" customHeight="1">
      <c r="A291" s="494"/>
      <c r="B291" s="495"/>
      <c r="D291" s="500"/>
    </row>
    <row r="292" spans="1:4" ht="13.75" customHeight="1">
      <c r="A292" s="494"/>
      <c r="B292" s="495"/>
      <c r="D292" s="500"/>
    </row>
    <row r="293" spans="1:4" ht="13.75" customHeight="1">
      <c r="A293" s="494"/>
      <c r="B293" s="495"/>
      <c r="D293" s="500"/>
    </row>
    <row r="294" spans="1:4" ht="13.75" customHeight="1">
      <c r="A294" s="494"/>
      <c r="B294" s="495"/>
      <c r="D294" s="500"/>
    </row>
    <row r="295" spans="1:4" ht="13.75" customHeight="1">
      <c r="A295" s="494"/>
      <c r="B295" s="495"/>
      <c r="D295" s="500"/>
    </row>
    <row r="296" spans="1:4" ht="13.75" customHeight="1">
      <c r="A296" s="494"/>
      <c r="B296" s="495"/>
      <c r="D296" s="500"/>
    </row>
    <row r="297" spans="1:4" ht="13.75" customHeight="1">
      <c r="A297" s="494"/>
      <c r="B297" s="495"/>
      <c r="D297" s="500"/>
    </row>
    <row r="298" spans="1:4" ht="13.75" customHeight="1">
      <c r="A298" s="494"/>
      <c r="B298" s="495"/>
      <c r="D298" s="500"/>
    </row>
    <row r="299" spans="1:4" ht="13.75" customHeight="1">
      <c r="A299" s="494"/>
      <c r="B299" s="495"/>
      <c r="D299" s="500"/>
    </row>
    <row r="300" spans="1:4" ht="13.75" customHeight="1">
      <c r="A300" s="494"/>
      <c r="B300" s="495"/>
      <c r="D300" s="500"/>
    </row>
    <row r="301" spans="1:4" ht="13.75" customHeight="1">
      <c r="A301" s="494"/>
      <c r="B301" s="495"/>
      <c r="D301" s="500"/>
    </row>
    <row r="302" spans="1:4" ht="13.75" customHeight="1">
      <c r="A302" s="494"/>
      <c r="B302" s="495"/>
      <c r="D302" s="500"/>
    </row>
    <row r="303" spans="1:4" ht="13.75" customHeight="1">
      <c r="A303" s="494"/>
      <c r="B303" s="495"/>
      <c r="D303" s="500"/>
    </row>
    <row r="304" spans="1:4" ht="13.75" customHeight="1">
      <c r="A304" s="494"/>
      <c r="B304" s="495"/>
      <c r="D304" s="500"/>
    </row>
    <row r="305" spans="1:4" ht="13.75" customHeight="1">
      <c r="A305" s="494"/>
      <c r="B305" s="495"/>
      <c r="D305" s="500"/>
    </row>
    <row r="306" spans="1:4" ht="13.75" customHeight="1">
      <c r="A306" s="494"/>
      <c r="B306" s="495"/>
      <c r="D306" s="500"/>
    </row>
    <row r="307" spans="1:4" ht="13.75" customHeight="1">
      <c r="A307" s="494"/>
      <c r="B307" s="495"/>
      <c r="D307" s="500"/>
    </row>
    <row r="308" spans="1:4" ht="13.75" customHeight="1">
      <c r="A308" s="494"/>
      <c r="B308" s="495"/>
      <c r="D308" s="500"/>
    </row>
    <row r="309" spans="1:4" ht="13.75" customHeight="1">
      <c r="A309" s="494"/>
      <c r="B309" s="495"/>
      <c r="D309" s="500"/>
    </row>
    <row r="310" spans="1:4" ht="13.75" customHeight="1">
      <c r="A310" s="494"/>
      <c r="B310" s="495"/>
      <c r="D310" s="500"/>
    </row>
    <row r="311" spans="1:4" ht="13.75" customHeight="1">
      <c r="A311" s="494"/>
      <c r="B311" s="495"/>
      <c r="D311" s="500"/>
    </row>
    <row r="312" spans="1:4" ht="13.75" customHeight="1">
      <c r="A312" s="494"/>
      <c r="B312" s="495"/>
      <c r="D312" s="500"/>
    </row>
    <row r="313" spans="1:4" ht="13.75" customHeight="1">
      <c r="A313" s="494"/>
      <c r="B313" s="495"/>
      <c r="D313" s="500"/>
    </row>
    <row r="314" spans="1:4" ht="13.75" customHeight="1">
      <c r="A314" s="494"/>
      <c r="B314" s="495"/>
      <c r="D314" s="500"/>
    </row>
    <row r="315" spans="1:4" ht="13.75" customHeight="1">
      <c r="A315" s="494"/>
      <c r="B315" s="495"/>
      <c r="D315" s="500"/>
    </row>
    <row r="316" spans="1:4" ht="13.75" customHeight="1">
      <c r="A316" s="494"/>
      <c r="B316" s="495"/>
      <c r="D316" s="500"/>
    </row>
    <row r="317" spans="1:4" ht="13.75" customHeight="1">
      <c r="A317" s="494"/>
      <c r="B317" s="495"/>
      <c r="D317" s="500"/>
    </row>
    <row r="318" spans="1:4" ht="13.75" customHeight="1">
      <c r="A318" s="494"/>
      <c r="B318" s="495"/>
      <c r="D318" s="500"/>
    </row>
    <row r="319" spans="1:4" ht="13.75" customHeight="1">
      <c r="A319" s="494"/>
      <c r="B319" s="495"/>
      <c r="D319" s="500"/>
    </row>
    <row r="320" spans="1:4" ht="13.75" customHeight="1">
      <c r="A320" s="494"/>
      <c r="B320" s="495"/>
      <c r="D320" s="500"/>
    </row>
    <row r="321" spans="1:4" ht="13.75" customHeight="1">
      <c r="A321" s="494"/>
      <c r="B321" s="495"/>
      <c r="D321" s="500"/>
    </row>
    <row r="322" spans="1:4" ht="13.75" customHeight="1">
      <c r="A322" s="494"/>
      <c r="B322" s="495"/>
      <c r="D322" s="500"/>
    </row>
    <row r="323" spans="1:4" ht="13.75" customHeight="1">
      <c r="A323" s="494"/>
      <c r="B323" s="495"/>
      <c r="D323" s="500"/>
    </row>
    <row r="324" spans="1:4" ht="13.75" customHeight="1">
      <c r="A324" s="494"/>
      <c r="B324" s="495"/>
      <c r="D324" s="500"/>
    </row>
    <row r="325" spans="1:4" ht="13.75" customHeight="1">
      <c r="A325" s="494"/>
      <c r="B325" s="495"/>
      <c r="D325" s="500"/>
    </row>
    <row r="326" spans="1:4" ht="13.75" customHeight="1">
      <c r="A326" s="494"/>
      <c r="B326" s="495"/>
      <c r="D326" s="500"/>
    </row>
    <row r="327" spans="1:4" ht="13.75" customHeight="1">
      <c r="A327" s="494"/>
      <c r="B327" s="495"/>
      <c r="D327" s="500"/>
    </row>
    <row r="328" spans="1:4" ht="13.75" customHeight="1">
      <c r="A328" s="494"/>
      <c r="B328" s="495"/>
      <c r="D328" s="500"/>
    </row>
    <row r="329" spans="1:4" ht="13.75" customHeight="1">
      <c r="A329" s="494"/>
      <c r="B329" s="495"/>
      <c r="D329" s="500"/>
    </row>
    <row r="330" spans="1:4" ht="13.75" customHeight="1">
      <c r="A330" s="494"/>
      <c r="B330" s="495"/>
      <c r="D330" s="500"/>
    </row>
    <row r="331" spans="1:4" ht="13.75" customHeight="1">
      <c r="A331" s="494"/>
      <c r="B331" s="495"/>
      <c r="D331" s="500"/>
    </row>
    <row r="332" spans="1:4" ht="13.75" customHeight="1">
      <c r="A332" s="494"/>
      <c r="B332" s="495"/>
      <c r="D332" s="500"/>
    </row>
    <row r="333" spans="1:4" ht="13.75" customHeight="1">
      <c r="A333" s="494"/>
      <c r="B333" s="495"/>
      <c r="D333" s="500"/>
    </row>
    <row r="334" spans="1:4" ht="13.75" customHeight="1">
      <c r="A334" s="494"/>
      <c r="B334" s="495"/>
      <c r="D334" s="500"/>
    </row>
    <row r="335" spans="1:4" ht="13.75" customHeight="1">
      <c r="A335" s="494"/>
      <c r="B335" s="495"/>
      <c r="D335" s="500"/>
    </row>
    <row r="336" spans="1:4" ht="13.75" customHeight="1">
      <c r="A336" s="494"/>
      <c r="B336" s="495"/>
      <c r="D336" s="500"/>
    </row>
    <row r="337" spans="1:4" ht="13.75" customHeight="1">
      <c r="A337" s="494"/>
      <c r="B337" s="495"/>
      <c r="D337" s="500"/>
    </row>
    <row r="338" spans="1:4" ht="13.75" customHeight="1">
      <c r="A338" s="494"/>
      <c r="B338" s="495"/>
      <c r="D338" s="500"/>
    </row>
    <row r="339" spans="1:4" ht="13.75" customHeight="1">
      <c r="A339" s="494"/>
      <c r="B339" s="495"/>
      <c r="D339" s="500"/>
    </row>
    <row r="340" spans="1:4" ht="13.75" customHeight="1">
      <c r="A340" s="494"/>
      <c r="B340" s="495"/>
      <c r="D340" s="500"/>
    </row>
    <row r="341" spans="1:4" ht="13.75" customHeight="1">
      <c r="A341" s="494"/>
      <c r="B341" s="495"/>
      <c r="D341" s="500"/>
    </row>
    <row r="342" spans="1:4" ht="13.75" customHeight="1">
      <c r="A342" s="494"/>
      <c r="B342" s="495"/>
      <c r="D342" s="500"/>
    </row>
    <row r="343" spans="1:4" ht="13.75" customHeight="1">
      <c r="A343" s="494"/>
      <c r="B343" s="495"/>
      <c r="D343" s="500"/>
    </row>
    <row r="344" spans="1:4" ht="13.75" customHeight="1">
      <c r="A344" s="494"/>
      <c r="B344" s="495"/>
      <c r="D344" s="500"/>
    </row>
    <row r="345" spans="1:4" ht="13.75" customHeight="1">
      <c r="A345" s="494"/>
      <c r="B345" s="495"/>
      <c r="D345" s="500"/>
    </row>
    <row r="346" spans="1:4" ht="13.75" customHeight="1">
      <c r="A346" s="494"/>
      <c r="B346" s="495"/>
      <c r="D346" s="500"/>
    </row>
    <row r="347" spans="1:4" ht="13.75" customHeight="1">
      <c r="A347" s="494"/>
      <c r="B347" s="495"/>
      <c r="D347" s="500"/>
    </row>
    <row r="348" spans="1:4" ht="13.75" customHeight="1">
      <c r="A348" s="494"/>
      <c r="B348" s="495"/>
      <c r="D348" s="500"/>
    </row>
    <row r="349" spans="1:4" ht="13.75" customHeight="1">
      <c r="A349" s="494"/>
      <c r="B349" s="495"/>
      <c r="D349" s="500"/>
    </row>
    <row r="350" spans="1:4" ht="13.75" customHeight="1">
      <c r="A350" s="494"/>
      <c r="B350" s="495"/>
      <c r="D350" s="500"/>
    </row>
    <row r="351" spans="1:4" ht="13.75" customHeight="1">
      <c r="A351" s="494"/>
      <c r="B351" s="495"/>
      <c r="D351" s="500"/>
    </row>
    <row r="352" spans="1:4" ht="13.75" customHeight="1">
      <c r="A352" s="494"/>
      <c r="B352" s="495"/>
      <c r="D352" s="500"/>
    </row>
    <row r="353" spans="1:4" ht="13.75" customHeight="1">
      <c r="A353" s="494"/>
      <c r="B353" s="495"/>
      <c r="D353" s="500"/>
    </row>
    <row r="354" spans="1:4" ht="13.75" customHeight="1">
      <c r="A354" s="494"/>
      <c r="B354" s="495"/>
      <c r="D354" s="500"/>
    </row>
    <row r="355" spans="1:4" ht="13.75" customHeight="1">
      <c r="A355" s="494"/>
      <c r="B355" s="495"/>
      <c r="D355" s="500"/>
    </row>
    <row r="356" spans="1:4" ht="13.75" customHeight="1">
      <c r="A356" s="494"/>
      <c r="B356" s="495"/>
      <c r="D356" s="500"/>
    </row>
    <row r="357" spans="1:4" ht="13.75" customHeight="1">
      <c r="A357" s="494"/>
      <c r="B357" s="495"/>
      <c r="D357" s="500"/>
    </row>
    <row r="358" spans="1:4" ht="13.75" customHeight="1">
      <c r="A358" s="494"/>
      <c r="B358" s="495"/>
      <c r="D358" s="500"/>
    </row>
    <row r="359" spans="1:4" ht="13.75" customHeight="1">
      <c r="A359" s="494"/>
      <c r="B359" s="495"/>
      <c r="D359" s="500"/>
    </row>
    <row r="360" spans="1:4" ht="13.75" customHeight="1">
      <c r="A360" s="494"/>
      <c r="B360" s="495"/>
      <c r="D360" s="500"/>
    </row>
    <row r="361" spans="1:4" ht="13.75" customHeight="1">
      <c r="A361" s="494"/>
      <c r="B361" s="495"/>
      <c r="D361" s="500"/>
    </row>
    <row r="362" spans="1:4" ht="13.75" customHeight="1">
      <c r="A362" s="494"/>
      <c r="B362" s="495"/>
      <c r="D362" s="500"/>
    </row>
    <row r="363" spans="1:4" ht="13.75" customHeight="1">
      <c r="A363" s="494"/>
      <c r="B363" s="495"/>
      <c r="D363" s="500"/>
    </row>
    <row r="364" spans="1:4" ht="13.75" customHeight="1">
      <c r="A364" s="494"/>
      <c r="B364" s="495"/>
      <c r="D364" s="500"/>
    </row>
    <row r="365" spans="1:4" ht="13.75" customHeight="1">
      <c r="A365" s="494"/>
      <c r="B365" s="495"/>
      <c r="D365" s="500"/>
    </row>
    <row r="366" spans="1:4" ht="13.75" customHeight="1">
      <c r="A366" s="494"/>
      <c r="B366" s="495"/>
      <c r="D366" s="500"/>
    </row>
    <row r="367" spans="1:4" ht="13.75" customHeight="1">
      <c r="A367" s="494"/>
      <c r="B367" s="495"/>
      <c r="D367" s="500"/>
    </row>
    <row r="368" spans="1:4" ht="13.75" customHeight="1">
      <c r="A368" s="494"/>
      <c r="B368" s="495"/>
      <c r="D368" s="500"/>
    </row>
    <row r="369" spans="1:4" ht="13.75" customHeight="1">
      <c r="A369" s="494"/>
      <c r="B369" s="495"/>
      <c r="D369" s="500"/>
    </row>
    <row r="370" spans="1:4" ht="13.75" customHeight="1">
      <c r="A370" s="494"/>
      <c r="B370" s="495"/>
      <c r="D370" s="500"/>
    </row>
    <row r="371" spans="1:4" ht="13.75" customHeight="1">
      <c r="A371" s="494"/>
      <c r="B371" s="495"/>
      <c r="D371" s="500"/>
    </row>
    <row r="372" spans="1:4" ht="13.75" customHeight="1">
      <c r="A372" s="494"/>
      <c r="B372" s="495"/>
      <c r="D372" s="500"/>
    </row>
    <row r="373" spans="1:4" ht="13.75" customHeight="1">
      <c r="A373" s="494"/>
      <c r="B373" s="495"/>
      <c r="D373" s="500"/>
    </row>
    <row r="374" spans="1:4" ht="13.75" customHeight="1">
      <c r="A374" s="494"/>
      <c r="B374" s="495"/>
      <c r="D374" s="500"/>
    </row>
    <row r="375" spans="1:4" ht="13.75" customHeight="1">
      <c r="A375" s="494"/>
      <c r="B375" s="495"/>
      <c r="D375" s="500"/>
    </row>
    <row r="376" spans="1:4" ht="13.75" customHeight="1">
      <c r="A376" s="494"/>
      <c r="B376" s="495"/>
      <c r="D376" s="500"/>
    </row>
    <row r="377" spans="1:4" ht="13.75" customHeight="1">
      <c r="A377" s="494"/>
      <c r="B377" s="495"/>
      <c r="D377" s="500"/>
    </row>
    <row r="378" spans="1:4" ht="13.75" customHeight="1">
      <c r="A378" s="494"/>
      <c r="B378" s="495"/>
      <c r="D378" s="500"/>
    </row>
    <row r="379" spans="1:4" ht="13.75" customHeight="1">
      <c r="A379" s="494"/>
      <c r="B379" s="495"/>
      <c r="D379" s="500"/>
    </row>
    <row r="380" spans="1:4" ht="13.75" customHeight="1">
      <c r="A380" s="494"/>
      <c r="B380" s="495"/>
      <c r="D380" s="500"/>
    </row>
    <row r="381" spans="1:4" ht="13.75" customHeight="1">
      <c r="A381" s="494"/>
      <c r="B381" s="495"/>
      <c r="D381" s="500"/>
    </row>
    <row r="382" spans="1:4" ht="13.75" customHeight="1">
      <c r="A382" s="494"/>
      <c r="B382" s="495"/>
      <c r="D382" s="500"/>
    </row>
    <row r="383" spans="1:4" ht="13.75" customHeight="1">
      <c r="A383" s="494"/>
      <c r="B383" s="495"/>
      <c r="D383" s="500"/>
    </row>
    <row r="384" spans="1:4" ht="13.75" customHeight="1">
      <c r="A384" s="494"/>
      <c r="B384" s="495"/>
      <c r="D384" s="500"/>
    </row>
    <row r="385" spans="1:4" ht="13.75" customHeight="1">
      <c r="A385" s="494"/>
      <c r="B385" s="495"/>
      <c r="D385" s="500"/>
    </row>
    <row r="386" spans="1:4" ht="13.75" customHeight="1">
      <c r="A386" s="494"/>
      <c r="B386" s="495"/>
      <c r="D386" s="500"/>
    </row>
    <row r="387" spans="1:4" ht="13.75" customHeight="1">
      <c r="A387" s="494"/>
      <c r="B387" s="495"/>
      <c r="D387" s="500"/>
    </row>
    <row r="388" spans="1:4" ht="13.75" customHeight="1">
      <c r="A388" s="494"/>
      <c r="B388" s="495"/>
      <c r="D388" s="500"/>
    </row>
    <row r="389" spans="1:4" ht="13.75" customHeight="1">
      <c r="A389" s="494"/>
      <c r="B389" s="495"/>
      <c r="D389" s="500"/>
    </row>
    <row r="390" spans="1:4" ht="13.75" customHeight="1">
      <c r="A390" s="494"/>
      <c r="B390" s="495"/>
      <c r="D390" s="500"/>
    </row>
    <row r="391" spans="1:4" ht="13.75" customHeight="1">
      <c r="A391" s="494"/>
      <c r="B391" s="495"/>
      <c r="D391" s="500"/>
    </row>
    <row r="392" spans="1:4" ht="13.75" customHeight="1">
      <c r="A392" s="494"/>
      <c r="B392" s="495"/>
      <c r="D392" s="500"/>
    </row>
    <row r="393" spans="1:4" ht="13.75" customHeight="1">
      <c r="A393" s="494"/>
      <c r="B393" s="495"/>
      <c r="D393" s="500"/>
    </row>
    <row r="394" spans="1:4" ht="13.75" customHeight="1">
      <c r="A394" s="494"/>
      <c r="B394" s="495"/>
      <c r="D394" s="500"/>
    </row>
    <row r="395" spans="1:4" ht="13.75" customHeight="1">
      <c r="A395" s="494"/>
      <c r="B395" s="495"/>
      <c r="D395" s="500"/>
    </row>
    <row r="396" spans="1:4" ht="13.75" customHeight="1">
      <c r="A396" s="494"/>
      <c r="B396" s="495"/>
      <c r="D396" s="500"/>
    </row>
    <row r="397" spans="1:4" ht="13.75" customHeight="1">
      <c r="A397" s="494"/>
      <c r="B397" s="495"/>
      <c r="D397" s="500"/>
    </row>
    <row r="398" spans="1:4" ht="13.75" customHeight="1">
      <c r="A398" s="494"/>
      <c r="B398" s="495"/>
      <c r="D398" s="500"/>
    </row>
    <row r="399" spans="1:4" ht="13.75" customHeight="1">
      <c r="A399" s="494"/>
      <c r="B399" s="495"/>
      <c r="D399" s="500"/>
    </row>
    <row r="400" spans="1:4" ht="13.75" customHeight="1">
      <c r="A400" s="494"/>
      <c r="B400" s="495"/>
      <c r="D400" s="500"/>
    </row>
    <row r="401" spans="1:4" ht="13.75" customHeight="1">
      <c r="A401" s="494"/>
      <c r="B401" s="495"/>
      <c r="D401" s="500"/>
    </row>
    <row r="402" spans="1:4" ht="13.75" customHeight="1">
      <c r="A402" s="494"/>
      <c r="B402" s="495"/>
      <c r="D402" s="500"/>
    </row>
    <row r="403" spans="1:4" ht="13.75" customHeight="1">
      <c r="A403" s="494"/>
      <c r="B403" s="495"/>
      <c r="D403" s="500"/>
    </row>
    <row r="404" spans="1:4" ht="13.75" customHeight="1">
      <c r="A404" s="494"/>
      <c r="B404" s="495"/>
      <c r="D404" s="500"/>
    </row>
    <row r="405" spans="1:4" ht="13.75" customHeight="1">
      <c r="A405" s="494"/>
      <c r="B405" s="495"/>
      <c r="D405" s="500"/>
    </row>
    <row r="406" spans="1:4" ht="13.75" customHeight="1">
      <c r="A406" s="494"/>
      <c r="B406" s="495"/>
      <c r="D406" s="500"/>
    </row>
    <row r="407" spans="1:4" ht="13.75" customHeight="1">
      <c r="A407" s="494"/>
      <c r="B407" s="495"/>
      <c r="D407" s="500"/>
    </row>
    <row r="408" spans="1:4" ht="13.75" customHeight="1">
      <c r="A408" s="494"/>
      <c r="B408" s="495"/>
      <c r="D408" s="500"/>
    </row>
    <row r="409" spans="1:4" ht="13.75" customHeight="1">
      <c r="A409" s="494"/>
      <c r="B409" s="495"/>
      <c r="D409" s="500"/>
    </row>
    <row r="410" spans="1:4" ht="13.75" customHeight="1">
      <c r="A410" s="494"/>
      <c r="B410" s="495"/>
      <c r="D410" s="500"/>
    </row>
    <row r="411" spans="1:4" ht="13.75" customHeight="1">
      <c r="A411" s="494"/>
      <c r="B411" s="495"/>
      <c r="D411" s="500"/>
    </row>
    <row r="412" spans="1:4" ht="13.75" customHeight="1">
      <c r="A412" s="494"/>
      <c r="B412" s="495"/>
      <c r="D412" s="500"/>
    </row>
    <row r="413" spans="1:4" ht="13.75" customHeight="1">
      <c r="A413" s="494"/>
      <c r="B413" s="495"/>
      <c r="D413" s="500"/>
    </row>
    <row r="414" spans="1:4" ht="13.75" customHeight="1">
      <c r="A414" s="494"/>
      <c r="B414" s="495"/>
      <c r="D414" s="500"/>
    </row>
    <row r="415" spans="1:4" ht="13.75" customHeight="1">
      <c r="A415" s="494"/>
      <c r="B415" s="495"/>
      <c r="D415" s="500"/>
    </row>
    <row r="416" spans="1:4" ht="13.75" customHeight="1">
      <c r="A416" s="494"/>
      <c r="B416" s="495"/>
      <c r="D416" s="500"/>
    </row>
    <row r="417" spans="1:4" ht="13.75" customHeight="1">
      <c r="A417" s="494"/>
      <c r="B417" s="495"/>
      <c r="D417" s="500"/>
    </row>
    <row r="418" spans="1:4" ht="13.75" customHeight="1">
      <c r="A418" s="494"/>
      <c r="B418" s="495"/>
      <c r="D418" s="500"/>
    </row>
    <row r="419" spans="1:4" ht="13.75" customHeight="1">
      <c r="A419" s="494"/>
      <c r="B419" s="495"/>
      <c r="D419" s="500"/>
    </row>
    <row r="420" spans="1:4" ht="13.75" customHeight="1">
      <c r="A420" s="494"/>
      <c r="B420" s="495"/>
      <c r="D420" s="500"/>
    </row>
    <row r="421" spans="1:4" ht="13.75" customHeight="1">
      <c r="A421" s="494"/>
      <c r="B421" s="495"/>
      <c r="D421" s="500"/>
    </row>
    <row r="422" spans="1:4" ht="13.75" customHeight="1">
      <c r="A422" s="494"/>
      <c r="B422" s="495"/>
      <c r="D422" s="500"/>
    </row>
    <row r="423" spans="1:4" ht="13.75" customHeight="1">
      <c r="A423" s="494"/>
      <c r="B423" s="495"/>
      <c r="D423" s="500"/>
    </row>
    <row r="424" spans="1:4" ht="13.75" customHeight="1">
      <c r="A424" s="494"/>
      <c r="B424" s="495"/>
      <c r="D424" s="500"/>
    </row>
    <row r="425" spans="1:4" ht="13.75" customHeight="1">
      <c r="A425" s="494"/>
      <c r="B425" s="495"/>
      <c r="D425" s="500"/>
    </row>
    <row r="426" spans="1:4" ht="13.75" customHeight="1">
      <c r="A426" s="494"/>
      <c r="B426" s="495"/>
      <c r="D426" s="500"/>
    </row>
    <row r="427" spans="1:4" ht="13.75" customHeight="1">
      <c r="A427" s="494"/>
      <c r="B427" s="495"/>
      <c r="D427" s="500"/>
    </row>
    <row r="428" spans="1:4" ht="13.75" customHeight="1">
      <c r="A428" s="494"/>
      <c r="B428" s="495"/>
      <c r="D428" s="500"/>
    </row>
    <row r="429" spans="1:4" ht="13.75" customHeight="1">
      <c r="A429" s="494"/>
      <c r="B429" s="495"/>
      <c r="D429" s="500"/>
    </row>
    <row r="430" spans="1:4" ht="13.75" customHeight="1">
      <c r="A430" s="494"/>
      <c r="B430" s="495"/>
      <c r="D430" s="500"/>
    </row>
    <row r="431" spans="1:4" ht="13.75" customHeight="1">
      <c r="A431" s="494"/>
      <c r="B431" s="495"/>
      <c r="D431" s="500"/>
    </row>
    <row r="432" spans="1:4" ht="13.75" customHeight="1">
      <c r="A432" s="494"/>
      <c r="B432" s="495"/>
      <c r="D432" s="500"/>
    </row>
    <row r="433" spans="1:4" ht="13.75" customHeight="1">
      <c r="A433" s="494"/>
      <c r="B433" s="495"/>
      <c r="D433" s="500"/>
    </row>
    <row r="434" spans="1:4" ht="13.75" customHeight="1">
      <c r="A434" s="494"/>
      <c r="B434" s="495"/>
      <c r="D434" s="500"/>
    </row>
    <row r="435" spans="1:4" ht="13.75" customHeight="1">
      <c r="A435" s="494"/>
      <c r="B435" s="495"/>
      <c r="D435" s="500"/>
    </row>
    <row r="436" spans="1:4" ht="13.75" customHeight="1">
      <c r="A436" s="494"/>
      <c r="B436" s="495"/>
      <c r="D436" s="500"/>
    </row>
    <row r="437" spans="1:4" ht="13.75" customHeight="1">
      <c r="A437" s="494"/>
      <c r="B437" s="495"/>
      <c r="D437" s="500"/>
    </row>
    <row r="438" spans="1:4" ht="13.75" customHeight="1">
      <c r="A438" s="494"/>
      <c r="B438" s="495"/>
      <c r="D438" s="500"/>
    </row>
    <row r="439" spans="1:4" ht="13.75" customHeight="1">
      <c r="A439" s="494"/>
      <c r="B439" s="495"/>
      <c r="D439" s="500"/>
    </row>
    <row r="440" spans="1:4" ht="13.75" customHeight="1">
      <c r="A440" s="494"/>
      <c r="B440" s="495"/>
      <c r="D440" s="500"/>
    </row>
    <row r="441" spans="1:4" ht="13.75" customHeight="1">
      <c r="A441" s="494"/>
      <c r="B441" s="495"/>
      <c r="D441" s="500"/>
    </row>
    <row r="442" spans="1:4" ht="13.75" customHeight="1">
      <c r="A442" s="494"/>
      <c r="B442" s="495"/>
      <c r="D442" s="500"/>
    </row>
    <row r="443" spans="1:4" ht="13.75" customHeight="1">
      <c r="A443" s="494"/>
      <c r="B443" s="495"/>
      <c r="D443" s="500"/>
    </row>
    <row r="444" spans="1:4" ht="13.75" customHeight="1">
      <c r="A444" s="494"/>
      <c r="B444" s="495"/>
      <c r="D444" s="500"/>
    </row>
    <row r="445" spans="1:4" ht="13.75" customHeight="1">
      <c r="A445" s="494"/>
      <c r="B445" s="495"/>
      <c r="D445" s="500"/>
    </row>
    <row r="446" spans="1:4" ht="13.75" customHeight="1">
      <c r="A446" s="494"/>
      <c r="B446" s="495"/>
      <c r="D446" s="500"/>
    </row>
    <row r="447" spans="1:4" ht="13.75" customHeight="1">
      <c r="A447" s="494"/>
      <c r="B447" s="495"/>
      <c r="D447" s="500"/>
    </row>
    <row r="448" spans="1:4" ht="13.75" customHeight="1">
      <c r="A448" s="494"/>
      <c r="B448" s="495"/>
      <c r="D448" s="500"/>
    </row>
    <row r="449" spans="1:4" ht="13.75" customHeight="1">
      <c r="A449" s="494"/>
      <c r="B449" s="495"/>
      <c r="D449" s="500"/>
    </row>
    <row r="450" spans="1:4" ht="13.75" customHeight="1">
      <c r="A450" s="494"/>
      <c r="B450" s="495"/>
      <c r="D450" s="500"/>
    </row>
    <row r="451" spans="1:4" ht="13.75" customHeight="1">
      <c r="A451" s="494"/>
      <c r="B451" s="495"/>
      <c r="D451" s="500"/>
    </row>
    <row r="452" spans="1:4" ht="13.75" customHeight="1">
      <c r="A452" s="494"/>
      <c r="B452" s="495"/>
      <c r="D452" s="500"/>
    </row>
    <row r="453" spans="1:4" ht="13.75" customHeight="1">
      <c r="A453" s="494"/>
      <c r="B453" s="495"/>
      <c r="D453" s="500"/>
    </row>
    <row r="454" spans="1:4" ht="13.75" customHeight="1">
      <c r="A454" s="494"/>
      <c r="B454" s="495"/>
      <c r="D454" s="500"/>
    </row>
    <row r="455" spans="1:4" ht="13.75" customHeight="1">
      <c r="A455" s="494"/>
      <c r="B455" s="495"/>
      <c r="D455" s="500"/>
    </row>
    <row r="456" spans="1:4" ht="13.75" customHeight="1">
      <c r="A456" s="494"/>
      <c r="B456" s="495"/>
      <c r="D456" s="500"/>
    </row>
    <row r="457" spans="1:4" ht="13.75" customHeight="1">
      <c r="A457" s="494"/>
      <c r="B457" s="495"/>
      <c r="D457" s="500"/>
    </row>
    <row r="458" spans="1:4" ht="13.75" customHeight="1">
      <c r="A458" s="494"/>
      <c r="B458" s="495"/>
      <c r="D458" s="500"/>
    </row>
    <row r="459" spans="1:4" ht="13.75" customHeight="1">
      <c r="A459" s="494"/>
      <c r="B459" s="495"/>
      <c r="D459" s="500"/>
    </row>
    <row r="460" spans="1:4" ht="13.75" customHeight="1">
      <c r="A460" s="494"/>
      <c r="B460" s="495"/>
      <c r="D460" s="500"/>
    </row>
    <row r="461" spans="1:4" ht="13.75" customHeight="1">
      <c r="A461" s="494"/>
      <c r="B461" s="495"/>
      <c r="D461" s="500"/>
    </row>
    <row r="462" spans="1:4" ht="13.75" customHeight="1">
      <c r="A462" s="494"/>
      <c r="B462" s="495"/>
      <c r="D462" s="500"/>
    </row>
    <row r="463" spans="1:4" ht="13.75" customHeight="1">
      <c r="A463" s="494"/>
      <c r="B463" s="495"/>
      <c r="D463" s="500"/>
    </row>
    <row r="464" spans="1:4" ht="13.75" customHeight="1">
      <c r="A464" s="494"/>
      <c r="B464" s="495"/>
      <c r="D464" s="500"/>
    </row>
    <row r="465" spans="1:4" ht="13.75" customHeight="1">
      <c r="A465" s="494"/>
      <c r="B465" s="495"/>
      <c r="D465" s="500"/>
    </row>
    <row r="466" spans="1:4" ht="13.75" customHeight="1">
      <c r="A466" s="494"/>
      <c r="B466" s="495"/>
      <c r="D466" s="500"/>
    </row>
    <row r="467" spans="1:4" ht="13.75" customHeight="1">
      <c r="A467" s="494"/>
      <c r="B467" s="495"/>
      <c r="D467" s="500"/>
    </row>
    <row r="468" spans="1:4" ht="13.75" customHeight="1">
      <c r="A468" s="494"/>
      <c r="B468" s="495"/>
      <c r="D468" s="500"/>
    </row>
    <row r="469" spans="1:4" ht="13.75" customHeight="1">
      <c r="A469" s="494"/>
      <c r="B469" s="495"/>
      <c r="D469" s="500"/>
    </row>
    <row r="470" spans="1:4" ht="13.75" customHeight="1">
      <c r="A470" s="494"/>
      <c r="B470" s="495"/>
      <c r="D470" s="500"/>
    </row>
    <row r="471" spans="1:4" ht="13.75" customHeight="1">
      <c r="A471" s="494"/>
      <c r="B471" s="495"/>
      <c r="D471" s="500"/>
    </row>
    <row r="472" spans="1:4" ht="13.75" customHeight="1">
      <c r="A472" s="494"/>
      <c r="B472" s="495"/>
      <c r="D472" s="500"/>
    </row>
    <row r="473" spans="1:4" ht="13.75" customHeight="1">
      <c r="A473" s="494"/>
      <c r="B473" s="495"/>
      <c r="D473" s="500"/>
    </row>
    <row r="474" spans="1:4" ht="13.75" customHeight="1">
      <c r="A474" s="494"/>
      <c r="B474" s="495"/>
      <c r="D474" s="500"/>
    </row>
    <row r="475" spans="1:4" ht="13.75" customHeight="1">
      <c r="A475" s="494"/>
      <c r="B475" s="495"/>
      <c r="D475" s="500"/>
    </row>
    <row r="476" spans="1:4" ht="13.75" customHeight="1">
      <c r="A476" s="494"/>
      <c r="B476" s="495"/>
      <c r="D476" s="500"/>
    </row>
    <row r="477" spans="1:4" ht="13.75" customHeight="1">
      <c r="A477" s="494"/>
      <c r="B477" s="495"/>
      <c r="D477" s="500"/>
    </row>
    <row r="478" spans="1:4" ht="13.75" customHeight="1">
      <c r="A478" s="494"/>
      <c r="B478" s="495"/>
      <c r="D478" s="500"/>
    </row>
    <row r="479" spans="1:4" ht="13.75" customHeight="1">
      <c r="A479" s="494"/>
      <c r="B479" s="495"/>
      <c r="D479" s="500"/>
    </row>
    <row r="480" spans="1:4" ht="13.75" customHeight="1">
      <c r="A480" s="494"/>
      <c r="B480" s="495"/>
      <c r="D480" s="500"/>
    </row>
    <row r="481" spans="1:4" ht="13.75" customHeight="1">
      <c r="A481" s="494"/>
      <c r="B481" s="495"/>
      <c r="D481" s="500"/>
    </row>
    <row r="482" spans="1:4" ht="13.75" customHeight="1">
      <c r="A482" s="494"/>
      <c r="B482" s="495"/>
      <c r="D482" s="500"/>
    </row>
    <row r="483" spans="1:4" ht="13.75" customHeight="1">
      <c r="A483" s="494"/>
      <c r="B483" s="495"/>
      <c r="D483" s="500"/>
    </row>
    <row r="484" spans="1:4" ht="13.75" customHeight="1">
      <c r="A484" s="494"/>
      <c r="B484" s="495"/>
      <c r="D484" s="500"/>
    </row>
    <row r="485" spans="1:4" ht="13.75" customHeight="1">
      <c r="A485" s="494"/>
      <c r="B485" s="495"/>
      <c r="D485" s="500"/>
    </row>
    <row r="486" spans="1:4" ht="13.75" customHeight="1">
      <c r="A486" s="494"/>
      <c r="B486" s="495"/>
      <c r="D486" s="500"/>
    </row>
    <row r="487" spans="1:4" ht="13.75" customHeight="1">
      <c r="A487" s="494"/>
      <c r="B487" s="495"/>
      <c r="D487" s="500"/>
    </row>
    <row r="488" spans="1:4" ht="13.75" customHeight="1">
      <c r="A488" s="494"/>
      <c r="B488" s="495"/>
      <c r="D488" s="500"/>
    </row>
    <row r="489" spans="1:4" ht="13.75" customHeight="1">
      <c r="A489" s="494"/>
      <c r="B489" s="495"/>
      <c r="D489" s="500"/>
    </row>
    <row r="490" spans="1:4" ht="13.75" customHeight="1">
      <c r="A490" s="494"/>
      <c r="B490" s="495"/>
      <c r="D490" s="500"/>
    </row>
    <row r="491" spans="1:4" ht="13.75" customHeight="1">
      <c r="A491" s="494"/>
      <c r="B491" s="495"/>
      <c r="D491" s="500"/>
    </row>
    <row r="492" spans="1:4" ht="13.75" customHeight="1">
      <c r="A492" s="494"/>
      <c r="B492" s="495"/>
      <c r="D492" s="500"/>
    </row>
    <row r="493" spans="1:4" ht="13.75" customHeight="1">
      <c r="A493" s="494"/>
      <c r="B493" s="495"/>
      <c r="D493" s="500"/>
    </row>
    <row r="494" spans="1:4" ht="13.75" customHeight="1">
      <c r="A494" s="494"/>
      <c r="B494" s="495"/>
      <c r="D494" s="500"/>
    </row>
    <row r="495" spans="1:4" ht="13.75" customHeight="1">
      <c r="A495" s="494"/>
      <c r="B495" s="495"/>
      <c r="D495" s="500"/>
    </row>
    <row r="496" spans="1:4" ht="13.75" customHeight="1">
      <c r="A496" s="494"/>
      <c r="B496" s="495"/>
      <c r="D496" s="500"/>
    </row>
    <row r="497" spans="1:4" ht="13.75" customHeight="1">
      <c r="A497" s="494"/>
      <c r="B497" s="495"/>
      <c r="D497" s="500"/>
    </row>
    <row r="498" spans="1:4" ht="13.75" customHeight="1">
      <c r="A498" s="494"/>
      <c r="B498" s="495"/>
      <c r="D498" s="500"/>
    </row>
    <row r="499" spans="1:4" ht="13.75" customHeight="1">
      <c r="A499" s="494"/>
      <c r="B499" s="495"/>
      <c r="D499" s="500"/>
    </row>
    <row r="500" spans="1:4" ht="13.75" customHeight="1">
      <c r="A500" s="494"/>
      <c r="B500" s="495"/>
      <c r="D500" s="500"/>
    </row>
    <row r="501" spans="1:4" ht="13.75" customHeight="1">
      <c r="A501" s="494"/>
      <c r="B501" s="495"/>
      <c r="D501" s="500"/>
    </row>
    <row r="502" spans="1:4" ht="13.75" customHeight="1">
      <c r="A502" s="494"/>
      <c r="B502" s="495"/>
      <c r="D502" s="500"/>
    </row>
    <row r="503" spans="1:4" ht="13.75" customHeight="1">
      <c r="A503" s="494"/>
      <c r="B503" s="495"/>
      <c r="D503" s="500"/>
    </row>
    <row r="504" spans="1:4" ht="13.75" customHeight="1">
      <c r="A504" s="494"/>
      <c r="B504" s="495"/>
      <c r="D504" s="500"/>
    </row>
    <row r="505" spans="1:4" ht="13.75" customHeight="1">
      <c r="A505" s="494"/>
      <c r="B505" s="495"/>
      <c r="D505" s="500"/>
    </row>
    <row r="506" spans="1:4" ht="13.75" customHeight="1">
      <c r="A506" s="494"/>
      <c r="B506" s="495"/>
      <c r="D506" s="500"/>
    </row>
    <row r="507" spans="1:4" ht="13.75" customHeight="1">
      <c r="A507" s="494"/>
      <c r="B507" s="495"/>
      <c r="D507" s="500"/>
    </row>
    <row r="508" spans="1:4" ht="13.75" customHeight="1">
      <c r="A508" s="494"/>
      <c r="B508" s="495"/>
      <c r="D508" s="500"/>
    </row>
    <row r="509" spans="1:4" ht="13.75" customHeight="1">
      <c r="A509" s="494"/>
      <c r="B509" s="495"/>
      <c r="D509" s="500"/>
    </row>
    <row r="510" spans="1:4" ht="13.75" customHeight="1">
      <c r="A510" s="494"/>
      <c r="B510" s="495"/>
      <c r="D510" s="500"/>
    </row>
    <row r="511" spans="1:4" ht="13.75" customHeight="1">
      <c r="A511" s="494"/>
      <c r="B511" s="495"/>
      <c r="D511" s="500"/>
    </row>
    <row r="512" spans="1:4" ht="13.75" customHeight="1">
      <c r="A512" s="494"/>
      <c r="B512" s="495"/>
      <c r="D512" s="500"/>
    </row>
    <row r="513" spans="1:4" ht="13.75" customHeight="1">
      <c r="A513" s="494"/>
      <c r="B513" s="495"/>
      <c r="D513" s="500"/>
    </row>
    <row r="514" spans="1:4" ht="13.75" customHeight="1">
      <c r="A514" s="494"/>
      <c r="B514" s="495"/>
      <c r="D514" s="500"/>
    </row>
    <row r="515" spans="1:4" ht="13.75" customHeight="1">
      <c r="A515" s="494"/>
      <c r="B515" s="495"/>
      <c r="D515" s="500"/>
    </row>
    <row r="516" spans="1:4" ht="13.75" customHeight="1">
      <c r="A516" s="494"/>
      <c r="B516" s="495"/>
      <c r="D516" s="500"/>
    </row>
    <row r="517" spans="1:4" ht="13.75" customHeight="1">
      <c r="A517" s="494"/>
      <c r="B517" s="495"/>
      <c r="D517" s="500"/>
    </row>
    <row r="518" spans="1:4" ht="13.75" customHeight="1">
      <c r="A518" s="494"/>
      <c r="B518" s="495"/>
      <c r="D518" s="500"/>
    </row>
    <row r="519" spans="1:4" ht="13.75" customHeight="1">
      <c r="A519" s="494"/>
      <c r="B519" s="495"/>
      <c r="D519" s="500"/>
    </row>
    <row r="520" spans="1:4" ht="13.75" customHeight="1">
      <c r="A520" s="494"/>
      <c r="B520" s="495"/>
      <c r="D520" s="500"/>
    </row>
    <row r="521" spans="1:4" ht="13.75" customHeight="1">
      <c r="A521" s="494"/>
      <c r="B521" s="495"/>
      <c r="D521" s="500"/>
    </row>
    <row r="522" spans="1:4" ht="13.75" customHeight="1">
      <c r="A522" s="494"/>
      <c r="B522" s="495"/>
      <c r="D522" s="500"/>
    </row>
    <row r="523" spans="1:4" ht="13.75" customHeight="1">
      <c r="A523" s="494"/>
      <c r="B523" s="495"/>
      <c r="D523" s="500"/>
    </row>
    <row r="524" spans="1:4" ht="13.75" customHeight="1">
      <c r="A524" s="494"/>
      <c r="B524" s="495"/>
      <c r="D524" s="500"/>
    </row>
    <row r="525" spans="1:4" ht="13.75" customHeight="1">
      <c r="A525" s="494"/>
      <c r="B525" s="495"/>
      <c r="D525" s="500"/>
    </row>
    <row r="526" spans="1:4" ht="13.75" customHeight="1">
      <c r="A526" s="494"/>
      <c r="B526" s="495"/>
      <c r="D526" s="500"/>
    </row>
    <row r="527" spans="1:4" ht="13.75" customHeight="1">
      <c r="A527" s="494"/>
      <c r="B527" s="495"/>
      <c r="D527" s="500"/>
    </row>
    <row r="528" spans="1:4" ht="13.75" customHeight="1">
      <c r="A528" s="494"/>
      <c r="B528" s="495"/>
      <c r="D528" s="500"/>
    </row>
    <row r="529" spans="1:4" ht="13.75" customHeight="1">
      <c r="A529" s="494"/>
      <c r="B529" s="495"/>
      <c r="D529" s="500"/>
    </row>
    <row r="530" spans="1:4" ht="13.75" customHeight="1">
      <c r="A530" s="494"/>
      <c r="B530" s="495"/>
      <c r="D530" s="500"/>
    </row>
    <row r="531" spans="1:4" ht="13.75" customHeight="1">
      <c r="A531" s="494"/>
      <c r="B531" s="495"/>
      <c r="D531" s="500"/>
    </row>
    <row r="532" spans="1:4" ht="13.75" customHeight="1">
      <c r="A532" s="494"/>
      <c r="B532" s="495"/>
      <c r="D532" s="500"/>
    </row>
    <row r="533" spans="1:4" ht="13.75" customHeight="1">
      <c r="A533" s="494"/>
      <c r="B533" s="495"/>
      <c r="D533" s="500"/>
    </row>
    <row r="534" spans="1:4" ht="13.75" customHeight="1">
      <c r="A534" s="494"/>
      <c r="B534" s="495"/>
      <c r="D534" s="500"/>
    </row>
    <row r="535" spans="1:4" ht="13.75" customHeight="1">
      <c r="A535" s="494"/>
      <c r="B535" s="495"/>
      <c r="D535" s="500"/>
    </row>
    <row r="536" spans="1:4" ht="13.75" customHeight="1">
      <c r="A536" s="494"/>
      <c r="B536" s="495"/>
      <c r="D536" s="500"/>
    </row>
    <row r="537" spans="1:4" ht="13.75" customHeight="1">
      <c r="A537" s="494"/>
      <c r="B537" s="495"/>
      <c r="D537" s="500"/>
    </row>
    <row r="538" spans="1:4" ht="13.75" customHeight="1">
      <c r="A538" s="494"/>
      <c r="B538" s="495"/>
      <c r="D538" s="500"/>
    </row>
    <row r="539" spans="1:4" ht="13.75" customHeight="1">
      <c r="A539" s="494"/>
      <c r="B539" s="495"/>
      <c r="D539" s="500"/>
    </row>
    <row r="540" spans="1:4" ht="13.75" customHeight="1">
      <c r="A540" s="494"/>
      <c r="B540" s="495"/>
      <c r="D540" s="500"/>
    </row>
    <row r="541" spans="1:4" ht="13.75" customHeight="1">
      <c r="A541" s="494"/>
      <c r="B541" s="495"/>
      <c r="D541" s="500"/>
    </row>
    <row r="542" spans="1:4" ht="13.75" customHeight="1">
      <c r="A542" s="494"/>
      <c r="B542" s="495"/>
      <c r="D542" s="500"/>
    </row>
    <row r="543" spans="1:4" ht="13.75" customHeight="1">
      <c r="A543" s="494"/>
      <c r="B543" s="495"/>
      <c r="D543" s="500"/>
    </row>
    <row r="544" spans="1:4" ht="13.75" customHeight="1">
      <c r="A544" s="494"/>
      <c r="B544" s="495"/>
      <c r="D544" s="500"/>
    </row>
    <row r="545" spans="1:4" ht="13.75" customHeight="1">
      <c r="A545" s="494"/>
      <c r="B545" s="495"/>
      <c r="D545" s="500"/>
    </row>
    <row r="546" spans="1:4" ht="13.75" customHeight="1">
      <c r="A546" s="494"/>
      <c r="B546" s="495"/>
      <c r="D546" s="500"/>
    </row>
    <row r="547" spans="1:4" ht="13.75" customHeight="1">
      <c r="A547" s="494"/>
      <c r="B547" s="495"/>
      <c r="D547" s="500"/>
    </row>
    <row r="548" spans="1:4" ht="13.75" customHeight="1">
      <c r="A548" s="494"/>
      <c r="B548" s="495"/>
      <c r="D548" s="500"/>
    </row>
    <row r="549" spans="1:4" ht="13.75" customHeight="1">
      <c r="A549" s="494"/>
      <c r="B549" s="495"/>
      <c r="D549" s="500"/>
    </row>
    <row r="550" spans="1:4" ht="13.75" customHeight="1">
      <c r="A550" s="494"/>
      <c r="B550" s="495"/>
      <c r="D550" s="500"/>
    </row>
    <row r="551" spans="1:4" ht="13.75" customHeight="1">
      <c r="A551" s="494"/>
      <c r="B551" s="495"/>
      <c r="D551" s="500"/>
    </row>
    <row r="552" spans="1:4" ht="13.75" customHeight="1">
      <c r="A552" s="494"/>
      <c r="B552" s="495"/>
      <c r="D552" s="500"/>
    </row>
    <row r="553" spans="1:4" ht="13.75" customHeight="1">
      <c r="A553" s="494"/>
      <c r="B553" s="495"/>
      <c r="D553" s="500"/>
    </row>
    <row r="554" spans="1:4" ht="13.75" customHeight="1">
      <c r="A554" s="494"/>
      <c r="B554" s="495"/>
      <c r="D554" s="500"/>
    </row>
    <row r="555" spans="1:4" ht="13.75" customHeight="1">
      <c r="A555" s="494"/>
      <c r="B555" s="495"/>
      <c r="D555" s="500"/>
    </row>
    <row r="556" spans="1:4" ht="13.75" customHeight="1">
      <c r="A556" s="494"/>
      <c r="B556" s="495"/>
      <c r="D556" s="500"/>
    </row>
    <row r="557" spans="1:4" ht="13.75" customHeight="1">
      <c r="A557" s="494"/>
      <c r="B557" s="495"/>
      <c r="D557" s="500"/>
    </row>
    <row r="558" spans="1:4" ht="13.75" customHeight="1">
      <c r="A558" s="494"/>
      <c r="B558" s="495"/>
      <c r="D558" s="500"/>
    </row>
    <row r="559" spans="1:4" ht="13.75" customHeight="1">
      <c r="A559" s="494"/>
      <c r="B559" s="495"/>
      <c r="D559" s="500"/>
    </row>
    <row r="560" spans="1:4" ht="13.75" customHeight="1">
      <c r="A560" s="494"/>
      <c r="B560" s="495"/>
      <c r="D560" s="500"/>
    </row>
    <row r="561" spans="1:4" ht="13.75" customHeight="1">
      <c r="A561" s="494"/>
      <c r="B561" s="495"/>
      <c r="D561" s="500"/>
    </row>
    <row r="562" spans="1:4" ht="13.75" customHeight="1">
      <c r="A562" s="494"/>
      <c r="B562" s="495"/>
      <c r="D562" s="500"/>
    </row>
    <row r="563" spans="1:4" ht="13.75" customHeight="1">
      <c r="A563" s="494"/>
      <c r="B563" s="495"/>
      <c r="D563" s="500"/>
    </row>
    <row r="564" spans="1:4" ht="13.75" customHeight="1">
      <c r="A564" s="494"/>
      <c r="B564" s="495"/>
      <c r="D564" s="500"/>
    </row>
    <row r="565" spans="1:4" ht="13.75" customHeight="1">
      <c r="A565" s="494"/>
      <c r="B565" s="495"/>
      <c r="D565" s="500"/>
    </row>
    <row r="566" spans="1:4" ht="13.75" customHeight="1">
      <c r="A566" s="494"/>
      <c r="B566" s="495"/>
      <c r="D566" s="500"/>
    </row>
    <row r="567" spans="1:4" ht="13.75" customHeight="1">
      <c r="A567" s="494"/>
      <c r="B567" s="495"/>
      <c r="D567" s="500"/>
    </row>
    <row r="568" spans="1:4" ht="13.75" customHeight="1">
      <c r="A568" s="494"/>
      <c r="B568" s="495"/>
      <c r="D568" s="500"/>
    </row>
    <row r="569" spans="1:4" ht="13.75" customHeight="1">
      <c r="A569" s="494"/>
      <c r="B569" s="495"/>
      <c r="D569" s="500"/>
    </row>
    <row r="570" spans="1:4" ht="13.75" customHeight="1">
      <c r="A570" s="494"/>
      <c r="B570" s="495"/>
      <c r="D570" s="500"/>
    </row>
    <row r="571" spans="1:4" ht="13.75" customHeight="1">
      <c r="A571" s="494"/>
      <c r="B571" s="495"/>
      <c r="D571" s="500"/>
    </row>
    <row r="572" spans="1:4" ht="13.75" customHeight="1">
      <c r="A572" s="494"/>
      <c r="B572" s="495"/>
      <c r="D572" s="500"/>
    </row>
    <row r="573" spans="1:4" ht="13.75" customHeight="1">
      <c r="A573" s="494"/>
      <c r="B573" s="495"/>
      <c r="D573" s="500"/>
    </row>
    <row r="574" spans="1:4" ht="13.75" customHeight="1">
      <c r="A574" s="494"/>
      <c r="B574" s="495"/>
      <c r="D574" s="500"/>
    </row>
    <row r="575" spans="1:4" ht="13.75" customHeight="1">
      <c r="A575" s="494"/>
      <c r="B575" s="495"/>
      <c r="D575" s="500"/>
    </row>
    <row r="576" spans="1:4" ht="13.75" customHeight="1">
      <c r="A576" s="494"/>
      <c r="B576" s="495"/>
      <c r="D576" s="500"/>
    </row>
    <row r="577" spans="1:4" ht="13.75" customHeight="1">
      <c r="A577" s="494"/>
      <c r="B577" s="495"/>
      <c r="D577" s="500"/>
    </row>
    <row r="578" spans="1:4" ht="13.75" customHeight="1">
      <c r="A578" s="494"/>
      <c r="B578" s="495"/>
      <c r="D578" s="500"/>
    </row>
    <row r="579" spans="1:4" ht="13.75" customHeight="1">
      <c r="A579" s="494"/>
      <c r="B579" s="495"/>
      <c r="D579" s="500"/>
    </row>
    <row r="580" spans="1:4" ht="13.75" customHeight="1">
      <c r="A580" s="494"/>
      <c r="B580" s="495"/>
      <c r="D580" s="500"/>
    </row>
    <row r="581" spans="1:4" ht="13.75" customHeight="1">
      <c r="A581" s="494"/>
      <c r="B581" s="495"/>
      <c r="D581" s="500"/>
    </row>
    <row r="582" spans="1:4" ht="13.75" customHeight="1">
      <c r="A582" s="494"/>
      <c r="B582" s="495"/>
      <c r="D582" s="500"/>
    </row>
    <row r="583" spans="1:4" ht="13.75" customHeight="1">
      <c r="A583" s="494"/>
      <c r="B583" s="495"/>
      <c r="D583" s="500"/>
    </row>
    <row r="584" spans="1:4" ht="13.75" customHeight="1">
      <c r="A584" s="494"/>
      <c r="B584" s="495"/>
      <c r="D584" s="500"/>
    </row>
    <row r="585" spans="1:4" ht="13.75" customHeight="1">
      <c r="A585" s="494"/>
      <c r="B585" s="495"/>
      <c r="D585" s="500"/>
    </row>
    <row r="586" spans="1:4" ht="13.75" customHeight="1">
      <c r="A586" s="494"/>
      <c r="B586" s="495"/>
      <c r="D586" s="500"/>
    </row>
    <row r="587" spans="1:4" ht="13.75" customHeight="1">
      <c r="A587" s="494"/>
      <c r="B587" s="495"/>
      <c r="D587" s="500"/>
    </row>
    <row r="588" spans="1:4" ht="13.75" customHeight="1">
      <c r="A588" s="494"/>
      <c r="B588" s="495"/>
      <c r="D588" s="500"/>
    </row>
    <row r="589" spans="1:4" ht="13.75" customHeight="1">
      <c r="A589" s="494"/>
      <c r="B589" s="495"/>
      <c r="D589" s="500"/>
    </row>
    <row r="590" spans="1:4" ht="13.75" customHeight="1">
      <c r="A590" s="494"/>
      <c r="B590" s="495"/>
      <c r="D590" s="500"/>
    </row>
    <row r="591" spans="1:4" ht="13.75" customHeight="1">
      <c r="A591" s="494"/>
      <c r="B591" s="495"/>
      <c r="D591" s="500"/>
    </row>
    <row r="592" spans="1:4" ht="13.75" customHeight="1">
      <c r="A592" s="494"/>
      <c r="B592" s="495"/>
      <c r="D592" s="500"/>
    </row>
    <row r="593" spans="1:4" ht="13.75" customHeight="1">
      <c r="A593" s="494"/>
      <c r="B593" s="495"/>
      <c r="D593" s="500"/>
    </row>
    <row r="594" spans="1:4" ht="13.75" customHeight="1">
      <c r="A594" s="494"/>
      <c r="B594" s="495"/>
      <c r="D594" s="500"/>
    </row>
    <row r="595" spans="1:4" ht="13.75" customHeight="1">
      <c r="A595" s="494"/>
      <c r="B595" s="495"/>
      <c r="D595" s="500"/>
    </row>
    <row r="596" spans="1:4" ht="13.75" customHeight="1">
      <c r="A596" s="494"/>
      <c r="B596" s="495"/>
      <c r="D596" s="500"/>
    </row>
    <row r="597" spans="1:4" ht="13.75" customHeight="1">
      <c r="A597" s="494"/>
      <c r="B597" s="495"/>
      <c r="D597" s="500"/>
    </row>
    <row r="598" spans="1:4" ht="13.75" customHeight="1">
      <c r="A598" s="494"/>
      <c r="B598" s="495"/>
      <c r="D598" s="500"/>
    </row>
    <row r="599" spans="1:4" ht="13.75" customHeight="1">
      <c r="A599" s="494"/>
      <c r="B599" s="495"/>
      <c r="D599" s="500"/>
    </row>
    <row r="600" spans="1:4" ht="13.75" customHeight="1">
      <c r="A600" s="494"/>
      <c r="B600" s="495"/>
      <c r="D600" s="500"/>
    </row>
    <row r="601" spans="1:4" ht="13.75" customHeight="1">
      <c r="A601" s="494"/>
      <c r="B601" s="495"/>
      <c r="D601" s="500"/>
    </row>
    <row r="602" spans="1:4" ht="13.75" customHeight="1">
      <c r="A602" s="494"/>
      <c r="B602" s="495"/>
      <c r="D602" s="500"/>
    </row>
    <row r="603" spans="1:4" ht="13.75" customHeight="1">
      <c r="A603" s="494"/>
      <c r="B603" s="495"/>
      <c r="D603" s="500"/>
    </row>
    <row r="604" spans="1:4" ht="13.75" customHeight="1">
      <c r="A604" s="494"/>
      <c r="B604" s="495"/>
      <c r="D604" s="500"/>
    </row>
    <row r="605" spans="1:4" ht="13.75" customHeight="1">
      <c r="A605" s="494"/>
      <c r="B605" s="495"/>
      <c r="D605" s="500"/>
    </row>
    <row r="606" spans="1:4" ht="13.75" customHeight="1">
      <c r="A606" s="494"/>
      <c r="B606" s="495"/>
      <c r="D606" s="500"/>
    </row>
    <row r="607" spans="1:4" ht="13.75" customHeight="1">
      <c r="A607" s="494"/>
      <c r="B607" s="495"/>
      <c r="D607" s="500"/>
    </row>
    <row r="608" spans="1:4" ht="13.75" customHeight="1">
      <c r="A608" s="494"/>
      <c r="B608" s="495"/>
      <c r="D608" s="500"/>
    </row>
    <row r="609" spans="1:4" ht="13.75" customHeight="1">
      <c r="A609" s="494"/>
      <c r="B609" s="495"/>
      <c r="D609" s="500"/>
    </row>
    <row r="610" spans="1:4" ht="13.75" customHeight="1">
      <c r="A610" s="494"/>
      <c r="B610" s="495"/>
      <c r="D610" s="500"/>
    </row>
    <row r="611" spans="1:4" ht="13.75" customHeight="1">
      <c r="A611" s="494"/>
      <c r="B611" s="495"/>
      <c r="D611" s="500"/>
    </row>
    <row r="612" spans="1:4" ht="13.75" customHeight="1">
      <c r="A612" s="494"/>
      <c r="B612" s="495"/>
      <c r="D612" s="500"/>
    </row>
    <row r="613" spans="1:4" ht="13.75" customHeight="1">
      <c r="A613" s="494"/>
      <c r="B613" s="495"/>
      <c r="D613" s="500"/>
    </row>
    <row r="614" spans="1:4" ht="13.75" customHeight="1">
      <c r="A614" s="494"/>
      <c r="B614" s="495"/>
      <c r="D614" s="500"/>
    </row>
    <row r="615" spans="1:4" ht="13.75" customHeight="1">
      <c r="A615" s="494"/>
      <c r="B615" s="495"/>
      <c r="D615" s="500"/>
    </row>
    <row r="616" spans="1:4" ht="13.75" customHeight="1">
      <c r="A616" s="494"/>
      <c r="B616" s="495"/>
      <c r="D616" s="500"/>
    </row>
    <row r="617" spans="1:4" ht="13.75" customHeight="1">
      <c r="A617" s="494"/>
      <c r="B617" s="495"/>
      <c r="D617" s="500"/>
    </row>
    <row r="618" spans="1:4" ht="13.75" customHeight="1">
      <c r="A618" s="494"/>
      <c r="B618" s="495"/>
      <c r="D618" s="500"/>
    </row>
    <row r="619" spans="1:4" ht="13.75" customHeight="1">
      <c r="A619" s="494"/>
      <c r="B619" s="495"/>
      <c r="D619" s="500"/>
    </row>
    <row r="620" spans="1:4" ht="13.75" customHeight="1">
      <c r="A620" s="494"/>
      <c r="B620" s="495"/>
      <c r="D620" s="500"/>
    </row>
    <row r="621" spans="1:4" ht="13.75" customHeight="1">
      <c r="A621" s="494"/>
      <c r="B621" s="495"/>
      <c r="D621" s="500"/>
    </row>
    <row r="622" spans="1:4" ht="13.75" customHeight="1">
      <c r="A622" s="494"/>
      <c r="B622" s="495"/>
      <c r="D622" s="500"/>
    </row>
    <row r="623" spans="1:4" ht="13.75" customHeight="1">
      <c r="A623" s="494"/>
      <c r="B623" s="495"/>
      <c r="D623" s="500"/>
    </row>
    <row r="624" spans="1:4" ht="13.75" customHeight="1">
      <c r="A624" s="494"/>
      <c r="B624" s="495"/>
      <c r="D624" s="500"/>
    </row>
    <row r="625" spans="1:4" ht="13.75" customHeight="1">
      <c r="A625" s="494"/>
      <c r="B625" s="495"/>
      <c r="D625" s="500"/>
    </row>
    <row r="626" spans="1:4" ht="13.75" customHeight="1">
      <c r="A626" s="494"/>
      <c r="B626" s="495"/>
      <c r="D626" s="500"/>
    </row>
    <row r="627" spans="1:4" ht="13.75" customHeight="1">
      <c r="A627" s="494"/>
      <c r="B627" s="495"/>
      <c r="D627" s="500"/>
    </row>
    <row r="628" spans="1:4" ht="13.75" customHeight="1">
      <c r="A628" s="494"/>
      <c r="B628" s="495"/>
      <c r="D628" s="500"/>
    </row>
    <row r="629" spans="1:4" ht="13.75" customHeight="1">
      <c r="A629" s="494"/>
      <c r="B629" s="495"/>
      <c r="D629" s="500"/>
    </row>
    <row r="630" spans="1:4" ht="13.75" customHeight="1">
      <c r="A630" s="494"/>
      <c r="B630" s="495"/>
      <c r="D630" s="500"/>
    </row>
    <row r="631" spans="1:4" ht="13.75" customHeight="1">
      <c r="A631" s="494"/>
      <c r="B631" s="495"/>
      <c r="D631" s="500"/>
    </row>
    <row r="632" spans="1:4" ht="13.75" customHeight="1">
      <c r="A632" s="494"/>
      <c r="B632" s="495"/>
      <c r="D632" s="500"/>
    </row>
    <row r="633" spans="1:4" ht="13.75" customHeight="1">
      <c r="A633" s="494"/>
      <c r="B633" s="495"/>
      <c r="D633" s="500"/>
    </row>
    <row r="634" spans="1:4" ht="13.75" customHeight="1">
      <c r="A634" s="494"/>
      <c r="B634" s="495"/>
      <c r="D634" s="500"/>
    </row>
    <row r="635" spans="1:4" ht="13.75" customHeight="1">
      <c r="A635" s="494"/>
      <c r="B635" s="495"/>
      <c r="D635" s="500"/>
    </row>
    <row r="636" spans="1:4" ht="13.75" customHeight="1">
      <c r="A636" s="494"/>
      <c r="B636" s="495"/>
      <c r="D636" s="500"/>
    </row>
    <row r="637" spans="1:4" ht="13.75" customHeight="1">
      <c r="A637" s="494"/>
      <c r="B637" s="495"/>
      <c r="D637" s="500"/>
    </row>
    <row r="638" spans="1:4" ht="13.75" customHeight="1">
      <c r="A638" s="494"/>
      <c r="B638" s="495"/>
      <c r="D638" s="500"/>
    </row>
    <row r="639" spans="1:4" ht="13.75" customHeight="1">
      <c r="A639" s="494"/>
      <c r="B639" s="495"/>
      <c r="D639" s="500"/>
    </row>
    <row r="640" spans="1:4" ht="13.75" customHeight="1">
      <c r="A640" s="494"/>
      <c r="B640" s="495"/>
      <c r="D640" s="500"/>
    </row>
    <row r="641" spans="1:4" ht="13.75" customHeight="1">
      <c r="A641" s="494"/>
      <c r="B641" s="495"/>
      <c r="D641" s="500"/>
    </row>
    <row r="642" spans="1:4" ht="13.75" customHeight="1">
      <c r="A642" s="494"/>
      <c r="B642" s="495"/>
      <c r="D642" s="500"/>
    </row>
    <row r="643" spans="1:4" ht="13.75" customHeight="1">
      <c r="A643" s="494"/>
      <c r="B643" s="495"/>
      <c r="D643" s="500"/>
    </row>
    <row r="644" spans="1:4" ht="13.75" customHeight="1">
      <c r="A644" s="494"/>
      <c r="B644" s="495"/>
      <c r="D644" s="500"/>
    </row>
    <row r="645" spans="1:4" ht="13.75" customHeight="1">
      <c r="A645" s="494"/>
      <c r="B645" s="495"/>
      <c r="D645" s="500"/>
    </row>
    <row r="646" spans="1:4" ht="13.75" customHeight="1">
      <c r="A646" s="494"/>
      <c r="B646" s="495"/>
      <c r="D646" s="500"/>
    </row>
    <row r="647" spans="1:4" ht="13.75" customHeight="1">
      <c r="A647" s="494"/>
      <c r="B647" s="495"/>
      <c r="D647" s="500"/>
    </row>
    <row r="648" spans="1:4" ht="13.75" customHeight="1">
      <c r="A648" s="494"/>
      <c r="B648" s="495"/>
      <c r="D648" s="500"/>
    </row>
    <row r="649" spans="1:4" ht="13.75" customHeight="1">
      <c r="A649" s="494"/>
      <c r="B649" s="495"/>
      <c r="D649" s="500"/>
    </row>
    <row r="650" spans="1:4" ht="13.75" customHeight="1">
      <c r="A650" s="494"/>
      <c r="B650" s="495"/>
      <c r="D650" s="500"/>
    </row>
    <row r="651" spans="1:4" ht="13.75" customHeight="1">
      <c r="A651" s="494"/>
      <c r="B651" s="495"/>
      <c r="D651" s="500"/>
    </row>
    <row r="652" spans="1:4" ht="13.75" customHeight="1">
      <c r="A652" s="494"/>
      <c r="B652" s="495"/>
      <c r="D652" s="500"/>
    </row>
    <row r="653" spans="1:4" ht="13.75" customHeight="1">
      <c r="A653" s="494"/>
      <c r="B653" s="495"/>
      <c r="D653" s="500"/>
    </row>
    <row r="654" spans="1:4" ht="13.75" customHeight="1">
      <c r="A654" s="494"/>
      <c r="B654" s="495"/>
      <c r="D654" s="500"/>
    </row>
    <row r="655" spans="1:4" ht="13.75" customHeight="1">
      <c r="A655" s="494"/>
      <c r="B655" s="495"/>
      <c r="D655" s="500"/>
    </row>
    <row r="656" spans="1:4" ht="13.75" customHeight="1">
      <c r="A656" s="494"/>
      <c r="B656" s="495"/>
      <c r="D656" s="500"/>
    </row>
    <row r="657" spans="1:4" ht="13.75" customHeight="1">
      <c r="A657" s="494"/>
      <c r="B657" s="495"/>
      <c r="D657" s="500"/>
    </row>
    <row r="658" spans="1:4" ht="13.75" customHeight="1">
      <c r="A658" s="494"/>
      <c r="B658" s="495"/>
      <c r="D658" s="500"/>
    </row>
    <row r="659" spans="1:4" ht="13.75" customHeight="1">
      <c r="A659" s="494"/>
      <c r="B659" s="495"/>
      <c r="D659" s="500"/>
    </row>
    <row r="660" spans="1:4" ht="13.75" customHeight="1">
      <c r="A660" s="494"/>
      <c r="B660" s="495"/>
      <c r="D660" s="500"/>
    </row>
    <row r="661" spans="1:4" ht="13.75" customHeight="1">
      <c r="A661" s="494"/>
      <c r="B661" s="495"/>
      <c r="D661" s="500"/>
    </row>
    <row r="662" spans="1:4" ht="13.75" customHeight="1">
      <c r="A662" s="494"/>
      <c r="B662" s="495"/>
      <c r="D662" s="500"/>
    </row>
    <row r="663" spans="1:4" ht="13.75" customHeight="1">
      <c r="A663" s="494"/>
      <c r="B663" s="495"/>
      <c r="D663" s="500"/>
    </row>
    <row r="664" spans="1:4" ht="13.75" customHeight="1">
      <c r="A664" s="494"/>
      <c r="B664" s="495"/>
      <c r="D664" s="500"/>
    </row>
    <row r="665" spans="1:4" ht="13.75" customHeight="1">
      <c r="A665" s="494"/>
      <c r="B665" s="495"/>
      <c r="D665" s="500"/>
    </row>
    <row r="666" spans="1:4" ht="13.75" customHeight="1">
      <c r="A666" s="494"/>
      <c r="B666" s="495"/>
      <c r="D666" s="500"/>
    </row>
    <row r="667" spans="1:4" ht="13.75" customHeight="1">
      <c r="A667" s="494"/>
      <c r="B667" s="495"/>
      <c r="D667" s="500"/>
    </row>
    <row r="668" spans="1:4" ht="13.75" customHeight="1">
      <c r="A668" s="494"/>
      <c r="B668" s="495"/>
      <c r="D668" s="500"/>
    </row>
    <row r="669" spans="1:4" ht="13.75" customHeight="1">
      <c r="A669" s="494"/>
      <c r="B669" s="495"/>
      <c r="D669" s="500"/>
    </row>
    <row r="670" spans="1:4" ht="13.75" customHeight="1">
      <c r="A670" s="494"/>
      <c r="B670" s="495"/>
      <c r="D670" s="500"/>
    </row>
    <row r="671" spans="1:4" ht="13.75" customHeight="1">
      <c r="A671" s="494"/>
      <c r="B671" s="495"/>
      <c r="D671" s="500"/>
    </row>
    <row r="672" spans="1:4" ht="13.75" customHeight="1">
      <c r="A672" s="494"/>
      <c r="B672" s="495"/>
      <c r="D672" s="500"/>
    </row>
    <row r="673" spans="1:4" ht="13.75" customHeight="1">
      <c r="A673" s="494"/>
      <c r="B673" s="495"/>
      <c r="D673" s="500"/>
    </row>
    <row r="674" spans="1:4" ht="13.75" customHeight="1">
      <c r="A674" s="494"/>
      <c r="B674" s="495"/>
      <c r="D674" s="500"/>
    </row>
    <row r="675" spans="1:4" ht="13.75" customHeight="1">
      <c r="A675" s="494"/>
      <c r="B675" s="495"/>
      <c r="D675" s="500"/>
    </row>
    <row r="676" spans="1:4" ht="13.75" customHeight="1">
      <c r="A676" s="494"/>
      <c r="B676" s="495"/>
      <c r="D676" s="500"/>
    </row>
    <row r="677" spans="1:4" ht="13.75" customHeight="1">
      <c r="A677" s="494"/>
      <c r="B677" s="495"/>
      <c r="D677" s="500"/>
    </row>
    <row r="678" spans="1:4" ht="13.75" customHeight="1">
      <c r="A678" s="494"/>
      <c r="B678" s="495"/>
      <c r="D678" s="500"/>
    </row>
    <row r="679" spans="1:4" ht="13.75" customHeight="1">
      <c r="A679" s="494"/>
      <c r="B679" s="495"/>
      <c r="D679" s="500"/>
    </row>
    <row r="680" spans="1:4" ht="13.75" customHeight="1">
      <c r="A680" s="494"/>
      <c r="B680" s="495"/>
      <c r="D680" s="500"/>
    </row>
    <row r="681" spans="1:4" ht="13.75" customHeight="1">
      <c r="A681" s="494"/>
      <c r="B681" s="495"/>
      <c r="D681" s="500"/>
    </row>
    <row r="682" spans="1:4" ht="13.75" customHeight="1">
      <c r="A682" s="494"/>
      <c r="B682" s="495"/>
      <c r="D682" s="500"/>
    </row>
    <row r="683" spans="1:4" ht="13.75" customHeight="1">
      <c r="A683" s="494"/>
      <c r="B683" s="495"/>
      <c r="D683" s="500"/>
    </row>
    <row r="684" spans="1:4" ht="13.75" customHeight="1">
      <c r="A684" s="494"/>
      <c r="B684" s="495"/>
      <c r="D684" s="500"/>
    </row>
    <row r="685" spans="1:4" ht="13.75" customHeight="1">
      <c r="A685" s="494"/>
      <c r="B685" s="495"/>
      <c r="D685" s="500"/>
    </row>
    <row r="686" spans="1:4" ht="13.75" customHeight="1">
      <c r="A686" s="494"/>
      <c r="B686" s="495"/>
      <c r="D686" s="500"/>
    </row>
    <row r="687" spans="1:4" ht="13.75" customHeight="1">
      <c r="A687" s="494"/>
      <c r="B687" s="495"/>
      <c r="D687" s="500"/>
    </row>
    <row r="688" spans="1:4" ht="13.75" customHeight="1">
      <c r="A688" s="494"/>
      <c r="B688" s="495"/>
      <c r="D688" s="500"/>
    </row>
    <row r="689" spans="1:4" ht="13.75" customHeight="1">
      <c r="A689" s="494"/>
      <c r="B689" s="495"/>
      <c r="D689" s="500"/>
    </row>
    <row r="690" spans="1:4" ht="13.75" customHeight="1">
      <c r="A690" s="494"/>
      <c r="B690" s="495"/>
      <c r="D690" s="500"/>
    </row>
    <row r="691" spans="1:4" ht="13.75" customHeight="1">
      <c r="A691" s="494"/>
      <c r="B691" s="495"/>
      <c r="D691" s="500"/>
    </row>
    <row r="692" spans="1:4" ht="13.75" customHeight="1">
      <c r="A692" s="494"/>
      <c r="B692" s="495"/>
      <c r="D692" s="500"/>
    </row>
    <row r="693" spans="1:4" ht="13.75" customHeight="1">
      <c r="A693" s="494"/>
      <c r="B693" s="495"/>
      <c r="D693" s="500"/>
    </row>
    <row r="694" spans="1:4" ht="13.75" customHeight="1">
      <c r="A694" s="494"/>
      <c r="B694" s="495"/>
      <c r="D694" s="500"/>
    </row>
    <row r="695" spans="1:4" ht="13.75" customHeight="1">
      <c r="A695" s="494"/>
      <c r="B695" s="495"/>
      <c r="D695" s="500"/>
    </row>
    <row r="696" spans="1:4" ht="13.75" customHeight="1">
      <c r="A696" s="494"/>
      <c r="B696" s="495"/>
      <c r="D696" s="500"/>
    </row>
    <row r="697" spans="1:4" ht="13.75" customHeight="1">
      <c r="A697" s="494"/>
      <c r="B697" s="495"/>
      <c r="D697" s="500"/>
    </row>
    <row r="698" spans="1:4" ht="13.75" customHeight="1">
      <c r="A698" s="494"/>
      <c r="B698" s="495"/>
      <c r="D698" s="500"/>
    </row>
    <row r="699" spans="1:4" ht="13.75" customHeight="1">
      <c r="A699" s="494"/>
      <c r="B699" s="495"/>
      <c r="D699" s="500"/>
    </row>
    <row r="700" spans="1:4" ht="13.75" customHeight="1">
      <c r="A700" s="494"/>
      <c r="B700" s="495"/>
      <c r="D700" s="500"/>
    </row>
    <row r="701" spans="1:4" ht="13.75" customHeight="1">
      <c r="A701" s="494"/>
      <c r="B701" s="495"/>
      <c r="D701" s="500"/>
    </row>
    <row r="702" spans="1:4" ht="13.75" customHeight="1">
      <c r="A702" s="494"/>
      <c r="B702" s="495"/>
      <c r="D702" s="500"/>
    </row>
    <row r="703" spans="1:4" ht="13.75" customHeight="1">
      <c r="A703" s="494"/>
      <c r="B703" s="495"/>
      <c r="D703" s="500"/>
    </row>
    <row r="704" spans="1:4" ht="13.75" customHeight="1">
      <c r="A704" s="494"/>
      <c r="B704" s="495"/>
      <c r="D704" s="500"/>
    </row>
    <row r="705" spans="1:4" ht="13.75" customHeight="1">
      <c r="A705" s="494"/>
      <c r="B705" s="495"/>
      <c r="D705" s="500"/>
    </row>
    <row r="706" spans="1:4" ht="13.75" customHeight="1">
      <c r="A706" s="494"/>
      <c r="B706" s="495"/>
      <c r="D706" s="500"/>
    </row>
    <row r="707" spans="1:4" ht="13.75" customHeight="1">
      <c r="A707" s="494"/>
      <c r="B707" s="495"/>
      <c r="D707" s="500"/>
    </row>
    <row r="708" spans="1:4" ht="13.75" customHeight="1">
      <c r="A708" s="494"/>
      <c r="B708" s="495"/>
      <c r="D708" s="500"/>
    </row>
    <row r="709" spans="1:4" ht="13.75" customHeight="1">
      <c r="A709" s="494"/>
      <c r="B709" s="495"/>
      <c r="D709" s="500"/>
    </row>
    <row r="710" spans="1:4" ht="13.75" customHeight="1">
      <c r="A710" s="494"/>
      <c r="B710" s="495"/>
      <c r="D710" s="500"/>
    </row>
    <row r="711" spans="1:4" ht="13.75" customHeight="1">
      <c r="A711" s="494"/>
      <c r="B711" s="495"/>
      <c r="D711" s="500"/>
    </row>
    <row r="712" spans="1:4" ht="13.75" customHeight="1">
      <c r="A712" s="494"/>
      <c r="B712" s="495"/>
      <c r="D712" s="500"/>
    </row>
    <row r="713" spans="1:4" ht="13.75" customHeight="1">
      <c r="A713" s="494"/>
      <c r="B713" s="495"/>
      <c r="D713" s="500"/>
    </row>
    <row r="714" spans="1:4" ht="13.75" customHeight="1">
      <c r="A714" s="494"/>
      <c r="B714" s="495"/>
      <c r="D714" s="500"/>
    </row>
    <row r="715" spans="1:4" ht="13.75" customHeight="1">
      <c r="A715" s="494"/>
      <c r="B715" s="495"/>
      <c r="D715" s="500"/>
    </row>
    <row r="716" spans="1:4" ht="13.75" customHeight="1">
      <c r="A716" s="494"/>
      <c r="B716" s="495"/>
      <c r="D716" s="500"/>
    </row>
    <row r="717" spans="1:4" ht="13.75" customHeight="1">
      <c r="A717" s="494"/>
      <c r="B717" s="495"/>
      <c r="D717" s="500"/>
    </row>
    <row r="718" spans="1:4" ht="13.75" customHeight="1">
      <c r="A718" s="494"/>
      <c r="B718" s="495"/>
      <c r="D718" s="500"/>
    </row>
    <row r="719" spans="1:4" ht="13.75" customHeight="1">
      <c r="A719" s="494"/>
      <c r="B719" s="495"/>
      <c r="D719" s="500"/>
    </row>
    <row r="720" spans="1:4" ht="13.75" customHeight="1">
      <c r="A720" s="494"/>
      <c r="B720" s="495"/>
      <c r="D720" s="500"/>
    </row>
    <row r="721" spans="1:4" ht="13.75" customHeight="1">
      <c r="A721" s="494"/>
      <c r="B721" s="495"/>
      <c r="D721" s="500"/>
    </row>
    <row r="722" spans="1:4" ht="13.75" customHeight="1">
      <c r="A722" s="494"/>
      <c r="B722" s="495"/>
      <c r="D722" s="500"/>
    </row>
    <row r="723" spans="1:4" ht="13.75" customHeight="1">
      <c r="A723" s="494"/>
      <c r="B723" s="495"/>
      <c r="D723" s="500"/>
    </row>
    <row r="724" spans="1:4" ht="13.75" customHeight="1">
      <c r="A724" s="494"/>
      <c r="B724" s="495"/>
      <c r="D724" s="500"/>
    </row>
    <row r="725" spans="1:4" ht="13.75" customHeight="1">
      <c r="A725" s="494"/>
      <c r="B725" s="495"/>
      <c r="D725" s="500"/>
    </row>
    <row r="726" spans="1:4" ht="13.75" customHeight="1">
      <c r="A726" s="494"/>
      <c r="B726" s="495"/>
      <c r="D726" s="500"/>
    </row>
    <row r="727" spans="1:4" ht="13.75" customHeight="1">
      <c r="A727" s="494"/>
      <c r="B727" s="495"/>
      <c r="D727" s="500"/>
    </row>
    <row r="728" spans="1:4" ht="13.75" customHeight="1">
      <c r="A728" s="494"/>
      <c r="B728" s="495"/>
      <c r="D728" s="500"/>
    </row>
    <row r="729" spans="1:4" ht="13.75" customHeight="1">
      <c r="A729" s="494"/>
      <c r="B729" s="495"/>
      <c r="D729" s="500"/>
    </row>
    <row r="730" spans="1:4" ht="13.75" customHeight="1">
      <c r="A730" s="494"/>
      <c r="B730" s="495"/>
      <c r="D730" s="500"/>
    </row>
    <row r="731" spans="1:4" ht="13.75" customHeight="1">
      <c r="A731" s="494"/>
      <c r="B731" s="495"/>
      <c r="D731" s="500"/>
    </row>
    <row r="732" spans="1:4" ht="13.75" customHeight="1">
      <c r="A732" s="494"/>
      <c r="B732" s="495"/>
      <c r="D732" s="500"/>
    </row>
    <row r="733" spans="1:4" ht="13.75" customHeight="1">
      <c r="A733" s="494"/>
      <c r="B733" s="495"/>
      <c r="D733" s="500"/>
    </row>
    <row r="734" spans="1:4" ht="13.75" customHeight="1">
      <c r="A734" s="494"/>
      <c r="B734" s="495"/>
      <c r="D734" s="500"/>
    </row>
    <row r="735" spans="1:4" ht="13.75" customHeight="1">
      <c r="A735" s="494"/>
      <c r="B735" s="495"/>
      <c r="D735" s="500"/>
    </row>
    <row r="736" spans="1:4" ht="13.75" customHeight="1">
      <c r="A736" s="494"/>
      <c r="B736" s="495"/>
      <c r="D736" s="500"/>
    </row>
    <row r="737" spans="1:4" ht="13.75" customHeight="1">
      <c r="A737" s="494"/>
      <c r="B737" s="495"/>
      <c r="D737" s="500"/>
    </row>
    <row r="738" spans="1:4" ht="13.75" customHeight="1">
      <c r="A738" s="494"/>
      <c r="B738" s="495"/>
      <c r="D738" s="500"/>
    </row>
    <row r="739" spans="1:4" ht="13.75" customHeight="1">
      <c r="A739" s="494"/>
      <c r="B739" s="495"/>
      <c r="D739" s="500"/>
    </row>
    <row r="740" spans="1:4" ht="13.75" customHeight="1">
      <c r="A740" s="494"/>
      <c r="B740" s="495"/>
      <c r="D740" s="500"/>
    </row>
    <row r="741" spans="1:4" ht="13.75" customHeight="1">
      <c r="A741" s="494"/>
      <c r="B741" s="495"/>
      <c r="D741" s="500"/>
    </row>
    <row r="742" spans="1:4" ht="13.75" customHeight="1">
      <c r="A742" s="494"/>
      <c r="B742" s="495"/>
      <c r="D742" s="500"/>
    </row>
    <row r="743" spans="1:4" ht="13.75" customHeight="1">
      <c r="A743" s="494"/>
      <c r="B743" s="495"/>
      <c r="D743" s="500"/>
    </row>
    <row r="744" spans="1:4" ht="13.75" customHeight="1">
      <c r="A744" s="494"/>
      <c r="B744" s="495"/>
      <c r="D744" s="500"/>
    </row>
    <row r="745" spans="1:4" ht="13.75" customHeight="1">
      <c r="A745" s="494"/>
      <c r="B745" s="495"/>
      <c r="D745" s="500"/>
    </row>
    <row r="746" spans="1:4" ht="13.75" customHeight="1">
      <c r="A746" s="494"/>
      <c r="B746" s="495"/>
      <c r="D746" s="500"/>
    </row>
    <row r="747" spans="1:4" ht="13.75" customHeight="1">
      <c r="A747" s="494"/>
      <c r="B747" s="495"/>
      <c r="D747" s="500"/>
    </row>
    <row r="748" spans="1:4" ht="13.75" customHeight="1">
      <c r="A748" s="494"/>
      <c r="B748" s="495"/>
      <c r="D748" s="500"/>
    </row>
    <row r="749" spans="1:4" ht="13.75" customHeight="1">
      <c r="A749" s="494"/>
      <c r="B749" s="495"/>
      <c r="D749" s="500"/>
    </row>
    <row r="750" spans="1:4" ht="13.75" customHeight="1">
      <c r="A750" s="494"/>
      <c r="B750" s="495"/>
      <c r="D750" s="500"/>
    </row>
    <row r="751" spans="1:4" ht="13.75" customHeight="1">
      <c r="A751" s="494"/>
      <c r="B751" s="495"/>
      <c r="D751" s="500"/>
    </row>
    <row r="752" spans="1:4" ht="13.75" customHeight="1">
      <c r="A752" s="494"/>
      <c r="B752" s="495"/>
      <c r="D752" s="500"/>
    </row>
    <row r="753" spans="1:4" ht="13.75" customHeight="1">
      <c r="A753" s="494"/>
      <c r="B753" s="495"/>
      <c r="D753" s="500"/>
    </row>
    <row r="754" spans="1:4" ht="13.75" customHeight="1">
      <c r="A754" s="494"/>
      <c r="B754" s="495"/>
      <c r="D754" s="500"/>
    </row>
    <row r="755" spans="1:4" ht="13.75" customHeight="1">
      <c r="A755" s="494"/>
      <c r="B755" s="495"/>
      <c r="D755" s="500"/>
    </row>
    <row r="756" spans="1:4" ht="13.75" customHeight="1">
      <c r="A756" s="494"/>
      <c r="B756" s="495"/>
      <c r="D756" s="500"/>
    </row>
    <row r="757" spans="1:4" ht="13.75" customHeight="1">
      <c r="A757" s="494"/>
      <c r="B757" s="495"/>
      <c r="D757" s="500"/>
    </row>
    <row r="758" spans="1:4" ht="13.75" customHeight="1">
      <c r="A758" s="494"/>
      <c r="B758" s="495"/>
      <c r="D758" s="500"/>
    </row>
    <row r="759" spans="1:4" ht="13.75" customHeight="1">
      <c r="A759" s="494"/>
      <c r="B759" s="495"/>
      <c r="D759" s="500"/>
    </row>
    <row r="760" spans="1:4" ht="13.75" customHeight="1">
      <c r="A760" s="494"/>
      <c r="B760" s="495"/>
      <c r="D760" s="500"/>
    </row>
    <row r="761" spans="1:4" ht="13.75" customHeight="1">
      <c r="A761" s="494"/>
      <c r="B761" s="495"/>
      <c r="D761" s="500"/>
    </row>
    <row r="762" spans="1:4" ht="13.75" customHeight="1">
      <c r="A762" s="494"/>
      <c r="B762" s="495"/>
      <c r="D762" s="500"/>
    </row>
    <row r="763" spans="1:4" ht="13.75" customHeight="1">
      <c r="A763" s="494"/>
      <c r="B763" s="495"/>
      <c r="D763" s="500"/>
    </row>
    <row r="764" spans="1:4" ht="13.75" customHeight="1">
      <c r="A764" s="494"/>
      <c r="B764" s="495"/>
      <c r="D764" s="500"/>
    </row>
    <row r="765" spans="1:4" ht="13.75" customHeight="1">
      <c r="A765" s="494"/>
      <c r="B765" s="495"/>
      <c r="D765" s="500"/>
    </row>
    <row r="766" spans="1:4" ht="13.75" customHeight="1">
      <c r="A766" s="494"/>
      <c r="B766" s="495"/>
      <c r="D766" s="500"/>
    </row>
    <row r="767" spans="1:4" ht="13.75" customHeight="1">
      <c r="A767" s="494"/>
      <c r="B767" s="495"/>
      <c r="D767" s="500"/>
    </row>
    <row r="768" spans="1:4" ht="13.75" customHeight="1">
      <c r="A768" s="494"/>
      <c r="B768" s="495"/>
      <c r="D768" s="500"/>
    </row>
    <row r="769" spans="1:4" ht="13.75" customHeight="1">
      <c r="A769" s="494"/>
      <c r="B769" s="495"/>
      <c r="D769" s="500"/>
    </row>
    <row r="770" spans="1:4" ht="13.75" customHeight="1">
      <c r="A770" s="494"/>
      <c r="B770" s="495"/>
      <c r="D770" s="500"/>
    </row>
    <row r="771" spans="1:4" ht="13.75" customHeight="1">
      <c r="A771" s="494"/>
      <c r="B771" s="495"/>
      <c r="D771" s="500"/>
    </row>
    <row r="772" spans="1:4" ht="13.75" customHeight="1">
      <c r="A772" s="494"/>
      <c r="B772" s="495"/>
      <c r="D772" s="500"/>
    </row>
    <row r="773" spans="1:4" ht="13.75" customHeight="1">
      <c r="A773" s="494"/>
      <c r="B773" s="495"/>
      <c r="D773" s="500"/>
    </row>
    <row r="774" spans="1:4" ht="13.75" customHeight="1">
      <c r="A774" s="494"/>
      <c r="B774" s="495"/>
      <c r="D774" s="500"/>
    </row>
    <row r="775" spans="1:4" ht="13.75" customHeight="1">
      <c r="A775" s="494"/>
      <c r="B775" s="495"/>
      <c r="D775" s="500"/>
    </row>
    <row r="776" spans="1:4" ht="13.75" customHeight="1">
      <c r="A776" s="494"/>
      <c r="B776" s="495"/>
      <c r="D776" s="500"/>
    </row>
    <row r="777" spans="1:4" ht="13.75" customHeight="1">
      <c r="A777" s="494"/>
      <c r="B777" s="495"/>
      <c r="D777" s="500"/>
    </row>
    <row r="778" spans="1:4" ht="13.75" customHeight="1">
      <c r="A778" s="494"/>
      <c r="B778" s="495"/>
      <c r="D778" s="500"/>
    </row>
    <row r="779" spans="1:4" ht="13.75" customHeight="1">
      <c r="A779" s="494"/>
      <c r="B779" s="495"/>
      <c r="D779" s="500"/>
    </row>
    <row r="780" spans="1:4" ht="13.75" customHeight="1">
      <c r="A780" s="494"/>
      <c r="B780" s="495"/>
      <c r="D780" s="500"/>
    </row>
    <row r="781" spans="1:4" ht="13.75" customHeight="1">
      <c r="A781" s="494"/>
      <c r="B781" s="495"/>
      <c r="D781" s="500"/>
    </row>
    <row r="782" spans="1:4" ht="13.75" customHeight="1">
      <c r="A782" s="494"/>
      <c r="B782" s="495"/>
      <c r="D782" s="500"/>
    </row>
    <row r="783" spans="1:4" ht="13.75" customHeight="1">
      <c r="A783" s="494"/>
      <c r="B783" s="495"/>
      <c r="D783" s="500"/>
    </row>
    <row r="784" spans="1:4" ht="13.75" customHeight="1">
      <c r="A784" s="494"/>
      <c r="B784" s="495"/>
      <c r="D784" s="500"/>
    </row>
    <row r="785" spans="1:4" ht="13.75" customHeight="1">
      <c r="A785" s="494"/>
      <c r="B785" s="495"/>
      <c r="D785" s="500"/>
    </row>
    <row r="786" spans="1:4" ht="13.75" customHeight="1">
      <c r="A786" s="494"/>
      <c r="B786" s="495"/>
      <c r="D786" s="500"/>
    </row>
    <row r="787" spans="1:4" ht="13.75" customHeight="1">
      <c r="A787" s="494"/>
      <c r="B787" s="495"/>
      <c r="D787" s="500"/>
    </row>
    <row r="788" spans="1:4" ht="13.75" customHeight="1">
      <c r="A788" s="494"/>
      <c r="B788" s="495"/>
      <c r="D788" s="500"/>
    </row>
    <row r="789" spans="1:4" ht="13.75" customHeight="1">
      <c r="A789" s="494"/>
      <c r="B789" s="495"/>
      <c r="D789" s="500"/>
    </row>
    <row r="790" spans="1:4" ht="13.75" customHeight="1">
      <c r="A790" s="494"/>
      <c r="B790" s="495"/>
      <c r="D790" s="500"/>
    </row>
    <row r="791" spans="1:4" ht="13.75" customHeight="1">
      <c r="A791" s="494"/>
      <c r="B791" s="495"/>
      <c r="D791" s="500"/>
    </row>
    <row r="792" spans="1:4" ht="13.75" customHeight="1">
      <c r="A792" s="494"/>
      <c r="B792" s="495"/>
      <c r="D792" s="500"/>
    </row>
    <row r="793" spans="1:4" ht="13.75" customHeight="1">
      <c r="A793" s="494"/>
      <c r="B793" s="495"/>
      <c r="D793" s="500"/>
    </row>
    <row r="794" spans="1:4" ht="13.75" customHeight="1">
      <c r="A794" s="494"/>
      <c r="B794" s="495"/>
      <c r="D794" s="500"/>
    </row>
    <row r="795" spans="1:4" ht="13.75" customHeight="1">
      <c r="A795" s="494"/>
      <c r="B795" s="495"/>
      <c r="D795" s="500"/>
    </row>
    <row r="796" spans="1:4" ht="13.75" customHeight="1">
      <c r="A796" s="494"/>
      <c r="B796" s="495"/>
      <c r="D796" s="500"/>
    </row>
    <row r="797" spans="1:4" ht="13.75" customHeight="1">
      <c r="A797" s="494"/>
      <c r="B797" s="495"/>
      <c r="D797" s="500"/>
    </row>
    <row r="798" spans="1:4" ht="13.75" customHeight="1">
      <c r="A798" s="494"/>
      <c r="B798" s="495"/>
      <c r="D798" s="500"/>
    </row>
    <row r="799" spans="1:4" ht="13.75" customHeight="1">
      <c r="A799" s="494"/>
      <c r="B799" s="495"/>
      <c r="D799" s="500"/>
    </row>
    <row r="800" spans="1:4" ht="13.75" customHeight="1">
      <c r="A800" s="494"/>
      <c r="B800" s="495"/>
      <c r="D800" s="500"/>
    </row>
    <row r="801" spans="1:4" ht="13.75" customHeight="1">
      <c r="A801" s="494"/>
      <c r="B801" s="495"/>
      <c r="D801" s="500"/>
    </row>
    <row r="802" spans="1:4" ht="13.75" customHeight="1">
      <c r="A802" s="494"/>
      <c r="B802" s="495"/>
      <c r="D802" s="500"/>
    </row>
    <row r="803" spans="1:4" ht="13.75" customHeight="1">
      <c r="A803" s="494"/>
      <c r="B803" s="495"/>
      <c r="D803" s="500"/>
    </row>
    <row r="804" spans="1:4" ht="13.75" customHeight="1">
      <c r="A804" s="494"/>
      <c r="B804" s="495"/>
      <c r="D804" s="500"/>
    </row>
    <row r="805" spans="1:4" ht="13.75" customHeight="1">
      <c r="A805" s="494"/>
      <c r="B805" s="495"/>
      <c r="D805" s="500"/>
    </row>
    <row r="806" spans="1:4" ht="13.75" customHeight="1">
      <c r="A806" s="494"/>
      <c r="B806" s="495"/>
      <c r="D806" s="500"/>
    </row>
    <row r="807" spans="1:4" ht="13.75" customHeight="1">
      <c r="A807" s="494"/>
      <c r="B807" s="495"/>
      <c r="D807" s="500"/>
    </row>
    <row r="808" spans="1:4" ht="13.75" customHeight="1">
      <c r="A808" s="494"/>
      <c r="B808" s="495"/>
      <c r="D808" s="500"/>
    </row>
    <row r="809" spans="1:4" ht="13.75" customHeight="1">
      <c r="A809" s="494"/>
      <c r="B809" s="495"/>
      <c r="D809" s="500"/>
    </row>
    <row r="810" spans="1:4" ht="13.75" customHeight="1">
      <c r="A810" s="494"/>
      <c r="B810" s="495"/>
      <c r="D810" s="500"/>
    </row>
    <row r="811" spans="1:4" ht="13.75" customHeight="1">
      <c r="A811" s="494"/>
      <c r="B811" s="495"/>
      <c r="D811" s="500"/>
    </row>
    <row r="812" spans="1:4" ht="13.75" customHeight="1">
      <c r="A812" s="494"/>
      <c r="B812" s="495"/>
      <c r="D812" s="500"/>
    </row>
    <row r="813" spans="1:4" ht="13.75" customHeight="1">
      <c r="A813" s="494"/>
      <c r="B813" s="495"/>
      <c r="D813" s="500"/>
    </row>
    <row r="814" spans="1:4" ht="13.75" customHeight="1">
      <c r="A814" s="494"/>
      <c r="B814" s="495"/>
      <c r="D814" s="500"/>
    </row>
    <row r="815" spans="1:4" ht="13.75" customHeight="1">
      <c r="A815" s="494"/>
      <c r="B815" s="495"/>
      <c r="D815" s="500"/>
    </row>
    <row r="816" spans="1:4" ht="13.75" customHeight="1">
      <c r="A816" s="494"/>
      <c r="B816" s="495"/>
      <c r="D816" s="500"/>
    </row>
    <row r="817" spans="1:4" ht="13.75" customHeight="1">
      <c r="A817" s="494"/>
      <c r="B817" s="495"/>
      <c r="D817" s="500"/>
    </row>
    <row r="818" spans="1:4" ht="13.75" customHeight="1">
      <c r="A818" s="494"/>
      <c r="B818" s="495"/>
      <c r="D818" s="500"/>
    </row>
    <row r="819" spans="1:4" ht="13.75" customHeight="1">
      <c r="A819" s="494"/>
      <c r="B819" s="495"/>
      <c r="D819" s="500"/>
    </row>
    <row r="820" spans="1:4" ht="13.75" customHeight="1">
      <c r="A820" s="494"/>
      <c r="B820" s="495"/>
      <c r="D820" s="500"/>
    </row>
    <row r="821" spans="1:4" ht="13.75" customHeight="1">
      <c r="A821" s="494"/>
      <c r="B821" s="495"/>
      <c r="D821" s="500"/>
    </row>
    <row r="822" spans="1:4" ht="13.75" customHeight="1">
      <c r="A822" s="494"/>
      <c r="B822" s="495"/>
      <c r="D822" s="500"/>
    </row>
    <row r="823" spans="1:4" ht="13.75" customHeight="1">
      <c r="A823" s="494"/>
      <c r="B823" s="495"/>
      <c r="D823" s="500"/>
    </row>
    <row r="824" spans="1:4" ht="13.75" customHeight="1">
      <c r="A824" s="494"/>
      <c r="B824" s="495"/>
      <c r="D824" s="500"/>
    </row>
    <row r="825" spans="1:4" ht="13.75" customHeight="1">
      <c r="A825" s="494"/>
      <c r="B825" s="495"/>
      <c r="D825" s="500"/>
    </row>
    <row r="826" spans="1:4" ht="13.75" customHeight="1">
      <c r="A826" s="494"/>
      <c r="B826" s="495"/>
      <c r="D826" s="500"/>
    </row>
    <row r="827" spans="1:4" ht="13.75" customHeight="1">
      <c r="A827" s="494"/>
      <c r="B827" s="495"/>
      <c r="D827" s="500"/>
    </row>
    <row r="828" spans="1:4" ht="13.75" customHeight="1">
      <c r="A828" s="494"/>
      <c r="B828" s="495"/>
      <c r="D828" s="500"/>
    </row>
    <row r="829" spans="1:4" ht="13.75" customHeight="1">
      <c r="A829" s="494"/>
      <c r="B829" s="495"/>
      <c r="D829" s="500"/>
    </row>
    <row r="830" spans="1:4" ht="13.75" customHeight="1">
      <c r="A830" s="494"/>
      <c r="B830" s="495"/>
      <c r="D830" s="500"/>
    </row>
    <row r="831" spans="1:4" ht="13.75" customHeight="1">
      <c r="A831" s="494"/>
      <c r="B831" s="495"/>
      <c r="D831" s="500"/>
    </row>
    <row r="832" spans="1:4" ht="13.75" customHeight="1">
      <c r="A832" s="494"/>
      <c r="B832" s="495"/>
      <c r="D832" s="500"/>
    </row>
    <row r="833" spans="1:4" ht="13.75" customHeight="1">
      <c r="A833" s="494"/>
      <c r="B833" s="495"/>
      <c r="D833" s="500"/>
    </row>
    <row r="834" spans="1:4" ht="13.75" customHeight="1">
      <c r="A834" s="494"/>
      <c r="B834" s="495"/>
      <c r="D834" s="500"/>
    </row>
    <row r="835" spans="1:4" ht="13.75" customHeight="1">
      <c r="A835" s="494"/>
      <c r="B835" s="495"/>
      <c r="D835" s="500"/>
    </row>
    <row r="836" spans="1:4" ht="13.75" customHeight="1">
      <c r="A836" s="494"/>
      <c r="B836" s="495"/>
      <c r="D836" s="500"/>
    </row>
    <row r="837" spans="1:4" ht="13.75" customHeight="1">
      <c r="A837" s="494"/>
      <c r="B837" s="495"/>
      <c r="D837" s="500"/>
    </row>
    <row r="838" spans="1:4" ht="13.75" customHeight="1">
      <c r="A838" s="494"/>
      <c r="B838" s="495"/>
      <c r="D838" s="500"/>
    </row>
    <row r="839" spans="1:4" ht="13.75" customHeight="1">
      <c r="A839" s="494"/>
      <c r="B839" s="495"/>
      <c r="D839" s="500"/>
    </row>
    <row r="840" spans="1:4" ht="13.75" customHeight="1">
      <c r="A840" s="494"/>
      <c r="B840" s="495"/>
      <c r="D840" s="500"/>
    </row>
    <row r="841" spans="1:4" ht="13.75" customHeight="1">
      <c r="A841" s="494"/>
      <c r="B841" s="495"/>
      <c r="D841" s="500"/>
    </row>
    <row r="842" spans="1:4" ht="13.75" customHeight="1">
      <c r="A842" s="494"/>
      <c r="B842" s="495"/>
      <c r="D842" s="500"/>
    </row>
    <row r="843" spans="1:4" ht="13.75" customHeight="1">
      <c r="A843" s="494"/>
      <c r="B843" s="495"/>
      <c r="D843" s="500"/>
    </row>
    <row r="844" spans="1:4" ht="13.75" customHeight="1">
      <c r="A844" s="494"/>
      <c r="B844" s="495"/>
      <c r="D844" s="500"/>
    </row>
    <row r="845" spans="1:4" ht="13.75" customHeight="1">
      <c r="A845" s="494"/>
      <c r="B845" s="495"/>
      <c r="D845" s="500"/>
    </row>
    <row r="846" spans="1:4" ht="13.75" customHeight="1">
      <c r="A846" s="494"/>
      <c r="B846" s="495"/>
      <c r="D846" s="500"/>
    </row>
    <row r="847" spans="1:4" ht="13.75" customHeight="1">
      <c r="A847" s="494"/>
      <c r="B847" s="495"/>
      <c r="D847" s="500"/>
    </row>
    <row r="848" spans="1:4" ht="13.75" customHeight="1">
      <c r="A848" s="494"/>
      <c r="B848" s="495"/>
      <c r="D848" s="500"/>
    </row>
    <row r="849" spans="1:4" ht="13.75" customHeight="1">
      <c r="A849" s="494"/>
      <c r="B849" s="495"/>
      <c r="D849" s="500"/>
    </row>
    <row r="850" spans="1:4" ht="13.75" customHeight="1">
      <c r="A850" s="494"/>
      <c r="B850" s="495"/>
      <c r="D850" s="500"/>
    </row>
    <row r="851" spans="1:4" ht="13.75" customHeight="1">
      <c r="A851" s="494"/>
      <c r="B851" s="495"/>
      <c r="D851" s="500"/>
    </row>
    <row r="852" spans="1:4" ht="13.75" customHeight="1">
      <c r="A852" s="494"/>
      <c r="B852" s="495"/>
      <c r="D852" s="500"/>
    </row>
    <row r="853" spans="1:4" ht="13.75" customHeight="1">
      <c r="A853" s="494"/>
      <c r="B853" s="495"/>
      <c r="D853" s="500"/>
    </row>
    <row r="854" spans="1:4" ht="13.75" customHeight="1">
      <c r="A854" s="494"/>
      <c r="B854" s="495"/>
      <c r="D854" s="500"/>
    </row>
    <row r="855" spans="1:4" ht="13.75" customHeight="1">
      <c r="A855" s="494"/>
      <c r="B855" s="495"/>
      <c r="D855" s="500"/>
    </row>
    <row r="856" spans="1:4" ht="13.75" customHeight="1">
      <c r="A856" s="494"/>
      <c r="B856" s="495"/>
      <c r="D856" s="500"/>
    </row>
    <row r="857" spans="1:4" ht="13.75" customHeight="1">
      <c r="A857" s="494"/>
      <c r="B857" s="495"/>
      <c r="D857" s="500"/>
    </row>
    <row r="858" spans="1:4" ht="13.75" customHeight="1">
      <c r="A858" s="494"/>
      <c r="B858" s="495"/>
      <c r="D858" s="500"/>
    </row>
    <row r="859" spans="1:4" ht="13.75" customHeight="1">
      <c r="A859" s="494"/>
      <c r="B859" s="495"/>
      <c r="D859" s="500"/>
    </row>
    <row r="860" spans="1:4" ht="13.75" customHeight="1">
      <c r="A860" s="494"/>
      <c r="B860" s="495"/>
      <c r="D860" s="500"/>
    </row>
    <row r="861" spans="1:4" ht="13.75" customHeight="1">
      <c r="A861" s="494"/>
      <c r="B861" s="495"/>
      <c r="D861" s="500"/>
    </row>
    <row r="862" spans="1:4" ht="13.75" customHeight="1">
      <c r="A862" s="494"/>
      <c r="B862" s="495"/>
      <c r="D862" s="500"/>
    </row>
    <row r="863" spans="1:4" ht="13.75" customHeight="1">
      <c r="A863" s="494"/>
      <c r="B863" s="495"/>
      <c r="D863" s="500"/>
    </row>
    <row r="864" spans="1:4" ht="13.75" customHeight="1">
      <c r="A864" s="494"/>
      <c r="B864" s="495"/>
      <c r="D864" s="500"/>
    </row>
    <row r="865" spans="1:4" ht="13.75" customHeight="1">
      <c r="A865" s="494"/>
      <c r="B865" s="495"/>
      <c r="D865" s="500"/>
    </row>
    <row r="866" spans="1:4" ht="13.75" customHeight="1">
      <c r="A866" s="494"/>
      <c r="B866" s="495"/>
      <c r="D866" s="500"/>
    </row>
    <row r="867" spans="1:4" ht="13.75" customHeight="1">
      <c r="A867" s="494"/>
      <c r="B867" s="495"/>
      <c r="D867" s="500"/>
    </row>
    <row r="868" spans="1:4" ht="13.75" customHeight="1">
      <c r="A868" s="494"/>
      <c r="B868" s="495"/>
      <c r="D868" s="500"/>
    </row>
    <row r="869" spans="1:4" ht="13.75" customHeight="1">
      <c r="A869" s="494"/>
      <c r="B869" s="495"/>
      <c r="D869" s="500"/>
    </row>
    <row r="870" spans="1:4" ht="13.75" customHeight="1">
      <c r="A870" s="494"/>
      <c r="B870" s="495"/>
      <c r="D870" s="500"/>
    </row>
    <row r="871" spans="1:4" ht="13.75" customHeight="1">
      <c r="A871" s="494"/>
      <c r="B871" s="495"/>
      <c r="D871" s="500"/>
    </row>
    <row r="872" spans="1:4" ht="13.75" customHeight="1">
      <c r="A872" s="494"/>
      <c r="B872" s="495"/>
      <c r="D872" s="500"/>
    </row>
    <row r="873" spans="1:4" ht="13.75" customHeight="1">
      <c r="A873" s="494"/>
      <c r="B873" s="495"/>
      <c r="D873" s="500"/>
    </row>
    <row r="874" spans="1:4" ht="13.75" customHeight="1">
      <c r="A874" s="494"/>
      <c r="B874" s="495"/>
      <c r="D874" s="500"/>
    </row>
    <row r="875" spans="1:4" ht="13.75" customHeight="1">
      <c r="A875" s="494"/>
      <c r="B875" s="495"/>
      <c r="D875" s="500"/>
    </row>
    <row r="876" spans="1:4" ht="13.75" customHeight="1">
      <c r="A876" s="494"/>
      <c r="B876" s="495"/>
      <c r="D876" s="500"/>
    </row>
    <row r="877" spans="1:4" ht="13.75" customHeight="1">
      <c r="A877" s="494"/>
      <c r="B877" s="495"/>
      <c r="D877" s="500"/>
    </row>
    <row r="878" spans="1:4" ht="13.75" customHeight="1">
      <c r="A878" s="494"/>
      <c r="B878" s="495"/>
      <c r="D878" s="500"/>
    </row>
    <row r="879" spans="1:4" ht="13.75" customHeight="1">
      <c r="A879" s="494"/>
      <c r="B879" s="495"/>
      <c r="D879" s="500"/>
    </row>
    <row r="880" spans="1:4" ht="13.75" customHeight="1">
      <c r="A880" s="494"/>
      <c r="B880" s="495"/>
      <c r="D880" s="500"/>
    </row>
    <row r="881" spans="1:4" ht="13.75" customHeight="1">
      <c r="A881" s="494"/>
      <c r="B881" s="495"/>
      <c r="D881" s="500"/>
    </row>
    <row r="882" spans="1:4" ht="13.75" customHeight="1">
      <c r="A882" s="494"/>
      <c r="B882" s="495"/>
      <c r="D882" s="500"/>
    </row>
    <row r="883" spans="1:4" ht="13.75" customHeight="1">
      <c r="A883" s="494"/>
      <c r="B883" s="495"/>
      <c r="D883" s="500"/>
    </row>
    <row r="884" spans="1:4" ht="13.75" customHeight="1">
      <c r="A884" s="494"/>
      <c r="B884" s="495"/>
      <c r="D884" s="500"/>
    </row>
    <row r="885" spans="1:4" ht="13.75" customHeight="1">
      <c r="A885" s="494"/>
      <c r="B885" s="495"/>
      <c r="D885" s="500"/>
    </row>
    <row r="886" spans="1:4" ht="13.75" customHeight="1">
      <c r="A886" s="494"/>
      <c r="B886" s="495"/>
      <c r="D886" s="500"/>
    </row>
    <row r="887" spans="1:4" ht="13.75" customHeight="1">
      <c r="A887" s="494"/>
      <c r="B887" s="495"/>
      <c r="D887" s="500"/>
    </row>
    <row r="888" spans="1:4" ht="13.75" customHeight="1">
      <c r="A888" s="494"/>
      <c r="B888" s="495"/>
      <c r="D888" s="500"/>
    </row>
    <row r="889" spans="1:4" ht="13.75" customHeight="1">
      <c r="A889" s="494"/>
      <c r="B889" s="495"/>
      <c r="D889" s="500"/>
    </row>
    <row r="890" spans="1:4" ht="13.75" customHeight="1">
      <c r="A890" s="494"/>
      <c r="B890" s="495"/>
      <c r="D890" s="500"/>
    </row>
    <row r="891" spans="1:4" ht="13.75" customHeight="1">
      <c r="A891" s="494"/>
      <c r="B891" s="495"/>
      <c r="D891" s="500"/>
    </row>
    <row r="892" spans="1:4" ht="13.75" customHeight="1">
      <c r="A892" s="494"/>
      <c r="B892" s="495"/>
      <c r="D892" s="500"/>
    </row>
    <row r="893" spans="1:4" ht="13.75" customHeight="1">
      <c r="A893" s="494"/>
      <c r="B893" s="495"/>
      <c r="D893" s="500"/>
    </row>
    <row r="894" spans="1:4" ht="13.75" customHeight="1">
      <c r="A894" s="494"/>
      <c r="B894" s="495"/>
      <c r="D894" s="500"/>
    </row>
    <row r="895" spans="1:4" ht="13.75" customHeight="1">
      <c r="A895" s="494"/>
      <c r="B895" s="495"/>
      <c r="D895" s="500"/>
    </row>
    <row r="896" spans="1:4" ht="13.75" customHeight="1">
      <c r="A896" s="494"/>
      <c r="B896" s="495"/>
      <c r="D896" s="500"/>
    </row>
    <row r="897" spans="1:4" ht="13.75" customHeight="1">
      <c r="A897" s="494"/>
      <c r="B897" s="495"/>
      <c r="D897" s="500"/>
    </row>
    <row r="898" spans="1:4" ht="13.75" customHeight="1">
      <c r="A898" s="494"/>
      <c r="B898" s="495"/>
      <c r="D898" s="500"/>
    </row>
    <row r="899" spans="1:4" ht="13.75" customHeight="1">
      <c r="A899" s="494"/>
      <c r="B899" s="495"/>
      <c r="D899" s="500"/>
    </row>
    <row r="900" spans="1:4" ht="13.75" customHeight="1">
      <c r="A900" s="494"/>
      <c r="B900" s="495"/>
      <c r="D900" s="500"/>
    </row>
    <row r="901" spans="1:4" ht="13.75" customHeight="1">
      <c r="A901" s="494"/>
      <c r="B901" s="495"/>
      <c r="D901" s="500"/>
    </row>
    <row r="902" spans="1:4" ht="13.75" customHeight="1">
      <c r="A902" s="494"/>
      <c r="B902" s="495"/>
      <c r="D902" s="500"/>
    </row>
    <row r="903" spans="1:4" ht="13.75" customHeight="1">
      <c r="A903" s="494"/>
      <c r="B903" s="495"/>
      <c r="D903" s="500"/>
    </row>
    <row r="904" spans="1:4" ht="13.75" customHeight="1">
      <c r="A904" s="494"/>
      <c r="B904" s="495"/>
      <c r="D904" s="500"/>
    </row>
    <row r="905" spans="1:4" ht="13.75" customHeight="1">
      <c r="A905" s="494"/>
      <c r="B905" s="495"/>
      <c r="D905" s="500"/>
    </row>
    <row r="906" spans="1:4" ht="13.75" customHeight="1">
      <c r="A906" s="494"/>
      <c r="B906" s="495"/>
      <c r="D906" s="500"/>
    </row>
    <row r="907" spans="1:4" ht="13.75" customHeight="1">
      <c r="A907" s="494"/>
      <c r="B907" s="495"/>
      <c r="D907" s="500"/>
    </row>
    <row r="908" spans="1:4" ht="13.75" customHeight="1">
      <c r="A908" s="494"/>
      <c r="B908" s="495"/>
      <c r="D908" s="500"/>
    </row>
    <row r="909" spans="1:4" ht="13.75" customHeight="1">
      <c r="A909" s="494"/>
      <c r="B909" s="495"/>
      <c r="D909" s="500"/>
    </row>
    <row r="910" spans="1:4" ht="13.75" customHeight="1">
      <c r="A910" s="494"/>
      <c r="B910" s="495"/>
      <c r="D910" s="500"/>
    </row>
    <row r="911" spans="1:4" ht="13.75" customHeight="1">
      <c r="A911" s="494"/>
      <c r="B911" s="495"/>
      <c r="D911" s="500"/>
    </row>
    <row r="912" spans="1:4" ht="13.75" customHeight="1">
      <c r="A912" s="494"/>
      <c r="B912" s="495"/>
      <c r="D912" s="500"/>
    </row>
    <row r="913" spans="1:4" ht="13.75" customHeight="1">
      <c r="A913" s="494"/>
      <c r="B913" s="495"/>
      <c r="D913" s="500"/>
    </row>
    <row r="914" spans="1:4" ht="13.75" customHeight="1">
      <c r="A914" s="494"/>
      <c r="B914" s="495"/>
      <c r="D914" s="500"/>
    </row>
    <row r="915" spans="1:4" ht="13.75" customHeight="1">
      <c r="A915" s="494"/>
      <c r="B915" s="495"/>
      <c r="D915" s="500"/>
    </row>
    <row r="916" spans="1:4" ht="13.75" customHeight="1">
      <c r="A916" s="494"/>
      <c r="B916" s="495"/>
      <c r="D916" s="500"/>
    </row>
    <row r="917" spans="1:4" ht="13.75" customHeight="1">
      <c r="A917" s="494"/>
      <c r="B917" s="495"/>
      <c r="D917" s="500"/>
    </row>
    <row r="918" spans="1:4" ht="13.75" customHeight="1">
      <c r="A918" s="494"/>
      <c r="B918" s="495"/>
      <c r="D918" s="500"/>
    </row>
    <row r="919" spans="1:4" ht="13.75" customHeight="1">
      <c r="A919" s="494"/>
      <c r="B919" s="495"/>
      <c r="D919" s="500"/>
    </row>
    <row r="920" spans="1:4" ht="13.75" customHeight="1">
      <c r="A920" s="494"/>
      <c r="B920" s="495"/>
      <c r="D920" s="500"/>
    </row>
    <row r="921" spans="1:4" ht="13.75" customHeight="1">
      <c r="A921" s="494"/>
      <c r="B921" s="495"/>
      <c r="D921" s="500"/>
    </row>
    <row r="922" spans="1:4" ht="13.75" customHeight="1">
      <c r="A922" s="494"/>
      <c r="B922" s="495"/>
      <c r="D922" s="500"/>
    </row>
    <row r="923" spans="1:4" ht="13.75" customHeight="1">
      <c r="A923" s="494"/>
      <c r="B923" s="495"/>
      <c r="D923" s="500"/>
    </row>
    <row r="924" spans="1:4" ht="13.75" customHeight="1">
      <c r="A924" s="494"/>
      <c r="B924" s="495"/>
      <c r="D924" s="500"/>
    </row>
    <row r="925" spans="1:4" ht="13.75" customHeight="1">
      <c r="A925" s="494"/>
      <c r="B925" s="495"/>
      <c r="D925" s="500"/>
    </row>
    <row r="926" spans="1:4" ht="13.75" customHeight="1">
      <c r="A926" s="494"/>
      <c r="B926" s="495"/>
      <c r="D926" s="500"/>
    </row>
    <row r="927" spans="1:4" ht="13.75" customHeight="1">
      <c r="A927" s="494"/>
      <c r="B927" s="495"/>
      <c r="D927" s="500"/>
    </row>
    <row r="928" spans="1:4" ht="13.75" customHeight="1">
      <c r="A928" s="494"/>
      <c r="B928" s="495"/>
      <c r="D928" s="500"/>
    </row>
    <row r="929" spans="1:4" ht="13.75" customHeight="1">
      <c r="A929" s="494"/>
      <c r="B929" s="495"/>
      <c r="D929" s="500"/>
    </row>
    <row r="930" spans="1:4" ht="13.75" customHeight="1">
      <c r="A930" s="494"/>
      <c r="B930" s="495"/>
      <c r="D930" s="500"/>
    </row>
    <row r="931" spans="1:4" ht="13.75" customHeight="1">
      <c r="A931" s="494"/>
      <c r="B931" s="495"/>
      <c r="D931" s="500"/>
    </row>
    <row r="932" spans="1:4" ht="13.75" customHeight="1">
      <c r="A932" s="494"/>
      <c r="B932" s="495"/>
      <c r="D932" s="500"/>
    </row>
    <row r="933" spans="1:4" ht="13.75" customHeight="1">
      <c r="A933" s="494"/>
      <c r="B933" s="495"/>
      <c r="D933" s="500"/>
    </row>
    <row r="934" spans="1:4" ht="13.75" customHeight="1">
      <c r="A934" s="494"/>
      <c r="B934" s="495"/>
      <c r="D934" s="500"/>
    </row>
    <row r="935" spans="1:4" ht="13.75" customHeight="1">
      <c r="A935" s="494"/>
      <c r="B935" s="495"/>
      <c r="D935" s="500"/>
    </row>
    <row r="936" spans="1:4" ht="13.75" customHeight="1">
      <c r="A936" s="494"/>
      <c r="B936" s="495"/>
      <c r="D936" s="500"/>
    </row>
    <row r="937" spans="1:4" ht="13.75" customHeight="1">
      <c r="A937" s="494"/>
      <c r="B937" s="495"/>
      <c r="D937" s="500"/>
    </row>
    <row r="938" spans="1:4" ht="13.75" customHeight="1">
      <c r="A938" s="494"/>
      <c r="B938" s="495"/>
      <c r="D938" s="500"/>
    </row>
    <row r="939" spans="1:4" ht="13.75" customHeight="1">
      <c r="A939" s="494"/>
      <c r="B939" s="495"/>
      <c r="D939" s="500"/>
    </row>
    <row r="940" spans="1:4" ht="13.75" customHeight="1">
      <c r="A940" s="494"/>
      <c r="B940" s="495"/>
      <c r="D940" s="500"/>
    </row>
    <row r="941" spans="1:4" ht="13.75" customHeight="1">
      <c r="A941" s="494"/>
      <c r="B941" s="495"/>
      <c r="D941" s="500"/>
    </row>
    <row r="942" spans="1:4" ht="13.75" customHeight="1">
      <c r="A942" s="494"/>
      <c r="B942" s="495"/>
      <c r="D942" s="500"/>
    </row>
    <row r="943" spans="1:4" ht="13.75" customHeight="1">
      <c r="A943" s="494"/>
      <c r="B943" s="495"/>
      <c r="D943" s="500"/>
    </row>
    <row r="944" spans="1:4" ht="13.75" customHeight="1">
      <c r="A944" s="494"/>
      <c r="B944" s="495"/>
      <c r="D944" s="500"/>
    </row>
    <row r="945" spans="1:4" ht="13.75" customHeight="1">
      <c r="A945" s="494"/>
      <c r="B945" s="495"/>
      <c r="D945" s="500"/>
    </row>
    <row r="946" spans="1:4" ht="13.75" customHeight="1">
      <c r="A946" s="494"/>
      <c r="B946" s="495"/>
      <c r="D946" s="500"/>
    </row>
    <row r="947" spans="1:4" ht="13.75" customHeight="1">
      <c r="A947" s="494"/>
      <c r="B947" s="495"/>
      <c r="D947" s="500"/>
    </row>
    <row r="948" spans="1:4" ht="13.75" customHeight="1">
      <c r="A948" s="494"/>
      <c r="B948" s="495"/>
      <c r="D948" s="500"/>
    </row>
    <row r="949" spans="1:4" ht="13.75" customHeight="1">
      <c r="A949" s="494"/>
      <c r="B949" s="495"/>
      <c r="D949" s="500"/>
    </row>
    <row r="950" spans="1:4" ht="13.75" customHeight="1">
      <c r="A950" s="494"/>
      <c r="B950" s="495"/>
      <c r="D950" s="500"/>
    </row>
    <row r="951" spans="1:4" ht="13.75" customHeight="1">
      <c r="A951" s="494"/>
      <c r="B951" s="495"/>
      <c r="D951" s="500"/>
    </row>
    <row r="952" spans="1:4" ht="13.75" customHeight="1">
      <c r="A952" s="494"/>
      <c r="B952" s="495"/>
      <c r="D952" s="500"/>
    </row>
    <row r="953" spans="1:4" ht="13.75" customHeight="1">
      <c r="A953" s="494"/>
      <c r="B953" s="495"/>
      <c r="D953" s="500"/>
    </row>
    <row r="954" spans="1:4" ht="13.75" customHeight="1">
      <c r="A954" s="494"/>
      <c r="B954" s="495"/>
      <c r="D954" s="500"/>
    </row>
    <row r="955" spans="1:4" ht="13.75" customHeight="1">
      <c r="A955" s="494"/>
      <c r="B955" s="495"/>
      <c r="D955" s="500"/>
    </row>
    <row r="956" spans="1:4" ht="13.75" customHeight="1">
      <c r="A956" s="494"/>
      <c r="B956" s="495"/>
      <c r="D956" s="500"/>
    </row>
    <row r="957" spans="1:4" ht="13.75" customHeight="1">
      <c r="A957" s="494"/>
      <c r="B957" s="495"/>
      <c r="D957" s="500"/>
    </row>
    <row r="958" spans="1:4" ht="13.75" customHeight="1">
      <c r="A958" s="494"/>
      <c r="B958" s="495"/>
      <c r="D958" s="500"/>
    </row>
    <row r="959" spans="1:4" ht="13.75" customHeight="1">
      <c r="A959" s="494"/>
      <c r="B959" s="495"/>
      <c r="D959" s="500"/>
    </row>
    <row r="960" spans="1:4" ht="13.75" customHeight="1">
      <c r="A960" s="494"/>
      <c r="B960" s="495"/>
      <c r="D960" s="500"/>
    </row>
    <row r="961" spans="1:4" ht="13.75" customHeight="1">
      <c r="A961" s="494"/>
      <c r="B961" s="495"/>
      <c r="D961" s="500"/>
    </row>
    <row r="962" spans="1:4" ht="13.75" customHeight="1">
      <c r="A962" s="494"/>
      <c r="B962" s="495"/>
      <c r="D962" s="500"/>
    </row>
    <row r="963" spans="1:4" ht="13.75" customHeight="1">
      <c r="A963" s="494"/>
      <c r="B963" s="495"/>
      <c r="D963" s="500"/>
    </row>
    <row r="964" spans="1:4" ht="13.75" customHeight="1">
      <c r="A964" s="494"/>
      <c r="B964" s="495"/>
      <c r="D964" s="500"/>
    </row>
    <row r="965" spans="1:4" ht="13.75" customHeight="1">
      <c r="A965" s="494"/>
      <c r="B965" s="495"/>
      <c r="D965" s="500"/>
    </row>
    <row r="966" spans="1:4" ht="13.75" customHeight="1">
      <c r="A966" s="494"/>
      <c r="B966" s="495"/>
      <c r="D966" s="500"/>
    </row>
    <row r="967" spans="1:4" ht="13.75" customHeight="1">
      <c r="A967" s="494"/>
      <c r="B967" s="495"/>
      <c r="D967" s="500"/>
    </row>
    <row r="968" spans="1:4" ht="13.75" customHeight="1">
      <c r="A968" s="494"/>
      <c r="B968" s="495"/>
      <c r="D968" s="500"/>
    </row>
    <row r="969" spans="1:4" ht="13.75" customHeight="1">
      <c r="A969" s="494"/>
      <c r="B969" s="495"/>
      <c r="D969" s="500"/>
    </row>
    <row r="970" spans="1:4" ht="13.75" customHeight="1">
      <c r="A970" s="494"/>
      <c r="B970" s="495"/>
      <c r="D970" s="500"/>
    </row>
    <row r="971" spans="1:4" ht="13.75" customHeight="1">
      <c r="A971" s="494"/>
      <c r="B971" s="495"/>
      <c r="D971" s="500"/>
    </row>
    <row r="972" spans="1:4" ht="13.75" customHeight="1">
      <c r="A972" s="494"/>
      <c r="B972" s="495"/>
      <c r="D972" s="500"/>
    </row>
    <row r="973" spans="1:4" ht="13.75" customHeight="1">
      <c r="A973" s="494"/>
      <c r="B973" s="495"/>
      <c r="D973" s="500"/>
    </row>
    <row r="974" spans="1:4" ht="13.75" customHeight="1">
      <c r="A974" s="494"/>
      <c r="B974" s="495"/>
      <c r="D974" s="500"/>
    </row>
    <row r="975" spans="1:4" ht="13.75" customHeight="1">
      <c r="A975" s="494"/>
      <c r="B975" s="495"/>
      <c r="D975" s="500"/>
    </row>
    <row r="976" spans="1:4" ht="13.75" customHeight="1">
      <c r="A976" s="494"/>
      <c r="B976" s="495"/>
      <c r="D976" s="500"/>
    </row>
    <row r="977" spans="1:4" ht="13.75" customHeight="1">
      <c r="A977" s="494"/>
      <c r="B977" s="495"/>
      <c r="D977" s="500"/>
    </row>
    <row r="978" spans="1:4" ht="13.75" customHeight="1">
      <c r="A978" s="494"/>
      <c r="B978" s="495"/>
      <c r="D978" s="500"/>
    </row>
    <row r="979" spans="1:4" ht="13.75" customHeight="1">
      <c r="A979" s="494"/>
      <c r="B979" s="495"/>
      <c r="D979" s="500"/>
    </row>
    <row r="980" spans="1:4" ht="13.75" customHeight="1">
      <c r="A980" s="494"/>
      <c r="B980" s="495"/>
      <c r="D980" s="500"/>
    </row>
    <row r="981" spans="1:4" ht="13.75" customHeight="1">
      <c r="A981" s="494"/>
      <c r="B981" s="495"/>
      <c r="D981" s="500"/>
    </row>
    <row r="982" spans="1:4" ht="13.75" customHeight="1">
      <c r="A982" s="494"/>
      <c r="B982" s="495"/>
      <c r="D982" s="500"/>
    </row>
    <row r="983" spans="1:4" ht="13.75" customHeight="1">
      <c r="A983" s="494"/>
      <c r="B983" s="495"/>
      <c r="D983" s="500"/>
    </row>
    <row r="984" spans="1:4" ht="13.75" customHeight="1">
      <c r="A984" s="494"/>
      <c r="B984" s="495"/>
      <c r="D984" s="500"/>
    </row>
    <row r="985" spans="1:4" ht="13.75" customHeight="1">
      <c r="A985" s="494"/>
      <c r="B985" s="495"/>
      <c r="D985" s="500"/>
    </row>
    <row r="986" spans="1:4" ht="13.75" customHeight="1">
      <c r="A986" s="494"/>
      <c r="B986" s="495"/>
      <c r="D986" s="500"/>
    </row>
    <row r="987" spans="1:4" ht="13.75" customHeight="1">
      <c r="A987" s="494"/>
      <c r="B987" s="495"/>
      <c r="D987" s="500"/>
    </row>
    <row r="988" spans="1:4" ht="13.75" customHeight="1">
      <c r="A988" s="494"/>
      <c r="B988" s="495"/>
      <c r="D988" s="500"/>
    </row>
    <row r="989" spans="1:4" ht="13.75" customHeight="1">
      <c r="A989" s="494"/>
      <c r="B989" s="495"/>
      <c r="D989" s="500"/>
    </row>
    <row r="990" spans="1:4" ht="13.75" customHeight="1">
      <c r="A990" s="494"/>
      <c r="B990" s="495"/>
      <c r="D990" s="500"/>
    </row>
    <row r="991" spans="1:4" ht="13.75" customHeight="1">
      <c r="A991" s="494"/>
      <c r="B991" s="495"/>
      <c r="D991" s="500"/>
    </row>
    <row r="992" spans="1:4" ht="13.75" customHeight="1">
      <c r="A992" s="494"/>
      <c r="B992" s="495"/>
      <c r="D992" s="500"/>
    </row>
    <row r="993" spans="1:4" ht="13.75" customHeight="1">
      <c r="A993" s="494"/>
      <c r="B993" s="495"/>
      <c r="D993" s="500"/>
    </row>
    <row r="994" spans="1:4" ht="13.75" customHeight="1">
      <c r="A994" s="494"/>
      <c r="B994" s="495"/>
      <c r="D994" s="500"/>
    </row>
    <row r="995" spans="1:4" ht="13.75" customHeight="1">
      <c r="A995" s="494"/>
      <c r="B995" s="495"/>
      <c r="D995" s="500"/>
    </row>
    <row r="996" spans="1:4" ht="13.75" customHeight="1">
      <c r="A996" s="494"/>
      <c r="B996" s="495"/>
      <c r="D996" s="500"/>
    </row>
    <row r="997" spans="1:4" ht="13.75" customHeight="1">
      <c r="A997" s="494"/>
      <c r="B997" s="495"/>
      <c r="D997" s="500"/>
    </row>
    <row r="998" spans="1:4" ht="13.75" customHeight="1">
      <c r="A998" s="494"/>
      <c r="B998" s="495"/>
      <c r="D998" s="500"/>
    </row>
    <row r="999" spans="1:4" ht="13.75" customHeight="1">
      <c r="A999" s="494"/>
      <c r="B999" s="495"/>
      <c r="D999" s="500"/>
    </row>
    <row r="1000" spans="1:4" ht="13.75" customHeight="1">
      <c r="A1000" s="494"/>
      <c r="B1000" s="495"/>
      <c r="D1000" s="500"/>
    </row>
    <row r="1001" spans="1:4" ht="13.75" customHeight="1">
      <c r="A1001" s="494"/>
      <c r="B1001" s="495"/>
      <c r="D1001" s="500"/>
    </row>
    <row r="1002" spans="1:4" ht="13.75" customHeight="1">
      <c r="A1002" s="494"/>
      <c r="B1002" s="495"/>
      <c r="D1002" s="500"/>
    </row>
    <row r="1003" spans="1:4" ht="13.75" customHeight="1">
      <c r="A1003" s="494"/>
      <c r="B1003" s="495"/>
      <c r="D1003" s="500"/>
    </row>
    <row r="1004" spans="1:4" ht="13.75" customHeight="1">
      <c r="A1004" s="494"/>
      <c r="B1004" s="495"/>
      <c r="D1004" s="500"/>
    </row>
    <row r="1005" spans="1:4" ht="13.75" customHeight="1">
      <c r="A1005" s="494"/>
      <c r="B1005" s="495"/>
      <c r="D1005" s="500"/>
    </row>
    <row r="1006" spans="1:4" ht="13.75" customHeight="1">
      <c r="A1006" s="494"/>
      <c r="B1006" s="495"/>
      <c r="D1006" s="500"/>
    </row>
    <row r="1007" spans="1:4" ht="13.75" customHeight="1">
      <c r="A1007" s="494"/>
      <c r="B1007" s="495"/>
      <c r="D1007" s="500"/>
    </row>
    <row r="1008" spans="1:4" ht="13.75" customHeight="1">
      <c r="A1008" s="494"/>
      <c r="B1008" s="495"/>
      <c r="D1008" s="500"/>
    </row>
    <row r="1009" spans="1:4" ht="13.75" customHeight="1">
      <c r="A1009" s="494"/>
      <c r="B1009" s="495"/>
      <c r="D1009" s="500"/>
    </row>
  </sheetData>
  <mergeCells count="9">
    <mergeCell ref="B138:H138"/>
    <mergeCell ref="B139:H139"/>
    <mergeCell ref="D127:E127"/>
    <mergeCell ref="D128:E128"/>
    <mergeCell ref="D129:E129"/>
    <mergeCell ref="B132:H132"/>
    <mergeCell ref="B133:B134"/>
    <mergeCell ref="C133:C134"/>
    <mergeCell ref="D133:H133"/>
  </mergeCells>
  <pageMargins left="0.7" right="0.7" top="0.75" bottom="0.75" header="0" footer="0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5"/>
    <pageSetUpPr fitToPage="1"/>
  </sheetPr>
  <dimension ref="A1:EB3818"/>
  <sheetViews>
    <sheetView view="pageBreakPreview" zoomScale="70" zoomScaleNormal="85" zoomScaleSheetLayoutView="70" workbookViewId="0">
      <pane xSplit="10" ySplit="9" topLeftCell="K272" activePane="bottomRight" state="frozen"/>
      <selection pane="topRight" activeCell="K1" sqref="K1"/>
      <selection pane="bottomLeft" activeCell="A10" sqref="A10"/>
      <selection pane="bottomRight" activeCell="C278" sqref="C278"/>
    </sheetView>
  </sheetViews>
  <sheetFormatPr defaultColWidth="0" defaultRowHeight="14.5" zeroHeight="1"/>
  <cols>
    <col min="1" max="1" width="1.7265625" style="3" customWidth="1"/>
    <col min="2" max="2" width="2.453125" customWidth="1"/>
    <col min="3" max="3" width="72" customWidth="1"/>
    <col min="4" max="4" width="1.7265625" customWidth="1"/>
    <col min="5" max="5" width="17.81640625" customWidth="1"/>
    <col min="6" max="6" width="1.7265625" customWidth="1"/>
    <col min="7" max="7" width="17.81640625" style="206" customWidth="1"/>
    <col min="8" max="8" width="14.7265625" customWidth="1"/>
    <col min="9" max="9" width="12.7265625" customWidth="1"/>
    <col min="10" max="11" width="1.7265625" customWidth="1"/>
    <col min="12" max="93" width="12.54296875" customWidth="1"/>
    <col min="94" max="94" width="1.7265625" style="3" customWidth="1"/>
    <col min="95" max="130" width="0" hidden="1" customWidth="1"/>
    <col min="131" max="16384" width="8.7265625" hidden="1"/>
  </cols>
  <sheetData>
    <row r="1" spans="1:94">
      <c r="B1" s="3"/>
      <c r="C1" s="3"/>
      <c r="D1" s="3"/>
      <c r="E1" s="3"/>
      <c r="F1" s="3"/>
      <c r="G1" s="202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4" ht="22.5" customHeight="1"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4" ht="15" customHeight="1">
      <c r="B3" s="3"/>
      <c r="C3" s="3"/>
      <c r="D3" s="3"/>
      <c r="E3" s="85" t="s">
        <v>17</v>
      </c>
      <c r="F3" s="10"/>
      <c r="G3" s="142"/>
      <c r="H3" s="10"/>
      <c r="I3" s="10"/>
      <c r="J3" s="10"/>
      <c r="K3" s="10"/>
      <c r="L3" s="10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</row>
    <row r="4" spans="1:94" ht="15" customHeight="1">
      <c r="B4" s="99"/>
      <c r="C4" s="99" t="s">
        <v>475</v>
      </c>
      <c r="D4" s="197"/>
      <c r="E4" s="65" t="b">
        <f ca="1">IF((Overall_Check=TRUE),TRUE,FALSE)</f>
        <v>1</v>
      </c>
      <c r="F4" s="10"/>
      <c r="G4" s="142"/>
      <c r="H4" s="10"/>
      <c r="I4" s="10"/>
      <c r="J4" s="10"/>
      <c r="K4" s="10"/>
      <c r="L4" s="10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</row>
    <row r="5" spans="1:94" ht="15" customHeight="1">
      <c r="B5" s="3"/>
      <c r="C5" s="3"/>
      <c r="D5" s="3"/>
      <c r="E5" s="3"/>
      <c r="F5" s="10"/>
      <c r="G5" s="142"/>
      <c r="H5" s="10"/>
      <c r="I5" s="10"/>
      <c r="J5" s="10"/>
      <c r="K5" s="10"/>
      <c r="L5" s="10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</row>
    <row r="6" spans="1:94" ht="22.5" customHeight="1">
      <c r="A6" s="8"/>
      <c r="B6" s="5" t="s">
        <v>21</v>
      </c>
      <c r="C6" s="5"/>
      <c r="D6" s="5"/>
      <c r="E6" s="5" t="s">
        <v>22</v>
      </c>
      <c r="F6" s="5"/>
      <c r="G6" s="6" t="s">
        <v>23</v>
      </c>
      <c r="H6" s="5" t="s">
        <v>24</v>
      </c>
      <c r="I6" s="5"/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  <c r="CP6" s="8"/>
    </row>
    <row r="7" spans="1:94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" si="1">IF(K7="",Date_Model_Start,K8+1)</f>
        <v>45658</v>
      </c>
      <c r="M7" s="113">
        <f t="shared" ref="M7" si="2">IF(L7="",Date_Model_Start,L8+1)</f>
        <v>45748</v>
      </c>
      <c r="N7" s="113">
        <f>IF(M7="",Date_Model_Start,M8+1)</f>
        <v>45839</v>
      </c>
      <c r="O7" s="113">
        <f t="shared" ref="O7" si="3">IF(N7="",Date_Model_Start,N8+1)</f>
        <v>45931</v>
      </c>
      <c r="P7" s="113">
        <f t="shared" ref="P7" si="4">IF(O7="",Date_Model_Start,O8+1)</f>
        <v>46023</v>
      </c>
      <c r="Q7" s="113">
        <f t="shared" ref="Q7" si="5">IF(P7="",Date_Model_Start,P8+1)</f>
        <v>46113</v>
      </c>
      <c r="R7" s="113">
        <f t="shared" ref="R7" si="6">IF(Q7="",Date_Model_Start,Q8+1)</f>
        <v>46204</v>
      </c>
      <c r="S7" s="113">
        <f t="shared" ref="S7" si="7">IF(R7="",Date_Model_Start,R8+1)</f>
        <v>46296</v>
      </c>
      <c r="T7" s="113">
        <f t="shared" ref="T7" si="8">IF(S7="",Date_Model_Start,S8+1)</f>
        <v>46388</v>
      </c>
      <c r="U7" s="113">
        <f t="shared" ref="U7" si="9">IF(T7="",Date_Model_Start,T8+1)</f>
        <v>46478</v>
      </c>
      <c r="V7" s="113">
        <f t="shared" ref="V7" si="10">IF(U7="",Date_Model_Start,U8+1)</f>
        <v>46569</v>
      </c>
      <c r="W7" s="113">
        <f t="shared" ref="W7" si="11">IF(V7="",Date_Model_Start,V8+1)</f>
        <v>46661</v>
      </c>
      <c r="X7" s="113">
        <f t="shared" ref="X7" si="12">IF(W7="",Date_Model_Start,W8+1)</f>
        <v>46753</v>
      </c>
      <c r="Y7" s="113">
        <f t="shared" ref="Y7" si="13">IF(X7="",Date_Model_Start,X8+1)</f>
        <v>46844</v>
      </c>
      <c r="Z7" s="113">
        <f t="shared" ref="Z7" si="14">IF(Y7="",Date_Model_Start,Y8+1)</f>
        <v>46935</v>
      </c>
      <c r="AA7" s="113">
        <f>IF(Z7="",Date_Model_Start,Z8+1)</f>
        <v>47027</v>
      </c>
      <c r="AB7" s="113">
        <f t="shared" ref="AB7" si="15">IF(AA7="",Date_Model_Start,AA8+1)</f>
        <v>47119</v>
      </c>
      <c r="AC7" s="113">
        <f t="shared" ref="AC7" si="16">IF(AB7="",Date_Model_Start,AB8+1)</f>
        <v>47209</v>
      </c>
      <c r="AD7" s="113">
        <f t="shared" ref="AD7" si="17">IF(AC7="",Date_Model_Start,AC8+1)</f>
        <v>47300</v>
      </c>
      <c r="AE7" s="113">
        <f t="shared" ref="AE7" si="18">IF(AD7="",Date_Model_Start,AD8+1)</f>
        <v>47392</v>
      </c>
      <c r="AF7" s="113">
        <f t="shared" ref="AF7" si="19">IF(AE7="",Date_Model_Start,AE8+1)</f>
        <v>47484</v>
      </c>
      <c r="AG7" s="113">
        <f t="shared" ref="AG7" si="20">IF(AF7="",Date_Model_Start,AF8+1)</f>
        <v>47574</v>
      </c>
      <c r="AH7" s="113">
        <f t="shared" ref="AH7" si="21">IF(AG7="",Date_Model_Start,AG8+1)</f>
        <v>47665</v>
      </c>
      <c r="AI7" s="113">
        <f t="shared" ref="AI7" si="22">IF(AH7="",Date_Model_Start,AH8+1)</f>
        <v>47757</v>
      </c>
      <c r="AJ7" s="113">
        <f t="shared" ref="AJ7" si="23">IF(AI7="",Date_Model_Start,AI8+1)</f>
        <v>47849</v>
      </c>
      <c r="AK7" s="113">
        <f t="shared" ref="AK7" si="24">IF(AJ7="",Date_Model_Start,AJ8+1)</f>
        <v>47939</v>
      </c>
      <c r="AL7" s="113">
        <f t="shared" ref="AL7" si="25">IF(AK7="",Date_Model_Start,AK8+1)</f>
        <v>48030</v>
      </c>
      <c r="AM7" s="113">
        <f t="shared" ref="AM7" si="26">IF(AL7="",Date_Model_Start,AL8+1)</f>
        <v>48122</v>
      </c>
      <c r="AN7" s="113">
        <f t="shared" ref="AN7" si="27">IF(AM7="",Date_Model_Start,AM8+1)</f>
        <v>48214</v>
      </c>
      <c r="AO7" s="113">
        <f t="shared" ref="AO7" si="28">IF(AN7="",Date_Model_Start,AN8+1)</f>
        <v>48305</v>
      </c>
      <c r="AP7" s="113">
        <f t="shared" ref="AP7" si="29">IF(AO7="",Date_Model_Start,AO8+1)</f>
        <v>48396</v>
      </c>
      <c r="AQ7" s="113">
        <f t="shared" ref="AQ7" si="30">IF(AP7="",Date_Model_Start,AP8+1)</f>
        <v>48488</v>
      </c>
      <c r="AR7" s="113">
        <f t="shared" ref="AR7" si="31">IF(AQ7="",Date_Model_Start,AQ8+1)</f>
        <v>48580</v>
      </c>
      <c r="AS7" s="113">
        <f t="shared" ref="AS7" si="32">IF(AR7="",Date_Model_Start,AR8+1)</f>
        <v>48670</v>
      </c>
      <c r="AT7" s="113">
        <f t="shared" ref="AT7" si="33">IF(AS7="",Date_Model_Start,AS8+1)</f>
        <v>48761</v>
      </c>
      <c r="AU7" s="113">
        <f t="shared" ref="AU7" si="34">IF(AT7="",Date_Model_Start,AT8+1)</f>
        <v>48853</v>
      </c>
      <c r="AV7" s="113">
        <f t="shared" ref="AV7" si="35">IF(AU7="",Date_Model_Start,AU8+1)</f>
        <v>48945</v>
      </c>
      <c r="AW7" s="113">
        <f t="shared" ref="AW7" si="36">IF(AV7="",Date_Model_Start,AV8+1)</f>
        <v>49035</v>
      </c>
      <c r="AX7" s="113">
        <f t="shared" ref="AX7" si="37">IF(AW7="",Date_Model_Start,AW8+1)</f>
        <v>49126</v>
      </c>
      <c r="AY7" s="113">
        <f t="shared" ref="AY7" si="38">IF(AX7="",Date_Model_Start,AX8+1)</f>
        <v>49218</v>
      </c>
      <c r="AZ7" s="113">
        <f t="shared" ref="AZ7" si="39">IF(AY7="",Date_Model_Start,AY8+1)</f>
        <v>49310</v>
      </c>
      <c r="BA7" s="113">
        <f t="shared" ref="BA7" si="40">IF(AZ7="",Date_Model_Start,AZ8+1)</f>
        <v>49400</v>
      </c>
      <c r="BB7" s="113">
        <f t="shared" ref="BB7" si="41">IF(BA7="",Date_Model_Start,BA8+1)</f>
        <v>49491</v>
      </c>
      <c r="BC7" s="113">
        <f t="shared" ref="BC7" si="42">IF(BB7="",Date_Model_Start,BB8+1)</f>
        <v>49583</v>
      </c>
      <c r="BD7" s="113">
        <f t="shared" ref="BD7" si="43">IF(BC7="",Date_Model_Start,BC8+1)</f>
        <v>49675</v>
      </c>
      <c r="BE7" s="113">
        <f t="shared" ref="BE7" si="44">IF(BD7="",Date_Model_Start,BD8+1)</f>
        <v>49766</v>
      </c>
      <c r="BF7" s="113">
        <f t="shared" ref="BF7" si="45">IF(BE7="",Date_Model_Start,BE8+1)</f>
        <v>49857</v>
      </c>
      <c r="BG7" s="113">
        <f t="shared" ref="BG7" si="46">IF(BF7="",Date_Model_Start,BF8+1)</f>
        <v>49949</v>
      </c>
      <c r="BH7" s="113">
        <f t="shared" ref="BH7" si="47">IF(BG7="",Date_Model_Start,BG8+1)</f>
        <v>50041</v>
      </c>
      <c r="BI7" s="113">
        <f t="shared" ref="BI7" si="48">IF(BH7="",Date_Model_Start,BH8+1)</f>
        <v>50131</v>
      </c>
      <c r="BJ7" s="113">
        <f t="shared" ref="BJ7" si="49">IF(BI7="",Date_Model_Start,BI8+1)</f>
        <v>50222</v>
      </c>
      <c r="BK7" s="113">
        <f t="shared" ref="BK7" si="50">IF(BJ7="",Date_Model_Start,BJ8+1)</f>
        <v>50314</v>
      </c>
      <c r="BL7" s="113">
        <f t="shared" ref="BL7" si="51">IF(BK7="",Date_Model_Start,BK8+1)</f>
        <v>50406</v>
      </c>
      <c r="BM7" s="113">
        <f t="shared" ref="BM7" si="52">IF(BL7="",Date_Model_Start,BL8+1)</f>
        <v>50496</v>
      </c>
      <c r="BN7" s="113">
        <f t="shared" ref="BN7" si="53">IF(BM7="",Date_Model_Start,BM8+1)</f>
        <v>50587</v>
      </c>
      <c r="BO7" s="113">
        <f t="shared" ref="BO7" si="54">IF(BN7="",Date_Model_Start,BN8+1)</f>
        <v>50679</v>
      </c>
      <c r="BP7" s="113">
        <f t="shared" ref="BP7" si="55">IF(BO7="",Date_Model_Start,BO8+1)</f>
        <v>50771</v>
      </c>
      <c r="BQ7" s="113">
        <f t="shared" ref="BQ7" si="56">IF(BP7="",Date_Model_Start,BP8+1)</f>
        <v>50861</v>
      </c>
      <c r="BR7" s="113">
        <f t="shared" ref="BR7" si="57">IF(BQ7="",Date_Model_Start,BQ8+1)</f>
        <v>50952</v>
      </c>
      <c r="BS7" s="113">
        <f t="shared" ref="BS7" si="58">IF(BR7="",Date_Model_Start,BR8+1)</f>
        <v>51044</v>
      </c>
      <c r="BT7" s="113">
        <f t="shared" ref="BT7" si="59">IF(BS7="",Date_Model_Start,BS8+1)</f>
        <v>51136</v>
      </c>
      <c r="BU7" s="113">
        <f t="shared" ref="BU7" si="60">IF(BT7="",Date_Model_Start,BT8+1)</f>
        <v>51227</v>
      </c>
      <c r="BV7" s="113">
        <f t="shared" ref="BV7" si="61">IF(BU7="",Date_Model_Start,BU8+1)</f>
        <v>51318</v>
      </c>
      <c r="BW7" s="113">
        <f t="shared" ref="BW7" si="62">IF(BV7="",Date_Model_Start,BV8+1)</f>
        <v>51410</v>
      </c>
      <c r="BX7" s="113">
        <f t="shared" ref="BX7" si="63">IF(BW7="",Date_Model_Start,BW8+1)</f>
        <v>51502</v>
      </c>
      <c r="BY7" s="113">
        <f t="shared" ref="BY7" si="64">IF(BX7="",Date_Model_Start,BX8+1)</f>
        <v>51592</v>
      </c>
      <c r="BZ7" s="113">
        <f t="shared" ref="BZ7" si="65">IF(BY7="",Date_Model_Start,BY8+1)</f>
        <v>51683</v>
      </c>
      <c r="CA7" s="113">
        <f t="shared" ref="CA7" si="66">IF(BZ7="",Date_Model_Start,BZ8+1)</f>
        <v>51775</v>
      </c>
      <c r="CB7" s="113">
        <f t="shared" ref="CB7" si="67">IF(CA7="",Date_Model_Start,CA8+1)</f>
        <v>51867</v>
      </c>
      <c r="CC7" s="113">
        <f t="shared" ref="CC7" si="68">IF(CB7="",Date_Model_Start,CB8+1)</f>
        <v>51957</v>
      </c>
      <c r="CD7" s="113">
        <f t="shared" ref="CD7" si="69">IF(CC7="",Date_Model_Start,CC8+1)</f>
        <v>52048</v>
      </c>
      <c r="CE7" s="113">
        <f t="shared" ref="CE7" si="70">IF(CD7="",Date_Model_Start,CD8+1)</f>
        <v>52140</v>
      </c>
      <c r="CF7" s="113">
        <f t="shared" ref="CF7" si="71">IF(CE7="",Date_Model_Start,CE8+1)</f>
        <v>52232</v>
      </c>
      <c r="CG7" s="113">
        <f t="shared" ref="CG7" si="72">IF(CF7="",Date_Model_Start,CF8+1)</f>
        <v>52322</v>
      </c>
      <c r="CH7" s="113">
        <f t="shared" ref="CH7" si="73">IF(CG7="",Date_Model_Start,CG8+1)</f>
        <v>52413</v>
      </c>
      <c r="CI7" s="113">
        <f t="shared" ref="CI7" si="74">IF(CH7="",Date_Model_Start,CH8+1)</f>
        <v>52505</v>
      </c>
      <c r="CJ7" s="113">
        <f t="shared" ref="CJ7" si="75">IF(CI7="",Date_Model_Start,CI8+1)</f>
        <v>52597</v>
      </c>
      <c r="CK7" s="113">
        <f t="shared" ref="CK7" si="76">IF(CJ7="",Date_Model_Start,CJ8+1)</f>
        <v>52688</v>
      </c>
      <c r="CL7" s="113">
        <f t="shared" ref="CL7" si="77">IF(CK7="",Date_Model_Start,CK8+1)</f>
        <v>52779</v>
      </c>
      <c r="CM7" s="113">
        <f t="shared" ref="CM7" si="78">IF(CL7="",Date_Model_Start,CL8+1)</f>
        <v>52871</v>
      </c>
      <c r="CN7" s="113">
        <f t="shared" ref="CN7" si="79">IF(CM7="",Date_Model_Start,CM8+1)</f>
        <v>52963</v>
      </c>
      <c r="CO7" s="113">
        <f t="shared" ref="CO7" si="80">IF(CN7="",Date_Model_Start,CN8+1)</f>
        <v>53053</v>
      </c>
      <c r="CP7" s="9"/>
    </row>
    <row r="8" spans="1:94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81">EOMONTH(L$7,Months_in_Period-1)</f>
        <v>45747</v>
      </c>
      <c r="M8" s="113">
        <f t="shared" si="81"/>
        <v>45838</v>
      </c>
      <c r="N8" s="113">
        <f t="shared" si="81"/>
        <v>45930</v>
      </c>
      <c r="O8" s="113">
        <f t="shared" si="81"/>
        <v>46022</v>
      </c>
      <c r="P8" s="113">
        <f t="shared" si="81"/>
        <v>46112</v>
      </c>
      <c r="Q8" s="113">
        <f t="shared" si="81"/>
        <v>46203</v>
      </c>
      <c r="R8" s="113">
        <f t="shared" si="81"/>
        <v>46295</v>
      </c>
      <c r="S8" s="113">
        <f t="shared" si="81"/>
        <v>46387</v>
      </c>
      <c r="T8" s="113">
        <f t="shared" si="81"/>
        <v>46477</v>
      </c>
      <c r="U8" s="113">
        <f t="shared" si="81"/>
        <v>46568</v>
      </c>
      <c r="V8" s="113">
        <f t="shared" si="81"/>
        <v>46660</v>
      </c>
      <c r="W8" s="113">
        <f t="shared" si="81"/>
        <v>46752</v>
      </c>
      <c r="X8" s="113">
        <f t="shared" si="81"/>
        <v>46843</v>
      </c>
      <c r="Y8" s="113">
        <f t="shared" si="81"/>
        <v>46934</v>
      </c>
      <c r="Z8" s="113">
        <f t="shared" si="81"/>
        <v>47026</v>
      </c>
      <c r="AA8" s="113">
        <f t="shared" si="81"/>
        <v>47118</v>
      </c>
      <c r="AB8" s="113">
        <f t="shared" si="81"/>
        <v>47208</v>
      </c>
      <c r="AC8" s="113">
        <f t="shared" si="81"/>
        <v>47299</v>
      </c>
      <c r="AD8" s="113">
        <f t="shared" si="81"/>
        <v>47391</v>
      </c>
      <c r="AE8" s="113">
        <f t="shared" si="81"/>
        <v>47483</v>
      </c>
      <c r="AF8" s="113">
        <f t="shared" si="81"/>
        <v>47573</v>
      </c>
      <c r="AG8" s="113">
        <f t="shared" si="81"/>
        <v>47664</v>
      </c>
      <c r="AH8" s="113">
        <f t="shared" si="81"/>
        <v>47756</v>
      </c>
      <c r="AI8" s="113">
        <f t="shared" si="81"/>
        <v>47848</v>
      </c>
      <c r="AJ8" s="113">
        <f t="shared" si="81"/>
        <v>47938</v>
      </c>
      <c r="AK8" s="113">
        <f t="shared" si="81"/>
        <v>48029</v>
      </c>
      <c r="AL8" s="113">
        <f t="shared" si="81"/>
        <v>48121</v>
      </c>
      <c r="AM8" s="113">
        <f t="shared" si="81"/>
        <v>48213</v>
      </c>
      <c r="AN8" s="113">
        <f t="shared" si="81"/>
        <v>48304</v>
      </c>
      <c r="AO8" s="113">
        <f t="shared" si="81"/>
        <v>48395</v>
      </c>
      <c r="AP8" s="113">
        <f t="shared" si="81"/>
        <v>48487</v>
      </c>
      <c r="AQ8" s="113">
        <f t="shared" si="81"/>
        <v>48579</v>
      </c>
      <c r="AR8" s="113">
        <f t="shared" si="81"/>
        <v>48669</v>
      </c>
      <c r="AS8" s="113">
        <f t="shared" si="81"/>
        <v>48760</v>
      </c>
      <c r="AT8" s="113">
        <f t="shared" si="81"/>
        <v>48852</v>
      </c>
      <c r="AU8" s="113">
        <f t="shared" si="81"/>
        <v>48944</v>
      </c>
      <c r="AV8" s="113">
        <f t="shared" si="81"/>
        <v>49034</v>
      </c>
      <c r="AW8" s="113">
        <f t="shared" si="81"/>
        <v>49125</v>
      </c>
      <c r="AX8" s="113">
        <f t="shared" si="81"/>
        <v>49217</v>
      </c>
      <c r="AY8" s="113">
        <f t="shared" si="81"/>
        <v>49309</v>
      </c>
      <c r="AZ8" s="113">
        <f t="shared" si="81"/>
        <v>49399</v>
      </c>
      <c r="BA8" s="113">
        <f t="shared" si="81"/>
        <v>49490</v>
      </c>
      <c r="BB8" s="113">
        <f t="shared" si="81"/>
        <v>49582</v>
      </c>
      <c r="BC8" s="113">
        <f t="shared" si="81"/>
        <v>49674</v>
      </c>
      <c r="BD8" s="113">
        <f t="shared" si="81"/>
        <v>49765</v>
      </c>
      <c r="BE8" s="113">
        <f t="shared" si="81"/>
        <v>49856</v>
      </c>
      <c r="BF8" s="113">
        <f t="shared" si="81"/>
        <v>49948</v>
      </c>
      <c r="BG8" s="113">
        <f t="shared" si="81"/>
        <v>50040</v>
      </c>
      <c r="BH8" s="113">
        <f t="shared" si="81"/>
        <v>50130</v>
      </c>
      <c r="BI8" s="113">
        <f t="shared" si="81"/>
        <v>50221</v>
      </c>
      <c r="BJ8" s="113">
        <f t="shared" si="81"/>
        <v>50313</v>
      </c>
      <c r="BK8" s="113">
        <f t="shared" si="81"/>
        <v>50405</v>
      </c>
      <c r="BL8" s="113">
        <f t="shared" si="81"/>
        <v>50495</v>
      </c>
      <c r="BM8" s="113">
        <f t="shared" si="81"/>
        <v>50586</v>
      </c>
      <c r="BN8" s="113">
        <f t="shared" si="81"/>
        <v>50678</v>
      </c>
      <c r="BO8" s="113">
        <f t="shared" si="81"/>
        <v>50770</v>
      </c>
      <c r="BP8" s="113">
        <f t="shared" si="81"/>
        <v>50860</v>
      </c>
      <c r="BQ8" s="113">
        <f t="shared" si="81"/>
        <v>50951</v>
      </c>
      <c r="BR8" s="113">
        <f t="shared" si="81"/>
        <v>51043</v>
      </c>
      <c r="BS8" s="113">
        <f t="shared" si="81"/>
        <v>51135</v>
      </c>
      <c r="BT8" s="113">
        <f t="shared" si="81"/>
        <v>51226</v>
      </c>
      <c r="BU8" s="113">
        <f t="shared" si="81"/>
        <v>51317</v>
      </c>
      <c r="BV8" s="113">
        <f t="shared" si="81"/>
        <v>51409</v>
      </c>
      <c r="BW8" s="113">
        <f t="shared" si="81"/>
        <v>51501</v>
      </c>
      <c r="BX8" s="113">
        <f t="shared" si="81"/>
        <v>51591</v>
      </c>
      <c r="BY8" s="113">
        <f t="shared" si="81"/>
        <v>51682</v>
      </c>
      <c r="BZ8" s="113">
        <f t="shared" si="81"/>
        <v>51774</v>
      </c>
      <c r="CA8" s="113">
        <f t="shared" si="81"/>
        <v>51866</v>
      </c>
      <c r="CB8" s="113">
        <f t="shared" si="81"/>
        <v>51956</v>
      </c>
      <c r="CC8" s="113">
        <f t="shared" si="81"/>
        <v>52047</v>
      </c>
      <c r="CD8" s="113">
        <f t="shared" si="81"/>
        <v>52139</v>
      </c>
      <c r="CE8" s="113">
        <f t="shared" si="81"/>
        <v>52231</v>
      </c>
      <c r="CF8" s="113">
        <f t="shared" si="81"/>
        <v>52321</v>
      </c>
      <c r="CG8" s="113">
        <f t="shared" si="81"/>
        <v>52412</v>
      </c>
      <c r="CH8" s="113">
        <f t="shared" si="81"/>
        <v>52504</v>
      </c>
      <c r="CI8" s="113">
        <f t="shared" si="81"/>
        <v>52596</v>
      </c>
      <c r="CJ8" s="113">
        <f t="shared" si="81"/>
        <v>52687</v>
      </c>
      <c r="CK8" s="113">
        <f t="shared" si="81"/>
        <v>52778</v>
      </c>
      <c r="CL8" s="113">
        <f t="shared" si="81"/>
        <v>52870</v>
      </c>
      <c r="CM8" s="113">
        <f t="shared" si="81"/>
        <v>52962</v>
      </c>
      <c r="CN8" s="113">
        <f t="shared" si="81"/>
        <v>53052</v>
      </c>
      <c r="CO8" s="113">
        <f t="shared" si="81"/>
        <v>53143</v>
      </c>
      <c r="CP8" s="9"/>
    </row>
    <row r="9" spans="1:94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82">IF(Flag_Construction,1,2)*Flag_Financial_Model</f>
        <v>1</v>
      </c>
      <c r="M9" s="152">
        <f t="shared" si="82"/>
        <v>1</v>
      </c>
      <c r="N9" s="152">
        <f t="shared" si="82"/>
        <v>1</v>
      </c>
      <c r="O9" s="152">
        <f t="shared" si="82"/>
        <v>1</v>
      </c>
      <c r="P9" s="152">
        <f t="shared" si="82"/>
        <v>1</v>
      </c>
      <c r="Q9" s="152">
        <f t="shared" si="82"/>
        <v>1</v>
      </c>
      <c r="R9" s="152">
        <f t="shared" si="82"/>
        <v>1</v>
      </c>
      <c r="S9" s="152">
        <f t="shared" si="82"/>
        <v>1</v>
      </c>
      <c r="T9" s="152">
        <f t="shared" si="82"/>
        <v>1</v>
      </c>
      <c r="U9" s="152">
        <f t="shared" si="82"/>
        <v>1</v>
      </c>
      <c r="V9" s="152">
        <f t="shared" si="82"/>
        <v>1</v>
      </c>
      <c r="W9" s="152">
        <f t="shared" si="82"/>
        <v>1</v>
      </c>
      <c r="X9" s="152">
        <f t="shared" si="82"/>
        <v>1</v>
      </c>
      <c r="Y9" s="152">
        <f t="shared" si="82"/>
        <v>1</v>
      </c>
      <c r="Z9" s="152">
        <f t="shared" si="82"/>
        <v>1</v>
      </c>
      <c r="AA9" s="152">
        <f t="shared" si="82"/>
        <v>1</v>
      </c>
      <c r="AB9" s="152">
        <f t="shared" si="82"/>
        <v>1</v>
      </c>
      <c r="AC9" s="152">
        <f t="shared" si="82"/>
        <v>2</v>
      </c>
      <c r="AD9" s="152">
        <f t="shared" si="82"/>
        <v>2</v>
      </c>
      <c r="AE9" s="152">
        <f t="shared" si="82"/>
        <v>2</v>
      </c>
      <c r="AF9" s="152">
        <f t="shared" si="82"/>
        <v>2</v>
      </c>
      <c r="AG9" s="152">
        <f t="shared" si="82"/>
        <v>2</v>
      </c>
      <c r="AH9" s="152">
        <f t="shared" si="82"/>
        <v>2</v>
      </c>
      <c r="AI9" s="152">
        <f t="shared" si="82"/>
        <v>2</v>
      </c>
      <c r="AJ9" s="152">
        <f t="shared" si="82"/>
        <v>2</v>
      </c>
      <c r="AK9" s="152">
        <f t="shared" si="82"/>
        <v>2</v>
      </c>
      <c r="AL9" s="152">
        <f t="shared" si="82"/>
        <v>2</v>
      </c>
      <c r="AM9" s="152">
        <f t="shared" si="82"/>
        <v>2</v>
      </c>
      <c r="AN9" s="152">
        <f t="shared" si="82"/>
        <v>2</v>
      </c>
      <c r="AO9" s="152">
        <f t="shared" si="82"/>
        <v>2</v>
      </c>
      <c r="AP9" s="152">
        <f t="shared" si="82"/>
        <v>2</v>
      </c>
      <c r="AQ9" s="152">
        <f t="shared" si="82"/>
        <v>2</v>
      </c>
      <c r="AR9" s="152">
        <f t="shared" si="82"/>
        <v>2</v>
      </c>
      <c r="AS9" s="152">
        <f t="shared" si="82"/>
        <v>2</v>
      </c>
      <c r="AT9" s="152">
        <f t="shared" si="82"/>
        <v>2</v>
      </c>
      <c r="AU9" s="152">
        <f t="shared" si="82"/>
        <v>2</v>
      </c>
      <c r="AV9" s="152">
        <f t="shared" si="82"/>
        <v>2</v>
      </c>
      <c r="AW9" s="152">
        <f t="shared" si="82"/>
        <v>2</v>
      </c>
      <c r="AX9" s="152">
        <f t="shared" si="82"/>
        <v>2</v>
      </c>
      <c r="AY9" s="152">
        <f t="shared" si="82"/>
        <v>2</v>
      </c>
      <c r="AZ9" s="152">
        <f t="shared" si="82"/>
        <v>2</v>
      </c>
      <c r="BA9" s="152">
        <f t="shared" si="82"/>
        <v>2</v>
      </c>
      <c r="BB9" s="152">
        <f t="shared" si="82"/>
        <v>2</v>
      </c>
      <c r="BC9" s="152">
        <f t="shared" si="82"/>
        <v>2</v>
      </c>
      <c r="BD9" s="152">
        <f t="shared" si="82"/>
        <v>2</v>
      </c>
      <c r="BE9" s="152">
        <f t="shared" si="82"/>
        <v>2</v>
      </c>
      <c r="BF9" s="152">
        <f t="shared" si="82"/>
        <v>2</v>
      </c>
      <c r="BG9" s="152">
        <f t="shared" si="82"/>
        <v>2</v>
      </c>
      <c r="BH9" s="152">
        <f t="shared" si="82"/>
        <v>2</v>
      </c>
      <c r="BI9" s="152">
        <f t="shared" si="82"/>
        <v>2</v>
      </c>
      <c r="BJ9" s="152">
        <f t="shared" si="82"/>
        <v>2</v>
      </c>
      <c r="BK9" s="152">
        <f t="shared" si="82"/>
        <v>2</v>
      </c>
      <c r="BL9" s="152">
        <f t="shared" si="82"/>
        <v>2</v>
      </c>
      <c r="BM9" s="152">
        <f t="shared" si="82"/>
        <v>2</v>
      </c>
      <c r="BN9" s="152">
        <f t="shared" si="82"/>
        <v>2</v>
      </c>
      <c r="BO9" s="152">
        <f t="shared" si="82"/>
        <v>2</v>
      </c>
      <c r="BP9" s="152">
        <f t="shared" si="82"/>
        <v>2</v>
      </c>
      <c r="BQ9" s="152">
        <f t="shared" si="82"/>
        <v>2</v>
      </c>
      <c r="BR9" s="152">
        <f t="shared" si="82"/>
        <v>2</v>
      </c>
      <c r="BS9" s="152">
        <f t="shared" si="82"/>
        <v>2</v>
      </c>
      <c r="BT9" s="152">
        <f t="shared" si="82"/>
        <v>2</v>
      </c>
      <c r="BU9" s="152">
        <f t="shared" si="82"/>
        <v>2</v>
      </c>
      <c r="BV9" s="152">
        <f t="shared" si="82"/>
        <v>2</v>
      </c>
      <c r="BW9" s="152">
        <f t="shared" si="82"/>
        <v>2</v>
      </c>
      <c r="BX9" s="152">
        <f t="shared" ref="BX9:CO9" si="83">IF(Flag_Construction,1,2)*Flag_Financial_Model</f>
        <v>2</v>
      </c>
      <c r="BY9" s="152">
        <f t="shared" si="83"/>
        <v>2</v>
      </c>
      <c r="BZ9" s="152">
        <f t="shared" si="83"/>
        <v>2</v>
      </c>
      <c r="CA9" s="152">
        <f t="shared" si="83"/>
        <v>2</v>
      </c>
      <c r="CB9" s="152">
        <f t="shared" si="83"/>
        <v>2</v>
      </c>
      <c r="CC9" s="152">
        <f t="shared" si="83"/>
        <v>2</v>
      </c>
      <c r="CD9" s="152">
        <f t="shared" si="83"/>
        <v>2</v>
      </c>
      <c r="CE9" s="152">
        <f t="shared" si="83"/>
        <v>2</v>
      </c>
      <c r="CF9" s="152">
        <f t="shared" si="83"/>
        <v>2</v>
      </c>
      <c r="CG9" s="152">
        <f t="shared" si="83"/>
        <v>2</v>
      </c>
      <c r="CH9" s="152">
        <f t="shared" si="83"/>
        <v>2</v>
      </c>
      <c r="CI9" s="152">
        <f t="shared" si="83"/>
        <v>2</v>
      </c>
      <c r="CJ9" s="152">
        <f t="shared" si="83"/>
        <v>2</v>
      </c>
      <c r="CK9" s="152">
        <f t="shared" si="83"/>
        <v>2</v>
      </c>
      <c r="CL9" s="152">
        <f t="shared" si="83"/>
        <v>2</v>
      </c>
      <c r="CM9" s="152">
        <f t="shared" si="83"/>
        <v>2</v>
      </c>
      <c r="CN9" s="152">
        <f t="shared" si="83"/>
        <v>2</v>
      </c>
      <c r="CO9" s="152">
        <f t="shared" si="83"/>
        <v>2</v>
      </c>
      <c r="CP9" s="9"/>
    </row>
    <row r="10" spans="1:94" ht="15" customHeight="1">
      <c r="B10" s="3"/>
      <c r="C10" s="3"/>
      <c r="D10" s="3"/>
      <c r="E10" s="3"/>
      <c r="F10" s="3"/>
      <c r="G10" s="203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4" ht="22.5" customHeight="1">
      <c r="B11" s="5" t="s">
        <v>439</v>
      </c>
      <c r="C11" s="5"/>
      <c r="D11" s="5"/>
      <c r="E11" s="5"/>
      <c r="F11" s="5"/>
      <c r="G11" s="6"/>
      <c r="H11" s="5"/>
      <c r="I11" s="5"/>
      <c r="J11" s="5"/>
      <c r="K11" s="5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4" ht="15" customHeight="1">
      <c r="A12" s="10"/>
      <c r="B12" s="10"/>
      <c r="C12" s="10"/>
      <c r="D12" s="10"/>
      <c r="E12" s="10"/>
      <c r="F12" s="10"/>
      <c r="G12" s="11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</row>
    <row r="13" spans="1:94" ht="15" customHeight="1">
      <c r="A13" s="10"/>
      <c r="B13" s="10"/>
      <c r="C13" s="10" t="s">
        <v>305</v>
      </c>
      <c r="D13" s="10"/>
      <c r="E13" s="658" t="s">
        <v>1242</v>
      </c>
      <c r="F13" s="659"/>
      <c r="G13" s="659"/>
      <c r="H13" s="659"/>
      <c r="I13" s="659"/>
      <c r="J13" s="66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</row>
    <row r="14" spans="1:94" ht="15" customHeight="1">
      <c r="A14" s="10"/>
      <c r="B14" s="10"/>
      <c r="C14" s="10" t="s">
        <v>566</v>
      </c>
      <c r="D14" s="3"/>
      <c r="E14" s="398">
        <v>1</v>
      </c>
      <c r="F14" s="10"/>
      <c r="G14" s="11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</row>
    <row r="15" spans="1:94" ht="15" customHeight="1">
      <c r="B15" s="3"/>
      <c r="C15" s="10" t="s">
        <v>567</v>
      </c>
      <c r="D15" s="3"/>
      <c r="E15" s="71">
        <v>45505</v>
      </c>
      <c r="F15" s="10"/>
      <c r="G15" s="11" t="s">
        <v>31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4" ht="15" customHeight="1">
      <c r="B16" s="3"/>
      <c r="C16" s="10" t="s">
        <v>25</v>
      </c>
      <c r="D16" s="3"/>
      <c r="E16" s="33" t="s">
        <v>26</v>
      </c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4" ht="15" customHeight="1">
      <c r="B17" s="3"/>
      <c r="C17" s="10"/>
      <c r="D17" s="10"/>
      <c r="E17" s="10"/>
      <c r="F17" s="10"/>
      <c r="G17" s="11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4">
      <c r="A18" s="10"/>
      <c r="B18" s="10"/>
      <c r="C18" s="10" t="s">
        <v>30</v>
      </c>
      <c r="D18" s="10"/>
      <c r="E18" s="71">
        <v>45658</v>
      </c>
      <c r="F18" s="10"/>
      <c r="G18" s="11" t="s">
        <v>31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</row>
    <row r="19" spans="1:94">
      <c r="A19" s="10"/>
      <c r="B19" s="10"/>
      <c r="C19" s="10" t="s">
        <v>565</v>
      </c>
      <c r="D19" s="10"/>
      <c r="E19" s="71">
        <v>45658</v>
      </c>
      <c r="F19" s="10"/>
      <c r="G19" s="11" t="s">
        <v>31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</row>
    <row r="20" spans="1:94">
      <c r="A20" s="10"/>
      <c r="B20" s="10"/>
      <c r="C20" s="10" t="s">
        <v>604</v>
      </c>
      <c r="D20" s="10"/>
      <c r="E20" s="14">
        <v>20</v>
      </c>
      <c r="F20" s="10"/>
      <c r="G20" s="11" t="s">
        <v>123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</row>
    <row r="21" spans="1:94">
      <c r="A21" s="10"/>
      <c r="B21" s="10"/>
      <c r="C21" s="10"/>
      <c r="D21" s="10"/>
      <c r="E21" s="10"/>
      <c r="F21" s="10"/>
      <c r="G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</row>
    <row r="22" spans="1:94">
      <c r="A22" s="10"/>
      <c r="B22" s="10"/>
      <c r="C22" s="10" t="s">
        <v>866</v>
      </c>
      <c r="D22" s="10"/>
      <c r="E22" s="71">
        <f>Date_Forecast_Start</f>
        <v>45658</v>
      </c>
      <c r="F22" s="10"/>
      <c r="G22" s="11" t="s">
        <v>31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</row>
    <row r="23" spans="1:94">
      <c r="A23" s="10"/>
      <c r="B23" s="10"/>
      <c r="C23" s="10" t="s">
        <v>867</v>
      </c>
      <c r="D23" s="10"/>
      <c r="E23" s="71">
        <f>MAX(IF(Расчеты!I95,MAX(G296:G301),0),IF(Расчеты!I96,MAX(G329:G331),0),IF(Расчеты!I97,MAX(G355:G357),0))</f>
        <v>47208</v>
      </c>
      <c r="F23" s="10"/>
      <c r="G23" s="11" t="s">
        <v>31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</row>
    <row r="24" spans="1:94">
      <c r="A24" s="10"/>
      <c r="B24" s="10"/>
      <c r="C24" s="10" t="s">
        <v>603</v>
      </c>
      <c r="D24" s="10"/>
      <c r="E24" s="71">
        <f xml:space="preserve"> Date_Construction_End + 1</f>
        <v>47209</v>
      </c>
      <c r="F24" s="10"/>
      <c r="G24" s="11" t="s">
        <v>31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</row>
    <row r="25" spans="1:94">
      <c r="A25" s="10"/>
      <c r="B25" s="10"/>
      <c r="C25" s="10" t="s">
        <v>564</v>
      </c>
      <c r="D25" s="10"/>
      <c r="E25" s="71">
        <f>EOMONTH(Date_Operations_Start,Months_in_Year*E20-1)</f>
        <v>54513</v>
      </c>
      <c r="F25" s="10"/>
      <c r="G25" s="11" t="s">
        <v>31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</row>
    <row r="26" spans="1:94">
      <c r="A26" s="10"/>
      <c r="B26" s="10"/>
      <c r="C26" s="10"/>
      <c r="D26" s="10"/>
      <c r="E26" s="3"/>
      <c r="F26" s="10"/>
      <c r="G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</row>
    <row r="27" spans="1:94">
      <c r="A27" s="10"/>
      <c r="B27" s="10"/>
      <c r="C27" s="10" t="s">
        <v>32</v>
      </c>
      <c r="D27" s="10"/>
      <c r="E27" s="14">
        <v>365</v>
      </c>
      <c r="F27" s="10"/>
      <c r="G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</row>
    <row r="28" spans="1:94">
      <c r="A28" s="10"/>
      <c r="B28" s="10"/>
      <c r="C28" s="10" t="s">
        <v>33</v>
      </c>
      <c r="D28" s="10"/>
      <c r="E28" s="14">
        <v>12</v>
      </c>
      <c r="F28" s="10"/>
      <c r="G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</row>
    <row r="29" spans="1:94">
      <c r="A29" s="10"/>
      <c r="B29" s="10"/>
      <c r="C29" s="10" t="s">
        <v>34</v>
      </c>
      <c r="D29" s="10"/>
      <c r="E29" s="14">
        <f xml:space="preserve"> Months_in_Year / Months_in_Period</f>
        <v>4</v>
      </c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</row>
    <row r="30" spans="1:94">
      <c r="A30" s="10"/>
      <c r="B30" s="10"/>
      <c r="C30" s="10" t="s">
        <v>35</v>
      </c>
      <c r="D30" s="10"/>
      <c r="E30" s="14">
        <v>3</v>
      </c>
      <c r="F30" s="10"/>
      <c r="G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</row>
    <row r="31" spans="1:94">
      <c r="A31" s="10"/>
      <c r="B31" s="10"/>
      <c r="C31" s="10" t="s">
        <v>338</v>
      </c>
      <c r="D31" s="10"/>
      <c r="E31" s="420">
        <v>1E-3</v>
      </c>
      <c r="F31" s="10"/>
      <c r="G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</row>
    <row r="32" spans="1:94">
      <c r="A32" s="10"/>
      <c r="B32" s="10"/>
      <c r="C32" s="10"/>
      <c r="D32" s="10"/>
      <c r="E32" s="3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</row>
    <row r="33" spans="1:94">
      <c r="A33" s="10"/>
      <c r="B33" s="10"/>
      <c r="C33" s="10" t="s">
        <v>36</v>
      </c>
      <c r="D33" s="10"/>
      <c r="E33" s="14">
        <v>1000000</v>
      </c>
      <c r="F33" s="10"/>
      <c r="G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</row>
    <row r="34" spans="1:94">
      <c r="A34" s="10"/>
      <c r="B34" s="10"/>
      <c r="C34" s="10" t="s">
        <v>37</v>
      </c>
      <c r="D34" s="10"/>
      <c r="E34" s="14">
        <v>1000</v>
      </c>
      <c r="F34" s="10"/>
      <c r="G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</row>
    <row r="35" spans="1:94">
      <c r="A35" s="10"/>
      <c r="B35" s="10"/>
      <c r="C35" s="10" t="s">
        <v>38</v>
      </c>
      <c r="D35" s="10"/>
      <c r="E35" s="14">
        <v>100</v>
      </c>
      <c r="F35" s="10"/>
      <c r="G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</row>
    <row r="36" spans="1:94">
      <c r="A36" s="10"/>
      <c r="B36" s="10"/>
      <c r="C36" s="10" t="s">
        <v>437</v>
      </c>
      <c r="D36" s="10"/>
      <c r="E36" s="383">
        <f>10^-9</f>
        <v>1.0000000000000001E-9</v>
      </c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</row>
    <row r="37" spans="1:94" ht="15" customHeight="1">
      <c r="A37" s="10"/>
      <c r="B37" s="10"/>
      <c r="C37" s="10"/>
      <c r="D37" s="3"/>
      <c r="E37" s="3"/>
      <c r="F37" s="10"/>
      <c r="G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</row>
    <row r="38" spans="1:94" ht="22.5" customHeight="1">
      <c r="B38" s="5" t="s">
        <v>27</v>
      </c>
      <c r="C38" s="5"/>
      <c r="D38" s="5"/>
      <c r="E38" s="5"/>
      <c r="F38" s="5"/>
      <c r="G38" s="6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</row>
    <row r="39" spans="1:94" ht="15" customHeight="1">
      <c r="B39" s="3"/>
      <c r="C39" s="10"/>
      <c r="D39" s="3"/>
      <c r="E39" s="3"/>
      <c r="F39" s="3"/>
      <c r="G39" s="203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</row>
    <row r="40" spans="1:94" ht="15" customHeight="1" thickBot="1">
      <c r="A40" s="10"/>
      <c r="B40" s="3"/>
      <c r="C40" s="12" t="s">
        <v>444</v>
      </c>
      <c r="D40" s="12"/>
      <c r="E40" s="12"/>
      <c r="F40" s="12"/>
      <c r="G40" s="12"/>
      <c r="H40" s="12"/>
      <c r="I40" s="12"/>
      <c r="J40" s="10"/>
      <c r="K40" s="10"/>
      <c r="L40" s="60">
        <v>2024</v>
      </c>
      <c r="M40" s="60">
        <f t="shared" ref="M40" si="84">L40+1</f>
        <v>2025</v>
      </c>
      <c r="N40" s="60">
        <f>M40+1</f>
        <v>2026</v>
      </c>
      <c r="O40" s="60">
        <f t="shared" ref="O40" si="85">N40+1</f>
        <v>2027</v>
      </c>
      <c r="P40" s="60">
        <f t="shared" ref="P40" si="86">O40+1</f>
        <v>2028</v>
      </c>
      <c r="Q40" s="60">
        <f t="shared" ref="Q40" si="87">P40+1</f>
        <v>2029</v>
      </c>
      <c r="R40" s="60">
        <f t="shared" ref="R40" si="88">Q40+1</f>
        <v>2030</v>
      </c>
      <c r="S40" s="60">
        <f t="shared" ref="S40" si="89">R40+1</f>
        <v>2031</v>
      </c>
      <c r="T40" s="60">
        <f t="shared" ref="T40" si="90">S40+1</f>
        <v>2032</v>
      </c>
      <c r="U40" s="60">
        <f t="shared" ref="U40" si="91">T40+1</f>
        <v>2033</v>
      </c>
      <c r="V40" s="60">
        <f t="shared" ref="V40" si="92">U40+1</f>
        <v>2034</v>
      </c>
      <c r="W40" s="60">
        <f t="shared" ref="W40" si="93">V40+1</f>
        <v>2035</v>
      </c>
      <c r="X40" s="60">
        <f t="shared" ref="X40" si="94">W40+1</f>
        <v>2036</v>
      </c>
      <c r="Y40" s="60">
        <f t="shared" ref="Y40" si="95">X40+1</f>
        <v>2037</v>
      </c>
      <c r="Z40" s="60">
        <f t="shared" ref="Z40" si="96">Y40+1</f>
        <v>2038</v>
      </c>
      <c r="AA40" s="60">
        <f>Z40+1</f>
        <v>2039</v>
      </c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10"/>
    </row>
    <row r="41" spans="1:94" ht="15" customHeight="1">
      <c r="A41" s="10"/>
      <c r="B41" s="3"/>
      <c r="C41" s="10"/>
      <c r="D41" s="10"/>
      <c r="E41" s="10"/>
      <c r="F41" s="10"/>
      <c r="G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10"/>
    </row>
    <row r="42" spans="1:94" ht="15" customHeight="1">
      <c r="A42" s="10"/>
      <c r="B42" s="10"/>
      <c r="C42" s="41" t="s">
        <v>440</v>
      </c>
      <c r="D42" s="10"/>
      <c r="E42" s="10"/>
      <c r="F42" s="10"/>
      <c r="G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10"/>
    </row>
    <row r="43" spans="1:94" ht="15" customHeight="1">
      <c r="A43" s="10"/>
      <c r="B43" s="3"/>
      <c r="C43" s="17" t="s">
        <v>40</v>
      </c>
      <c r="D43" s="10"/>
      <c r="E43" s="10"/>
      <c r="F43" s="10"/>
      <c r="G43" s="142" t="s">
        <v>28</v>
      </c>
      <c r="H43" s="10" t="s">
        <v>1232</v>
      </c>
      <c r="I43" s="10"/>
      <c r="J43" s="10"/>
      <c r="K43" s="10"/>
      <c r="L43" s="80">
        <v>0.08</v>
      </c>
      <c r="M43" s="80">
        <v>5.8000000000000003E-2</v>
      </c>
      <c r="N43" s="80">
        <v>0.04</v>
      </c>
      <c r="O43" s="80">
        <v>0.04</v>
      </c>
      <c r="P43" s="80">
        <v>0.04</v>
      </c>
      <c r="Q43" s="80">
        <v>0.04</v>
      </c>
      <c r="R43" s="80">
        <v>0.04</v>
      </c>
      <c r="S43" s="80">
        <v>0.04</v>
      </c>
      <c r="T43" s="80">
        <v>0.04</v>
      </c>
      <c r="U43" s="80">
        <v>0.04</v>
      </c>
      <c r="V43" s="80">
        <v>0.04</v>
      </c>
      <c r="W43" s="80">
        <v>0.04</v>
      </c>
      <c r="X43" s="80">
        <v>0.04</v>
      </c>
      <c r="Y43" s="80">
        <v>0.04</v>
      </c>
      <c r="Z43" s="80">
        <v>0.04</v>
      </c>
      <c r="AA43" s="80">
        <v>0.04</v>
      </c>
      <c r="AB43" s="80">
        <v>0.04</v>
      </c>
      <c r="AC43" s="80">
        <v>0.04</v>
      </c>
      <c r="AD43" s="80">
        <v>0.04</v>
      </c>
      <c r="AE43" s="80">
        <v>0.04</v>
      </c>
      <c r="AF43" s="80">
        <v>0.04</v>
      </c>
      <c r="AG43" s="80">
        <v>0.04</v>
      </c>
      <c r="AH43" s="80">
        <v>0.04</v>
      </c>
      <c r="AI43" s="80">
        <v>0.04</v>
      </c>
      <c r="AJ43" s="80">
        <v>0.04</v>
      </c>
      <c r="AK43" s="80">
        <v>0.04</v>
      </c>
      <c r="AL43" s="80">
        <v>0.04</v>
      </c>
      <c r="AM43" s="80">
        <v>0.04</v>
      </c>
      <c r="AN43" s="80">
        <v>0.04</v>
      </c>
      <c r="AO43" s="80">
        <v>0.04</v>
      </c>
      <c r="AP43" s="80">
        <v>0.04</v>
      </c>
      <c r="AQ43" s="80">
        <v>0.04</v>
      </c>
      <c r="AR43" s="80">
        <v>0.04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10"/>
    </row>
    <row r="44" spans="1:94" ht="15" customHeight="1">
      <c r="A44" s="10"/>
      <c r="B44" s="3"/>
      <c r="C44" s="17" t="s">
        <v>39</v>
      </c>
      <c r="D44" s="10"/>
      <c r="E44" s="10"/>
      <c r="F44" s="10"/>
      <c r="G44" s="142" t="s">
        <v>28</v>
      </c>
      <c r="H44" s="10" t="s">
        <v>1232</v>
      </c>
      <c r="I44" s="10"/>
      <c r="J44" s="10"/>
      <c r="K44" s="10"/>
      <c r="L44" s="80">
        <v>0.08</v>
      </c>
      <c r="M44" s="80">
        <v>6.6000000000000003E-2</v>
      </c>
      <c r="N44" s="80">
        <v>4.4999999999999998E-2</v>
      </c>
      <c r="O44" s="80">
        <v>4.2000000000000003E-2</v>
      </c>
      <c r="P44" s="80">
        <v>4.2000000000000003E-2</v>
      </c>
      <c r="Q44" s="80">
        <v>4.2000000000000003E-2</v>
      </c>
      <c r="R44" s="80">
        <v>4.2000000000000003E-2</v>
      </c>
      <c r="S44" s="80">
        <v>4.2000000000000003E-2</v>
      </c>
      <c r="T44" s="80">
        <v>4.2000000000000003E-2</v>
      </c>
      <c r="U44" s="80">
        <v>4.2000000000000003E-2</v>
      </c>
      <c r="V44" s="80">
        <v>4.2000000000000003E-2</v>
      </c>
      <c r="W44" s="80">
        <v>4.2000000000000003E-2</v>
      </c>
      <c r="X44" s="80">
        <v>4.2000000000000003E-2</v>
      </c>
      <c r="Y44" s="80">
        <v>4.2000000000000003E-2</v>
      </c>
      <c r="Z44" s="80">
        <v>4.2000000000000003E-2</v>
      </c>
      <c r="AA44" s="80">
        <v>4.2000000000000003E-2</v>
      </c>
      <c r="AB44" s="80">
        <v>4.2000000000000003E-2</v>
      </c>
      <c r="AC44" s="80">
        <v>4.2000000000000003E-2</v>
      </c>
      <c r="AD44" s="80">
        <v>4.2000000000000003E-2</v>
      </c>
      <c r="AE44" s="80">
        <v>4.2000000000000003E-2</v>
      </c>
      <c r="AF44" s="80">
        <v>4.2000000000000003E-2</v>
      </c>
      <c r="AG44" s="80">
        <v>4.2000000000000003E-2</v>
      </c>
      <c r="AH44" s="80">
        <v>4.2000000000000003E-2</v>
      </c>
      <c r="AI44" s="80">
        <v>4.2000000000000003E-2</v>
      </c>
      <c r="AJ44" s="80">
        <v>4.2000000000000003E-2</v>
      </c>
      <c r="AK44" s="80">
        <v>4.2000000000000003E-2</v>
      </c>
      <c r="AL44" s="80">
        <v>4.2000000000000003E-2</v>
      </c>
      <c r="AM44" s="80">
        <v>4.2000000000000003E-2</v>
      </c>
      <c r="AN44" s="80">
        <v>4.2000000000000003E-2</v>
      </c>
      <c r="AO44" s="80">
        <v>4.2000000000000003E-2</v>
      </c>
      <c r="AP44" s="80">
        <v>4.2000000000000003E-2</v>
      </c>
      <c r="AQ44" s="80">
        <v>4.2000000000000003E-2</v>
      </c>
      <c r="AR44" s="80">
        <v>4.2000000000000003E-2</v>
      </c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10"/>
    </row>
    <row r="45" spans="1:94" ht="15" customHeight="1">
      <c r="A45" s="10"/>
      <c r="B45" s="3"/>
      <c r="C45" s="17" t="s">
        <v>160</v>
      </c>
      <c r="D45" s="10"/>
      <c r="E45" s="10"/>
      <c r="F45" s="10"/>
      <c r="G45" s="142" t="s">
        <v>28</v>
      </c>
      <c r="H45" s="10"/>
      <c r="I45" s="10"/>
      <c r="J45" s="10"/>
      <c r="K45" s="10"/>
      <c r="L45" s="80">
        <v>0</v>
      </c>
      <c r="M45" s="80">
        <v>0</v>
      </c>
      <c r="N45" s="80">
        <v>0</v>
      </c>
      <c r="O45" s="80">
        <v>0</v>
      </c>
      <c r="P45" s="80">
        <v>0</v>
      </c>
      <c r="Q45" s="80">
        <v>0</v>
      </c>
      <c r="R45" s="80">
        <v>0</v>
      </c>
      <c r="S45" s="80">
        <v>0</v>
      </c>
      <c r="T45" s="80">
        <v>0</v>
      </c>
      <c r="U45" s="80">
        <v>0</v>
      </c>
      <c r="V45" s="80">
        <v>0</v>
      </c>
      <c r="W45" s="80">
        <v>0</v>
      </c>
      <c r="X45" s="80">
        <v>0</v>
      </c>
      <c r="Y45" s="80">
        <v>0</v>
      </c>
      <c r="Z45" s="80">
        <v>0</v>
      </c>
      <c r="AA45" s="80">
        <f>Z45</f>
        <v>0</v>
      </c>
      <c r="AB45" s="80">
        <f t="shared" ref="AB45:AH45" si="97">AA45</f>
        <v>0</v>
      </c>
      <c r="AC45" s="80">
        <f t="shared" si="97"/>
        <v>0</v>
      </c>
      <c r="AD45" s="478">
        <f t="shared" si="97"/>
        <v>0</v>
      </c>
      <c r="AE45" s="478">
        <f t="shared" si="97"/>
        <v>0</v>
      </c>
      <c r="AF45" s="478">
        <f t="shared" si="97"/>
        <v>0</v>
      </c>
      <c r="AG45" s="478">
        <f t="shared" si="97"/>
        <v>0</v>
      </c>
      <c r="AH45" s="478">
        <f t="shared" si="97"/>
        <v>0</v>
      </c>
      <c r="AI45" s="478">
        <f>AH45</f>
        <v>0</v>
      </c>
      <c r="AJ45" s="478">
        <f t="shared" ref="AJ45:AO45" si="98">AI45</f>
        <v>0</v>
      </c>
      <c r="AK45" s="478">
        <f t="shared" si="98"/>
        <v>0</v>
      </c>
      <c r="AL45" s="478">
        <f t="shared" si="98"/>
        <v>0</v>
      </c>
      <c r="AM45" s="394">
        <f t="shared" si="98"/>
        <v>0</v>
      </c>
      <c r="AN45" s="394">
        <f t="shared" si="98"/>
        <v>0</v>
      </c>
      <c r="AO45" s="394">
        <f t="shared" si="98"/>
        <v>0</v>
      </c>
      <c r="AP45" s="394">
        <f t="shared" ref="AP45" si="99">AO45</f>
        <v>0</v>
      </c>
      <c r="AQ45" s="394">
        <f t="shared" ref="AQ45" si="100">AP45</f>
        <v>0</v>
      </c>
      <c r="AR45" s="394">
        <f t="shared" ref="AR45" si="101">AQ45</f>
        <v>0</v>
      </c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10"/>
    </row>
    <row r="46" spans="1:94" ht="15" customHeight="1">
      <c r="A46" s="10"/>
      <c r="B46" s="3"/>
      <c r="C46" s="10"/>
      <c r="D46" s="17"/>
      <c r="E46" s="17"/>
      <c r="F46" s="17"/>
      <c r="G46" s="11"/>
      <c r="H46" s="10"/>
      <c r="I46" s="10"/>
      <c r="J46" s="10"/>
      <c r="K46" s="10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10"/>
    </row>
    <row r="47" spans="1:94" ht="15" customHeight="1">
      <c r="A47" s="10"/>
      <c r="B47" s="3"/>
      <c r="C47" s="41" t="s">
        <v>441</v>
      </c>
      <c r="D47" s="10"/>
      <c r="E47" s="10"/>
      <c r="F47" s="10"/>
      <c r="G47" s="142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10"/>
    </row>
    <row r="48" spans="1:94" ht="15" customHeight="1">
      <c r="A48" s="10"/>
      <c r="B48" s="3"/>
      <c r="C48" s="17" t="s">
        <v>40</v>
      </c>
      <c r="D48" s="10"/>
      <c r="E48" s="10"/>
      <c r="F48" s="10"/>
      <c r="G48" s="142" t="s">
        <v>28</v>
      </c>
      <c r="H48" s="10" t="s">
        <v>1232</v>
      </c>
      <c r="I48" s="10"/>
      <c r="J48" s="10"/>
      <c r="K48" s="10"/>
      <c r="L48" s="80">
        <v>0.08</v>
      </c>
      <c r="M48" s="80">
        <v>5.8000000000000003E-2</v>
      </c>
      <c r="N48" s="80">
        <v>0.04</v>
      </c>
      <c r="O48" s="80">
        <v>0.04</v>
      </c>
      <c r="P48" s="80">
        <v>0.04</v>
      </c>
      <c r="Q48" s="80">
        <v>0.04</v>
      </c>
      <c r="R48" s="80">
        <v>0.04</v>
      </c>
      <c r="S48" s="80">
        <v>4.0300646272306583E-2</v>
      </c>
      <c r="T48" s="80">
        <v>4.0300646272306583E-2</v>
      </c>
      <c r="U48" s="80">
        <v>4.0300646272306583E-2</v>
      </c>
      <c r="V48" s="80">
        <v>4.0300646272306583E-2</v>
      </c>
      <c r="W48" s="80">
        <v>4.0300646272306583E-2</v>
      </c>
      <c r="X48" s="80">
        <v>4.0300646272306583E-2</v>
      </c>
      <c r="Y48" s="80">
        <v>4.0300646272306583E-2</v>
      </c>
      <c r="Z48" s="80">
        <v>4.0300646272306583E-2</v>
      </c>
      <c r="AA48" s="80">
        <v>4.0300646272306583E-2</v>
      </c>
      <c r="AB48" s="80">
        <v>4.0300646272306583E-2</v>
      </c>
      <c r="AC48" s="80">
        <f t="shared" ref="AC48:AH50" si="102">AB48</f>
        <v>4.0300646272306583E-2</v>
      </c>
      <c r="AD48" s="80">
        <f t="shared" si="102"/>
        <v>4.0300646272306583E-2</v>
      </c>
      <c r="AE48" s="80">
        <f t="shared" si="102"/>
        <v>4.0300646272306583E-2</v>
      </c>
      <c r="AF48" s="80">
        <f t="shared" si="102"/>
        <v>4.0300646272306583E-2</v>
      </c>
      <c r="AG48" s="80">
        <f t="shared" si="102"/>
        <v>4.0300646272306583E-2</v>
      </c>
      <c r="AH48" s="80">
        <f t="shared" si="102"/>
        <v>4.0300646272306583E-2</v>
      </c>
      <c r="AI48" s="80">
        <f>AH48</f>
        <v>4.0300646272306583E-2</v>
      </c>
      <c r="AJ48" s="80">
        <f t="shared" ref="AJ48:AO50" si="103">AI48</f>
        <v>4.0300646272306583E-2</v>
      </c>
      <c r="AK48" s="80">
        <f t="shared" si="103"/>
        <v>4.0300646272306583E-2</v>
      </c>
      <c r="AL48" s="80">
        <f t="shared" si="103"/>
        <v>4.0300646272306583E-2</v>
      </c>
      <c r="AM48" s="394">
        <f t="shared" si="103"/>
        <v>4.0300646272306583E-2</v>
      </c>
      <c r="AN48" s="394">
        <f t="shared" si="103"/>
        <v>4.0300646272306583E-2</v>
      </c>
      <c r="AO48" s="394">
        <f t="shared" si="103"/>
        <v>4.0300646272306583E-2</v>
      </c>
      <c r="AP48" s="394">
        <f t="shared" ref="AP48:AP50" si="104">AO48</f>
        <v>4.0300646272306583E-2</v>
      </c>
      <c r="AQ48" s="394">
        <f t="shared" ref="AQ48:AQ50" si="105">AP48</f>
        <v>4.0300646272306583E-2</v>
      </c>
      <c r="AR48" s="394">
        <f t="shared" ref="AR48:AR50" si="106">AQ48</f>
        <v>4.0300646272306583E-2</v>
      </c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10"/>
    </row>
    <row r="49" spans="1:94" ht="15" customHeight="1">
      <c r="A49" s="10"/>
      <c r="B49" s="3"/>
      <c r="C49" s="17" t="s">
        <v>39</v>
      </c>
      <c r="D49" s="10"/>
      <c r="E49" s="10"/>
      <c r="F49" s="10"/>
      <c r="G49" s="142" t="s">
        <v>28</v>
      </c>
      <c r="H49" s="10" t="s">
        <v>1232</v>
      </c>
      <c r="I49" s="10"/>
      <c r="J49" s="10"/>
      <c r="K49" s="10"/>
      <c r="L49" s="80">
        <v>0.08</v>
      </c>
      <c r="M49" s="80">
        <v>6.6000000000000003E-2</v>
      </c>
      <c r="N49" s="80">
        <v>4.4999999999999998E-2</v>
      </c>
      <c r="O49" s="80">
        <v>4.2000000000000003E-2</v>
      </c>
      <c r="P49" s="80">
        <v>4.2000000000000003E-2</v>
      </c>
      <c r="Q49" s="80">
        <v>4.2000000000000003E-2</v>
      </c>
      <c r="R49" s="80">
        <v>4.2000000000000003E-2</v>
      </c>
      <c r="S49" s="80">
        <v>4.0300646272306583E-2</v>
      </c>
      <c r="T49" s="80">
        <v>4.0300646272306583E-2</v>
      </c>
      <c r="U49" s="80">
        <v>4.0300646272306583E-2</v>
      </c>
      <c r="V49" s="80">
        <v>4.0300646272306583E-2</v>
      </c>
      <c r="W49" s="80">
        <v>4.0300646272306583E-2</v>
      </c>
      <c r="X49" s="80">
        <v>4.0300646272306583E-2</v>
      </c>
      <c r="Y49" s="80">
        <v>4.0300646272306583E-2</v>
      </c>
      <c r="Z49" s="80">
        <v>4.0300646272306583E-2</v>
      </c>
      <c r="AA49" s="80">
        <v>4.0300646272306583E-2</v>
      </c>
      <c r="AB49" s="80">
        <v>4.0300646272306583E-2</v>
      </c>
      <c r="AC49" s="80">
        <f t="shared" si="102"/>
        <v>4.0300646272306583E-2</v>
      </c>
      <c r="AD49" s="80">
        <f t="shared" si="102"/>
        <v>4.0300646272306583E-2</v>
      </c>
      <c r="AE49" s="80">
        <f t="shared" si="102"/>
        <v>4.0300646272306583E-2</v>
      </c>
      <c r="AF49" s="80">
        <f t="shared" si="102"/>
        <v>4.0300646272306583E-2</v>
      </c>
      <c r="AG49" s="80">
        <f t="shared" si="102"/>
        <v>4.0300646272306583E-2</v>
      </c>
      <c r="AH49" s="80">
        <f t="shared" si="102"/>
        <v>4.0300646272306583E-2</v>
      </c>
      <c r="AI49" s="80">
        <f>AH49</f>
        <v>4.0300646272306583E-2</v>
      </c>
      <c r="AJ49" s="80">
        <f t="shared" si="103"/>
        <v>4.0300646272306583E-2</v>
      </c>
      <c r="AK49" s="80">
        <f t="shared" si="103"/>
        <v>4.0300646272306583E-2</v>
      </c>
      <c r="AL49" s="80">
        <f t="shared" si="103"/>
        <v>4.0300646272306583E-2</v>
      </c>
      <c r="AM49" s="394">
        <f t="shared" si="103"/>
        <v>4.0300646272306583E-2</v>
      </c>
      <c r="AN49" s="394">
        <f t="shared" si="103"/>
        <v>4.0300646272306583E-2</v>
      </c>
      <c r="AO49" s="394">
        <f t="shared" si="103"/>
        <v>4.0300646272306583E-2</v>
      </c>
      <c r="AP49" s="394">
        <f t="shared" si="104"/>
        <v>4.0300646272306583E-2</v>
      </c>
      <c r="AQ49" s="394">
        <f t="shared" si="105"/>
        <v>4.0300646272306583E-2</v>
      </c>
      <c r="AR49" s="394">
        <f t="shared" si="106"/>
        <v>4.0300646272306583E-2</v>
      </c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10"/>
    </row>
    <row r="50" spans="1:94" ht="15" customHeight="1">
      <c r="A50" s="10"/>
      <c r="B50" s="3"/>
      <c r="C50" s="17" t="s">
        <v>160</v>
      </c>
      <c r="D50" s="10"/>
      <c r="E50" s="10"/>
      <c r="F50" s="10"/>
      <c r="G50" s="142" t="s">
        <v>28</v>
      </c>
      <c r="H50" s="10"/>
      <c r="I50" s="10"/>
      <c r="J50" s="10"/>
      <c r="K50" s="10"/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 s="80">
        <v>0</v>
      </c>
      <c r="V50" s="80">
        <v>0</v>
      </c>
      <c r="W50" s="80">
        <v>0</v>
      </c>
      <c r="X50" s="80">
        <f>W50</f>
        <v>0</v>
      </c>
      <c r="Y50" s="80">
        <f t="shared" ref="Y50:AB50" si="107">X50</f>
        <v>0</v>
      </c>
      <c r="Z50" s="80">
        <f t="shared" si="107"/>
        <v>0</v>
      </c>
      <c r="AA50" s="80">
        <f t="shared" si="107"/>
        <v>0</v>
      </c>
      <c r="AB50" s="80">
        <f t="shared" si="107"/>
        <v>0</v>
      </c>
      <c r="AC50" s="80">
        <f t="shared" si="102"/>
        <v>0</v>
      </c>
      <c r="AD50" s="80">
        <f t="shared" si="102"/>
        <v>0</v>
      </c>
      <c r="AE50" s="80">
        <f t="shared" si="102"/>
        <v>0</v>
      </c>
      <c r="AF50" s="80">
        <f t="shared" si="102"/>
        <v>0</v>
      </c>
      <c r="AG50" s="80">
        <f t="shared" si="102"/>
        <v>0</v>
      </c>
      <c r="AH50" s="80">
        <f t="shared" si="102"/>
        <v>0</v>
      </c>
      <c r="AI50" s="80">
        <f>AH50</f>
        <v>0</v>
      </c>
      <c r="AJ50" s="80">
        <f t="shared" si="103"/>
        <v>0</v>
      </c>
      <c r="AK50" s="80">
        <f t="shared" si="103"/>
        <v>0</v>
      </c>
      <c r="AL50" s="80">
        <f t="shared" si="103"/>
        <v>0</v>
      </c>
      <c r="AM50" s="394">
        <f t="shared" si="103"/>
        <v>0</v>
      </c>
      <c r="AN50" s="394">
        <f t="shared" si="103"/>
        <v>0</v>
      </c>
      <c r="AO50" s="394">
        <f t="shared" si="103"/>
        <v>0</v>
      </c>
      <c r="AP50" s="394">
        <f t="shared" si="104"/>
        <v>0</v>
      </c>
      <c r="AQ50" s="394">
        <f t="shared" si="105"/>
        <v>0</v>
      </c>
      <c r="AR50" s="394">
        <f t="shared" si="106"/>
        <v>0</v>
      </c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10"/>
    </row>
    <row r="51" spans="1:94" ht="15" customHeight="1">
      <c r="A51" s="10"/>
      <c r="B51" s="3"/>
      <c r="C51" s="17"/>
      <c r="D51" s="10"/>
      <c r="E51" s="10"/>
      <c r="F51" s="10"/>
      <c r="G51" s="142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10"/>
    </row>
    <row r="52" spans="1:94" ht="15" customHeight="1">
      <c r="A52" s="10"/>
      <c r="B52" s="3"/>
      <c r="C52" s="41" t="s">
        <v>294</v>
      </c>
      <c r="D52" s="10"/>
      <c r="E52" s="10"/>
      <c r="F52" s="10"/>
      <c r="G52" s="142"/>
      <c r="H52" s="10" t="s">
        <v>1521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10"/>
    </row>
    <row r="53" spans="1:94" ht="15" customHeight="1">
      <c r="A53" s="10"/>
      <c r="B53" s="3"/>
      <c r="C53" s="17" t="s">
        <v>1238</v>
      </c>
      <c r="D53" s="10"/>
      <c r="E53" s="10"/>
      <c r="F53" s="10"/>
      <c r="G53" s="142" t="s">
        <v>28</v>
      </c>
      <c r="I53" s="10"/>
      <c r="J53" s="10"/>
      <c r="K53" s="10"/>
      <c r="L53" s="80">
        <v>0.17399999999999999</v>
      </c>
      <c r="M53" s="80">
        <v>0.16</v>
      </c>
      <c r="N53" s="80">
        <v>0.11</v>
      </c>
      <c r="O53" s="80">
        <v>8.5000000000000006E-2</v>
      </c>
      <c r="P53" s="80">
        <v>8.5000000000000006E-2</v>
      </c>
      <c r="Q53" s="80">
        <v>8.5000000000000006E-2</v>
      </c>
      <c r="R53" s="80">
        <v>8.5000000000000006E-2</v>
      </c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10"/>
    </row>
    <row r="54" spans="1:94" ht="15" customHeight="1">
      <c r="A54" s="10"/>
      <c r="B54" s="3"/>
      <c r="C54" s="17"/>
      <c r="D54" s="10"/>
      <c r="E54" s="10"/>
      <c r="F54" s="10"/>
      <c r="G54" s="142"/>
      <c r="H54" s="10"/>
      <c r="I54" s="10"/>
      <c r="J54" s="10"/>
      <c r="K54" s="10"/>
      <c r="L54" s="80"/>
      <c r="M54" s="80"/>
      <c r="N54" s="80"/>
      <c r="O54" s="80"/>
      <c r="P54" s="80"/>
      <c r="Q54" s="80"/>
      <c r="R54" s="80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10"/>
    </row>
    <row r="55" spans="1:94" ht="15" customHeight="1">
      <c r="A55" s="10"/>
      <c r="B55" s="3"/>
      <c r="C55" s="10"/>
      <c r="D55" s="10"/>
      <c r="E55" s="10"/>
      <c r="F55" s="10"/>
      <c r="G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10"/>
    </row>
    <row r="56" spans="1:94" ht="15" customHeight="1">
      <c r="A56" s="10"/>
      <c r="B56" s="3"/>
      <c r="C56" s="476" t="s">
        <v>110</v>
      </c>
      <c r="D56" s="476"/>
      <c r="E56" s="476"/>
      <c r="F56" s="476"/>
      <c r="G56" s="476"/>
      <c r="H56" s="476"/>
      <c r="I56" s="476"/>
      <c r="J56" s="10"/>
      <c r="K56" s="10"/>
      <c r="L56" s="475">
        <f t="shared" ref="L56:AQ56" si="108">Year_Unic</f>
        <v>2025</v>
      </c>
      <c r="M56" s="475">
        <f t="shared" si="108"/>
        <v>2026</v>
      </c>
      <c r="N56" s="475">
        <f t="shared" si="108"/>
        <v>2027</v>
      </c>
      <c r="O56" s="475">
        <f t="shared" si="108"/>
        <v>2028</v>
      </c>
      <c r="P56" s="475">
        <f t="shared" si="108"/>
        <v>2029</v>
      </c>
      <c r="Q56" s="475">
        <f t="shared" si="108"/>
        <v>2030</v>
      </c>
      <c r="R56" s="475">
        <f t="shared" si="108"/>
        <v>2031</v>
      </c>
      <c r="S56" s="475">
        <f t="shared" si="108"/>
        <v>2032</v>
      </c>
      <c r="T56" s="475">
        <f t="shared" si="108"/>
        <v>2033</v>
      </c>
      <c r="U56" s="475">
        <f t="shared" si="108"/>
        <v>2034</v>
      </c>
      <c r="V56" s="475">
        <f t="shared" si="108"/>
        <v>2035</v>
      </c>
      <c r="W56" s="475">
        <f t="shared" si="108"/>
        <v>2036</v>
      </c>
      <c r="X56" s="475">
        <f t="shared" si="108"/>
        <v>2037</v>
      </c>
      <c r="Y56" s="475">
        <f t="shared" si="108"/>
        <v>2038</v>
      </c>
      <c r="Z56" s="475">
        <f t="shared" si="108"/>
        <v>2039</v>
      </c>
      <c r="AA56" s="475">
        <f t="shared" si="108"/>
        <v>2040</v>
      </c>
      <c r="AB56" s="475">
        <f t="shared" si="108"/>
        <v>2041</v>
      </c>
      <c r="AC56" s="475">
        <f t="shared" si="108"/>
        <v>2042</v>
      </c>
      <c r="AD56" s="475">
        <f t="shared" si="108"/>
        <v>2043</v>
      </c>
      <c r="AE56" s="475">
        <f t="shared" si="108"/>
        <v>2044</v>
      </c>
      <c r="AF56" s="475">
        <f t="shared" si="108"/>
        <v>2045</v>
      </c>
      <c r="AG56" s="475">
        <f t="shared" si="108"/>
        <v>2046</v>
      </c>
      <c r="AH56" s="475">
        <f t="shared" si="108"/>
        <v>2047</v>
      </c>
      <c r="AI56" s="475">
        <f t="shared" si="108"/>
        <v>2048</v>
      </c>
      <c r="AJ56" s="475">
        <f t="shared" si="108"/>
        <v>2049</v>
      </c>
      <c r="AK56" s="475" t="str">
        <f t="shared" si="108"/>
        <v/>
      </c>
      <c r="AL56" s="475" t="str">
        <f t="shared" si="108"/>
        <v/>
      </c>
      <c r="AM56" s="475" t="str">
        <f t="shared" si="108"/>
        <v/>
      </c>
      <c r="AN56" s="475" t="str">
        <f t="shared" si="108"/>
        <v/>
      </c>
      <c r="AO56" s="475" t="str">
        <f t="shared" si="108"/>
        <v/>
      </c>
      <c r="AP56" s="475" t="str">
        <f t="shared" si="108"/>
        <v/>
      </c>
      <c r="AQ56" s="475" t="str">
        <f t="shared" si="108"/>
        <v/>
      </c>
      <c r="AR56" s="475" t="str">
        <f t="shared" ref="AR56:BW56" si="109">Year_Unic</f>
        <v/>
      </c>
      <c r="AS56" s="475" t="str">
        <f t="shared" si="109"/>
        <v/>
      </c>
      <c r="AT56" s="475" t="str">
        <f t="shared" si="109"/>
        <v/>
      </c>
      <c r="AU56" s="475" t="str">
        <f t="shared" si="109"/>
        <v/>
      </c>
      <c r="AV56" s="475" t="str">
        <f t="shared" si="109"/>
        <v/>
      </c>
      <c r="AW56" s="475" t="str">
        <f t="shared" si="109"/>
        <v/>
      </c>
      <c r="AX56" s="475" t="str">
        <f t="shared" si="109"/>
        <v/>
      </c>
      <c r="AY56" s="475" t="str">
        <f t="shared" si="109"/>
        <v/>
      </c>
      <c r="AZ56" s="475" t="str">
        <f t="shared" si="109"/>
        <v/>
      </c>
      <c r="BA56" s="475" t="str">
        <f t="shared" si="109"/>
        <v/>
      </c>
      <c r="BB56" s="475" t="str">
        <f t="shared" si="109"/>
        <v/>
      </c>
      <c r="BC56" s="475" t="str">
        <f t="shared" si="109"/>
        <v/>
      </c>
      <c r="BD56" s="475" t="str">
        <f t="shared" si="109"/>
        <v/>
      </c>
      <c r="BE56" s="475" t="str">
        <f t="shared" si="109"/>
        <v/>
      </c>
      <c r="BF56" s="475" t="str">
        <f t="shared" si="109"/>
        <v/>
      </c>
      <c r="BG56" s="475" t="str">
        <f t="shared" si="109"/>
        <v/>
      </c>
      <c r="BH56" s="475" t="str">
        <f t="shared" si="109"/>
        <v/>
      </c>
      <c r="BI56" s="475" t="str">
        <f t="shared" si="109"/>
        <v/>
      </c>
      <c r="BJ56" s="475" t="str">
        <f t="shared" si="109"/>
        <v/>
      </c>
      <c r="BK56" s="475" t="str">
        <f t="shared" si="109"/>
        <v/>
      </c>
      <c r="BL56" s="475" t="str">
        <f t="shared" si="109"/>
        <v/>
      </c>
      <c r="BM56" s="475" t="str">
        <f t="shared" si="109"/>
        <v/>
      </c>
      <c r="BN56" s="475" t="str">
        <f t="shared" si="109"/>
        <v/>
      </c>
      <c r="BO56" s="475" t="str">
        <f t="shared" si="109"/>
        <v/>
      </c>
      <c r="BP56" s="475" t="str">
        <f t="shared" si="109"/>
        <v/>
      </c>
      <c r="BQ56" s="475" t="str">
        <f t="shared" si="109"/>
        <v/>
      </c>
      <c r="BR56" s="475" t="str">
        <f t="shared" si="109"/>
        <v/>
      </c>
      <c r="BS56" s="475" t="str">
        <f t="shared" si="109"/>
        <v/>
      </c>
      <c r="BT56" s="475" t="str">
        <f t="shared" si="109"/>
        <v/>
      </c>
      <c r="BU56" s="475" t="str">
        <f t="shared" si="109"/>
        <v/>
      </c>
      <c r="BV56" s="475" t="str">
        <f t="shared" si="109"/>
        <v/>
      </c>
      <c r="BW56" s="475" t="str">
        <f t="shared" si="109"/>
        <v/>
      </c>
      <c r="BX56" s="475" t="str">
        <f t="shared" ref="BX56:CO56" si="110">Year_Unic</f>
        <v/>
      </c>
      <c r="BY56" s="475" t="str">
        <f t="shared" si="110"/>
        <v/>
      </c>
      <c r="BZ56" s="475" t="str">
        <f t="shared" si="110"/>
        <v/>
      </c>
      <c r="CA56" s="475" t="str">
        <f t="shared" si="110"/>
        <v/>
      </c>
      <c r="CB56" s="475" t="str">
        <f t="shared" si="110"/>
        <v/>
      </c>
      <c r="CC56" s="475" t="str">
        <f t="shared" si="110"/>
        <v/>
      </c>
      <c r="CD56" s="475" t="str">
        <f t="shared" si="110"/>
        <v/>
      </c>
      <c r="CE56" s="475" t="str">
        <f t="shared" si="110"/>
        <v/>
      </c>
      <c r="CF56" s="475" t="str">
        <f t="shared" si="110"/>
        <v/>
      </c>
      <c r="CG56" s="475" t="str">
        <f t="shared" si="110"/>
        <v/>
      </c>
      <c r="CH56" s="475" t="str">
        <f t="shared" si="110"/>
        <v/>
      </c>
      <c r="CI56" s="475" t="str">
        <f t="shared" si="110"/>
        <v/>
      </c>
      <c r="CJ56" s="475" t="str">
        <f t="shared" si="110"/>
        <v/>
      </c>
      <c r="CK56" s="475" t="str">
        <f t="shared" si="110"/>
        <v/>
      </c>
      <c r="CL56" s="475" t="str">
        <f t="shared" si="110"/>
        <v/>
      </c>
      <c r="CM56" s="475" t="str">
        <f t="shared" si="110"/>
        <v/>
      </c>
      <c r="CN56" s="475" t="str">
        <f t="shared" si="110"/>
        <v/>
      </c>
      <c r="CO56" s="475" t="str">
        <f t="shared" si="110"/>
        <v/>
      </c>
      <c r="CP56" s="10"/>
    </row>
    <row r="57" spans="1:94" ht="15" customHeight="1">
      <c r="A57" s="10"/>
      <c r="B57" s="10"/>
      <c r="C57" s="10"/>
      <c r="D57" s="10"/>
      <c r="E57" s="110" t="s">
        <v>443</v>
      </c>
      <c r="F57" s="10"/>
      <c r="G57" s="11"/>
      <c r="H57" s="10"/>
      <c r="I57" s="10"/>
      <c r="J57" s="10"/>
      <c r="K57" s="10"/>
      <c r="L57" s="10"/>
      <c r="M57" s="10"/>
      <c r="N57" s="157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10"/>
    </row>
    <row r="58" spans="1:94" ht="15" customHeight="1">
      <c r="A58" s="10"/>
      <c r="B58" s="3"/>
      <c r="C58" s="17" t="s">
        <v>29</v>
      </c>
      <c r="D58" s="10"/>
      <c r="E58" s="66">
        <v>1</v>
      </c>
      <c r="F58" s="10"/>
      <c r="G58" s="11" t="s">
        <v>28</v>
      </c>
      <c r="H58" s="10"/>
      <c r="I58" s="10"/>
      <c r="J58" s="10"/>
      <c r="K58" s="10"/>
      <c r="L58" s="43">
        <f t="shared" ref="L58:BW58" si="111">IFERROR(HLOOKUP(Year_Unic,$L$40:$AA$54,3+$E58),"")</f>
        <v>5.8000000000000003E-2</v>
      </c>
      <c r="M58" s="43">
        <f t="shared" si="111"/>
        <v>0.04</v>
      </c>
      <c r="N58" s="43">
        <f t="shared" si="111"/>
        <v>0.04</v>
      </c>
      <c r="O58" s="43">
        <f t="shared" si="111"/>
        <v>0.04</v>
      </c>
      <c r="P58" s="43">
        <f t="shared" si="111"/>
        <v>0.04</v>
      </c>
      <c r="Q58" s="43">
        <f t="shared" si="111"/>
        <v>0.04</v>
      </c>
      <c r="R58" s="43">
        <f t="shared" si="111"/>
        <v>0.04</v>
      </c>
      <c r="S58" s="43">
        <f t="shared" si="111"/>
        <v>0.04</v>
      </c>
      <c r="T58" s="43">
        <f t="shared" si="111"/>
        <v>0.04</v>
      </c>
      <c r="U58" s="43">
        <f t="shared" si="111"/>
        <v>0.04</v>
      </c>
      <c r="V58" s="43">
        <f t="shared" si="111"/>
        <v>0.04</v>
      </c>
      <c r="W58" s="43">
        <f t="shared" si="111"/>
        <v>0.04</v>
      </c>
      <c r="X58" s="43">
        <f t="shared" si="111"/>
        <v>0.04</v>
      </c>
      <c r="Y58" s="43">
        <f t="shared" si="111"/>
        <v>0.04</v>
      </c>
      <c r="Z58" s="43">
        <f t="shared" si="111"/>
        <v>0.04</v>
      </c>
      <c r="AA58" s="43">
        <f t="shared" si="111"/>
        <v>0.04</v>
      </c>
      <c r="AB58" s="43">
        <f t="shared" si="111"/>
        <v>0.04</v>
      </c>
      <c r="AC58" s="43">
        <f t="shared" si="111"/>
        <v>0.04</v>
      </c>
      <c r="AD58" s="43">
        <f t="shared" si="111"/>
        <v>0.04</v>
      </c>
      <c r="AE58" s="43">
        <f t="shared" si="111"/>
        <v>0.04</v>
      </c>
      <c r="AF58" s="43">
        <f t="shared" si="111"/>
        <v>0.04</v>
      </c>
      <c r="AG58" s="43">
        <f t="shared" si="111"/>
        <v>0.04</v>
      </c>
      <c r="AH58" s="43">
        <f t="shared" si="111"/>
        <v>0.04</v>
      </c>
      <c r="AI58" s="43">
        <f t="shared" si="111"/>
        <v>0.04</v>
      </c>
      <c r="AJ58" s="43">
        <f t="shared" si="111"/>
        <v>0.04</v>
      </c>
      <c r="AK58" s="43" t="str">
        <f t="shared" si="111"/>
        <v/>
      </c>
      <c r="AL58" s="43"/>
      <c r="AM58" s="43" t="str">
        <f t="shared" si="111"/>
        <v/>
      </c>
      <c r="AN58" s="43" t="str">
        <f t="shared" si="111"/>
        <v/>
      </c>
      <c r="AO58" s="43" t="str">
        <f t="shared" si="111"/>
        <v/>
      </c>
      <c r="AP58" s="43" t="str">
        <f t="shared" si="111"/>
        <v/>
      </c>
      <c r="AQ58" s="43" t="str">
        <f t="shared" si="111"/>
        <v/>
      </c>
      <c r="AR58" s="43" t="str">
        <f t="shared" si="111"/>
        <v/>
      </c>
      <c r="AS58" s="43" t="str">
        <f t="shared" si="111"/>
        <v/>
      </c>
      <c r="AT58" s="43" t="str">
        <f t="shared" si="111"/>
        <v/>
      </c>
      <c r="AU58" s="43" t="str">
        <f t="shared" si="111"/>
        <v/>
      </c>
      <c r="AV58" s="43" t="str">
        <f t="shared" si="111"/>
        <v/>
      </c>
      <c r="AW58" s="43" t="str">
        <f t="shared" si="111"/>
        <v/>
      </c>
      <c r="AX58" s="43" t="str">
        <f t="shared" si="111"/>
        <v/>
      </c>
      <c r="AY58" s="43" t="str">
        <f t="shared" si="111"/>
        <v/>
      </c>
      <c r="AZ58" s="43" t="str">
        <f t="shared" si="111"/>
        <v/>
      </c>
      <c r="BA58" s="43" t="str">
        <f t="shared" si="111"/>
        <v/>
      </c>
      <c r="BB58" s="43" t="str">
        <f t="shared" si="111"/>
        <v/>
      </c>
      <c r="BC58" s="43" t="str">
        <f t="shared" si="111"/>
        <v/>
      </c>
      <c r="BD58" s="43" t="str">
        <f t="shared" si="111"/>
        <v/>
      </c>
      <c r="BE58" s="43" t="str">
        <f t="shared" si="111"/>
        <v/>
      </c>
      <c r="BF58" s="43" t="str">
        <f t="shared" si="111"/>
        <v/>
      </c>
      <c r="BG58" s="43" t="str">
        <f t="shared" si="111"/>
        <v/>
      </c>
      <c r="BH58" s="43" t="str">
        <f t="shared" si="111"/>
        <v/>
      </c>
      <c r="BI58" s="43" t="str">
        <f t="shared" si="111"/>
        <v/>
      </c>
      <c r="BJ58" s="43" t="str">
        <f t="shared" si="111"/>
        <v/>
      </c>
      <c r="BK58" s="43" t="str">
        <f t="shared" si="111"/>
        <v/>
      </c>
      <c r="BL58" s="43" t="str">
        <f t="shared" si="111"/>
        <v/>
      </c>
      <c r="BM58" s="43" t="str">
        <f t="shared" si="111"/>
        <v/>
      </c>
      <c r="BN58" s="43" t="str">
        <f t="shared" si="111"/>
        <v/>
      </c>
      <c r="BO58" s="43" t="str">
        <f t="shared" si="111"/>
        <v/>
      </c>
      <c r="BP58" s="43" t="str">
        <f t="shared" si="111"/>
        <v/>
      </c>
      <c r="BQ58" s="43" t="str">
        <f t="shared" si="111"/>
        <v/>
      </c>
      <c r="BR58" s="43" t="str">
        <f t="shared" si="111"/>
        <v/>
      </c>
      <c r="BS58" s="43" t="str">
        <f t="shared" si="111"/>
        <v/>
      </c>
      <c r="BT58" s="43" t="str">
        <f t="shared" si="111"/>
        <v/>
      </c>
      <c r="BU58" s="43" t="str">
        <f t="shared" si="111"/>
        <v/>
      </c>
      <c r="BV58" s="43" t="str">
        <f t="shared" si="111"/>
        <v/>
      </c>
      <c r="BW58" s="43" t="str">
        <f t="shared" si="111"/>
        <v/>
      </c>
      <c r="BX58" s="43" t="str">
        <f t="shared" ref="BX58:CO58" si="112">IFERROR(HLOOKUP(Year_Unic,$L$40:$AA$54,3+$E58),"")</f>
        <v/>
      </c>
      <c r="BY58" s="43" t="str">
        <f t="shared" si="112"/>
        <v/>
      </c>
      <c r="BZ58" s="43" t="str">
        <f t="shared" si="112"/>
        <v/>
      </c>
      <c r="CA58" s="43" t="str">
        <f t="shared" si="112"/>
        <v/>
      </c>
      <c r="CB58" s="43" t="str">
        <f t="shared" si="112"/>
        <v/>
      </c>
      <c r="CC58" s="43" t="str">
        <f t="shared" si="112"/>
        <v/>
      </c>
      <c r="CD58" s="43" t="str">
        <f t="shared" si="112"/>
        <v/>
      </c>
      <c r="CE58" s="43" t="str">
        <f t="shared" si="112"/>
        <v/>
      </c>
      <c r="CF58" s="43" t="str">
        <f t="shared" si="112"/>
        <v/>
      </c>
      <c r="CG58" s="43" t="str">
        <f t="shared" si="112"/>
        <v/>
      </c>
      <c r="CH58" s="43" t="str">
        <f t="shared" si="112"/>
        <v/>
      </c>
      <c r="CI58" s="43" t="str">
        <f t="shared" si="112"/>
        <v/>
      </c>
      <c r="CJ58" s="43" t="str">
        <f t="shared" si="112"/>
        <v/>
      </c>
      <c r="CK58" s="43" t="str">
        <f t="shared" si="112"/>
        <v/>
      </c>
      <c r="CL58" s="43" t="str">
        <f t="shared" si="112"/>
        <v/>
      </c>
      <c r="CM58" s="43" t="str">
        <f t="shared" si="112"/>
        <v/>
      </c>
      <c r="CN58" s="43" t="str">
        <f t="shared" si="112"/>
        <v/>
      </c>
      <c r="CO58" s="43" t="str">
        <f t="shared" si="112"/>
        <v/>
      </c>
      <c r="CP58" s="10"/>
    </row>
    <row r="59" spans="1:94" ht="15" customHeight="1">
      <c r="A59" s="10"/>
      <c r="B59" s="3"/>
      <c r="C59" s="17" t="s">
        <v>442</v>
      </c>
      <c r="D59" s="10"/>
      <c r="E59" s="66">
        <v>1</v>
      </c>
      <c r="F59" s="10"/>
      <c r="G59" s="11" t="s">
        <v>28</v>
      </c>
      <c r="H59" s="10"/>
      <c r="I59" s="377"/>
      <c r="J59" s="10"/>
      <c r="K59" s="10"/>
      <c r="L59" s="43">
        <f t="shared" ref="L59:BW59" si="113">IFERROR(HLOOKUP(Year_Unic,$L$40:$AA$54,8+$E59),"")</f>
        <v>5.8000000000000003E-2</v>
      </c>
      <c r="M59" s="43">
        <f t="shared" si="113"/>
        <v>0.04</v>
      </c>
      <c r="N59" s="43">
        <f t="shared" si="113"/>
        <v>0.04</v>
      </c>
      <c r="O59" s="43">
        <f t="shared" si="113"/>
        <v>0.04</v>
      </c>
      <c r="P59" s="43">
        <f t="shared" si="113"/>
        <v>0.04</v>
      </c>
      <c r="Q59" s="43">
        <f t="shared" si="113"/>
        <v>0.04</v>
      </c>
      <c r="R59" s="43">
        <f t="shared" si="113"/>
        <v>4.0300646272306583E-2</v>
      </c>
      <c r="S59" s="43">
        <f t="shared" si="113"/>
        <v>4.0300646272306583E-2</v>
      </c>
      <c r="T59" s="43">
        <f t="shared" si="113"/>
        <v>4.0300646272306583E-2</v>
      </c>
      <c r="U59" s="43">
        <f t="shared" si="113"/>
        <v>4.0300646272306583E-2</v>
      </c>
      <c r="V59" s="43">
        <f t="shared" si="113"/>
        <v>4.0300646272306583E-2</v>
      </c>
      <c r="W59" s="43">
        <f t="shared" si="113"/>
        <v>4.0300646272306583E-2</v>
      </c>
      <c r="X59" s="43">
        <f t="shared" si="113"/>
        <v>4.0300646272306583E-2</v>
      </c>
      <c r="Y59" s="43">
        <f t="shared" si="113"/>
        <v>4.0300646272306583E-2</v>
      </c>
      <c r="Z59" s="43">
        <f t="shared" si="113"/>
        <v>4.0300646272306583E-2</v>
      </c>
      <c r="AA59" s="43">
        <f t="shared" si="113"/>
        <v>4.0300646272306583E-2</v>
      </c>
      <c r="AB59" s="43">
        <f t="shared" si="113"/>
        <v>4.0300646272306583E-2</v>
      </c>
      <c r="AC59" s="43">
        <f t="shared" si="113"/>
        <v>4.0300646272306583E-2</v>
      </c>
      <c r="AD59" s="43">
        <f t="shared" si="113"/>
        <v>4.0300646272306583E-2</v>
      </c>
      <c r="AE59" s="43">
        <f t="shared" si="113"/>
        <v>4.0300646272306583E-2</v>
      </c>
      <c r="AF59" s="43">
        <f t="shared" si="113"/>
        <v>4.0300646272306583E-2</v>
      </c>
      <c r="AG59" s="43">
        <f t="shared" si="113"/>
        <v>4.0300646272306583E-2</v>
      </c>
      <c r="AH59" s="43">
        <f t="shared" si="113"/>
        <v>4.0300646272306583E-2</v>
      </c>
      <c r="AI59" s="43">
        <f t="shared" si="113"/>
        <v>4.0300646272306583E-2</v>
      </c>
      <c r="AJ59" s="43">
        <f t="shared" si="113"/>
        <v>4.0300646272306583E-2</v>
      </c>
      <c r="AK59" s="43" t="str">
        <f t="shared" si="113"/>
        <v/>
      </c>
      <c r="AL59" s="43" t="str">
        <f t="shared" si="113"/>
        <v/>
      </c>
      <c r="AM59" s="43" t="str">
        <f t="shared" si="113"/>
        <v/>
      </c>
      <c r="AN59" s="43" t="str">
        <f t="shared" si="113"/>
        <v/>
      </c>
      <c r="AO59" s="43" t="str">
        <f t="shared" si="113"/>
        <v/>
      </c>
      <c r="AP59" s="43" t="str">
        <f t="shared" si="113"/>
        <v/>
      </c>
      <c r="AQ59" s="43" t="str">
        <f t="shared" si="113"/>
        <v/>
      </c>
      <c r="AR59" s="43" t="str">
        <f t="shared" si="113"/>
        <v/>
      </c>
      <c r="AS59" s="43" t="str">
        <f t="shared" si="113"/>
        <v/>
      </c>
      <c r="AT59" s="43" t="str">
        <f t="shared" si="113"/>
        <v/>
      </c>
      <c r="AU59" s="43" t="str">
        <f t="shared" si="113"/>
        <v/>
      </c>
      <c r="AV59" s="43" t="str">
        <f t="shared" si="113"/>
        <v/>
      </c>
      <c r="AW59" s="43" t="str">
        <f t="shared" si="113"/>
        <v/>
      </c>
      <c r="AX59" s="43" t="str">
        <f t="shared" si="113"/>
        <v/>
      </c>
      <c r="AY59" s="43" t="str">
        <f t="shared" si="113"/>
        <v/>
      </c>
      <c r="AZ59" s="43" t="str">
        <f t="shared" si="113"/>
        <v/>
      </c>
      <c r="BA59" s="43" t="str">
        <f t="shared" si="113"/>
        <v/>
      </c>
      <c r="BB59" s="43" t="str">
        <f t="shared" si="113"/>
        <v/>
      </c>
      <c r="BC59" s="43" t="str">
        <f t="shared" si="113"/>
        <v/>
      </c>
      <c r="BD59" s="43" t="str">
        <f t="shared" si="113"/>
        <v/>
      </c>
      <c r="BE59" s="43" t="str">
        <f t="shared" si="113"/>
        <v/>
      </c>
      <c r="BF59" s="43" t="str">
        <f t="shared" si="113"/>
        <v/>
      </c>
      <c r="BG59" s="43" t="str">
        <f t="shared" si="113"/>
        <v/>
      </c>
      <c r="BH59" s="43" t="str">
        <f t="shared" si="113"/>
        <v/>
      </c>
      <c r="BI59" s="43" t="str">
        <f t="shared" si="113"/>
        <v/>
      </c>
      <c r="BJ59" s="43" t="str">
        <f t="shared" si="113"/>
        <v/>
      </c>
      <c r="BK59" s="43" t="str">
        <f t="shared" si="113"/>
        <v/>
      </c>
      <c r="BL59" s="43" t="str">
        <f t="shared" si="113"/>
        <v/>
      </c>
      <c r="BM59" s="43" t="str">
        <f t="shared" si="113"/>
        <v/>
      </c>
      <c r="BN59" s="43" t="str">
        <f t="shared" si="113"/>
        <v/>
      </c>
      <c r="BO59" s="43" t="str">
        <f t="shared" si="113"/>
        <v/>
      </c>
      <c r="BP59" s="43" t="str">
        <f t="shared" si="113"/>
        <v/>
      </c>
      <c r="BQ59" s="43" t="str">
        <f t="shared" si="113"/>
        <v/>
      </c>
      <c r="BR59" s="43" t="str">
        <f t="shared" si="113"/>
        <v/>
      </c>
      <c r="BS59" s="43" t="str">
        <f t="shared" si="113"/>
        <v/>
      </c>
      <c r="BT59" s="43" t="str">
        <f t="shared" si="113"/>
        <v/>
      </c>
      <c r="BU59" s="43" t="str">
        <f t="shared" si="113"/>
        <v/>
      </c>
      <c r="BV59" s="43" t="str">
        <f t="shared" si="113"/>
        <v/>
      </c>
      <c r="BW59" s="43" t="str">
        <f t="shared" si="113"/>
        <v/>
      </c>
      <c r="BX59" s="43" t="str">
        <f t="shared" ref="BX59:CO59" si="114">IFERROR(HLOOKUP(Year_Unic,$L$40:$AA$54,8+$E59),"")</f>
        <v/>
      </c>
      <c r="BY59" s="43" t="str">
        <f t="shared" si="114"/>
        <v/>
      </c>
      <c r="BZ59" s="43" t="str">
        <f t="shared" si="114"/>
        <v/>
      </c>
      <c r="CA59" s="43" t="str">
        <f t="shared" si="114"/>
        <v/>
      </c>
      <c r="CB59" s="43" t="str">
        <f t="shared" si="114"/>
        <v/>
      </c>
      <c r="CC59" s="43" t="str">
        <f t="shared" si="114"/>
        <v/>
      </c>
      <c r="CD59" s="43" t="str">
        <f t="shared" si="114"/>
        <v/>
      </c>
      <c r="CE59" s="43" t="str">
        <f t="shared" si="114"/>
        <v/>
      </c>
      <c r="CF59" s="43" t="str">
        <f t="shared" si="114"/>
        <v/>
      </c>
      <c r="CG59" s="43" t="str">
        <f t="shared" si="114"/>
        <v/>
      </c>
      <c r="CH59" s="43" t="str">
        <f t="shared" si="114"/>
        <v/>
      </c>
      <c r="CI59" s="43" t="str">
        <f t="shared" si="114"/>
        <v/>
      </c>
      <c r="CJ59" s="43" t="str">
        <f t="shared" si="114"/>
        <v/>
      </c>
      <c r="CK59" s="43" t="str">
        <f t="shared" si="114"/>
        <v/>
      </c>
      <c r="CL59" s="43" t="str">
        <f t="shared" si="114"/>
        <v/>
      </c>
      <c r="CM59" s="43" t="str">
        <f t="shared" si="114"/>
        <v/>
      </c>
      <c r="CN59" s="43" t="str">
        <f t="shared" si="114"/>
        <v/>
      </c>
      <c r="CO59" s="43" t="str">
        <f t="shared" si="114"/>
        <v/>
      </c>
      <c r="CP59" s="10"/>
    </row>
    <row r="60" spans="1:94" ht="15" customHeight="1">
      <c r="A60" s="10"/>
      <c r="B60" s="3"/>
      <c r="C60" s="17" t="s">
        <v>1239</v>
      </c>
      <c r="D60" s="10"/>
      <c r="E60" s="66">
        <v>1</v>
      </c>
      <c r="F60" s="10"/>
      <c r="G60" s="11" t="s">
        <v>28</v>
      </c>
      <c r="H60" s="10"/>
      <c r="I60" s="377"/>
      <c r="J60" s="10"/>
      <c r="K60" s="10"/>
      <c r="L60" s="43">
        <f>IFERROR(HLOOKUP(Year_Unic,$L$40:$R$54,13+$E60),"")</f>
        <v>0.16</v>
      </c>
      <c r="M60" s="43">
        <f t="shared" ref="M60:BW60" si="115">IFERROR(HLOOKUP(Year_Unic,$L$40:$Q$54,13+$E60),"")</f>
        <v>0.11</v>
      </c>
      <c r="N60" s="43">
        <f t="shared" si="115"/>
        <v>8.5000000000000006E-2</v>
      </c>
      <c r="O60" s="43">
        <f t="shared" si="115"/>
        <v>8.5000000000000006E-2</v>
      </c>
      <c r="P60" s="43">
        <f t="shared" si="115"/>
        <v>8.5000000000000006E-2</v>
      </c>
      <c r="Q60" s="43">
        <f t="shared" si="115"/>
        <v>8.5000000000000006E-2</v>
      </c>
      <c r="R60" s="43">
        <f>IFERROR(HLOOKUP(Year_Unic,$L$40:$R$54,13+$E60),"")</f>
        <v>8.5000000000000006E-2</v>
      </c>
      <c r="S60" s="43">
        <f t="shared" si="115"/>
        <v>8.5000000000000006E-2</v>
      </c>
      <c r="T60" s="43">
        <f t="shared" si="115"/>
        <v>8.5000000000000006E-2</v>
      </c>
      <c r="U60" s="43">
        <f t="shared" si="115"/>
        <v>8.5000000000000006E-2</v>
      </c>
      <c r="V60" s="43">
        <f t="shared" si="115"/>
        <v>8.5000000000000006E-2</v>
      </c>
      <c r="W60" s="43">
        <f t="shared" si="115"/>
        <v>8.5000000000000006E-2</v>
      </c>
      <c r="X60" s="43">
        <f t="shared" si="115"/>
        <v>8.5000000000000006E-2</v>
      </c>
      <c r="Y60" s="43">
        <f t="shared" si="115"/>
        <v>8.5000000000000006E-2</v>
      </c>
      <c r="Z60" s="43">
        <f t="shared" si="115"/>
        <v>8.5000000000000006E-2</v>
      </c>
      <c r="AA60" s="43">
        <f t="shared" si="115"/>
        <v>8.5000000000000006E-2</v>
      </c>
      <c r="AB60" s="43">
        <f t="shared" si="115"/>
        <v>8.5000000000000006E-2</v>
      </c>
      <c r="AC60" s="43">
        <f t="shared" si="115"/>
        <v>8.5000000000000006E-2</v>
      </c>
      <c r="AD60" s="43">
        <f t="shared" si="115"/>
        <v>8.5000000000000006E-2</v>
      </c>
      <c r="AE60" s="43">
        <f t="shared" si="115"/>
        <v>8.5000000000000006E-2</v>
      </c>
      <c r="AF60" s="43">
        <f t="shared" si="115"/>
        <v>8.5000000000000006E-2</v>
      </c>
      <c r="AG60" s="43">
        <f t="shared" si="115"/>
        <v>8.5000000000000006E-2</v>
      </c>
      <c r="AH60" s="43">
        <f t="shared" si="115"/>
        <v>8.5000000000000006E-2</v>
      </c>
      <c r="AI60" s="43">
        <f t="shared" si="115"/>
        <v>8.5000000000000006E-2</v>
      </c>
      <c r="AJ60" s="43">
        <f t="shared" si="115"/>
        <v>8.5000000000000006E-2</v>
      </c>
      <c r="AK60" s="43" t="str">
        <f t="shared" si="115"/>
        <v/>
      </c>
      <c r="AL60" s="43" t="str">
        <f t="shared" si="115"/>
        <v/>
      </c>
      <c r="AM60" s="43" t="str">
        <f t="shared" si="115"/>
        <v/>
      </c>
      <c r="AN60" s="43" t="str">
        <f t="shared" si="115"/>
        <v/>
      </c>
      <c r="AO60" s="43" t="str">
        <f t="shared" si="115"/>
        <v/>
      </c>
      <c r="AP60" s="43" t="str">
        <f t="shared" si="115"/>
        <v/>
      </c>
      <c r="AQ60" s="43" t="str">
        <f t="shared" si="115"/>
        <v/>
      </c>
      <c r="AR60" s="43" t="str">
        <f t="shared" si="115"/>
        <v/>
      </c>
      <c r="AS60" s="43" t="str">
        <f t="shared" si="115"/>
        <v/>
      </c>
      <c r="AT60" s="43" t="str">
        <f t="shared" si="115"/>
        <v/>
      </c>
      <c r="AU60" s="43" t="str">
        <f t="shared" si="115"/>
        <v/>
      </c>
      <c r="AV60" s="43" t="str">
        <f t="shared" si="115"/>
        <v/>
      </c>
      <c r="AW60" s="43" t="str">
        <f t="shared" si="115"/>
        <v/>
      </c>
      <c r="AX60" s="43" t="str">
        <f t="shared" si="115"/>
        <v/>
      </c>
      <c r="AY60" s="43" t="str">
        <f t="shared" si="115"/>
        <v/>
      </c>
      <c r="AZ60" s="43" t="str">
        <f t="shared" si="115"/>
        <v/>
      </c>
      <c r="BA60" s="43" t="str">
        <f t="shared" si="115"/>
        <v/>
      </c>
      <c r="BB60" s="43" t="str">
        <f t="shared" si="115"/>
        <v/>
      </c>
      <c r="BC60" s="43" t="str">
        <f t="shared" si="115"/>
        <v/>
      </c>
      <c r="BD60" s="43" t="str">
        <f t="shared" si="115"/>
        <v/>
      </c>
      <c r="BE60" s="43" t="str">
        <f t="shared" si="115"/>
        <v/>
      </c>
      <c r="BF60" s="43" t="str">
        <f t="shared" si="115"/>
        <v/>
      </c>
      <c r="BG60" s="43" t="str">
        <f t="shared" si="115"/>
        <v/>
      </c>
      <c r="BH60" s="43" t="str">
        <f t="shared" si="115"/>
        <v/>
      </c>
      <c r="BI60" s="43" t="str">
        <f t="shared" si="115"/>
        <v/>
      </c>
      <c r="BJ60" s="43" t="str">
        <f t="shared" si="115"/>
        <v/>
      </c>
      <c r="BK60" s="43" t="str">
        <f t="shared" si="115"/>
        <v/>
      </c>
      <c r="BL60" s="43" t="str">
        <f t="shared" si="115"/>
        <v/>
      </c>
      <c r="BM60" s="43" t="str">
        <f t="shared" si="115"/>
        <v/>
      </c>
      <c r="BN60" s="43" t="str">
        <f t="shared" si="115"/>
        <v/>
      </c>
      <c r="BO60" s="43" t="str">
        <f t="shared" si="115"/>
        <v/>
      </c>
      <c r="BP60" s="43" t="str">
        <f t="shared" si="115"/>
        <v/>
      </c>
      <c r="BQ60" s="43" t="str">
        <f t="shared" si="115"/>
        <v/>
      </c>
      <c r="BR60" s="43" t="str">
        <f t="shared" si="115"/>
        <v/>
      </c>
      <c r="BS60" s="43" t="str">
        <f t="shared" si="115"/>
        <v/>
      </c>
      <c r="BT60" s="43" t="str">
        <f t="shared" si="115"/>
        <v/>
      </c>
      <c r="BU60" s="43" t="str">
        <f t="shared" si="115"/>
        <v/>
      </c>
      <c r="BV60" s="43" t="str">
        <f t="shared" si="115"/>
        <v/>
      </c>
      <c r="BW60" s="43" t="str">
        <f t="shared" si="115"/>
        <v/>
      </c>
      <c r="BX60" s="43" t="str">
        <f t="shared" ref="BX60:CO60" si="116">IFERROR(HLOOKUP(Year_Unic,$L$40:$Q$54,13+$E60),"")</f>
        <v/>
      </c>
      <c r="BY60" s="43" t="str">
        <f t="shared" si="116"/>
        <v/>
      </c>
      <c r="BZ60" s="43" t="str">
        <f t="shared" si="116"/>
        <v/>
      </c>
      <c r="CA60" s="43" t="str">
        <f t="shared" si="116"/>
        <v/>
      </c>
      <c r="CB60" s="43" t="str">
        <f t="shared" si="116"/>
        <v/>
      </c>
      <c r="CC60" s="43" t="str">
        <f t="shared" si="116"/>
        <v/>
      </c>
      <c r="CD60" s="43" t="str">
        <f t="shared" si="116"/>
        <v/>
      </c>
      <c r="CE60" s="43" t="str">
        <f t="shared" si="116"/>
        <v/>
      </c>
      <c r="CF60" s="43" t="str">
        <f t="shared" si="116"/>
        <v/>
      </c>
      <c r="CG60" s="43" t="str">
        <f t="shared" si="116"/>
        <v/>
      </c>
      <c r="CH60" s="43" t="str">
        <f t="shared" si="116"/>
        <v/>
      </c>
      <c r="CI60" s="43" t="str">
        <f t="shared" si="116"/>
        <v/>
      </c>
      <c r="CJ60" s="43" t="str">
        <f t="shared" si="116"/>
        <v/>
      </c>
      <c r="CK60" s="43" t="str">
        <f t="shared" si="116"/>
        <v/>
      </c>
      <c r="CL60" s="43" t="str">
        <f t="shared" si="116"/>
        <v/>
      </c>
      <c r="CM60" s="43" t="str">
        <f t="shared" si="116"/>
        <v/>
      </c>
      <c r="CN60" s="43" t="str">
        <f t="shared" si="116"/>
        <v/>
      </c>
      <c r="CO60" s="43" t="str">
        <f t="shared" si="116"/>
        <v/>
      </c>
      <c r="CP60" s="10"/>
    </row>
    <row r="61" spans="1:94" ht="15" customHeight="1">
      <c r="A61" s="10"/>
      <c r="B61" s="3"/>
      <c r="C61" s="17"/>
      <c r="D61" s="10"/>
      <c r="E61" s="10"/>
      <c r="F61" s="10"/>
      <c r="G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</row>
    <row r="62" spans="1:94" ht="22.5" customHeight="1">
      <c r="B62" s="5" t="s">
        <v>607</v>
      </c>
      <c r="C62" s="5"/>
      <c r="D62" s="5"/>
      <c r="E62" s="5"/>
      <c r="F62" s="5"/>
      <c r="G62" s="6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</row>
    <row r="63" spans="1:94" ht="15" customHeight="1">
      <c r="A63" s="10"/>
      <c r="B63" s="3"/>
      <c r="C63" s="17"/>
      <c r="D63" s="10"/>
      <c r="E63" s="10"/>
      <c r="F63" s="10"/>
      <c r="G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</row>
    <row r="64" spans="1:94" ht="15" customHeight="1">
      <c r="A64" s="10"/>
      <c r="B64" s="3"/>
      <c r="C64" s="438" t="s">
        <v>1135</v>
      </c>
      <c r="D64" s="439"/>
      <c r="E64" s="440"/>
      <c r="F64" s="273"/>
      <c r="G64" s="274"/>
      <c r="H64" s="273"/>
      <c r="I64" s="273"/>
      <c r="J64" s="273"/>
      <c r="K64" s="273"/>
      <c r="L64" s="273"/>
      <c r="M64" s="273"/>
      <c r="N64" s="273"/>
      <c r="O64" s="273"/>
      <c r="P64" s="273"/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273"/>
      <c r="BF64" s="273"/>
      <c r="BG64" s="273"/>
      <c r="BH64" s="273"/>
      <c r="BI64" s="273"/>
      <c r="BJ64" s="273"/>
      <c r="BK64" s="273"/>
      <c r="BL64" s="273"/>
      <c r="BM64" s="273"/>
      <c r="BN64" s="273"/>
      <c r="BO64" s="273"/>
      <c r="BP64" s="273"/>
      <c r="BQ64" s="273"/>
      <c r="BR64" s="273"/>
      <c r="BS64" s="273"/>
      <c r="BT64" s="273"/>
      <c r="BU64" s="273"/>
      <c r="BV64" s="273"/>
      <c r="BW64" s="273"/>
      <c r="BX64" s="273"/>
      <c r="BY64" s="273"/>
      <c r="BZ64" s="273"/>
      <c r="CA64" s="273"/>
      <c r="CB64" s="273"/>
      <c r="CC64" s="273"/>
      <c r="CD64" s="273"/>
      <c r="CE64" s="273"/>
      <c r="CF64" s="273"/>
      <c r="CG64" s="273"/>
      <c r="CH64" s="273"/>
      <c r="CI64" s="273"/>
      <c r="CJ64" s="273"/>
      <c r="CK64" s="273"/>
      <c r="CL64" s="273"/>
      <c r="CM64" s="273"/>
      <c r="CN64" s="273"/>
      <c r="CO64" s="273"/>
      <c r="CP64" s="10"/>
    </row>
    <row r="65" spans="1:94" ht="15" customHeight="1">
      <c r="A65" s="10"/>
      <c r="B65" s="3"/>
      <c r="C65" s="17"/>
      <c r="D65" s="10"/>
      <c r="E65" s="10"/>
      <c r="F65" s="10"/>
      <c r="G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</row>
    <row r="66" spans="1:94" ht="15" customHeight="1" thickBot="1">
      <c r="A66" s="10"/>
      <c r="B66" s="3"/>
      <c r="C66" s="449" t="s">
        <v>1130</v>
      </c>
      <c r="D66" s="447"/>
      <c r="E66" s="448"/>
      <c r="F66" s="12"/>
      <c r="G66" s="12"/>
      <c r="H66" s="12"/>
      <c r="I66" s="12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</row>
    <row r="67" spans="1:94" ht="15" customHeight="1">
      <c r="A67" s="10"/>
      <c r="B67" s="3"/>
      <c r="C67" s="17"/>
      <c r="D67" s="10"/>
      <c r="E67" s="10"/>
      <c r="F67" s="10"/>
      <c r="G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</row>
    <row r="68" spans="1:94" ht="15" customHeight="1">
      <c r="A68" s="10"/>
      <c r="B68" s="3"/>
      <c r="C68" s="17" t="s">
        <v>813</v>
      </c>
      <c r="D68" s="10"/>
      <c r="E68" s="14">
        <v>0</v>
      </c>
      <c r="F68" s="10"/>
      <c r="G68" s="11" t="s">
        <v>817</v>
      </c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</row>
    <row r="69" spans="1:94" ht="15" customHeight="1">
      <c r="A69" s="10"/>
      <c r="B69" s="3"/>
      <c r="C69" s="17" t="s">
        <v>814</v>
      </c>
      <c r="D69" s="10"/>
      <c r="E69" s="14">
        <v>1</v>
      </c>
      <c r="F69" s="10"/>
      <c r="G69" s="11" t="s">
        <v>817</v>
      </c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</row>
    <row r="70" spans="1:94" ht="15" customHeight="1">
      <c r="A70" s="10"/>
      <c r="B70" s="3"/>
      <c r="C70" s="17" t="s">
        <v>815</v>
      </c>
      <c r="D70" s="10"/>
      <c r="E70" s="14">
        <v>2</v>
      </c>
      <c r="F70" s="10"/>
      <c r="G70" s="11" t="s">
        <v>818</v>
      </c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</row>
    <row r="71" spans="1:94" ht="15" customHeight="1">
      <c r="A71" s="10"/>
      <c r="B71" s="3"/>
      <c r="C71" s="17"/>
      <c r="D71" s="10"/>
      <c r="E71" s="10"/>
      <c r="F71" s="10"/>
      <c r="G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</row>
    <row r="72" spans="1:94" ht="15" customHeight="1" thickBot="1">
      <c r="A72" s="10"/>
      <c r="B72" s="3"/>
      <c r="C72" s="449" t="s">
        <v>1131</v>
      </c>
      <c r="D72" s="447"/>
      <c r="E72" s="448"/>
      <c r="F72" s="12"/>
      <c r="G72" s="12"/>
      <c r="H72" s="12"/>
      <c r="I72" s="12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</row>
    <row r="73" spans="1:94" ht="15" customHeight="1">
      <c r="A73" s="10"/>
      <c r="B73" s="3"/>
      <c r="C73" s="17"/>
      <c r="D73" s="10"/>
      <c r="E73" s="10"/>
      <c r="F73" s="10"/>
      <c r="G73" s="11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</row>
    <row r="74" spans="1:94" ht="15" customHeight="1">
      <c r="A74" s="10"/>
      <c r="B74" s="3"/>
      <c r="C74" s="17" t="s">
        <v>825</v>
      </c>
      <c r="D74" s="10"/>
      <c r="E74" s="14">
        <v>0</v>
      </c>
      <c r="F74" s="10"/>
      <c r="G74" s="11" t="s">
        <v>817</v>
      </c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</row>
    <row r="75" spans="1:94" ht="15" customHeight="1">
      <c r="A75" s="10"/>
      <c r="B75" s="3"/>
      <c r="C75" s="17" t="s">
        <v>826</v>
      </c>
      <c r="D75" s="10"/>
      <c r="E75" s="14">
        <v>0</v>
      </c>
      <c r="F75" s="10"/>
      <c r="G75" s="11" t="s">
        <v>817</v>
      </c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</row>
    <row r="76" spans="1:94" ht="15" customHeight="1">
      <c r="A76" s="10"/>
      <c r="B76" s="3"/>
      <c r="C76" s="17" t="s">
        <v>827</v>
      </c>
      <c r="D76" s="10"/>
      <c r="E76" s="14">
        <v>0</v>
      </c>
      <c r="F76" s="10"/>
      <c r="G76" s="11" t="s">
        <v>817</v>
      </c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</row>
    <row r="77" spans="1:94" ht="15" customHeight="1">
      <c r="A77" s="10"/>
      <c r="B77" s="3"/>
      <c r="C77" s="17" t="s">
        <v>828</v>
      </c>
      <c r="D77" s="10"/>
      <c r="E77" s="14">
        <v>0</v>
      </c>
      <c r="F77" s="10"/>
      <c r="G77" s="11" t="s">
        <v>817</v>
      </c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</row>
    <row r="78" spans="1:94" ht="15" customHeight="1">
      <c r="A78" s="10"/>
      <c r="B78" s="3"/>
      <c r="C78" s="17" t="s">
        <v>829</v>
      </c>
      <c r="D78" s="10"/>
      <c r="E78" s="14">
        <v>0</v>
      </c>
      <c r="F78" s="10"/>
      <c r="G78" s="11" t="s">
        <v>817</v>
      </c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</row>
    <row r="79" spans="1:94" ht="15" customHeight="1">
      <c r="A79" s="10"/>
      <c r="B79" s="3"/>
      <c r="C79" s="17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</row>
    <row r="80" spans="1:94" ht="15" customHeight="1" thickBot="1">
      <c r="A80" s="10"/>
      <c r="B80" s="3"/>
      <c r="C80" s="449" t="s">
        <v>1132</v>
      </c>
      <c r="D80" s="447"/>
      <c r="E80" s="448"/>
      <c r="F80" s="12"/>
      <c r="G80" s="12"/>
      <c r="H80" s="12"/>
      <c r="I80" s="12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</row>
    <row r="81" spans="1:94" ht="15" customHeight="1">
      <c r="A81" s="10"/>
      <c r="B81" s="3"/>
      <c r="C81" s="17"/>
      <c r="D81" s="10"/>
      <c r="E81" s="10"/>
      <c r="F81" s="10"/>
      <c r="G81" s="11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</row>
    <row r="82" spans="1:94" ht="15" customHeight="1">
      <c r="A82" s="10"/>
      <c r="B82" s="3"/>
      <c r="C82" s="17" t="s">
        <v>839</v>
      </c>
      <c r="D82" s="10"/>
      <c r="E82" s="14">
        <v>0</v>
      </c>
      <c r="F82" s="10"/>
      <c r="G82" s="11" t="s">
        <v>817</v>
      </c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</row>
    <row r="83" spans="1:94" ht="15" customHeight="1">
      <c r="A83" s="10"/>
      <c r="B83" s="3"/>
      <c r="C83" s="17"/>
      <c r="D83" s="10"/>
      <c r="E83" s="10"/>
      <c r="F83" s="10"/>
      <c r="G83" s="11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</row>
    <row r="84" spans="1:94" ht="15" customHeight="1">
      <c r="A84" s="10"/>
      <c r="B84" s="3"/>
      <c r="C84" s="441" t="s">
        <v>1129</v>
      </c>
      <c r="D84" s="439"/>
      <c r="E84" s="440"/>
      <c r="F84" s="273"/>
      <c r="G84" s="274"/>
      <c r="H84" s="273"/>
      <c r="I84" s="273"/>
      <c r="J84" s="273"/>
      <c r="K84" s="273"/>
      <c r="L84" s="273"/>
      <c r="M84" s="273"/>
      <c r="N84" s="273"/>
      <c r="O84" s="273"/>
      <c r="P84" s="273"/>
      <c r="Q84" s="273"/>
      <c r="R84" s="273"/>
      <c r="S84" s="273"/>
      <c r="T84" s="273"/>
      <c r="U84" s="273"/>
      <c r="V84" s="273"/>
      <c r="W84" s="273"/>
      <c r="X84" s="273"/>
      <c r="Y84" s="273"/>
      <c r="Z84" s="273"/>
      <c r="AA84" s="273"/>
      <c r="AB84" s="273"/>
      <c r="AC84" s="273"/>
      <c r="AD84" s="273"/>
      <c r="AE84" s="273"/>
      <c r="AF84" s="273"/>
      <c r="AG84" s="273"/>
      <c r="AH84" s="273"/>
      <c r="AI84" s="273"/>
      <c r="AJ84" s="273"/>
      <c r="AK84" s="273"/>
      <c r="AL84" s="273"/>
      <c r="AM84" s="273"/>
      <c r="AN84" s="273"/>
      <c r="AO84" s="273"/>
      <c r="AP84" s="273"/>
      <c r="AQ84" s="273"/>
      <c r="AR84" s="273"/>
      <c r="AS84" s="273"/>
      <c r="AT84" s="273"/>
      <c r="AU84" s="273"/>
      <c r="AV84" s="273"/>
      <c r="AW84" s="273"/>
      <c r="AX84" s="273"/>
      <c r="AY84" s="273"/>
      <c r="AZ84" s="273"/>
      <c r="BA84" s="273"/>
      <c r="BB84" s="273"/>
      <c r="BC84" s="273"/>
      <c r="BD84" s="273"/>
      <c r="BE84" s="273"/>
      <c r="BF84" s="273"/>
      <c r="BG84" s="273"/>
      <c r="BH84" s="273"/>
      <c r="BI84" s="273"/>
      <c r="BJ84" s="273"/>
      <c r="BK84" s="273"/>
      <c r="BL84" s="273"/>
      <c r="BM84" s="273"/>
      <c r="BN84" s="273"/>
      <c r="BO84" s="273"/>
      <c r="BP84" s="273"/>
      <c r="BQ84" s="273"/>
      <c r="BR84" s="273"/>
      <c r="BS84" s="273"/>
      <c r="BT84" s="273"/>
      <c r="BU84" s="273"/>
      <c r="BV84" s="273"/>
      <c r="BW84" s="273"/>
      <c r="BX84" s="273"/>
      <c r="BY84" s="273"/>
      <c r="BZ84" s="273"/>
      <c r="CA84" s="273"/>
      <c r="CB84" s="273"/>
      <c r="CC84" s="273"/>
      <c r="CD84" s="273"/>
      <c r="CE84" s="273"/>
      <c r="CF84" s="273"/>
      <c r="CG84" s="273"/>
      <c r="CH84" s="273"/>
      <c r="CI84" s="273"/>
      <c r="CJ84" s="273"/>
      <c r="CK84" s="273"/>
      <c r="CL84" s="273"/>
      <c r="CM84" s="273"/>
      <c r="CN84" s="273"/>
      <c r="CO84" s="273"/>
      <c r="CP84" s="10"/>
    </row>
    <row r="85" spans="1:94" ht="15" customHeight="1">
      <c r="A85" s="10"/>
      <c r="B85" s="3"/>
      <c r="C85" s="17"/>
      <c r="D85" s="10"/>
      <c r="E85" s="10"/>
      <c r="F85" s="10"/>
      <c r="G85" s="11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</row>
    <row r="86" spans="1:94" ht="15" customHeight="1" thickBot="1">
      <c r="A86" s="10"/>
      <c r="B86" s="3"/>
      <c r="C86" s="12" t="s">
        <v>608</v>
      </c>
      <c r="D86" s="12"/>
      <c r="E86" s="12"/>
      <c r="F86" s="12"/>
      <c r="G86" s="12"/>
      <c r="H86" s="12"/>
      <c r="I86" s="12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</row>
    <row r="87" spans="1:94" ht="15" customHeight="1">
      <c r="A87" s="10"/>
      <c r="B87" s="3"/>
      <c r="C87" s="17"/>
      <c r="D87" s="10"/>
      <c r="E87" s="10"/>
      <c r="F87" s="10"/>
      <c r="G87" s="11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</row>
    <row r="88" spans="1:94" ht="15" customHeight="1">
      <c r="A88" s="10"/>
      <c r="B88" s="3"/>
      <c r="C88" s="17" t="s">
        <v>609</v>
      </c>
      <c r="D88" s="10"/>
      <c r="E88" s="14">
        <v>58600</v>
      </c>
      <c r="F88" s="10"/>
      <c r="G88" s="11" t="s">
        <v>614</v>
      </c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</row>
    <row r="89" spans="1:94" ht="15" customHeight="1">
      <c r="A89" s="10"/>
      <c r="B89" s="3"/>
      <c r="C89" s="17"/>
      <c r="D89" s="10"/>
      <c r="E89" s="17"/>
      <c r="F89" s="10"/>
      <c r="G89" s="11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</row>
    <row r="90" spans="1:94" ht="15" customHeight="1">
      <c r="A90" s="10"/>
      <c r="B90" s="3"/>
      <c r="C90" s="17" t="s">
        <v>613</v>
      </c>
      <c r="D90" s="10"/>
      <c r="E90" s="225">
        <f xml:space="preserve"> E98</f>
        <v>18689.36</v>
      </c>
      <c r="F90" s="10"/>
      <c r="G90" s="11" t="s">
        <v>614</v>
      </c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</row>
    <row r="91" spans="1:94" ht="15" customHeight="1">
      <c r="A91" s="10"/>
      <c r="B91" s="3"/>
      <c r="C91" s="17" t="s">
        <v>1218</v>
      </c>
      <c r="D91" s="10"/>
      <c r="E91" s="167">
        <v>0.9</v>
      </c>
      <c r="F91" s="10"/>
      <c r="G91" s="11" t="s">
        <v>28</v>
      </c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</row>
    <row r="92" spans="1:94" ht="15" customHeight="1">
      <c r="A92" s="10"/>
      <c r="B92" s="3"/>
      <c r="C92" s="17" t="s">
        <v>612</v>
      </c>
      <c r="D92" s="10"/>
      <c r="E92" s="225">
        <f xml:space="preserve"> E90/E91</f>
        <v>20765.955555555556</v>
      </c>
      <c r="F92" s="10"/>
      <c r="G92" s="11" t="s">
        <v>614</v>
      </c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</row>
    <row r="93" spans="1:94" ht="15" customHeight="1">
      <c r="A93" s="10"/>
      <c r="B93" s="3"/>
      <c r="C93" s="17" t="s">
        <v>611</v>
      </c>
      <c r="D93" s="10"/>
      <c r="E93" s="225">
        <f xml:space="preserve"> E92 / E109</f>
        <v>2966.5650793650793</v>
      </c>
      <c r="F93" s="10"/>
      <c r="G93" s="11" t="s">
        <v>614</v>
      </c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</row>
    <row r="94" spans="1:94" ht="15" customHeight="1">
      <c r="A94" s="10"/>
      <c r="B94" s="3"/>
      <c r="C94" s="17" t="s">
        <v>610</v>
      </c>
      <c r="D94" s="10"/>
      <c r="E94" s="225">
        <v>25143</v>
      </c>
      <c r="F94" s="10"/>
      <c r="G94" s="11" t="s">
        <v>614</v>
      </c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</row>
    <row r="95" spans="1:94" ht="15" customHeight="1">
      <c r="A95" s="10"/>
      <c r="B95" s="3"/>
      <c r="C95" s="17"/>
      <c r="D95" s="10"/>
      <c r="E95" s="226"/>
      <c r="F95" s="10"/>
      <c r="G95" s="11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</row>
    <row r="96" spans="1:94" ht="15" customHeight="1" thickBot="1">
      <c r="A96" s="10"/>
      <c r="B96" s="3"/>
      <c r="C96" s="12" t="s">
        <v>812</v>
      </c>
      <c r="D96" s="12"/>
      <c r="E96" s="12"/>
      <c r="F96" s="12"/>
      <c r="G96" s="12"/>
      <c r="H96" s="12"/>
      <c r="I96" s="12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</row>
    <row r="97" spans="1:94" ht="15" customHeight="1">
      <c r="A97" s="10"/>
      <c r="B97" s="3"/>
      <c r="C97" s="17"/>
      <c r="D97" s="10"/>
      <c r="E97" s="225"/>
      <c r="F97" s="10"/>
      <c r="G97" s="11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</row>
    <row r="98" spans="1:94" ht="15" customHeight="1">
      <c r="A98" s="10"/>
      <c r="B98" s="3"/>
      <c r="C98" s="17" t="s">
        <v>615</v>
      </c>
      <c r="D98" s="10"/>
      <c r="E98" s="225">
        <f xml:space="preserve"> SUM(E100:E107)</f>
        <v>18689.36</v>
      </c>
      <c r="F98" s="10"/>
      <c r="G98" s="11" t="s">
        <v>614</v>
      </c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</row>
    <row r="99" spans="1:94" ht="15" customHeight="1">
      <c r="A99" s="10"/>
      <c r="B99" s="3"/>
      <c r="C99" s="17"/>
      <c r="D99" s="10"/>
      <c r="E99" s="225"/>
      <c r="F99" s="10"/>
      <c r="G99" s="1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</row>
    <row r="100" spans="1:94" ht="15" customHeight="1">
      <c r="A100" s="10"/>
      <c r="B100" s="3"/>
      <c r="C100" s="17" t="s">
        <v>622</v>
      </c>
      <c r="D100" s="10"/>
      <c r="E100" s="225">
        <f xml:space="preserve"> E112 * E122 + E113 * E123 + E114 * E124+E115*E125+E116*E126+E117*E127+E118*E128+E119*E129+E130*E120</f>
        <v>6614</v>
      </c>
      <c r="F100" s="10"/>
      <c r="G100" s="11" t="s">
        <v>614</v>
      </c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</row>
    <row r="101" spans="1:94" ht="15" customHeight="1">
      <c r="A101" s="10"/>
      <c r="B101" s="3"/>
      <c r="C101" s="17" t="s">
        <v>1263</v>
      </c>
      <c r="D101" s="10"/>
      <c r="E101" s="14">
        <v>2700</v>
      </c>
      <c r="F101" s="10"/>
      <c r="G101" s="11" t="s">
        <v>614</v>
      </c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</row>
    <row r="102" spans="1:94" ht="15" customHeight="1">
      <c r="A102" s="10"/>
      <c r="B102" s="3"/>
      <c r="C102" s="17" t="s">
        <v>1264</v>
      </c>
      <c r="D102" s="10"/>
      <c r="E102" s="14">
        <v>380</v>
      </c>
      <c r="F102" s="10"/>
      <c r="G102" s="11" t="s">
        <v>614</v>
      </c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</row>
    <row r="103" spans="1:94" ht="15" customHeight="1">
      <c r="A103" s="10"/>
      <c r="B103" s="3"/>
      <c r="C103" s="17" t="s">
        <v>619</v>
      </c>
      <c r="D103" s="10"/>
      <c r="E103" s="14">
        <v>750</v>
      </c>
      <c r="F103" s="10"/>
      <c r="G103" s="11" t="s">
        <v>614</v>
      </c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</row>
    <row r="104" spans="1:94" ht="15" customHeight="1">
      <c r="A104" s="10"/>
      <c r="B104" s="3"/>
      <c r="C104" s="17" t="s">
        <v>620</v>
      </c>
      <c r="D104" s="10"/>
      <c r="E104" s="14">
        <v>1200</v>
      </c>
      <c r="F104" s="10"/>
      <c r="G104" s="11" t="s">
        <v>614</v>
      </c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</row>
    <row r="105" spans="1:94" ht="15" customHeight="1">
      <c r="A105" s="10"/>
      <c r="B105" s="3"/>
      <c r="C105" s="17" t="s">
        <v>1573</v>
      </c>
      <c r="D105" s="10"/>
      <c r="E105" s="14">
        <v>700</v>
      </c>
      <c r="F105" s="10"/>
      <c r="G105" s="11" t="s">
        <v>614</v>
      </c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</row>
    <row r="106" spans="1:94" ht="15" customHeight="1">
      <c r="A106" s="10"/>
      <c r="B106" s="3"/>
      <c r="C106" s="17" t="s">
        <v>775</v>
      </c>
      <c r="D106" s="10"/>
      <c r="E106" s="225">
        <f>SUM(E100:E105)*19%</f>
        <v>2345.36</v>
      </c>
      <c r="F106" s="10"/>
      <c r="G106" s="11" t="s">
        <v>614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</row>
    <row r="107" spans="1:94" ht="15" customHeight="1">
      <c r="A107" s="10"/>
      <c r="B107" s="3"/>
      <c r="C107" s="17" t="s">
        <v>1265</v>
      </c>
      <c r="D107" s="10"/>
      <c r="E107" s="14">
        <v>4000</v>
      </c>
      <c r="F107" s="10"/>
      <c r="G107" s="11" t="s">
        <v>614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</row>
    <row r="108" spans="1:94" ht="15" customHeight="1">
      <c r="A108" s="10"/>
      <c r="B108" s="3"/>
      <c r="C108" s="17"/>
      <c r="D108" s="10"/>
      <c r="E108" s="225"/>
      <c r="F108" s="10"/>
      <c r="G108" s="11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</row>
    <row r="109" spans="1:94" ht="15" customHeight="1">
      <c r="A109" s="10"/>
      <c r="B109" s="3"/>
      <c r="C109" s="17" t="s">
        <v>616</v>
      </c>
      <c r="D109" s="10"/>
      <c r="E109" s="14">
        <v>7</v>
      </c>
      <c r="F109" s="10"/>
      <c r="G109" s="11" t="s">
        <v>856</v>
      </c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</row>
    <row r="110" spans="1:94" ht="15" customHeight="1">
      <c r="A110" s="10"/>
      <c r="B110" s="3"/>
      <c r="C110" s="17"/>
      <c r="D110" s="10"/>
      <c r="E110" s="225"/>
      <c r="F110" s="10"/>
      <c r="G110" s="11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</row>
    <row r="111" spans="1:94" ht="15" customHeight="1">
      <c r="A111" s="10"/>
      <c r="B111" s="3"/>
      <c r="C111" s="17" t="s">
        <v>617</v>
      </c>
      <c r="D111" s="10"/>
      <c r="E111" s="225">
        <f>SUM(E112:E120)</f>
        <v>200</v>
      </c>
      <c r="F111" s="10"/>
      <c r="G111" s="11" t="s">
        <v>643</v>
      </c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</row>
    <row r="112" spans="1:94" ht="15" customHeight="1">
      <c r="A112" s="10"/>
      <c r="B112" s="3"/>
      <c r="C112" s="21" t="s">
        <v>776</v>
      </c>
      <c r="D112" s="10"/>
      <c r="E112" s="14">
        <v>128</v>
      </c>
      <c r="F112" s="10"/>
      <c r="G112" s="11" t="s">
        <v>643</v>
      </c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</row>
    <row r="113" spans="1:94" ht="15" customHeight="1">
      <c r="A113" s="10"/>
      <c r="B113" s="3"/>
      <c r="C113" s="21" t="s">
        <v>1243</v>
      </c>
      <c r="D113" s="10"/>
      <c r="E113" s="14">
        <v>55</v>
      </c>
      <c r="F113" s="10"/>
      <c r="G113" s="11" t="s">
        <v>643</v>
      </c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</row>
    <row r="114" spans="1:94" ht="15" customHeight="1">
      <c r="A114" s="10"/>
      <c r="B114" s="3"/>
      <c r="C114" s="21" t="s">
        <v>1244</v>
      </c>
      <c r="D114" s="10"/>
      <c r="E114" s="14">
        <v>10</v>
      </c>
      <c r="F114" s="10"/>
      <c r="G114" s="11" t="s">
        <v>643</v>
      </c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</row>
    <row r="115" spans="1:94" ht="15" customHeight="1">
      <c r="A115" s="10"/>
      <c r="B115" s="3"/>
      <c r="C115" s="21" t="s">
        <v>1266</v>
      </c>
      <c r="D115" s="10"/>
      <c r="E115" s="14">
        <v>2</v>
      </c>
      <c r="F115" s="10"/>
      <c r="G115" s="11" t="s">
        <v>643</v>
      </c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</row>
    <row r="116" spans="1:94" ht="15" customHeight="1">
      <c r="A116" s="10"/>
      <c r="B116" s="3"/>
      <c r="C116" s="21" t="s">
        <v>1245</v>
      </c>
      <c r="D116" s="10"/>
      <c r="E116" s="14">
        <v>5</v>
      </c>
      <c r="F116" s="10"/>
      <c r="G116" s="11" t="s">
        <v>643</v>
      </c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</row>
    <row r="117" spans="1:94" ht="15" customHeight="1">
      <c r="A117" s="10"/>
      <c r="B117" s="3"/>
      <c r="C117" s="21" t="s">
        <v>1524</v>
      </c>
      <c r="D117" s="10"/>
      <c r="E117" s="14"/>
      <c r="F117" s="10"/>
      <c r="G117" s="11" t="s">
        <v>643</v>
      </c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</row>
    <row r="118" spans="1:94" ht="15" customHeight="1">
      <c r="A118" s="10"/>
      <c r="B118" s="3"/>
      <c r="C118" s="21" t="s">
        <v>1267</v>
      </c>
      <c r="D118" s="10"/>
      <c r="E118" s="14"/>
      <c r="F118" s="10"/>
      <c r="G118" s="11" t="s">
        <v>643</v>
      </c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</row>
    <row r="119" spans="1:94" ht="15" customHeight="1">
      <c r="A119" s="10"/>
      <c r="B119" s="3"/>
      <c r="C119" s="21" t="s">
        <v>1268</v>
      </c>
      <c r="D119" s="10"/>
      <c r="E119" s="14"/>
      <c r="F119" s="10"/>
      <c r="G119" s="11" t="s">
        <v>643</v>
      </c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</row>
    <row r="120" spans="1:94" ht="15" customHeight="1">
      <c r="A120" s="10"/>
      <c r="B120" s="3"/>
      <c r="C120" s="21" t="s">
        <v>1347</v>
      </c>
      <c r="D120" s="10"/>
      <c r="E120" s="14">
        <v>0</v>
      </c>
      <c r="F120" s="10"/>
      <c r="G120" s="11" t="s">
        <v>643</v>
      </c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</row>
    <row r="121" spans="1:94" ht="15" customHeight="1">
      <c r="A121" s="10"/>
      <c r="B121" s="3"/>
      <c r="C121" s="17" t="s">
        <v>1192</v>
      </c>
      <c r="D121" s="10"/>
      <c r="E121" s="225"/>
      <c r="F121" s="10"/>
      <c r="G121" s="11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</row>
    <row r="122" spans="1:94" ht="15" customHeight="1">
      <c r="A122" s="10"/>
      <c r="B122" s="3"/>
      <c r="C122" s="21" t="s">
        <v>776</v>
      </c>
      <c r="D122" s="10"/>
      <c r="E122" s="14">
        <v>28</v>
      </c>
      <c r="F122" s="10"/>
      <c r="G122" s="11" t="s">
        <v>621</v>
      </c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</row>
    <row r="123" spans="1:94" ht="15" customHeight="1">
      <c r="A123" s="10"/>
      <c r="B123" s="3"/>
      <c r="C123" s="21" t="s">
        <v>1243</v>
      </c>
      <c r="D123" s="10"/>
      <c r="E123" s="14">
        <v>35</v>
      </c>
      <c r="F123" s="10"/>
      <c r="G123" s="11" t="s">
        <v>621</v>
      </c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</row>
    <row r="124" spans="1:94" ht="15" customHeight="1">
      <c r="A124" s="10"/>
      <c r="B124" s="3"/>
      <c r="C124" s="21" t="s">
        <v>1244</v>
      </c>
      <c r="D124" s="10"/>
      <c r="E124" s="14">
        <v>45</v>
      </c>
      <c r="F124" s="10"/>
      <c r="G124" s="11" t="s">
        <v>621</v>
      </c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</row>
    <row r="125" spans="1:94" ht="15" customHeight="1">
      <c r="A125" s="10"/>
      <c r="B125" s="3"/>
      <c r="C125" s="21" t="s">
        <v>1266</v>
      </c>
      <c r="D125" s="10"/>
      <c r="E125" s="14">
        <v>115</v>
      </c>
      <c r="F125" s="10"/>
      <c r="G125" s="11" t="s">
        <v>621</v>
      </c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</row>
    <row r="126" spans="1:94" ht="14.25" customHeight="1">
      <c r="A126" s="10"/>
      <c r="B126" s="3"/>
      <c r="C126" s="21" t="s">
        <v>1245</v>
      </c>
      <c r="D126" s="10"/>
      <c r="E126" s="14">
        <v>85</v>
      </c>
      <c r="F126" s="10"/>
      <c r="G126" s="11" t="s">
        <v>621</v>
      </c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</row>
    <row r="127" spans="1:94" ht="14.25" customHeight="1">
      <c r="A127" s="10"/>
      <c r="B127" s="3"/>
      <c r="C127" s="21" t="s">
        <v>1357</v>
      </c>
      <c r="D127" s="10"/>
      <c r="E127" s="14"/>
      <c r="F127" s="10"/>
      <c r="G127" s="11" t="s">
        <v>621</v>
      </c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</row>
    <row r="128" spans="1:94" ht="14.25" customHeight="1">
      <c r="A128" s="10"/>
      <c r="B128" s="3"/>
      <c r="C128" s="21" t="s">
        <v>1267</v>
      </c>
      <c r="D128" s="10"/>
      <c r="E128" s="14"/>
      <c r="F128" s="10"/>
      <c r="G128" s="11" t="s">
        <v>621</v>
      </c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</row>
    <row r="129" spans="1:94" ht="14.25" customHeight="1">
      <c r="A129" s="10"/>
      <c r="B129" s="3"/>
      <c r="C129" s="21" t="s">
        <v>1268</v>
      </c>
      <c r="D129" s="10"/>
      <c r="E129" s="14"/>
      <c r="F129" s="10"/>
      <c r="G129" s="11" t="s">
        <v>621</v>
      </c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</row>
    <row r="130" spans="1:94" ht="15" customHeight="1">
      <c r="A130" s="10"/>
      <c r="B130" s="3"/>
      <c r="C130" s="17" t="s">
        <v>1347</v>
      </c>
      <c r="D130" s="10"/>
      <c r="E130" s="14"/>
      <c r="F130" s="10"/>
      <c r="G130" s="11" t="s">
        <v>621</v>
      </c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</row>
    <row r="131" spans="1:94" ht="15" customHeight="1">
      <c r="A131" s="10"/>
      <c r="B131" s="3"/>
      <c r="C131" s="17" t="s">
        <v>624</v>
      </c>
      <c r="D131" s="10"/>
      <c r="E131" s="167"/>
      <c r="F131" s="10"/>
      <c r="G131" s="11" t="s">
        <v>28</v>
      </c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</row>
    <row r="132" spans="1:94" ht="15" customHeight="1">
      <c r="A132" s="10"/>
      <c r="B132" s="3"/>
      <c r="C132" s="17"/>
      <c r="D132" s="10"/>
      <c r="E132" s="10"/>
      <c r="F132" s="10"/>
      <c r="G132" s="11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</row>
    <row r="133" spans="1:94" ht="15" customHeight="1">
      <c r="A133" s="10"/>
      <c r="B133" s="3"/>
      <c r="C133" s="17"/>
      <c r="D133" s="10"/>
      <c r="E133" s="10"/>
      <c r="F133" s="10"/>
      <c r="G133" s="11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</row>
    <row r="134" spans="1:94" ht="15" customHeight="1">
      <c r="A134" s="10"/>
      <c r="B134" s="3"/>
      <c r="C134" s="442" t="s">
        <v>1250</v>
      </c>
      <c r="D134" s="439"/>
      <c r="E134" s="440"/>
      <c r="F134" s="273"/>
      <c r="G134" s="274"/>
      <c r="H134" s="273"/>
      <c r="I134" s="273"/>
      <c r="J134" s="273"/>
      <c r="K134" s="273"/>
      <c r="L134" s="273"/>
      <c r="M134" s="273"/>
      <c r="N134" s="273"/>
      <c r="O134" s="273"/>
      <c r="P134" s="273"/>
      <c r="Q134" s="273"/>
      <c r="R134" s="273"/>
      <c r="S134" s="273"/>
      <c r="T134" s="273"/>
      <c r="U134" s="273"/>
      <c r="V134" s="273"/>
      <c r="W134" s="273"/>
      <c r="X134" s="273"/>
      <c r="Y134" s="273"/>
      <c r="Z134" s="273"/>
      <c r="AA134" s="273"/>
      <c r="AB134" s="273"/>
      <c r="AC134" s="273"/>
      <c r="AD134" s="273"/>
      <c r="AE134" s="273"/>
      <c r="AF134" s="273"/>
      <c r="AG134" s="273"/>
      <c r="AH134" s="273"/>
      <c r="AI134" s="273"/>
      <c r="AJ134" s="273"/>
      <c r="AK134" s="273"/>
      <c r="AL134" s="273"/>
      <c r="AM134" s="273"/>
      <c r="AN134" s="273"/>
      <c r="AO134" s="273"/>
      <c r="AP134" s="273"/>
      <c r="AQ134" s="273"/>
      <c r="AR134" s="273"/>
      <c r="AS134" s="273"/>
      <c r="AT134" s="273"/>
      <c r="AU134" s="273"/>
      <c r="AV134" s="273"/>
      <c r="AW134" s="273"/>
      <c r="AX134" s="273"/>
      <c r="AY134" s="273"/>
      <c r="AZ134" s="273"/>
      <c r="BA134" s="273"/>
      <c r="BB134" s="273"/>
      <c r="BC134" s="273"/>
      <c r="BD134" s="273"/>
      <c r="BE134" s="273"/>
      <c r="BF134" s="273"/>
      <c r="BG134" s="273"/>
      <c r="BH134" s="273"/>
      <c r="BI134" s="273"/>
      <c r="BJ134" s="273"/>
      <c r="BK134" s="273"/>
      <c r="BL134" s="273"/>
      <c r="BM134" s="273"/>
      <c r="BN134" s="273"/>
      <c r="BO134" s="273"/>
      <c r="BP134" s="273"/>
      <c r="BQ134" s="273"/>
      <c r="BR134" s="273"/>
      <c r="BS134" s="273"/>
      <c r="BT134" s="273"/>
      <c r="BU134" s="273"/>
      <c r="BV134" s="273"/>
      <c r="BW134" s="273"/>
      <c r="BX134" s="273"/>
      <c r="BY134" s="273"/>
      <c r="BZ134" s="273"/>
      <c r="CA134" s="273"/>
      <c r="CB134" s="273"/>
      <c r="CC134" s="273"/>
      <c r="CD134" s="273"/>
      <c r="CE134" s="273"/>
      <c r="CF134" s="273"/>
      <c r="CG134" s="273"/>
      <c r="CH134" s="273"/>
      <c r="CI134" s="273"/>
      <c r="CJ134" s="273"/>
      <c r="CK134" s="273"/>
      <c r="CL134" s="273"/>
      <c r="CM134" s="273"/>
      <c r="CN134" s="273"/>
      <c r="CO134" s="273"/>
      <c r="CP134" s="10"/>
    </row>
    <row r="135" spans="1:94" ht="15" customHeight="1">
      <c r="A135" s="10"/>
      <c r="B135" s="3"/>
      <c r="C135" s="17"/>
      <c r="D135" s="10"/>
      <c r="E135" s="10"/>
      <c r="F135" s="10"/>
      <c r="G135" s="11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</row>
    <row r="136" spans="1:94" ht="15" customHeight="1" thickBot="1">
      <c r="A136" s="10"/>
      <c r="B136" s="3"/>
      <c r="C136" s="12" t="s">
        <v>985</v>
      </c>
      <c r="D136" s="12"/>
      <c r="E136" s="12"/>
      <c r="F136" s="12"/>
      <c r="G136" s="12"/>
      <c r="H136" s="12"/>
      <c r="I136" s="12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</row>
    <row r="137" spans="1:94" ht="15" customHeight="1">
      <c r="A137" s="10"/>
      <c r="B137" s="3"/>
      <c r="C137" s="17"/>
      <c r="D137" s="10"/>
      <c r="E137" s="10"/>
      <c r="F137" s="10"/>
      <c r="G137" s="11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</row>
    <row r="138" spans="1:94" ht="15" customHeight="1">
      <c r="A138" s="10"/>
      <c r="B138" s="3"/>
      <c r="C138" s="17" t="s">
        <v>1247</v>
      </c>
      <c r="D138" s="10"/>
      <c r="E138" s="14"/>
      <c r="F138" s="10"/>
      <c r="G138" s="11" t="s">
        <v>614</v>
      </c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</row>
    <row r="139" spans="1:94" ht="15" customHeight="1">
      <c r="A139" s="10"/>
      <c r="B139" s="3"/>
      <c r="C139" s="17" t="s">
        <v>1269</v>
      </c>
      <c r="D139" s="10"/>
      <c r="E139" s="14"/>
      <c r="F139" s="10"/>
      <c r="G139" s="11" t="s">
        <v>816</v>
      </c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</row>
    <row r="140" spans="1:94" ht="15" customHeight="1">
      <c r="A140" s="10"/>
      <c r="B140" s="3"/>
      <c r="C140" s="17" t="s">
        <v>1248</v>
      </c>
      <c r="D140" s="10"/>
      <c r="E140" s="14"/>
      <c r="F140" s="10"/>
      <c r="G140" s="11" t="s">
        <v>856</v>
      </c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</row>
    <row r="141" spans="1:94" ht="15" customHeight="1">
      <c r="A141" s="10"/>
      <c r="B141" s="3"/>
      <c r="C141" s="17"/>
      <c r="D141" s="10"/>
      <c r="E141" s="10"/>
      <c r="F141" s="10"/>
      <c r="G141" s="11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</row>
    <row r="142" spans="1:94" ht="15" customHeight="1">
      <c r="A142" s="10"/>
      <c r="B142" s="3"/>
      <c r="C142" s="443" t="s">
        <v>1270</v>
      </c>
      <c r="D142" s="439"/>
      <c r="E142" s="440"/>
      <c r="F142" s="273"/>
      <c r="G142" s="274"/>
      <c r="H142" s="273"/>
      <c r="I142" s="273"/>
      <c r="J142" s="273"/>
      <c r="K142" s="273"/>
      <c r="L142" s="273"/>
      <c r="M142" s="273"/>
      <c r="N142" s="273"/>
      <c r="O142" s="273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3"/>
      <c r="AG142" s="273"/>
      <c r="AH142" s="273"/>
      <c r="AI142" s="273"/>
      <c r="AJ142" s="273"/>
      <c r="AK142" s="273"/>
      <c r="AL142" s="273"/>
      <c r="AM142" s="273"/>
      <c r="AN142" s="273"/>
      <c r="AO142" s="273"/>
      <c r="AP142" s="273"/>
      <c r="AQ142" s="273"/>
      <c r="AR142" s="273"/>
      <c r="AS142" s="273"/>
      <c r="AT142" s="273"/>
      <c r="AU142" s="273"/>
      <c r="AV142" s="273"/>
      <c r="AW142" s="273"/>
      <c r="AX142" s="273"/>
      <c r="AY142" s="273"/>
      <c r="AZ142" s="273"/>
      <c r="BA142" s="273"/>
      <c r="BB142" s="273"/>
      <c r="BC142" s="273"/>
      <c r="BD142" s="273"/>
      <c r="BE142" s="273"/>
      <c r="BF142" s="273"/>
      <c r="BG142" s="273"/>
      <c r="BH142" s="273"/>
      <c r="BI142" s="273"/>
      <c r="BJ142" s="273"/>
      <c r="BK142" s="273"/>
      <c r="BL142" s="273"/>
      <c r="BM142" s="273"/>
      <c r="BN142" s="273"/>
      <c r="BO142" s="273"/>
      <c r="BP142" s="273"/>
      <c r="BQ142" s="273"/>
      <c r="BR142" s="273"/>
      <c r="BS142" s="273"/>
      <c r="BT142" s="273"/>
      <c r="BU142" s="273"/>
      <c r="BV142" s="273"/>
      <c r="BW142" s="273"/>
      <c r="BX142" s="273"/>
      <c r="BY142" s="273"/>
      <c r="BZ142" s="273"/>
      <c r="CA142" s="273"/>
      <c r="CB142" s="273"/>
      <c r="CC142" s="273"/>
      <c r="CD142" s="273"/>
      <c r="CE142" s="273"/>
      <c r="CF142" s="273"/>
      <c r="CG142" s="273"/>
      <c r="CH142" s="273"/>
      <c r="CI142" s="273"/>
      <c r="CJ142" s="273"/>
      <c r="CK142" s="273"/>
      <c r="CL142" s="273"/>
      <c r="CM142" s="273"/>
      <c r="CN142" s="273"/>
      <c r="CO142" s="273"/>
      <c r="CP142" s="10"/>
    </row>
    <row r="143" spans="1:94" ht="15" customHeight="1">
      <c r="A143" s="10"/>
      <c r="B143" s="3"/>
      <c r="C143" s="17"/>
      <c r="D143" s="10"/>
      <c r="E143" s="10"/>
      <c r="F143" s="10"/>
      <c r="G143" s="11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</row>
    <row r="144" spans="1:94" ht="15" customHeight="1" thickBot="1">
      <c r="A144" s="10"/>
      <c r="B144" s="3"/>
      <c r="C144" s="12" t="s">
        <v>985</v>
      </c>
      <c r="D144" s="12"/>
      <c r="E144" s="12"/>
      <c r="F144" s="12"/>
      <c r="G144" s="12"/>
      <c r="H144" s="12"/>
      <c r="I144" s="12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</row>
    <row r="145" spans="1:94" ht="15" customHeight="1">
      <c r="A145" s="10"/>
      <c r="B145" s="3"/>
      <c r="C145" s="17"/>
      <c r="D145" s="10"/>
      <c r="E145" s="10"/>
      <c r="F145" s="10"/>
      <c r="G145" s="11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</row>
    <row r="146" spans="1:94" ht="15" customHeight="1">
      <c r="A146" s="10"/>
      <c r="B146" s="3"/>
      <c r="C146" s="17" t="s">
        <v>1246</v>
      </c>
      <c r="D146" s="10"/>
      <c r="E146" s="14">
        <v>0</v>
      </c>
      <c r="F146" s="10"/>
      <c r="G146" s="11" t="s">
        <v>614</v>
      </c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</row>
    <row r="147" spans="1:94" ht="15" customHeight="1">
      <c r="A147" s="10"/>
      <c r="B147" s="3"/>
      <c r="C147" s="17"/>
      <c r="D147" s="10"/>
      <c r="E147" s="10"/>
      <c r="F147" s="10"/>
      <c r="G147" s="11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</row>
    <row r="148" spans="1:94" ht="22.5" customHeight="1">
      <c r="B148" s="5" t="s">
        <v>574</v>
      </c>
      <c r="C148" s="5"/>
      <c r="D148" s="5"/>
      <c r="E148" s="5"/>
      <c r="F148" s="5"/>
      <c r="G148" s="6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</row>
    <row r="149" spans="1:94" ht="15" customHeight="1">
      <c r="A149" s="10"/>
      <c r="B149" s="3"/>
      <c r="C149" s="17"/>
      <c r="D149" s="10"/>
      <c r="E149" s="10"/>
      <c r="F149" s="10"/>
      <c r="G149" s="11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</row>
    <row r="150" spans="1:94" ht="15" customHeight="1">
      <c r="A150" s="10"/>
      <c r="B150" s="3"/>
      <c r="C150" s="384" t="s">
        <v>1109</v>
      </c>
      <c r="D150" s="273"/>
      <c r="E150" s="273"/>
      <c r="F150" s="273"/>
      <c r="G150" s="274"/>
      <c r="H150" s="273"/>
      <c r="I150" s="273"/>
      <c r="J150" s="273"/>
      <c r="K150" s="273"/>
      <c r="L150" s="273"/>
      <c r="M150" s="273"/>
      <c r="N150" s="273"/>
      <c r="O150" s="273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3"/>
      <c r="AG150" s="273"/>
      <c r="AH150" s="273"/>
      <c r="AI150" s="273"/>
      <c r="AJ150" s="273"/>
      <c r="AK150" s="273"/>
      <c r="AL150" s="273"/>
      <c r="AM150" s="273"/>
      <c r="AN150" s="273"/>
      <c r="AO150" s="273"/>
      <c r="AP150" s="273"/>
      <c r="AQ150" s="273"/>
      <c r="AR150" s="273"/>
      <c r="AS150" s="273"/>
      <c r="AT150" s="273"/>
      <c r="AU150" s="273"/>
      <c r="AV150" s="273"/>
      <c r="AW150" s="273"/>
      <c r="AX150" s="273"/>
      <c r="AY150" s="273"/>
      <c r="AZ150" s="273"/>
      <c r="BA150" s="273"/>
      <c r="BB150" s="273"/>
      <c r="BC150" s="273"/>
      <c r="BD150" s="273"/>
      <c r="BE150" s="273"/>
      <c r="BF150" s="273"/>
      <c r="BG150" s="273"/>
      <c r="BH150" s="273"/>
      <c r="BI150" s="273"/>
      <c r="BJ150" s="273"/>
      <c r="BK150" s="273"/>
      <c r="BL150" s="273"/>
      <c r="BM150" s="273"/>
      <c r="BN150" s="273"/>
      <c r="BO150" s="273"/>
      <c r="BP150" s="273"/>
      <c r="BQ150" s="273"/>
      <c r="BR150" s="273"/>
      <c r="BS150" s="273"/>
      <c r="BT150" s="273"/>
      <c r="BU150" s="273"/>
      <c r="BV150" s="273"/>
      <c r="BW150" s="273"/>
      <c r="BX150" s="273"/>
      <c r="BY150" s="273"/>
      <c r="BZ150" s="273"/>
      <c r="CA150" s="273"/>
      <c r="CB150" s="273"/>
      <c r="CC150" s="273"/>
      <c r="CD150" s="273"/>
      <c r="CE150" s="273"/>
      <c r="CF150" s="273"/>
      <c r="CG150" s="273"/>
      <c r="CH150" s="273"/>
      <c r="CI150" s="273"/>
      <c r="CJ150" s="273"/>
      <c r="CK150" s="273"/>
      <c r="CL150" s="273"/>
      <c r="CM150" s="273"/>
      <c r="CN150" s="273"/>
      <c r="CO150" s="273"/>
      <c r="CP150" s="10"/>
    </row>
    <row r="151" spans="1:94" ht="15" customHeight="1">
      <c r="A151" s="10"/>
      <c r="B151" s="3"/>
      <c r="C151" s="17"/>
      <c r="D151" s="10"/>
      <c r="E151" s="10"/>
      <c r="F151" s="10"/>
      <c r="G151" s="11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</row>
    <row r="152" spans="1:94" ht="15" customHeight="1">
      <c r="A152" s="10"/>
      <c r="B152" s="3"/>
      <c r="C152" s="17" t="s">
        <v>1123</v>
      </c>
      <c r="D152" s="10"/>
      <c r="E152" s="385"/>
      <c r="F152" s="10"/>
      <c r="G152" s="11" t="str">
        <f>Monetary_Unit</f>
        <v>тыс. руб.</v>
      </c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</row>
    <row r="153" spans="1:94" ht="15" customHeight="1">
      <c r="A153" s="10"/>
      <c r="B153" s="3"/>
      <c r="C153" s="17" t="s">
        <v>1122</v>
      </c>
      <c r="D153" s="10"/>
      <c r="E153" s="385"/>
      <c r="F153" s="10"/>
      <c r="G153" s="11" t="str">
        <f>Monetary_Unit</f>
        <v>тыс. руб.</v>
      </c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</row>
    <row r="154" spans="1:94" ht="15" customHeight="1">
      <c r="A154" s="10"/>
      <c r="B154" s="3"/>
      <c r="C154" s="17" t="s">
        <v>1110</v>
      </c>
      <c r="D154" s="10"/>
      <c r="E154" s="385"/>
      <c r="F154" s="10"/>
      <c r="G154" s="11" t="str">
        <f>Monetary_Unit</f>
        <v>тыс. руб.</v>
      </c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</row>
    <row r="155" spans="1:94" ht="15" customHeight="1">
      <c r="A155" s="10"/>
      <c r="B155" s="3"/>
      <c r="C155" s="17"/>
      <c r="D155" s="17"/>
      <c r="E155" s="17"/>
      <c r="F155" s="17"/>
      <c r="G155" s="17"/>
      <c r="H155" s="17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</row>
    <row r="156" spans="1:94" ht="15" customHeight="1">
      <c r="A156" s="10"/>
      <c r="B156" s="3"/>
      <c r="C156" s="17" t="s">
        <v>1125</v>
      </c>
      <c r="D156" s="10"/>
      <c r="E156" s="71">
        <v>44834</v>
      </c>
      <c r="F156" s="10"/>
      <c r="G156" s="11" t="s">
        <v>31</v>
      </c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</row>
    <row r="157" spans="1:94" ht="15" customHeight="1">
      <c r="A157" s="10"/>
      <c r="B157" s="3"/>
      <c r="C157" s="17"/>
      <c r="D157" s="10"/>
      <c r="E157" s="10"/>
      <c r="F157" s="10"/>
      <c r="G157" s="11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</row>
    <row r="158" spans="1:94" ht="15" customHeight="1">
      <c r="A158" s="10"/>
      <c r="B158" s="3"/>
      <c r="C158" s="384" t="str">
        <f xml:space="preserve"> "Сегмент 0: " &amp; C64</f>
        <v>Сегмент 0: Общая поддерживающая инфраструктура</v>
      </c>
      <c r="D158" s="273"/>
      <c r="E158" s="273"/>
      <c r="F158" s="273"/>
      <c r="G158" s="274"/>
      <c r="H158" s="273"/>
      <c r="I158" s="273"/>
      <c r="J158" s="273"/>
      <c r="K158" s="273"/>
      <c r="L158" s="273"/>
      <c r="M158" s="273"/>
      <c r="N158" s="273"/>
      <c r="O158" s="273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3"/>
      <c r="AG158" s="273"/>
      <c r="AH158" s="273"/>
      <c r="AI158" s="273"/>
      <c r="AJ158" s="273"/>
      <c r="AK158" s="273"/>
      <c r="AL158" s="273"/>
      <c r="AM158" s="273"/>
      <c r="AN158" s="273"/>
      <c r="AO158" s="273"/>
      <c r="AP158" s="273"/>
      <c r="AQ158" s="273"/>
      <c r="AR158" s="273"/>
      <c r="AS158" s="273"/>
      <c r="AT158" s="273"/>
      <c r="AU158" s="273"/>
      <c r="AV158" s="273"/>
      <c r="AW158" s="273"/>
      <c r="AX158" s="273"/>
      <c r="AY158" s="273"/>
      <c r="AZ158" s="273"/>
      <c r="BA158" s="273"/>
      <c r="BB158" s="273"/>
      <c r="BC158" s="273"/>
      <c r="BD158" s="273"/>
      <c r="BE158" s="273"/>
      <c r="BF158" s="273"/>
      <c r="BG158" s="273"/>
      <c r="BH158" s="273"/>
      <c r="BI158" s="273"/>
      <c r="BJ158" s="273"/>
      <c r="BK158" s="273"/>
      <c r="BL158" s="273"/>
      <c r="BM158" s="273"/>
      <c r="BN158" s="273"/>
      <c r="BO158" s="273"/>
      <c r="BP158" s="273"/>
      <c r="BQ158" s="273"/>
      <c r="BR158" s="273"/>
      <c r="BS158" s="273"/>
      <c r="BT158" s="273"/>
      <c r="BU158" s="273"/>
      <c r="BV158" s="273"/>
      <c r="BW158" s="273"/>
      <c r="BX158" s="273"/>
      <c r="BY158" s="273"/>
      <c r="BZ158" s="273"/>
      <c r="CA158" s="273"/>
      <c r="CB158" s="273"/>
      <c r="CC158" s="273"/>
      <c r="CD158" s="273"/>
      <c r="CE158" s="273"/>
      <c r="CF158" s="273"/>
      <c r="CG158" s="273"/>
      <c r="CH158" s="273"/>
      <c r="CI158" s="273"/>
      <c r="CJ158" s="273"/>
      <c r="CK158" s="273"/>
      <c r="CL158" s="273"/>
      <c r="CM158" s="273"/>
      <c r="CN158" s="273"/>
      <c r="CO158" s="273"/>
      <c r="CP158" s="10"/>
    </row>
    <row r="159" spans="1:94" ht="15" customHeight="1">
      <c r="A159" s="10"/>
      <c r="B159" s="3"/>
      <c r="C159" s="17"/>
      <c r="D159" s="10"/>
      <c r="E159" s="10"/>
      <c r="F159" s="10"/>
      <c r="G159" s="11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</row>
    <row r="160" spans="1:94" ht="15" customHeight="1" thickBot="1">
      <c r="A160" s="10"/>
      <c r="B160" s="3"/>
      <c r="C160" s="12" t="str">
        <f xml:space="preserve"> "Расходы на создание " &amp; Контр_панель!C42 &amp; " (в базовых ценах, без НДС)"</f>
        <v>Расходы на создание Транспортная инфраструктура (в базовых ценах, без НДС)</v>
      </c>
      <c r="D160" s="12"/>
      <c r="E160" s="12"/>
      <c r="F160" s="12"/>
      <c r="G160" s="12"/>
      <c r="H160" s="12"/>
      <c r="I160" s="12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</row>
    <row r="161" spans="1:94" ht="15" customHeight="1">
      <c r="A161" s="10"/>
      <c r="B161" s="3"/>
      <c r="C161" s="17"/>
      <c r="D161" s="10"/>
      <c r="E161" s="10"/>
      <c r="F161" s="10"/>
      <c r="G161" s="11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</row>
    <row r="162" spans="1:94" ht="15" customHeight="1">
      <c r="A162" s="10"/>
      <c r="B162" s="3"/>
      <c r="C162" s="67" t="s">
        <v>850</v>
      </c>
      <c r="D162" s="10"/>
      <c r="E162" s="10"/>
      <c r="F162" s="10"/>
      <c r="G162" s="11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</row>
    <row r="163" spans="1:94" ht="15" customHeight="1">
      <c r="A163" s="10"/>
      <c r="B163" s="3"/>
      <c r="C163" s="17" t="s">
        <v>819</v>
      </c>
      <c r="D163" s="10"/>
      <c r="E163" s="14">
        <v>0</v>
      </c>
      <c r="F163" s="10"/>
      <c r="G163" s="11" t="s">
        <v>820</v>
      </c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</row>
    <row r="164" spans="1:94" ht="15" customHeight="1">
      <c r="A164" s="10"/>
      <c r="B164" s="3"/>
      <c r="C164" s="17" t="s">
        <v>813</v>
      </c>
      <c r="D164" s="10"/>
      <c r="E164" s="225">
        <f xml:space="preserve"> E68</f>
        <v>0</v>
      </c>
      <c r="F164" s="10"/>
      <c r="G164" s="11" t="s">
        <v>817</v>
      </c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</row>
    <row r="165" spans="1:94" ht="15" customHeight="1">
      <c r="A165" s="10"/>
      <c r="B165" s="3"/>
      <c r="C165" s="17" t="s">
        <v>821</v>
      </c>
      <c r="D165" s="10"/>
      <c r="E165" s="14">
        <v>15310</v>
      </c>
      <c r="F165" s="10"/>
      <c r="G165" s="11" t="s">
        <v>820</v>
      </c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</row>
    <row r="166" spans="1:94" ht="15" customHeight="1">
      <c r="A166" s="10"/>
      <c r="B166" s="3"/>
      <c r="C166" s="17" t="s">
        <v>814</v>
      </c>
      <c r="D166" s="10"/>
      <c r="E166" s="225">
        <f xml:space="preserve"> E69</f>
        <v>1</v>
      </c>
      <c r="F166" s="10"/>
      <c r="G166" s="11" t="s">
        <v>817</v>
      </c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</row>
    <row r="167" spans="1:94" ht="15" customHeight="1">
      <c r="A167" s="10"/>
      <c r="B167" s="3"/>
      <c r="C167" s="17" t="s">
        <v>822</v>
      </c>
      <c r="D167" s="10"/>
      <c r="E167" s="14">
        <v>3828</v>
      </c>
      <c r="F167" s="10"/>
      <c r="G167" s="11" t="s">
        <v>933</v>
      </c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</row>
    <row r="168" spans="1:94" ht="15" customHeight="1">
      <c r="A168" s="10"/>
      <c r="B168" s="3"/>
      <c r="C168" s="17" t="s">
        <v>815</v>
      </c>
      <c r="D168" s="10"/>
      <c r="E168" s="225">
        <f>E70</f>
        <v>2</v>
      </c>
      <c r="F168" s="10"/>
      <c r="G168" s="11" t="s">
        <v>818</v>
      </c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</row>
    <row r="169" spans="1:94" ht="15" customHeight="1">
      <c r="A169" s="10"/>
      <c r="B169" s="3"/>
      <c r="C169" s="249" t="s">
        <v>845</v>
      </c>
      <c r="D169" s="228"/>
      <c r="E169" s="229">
        <f xml:space="preserve"> E163 * E164 + E165 * E166 + E167 * E168</f>
        <v>22966</v>
      </c>
      <c r="F169" s="228"/>
      <c r="G169" s="230" t="str">
        <f>Monetary_Unit</f>
        <v>тыс. руб.</v>
      </c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</row>
    <row r="170" spans="1:94" ht="15" customHeight="1">
      <c r="A170" s="10"/>
      <c r="B170" s="3"/>
      <c r="C170" s="17"/>
      <c r="D170" s="10"/>
      <c r="E170" s="10"/>
      <c r="F170" s="10"/>
      <c r="G170" s="11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</row>
    <row r="171" spans="1:94" ht="15" customHeight="1">
      <c r="A171" s="10"/>
      <c r="B171" s="3"/>
      <c r="C171" s="67" t="s">
        <v>837</v>
      </c>
      <c r="D171" s="10"/>
      <c r="E171" s="10"/>
      <c r="F171" s="10"/>
      <c r="G171" s="11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</row>
    <row r="172" spans="1:94" ht="15" customHeight="1">
      <c r="A172" s="10"/>
      <c r="B172" s="3"/>
      <c r="C172" s="17" t="s">
        <v>842</v>
      </c>
      <c r="D172" s="10"/>
      <c r="E172" s="167">
        <v>0.04</v>
      </c>
      <c r="F172" s="10"/>
      <c r="G172" s="11" t="s">
        <v>627</v>
      </c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</row>
    <row r="173" spans="1:94" ht="15" customHeight="1">
      <c r="A173" s="10"/>
      <c r="B173" s="3"/>
      <c r="C173" s="17" t="s">
        <v>937</v>
      </c>
      <c r="D173" s="10"/>
      <c r="E173" s="167">
        <v>0</v>
      </c>
      <c r="F173" s="10"/>
      <c r="G173" s="11" t="s">
        <v>627</v>
      </c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</row>
    <row r="174" spans="1:94" ht="15" customHeight="1">
      <c r="A174" s="10"/>
      <c r="B174" s="3"/>
      <c r="C174" s="17" t="s">
        <v>824</v>
      </c>
      <c r="D174" s="10"/>
      <c r="E174" s="167">
        <v>0.03</v>
      </c>
      <c r="F174" s="10"/>
      <c r="G174" s="11" t="s">
        <v>627</v>
      </c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</row>
    <row r="175" spans="1:94" ht="15" customHeight="1">
      <c r="A175" s="10"/>
      <c r="B175" s="3"/>
      <c r="C175" s="17"/>
      <c r="D175" s="10"/>
      <c r="E175" s="10"/>
      <c r="F175" s="10"/>
      <c r="G175" s="11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</row>
    <row r="176" spans="1:94" ht="15" customHeight="1">
      <c r="A176" s="10"/>
      <c r="B176" s="3"/>
      <c r="C176" s="67" t="s">
        <v>851</v>
      </c>
      <c r="D176" s="10"/>
      <c r="E176" s="10" t="str">
        <f>"текушие цены на " &amp; TEXT(Расчеты!$E$85-1,"ДД.ММ.ГГГГ")</f>
        <v>текушие цены на 31.12.2024</v>
      </c>
      <c r="F176" s="10"/>
      <c r="G176" s="11"/>
      <c r="H176" s="10" t="s">
        <v>1205</v>
      </c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</row>
    <row r="177" spans="1:94" ht="15" customHeight="1">
      <c r="A177" s="10"/>
      <c r="B177" s="3"/>
      <c r="C177" s="17" t="s">
        <v>632</v>
      </c>
      <c r="D177" s="10"/>
      <c r="E177" s="225">
        <f xml:space="preserve"> E169 * E172</f>
        <v>918.64</v>
      </c>
      <c r="F177" s="10"/>
      <c r="G177" s="11" t="str">
        <f>Monetary_Unit</f>
        <v>тыс. руб.</v>
      </c>
      <c r="H177" s="10">
        <f ca="1">E177*SUMPRODUCT(L184:CO184,CAPEX_Accumulated_From_Date)</f>
        <v>951.70602513843335</v>
      </c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</row>
    <row r="178" spans="1:94" ht="15" customHeight="1">
      <c r="A178" s="10"/>
      <c r="B178" s="3"/>
      <c r="C178" s="17" t="s">
        <v>634</v>
      </c>
      <c r="D178" s="10"/>
      <c r="E178" s="225">
        <f xml:space="preserve"> E169 * E173</f>
        <v>0</v>
      </c>
      <c r="F178" s="10"/>
      <c r="G178" s="11" t="str">
        <f>Monetary_Unit</f>
        <v>тыс. руб.</v>
      </c>
      <c r="H178" s="10">
        <f ca="1">E178*SUMPRODUCT(L185:CO185,CAPEX_Accumulated_From_Date)</f>
        <v>0</v>
      </c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</row>
    <row r="179" spans="1:94" ht="15" customHeight="1">
      <c r="A179" s="10"/>
      <c r="B179" s="3"/>
      <c r="C179" s="17" t="s">
        <v>848</v>
      </c>
      <c r="D179" s="10"/>
      <c r="E179" s="225">
        <f>E169</f>
        <v>22966</v>
      </c>
      <c r="F179" s="10"/>
      <c r="G179" s="11" t="str">
        <f>Monetary_Unit</f>
        <v>тыс. руб.</v>
      </c>
      <c r="H179" s="10">
        <f ca="1">E179*SUMPRODUCT(L186:CO186,CAPEX_Accumulated_From_Date)</f>
        <v>26041.836522187514</v>
      </c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</row>
    <row r="180" spans="1:94" ht="15" customHeight="1">
      <c r="A180" s="10"/>
      <c r="B180" s="3"/>
      <c r="C180" s="17" t="s">
        <v>824</v>
      </c>
      <c r="D180" s="10"/>
      <c r="E180" s="225">
        <f xml:space="preserve"> E179 * E174</f>
        <v>688.98</v>
      </c>
      <c r="F180" s="10"/>
      <c r="G180" s="11" t="str">
        <f>Monetary_Unit</f>
        <v>тыс. руб.</v>
      </c>
      <c r="H180" s="225">
        <f ca="1" xml:space="preserve"> H179 * E174</f>
        <v>781.25509566562539</v>
      </c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</row>
    <row r="181" spans="1:94" ht="15" customHeight="1">
      <c r="A181" s="10"/>
      <c r="B181" s="3"/>
      <c r="C181" s="249" t="s">
        <v>854</v>
      </c>
      <c r="D181" s="228"/>
      <c r="E181" s="229">
        <f>SUM(E177:E180)</f>
        <v>24573.62</v>
      </c>
      <c r="F181" s="228"/>
      <c r="G181" s="230" t="str">
        <f>Monetary_Unit</f>
        <v>тыс. руб.</v>
      </c>
      <c r="H181" s="229">
        <f ca="1">SUM(H177:H180)</f>
        <v>27774.797642991573</v>
      </c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</row>
    <row r="182" spans="1:94" ht="15" customHeight="1">
      <c r="A182" s="10"/>
      <c r="B182" s="3"/>
      <c r="C182" s="17"/>
      <c r="D182" s="10"/>
      <c r="E182" s="10"/>
      <c r="F182" s="10"/>
      <c r="G182" s="11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</row>
    <row r="183" spans="1:94" ht="15" customHeight="1">
      <c r="A183" s="10"/>
      <c r="B183" s="3"/>
      <c r="C183" s="67" t="s">
        <v>853</v>
      </c>
      <c r="D183" s="10"/>
      <c r="E183" s="10" t="s">
        <v>637</v>
      </c>
      <c r="F183" s="10"/>
      <c r="G183" s="11" t="s">
        <v>638</v>
      </c>
      <c r="H183" s="62" t="s">
        <v>650</v>
      </c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</row>
    <row r="184" spans="1:94" ht="15" customHeight="1">
      <c r="A184" s="10"/>
      <c r="B184" s="3"/>
      <c r="C184" s="17" t="s">
        <v>632</v>
      </c>
      <c r="D184" s="10"/>
      <c r="E184" s="71">
        <v>45658</v>
      </c>
      <c r="F184" s="10"/>
      <c r="G184" s="479">
        <v>46022</v>
      </c>
      <c r="H184" s="149">
        <f xml:space="preserve"> IFERROR((DATEDIF(E184,G184,"m") + 1) / Months_in_Period,0)</f>
        <v>4</v>
      </c>
      <c r="I184" s="231">
        <f>IF(SUM(L184:CO184)=0,1,SUM(L184:CO184))</f>
        <v>1</v>
      </c>
      <c r="J184" s="10"/>
      <c r="K184" s="10"/>
      <c r="L184" s="231">
        <f xml:space="preserve"> IFERROR(($E184&gt;0)*($E184 &lt;=End_of_period) * ($G184 &gt;=Beginning_of_period) * (1-SUM($K184:K184)) /  IFERROR((DATEDIF(Beginning_of_period,$G184,"m") + 1) / Months_in_Period,0),0)</f>
        <v>0.25</v>
      </c>
      <c r="M184" s="231">
        <f xml:space="preserve"> IFERROR(($E184&gt;0)*($E184 &lt;=End_of_period) * ($G184 &gt;=Beginning_of_period) * (1-SUM($K184:L184)) /  IFERROR((DATEDIF(Beginning_of_period,$G184,"m") + 1) / Months_in_Period,0),0)</f>
        <v>0.25</v>
      </c>
      <c r="N184" s="231">
        <f xml:space="preserve"> IFERROR(($E184&gt;0)*($E184 &lt;=End_of_period) * ($G184 &gt;=Beginning_of_period) * (1-SUM($K184:M184)) /  IFERROR((DATEDIF(Beginning_of_period,$G184,"m") + 1) / Months_in_Period,0),0)</f>
        <v>0.25</v>
      </c>
      <c r="O184" s="231">
        <f xml:space="preserve"> IFERROR(($E184&gt;0)*($E184 &lt;=End_of_period) * ($G184 &gt;=Beginning_of_period) * (1-SUM($K184:N184)) /  IFERROR((DATEDIF(Beginning_of_period,$G184,"m") + 1) / Months_in_Period,0),0)</f>
        <v>0.25</v>
      </c>
      <c r="P184" s="231">
        <f xml:space="preserve"> IFERROR(($E184&gt;0)*($E184 &lt;=End_of_period) * ($G184 &gt;=Beginning_of_period) * (1-SUM($K184:O184)) /  IFERROR((DATEDIF(Beginning_of_period,$G184,"m") + 1) / Months_in_Period,0),0)</f>
        <v>0</v>
      </c>
      <c r="Q184" s="231">
        <f xml:space="preserve"> IFERROR(($E184&gt;0)*($E184 &lt;=End_of_period) * ($G184 &gt;=Beginning_of_period) * (1-SUM($K184:P184)) /  IFERROR((DATEDIF(Beginning_of_period,$G184,"m") + 1) / Months_in_Period,0),0)</f>
        <v>0</v>
      </c>
      <c r="R184" s="231">
        <f xml:space="preserve"> IFERROR(($E184&gt;0)*($E184 &lt;=End_of_period) * ($G184 &gt;=Beginning_of_period) * (1-SUM($K184:Q184)) /  IFERROR((DATEDIF(Beginning_of_period,$G184,"m") + 1) / Months_in_Period,0),0)</f>
        <v>0</v>
      </c>
      <c r="S184" s="231">
        <f xml:space="preserve"> IFERROR(($E184&gt;0)*($E184 &lt;=End_of_period) * ($G184 &gt;=Beginning_of_period) * (1-SUM($K184:R184)) /  IFERROR((DATEDIF(Beginning_of_period,$G184,"m") + 1) / Months_in_Period,0),0)</f>
        <v>0</v>
      </c>
      <c r="T184" s="231">
        <f xml:space="preserve"> IFERROR(($E184&gt;0)*($E184 &lt;=End_of_period) * ($G184 &gt;=Beginning_of_period) * (1-SUM($K184:S184)) /  IFERROR((DATEDIF(Beginning_of_period,$G184,"m") + 1) / Months_in_Period,0),0)</f>
        <v>0</v>
      </c>
      <c r="U184" s="231">
        <f xml:space="preserve"> IFERROR(($E184&gt;0)*($E184 &lt;=End_of_period) * ($G184 &gt;=Beginning_of_period) * (1-SUM($K184:T184)) /  IFERROR((DATEDIF(Beginning_of_period,$G184,"m") + 1) / Months_in_Period,0),0)</f>
        <v>0</v>
      </c>
      <c r="V184" s="231">
        <f xml:space="preserve"> IFERROR(($E184&gt;0)*($E184 &lt;=End_of_period) * ($G184 &gt;=Beginning_of_period) * (1-SUM($K184:U184)) /  IFERROR((DATEDIF(Beginning_of_period,$G184,"m") + 1) / Months_in_Period,0),0)</f>
        <v>0</v>
      </c>
      <c r="W184" s="231">
        <f xml:space="preserve"> IFERROR(($E184&gt;0)*($E184 &lt;=End_of_period) * ($G184 &gt;=Beginning_of_period) * (1-SUM($K184:V184)) /  IFERROR((DATEDIF(Beginning_of_period,$G184,"m") + 1) / Months_in_Period,0),0)</f>
        <v>0</v>
      </c>
      <c r="X184" s="231">
        <f xml:space="preserve"> IFERROR(($E184&gt;0)*($E184 &lt;=End_of_period) * ($G184 &gt;=Beginning_of_period) * (1-SUM($K184:W184)) /  IFERROR((DATEDIF(Beginning_of_period,$G184,"m") + 1) / Months_in_Period,0),0)</f>
        <v>0</v>
      </c>
      <c r="Y184" s="231">
        <f xml:space="preserve"> IFERROR(($E184&gt;0)*($E184 &lt;=End_of_period) * ($G184 &gt;=Beginning_of_period) * (1-SUM($K184:X184)) /  IFERROR((DATEDIF(Beginning_of_period,$G184,"m") + 1) / Months_in_Period,0),0)</f>
        <v>0</v>
      </c>
      <c r="Z184" s="231">
        <f xml:space="preserve"> IFERROR(($E184&gt;0)*($E184 &lt;=End_of_period) * ($G184 &gt;=Beginning_of_period) * (1-SUM($K184:Y184)) /  IFERROR((DATEDIF(Beginning_of_period,$G184,"m") + 1) / Months_in_Period,0),0)</f>
        <v>0</v>
      </c>
      <c r="AA184" s="231">
        <f xml:space="preserve"> IFERROR(($E184&gt;0)*($E184 &lt;=End_of_period) * ($G184 &gt;=Beginning_of_period) * (1-SUM($K184:Z184)) /  IFERROR((DATEDIF(Beginning_of_period,$G184,"m") + 1) / Months_in_Period,0),0)</f>
        <v>0</v>
      </c>
      <c r="AB184" s="231">
        <f xml:space="preserve"> IFERROR(($E184&gt;0)*($E184 &lt;=End_of_period) * ($G184 &gt;=Beginning_of_period) * (1-SUM($K184:AA184)) /  IFERROR((DATEDIF(Beginning_of_period,$G184,"m") + 1) / Months_in_Period,0),0)</f>
        <v>0</v>
      </c>
      <c r="AC184" s="231">
        <f xml:space="preserve"> IFERROR(($E184&gt;0)*($E184 &lt;=End_of_period) * ($G184 &gt;=Beginning_of_period) * (1-SUM($K184:AB184)) /  IFERROR((DATEDIF(Beginning_of_period,$G184,"m") + 1) / Months_in_Period,0),0)</f>
        <v>0</v>
      </c>
      <c r="AD184" s="231">
        <f xml:space="preserve"> IFERROR(($E184&gt;0)*($E184 &lt;=End_of_period) * ($G184 &gt;=Beginning_of_period) * (1-SUM($K184:AC184)) /  IFERROR((DATEDIF(Beginning_of_period,$G184,"m") + 1) / Months_in_Period,0),0)</f>
        <v>0</v>
      </c>
      <c r="AE184" s="231">
        <f xml:space="preserve"> IFERROR(($E184&gt;0)*($E184 &lt;=End_of_period) * ($G184 &gt;=Beginning_of_period) * (1-SUM($K184:AD184)) /  IFERROR((DATEDIF(Beginning_of_period,$G184,"m") + 1) / Months_in_Period,0),0)</f>
        <v>0</v>
      </c>
      <c r="AF184" s="231">
        <f xml:space="preserve"> IFERROR(($E184&gt;0)*($E184 &lt;=End_of_period) * ($G184 &gt;=Beginning_of_period) * (1-SUM($K184:AE184)) /  IFERROR((DATEDIF(Beginning_of_period,$G184,"m") + 1) / Months_in_Period,0),0)</f>
        <v>0</v>
      </c>
      <c r="AG184" s="231">
        <f xml:space="preserve"> IFERROR(($E184&gt;0)*($E184 &lt;=End_of_period) * ($G184 &gt;=Beginning_of_period) * (1-SUM($K184:AF184)) /  IFERROR((DATEDIF(Beginning_of_period,$G184,"m") + 1) / Months_in_Period,0),0)</f>
        <v>0</v>
      </c>
      <c r="AH184" s="231">
        <f xml:space="preserve"> IFERROR(($E184&gt;0)*($E184 &lt;=End_of_period) * ($G184 &gt;=Beginning_of_period) * (1-SUM($K184:AG184)) /  IFERROR((DATEDIF(Beginning_of_period,$G184,"m") + 1) / Months_in_Period,0),0)</f>
        <v>0</v>
      </c>
      <c r="AI184" s="231">
        <f xml:space="preserve"> IFERROR(($E184&gt;0)*($E184 &lt;=End_of_period) * ($G184 &gt;=Beginning_of_period) * (1-SUM($K184:AH184)) /  IFERROR((DATEDIF(Beginning_of_period,$G184,"m") + 1) / Months_in_Period,0),0)</f>
        <v>0</v>
      </c>
      <c r="AJ184" s="231">
        <f xml:space="preserve"> IFERROR(($E184&gt;0)*($E184 &lt;=End_of_period) * ($G184 &gt;=Beginning_of_period) * (1-SUM($K184:AI184)) /  IFERROR((DATEDIF(Beginning_of_period,$G184,"m") + 1) / Months_in_Period,0),0)</f>
        <v>0</v>
      </c>
      <c r="AK184" s="231">
        <f xml:space="preserve"> IFERROR(($E184&gt;0)*($E184 &lt;=End_of_period) * ($G184 &gt;=Beginning_of_period) * (1-SUM($K184:AJ184)) /  IFERROR((DATEDIF(Beginning_of_period,$G184,"m") + 1) / Months_in_Period,0),0)</f>
        <v>0</v>
      </c>
      <c r="AL184" s="231">
        <f xml:space="preserve"> IFERROR(($E184&gt;0)*($E184 &lt;=End_of_period) * ($G184 &gt;=Beginning_of_period) * (1-SUM($K184:AK184)) /  IFERROR((DATEDIF(Beginning_of_period,$G184,"m") + 1) / Months_in_Period,0),0)</f>
        <v>0</v>
      </c>
      <c r="AM184" s="231">
        <f xml:space="preserve"> IFERROR(($E184&gt;0)*($E184 &lt;=End_of_period) * ($G184 &gt;=Beginning_of_period) * (1-SUM($K184:AL184)) /  IFERROR((DATEDIF(Beginning_of_period,$G184,"m") + 1) / Months_in_Period,0),0)</f>
        <v>0</v>
      </c>
      <c r="AN184" s="231">
        <f xml:space="preserve"> IFERROR(($E184&gt;0)*($E184 &lt;=End_of_period) * ($G184 &gt;=Beginning_of_period) * (1-SUM($K184:AM184)) /  IFERROR((DATEDIF(Beginning_of_period,$G184,"m") + 1) / Months_in_Period,0),0)</f>
        <v>0</v>
      </c>
      <c r="AO184" s="231">
        <f xml:space="preserve"> IFERROR(($E184&gt;0)*($E184 &lt;=End_of_period) * ($G184 &gt;=Beginning_of_period) * (1-SUM($K184:AN184)) /  IFERROR((DATEDIF(Beginning_of_period,$G184,"m") + 1) / Months_in_Period,0),0)</f>
        <v>0</v>
      </c>
      <c r="AP184" s="231">
        <f xml:space="preserve"> IFERROR(($E184&gt;0)*($E184 &lt;=End_of_period) * ($G184 &gt;=Beginning_of_period) * (1-SUM($K184:AO184)) /  IFERROR((DATEDIF(Beginning_of_period,$G184,"m") + 1) / Months_in_Period,0),0)</f>
        <v>0</v>
      </c>
      <c r="AQ184" s="231">
        <f xml:space="preserve"> IFERROR(($E184&gt;0)*($E184 &lt;=End_of_period) * ($G184 &gt;=Beginning_of_period) * (1-SUM($K184:AP184)) /  IFERROR((DATEDIF(Beginning_of_period,$G184,"m") + 1) / Months_in_Period,0),0)</f>
        <v>0</v>
      </c>
      <c r="AR184" s="231">
        <f xml:space="preserve"> IFERROR(($E184&gt;0)*($E184 &lt;=End_of_period) * ($G184 &gt;=Beginning_of_period) * (1-SUM($K184:AQ184)) /  IFERROR((DATEDIF(Beginning_of_period,$G184,"m") + 1) / Months_in_Period,0),0)</f>
        <v>0</v>
      </c>
      <c r="AS184" s="231">
        <f xml:space="preserve"> IFERROR(($E184&gt;0)*($E184 &lt;=End_of_period) * ($G184 &gt;=Beginning_of_period) * (1-SUM($K184:AR184)) /  IFERROR((DATEDIF(Beginning_of_period,$G184,"m") + 1) / Months_in_Period,0),0)</f>
        <v>0</v>
      </c>
      <c r="AT184" s="231">
        <f xml:space="preserve"> IFERROR(($E184&gt;0)*($E184 &lt;=End_of_period) * ($G184 &gt;=Beginning_of_period) * (1-SUM($K184:AS184)) /  IFERROR((DATEDIF(Beginning_of_period,$G184,"m") + 1) / Months_in_Period,0),0)</f>
        <v>0</v>
      </c>
      <c r="AU184" s="231">
        <f xml:space="preserve"> IFERROR(($E184&gt;0)*($E184 &lt;=End_of_period) * ($G184 &gt;=Beginning_of_period) * (1-SUM($K184:AT184)) /  IFERROR((DATEDIF(Beginning_of_period,$G184,"m") + 1) / Months_in_Period,0),0)</f>
        <v>0</v>
      </c>
      <c r="AV184" s="231">
        <f xml:space="preserve"> IFERROR(($E184&gt;0)*($E184 &lt;=End_of_period) * ($G184 &gt;=Beginning_of_period) * (1-SUM($K184:AU184)) /  IFERROR((DATEDIF(Beginning_of_period,$G184,"m") + 1) / Months_in_Period,0),0)</f>
        <v>0</v>
      </c>
      <c r="AW184" s="231">
        <f xml:space="preserve"> IFERROR(($E184&gt;0)*($E184 &lt;=End_of_period) * ($G184 &gt;=Beginning_of_period) * (1-SUM($K184:AV184)) /  IFERROR((DATEDIF(Beginning_of_period,$G184,"m") + 1) / Months_in_Period,0),0)</f>
        <v>0</v>
      </c>
      <c r="AX184" s="231">
        <f xml:space="preserve"> IFERROR(($E184&gt;0)*($E184 &lt;=End_of_period) * ($G184 &gt;=Beginning_of_period) * (1-SUM($K184:AW184)) /  IFERROR((DATEDIF(Beginning_of_period,$G184,"m") + 1) / Months_in_Period,0),0)</f>
        <v>0</v>
      </c>
      <c r="AY184" s="231">
        <f xml:space="preserve"> IFERROR(($E184&gt;0)*($E184 &lt;=End_of_period) * ($G184 &gt;=Beginning_of_period) * (1-SUM($K184:AX184)) /  IFERROR((DATEDIF(Beginning_of_period,$G184,"m") + 1) / Months_in_Period,0),0)</f>
        <v>0</v>
      </c>
      <c r="AZ184" s="231">
        <f xml:space="preserve"> IFERROR(($E184&gt;0)*($E184 &lt;=End_of_period) * ($G184 &gt;=Beginning_of_period) * (1-SUM($K184:AY184)) /  IFERROR((DATEDIF(Beginning_of_period,$G184,"m") + 1) / Months_in_Period,0),0)</f>
        <v>0</v>
      </c>
      <c r="BA184" s="231">
        <f xml:space="preserve"> IFERROR(($E184&gt;0)*($E184 &lt;=End_of_period) * ($G184 &gt;=Beginning_of_period) * (1-SUM($K184:AZ184)) /  IFERROR((DATEDIF(Beginning_of_period,$G184,"m") + 1) / Months_in_Period,0),0)</f>
        <v>0</v>
      </c>
      <c r="BB184" s="231">
        <f xml:space="preserve"> IFERROR(($E184&gt;0)*($E184 &lt;=End_of_period) * ($G184 &gt;=Beginning_of_period) * (1-SUM($K184:BA184)) /  IFERROR((DATEDIF(Beginning_of_period,$G184,"m") + 1) / Months_in_Period,0),0)</f>
        <v>0</v>
      </c>
      <c r="BC184" s="231">
        <f xml:space="preserve"> IFERROR(($E184&gt;0)*($E184 &lt;=End_of_period) * ($G184 &gt;=Beginning_of_period) * (1-SUM($K184:BB184)) /  IFERROR((DATEDIF(Beginning_of_period,$G184,"m") + 1) / Months_in_Period,0),0)</f>
        <v>0</v>
      </c>
      <c r="BD184" s="231">
        <f xml:space="preserve"> IFERROR(($E184&gt;0)*($E184 &lt;=End_of_period) * ($G184 &gt;=Beginning_of_period) * (1-SUM($K184:BC184)) /  IFERROR((DATEDIF(Beginning_of_period,$G184,"m") + 1) / Months_in_Period,0),0)</f>
        <v>0</v>
      </c>
      <c r="BE184" s="231">
        <f xml:space="preserve"> IFERROR(($E184&gt;0)*($E184 &lt;=End_of_period) * ($G184 &gt;=Beginning_of_period) * (1-SUM($K184:BD184)) /  IFERROR((DATEDIF(Beginning_of_period,$G184,"m") + 1) / Months_in_Period,0),0)</f>
        <v>0</v>
      </c>
      <c r="BF184" s="231">
        <f xml:space="preserve"> IFERROR(($E184&gt;0)*($E184 &lt;=End_of_period) * ($G184 &gt;=Beginning_of_period) * (1-SUM($K184:BE184)) /  IFERROR((DATEDIF(Beginning_of_period,$G184,"m") + 1) / Months_in_Period,0),0)</f>
        <v>0</v>
      </c>
      <c r="BG184" s="231">
        <f xml:space="preserve"> IFERROR(($E184&gt;0)*($E184 &lt;=End_of_period) * ($G184 &gt;=Beginning_of_period) * (1-SUM($K184:BF184)) /  IFERROR((DATEDIF(Beginning_of_period,$G184,"m") + 1) / Months_in_Period,0),0)</f>
        <v>0</v>
      </c>
      <c r="BH184" s="231">
        <f xml:space="preserve"> IFERROR(($E184&gt;0)*($E184 &lt;=End_of_period) * ($G184 &gt;=Beginning_of_period) * (1-SUM($K184:BG184)) /  IFERROR((DATEDIF(Beginning_of_period,$G184,"m") + 1) / Months_in_Period,0),0)</f>
        <v>0</v>
      </c>
      <c r="BI184" s="231">
        <f xml:space="preserve"> IFERROR(($E184&gt;0)*($E184 &lt;=End_of_period) * ($G184 &gt;=Beginning_of_period) * (1-SUM($K184:BH184)) /  IFERROR((DATEDIF(Beginning_of_period,$G184,"m") + 1) / Months_in_Period,0),0)</f>
        <v>0</v>
      </c>
      <c r="BJ184" s="231">
        <f xml:space="preserve"> IFERROR(($E184&gt;0)*($E184 &lt;=End_of_period) * ($G184 &gt;=Beginning_of_period) * (1-SUM($K184:BI184)) /  IFERROR((DATEDIF(Beginning_of_period,$G184,"m") + 1) / Months_in_Period,0),0)</f>
        <v>0</v>
      </c>
      <c r="BK184" s="231">
        <f xml:space="preserve"> IFERROR(($E184&gt;0)*($E184 &lt;=End_of_period) * ($G184 &gt;=Beginning_of_period) * (1-SUM($K184:BJ184)) /  IFERROR((DATEDIF(Beginning_of_period,$G184,"m") + 1) / Months_in_Period,0),0)</f>
        <v>0</v>
      </c>
      <c r="BL184" s="231">
        <f xml:space="preserve"> IFERROR(($E184&gt;0)*($E184 &lt;=End_of_period) * ($G184 &gt;=Beginning_of_period) * (1-SUM($K184:BK184)) /  IFERROR((DATEDIF(Beginning_of_period,$G184,"m") + 1) / Months_in_Period,0),0)</f>
        <v>0</v>
      </c>
      <c r="BM184" s="231">
        <f xml:space="preserve"> IFERROR(($E184&gt;0)*($E184 &lt;=End_of_period) * ($G184 &gt;=Beginning_of_period) * (1-SUM($K184:BL184)) /  IFERROR((DATEDIF(Beginning_of_period,$G184,"m") + 1) / Months_in_Period,0),0)</f>
        <v>0</v>
      </c>
      <c r="BN184" s="231">
        <f xml:space="preserve"> IFERROR(($E184&gt;0)*($E184 &lt;=End_of_period) * ($G184 &gt;=Beginning_of_period) * (1-SUM($K184:BM184)) /  IFERROR((DATEDIF(Beginning_of_period,$G184,"m") + 1) / Months_in_Period,0),0)</f>
        <v>0</v>
      </c>
      <c r="BO184" s="231">
        <f xml:space="preserve"> IFERROR(($E184&gt;0)*($E184 &lt;=End_of_period) * ($G184 &gt;=Beginning_of_period) * (1-SUM($K184:BN184)) /  IFERROR((DATEDIF(Beginning_of_period,$G184,"m") + 1) / Months_in_Period,0),0)</f>
        <v>0</v>
      </c>
      <c r="BP184" s="231">
        <f xml:space="preserve"> IFERROR(($E184&gt;0)*($E184 &lt;=End_of_period) * ($G184 &gt;=Beginning_of_period) * (1-SUM($K184:BO184)) /  IFERROR((DATEDIF(Beginning_of_period,$G184,"m") + 1) / Months_in_Period,0),0)</f>
        <v>0</v>
      </c>
      <c r="BQ184" s="231">
        <f xml:space="preserve"> IFERROR(($E184&gt;0)*($E184 &lt;=End_of_period) * ($G184 &gt;=Beginning_of_period) * (1-SUM($K184:BP184)) /  IFERROR((DATEDIF(Beginning_of_period,$G184,"m") + 1) / Months_in_Period,0),0)</f>
        <v>0</v>
      </c>
      <c r="BR184" s="231">
        <f xml:space="preserve"> IFERROR(($E184&gt;0)*($E184 &lt;=End_of_period) * ($G184 &gt;=Beginning_of_period) * (1-SUM($K184:BQ184)) /  IFERROR((DATEDIF(Beginning_of_period,$G184,"m") + 1) / Months_in_Period,0),0)</f>
        <v>0</v>
      </c>
      <c r="BS184" s="231">
        <f xml:space="preserve"> IFERROR(($E184&gt;0)*($E184 &lt;=End_of_period) * ($G184 &gt;=Beginning_of_period) * (1-SUM($K184:BR184)) /  IFERROR((DATEDIF(Beginning_of_period,$G184,"m") + 1) / Months_in_Period,0),0)</f>
        <v>0</v>
      </c>
      <c r="BT184" s="231">
        <f xml:space="preserve"> IFERROR(($E184&gt;0)*($E184 &lt;=End_of_period) * ($G184 &gt;=Beginning_of_period) * (1-SUM($K184:BS184)) /  IFERROR((DATEDIF(Beginning_of_period,$G184,"m") + 1) / Months_in_Period,0),0)</f>
        <v>0</v>
      </c>
      <c r="BU184" s="231">
        <f xml:space="preserve"> IFERROR(($E184&gt;0)*($E184 &lt;=End_of_period) * ($G184 &gt;=Beginning_of_period) * (1-SUM($K184:BT184)) /  IFERROR((DATEDIF(Beginning_of_period,$G184,"m") + 1) / Months_in_Period,0),0)</f>
        <v>0</v>
      </c>
      <c r="BV184" s="231">
        <f xml:space="preserve"> IFERROR(($E184&gt;0)*($E184 &lt;=End_of_period) * ($G184 &gt;=Beginning_of_period) * (1-SUM($K184:BU184)) /  IFERROR((DATEDIF(Beginning_of_period,$G184,"m") + 1) / Months_in_Period,0),0)</f>
        <v>0</v>
      </c>
      <c r="BW184" s="231">
        <f xml:space="preserve"> IFERROR(($E184&gt;0)*($E184 &lt;=End_of_period) * ($G184 &gt;=Beginning_of_period) * (1-SUM($K184:BV184)) /  IFERROR((DATEDIF(Beginning_of_period,$G184,"m") + 1) / Months_in_Period,0),0)</f>
        <v>0</v>
      </c>
      <c r="BX184" s="231">
        <f xml:space="preserve"> IFERROR(($E184&gt;0)*($E184 &lt;=End_of_period) * ($G184 &gt;=Beginning_of_period) * (1-SUM($K184:BW184)) /  IFERROR((DATEDIF(Beginning_of_period,$G184,"m") + 1) / Months_in_Period,0),0)</f>
        <v>0</v>
      </c>
      <c r="BY184" s="231">
        <f xml:space="preserve"> IFERROR(($E184&gt;0)*($E184 &lt;=End_of_period) * ($G184 &gt;=Beginning_of_period) * (1-SUM($K184:BX184)) /  IFERROR((DATEDIF(Beginning_of_period,$G184,"m") + 1) / Months_in_Period,0),0)</f>
        <v>0</v>
      </c>
      <c r="BZ184" s="231">
        <f xml:space="preserve"> IFERROR(($E184&gt;0)*($E184 &lt;=End_of_period) * ($G184 &gt;=Beginning_of_period) * (1-SUM($K184:BY184)) /  IFERROR((DATEDIF(Beginning_of_period,$G184,"m") + 1) / Months_in_Period,0),0)</f>
        <v>0</v>
      </c>
      <c r="CA184" s="231">
        <f xml:space="preserve"> IFERROR(($E184&gt;0)*($E184 &lt;=End_of_period) * ($G184 &gt;=Beginning_of_period) * (1-SUM($K184:BZ184)) /  IFERROR((DATEDIF(Beginning_of_period,$G184,"m") + 1) / Months_in_Period,0),0)</f>
        <v>0</v>
      </c>
      <c r="CB184" s="231">
        <f xml:space="preserve"> IFERROR(($E184&gt;0)*($E184 &lt;=End_of_period) * ($G184 &gt;=Beginning_of_period) * (1-SUM($K184:CA184)) /  IFERROR((DATEDIF(Beginning_of_period,$G184,"m") + 1) / Months_in_Period,0),0)</f>
        <v>0</v>
      </c>
      <c r="CC184" s="231">
        <f xml:space="preserve"> IFERROR(($E184&gt;0)*($E184 &lt;=End_of_period) * ($G184 &gt;=Beginning_of_period) * (1-SUM($K184:CB184)) /  IFERROR((DATEDIF(Beginning_of_period,$G184,"m") + 1) / Months_in_Period,0),0)</f>
        <v>0</v>
      </c>
      <c r="CD184" s="231">
        <f xml:space="preserve"> IFERROR(($E184&gt;0)*($E184 &lt;=End_of_period) * ($G184 &gt;=Beginning_of_period) * (1-SUM($K184:CC184)) /  IFERROR((DATEDIF(Beginning_of_period,$G184,"m") + 1) / Months_in_Period,0),0)</f>
        <v>0</v>
      </c>
      <c r="CE184" s="231">
        <f xml:space="preserve"> IFERROR(($E184&gt;0)*($E184 &lt;=End_of_period) * ($G184 &gt;=Beginning_of_period) * (1-SUM($K184:CD184)) /  IFERROR((DATEDIF(Beginning_of_period,$G184,"m") + 1) / Months_in_Period,0),0)</f>
        <v>0</v>
      </c>
      <c r="CF184" s="231">
        <f xml:space="preserve"> IFERROR(($E184&gt;0)*($E184 &lt;=End_of_period) * ($G184 &gt;=Beginning_of_period) * (1-SUM($K184:CE184)) /  IFERROR((DATEDIF(Beginning_of_period,$G184,"m") + 1) / Months_in_Period,0),0)</f>
        <v>0</v>
      </c>
      <c r="CG184" s="231">
        <f xml:space="preserve"> IFERROR(($E184&gt;0)*($E184 &lt;=End_of_period) * ($G184 &gt;=Beginning_of_period) * (1-SUM($K184:CF184)) /  IFERROR((DATEDIF(Beginning_of_period,$G184,"m") + 1) / Months_in_Period,0),0)</f>
        <v>0</v>
      </c>
      <c r="CH184" s="231">
        <f xml:space="preserve"> IFERROR(($E184&gt;0)*($E184 &lt;=End_of_period) * ($G184 &gt;=Beginning_of_period) * (1-SUM($K184:CG184)) /  IFERROR((DATEDIF(Beginning_of_period,$G184,"m") + 1) / Months_in_Period,0),0)</f>
        <v>0</v>
      </c>
      <c r="CI184" s="231">
        <f xml:space="preserve"> IFERROR(($E184&gt;0)*($E184 &lt;=End_of_period) * ($G184 &gt;=Beginning_of_period) * (1-SUM($K184:CH184)) /  IFERROR((DATEDIF(Beginning_of_period,$G184,"m") + 1) / Months_in_Period,0),0)</f>
        <v>0</v>
      </c>
      <c r="CJ184" s="231">
        <f xml:space="preserve"> IFERROR(($E184&gt;0)*($E184 &lt;=End_of_period) * ($G184 &gt;=Beginning_of_period) * (1-SUM($K184:CI184)) /  IFERROR((DATEDIF(Beginning_of_period,$G184,"m") + 1) / Months_in_Period,0),0)</f>
        <v>0</v>
      </c>
      <c r="CK184" s="231">
        <f xml:space="preserve"> IFERROR(($E184&gt;0)*($E184 &lt;=End_of_period) * ($G184 &gt;=Beginning_of_period) * (1-SUM($K184:CJ184)) /  IFERROR((DATEDIF(Beginning_of_period,$G184,"m") + 1) / Months_in_Period,0),0)</f>
        <v>0</v>
      </c>
      <c r="CL184" s="231">
        <f xml:space="preserve"> IFERROR(($E184&gt;0)*($E184 &lt;=End_of_period) * ($G184 &gt;=Beginning_of_period) * (1-SUM($K184:CK184)) /  IFERROR((DATEDIF(Beginning_of_period,$G184,"m") + 1) / Months_in_Period,0),0)</f>
        <v>0</v>
      </c>
      <c r="CM184" s="231">
        <f xml:space="preserve"> IFERROR(($E184&gt;0)*($E184 &lt;=End_of_period) * ($G184 &gt;=Beginning_of_period) * (1-SUM($K184:CL184)) /  IFERROR((DATEDIF(Beginning_of_period,$G184,"m") + 1) / Months_in_Period,0),0)</f>
        <v>0</v>
      </c>
      <c r="CN184" s="231">
        <f xml:space="preserve"> IFERROR(($E184&gt;0)*($E184 &lt;=End_of_period) * ($G184 &gt;=Beginning_of_period) * (1-SUM($K184:CM184)) /  IFERROR((DATEDIF(Beginning_of_period,$G184,"m") + 1) / Months_in_Period,0),0)</f>
        <v>0</v>
      </c>
      <c r="CO184" s="231">
        <f xml:space="preserve"> IFERROR(($E184&gt;0)*($E184 &lt;=End_of_period) * ($G184 &gt;=Beginning_of_period) * (1-SUM($K184:CN184)) /  IFERROR((DATEDIF(Beginning_of_period,$G184,"m") + 1) / Months_in_Period,0),0)</f>
        <v>0</v>
      </c>
      <c r="CP184" s="10"/>
    </row>
    <row r="185" spans="1:94" ht="15" customHeight="1">
      <c r="A185" s="10"/>
      <c r="B185" s="3"/>
      <c r="C185" s="17" t="s">
        <v>634</v>
      </c>
      <c r="D185" s="10"/>
      <c r="E185" s="71">
        <v>45658</v>
      </c>
      <c r="F185" s="10"/>
      <c r="G185" s="479">
        <v>46022</v>
      </c>
      <c r="H185" s="149">
        <f xml:space="preserve"> IFERROR((DATEDIF(E185,G185,"m") + 1) / Months_in_Period,0)</f>
        <v>4</v>
      </c>
      <c r="I185" s="231">
        <f t="shared" ref="I185:I186" si="117">IF(SUM(L185:CO185)=0,1,SUM(L185:CO185))</f>
        <v>1</v>
      </c>
      <c r="J185" s="10"/>
      <c r="K185" s="10"/>
      <c r="L185" s="231">
        <f xml:space="preserve"> IFERROR(($E185&gt;0)*($E185 &lt;=End_of_period) * ($G185 &gt;=Beginning_of_period) * (1-SUM($K185:K185)) /  IFERROR((DATEDIF(Beginning_of_period,$G185,"m") + 1) / Months_in_Period,0),0)</f>
        <v>0.25</v>
      </c>
      <c r="M185" s="231">
        <f xml:space="preserve"> IFERROR(($E185&gt;0)*($E185 &lt;=End_of_period) * ($G185 &gt;=Beginning_of_period) * (1-SUM($K185:L185)) /  IFERROR((DATEDIF(Beginning_of_period,$G185,"m") + 1) / Months_in_Period,0),0)</f>
        <v>0.25</v>
      </c>
      <c r="N185" s="231">
        <f xml:space="preserve"> IFERROR(($E185&gt;0)*($E185 &lt;=End_of_period) * ($G185 &gt;=Beginning_of_period) * (1-SUM($K185:M185)) /  IFERROR((DATEDIF(Beginning_of_period,$G185,"m") + 1) / Months_in_Period,0),0)</f>
        <v>0.25</v>
      </c>
      <c r="O185" s="231">
        <f xml:space="preserve"> IFERROR(($E185&gt;0)*($E185 &lt;=End_of_period) * ($G185 &gt;=Beginning_of_period) * (1-SUM($K185:N185)) /  IFERROR((DATEDIF(Beginning_of_period,$G185,"m") + 1) / Months_in_Period,0),0)</f>
        <v>0.25</v>
      </c>
      <c r="P185" s="231">
        <f xml:space="preserve"> IFERROR(($E185&gt;0)*($E185 &lt;=End_of_period) * ($G185 &gt;=Beginning_of_period) * (1-SUM($K185:O185)) /  IFERROR((DATEDIF(Beginning_of_period,$G185,"m") + 1) / Months_in_Period,0),0)</f>
        <v>0</v>
      </c>
      <c r="Q185" s="231">
        <f xml:space="preserve"> IFERROR(($E185&gt;0)*($E185 &lt;=End_of_period) * ($G185 &gt;=Beginning_of_period) * (1-SUM($K185:P185)) /  IFERROR((DATEDIF(Beginning_of_period,$G185,"m") + 1) / Months_in_Period,0),0)</f>
        <v>0</v>
      </c>
      <c r="R185" s="231">
        <f xml:space="preserve"> IFERROR(($E185&gt;0)*($E185 &lt;=End_of_period) * ($G185 &gt;=Beginning_of_period) * (1-SUM($K185:Q185)) /  IFERROR((DATEDIF(Beginning_of_period,$G185,"m") + 1) / Months_in_Period,0),0)</f>
        <v>0</v>
      </c>
      <c r="S185" s="231">
        <f xml:space="preserve"> IFERROR(($E185&gt;0)*($E185 &lt;=End_of_period) * ($G185 &gt;=Beginning_of_period) * (1-SUM($K185:R185)) /  IFERROR((DATEDIF(Beginning_of_period,$G185,"m") + 1) / Months_in_Period,0),0)</f>
        <v>0</v>
      </c>
      <c r="T185" s="231">
        <f xml:space="preserve"> IFERROR(($E185&gt;0)*($E185 &lt;=End_of_period) * ($G185 &gt;=Beginning_of_period) * (1-SUM($K185:S185)) /  IFERROR((DATEDIF(Beginning_of_period,$G185,"m") + 1) / Months_in_Period,0),0)</f>
        <v>0</v>
      </c>
      <c r="U185" s="231">
        <f xml:space="preserve"> IFERROR(($E185&gt;0)*($E185 &lt;=End_of_period) * ($G185 &gt;=Beginning_of_period) * (1-SUM($K185:T185)) /  IFERROR((DATEDIF(Beginning_of_period,$G185,"m") + 1) / Months_in_Period,0),0)</f>
        <v>0</v>
      </c>
      <c r="V185" s="231">
        <f xml:space="preserve"> IFERROR(($E185&gt;0)*($E185 &lt;=End_of_period) * ($G185 &gt;=Beginning_of_period) * (1-SUM($K185:U185)) /  IFERROR((DATEDIF(Beginning_of_period,$G185,"m") + 1) / Months_in_Period,0),0)</f>
        <v>0</v>
      </c>
      <c r="W185" s="231">
        <f xml:space="preserve"> IFERROR(($E185&gt;0)*($E185 &lt;=End_of_period) * ($G185 &gt;=Beginning_of_period) * (1-SUM($K185:V185)) /  IFERROR((DATEDIF(Beginning_of_period,$G185,"m") + 1) / Months_in_Period,0),0)</f>
        <v>0</v>
      </c>
      <c r="X185" s="231">
        <f xml:space="preserve"> IFERROR(($E185&gt;0)*($E185 &lt;=End_of_period) * ($G185 &gt;=Beginning_of_period) * (1-SUM($K185:W185)) /  IFERROR((DATEDIF(Beginning_of_period,$G185,"m") + 1) / Months_in_Period,0),0)</f>
        <v>0</v>
      </c>
      <c r="Y185" s="231">
        <f xml:space="preserve"> IFERROR(($E185&gt;0)*($E185 &lt;=End_of_period) * ($G185 &gt;=Beginning_of_period) * (1-SUM($K185:X185)) /  IFERROR((DATEDIF(Beginning_of_period,$G185,"m") + 1) / Months_in_Period,0),0)</f>
        <v>0</v>
      </c>
      <c r="Z185" s="231">
        <f xml:space="preserve"> IFERROR(($E185&gt;0)*($E185 &lt;=End_of_period) * ($G185 &gt;=Beginning_of_period) * (1-SUM($K185:Y185)) /  IFERROR((DATEDIF(Beginning_of_period,$G185,"m") + 1) / Months_in_Period,0),0)</f>
        <v>0</v>
      </c>
      <c r="AA185" s="231">
        <f xml:space="preserve"> IFERROR(($E185&gt;0)*($E185 &lt;=End_of_period) * ($G185 &gt;=Beginning_of_period) * (1-SUM($K185:Z185)) /  IFERROR((DATEDIF(Beginning_of_period,$G185,"m") + 1) / Months_in_Period,0),0)</f>
        <v>0</v>
      </c>
      <c r="AB185" s="231">
        <f xml:space="preserve"> IFERROR(($E185&gt;0)*($E185 &lt;=End_of_period) * ($G185 &gt;=Beginning_of_period) * (1-SUM($K185:AA185)) /  IFERROR((DATEDIF(Beginning_of_period,$G185,"m") + 1) / Months_in_Period,0),0)</f>
        <v>0</v>
      </c>
      <c r="AC185" s="231">
        <f xml:space="preserve"> IFERROR(($E185&gt;0)*($E185 &lt;=End_of_period) * ($G185 &gt;=Beginning_of_period) * (1-SUM($K185:AB185)) /  IFERROR((DATEDIF(Beginning_of_period,$G185,"m") + 1) / Months_in_Period,0),0)</f>
        <v>0</v>
      </c>
      <c r="AD185" s="231">
        <f xml:space="preserve"> IFERROR(($E185&gt;0)*($E185 &lt;=End_of_period) * ($G185 &gt;=Beginning_of_period) * (1-SUM($K185:AC185)) /  IFERROR((DATEDIF(Beginning_of_period,$G185,"m") + 1) / Months_in_Period,0),0)</f>
        <v>0</v>
      </c>
      <c r="AE185" s="231">
        <f xml:space="preserve"> IFERROR(($E185&gt;0)*($E185 &lt;=End_of_period) * ($G185 &gt;=Beginning_of_period) * (1-SUM($K185:AD185)) /  IFERROR((DATEDIF(Beginning_of_period,$G185,"m") + 1) / Months_in_Period,0),0)</f>
        <v>0</v>
      </c>
      <c r="AF185" s="231">
        <f xml:space="preserve"> IFERROR(($E185&gt;0)*($E185 &lt;=End_of_period) * ($G185 &gt;=Beginning_of_period) * (1-SUM($K185:AE185)) /  IFERROR((DATEDIF(Beginning_of_period,$G185,"m") + 1) / Months_in_Period,0),0)</f>
        <v>0</v>
      </c>
      <c r="AG185" s="231">
        <f xml:space="preserve"> IFERROR(($E185&gt;0)*($E185 &lt;=End_of_period) * ($G185 &gt;=Beginning_of_period) * (1-SUM($K185:AF185)) /  IFERROR((DATEDIF(Beginning_of_period,$G185,"m") + 1) / Months_in_Period,0),0)</f>
        <v>0</v>
      </c>
      <c r="AH185" s="231">
        <f xml:space="preserve"> IFERROR(($E185&gt;0)*($E185 &lt;=End_of_period) * ($G185 &gt;=Beginning_of_period) * (1-SUM($K185:AG185)) /  IFERROR((DATEDIF(Beginning_of_period,$G185,"m") + 1) / Months_in_Period,0),0)</f>
        <v>0</v>
      </c>
      <c r="AI185" s="231">
        <f xml:space="preserve"> IFERROR(($E185&gt;0)*($E185 &lt;=End_of_period) * ($G185 &gt;=Beginning_of_period) * (1-SUM($K185:AH185)) /  IFERROR((DATEDIF(Beginning_of_period,$G185,"m") + 1) / Months_in_Period,0),0)</f>
        <v>0</v>
      </c>
      <c r="AJ185" s="231">
        <f xml:space="preserve"> IFERROR(($E185&gt;0)*($E185 &lt;=End_of_period) * ($G185 &gt;=Beginning_of_period) * (1-SUM($K185:AI185)) /  IFERROR((DATEDIF(Beginning_of_period,$G185,"m") + 1) / Months_in_Period,0),0)</f>
        <v>0</v>
      </c>
      <c r="AK185" s="231">
        <f xml:space="preserve"> IFERROR(($E185&gt;0)*($E185 &lt;=End_of_period) * ($G185 &gt;=Beginning_of_period) * (1-SUM($K185:AJ185)) /  IFERROR((DATEDIF(Beginning_of_period,$G185,"m") + 1) / Months_in_Period,0),0)</f>
        <v>0</v>
      </c>
      <c r="AL185" s="231">
        <f xml:space="preserve"> IFERROR(($E185&gt;0)*($E185 &lt;=End_of_period) * ($G185 &gt;=Beginning_of_period) * (1-SUM($K185:AK185)) /  IFERROR((DATEDIF(Beginning_of_period,$G185,"m") + 1) / Months_in_Period,0),0)</f>
        <v>0</v>
      </c>
      <c r="AM185" s="231">
        <f xml:space="preserve"> IFERROR(($E185&gt;0)*($E185 &lt;=End_of_period) * ($G185 &gt;=Beginning_of_period) * (1-SUM($K185:AL185)) /  IFERROR((DATEDIF(Beginning_of_period,$G185,"m") + 1) / Months_in_Period,0),0)</f>
        <v>0</v>
      </c>
      <c r="AN185" s="231">
        <f xml:space="preserve"> IFERROR(($E185&gt;0)*($E185 &lt;=End_of_period) * ($G185 &gt;=Beginning_of_period) * (1-SUM($K185:AM185)) /  IFERROR((DATEDIF(Beginning_of_period,$G185,"m") + 1) / Months_in_Period,0),0)</f>
        <v>0</v>
      </c>
      <c r="AO185" s="231">
        <f xml:space="preserve"> IFERROR(($E185&gt;0)*($E185 &lt;=End_of_period) * ($G185 &gt;=Beginning_of_period) * (1-SUM($K185:AN185)) /  IFERROR((DATEDIF(Beginning_of_period,$G185,"m") + 1) / Months_in_Period,0),0)</f>
        <v>0</v>
      </c>
      <c r="AP185" s="231">
        <f xml:space="preserve"> IFERROR(($E185&gt;0)*($E185 &lt;=End_of_period) * ($G185 &gt;=Beginning_of_period) * (1-SUM($K185:AO185)) /  IFERROR((DATEDIF(Beginning_of_period,$G185,"m") + 1) / Months_in_Period,0),0)</f>
        <v>0</v>
      </c>
      <c r="AQ185" s="231">
        <f xml:space="preserve"> IFERROR(($E185&gt;0)*($E185 &lt;=End_of_period) * ($G185 &gt;=Beginning_of_period) * (1-SUM($K185:AP185)) /  IFERROR((DATEDIF(Beginning_of_period,$G185,"m") + 1) / Months_in_Period,0),0)</f>
        <v>0</v>
      </c>
      <c r="AR185" s="231">
        <f xml:space="preserve"> IFERROR(($E185&gt;0)*($E185 &lt;=End_of_period) * ($G185 &gt;=Beginning_of_period) * (1-SUM($K185:AQ185)) /  IFERROR((DATEDIF(Beginning_of_period,$G185,"m") + 1) / Months_in_Period,0),0)</f>
        <v>0</v>
      </c>
      <c r="AS185" s="231">
        <f xml:space="preserve"> IFERROR(($E185&gt;0)*($E185 &lt;=End_of_period) * ($G185 &gt;=Beginning_of_period) * (1-SUM($K185:AR185)) /  IFERROR((DATEDIF(Beginning_of_period,$G185,"m") + 1) / Months_in_Period,0),0)</f>
        <v>0</v>
      </c>
      <c r="AT185" s="231">
        <f xml:space="preserve"> IFERROR(($E185&gt;0)*($E185 &lt;=End_of_period) * ($G185 &gt;=Beginning_of_period) * (1-SUM($K185:AS185)) /  IFERROR((DATEDIF(Beginning_of_period,$G185,"m") + 1) / Months_in_Period,0),0)</f>
        <v>0</v>
      </c>
      <c r="AU185" s="231">
        <f xml:space="preserve"> IFERROR(($E185&gt;0)*($E185 &lt;=End_of_period) * ($G185 &gt;=Beginning_of_period) * (1-SUM($K185:AT185)) /  IFERROR((DATEDIF(Beginning_of_period,$G185,"m") + 1) / Months_in_Period,0),0)</f>
        <v>0</v>
      </c>
      <c r="AV185" s="231">
        <f xml:space="preserve"> IFERROR(($E185&gt;0)*($E185 &lt;=End_of_period) * ($G185 &gt;=Beginning_of_period) * (1-SUM($K185:AU185)) /  IFERROR((DATEDIF(Beginning_of_period,$G185,"m") + 1) / Months_in_Period,0),0)</f>
        <v>0</v>
      </c>
      <c r="AW185" s="231">
        <f xml:space="preserve"> IFERROR(($E185&gt;0)*($E185 &lt;=End_of_period) * ($G185 &gt;=Beginning_of_period) * (1-SUM($K185:AV185)) /  IFERROR((DATEDIF(Beginning_of_period,$G185,"m") + 1) / Months_in_Period,0),0)</f>
        <v>0</v>
      </c>
      <c r="AX185" s="231">
        <f xml:space="preserve"> IFERROR(($E185&gt;0)*($E185 &lt;=End_of_period) * ($G185 &gt;=Beginning_of_period) * (1-SUM($K185:AW185)) /  IFERROR((DATEDIF(Beginning_of_period,$G185,"m") + 1) / Months_in_Period,0),0)</f>
        <v>0</v>
      </c>
      <c r="AY185" s="231">
        <f xml:space="preserve"> IFERROR(($E185&gt;0)*($E185 &lt;=End_of_period) * ($G185 &gt;=Beginning_of_period) * (1-SUM($K185:AX185)) /  IFERROR((DATEDIF(Beginning_of_period,$G185,"m") + 1) / Months_in_Period,0),0)</f>
        <v>0</v>
      </c>
      <c r="AZ185" s="231">
        <f xml:space="preserve"> IFERROR(($E185&gt;0)*($E185 &lt;=End_of_period) * ($G185 &gt;=Beginning_of_period) * (1-SUM($K185:AY185)) /  IFERROR((DATEDIF(Beginning_of_period,$G185,"m") + 1) / Months_in_Period,0),0)</f>
        <v>0</v>
      </c>
      <c r="BA185" s="231">
        <f xml:space="preserve"> IFERROR(($E185&gt;0)*($E185 &lt;=End_of_period) * ($G185 &gt;=Beginning_of_period) * (1-SUM($K185:AZ185)) /  IFERROR((DATEDIF(Beginning_of_period,$G185,"m") + 1) / Months_in_Period,0),0)</f>
        <v>0</v>
      </c>
      <c r="BB185" s="231">
        <f xml:space="preserve"> IFERROR(($E185&gt;0)*($E185 &lt;=End_of_period) * ($G185 &gt;=Beginning_of_period) * (1-SUM($K185:BA185)) /  IFERROR((DATEDIF(Beginning_of_period,$G185,"m") + 1) / Months_in_Period,0),0)</f>
        <v>0</v>
      </c>
      <c r="BC185" s="231">
        <f xml:space="preserve"> IFERROR(($E185&gt;0)*($E185 &lt;=End_of_period) * ($G185 &gt;=Beginning_of_period) * (1-SUM($K185:BB185)) /  IFERROR((DATEDIF(Beginning_of_period,$G185,"m") + 1) / Months_in_Period,0),0)</f>
        <v>0</v>
      </c>
      <c r="BD185" s="231">
        <f xml:space="preserve"> IFERROR(($E185&gt;0)*($E185 &lt;=End_of_period) * ($G185 &gt;=Beginning_of_period) * (1-SUM($K185:BC185)) /  IFERROR((DATEDIF(Beginning_of_period,$G185,"m") + 1) / Months_in_Period,0),0)</f>
        <v>0</v>
      </c>
      <c r="BE185" s="231">
        <f xml:space="preserve"> IFERROR(($E185&gt;0)*($E185 &lt;=End_of_period) * ($G185 &gt;=Beginning_of_period) * (1-SUM($K185:BD185)) /  IFERROR((DATEDIF(Beginning_of_period,$G185,"m") + 1) / Months_in_Period,0),0)</f>
        <v>0</v>
      </c>
      <c r="BF185" s="231">
        <f xml:space="preserve"> IFERROR(($E185&gt;0)*($E185 &lt;=End_of_period) * ($G185 &gt;=Beginning_of_period) * (1-SUM($K185:BE185)) /  IFERROR((DATEDIF(Beginning_of_period,$G185,"m") + 1) / Months_in_Period,0),0)</f>
        <v>0</v>
      </c>
      <c r="BG185" s="231">
        <f xml:space="preserve"> IFERROR(($E185&gt;0)*($E185 &lt;=End_of_period) * ($G185 &gt;=Beginning_of_period) * (1-SUM($K185:BF185)) /  IFERROR((DATEDIF(Beginning_of_period,$G185,"m") + 1) / Months_in_Period,0),0)</f>
        <v>0</v>
      </c>
      <c r="BH185" s="231">
        <f xml:space="preserve"> IFERROR(($E185&gt;0)*($E185 &lt;=End_of_period) * ($G185 &gt;=Beginning_of_period) * (1-SUM($K185:BG185)) /  IFERROR((DATEDIF(Beginning_of_period,$G185,"m") + 1) / Months_in_Period,0),0)</f>
        <v>0</v>
      </c>
      <c r="BI185" s="231">
        <f xml:space="preserve"> IFERROR(($E185&gt;0)*($E185 &lt;=End_of_period) * ($G185 &gt;=Beginning_of_period) * (1-SUM($K185:BH185)) /  IFERROR((DATEDIF(Beginning_of_period,$G185,"m") + 1) / Months_in_Period,0),0)</f>
        <v>0</v>
      </c>
      <c r="BJ185" s="231">
        <f xml:space="preserve"> IFERROR(($E185&gt;0)*($E185 &lt;=End_of_period) * ($G185 &gt;=Beginning_of_period) * (1-SUM($K185:BI185)) /  IFERROR((DATEDIF(Beginning_of_period,$G185,"m") + 1) / Months_in_Period,0),0)</f>
        <v>0</v>
      </c>
      <c r="BK185" s="231">
        <f xml:space="preserve"> IFERROR(($E185&gt;0)*($E185 &lt;=End_of_period) * ($G185 &gt;=Beginning_of_period) * (1-SUM($K185:BJ185)) /  IFERROR((DATEDIF(Beginning_of_period,$G185,"m") + 1) / Months_in_Period,0),0)</f>
        <v>0</v>
      </c>
      <c r="BL185" s="231">
        <f xml:space="preserve"> IFERROR(($E185&gt;0)*($E185 &lt;=End_of_period) * ($G185 &gt;=Beginning_of_period) * (1-SUM($K185:BK185)) /  IFERROR((DATEDIF(Beginning_of_period,$G185,"m") + 1) / Months_in_Period,0),0)</f>
        <v>0</v>
      </c>
      <c r="BM185" s="231">
        <f xml:space="preserve"> IFERROR(($E185&gt;0)*($E185 &lt;=End_of_period) * ($G185 &gt;=Beginning_of_period) * (1-SUM($K185:BL185)) /  IFERROR((DATEDIF(Beginning_of_period,$G185,"m") + 1) / Months_in_Period,0),0)</f>
        <v>0</v>
      </c>
      <c r="BN185" s="231">
        <f xml:space="preserve"> IFERROR(($E185&gt;0)*($E185 &lt;=End_of_period) * ($G185 &gt;=Beginning_of_period) * (1-SUM($K185:BM185)) /  IFERROR((DATEDIF(Beginning_of_period,$G185,"m") + 1) / Months_in_Period,0),0)</f>
        <v>0</v>
      </c>
      <c r="BO185" s="231">
        <f xml:space="preserve"> IFERROR(($E185&gt;0)*($E185 &lt;=End_of_period) * ($G185 &gt;=Beginning_of_period) * (1-SUM($K185:BN185)) /  IFERROR((DATEDIF(Beginning_of_period,$G185,"m") + 1) / Months_in_Period,0),0)</f>
        <v>0</v>
      </c>
      <c r="BP185" s="231">
        <f xml:space="preserve"> IFERROR(($E185&gt;0)*($E185 &lt;=End_of_period) * ($G185 &gt;=Beginning_of_period) * (1-SUM($K185:BO185)) /  IFERROR((DATEDIF(Beginning_of_period,$G185,"m") + 1) / Months_in_Period,0),0)</f>
        <v>0</v>
      </c>
      <c r="BQ185" s="231">
        <f xml:space="preserve"> IFERROR(($E185&gt;0)*($E185 &lt;=End_of_period) * ($G185 &gt;=Beginning_of_period) * (1-SUM($K185:BP185)) /  IFERROR((DATEDIF(Beginning_of_period,$G185,"m") + 1) / Months_in_Period,0),0)</f>
        <v>0</v>
      </c>
      <c r="BR185" s="231">
        <f xml:space="preserve"> IFERROR(($E185&gt;0)*($E185 &lt;=End_of_period) * ($G185 &gt;=Beginning_of_period) * (1-SUM($K185:BQ185)) /  IFERROR((DATEDIF(Beginning_of_period,$G185,"m") + 1) / Months_in_Period,0),0)</f>
        <v>0</v>
      </c>
      <c r="BS185" s="231">
        <f xml:space="preserve"> IFERROR(($E185&gt;0)*($E185 &lt;=End_of_period) * ($G185 &gt;=Beginning_of_period) * (1-SUM($K185:BR185)) /  IFERROR((DATEDIF(Beginning_of_period,$G185,"m") + 1) / Months_in_Period,0),0)</f>
        <v>0</v>
      </c>
      <c r="BT185" s="231">
        <f xml:space="preserve"> IFERROR(($E185&gt;0)*($E185 &lt;=End_of_period) * ($G185 &gt;=Beginning_of_period) * (1-SUM($K185:BS185)) /  IFERROR((DATEDIF(Beginning_of_period,$G185,"m") + 1) / Months_in_Period,0),0)</f>
        <v>0</v>
      </c>
      <c r="BU185" s="231">
        <f xml:space="preserve"> IFERROR(($E185&gt;0)*($E185 &lt;=End_of_period) * ($G185 &gt;=Beginning_of_period) * (1-SUM($K185:BT185)) /  IFERROR((DATEDIF(Beginning_of_period,$G185,"m") + 1) / Months_in_Period,0),0)</f>
        <v>0</v>
      </c>
      <c r="BV185" s="231">
        <f xml:space="preserve"> IFERROR(($E185&gt;0)*($E185 &lt;=End_of_period) * ($G185 &gt;=Beginning_of_period) * (1-SUM($K185:BU185)) /  IFERROR((DATEDIF(Beginning_of_period,$G185,"m") + 1) / Months_in_Period,0),0)</f>
        <v>0</v>
      </c>
      <c r="BW185" s="231">
        <f xml:space="preserve"> IFERROR(($E185&gt;0)*($E185 &lt;=End_of_period) * ($G185 &gt;=Beginning_of_period) * (1-SUM($K185:BV185)) /  IFERROR((DATEDIF(Beginning_of_period,$G185,"m") + 1) / Months_in_Period,0),0)</f>
        <v>0</v>
      </c>
      <c r="BX185" s="231">
        <f xml:space="preserve"> IFERROR(($E185&gt;0)*($E185 &lt;=End_of_period) * ($G185 &gt;=Beginning_of_period) * (1-SUM($K185:BW185)) /  IFERROR((DATEDIF(Beginning_of_period,$G185,"m") + 1) / Months_in_Period,0),0)</f>
        <v>0</v>
      </c>
      <c r="BY185" s="231">
        <f xml:space="preserve"> IFERROR(($E185&gt;0)*($E185 &lt;=End_of_period) * ($G185 &gt;=Beginning_of_period) * (1-SUM($K185:BX185)) /  IFERROR((DATEDIF(Beginning_of_period,$G185,"m") + 1) / Months_in_Period,0),0)</f>
        <v>0</v>
      </c>
      <c r="BZ185" s="231">
        <f xml:space="preserve"> IFERROR(($E185&gt;0)*($E185 &lt;=End_of_period) * ($G185 &gt;=Beginning_of_period) * (1-SUM($K185:BY185)) /  IFERROR((DATEDIF(Beginning_of_period,$G185,"m") + 1) / Months_in_Period,0),0)</f>
        <v>0</v>
      </c>
      <c r="CA185" s="231">
        <f xml:space="preserve"> IFERROR(($E185&gt;0)*($E185 &lt;=End_of_period) * ($G185 &gt;=Beginning_of_period) * (1-SUM($K185:BZ185)) /  IFERROR((DATEDIF(Beginning_of_period,$G185,"m") + 1) / Months_in_Period,0),0)</f>
        <v>0</v>
      </c>
      <c r="CB185" s="231">
        <f xml:space="preserve"> IFERROR(($E185&gt;0)*($E185 &lt;=End_of_period) * ($G185 &gt;=Beginning_of_period) * (1-SUM($K185:CA185)) /  IFERROR((DATEDIF(Beginning_of_period,$G185,"m") + 1) / Months_in_Period,0),0)</f>
        <v>0</v>
      </c>
      <c r="CC185" s="231">
        <f xml:space="preserve"> IFERROR(($E185&gt;0)*($E185 &lt;=End_of_period) * ($G185 &gt;=Beginning_of_period) * (1-SUM($K185:CB185)) /  IFERROR((DATEDIF(Beginning_of_period,$G185,"m") + 1) / Months_in_Period,0),0)</f>
        <v>0</v>
      </c>
      <c r="CD185" s="231">
        <f xml:space="preserve"> IFERROR(($E185&gt;0)*($E185 &lt;=End_of_period) * ($G185 &gt;=Beginning_of_period) * (1-SUM($K185:CC185)) /  IFERROR((DATEDIF(Beginning_of_period,$G185,"m") + 1) / Months_in_Period,0),0)</f>
        <v>0</v>
      </c>
      <c r="CE185" s="231">
        <f xml:space="preserve"> IFERROR(($E185&gt;0)*($E185 &lt;=End_of_period) * ($G185 &gt;=Beginning_of_period) * (1-SUM($K185:CD185)) /  IFERROR((DATEDIF(Beginning_of_period,$G185,"m") + 1) / Months_in_Period,0),0)</f>
        <v>0</v>
      </c>
      <c r="CF185" s="231">
        <f xml:space="preserve"> IFERROR(($E185&gt;0)*($E185 &lt;=End_of_period) * ($G185 &gt;=Beginning_of_period) * (1-SUM($K185:CE185)) /  IFERROR((DATEDIF(Beginning_of_period,$G185,"m") + 1) / Months_in_Period,0),0)</f>
        <v>0</v>
      </c>
      <c r="CG185" s="231">
        <f xml:space="preserve"> IFERROR(($E185&gt;0)*($E185 &lt;=End_of_period) * ($G185 &gt;=Beginning_of_period) * (1-SUM($K185:CF185)) /  IFERROR((DATEDIF(Beginning_of_period,$G185,"m") + 1) / Months_in_Period,0),0)</f>
        <v>0</v>
      </c>
      <c r="CH185" s="231">
        <f xml:space="preserve"> IFERROR(($E185&gt;0)*($E185 &lt;=End_of_period) * ($G185 &gt;=Beginning_of_period) * (1-SUM($K185:CG185)) /  IFERROR((DATEDIF(Beginning_of_period,$G185,"m") + 1) / Months_in_Period,0),0)</f>
        <v>0</v>
      </c>
      <c r="CI185" s="231">
        <f xml:space="preserve"> IFERROR(($E185&gt;0)*($E185 &lt;=End_of_period) * ($G185 &gt;=Beginning_of_period) * (1-SUM($K185:CH185)) /  IFERROR((DATEDIF(Beginning_of_period,$G185,"m") + 1) / Months_in_Period,0),0)</f>
        <v>0</v>
      </c>
      <c r="CJ185" s="231">
        <f xml:space="preserve"> IFERROR(($E185&gt;0)*($E185 &lt;=End_of_period) * ($G185 &gt;=Beginning_of_period) * (1-SUM($K185:CI185)) /  IFERROR((DATEDIF(Beginning_of_period,$G185,"m") + 1) / Months_in_Period,0),0)</f>
        <v>0</v>
      </c>
      <c r="CK185" s="231">
        <f xml:space="preserve"> IFERROR(($E185&gt;0)*($E185 &lt;=End_of_period) * ($G185 &gt;=Beginning_of_period) * (1-SUM($K185:CJ185)) /  IFERROR((DATEDIF(Beginning_of_period,$G185,"m") + 1) / Months_in_Period,0),0)</f>
        <v>0</v>
      </c>
      <c r="CL185" s="231">
        <f xml:space="preserve"> IFERROR(($E185&gt;0)*($E185 &lt;=End_of_period) * ($G185 &gt;=Beginning_of_period) * (1-SUM($K185:CK185)) /  IFERROR((DATEDIF(Beginning_of_period,$G185,"m") + 1) / Months_in_Period,0),0)</f>
        <v>0</v>
      </c>
      <c r="CM185" s="231">
        <f xml:space="preserve"> IFERROR(($E185&gt;0)*($E185 &lt;=End_of_period) * ($G185 &gt;=Beginning_of_period) * (1-SUM($K185:CL185)) /  IFERROR((DATEDIF(Beginning_of_period,$G185,"m") + 1) / Months_in_Period,0),0)</f>
        <v>0</v>
      </c>
      <c r="CN185" s="231">
        <f xml:space="preserve"> IFERROR(($E185&gt;0)*($E185 &lt;=End_of_period) * ($G185 &gt;=Beginning_of_period) * (1-SUM($K185:CM185)) /  IFERROR((DATEDIF(Beginning_of_period,$G185,"m") + 1) / Months_in_Period,0),0)</f>
        <v>0</v>
      </c>
      <c r="CO185" s="231">
        <f xml:space="preserve"> IFERROR(($E185&gt;0)*($E185 &lt;=End_of_period) * ($G185 &gt;=Beginning_of_period) * (1-SUM($K185:CN185)) /  IFERROR((DATEDIF(Beginning_of_period,$G185,"m") + 1) / Months_in_Period,0),0)</f>
        <v>0</v>
      </c>
      <c r="CP185" s="10"/>
    </row>
    <row r="186" spans="1:94" ht="15" customHeight="1">
      <c r="A186" s="10"/>
      <c r="B186" s="3"/>
      <c r="C186" s="17" t="s">
        <v>848</v>
      </c>
      <c r="D186" s="10"/>
      <c r="E186" s="71">
        <v>46023</v>
      </c>
      <c r="F186" s="10"/>
      <c r="G186" s="479">
        <v>47208</v>
      </c>
      <c r="H186" s="149">
        <f xml:space="preserve"> IFERROR((DATEDIF(E186,G186,"m") + 1) / Months_in_Period,0)</f>
        <v>13</v>
      </c>
      <c r="I186" s="231">
        <f t="shared" si="117"/>
        <v>1</v>
      </c>
      <c r="J186" s="10"/>
      <c r="K186" s="10"/>
      <c r="L186" s="231">
        <f xml:space="preserve"> IFERROR(($E186&gt;0)*($E186 &lt;=End_of_period) * ($G186 &gt;=Beginning_of_period) * (1-SUM($K186:K186)) /  IFERROR((DATEDIF(Beginning_of_period,$G186,"m") + 1) / Months_in_Period,0),0)</f>
        <v>0</v>
      </c>
      <c r="M186" s="231">
        <f xml:space="preserve"> IFERROR(($E186&gt;0)*($E186 &lt;=End_of_period) * ($G186 &gt;=Beginning_of_period) * (1-SUM($K186:L186)) /  IFERROR((DATEDIF(Beginning_of_period,$G186,"m") + 1) / Months_in_Period,0),0)</f>
        <v>0</v>
      </c>
      <c r="N186" s="231">
        <f xml:space="preserve"> IFERROR(($E186&gt;0)*($E186 &lt;=End_of_period) * ($G186 &gt;=Beginning_of_period) * (1-SUM($K186:M186)) /  IFERROR((DATEDIF(Beginning_of_period,$G186,"m") + 1) / Months_in_Period,0),0)</f>
        <v>0</v>
      </c>
      <c r="O186" s="231">
        <f xml:space="preserve"> IFERROR(($E186&gt;0)*($E186 &lt;=End_of_period) * ($G186 &gt;=Beginning_of_period) * (1-SUM($K186:N186)) /  IFERROR((DATEDIF(Beginning_of_period,$G186,"m") + 1) / Months_in_Period,0),0)</f>
        <v>0</v>
      </c>
      <c r="P186" s="231">
        <f xml:space="preserve"> IFERROR(($E186&gt;0)*($E186 &lt;=End_of_period) * ($G186 &gt;=Beginning_of_period) * (1-SUM($K186:O186)) /  IFERROR((DATEDIF(Beginning_of_period,$G186,"m") + 1) / Months_in_Period,0),0)</f>
        <v>7.6923076923076927E-2</v>
      </c>
      <c r="Q186" s="231">
        <f xml:space="preserve"> IFERROR(($E186&gt;0)*($E186 &lt;=End_of_period) * ($G186 &gt;=Beginning_of_period) * (1-SUM($K186:P186)) /  IFERROR((DATEDIF(Beginning_of_period,$G186,"m") + 1) / Months_in_Period,0),0)</f>
        <v>7.6923076923076927E-2</v>
      </c>
      <c r="R186" s="231">
        <f xml:space="preserve"> IFERROR(($E186&gt;0)*($E186 &lt;=End_of_period) * ($G186 &gt;=Beginning_of_period) * (1-SUM($K186:Q186)) /  IFERROR((DATEDIF(Beginning_of_period,$G186,"m") + 1) / Months_in_Period,0),0)</f>
        <v>7.6923076923076927E-2</v>
      </c>
      <c r="S186" s="231">
        <f xml:space="preserve"> IFERROR(($E186&gt;0)*($E186 &lt;=End_of_period) * ($G186 &gt;=Beginning_of_period) * (1-SUM($K186:R186)) /  IFERROR((DATEDIF(Beginning_of_period,$G186,"m") + 1) / Months_in_Period,0),0)</f>
        <v>7.6923076923076913E-2</v>
      </c>
      <c r="T186" s="231">
        <f xml:space="preserve"> IFERROR(($E186&gt;0)*($E186 &lt;=End_of_period) * ($G186 &gt;=Beginning_of_period) * (1-SUM($K186:S186)) /  IFERROR((DATEDIF(Beginning_of_period,$G186,"m") + 1) / Months_in_Period,0),0)</f>
        <v>7.6923076923076927E-2</v>
      </c>
      <c r="U186" s="231">
        <f xml:space="preserve"> IFERROR(($E186&gt;0)*($E186 &lt;=End_of_period) * ($G186 &gt;=Beginning_of_period) * (1-SUM($K186:T186)) /  IFERROR((DATEDIF(Beginning_of_period,$G186,"m") + 1) / Months_in_Period,0),0)</f>
        <v>7.6923076923076927E-2</v>
      </c>
      <c r="V186" s="231">
        <f xml:space="preserve"> IFERROR(($E186&gt;0)*($E186 &lt;=End_of_period) * ($G186 &gt;=Beginning_of_period) * (1-SUM($K186:U186)) /  IFERROR((DATEDIF(Beginning_of_period,$G186,"m") + 1) / Months_in_Period,0),0)</f>
        <v>7.6923076923076913E-2</v>
      </c>
      <c r="W186" s="231">
        <f xml:space="preserve"> IFERROR(($E186&gt;0)*($E186 &lt;=End_of_period) * ($G186 &gt;=Beginning_of_period) * (1-SUM($K186:V186)) /  IFERROR((DATEDIF(Beginning_of_period,$G186,"m") + 1) / Months_in_Period,0),0)</f>
        <v>7.6923076923076927E-2</v>
      </c>
      <c r="X186" s="231">
        <f xml:space="preserve"> IFERROR(($E186&gt;0)*($E186 &lt;=End_of_period) * ($G186 &gt;=Beginning_of_period) * (1-SUM($K186:W186)) /  IFERROR((DATEDIF(Beginning_of_period,$G186,"m") + 1) / Months_in_Period,0),0)</f>
        <v>7.6923076923076913E-2</v>
      </c>
      <c r="Y186" s="231">
        <f xml:space="preserve"> IFERROR(($E186&gt;0)*($E186 &lt;=End_of_period) * ($G186 &gt;=Beginning_of_period) * (1-SUM($K186:X186)) /  IFERROR((DATEDIF(Beginning_of_period,$G186,"m") + 1) / Months_in_Period,0),0)</f>
        <v>7.6923076923076927E-2</v>
      </c>
      <c r="Z186" s="231">
        <f xml:space="preserve"> IFERROR(($E186&gt;0)*($E186 &lt;=End_of_period) * ($G186 &gt;=Beginning_of_period) * (1-SUM($K186:Y186)) /  IFERROR((DATEDIF(Beginning_of_period,$G186,"m") + 1) / Months_in_Period,0),0)</f>
        <v>7.6923076923076941E-2</v>
      </c>
      <c r="AA186" s="231">
        <f xml:space="preserve"> IFERROR(($E186&gt;0)*($E186 &lt;=End_of_period) * ($G186 &gt;=Beginning_of_period) * (1-SUM($K186:Z186)) /  IFERROR((DATEDIF(Beginning_of_period,$G186,"m") + 1) / Months_in_Period,0),0)</f>
        <v>7.6923076923076927E-2</v>
      </c>
      <c r="AB186" s="231">
        <f xml:space="preserve"> IFERROR(($E186&gt;0)*($E186 &lt;=End_of_period) * ($G186 &gt;=Beginning_of_period) * (1-SUM($K186:AA186)) /  IFERROR((DATEDIF(Beginning_of_period,$G186,"m") + 1) / Months_in_Period,0),0)</f>
        <v>7.6923076923076872E-2</v>
      </c>
      <c r="AC186" s="231">
        <f xml:space="preserve"> IFERROR(($E186&gt;0)*($E186 &lt;=End_of_period) * ($G186 &gt;=Beginning_of_period) * (1-SUM($K186:AB186)) /  IFERROR((DATEDIF(Beginning_of_period,$G186,"m") + 1) / Months_in_Period,0),0)</f>
        <v>0</v>
      </c>
      <c r="AD186" s="231">
        <f xml:space="preserve"> IFERROR(($E186&gt;0)*($E186 &lt;=End_of_period) * ($G186 &gt;=Beginning_of_period) * (1-SUM($K186:AC186)) /  IFERROR((DATEDIF(Beginning_of_period,$G186,"m") + 1) / Months_in_Period,0),0)</f>
        <v>0</v>
      </c>
      <c r="AE186" s="231">
        <f xml:space="preserve"> IFERROR(($E186&gt;0)*($E186 &lt;=End_of_period) * ($G186 &gt;=Beginning_of_period) * (1-SUM($K186:AD186)) /  IFERROR((DATEDIF(Beginning_of_period,$G186,"m") + 1) / Months_in_Period,0),0)</f>
        <v>0</v>
      </c>
      <c r="AF186" s="231">
        <f xml:space="preserve"> IFERROR(($E186&gt;0)*($E186 &lt;=End_of_period) * ($G186 &gt;=Beginning_of_period) * (1-SUM($K186:AE186)) /  IFERROR((DATEDIF(Beginning_of_period,$G186,"m") + 1) / Months_in_Period,0),0)</f>
        <v>0</v>
      </c>
      <c r="AG186" s="231">
        <f xml:space="preserve"> IFERROR(($E186&gt;0)*($E186 &lt;=End_of_period) * ($G186 &gt;=Beginning_of_period) * (1-SUM($K186:AF186)) /  IFERROR((DATEDIF(Beginning_of_period,$G186,"m") + 1) / Months_in_Period,0),0)</f>
        <v>0</v>
      </c>
      <c r="AH186" s="231">
        <f xml:space="preserve"> IFERROR(($E186&gt;0)*($E186 &lt;=End_of_period) * ($G186 &gt;=Beginning_of_period) * (1-SUM($K186:AG186)) /  IFERROR((DATEDIF(Beginning_of_period,$G186,"m") + 1) / Months_in_Period,0),0)</f>
        <v>0</v>
      </c>
      <c r="AI186" s="231">
        <f xml:space="preserve"> IFERROR(($E186&gt;0)*($E186 &lt;=End_of_period) * ($G186 &gt;=Beginning_of_period) * (1-SUM($K186:AH186)) /  IFERROR((DATEDIF(Beginning_of_period,$G186,"m") + 1) / Months_in_Period,0),0)</f>
        <v>0</v>
      </c>
      <c r="AJ186" s="231">
        <f xml:space="preserve"> IFERROR(($E186&gt;0)*($E186 &lt;=End_of_period) * ($G186 &gt;=Beginning_of_period) * (1-SUM($K186:AI186)) /  IFERROR((DATEDIF(Beginning_of_period,$G186,"m") + 1) / Months_in_Period,0),0)</f>
        <v>0</v>
      </c>
      <c r="AK186" s="231">
        <f xml:space="preserve"> IFERROR(($E186&gt;0)*($E186 &lt;=End_of_period) * ($G186 &gt;=Beginning_of_period) * (1-SUM($K186:AJ186)) /  IFERROR((DATEDIF(Beginning_of_period,$G186,"m") + 1) / Months_in_Period,0),0)</f>
        <v>0</v>
      </c>
      <c r="AL186" s="231">
        <f xml:space="preserve"> IFERROR(($E186&gt;0)*($E186 &lt;=End_of_period) * ($G186 &gt;=Beginning_of_period) * (1-SUM($K186:AK186)) /  IFERROR((DATEDIF(Beginning_of_period,$G186,"m") + 1) / Months_in_Period,0),0)</f>
        <v>0</v>
      </c>
      <c r="AM186" s="231">
        <f xml:space="preserve"> IFERROR(($E186&gt;0)*($E186 &lt;=End_of_period) * ($G186 &gt;=Beginning_of_period) * (1-SUM($K186:AL186)) /  IFERROR((DATEDIF(Beginning_of_period,$G186,"m") + 1) / Months_in_Period,0),0)</f>
        <v>0</v>
      </c>
      <c r="AN186" s="231">
        <f xml:space="preserve"> IFERROR(($E186&gt;0)*($E186 &lt;=End_of_period) * ($G186 &gt;=Beginning_of_period) * (1-SUM($K186:AM186)) /  IFERROR((DATEDIF(Beginning_of_period,$G186,"m") + 1) / Months_in_Period,0),0)</f>
        <v>0</v>
      </c>
      <c r="AO186" s="231">
        <f xml:space="preserve"> IFERROR(($E186&gt;0)*($E186 &lt;=End_of_period) * ($G186 &gt;=Beginning_of_period) * (1-SUM($K186:AN186)) /  IFERROR((DATEDIF(Beginning_of_period,$G186,"m") + 1) / Months_in_Period,0),0)</f>
        <v>0</v>
      </c>
      <c r="AP186" s="231">
        <f xml:space="preserve"> IFERROR(($E186&gt;0)*($E186 &lt;=End_of_period) * ($G186 &gt;=Beginning_of_period) * (1-SUM($K186:AO186)) /  IFERROR((DATEDIF(Beginning_of_period,$G186,"m") + 1) / Months_in_Period,0),0)</f>
        <v>0</v>
      </c>
      <c r="AQ186" s="231">
        <f xml:space="preserve"> IFERROR(($E186&gt;0)*($E186 &lt;=End_of_period) * ($G186 &gt;=Beginning_of_period) * (1-SUM($K186:AP186)) /  IFERROR((DATEDIF(Beginning_of_period,$G186,"m") + 1) / Months_in_Period,0),0)</f>
        <v>0</v>
      </c>
      <c r="AR186" s="231">
        <f xml:space="preserve"> IFERROR(($E186&gt;0)*($E186 &lt;=End_of_period) * ($G186 &gt;=Beginning_of_period) * (1-SUM($K186:AQ186)) /  IFERROR((DATEDIF(Beginning_of_period,$G186,"m") + 1) / Months_in_Period,0),0)</f>
        <v>0</v>
      </c>
      <c r="AS186" s="231">
        <f xml:space="preserve"> IFERROR(($E186&gt;0)*($E186 &lt;=End_of_period) * ($G186 &gt;=Beginning_of_period) * (1-SUM($K186:AR186)) /  IFERROR((DATEDIF(Beginning_of_period,$G186,"m") + 1) / Months_in_Period,0),0)</f>
        <v>0</v>
      </c>
      <c r="AT186" s="231">
        <f xml:space="preserve"> IFERROR(($E186&gt;0)*($E186 &lt;=End_of_period) * ($G186 &gt;=Beginning_of_period) * (1-SUM($K186:AS186)) /  IFERROR((DATEDIF(Beginning_of_period,$G186,"m") + 1) / Months_in_Period,0),0)</f>
        <v>0</v>
      </c>
      <c r="AU186" s="231">
        <f xml:space="preserve"> IFERROR(($E186&gt;0)*($E186 &lt;=End_of_period) * ($G186 &gt;=Beginning_of_period) * (1-SUM($K186:AT186)) /  IFERROR((DATEDIF(Beginning_of_period,$G186,"m") + 1) / Months_in_Period,0),0)</f>
        <v>0</v>
      </c>
      <c r="AV186" s="231">
        <f xml:space="preserve"> IFERROR(($E186&gt;0)*($E186 &lt;=End_of_period) * ($G186 &gt;=Beginning_of_period) * (1-SUM($K186:AU186)) /  IFERROR((DATEDIF(Beginning_of_period,$G186,"m") + 1) / Months_in_Period,0),0)</f>
        <v>0</v>
      </c>
      <c r="AW186" s="231">
        <f xml:space="preserve"> IFERROR(($E186&gt;0)*($E186 &lt;=End_of_period) * ($G186 &gt;=Beginning_of_period) * (1-SUM($K186:AV186)) /  IFERROR((DATEDIF(Beginning_of_period,$G186,"m") + 1) / Months_in_Period,0),0)</f>
        <v>0</v>
      </c>
      <c r="AX186" s="231">
        <f xml:space="preserve"> IFERROR(($E186&gt;0)*($E186 &lt;=End_of_period) * ($G186 &gt;=Beginning_of_period) * (1-SUM($K186:AW186)) /  IFERROR((DATEDIF(Beginning_of_period,$G186,"m") + 1) / Months_in_Period,0),0)</f>
        <v>0</v>
      </c>
      <c r="AY186" s="231">
        <f xml:space="preserve"> IFERROR(($E186&gt;0)*($E186 &lt;=End_of_period) * ($G186 &gt;=Beginning_of_period) * (1-SUM($K186:AX186)) /  IFERROR((DATEDIF(Beginning_of_period,$G186,"m") + 1) / Months_in_Period,0),0)</f>
        <v>0</v>
      </c>
      <c r="AZ186" s="231">
        <f xml:space="preserve"> IFERROR(($E186&gt;0)*($E186 &lt;=End_of_period) * ($G186 &gt;=Beginning_of_period) * (1-SUM($K186:AY186)) /  IFERROR((DATEDIF(Beginning_of_period,$G186,"m") + 1) / Months_in_Period,0),0)</f>
        <v>0</v>
      </c>
      <c r="BA186" s="231">
        <f xml:space="preserve"> IFERROR(($E186&gt;0)*($E186 &lt;=End_of_period) * ($G186 &gt;=Beginning_of_period) * (1-SUM($K186:AZ186)) /  IFERROR((DATEDIF(Beginning_of_period,$G186,"m") + 1) / Months_in_Period,0),0)</f>
        <v>0</v>
      </c>
      <c r="BB186" s="231">
        <f xml:space="preserve"> IFERROR(($E186&gt;0)*($E186 &lt;=End_of_period) * ($G186 &gt;=Beginning_of_period) * (1-SUM($K186:BA186)) /  IFERROR((DATEDIF(Beginning_of_period,$G186,"m") + 1) / Months_in_Period,0),0)</f>
        <v>0</v>
      </c>
      <c r="BC186" s="231">
        <f xml:space="preserve"> IFERROR(($E186&gt;0)*($E186 &lt;=End_of_period) * ($G186 &gt;=Beginning_of_period) * (1-SUM($K186:BB186)) /  IFERROR((DATEDIF(Beginning_of_period,$G186,"m") + 1) / Months_in_Period,0),0)</f>
        <v>0</v>
      </c>
      <c r="BD186" s="231">
        <f xml:space="preserve"> IFERROR(($E186&gt;0)*($E186 &lt;=End_of_period) * ($G186 &gt;=Beginning_of_period) * (1-SUM($K186:BC186)) /  IFERROR((DATEDIF(Beginning_of_period,$G186,"m") + 1) / Months_in_Period,0),0)</f>
        <v>0</v>
      </c>
      <c r="BE186" s="231">
        <f xml:space="preserve"> IFERROR(($E186&gt;0)*($E186 &lt;=End_of_period) * ($G186 &gt;=Beginning_of_period) * (1-SUM($K186:BD186)) /  IFERROR((DATEDIF(Beginning_of_period,$G186,"m") + 1) / Months_in_Period,0),0)</f>
        <v>0</v>
      </c>
      <c r="BF186" s="231">
        <f xml:space="preserve"> IFERROR(($E186&gt;0)*($E186 &lt;=End_of_period) * ($G186 &gt;=Beginning_of_period) * (1-SUM($K186:BE186)) /  IFERROR((DATEDIF(Beginning_of_period,$G186,"m") + 1) / Months_in_Period,0),0)</f>
        <v>0</v>
      </c>
      <c r="BG186" s="231">
        <f xml:space="preserve"> IFERROR(($E186&gt;0)*($E186 &lt;=End_of_period) * ($G186 &gt;=Beginning_of_period) * (1-SUM($K186:BF186)) /  IFERROR((DATEDIF(Beginning_of_period,$G186,"m") + 1) / Months_in_Period,0),0)</f>
        <v>0</v>
      </c>
      <c r="BH186" s="231">
        <f xml:space="preserve"> IFERROR(($E186&gt;0)*($E186 &lt;=End_of_period) * ($G186 &gt;=Beginning_of_period) * (1-SUM($K186:BG186)) /  IFERROR((DATEDIF(Beginning_of_period,$G186,"m") + 1) / Months_in_Period,0),0)</f>
        <v>0</v>
      </c>
      <c r="BI186" s="231">
        <f xml:space="preserve"> IFERROR(($E186&gt;0)*($E186 &lt;=End_of_period) * ($G186 &gt;=Beginning_of_period) * (1-SUM($K186:BH186)) /  IFERROR((DATEDIF(Beginning_of_period,$G186,"m") + 1) / Months_in_Period,0),0)</f>
        <v>0</v>
      </c>
      <c r="BJ186" s="231">
        <f xml:space="preserve"> IFERROR(($E186&gt;0)*($E186 &lt;=End_of_period) * ($G186 &gt;=Beginning_of_period) * (1-SUM($K186:BI186)) /  IFERROR((DATEDIF(Beginning_of_period,$G186,"m") + 1) / Months_in_Period,0),0)</f>
        <v>0</v>
      </c>
      <c r="BK186" s="231">
        <f xml:space="preserve"> IFERROR(($E186&gt;0)*($E186 &lt;=End_of_period) * ($G186 &gt;=Beginning_of_period) * (1-SUM($K186:BJ186)) /  IFERROR((DATEDIF(Beginning_of_period,$G186,"m") + 1) / Months_in_Period,0),0)</f>
        <v>0</v>
      </c>
      <c r="BL186" s="231">
        <f xml:space="preserve"> IFERROR(($E186&gt;0)*($E186 &lt;=End_of_period) * ($G186 &gt;=Beginning_of_period) * (1-SUM($K186:BK186)) /  IFERROR((DATEDIF(Beginning_of_period,$G186,"m") + 1) / Months_in_Period,0),0)</f>
        <v>0</v>
      </c>
      <c r="BM186" s="231">
        <f xml:space="preserve"> IFERROR(($E186&gt;0)*($E186 &lt;=End_of_period) * ($G186 &gt;=Beginning_of_period) * (1-SUM($K186:BL186)) /  IFERROR((DATEDIF(Beginning_of_period,$G186,"m") + 1) / Months_in_Period,0),0)</f>
        <v>0</v>
      </c>
      <c r="BN186" s="231">
        <f xml:space="preserve"> IFERROR(($E186&gt;0)*($E186 &lt;=End_of_period) * ($G186 &gt;=Beginning_of_period) * (1-SUM($K186:BM186)) /  IFERROR((DATEDIF(Beginning_of_period,$G186,"m") + 1) / Months_in_Period,0),0)</f>
        <v>0</v>
      </c>
      <c r="BO186" s="231">
        <f xml:space="preserve"> IFERROR(($E186&gt;0)*($E186 &lt;=End_of_period) * ($G186 &gt;=Beginning_of_period) * (1-SUM($K186:BN186)) /  IFERROR((DATEDIF(Beginning_of_period,$G186,"m") + 1) / Months_in_Period,0),0)</f>
        <v>0</v>
      </c>
      <c r="BP186" s="231">
        <f xml:space="preserve"> IFERROR(($E186&gt;0)*($E186 &lt;=End_of_period) * ($G186 &gt;=Beginning_of_period) * (1-SUM($K186:BO186)) /  IFERROR((DATEDIF(Beginning_of_period,$G186,"m") + 1) / Months_in_Period,0),0)</f>
        <v>0</v>
      </c>
      <c r="BQ186" s="231">
        <f xml:space="preserve"> IFERROR(($E186&gt;0)*($E186 &lt;=End_of_period) * ($G186 &gt;=Beginning_of_period) * (1-SUM($K186:BP186)) /  IFERROR((DATEDIF(Beginning_of_period,$G186,"m") + 1) / Months_in_Period,0),0)</f>
        <v>0</v>
      </c>
      <c r="BR186" s="231">
        <f xml:space="preserve"> IFERROR(($E186&gt;0)*($E186 &lt;=End_of_period) * ($G186 &gt;=Beginning_of_period) * (1-SUM($K186:BQ186)) /  IFERROR((DATEDIF(Beginning_of_period,$G186,"m") + 1) / Months_in_Period,0),0)</f>
        <v>0</v>
      </c>
      <c r="BS186" s="231">
        <f xml:space="preserve"> IFERROR(($E186&gt;0)*($E186 &lt;=End_of_period) * ($G186 &gt;=Beginning_of_period) * (1-SUM($K186:BR186)) /  IFERROR((DATEDIF(Beginning_of_period,$G186,"m") + 1) / Months_in_Period,0),0)</f>
        <v>0</v>
      </c>
      <c r="BT186" s="231">
        <f xml:space="preserve"> IFERROR(($E186&gt;0)*($E186 &lt;=End_of_period) * ($G186 &gt;=Beginning_of_period) * (1-SUM($K186:BS186)) /  IFERROR((DATEDIF(Beginning_of_period,$G186,"m") + 1) / Months_in_Period,0),0)</f>
        <v>0</v>
      </c>
      <c r="BU186" s="231">
        <f xml:space="preserve"> IFERROR(($E186&gt;0)*($E186 &lt;=End_of_period) * ($G186 &gt;=Beginning_of_period) * (1-SUM($K186:BT186)) /  IFERROR((DATEDIF(Beginning_of_period,$G186,"m") + 1) / Months_in_Period,0),0)</f>
        <v>0</v>
      </c>
      <c r="BV186" s="231">
        <f xml:space="preserve"> IFERROR(($E186&gt;0)*($E186 &lt;=End_of_period) * ($G186 &gt;=Beginning_of_period) * (1-SUM($K186:BU186)) /  IFERROR((DATEDIF(Beginning_of_period,$G186,"m") + 1) / Months_in_Period,0),0)</f>
        <v>0</v>
      </c>
      <c r="BW186" s="231">
        <f xml:space="preserve"> IFERROR(($E186&gt;0)*($E186 &lt;=End_of_period) * ($G186 &gt;=Beginning_of_period) * (1-SUM($K186:BV186)) /  IFERROR((DATEDIF(Beginning_of_period,$G186,"m") + 1) / Months_in_Period,0),0)</f>
        <v>0</v>
      </c>
      <c r="BX186" s="231">
        <f xml:space="preserve"> IFERROR(($E186&gt;0)*($E186 &lt;=End_of_period) * ($G186 &gt;=Beginning_of_period) * (1-SUM($K186:BW186)) /  IFERROR((DATEDIF(Beginning_of_period,$G186,"m") + 1) / Months_in_Period,0),0)</f>
        <v>0</v>
      </c>
      <c r="BY186" s="231">
        <f xml:space="preserve"> IFERROR(($E186&gt;0)*($E186 &lt;=End_of_period) * ($G186 &gt;=Beginning_of_period) * (1-SUM($K186:BX186)) /  IFERROR((DATEDIF(Beginning_of_period,$G186,"m") + 1) / Months_in_Period,0),0)</f>
        <v>0</v>
      </c>
      <c r="BZ186" s="231">
        <f xml:space="preserve"> IFERROR(($E186&gt;0)*($E186 &lt;=End_of_period) * ($G186 &gt;=Beginning_of_period) * (1-SUM($K186:BY186)) /  IFERROR((DATEDIF(Beginning_of_period,$G186,"m") + 1) / Months_in_Period,0),0)</f>
        <v>0</v>
      </c>
      <c r="CA186" s="231">
        <f xml:space="preserve"> IFERROR(($E186&gt;0)*($E186 &lt;=End_of_period) * ($G186 &gt;=Beginning_of_period) * (1-SUM($K186:BZ186)) /  IFERROR((DATEDIF(Beginning_of_period,$G186,"m") + 1) / Months_in_Period,0),0)</f>
        <v>0</v>
      </c>
      <c r="CB186" s="231">
        <f xml:space="preserve"> IFERROR(($E186&gt;0)*($E186 &lt;=End_of_period) * ($G186 &gt;=Beginning_of_period) * (1-SUM($K186:CA186)) /  IFERROR((DATEDIF(Beginning_of_period,$G186,"m") + 1) / Months_in_Period,0),0)</f>
        <v>0</v>
      </c>
      <c r="CC186" s="231">
        <f xml:space="preserve"> IFERROR(($E186&gt;0)*($E186 &lt;=End_of_period) * ($G186 &gt;=Beginning_of_period) * (1-SUM($K186:CB186)) /  IFERROR((DATEDIF(Beginning_of_period,$G186,"m") + 1) / Months_in_Period,0),0)</f>
        <v>0</v>
      </c>
      <c r="CD186" s="231">
        <f xml:space="preserve"> IFERROR(($E186&gt;0)*($E186 &lt;=End_of_period) * ($G186 &gt;=Beginning_of_period) * (1-SUM($K186:CC186)) /  IFERROR((DATEDIF(Beginning_of_period,$G186,"m") + 1) / Months_in_Period,0),0)</f>
        <v>0</v>
      </c>
      <c r="CE186" s="231">
        <f xml:space="preserve"> IFERROR(($E186&gt;0)*($E186 &lt;=End_of_period) * ($G186 &gt;=Beginning_of_period) * (1-SUM($K186:CD186)) /  IFERROR((DATEDIF(Beginning_of_period,$G186,"m") + 1) / Months_in_Period,0),0)</f>
        <v>0</v>
      </c>
      <c r="CF186" s="231">
        <f xml:space="preserve"> IFERROR(($E186&gt;0)*($E186 &lt;=End_of_period) * ($G186 &gt;=Beginning_of_period) * (1-SUM($K186:CE186)) /  IFERROR((DATEDIF(Beginning_of_period,$G186,"m") + 1) / Months_in_Period,0),0)</f>
        <v>0</v>
      </c>
      <c r="CG186" s="231">
        <f xml:space="preserve"> IFERROR(($E186&gt;0)*($E186 &lt;=End_of_period) * ($G186 &gt;=Beginning_of_period) * (1-SUM($K186:CF186)) /  IFERROR((DATEDIF(Beginning_of_period,$G186,"m") + 1) / Months_in_Period,0),0)</f>
        <v>0</v>
      </c>
      <c r="CH186" s="231">
        <f xml:space="preserve"> IFERROR(($E186&gt;0)*($E186 &lt;=End_of_period) * ($G186 &gt;=Beginning_of_period) * (1-SUM($K186:CG186)) /  IFERROR((DATEDIF(Beginning_of_period,$G186,"m") + 1) / Months_in_Period,0),0)</f>
        <v>0</v>
      </c>
      <c r="CI186" s="231">
        <f xml:space="preserve"> IFERROR(($E186&gt;0)*($E186 &lt;=End_of_period) * ($G186 &gt;=Beginning_of_period) * (1-SUM($K186:CH186)) /  IFERROR((DATEDIF(Beginning_of_period,$G186,"m") + 1) / Months_in_Period,0),0)</f>
        <v>0</v>
      </c>
      <c r="CJ186" s="231">
        <f xml:space="preserve"> IFERROR(($E186&gt;0)*($E186 &lt;=End_of_period) * ($G186 &gt;=Beginning_of_period) * (1-SUM($K186:CI186)) /  IFERROR((DATEDIF(Beginning_of_period,$G186,"m") + 1) / Months_in_Period,0),0)</f>
        <v>0</v>
      </c>
      <c r="CK186" s="231">
        <f xml:space="preserve"> IFERROR(($E186&gt;0)*($E186 &lt;=End_of_period) * ($G186 &gt;=Beginning_of_period) * (1-SUM($K186:CJ186)) /  IFERROR((DATEDIF(Beginning_of_period,$G186,"m") + 1) / Months_in_Period,0),0)</f>
        <v>0</v>
      </c>
      <c r="CL186" s="231">
        <f xml:space="preserve"> IFERROR(($E186&gt;0)*($E186 &lt;=End_of_period) * ($G186 &gt;=Beginning_of_period) * (1-SUM($K186:CK186)) /  IFERROR((DATEDIF(Beginning_of_period,$G186,"m") + 1) / Months_in_Period,0),0)</f>
        <v>0</v>
      </c>
      <c r="CM186" s="231">
        <f xml:space="preserve"> IFERROR(($E186&gt;0)*($E186 &lt;=End_of_period) * ($G186 &gt;=Beginning_of_period) * (1-SUM($K186:CL186)) /  IFERROR((DATEDIF(Beginning_of_period,$G186,"m") + 1) / Months_in_Period,0),0)</f>
        <v>0</v>
      </c>
      <c r="CN186" s="231">
        <f xml:space="preserve"> IFERROR(($E186&gt;0)*($E186 &lt;=End_of_period) * ($G186 &gt;=Beginning_of_period) * (1-SUM($K186:CM186)) /  IFERROR((DATEDIF(Beginning_of_period,$G186,"m") + 1) / Months_in_Period,0),0)</f>
        <v>0</v>
      </c>
      <c r="CO186" s="231">
        <f xml:space="preserve"> IFERROR(($E186&gt;0)*($E186 &lt;=End_of_period) * ($G186 &gt;=Beginning_of_period) * (1-SUM($K186:CN186)) /  IFERROR((DATEDIF(Beginning_of_period,$G186,"m") + 1) / Months_in_Period,0),0)</f>
        <v>0</v>
      </c>
      <c r="CP186" s="10"/>
    </row>
    <row r="187" spans="1:94" ht="15" customHeight="1">
      <c r="A187" s="10"/>
      <c r="B187" s="3"/>
      <c r="C187" s="17"/>
      <c r="D187" s="10"/>
      <c r="E187" s="10"/>
      <c r="F187" s="10"/>
      <c r="G187" s="473" t="str">
        <f>IF(MAX(G184:G186)&gt;Date_Construction_End,"Не рекомендуется продолжать финансирование инфраструктуры после окончания основного строительства","")</f>
        <v/>
      </c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</row>
    <row r="188" spans="1:94" ht="15" hidden="1" customHeight="1" thickBot="1">
      <c r="A188" s="10"/>
      <c r="B188" s="3"/>
      <c r="C188" s="12" t="str">
        <f xml:space="preserve"> "Расходы на создание " &amp; Контр_панель!C43 &amp; " (в базовых ценах, без НДС)"</f>
        <v>Расходы на создание Коммунальная инфраструктура (в базовых ценах, без НДС)</v>
      </c>
      <c r="D188" s="12"/>
      <c r="E188" s="12"/>
      <c r="F188" s="12"/>
      <c r="G188" s="12"/>
      <c r="H188" s="12"/>
      <c r="I188" s="12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</row>
    <row r="189" spans="1:94" ht="15" hidden="1" customHeight="1">
      <c r="A189" s="10"/>
      <c r="B189" s="3"/>
      <c r="C189" s="17"/>
      <c r="D189" s="10"/>
      <c r="E189" s="10"/>
      <c r="F189" s="10"/>
      <c r="G189" s="11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</row>
    <row r="190" spans="1:94" ht="15" hidden="1" customHeight="1">
      <c r="A190" s="10"/>
      <c r="B190" s="3"/>
      <c r="C190" s="67" t="s">
        <v>850</v>
      </c>
      <c r="D190" s="10"/>
      <c r="E190" s="10"/>
      <c r="F190" s="10"/>
      <c r="G190" s="11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</row>
    <row r="191" spans="1:94" ht="15" hidden="1" customHeight="1">
      <c r="A191" s="10"/>
      <c r="B191" s="3"/>
      <c r="C191" s="17" t="s">
        <v>830</v>
      </c>
      <c r="D191" s="10"/>
      <c r="E191" s="14">
        <v>0</v>
      </c>
      <c r="F191" s="10"/>
      <c r="G191" s="11" t="s">
        <v>820</v>
      </c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</row>
    <row r="192" spans="1:94" ht="15" hidden="1" customHeight="1">
      <c r="A192" s="10"/>
      <c r="B192" s="3"/>
      <c r="C192" s="17" t="s">
        <v>825</v>
      </c>
      <c r="D192" s="10"/>
      <c r="E192" s="225">
        <f xml:space="preserve"> E74</f>
        <v>0</v>
      </c>
      <c r="F192" s="10"/>
      <c r="G192" s="11" t="s">
        <v>817</v>
      </c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</row>
    <row r="193" spans="1:94" ht="15" hidden="1" customHeight="1">
      <c r="A193" s="10"/>
      <c r="B193" s="3"/>
      <c r="C193" s="17" t="s">
        <v>831</v>
      </c>
      <c r="D193" s="10"/>
      <c r="E193" s="14">
        <v>0</v>
      </c>
      <c r="F193" s="10"/>
      <c r="G193" s="11" t="s">
        <v>820</v>
      </c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</row>
    <row r="194" spans="1:94" ht="15" hidden="1" customHeight="1">
      <c r="A194" s="10"/>
      <c r="B194" s="3"/>
      <c r="C194" s="17" t="s">
        <v>826</v>
      </c>
      <c r="D194" s="10"/>
      <c r="E194" s="225">
        <f xml:space="preserve"> E75</f>
        <v>0</v>
      </c>
      <c r="F194" s="10"/>
      <c r="G194" s="11" t="s">
        <v>817</v>
      </c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</row>
    <row r="195" spans="1:94" ht="15" hidden="1" customHeight="1">
      <c r="A195" s="10"/>
      <c r="B195" s="3"/>
      <c r="C195" s="17" t="s">
        <v>832</v>
      </c>
      <c r="D195" s="10"/>
      <c r="E195" s="14">
        <v>0</v>
      </c>
      <c r="F195" s="10"/>
      <c r="G195" s="11" t="s">
        <v>820</v>
      </c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</row>
    <row r="196" spans="1:94" ht="15" hidden="1" customHeight="1">
      <c r="A196" s="10"/>
      <c r="B196" s="3"/>
      <c r="C196" s="17" t="s">
        <v>827</v>
      </c>
      <c r="D196" s="10"/>
      <c r="E196" s="225">
        <f xml:space="preserve"> E76</f>
        <v>0</v>
      </c>
      <c r="F196" s="10"/>
      <c r="G196" s="11" t="s">
        <v>817</v>
      </c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</row>
    <row r="197" spans="1:94" ht="15" hidden="1" customHeight="1">
      <c r="A197" s="10"/>
      <c r="B197" s="3"/>
      <c r="C197" s="17" t="s">
        <v>833</v>
      </c>
      <c r="D197" s="10"/>
      <c r="E197" s="14">
        <v>0</v>
      </c>
      <c r="F197" s="10"/>
      <c r="G197" s="11" t="s">
        <v>820</v>
      </c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</row>
    <row r="198" spans="1:94" ht="15" hidden="1" customHeight="1">
      <c r="A198" s="10"/>
      <c r="B198" s="3"/>
      <c r="C198" s="17" t="s">
        <v>828</v>
      </c>
      <c r="D198" s="10"/>
      <c r="E198" s="225">
        <f xml:space="preserve"> E77</f>
        <v>0</v>
      </c>
      <c r="F198" s="10"/>
      <c r="G198" s="11" t="s">
        <v>817</v>
      </c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</row>
    <row r="199" spans="1:94" ht="15" hidden="1" customHeight="1">
      <c r="A199" s="10"/>
      <c r="B199" s="3"/>
      <c r="C199" s="17" t="s">
        <v>834</v>
      </c>
      <c r="D199" s="10"/>
      <c r="E199" s="14">
        <v>0</v>
      </c>
      <c r="F199" s="10"/>
      <c r="G199" s="11" t="s">
        <v>820</v>
      </c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</row>
    <row r="200" spans="1:94" ht="15" hidden="1" customHeight="1">
      <c r="A200" s="10"/>
      <c r="B200" s="3"/>
      <c r="C200" s="17" t="s">
        <v>829</v>
      </c>
      <c r="D200" s="10"/>
      <c r="E200" s="225">
        <f xml:space="preserve"> E78</f>
        <v>0</v>
      </c>
      <c r="F200" s="10"/>
      <c r="G200" s="11" t="s">
        <v>817</v>
      </c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</row>
    <row r="201" spans="1:94" ht="15" hidden="1" customHeight="1">
      <c r="A201" s="10"/>
      <c r="B201" s="3"/>
      <c r="C201" s="249" t="s">
        <v>845</v>
      </c>
      <c r="D201" s="228"/>
      <c r="E201" s="229">
        <f xml:space="preserve"> E191*E192 + E193 * E194 + E195 * E196 + E197 * E198 + E199 * E200</f>
        <v>0</v>
      </c>
      <c r="F201" s="228"/>
      <c r="G201" s="230" t="str">
        <f>Monetary_Unit</f>
        <v>тыс. руб.</v>
      </c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</row>
    <row r="202" spans="1:94" ht="15" hidden="1" customHeight="1">
      <c r="A202" s="10"/>
      <c r="B202" s="3"/>
      <c r="C202" s="17"/>
      <c r="D202" s="10"/>
      <c r="E202" s="10"/>
      <c r="F202" s="10"/>
      <c r="G202" s="11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</row>
    <row r="203" spans="1:94" ht="15" hidden="1" customHeight="1">
      <c r="A203" s="10"/>
      <c r="B203" s="3"/>
      <c r="C203" s="67" t="s">
        <v>837</v>
      </c>
      <c r="D203" s="10"/>
      <c r="E203" s="10"/>
      <c r="F203" s="10"/>
      <c r="G203" s="11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</row>
    <row r="204" spans="1:94" ht="15" hidden="1" customHeight="1">
      <c r="A204" s="10"/>
      <c r="B204" s="3"/>
      <c r="C204" s="17" t="s">
        <v>842</v>
      </c>
      <c r="D204" s="10"/>
      <c r="E204" s="167"/>
      <c r="F204" s="10"/>
      <c r="G204" s="11" t="s">
        <v>627</v>
      </c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</row>
    <row r="205" spans="1:94" ht="15" hidden="1" customHeight="1">
      <c r="A205" s="10"/>
      <c r="B205" s="3"/>
      <c r="C205" s="17" t="s">
        <v>849</v>
      </c>
      <c r="D205" s="10"/>
      <c r="E205" s="167"/>
      <c r="F205" s="10"/>
      <c r="G205" s="11" t="s">
        <v>627</v>
      </c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</row>
    <row r="206" spans="1:94" ht="15" hidden="1" customHeight="1">
      <c r="A206" s="10"/>
      <c r="B206" s="3"/>
      <c r="C206" s="17" t="s">
        <v>824</v>
      </c>
      <c r="D206" s="10"/>
      <c r="E206" s="167"/>
      <c r="F206" s="10"/>
      <c r="G206" s="11" t="s">
        <v>631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</row>
    <row r="207" spans="1:94" ht="15" hidden="1" customHeight="1">
      <c r="A207" s="10"/>
      <c r="B207" s="3"/>
      <c r="C207" s="17"/>
      <c r="D207" s="10"/>
      <c r="E207" s="10"/>
      <c r="F207" s="10"/>
      <c r="G207" s="11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</row>
    <row r="208" spans="1:94" ht="15" hidden="1" customHeight="1">
      <c r="A208" s="10"/>
      <c r="B208" s="3"/>
      <c r="C208" s="67" t="s">
        <v>838</v>
      </c>
      <c r="D208" s="10"/>
      <c r="E208" s="10" t="str">
        <f>"текушие цены на " &amp; TEXT(Расчеты!$E$85-1,"ДД.ММ.ГГГГ")</f>
        <v>текушие цены на 31.12.2024</v>
      </c>
      <c r="F208" s="10"/>
      <c r="G208" s="11"/>
      <c r="H208" s="10" t="s">
        <v>1205</v>
      </c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</row>
    <row r="209" spans="1:94" ht="15" hidden="1" customHeight="1">
      <c r="A209" s="10"/>
      <c r="B209" s="3"/>
      <c r="C209" s="17" t="s">
        <v>632</v>
      </c>
      <c r="D209" s="10"/>
      <c r="E209" s="225">
        <f xml:space="preserve"> E201 * E204</f>
        <v>0</v>
      </c>
      <c r="F209" s="10"/>
      <c r="G209" s="11" t="str">
        <f>Monetary_Unit</f>
        <v>тыс. руб.</v>
      </c>
      <c r="H209" s="10">
        <f ca="1">E209*SUMPRODUCT(L216:CO216,CAPEX_Accumulated_From_Date)</f>
        <v>0</v>
      </c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</row>
    <row r="210" spans="1:94" ht="15" hidden="1" customHeight="1">
      <c r="A210" s="10"/>
      <c r="B210" s="3"/>
      <c r="C210" s="17" t="s">
        <v>634</v>
      </c>
      <c r="D210" s="10"/>
      <c r="E210" s="225">
        <f xml:space="preserve"> E201 * E205</f>
        <v>0</v>
      </c>
      <c r="F210" s="10"/>
      <c r="G210" s="11" t="str">
        <f>Monetary_Unit</f>
        <v>тыс. руб.</v>
      </c>
      <c r="H210" s="10">
        <f ca="1">E210*SUMPRODUCT(L217:CO217,CAPEX_Accumulated_From_Date)</f>
        <v>0</v>
      </c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</row>
    <row r="211" spans="1:94" ht="15" hidden="1" customHeight="1">
      <c r="A211" s="10"/>
      <c r="B211" s="3"/>
      <c r="C211" s="17" t="s">
        <v>848</v>
      </c>
      <c r="D211" s="10"/>
      <c r="E211" s="225">
        <f xml:space="preserve"> E191*E192 + E193 * E194 + E195 * E196 + E197 * E198 + E199 * E200</f>
        <v>0</v>
      </c>
      <c r="F211" s="10"/>
      <c r="G211" s="11" t="str">
        <f>Monetary_Unit</f>
        <v>тыс. руб.</v>
      </c>
      <c r="H211" s="10">
        <f ca="1">E211*SUMPRODUCT(L218:CO218,CAPEX_Accumulated_From_Date)</f>
        <v>0</v>
      </c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</row>
    <row r="212" spans="1:94" ht="15" hidden="1" customHeight="1">
      <c r="A212" s="10"/>
      <c r="B212" s="3"/>
      <c r="C212" s="17" t="s">
        <v>824</v>
      </c>
      <c r="D212" s="10"/>
      <c r="E212" s="225">
        <f xml:space="preserve"> E201 * E206</f>
        <v>0</v>
      </c>
      <c r="F212" s="10"/>
      <c r="G212" s="11" t="str">
        <f>Monetary_Unit</f>
        <v>тыс. руб.</v>
      </c>
      <c r="H212" s="225">
        <f ca="1" xml:space="preserve"> H211 * E206</f>
        <v>0</v>
      </c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</row>
    <row r="213" spans="1:94" ht="15" hidden="1" customHeight="1">
      <c r="A213" s="10"/>
      <c r="B213" s="3"/>
      <c r="C213" s="249" t="s">
        <v>855</v>
      </c>
      <c r="D213" s="228"/>
      <c r="E213" s="229">
        <f>SUM(E209:E212)</f>
        <v>0</v>
      </c>
      <c r="F213" s="228"/>
      <c r="G213" s="230" t="str">
        <f>Monetary_Unit</f>
        <v>тыс. руб.</v>
      </c>
      <c r="H213" s="229">
        <f ca="1">SUM(H209:H212)</f>
        <v>0</v>
      </c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</row>
    <row r="214" spans="1:94" ht="15" hidden="1" customHeight="1">
      <c r="A214" s="10"/>
      <c r="B214" s="3"/>
      <c r="C214" s="17"/>
      <c r="D214" s="10"/>
      <c r="E214" s="10"/>
      <c r="F214" s="10"/>
      <c r="G214" s="11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</row>
    <row r="215" spans="1:94" ht="15" hidden="1" customHeight="1">
      <c r="A215" s="10"/>
      <c r="B215" s="3"/>
      <c r="C215" s="67" t="s">
        <v>852</v>
      </c>
      <c r="D215" s="10"/>
      <c r="E215" s="10" t="s">
        <v>637</v>
      </c>
      <c r="F215" s="10"/>
      <c r="G215" s="11" t="s">
        <v>638</v>
      </c>
      <c r="H215" s="62" t="s">
        <v>650</v>
      </c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</row>
    <row r="216" spans="1:94" ht="15" hidden="1" customHeight="1">
      <c r="A216" s="10"/>
      <c r="B216" s="3"/>
      <c r="C216" s="17" t="s">
        <v>632</v>
      </c>
      <c r="D216" s="10"/>
      <c r="E216" s="71"/>
      <c r="F216" s="10"/>
      <c r="G216" s="71"/>
      <c r="H216" s="149">
        <f xml:space="preserve"> IFERROR((DATEDIF(E216,G216,"m") + 1) / Months_in_Period,0)</f>
        <v>0.33333333333333331</v>
      </c>
      <c r="I216" s="231">
        <f>IF(SUM(L216:CO216)=0,1,SUM(L216:CO216))</f>
        <v>1</v>
      </c>
      <c r="J216" s="10"/>
      <c r="K216" s="10"/>
      <c r="L216" s="231">
        <f xml:space="preserve"> IFERROR(($E216&gt;0)*($E216 &lt;=End_of_period) * ($G216 &gt;=Beginning_of_period) * (1-SUM($K216:K216)) /  IFERROR((DATEDIF(Beginning_of_period,$G216,"m") + 1) / Months_in_Period,0),0)</f>
        <v>0</v>
      </c>
      <c r="M216" s="231">
        <f xml:space="preserve"> IFERROR(($E216&gt;0)*($E216 &lt;=End_of_period) * ($G216 &gt;=Beginning_of_period) * (1-SUM($K216:L216)) /  IFERROR((DATEDIF(Beginning_of_period,$G216,"m") + 1) / Months_in_Period,0),0)</f>
        <v>0</v>
      </c>
      <c r="N216" s="231">
        <f xml:space="preserve"> IFERROR(($E216&gt;0)*($E216 &lt;=End_of_period) * ($G216 &gt;=Beginning_of_period) * (1-SUM($K216:M216)) /  IFERROR((DATEDIF(Beginning_of_period,$G216,"m") + 1) / Months_in_Period,0),0)</f>
        <v>0</v>
      </c>
      <c r="O216" s="231">
        <f xml:space="preserve"> IFERROR(($E216&gt;0)*($E216 &lt;=End_of_period) * ($G216 &gt;=Beginning_of_period) * (1-SUM($K216:N216)) /  IFERROR((DATEDIF(Beginning_of_period,$G216,"m") + 1) / Months_in_Period,0),0)</f>
        <v>0</v>
      </c>
      <c r="P216" s="231">
        <f xml:space="preserve"> IFERROR(($E216&gt;0)*($E216 &lt;=End_of_period) * ($G216 &gt;=Beginning_of_period) * (1-SUM($K216:O216)) /  IFERROR((DATEDIF(Beginning_of_period,$G216,"m") + 1) / Months_in_Period,0),0)</f>
        <v>0</v>
      </c>
      <c r="Q216" s="231">
        <f xml:space="preserve"> IFERROR(($E216&gt;0)*($E216 &lt;=End_of_period) * ($G216 &gt;=Beginning_of_period) * (1-SUM($K216:P216)) /  IFERROR((DATEDIF(Beginning_of_period,$G216,"m") + 1) / Months_in_Period,0),0)</f>
        <v>0</v>
      </c>
      <c r="R216" s="231">
        <f xml:space="preserve"> IFERROR(($E216&gt;0)*($E216 &lt;=End_of_period) * ($G216 &gt;=Beginning_of_period) * (1-SUM($K216:Q216)) /  IFERROR((DATEDIF(Beginning_of_period,$G216,"m") + 1) / Months_in_Period,0),0)</f>
        <v>0</v>
      </c>
      <c r="S216" s="231">
        <f xml:space="preserve"> IFERROR(($E216&gt;0)*($E216 &lt;=End_of_period) * ($G216 &gt;=Beginning_of_period) * (1-SUM($K216:R216)) /  IFERROR((DATEDIF(Beginning_of_period,$G216,"m") + 1) / Months_in_Period,0),0)</f>
        <v>0</v>
      </c>
      <c r="T216" s="231">
        <f xml:space="preserve"> IFERROR(($E216&gt;0)*($E216 &lt;=End_of_period) * ($G216 &gt;=Beginning_of_period) * (1-SUM($K216:S216)) /  IFERROR((DATEDIF(Beginning_of_period,$G216,"m") + 1) / Months_in_Period,0),0)</f>
        <v>0</v>
      </c>
      <c r="U216" s="231">
        <f xml:space="preserve"> IFERROR(($E216&gt;0)*($E216 &lt;=End_of_period) * ($G216 &gt;=Beginning_of_period) * (1-SUM($K216:T216)) /  IFERROR((DATEDIF(Beginning_of_period,$G216,"m") + 1) / Months_in_Period,0),0)</f>
        <v>0</v>
      </c>
      <c r="V216" s="231">
        <f xml:space="preserve"> IFERROR(($E216&gt;0)*($E216 &lt;=End_of_period) * ($G216 &gt;=Beginning_of_period) * (1-SUM($K216:U216)) /  IFERROR((DATEDIF(Beginning_of_period,$G216,"m") + 1) / Months_in_Period,0),0)</f>
        <v>0</v>
      </c>
      <c r="W216" s="231">
        <f xml:space="preserve"> IFERROR(($E216&gt;0)*($E216 &lt;=End_of_period) * ($G216 &gt;=Beginning_of_period) * (1-SUM($K216:V216)) /  IFERROR((DATEDIF(Beginning_of_period,$G216,"m") + 1) / Months_in_Period,0),0)</f>
        <v>0</v>
      </c>
      <c r="X216" s="231">
        <f xml:space="preserve"> IFERROR(($E216&gt;0)*($E216 &lt;=End_of_period) * ($G216 &gt;=Beginning_of_period) * (1-SUM($K216:W216)) /  IFERROR((DATEDIF(Beginning_of_period,$G216,"m") + 1) / Months_in_Period,0),0)</f>
        <v>0</v>
      </c>
      <c r="Y216" s="231">
        <f xml:space="preserve"> IFERROR(($E216&gt;0)*($E216 &lt;=End_of_period) * ($G216 &gt;=Beginning_of_period) * (1-SUM($K216:X216)) /  IFERROR((DATEDIF(Beginning_of_period,$G216,"m") + 1) / Months_in_Period,0),0)</f>
        <v>0</v>
      </c>
      <c r="Z216" s="231">
        <f xml:space="preserve"> IFERROR(($E216&gt;0)*($E216 &lt;=End_of_period) * ($G216 &gt;=Beginning_of_period) * (1-SUM($K216:Y216)) /  IFERROR((DATEDIF(Beginning_of_period,$G216,"m") + 1) / Months_in_Period,0),0)</f>
        <v>0</v>
      </c>
      <c r="AA216" s="231">
        <f xml:space="preserve"> IFERROR(($E216&gt;0)*($E216 &lt;=End_of_period) * ($G216 &gt;=Beginning_of_period) * (1-SUM($K216:Z216)) /  IFERROR((DATEDIF(Beginning_of_period,$G216,"m") + 1) / Months_in_Period,0),0)</f>
        <v>0</v>
      </c>
      <c r="AB216" s="231">
        <f xml:space="preserve"> IFERROR(($E216&gt;0)*($E216 &lt;=End_of_period) * ($G216 &gt;=Beginning_of_period) * (1-SUM($K216:AA216)) /  IFERROR((DATEDIF(Beginning_of_period,$G216,"m") + 1) / Months_in_Period,0),0)</f>
        <v>0</v>
      </c>
      <c r="AC216" s="231">
        <f xml:space="preserve"> IFERROR(($E216&gt;0)*($E216 &lt;=End_of_period) * ($G216 &gt;=Beginning_of_period) * (1-SUM($K216:AB216)) /  IFERROR((DATEDIF(Beginning_of_period,$G216,"m") + 1) / Months_in_Period,0),0)</f>
        <v>0</v>
      </c>
      <c r="AD216" s="231">
        <f xml:space="preserve"> IFERROR(($E216&gt;0)*($E216 &lt;=End_of_period) * ($G216 &gt;=Beginning_of_period) * (1-SUM($K216:AC216)) /  IFERROR((DATEDIF(Beginning_of_period,$G216,"m") + 1) / Months_in_Period,0),0)</f>
        <v>0</v>
      </c>
      <c r="AE216" s="231">
        <f xml:space="preserve"> IFERROR(($E216&gt;0)*($E216 &lt;=End_of_period) * ($G216 &gt;=Beginning_of_period) * (1-SUM($K216:AD216)) /  IFERROR((DATEDIF(Beginning_of_period,$G216,"m") + 1) / Months_in_Period,0),0)</f>
        <v>0</v>
      </c>
      <c r="AF216" s="231">
        <f xml:space="preserve"> IFERROR(($E216&gt;0)*($E216 &lt;=End_of_period) * ($G216 &gt;=Beginning_of_period) * (1-SUM($K216:AE216)) /  IFERROR((DATEDIF(Beginning_of_period,$G216,"m") + 1) / Months_in_Period,0),0)</f>
        <v>0</v>
      </c>
      <c r="AG216" s="231">
        <f xml:space="preserve"> IFERROR(($E216&gt;0)*($E216 &lt;=End_of_period) * ($G216 &gt;=Beginning_of_period) * (1-SUM($K216:AF216)) /  IFERROR((DATEDIF(Beginning_of_period,$G216,"m") + 1) / Months_in_Period,0),0)</f>
        <v>0</v>
      </c>
      <c r="AH216" s="231">
        <f xml:space="preserve"> IFERROR(($E216&gt;0)*($E216 &lt;=End_of_period) * ($G216 &gt;=Beginning_of_period) * (1-SUM($K216:AG216)) /  IFERROR((DATEDIF(Beginning_of_period,$G216,"m") + 1) / Months_in_Period,0),0)</f>
        <v>0</v>
      </c>
      <c r="AI216" s="231">
        <f xml:space="preserve"> IFERROR(($E216&gt;0)*($E216 &lt;=End_of_period) * ($G216 &gt;=Beginning_of_period) * (1-SUM($K216:AH216)) /  IFERROR((DATEDIF(Beginning_of_period,$G216,"m") + 1) / Months_in_Period,0),0)</f>
        <v>0</v>
      </c>
      <c r="AJ216" s="231">
        <f xml:space="preserve"> IFERROR(($E216&gt;0)*($E216 &lt;=End_of_period) * ($G216 &gt;=Beginning_of_period) * (1-SUM($K216:AI216)) /  IFERROR((DATEDIF(Beginning_of_period,$G216,"m") + 1) / Months_in_Period,0),0)</f>
        <v>0</v>
      </c>
      <c r="AK216" s="231">
        <f xml:space="preserve"> IFERROR(($E216&gt;0)*($E216 &lt;=End_of_period) * ($G216 &gt;=Beginning_of_period) * (1-SUM($K216:AJ216)) /  IFERROR((DATEDIF(Beginning_of_period,$G216,"m") + 1) / Months_in_Period,0),0)</f>
        <v>0</v>
      </c>
      <c r="AL216" s="231">
        <f xml:space="preserve"> IFERROR(($E216&gt;0)*($E216 &lt;=End_of_period) * ($G216 &gt;=Beginning_of_period) * (1-SUM($K216:AK216)) /  IFERROR((DATEDIF(Beginning_of_period,$G216,"m") + 1) / Months_in_Period,0),0)</f>
        <v>0</v>
      </c>
      <c r="AM216" s="231">
        <f xml:space="preserve"> IFERROR(($E216&gt;0)*($E216 &lt;=End_of_period) * ($G216 &gt;=Beginning_of_period) * (1-SUM($K216:AL216)) /  IFERROR((DATEDIF(Beginning_of_period,$G216,"m") + 1) / Months_in_Period,0),0)</f>
        <v>0</v>
      </c>
      <c r="AN216" s="231">
        <f xml:space="preserve"> IFERROR(($E216&gt;0)*($E216 &lt;=End_of_period) * ($G216 &gt;=Beginning_of_period) * (1-SUM($K216:AM216)) /  IFERROR((DATEDIF(Beginning_of_period,$G216,"m") + 1) / Months_in_Period,0),0)</f>
        <v>0</v>
      </c>
      <c r="AO216" s="231">
        <f xml:space="preserve"> IFERROR(($E216&gt;0)*($E216 &lt;=End_of_period) * ($G216 &gt;=Beginning_of_period) * (1-SUM($K216:AN216)) /  IFERROR((DATEDIF(Beginning_of_period,$G216,"m") + 1) / Months_in_Period,0),0)</f>
        <v>0</v>
      </c>
      <c r="AP216" s="231">
        <f xml:space="preserve"> IFERROR(($E216&gt;0)*($E216 &lt;=End_of_period) * ($G216 &gt;=Beginning_of_period) * (1-SUM($K216:AO216)) /  IFERROR((DATEDIF(Beginning_of_period,$G216,"m") + 1) / Months_in_Period,0),0)</f>
        <v>0</v>
      </c>
      <c r="AQ216" s="231">
        <f xml:space="preserve"> IFERROR(($E216&gt;0)*($E216 &lt;=End_of_period) * ($G216 &gt;=Beginning_of_period) * (1-SUM($K216:AP216)) /  IFERROR((DATEDIF(Beginning_of_period,$G216,"m") + 1) / Months_in_Period,0),0)</f>
        <v>0</v>
      </c>
      <c r="AR216" s="231">
        <f xml:space="preserve"> IFERROR(($E216&gt;0)*($E216 &lt;=End_of_period) * ($G216 &gt;=Beginning_of_period) * (1-SUM($K216:AQ216)) /  IFERROR((DATEDIF(Beginning_of_period,$G216,"m") + 1) / Months_in_Period,0),0)</f>
        <v>0</v>
      </c>
      <c r="AS216" s="231">
        <f xml:space="preserve"> IFERROR(($E216&gt;0)*($E216 &lt;=End_of_period) * ($G216 &gt;=Beginning_of_period) * (1-SUM($K216:AR216)) /  IFERROR((DATEDIF(Beginning_of_period,$G216,"m") + 1) / Months_in_Period,0),0)</f>
        <v>0</v>
      </c>
      <c r="AT216" s="231">
        <f xml:space="preserve"> IFERROR(($E216&gt;0)*($E216 &lt;=End_of_period) * ($G216 &gt;=Beginning_of_period) * (1-SUM($K216:AS216)) /  IFERROR((DATEDIF(Beginning_of_period,$G216,"m") + 1) / Months_in_Period,0),0)</f>
        <v>0</v>
      </c>
      <c r="AU216" s="231">
        <f xml:space="preserve"> IFERROR(($E216&gt;0)*($E216 &lt;=End_of_period) * ($G216 &gt;=Beginning_of_period) * (1-SUM($K216:AT216)) /  IFERROR((DATEDIF(Beginning_of_period,$G216,"m") + 1) / Months_in_Period,0),0)</f>
        <v>0</v>
      </c>
      <c r="AV216" s="231">
        <f xml:space="preserve"> IFERROR(($E216&gt;0)*($E216 &lt;=End_of_period) * ($G216 &gt;=Beginning_of_period) * (1-SUM($K216:AU216)) /  IFERROR((DATEDIF(Beginning_of_period,$G216,"m") + 1) / Months_in_Period,0),0)</f>
        <v>0</v>
      </c>
      <c r="AW216" s="231">
        <f xml:space="preserve"> IFERROR(($E216&gt;0)*($E216 &lt;=End_of_period) * ($G216 &gt;=Beginning_of_period) * (1-SUM($K216:AV216)) /  IFERROR((DATEDIF(Beginning_of_period,$G216,"m") + 1) / Months_in_Period,0),0)</f>
        <v>0</v>
      </c>
      <c r="AX216" s="231">
        <f xml:space="preserve"> IFERROR(($E216&gt;0)*($E216 &lt;=End_of_period) * ($G216 &gt;=Beginning_of_period) * (1-SUM($K216:AW216)) /  IFERROR((DATEDIF(Beginning_of_period,$G216,"m") + 1) / Months_in_Period,0),0)</f>
        <v>0</v>
      </c>
      <c r="AY216" s="231">
        <f xml:space="preserve"> IFERROR(($E216&gt;0)*($E216 &lt;=End_of_period) * ($G216 &gt;=Beginning_of_period) * (1-SUM($K216:AX216)) /  IFERROR((DATEDIF(Beginning_of_period,$G216,"m") + 1) / Months_in_Period,0),0)</f>
        <v>0</v>
      </c>
      <c r="AZ216" s="231">
        <f xml:space="preserve"> IFERROR(($E216&gt;0)*($E216 &lt;=End_of_period) * ($G216 &gt;=Beginning_of_period) * (1-SUM($K216:AY216)) /  IFERROR((DATEDIF(Beginning_of_period,$G216,"m") + 1) / Months_in_Period,0),0)</f>
        <v>0</v>
      </c>
      <c r="BA216" s="231">
        <f xml:space="preserve"> IFERROR(($E216&gt;0)*($E216 &lt;=End_of_period) * ($G216 &gt;=Beginning_of_period) * (1-SUM($K216:AZ216)) /  IFERROR((DATEDIF(Beginning_of_period,$G216,"m") + 1) / Months_in_Period,0),0)</f>
        <v>0</v>
      </c>
      <c r="BB216" s="231">
        <f xml:space="preserve"> IFERROR(($E216&gt;0)*($E216 &lt;=End_of_period) * ($G216 &gt;=Beginning_of_period) * (1-SUM($K216:BA216)) /  IFERROR((DATEDIF(Beginning_of_period,$G216,"m") + 1) / Months_in_Period,0),0)</f>
        <v>0</v>
      </c>
      <c r="BC216" s="231">
        <f xml:space="preserve"> IFERROR(($E216&gt;0)*($E216 &lt;=End_of_period) * ($G216 &gt;=Beginning_of_period) * (1-SUM($K216:BB216)) /  IFERROR((DATEDIF(Beginning_of_period,$G216,"m") + 1) / Months_in_Period,0),0)</f>
        <v>0</v>
      </c>
      <c r="BD216" s="231">
        <f xml:space="preserve"> IFERROR(($E216&gt;0)*($E216 &lt;=End_of_period) * ($G216 &gt;=Beginning_of_period) * (1-SUM($K216:BC216)) /  IFERROR((DATEDIF(Beginning_of_period,$G216,"m") + 1) / Months_in_Period,0),0)</f>
        <v>0</v>
      </c>
      <c r="BE216" s="231">
        <f xml:space="preserve"> IFERROR(($E216&gt;0)*($E216 &lt;=End_of_period) * ($G216 &gt;=Beginning_of_period) * (1-SUM($K216:BD216)) /  IFERROR((DATEDIF(Beginning_of_period,$G216,"m") + 1) / Months_in_Period,0),0)</f>
        <v>0</v>
      </c>
      <c r="BF216" s="231">
        <f xml:space="preserve"> IFERROR(($E216&gt;0)*($E216 &lt;=End_of_period) * ($G216 &gt;=Beginning_of_period) * (1-SUM($K216:BE216)) /  IFERROR((DATEDIF(Beginning_of_period,$G216,"m") + 1) / Months_in_Period,0),0)</f>
        <v>0</v>
      </c>
      <c r="BG216" s="231">
        <f xml:space="preserve"> IFERROR(($E216&gt;0)*($E216 &lt;=End_of_period) * ($G216 &gt;=Beginning_of_period) * (1-SUM($K216:BF216)) /  IFERROR((DATEDIF(Beginning_of_period,$G216,"m") + 1) / Months_in_Period,0),0)</f>
        <v>0</v>
      </c>
      <c r="BH216" s="231">
        <f xml:space="preserve"> IFERROR(($E216&gt;0)*($E216 &lt;=End_of_period) * ($G216 &gt;=Beginning_of_period) * (1-SUM($K216:BG216)) /  IFERROR((DATEDIF(Beginning_of_period,$G216,"m") + 1) / Months_in_Period,0),0)</f>
        <v>0</v>
      </c>
      <c r="BI216" s="231">
        <f xml:space="preserve"> IFERROR(($E216&gt;0)*($E216 &lt;=End_of_period) * ($G216 &gt;=Beginning_of_period) * (1-SUM($K216:BH216)) /  IFERROR((DATEDIF(Beginning_of_period,$G216,"m") + 1) / Months_in_Period,0),0)</f>
        <v>0</v>
      </c>
      <c r="BJ216" s="231">
        <f xml:space="preserve"> IFERROR(($E216&gt;0)*($E216 &lt;=End_of_period) * ($G216 &gt;=Beginning_of_period) * (1-SUM($K216:BI216)) /  IFERROR((DATEDIF(Beginning_of_period,$G216,"m") + 1) / Months_in_Period,0),0)</f>
        <v>0</v>
      </c>
      <c r="BK216" s="231">
        <f xml:space="preserve"> IFERROR(($E216&gt;0)*($E216 &lt;=End_of_period) * ($G216 &gt;=Beginning_of_period) * (1-SUM($K216:BJ216)) /  IFERROR((DATEDIF(Beginning_of_period,$G216,"m") + 1) / Months_in_Period,0),0)</f>
        <v>0</v>
      </c>
      <c r="BL216" s="231">
        <f xml:space="preserve"> IFERROR(($E216&gt;0)*($E216 &lt;=End_of_period) * ($G216 &gt;=Beginning_of_period) * (1-SUM($K216:BK216)) /  IFERROR((DATEDIF(Beginning_of_period,$G216,"m") + 1) / Months_in_Period,0),0)</f>
        <v>0</v>
      </c>
      <c r="BM216" s="231">
        <f xml:space="preserve"> IFERROR(($E216&gt;0)*($E216 &lt;=End_of_period) * ($G216 &gt;=Beginning_of_period) * (1-SUM($K216:BL216)) /  IFERROR((DATEDIF(Beginning_of_period,$G216,"m") + 1) / Months_in_Period,0),0)</f>
        <v>0</v>
      </c>
      <c r="BN216" s="231">
        <f xml:space="preserve"> IFERROR(($E216&gt;0)*($E216 &lt;=End_of_period) * ($G216 &gt;=Beginning_of_period) * (1-SUM($K216:BM216)) /  IFERROR((DATEDIF(Beginning_of_period,$G216,"m") + 1) / Months_in_Period,0),0)</f>
        <v>0</v>
      </c>
      <c r="BO216" s="231">
        <f xml:space="preserve"> IFERROR(($E216&gt;0)*($E216 &lt;=End_of_period) * ($G216 &gt;=Beginning_of_period) * (1-SUM($K216:BN216)) /  IFERROR((DATEDIF(Beginning_of_period,$G216,"m") + 1) / Months_in_Period,0),0)</f>
        <v>0</v>
      </c>
      <c r="BP216" s="231">
        <f xml:space="preserve"> IFERROR(($E216&gt;0)*($E216 &lt;=End_of_period) * ($G216 &gt;=Beginning_of_period) * (1-SUM($K216:BO216)) /  IFERROR((DATEDIF(Beginning_of_period,$G216,"m") + 1) / Months_in_Period,0),0)</f>
        <v>0</v>
      </c>
      <c r="BQ216" s="231">
        <f xml:space="preserve"> IFERROR(($E216&gt;0)*($E216 &lt;=End_of_period) * ($G216 &gt;=Beginning_of_period) * (1-SUM($K216:BP216)) /  IFERROR((DATEDIF(Beginning_of_period,$G216,"m") + 1) / Months_in_Period,0),0)</f>
        <v>0</v>
      </c>
      <c r="BR216" s="231">
        <f xml:space="preserve"> IFERROR(($E216&gt;0)*($E216 &lt;=End_of_period) * ($G216 &gt;=Beginning_of_period) * (1-SUM($K216:BQ216)) /  IFERROR((DATEDIF(Beginning_of_period,$G216,"m") + 1) / Months_in_Period,0),0)</f>
        <v>0</v>
      </c>
      <c r="BS216" s="231">
        <f xml:space="preserve"> IFERROR(($E216&gt;0)*($E216 &lt;=End_of_period) * ($G216 &gt;=Beginning_of_period) * (1-SUM($K216:BR216)) /  IFERROR((DATEDIF(Beginning_of_period,$G216,"m") + 1) / Months_in_Period,0),0)</f>
        <v>0</v>
      </c>
      <c r="BT216" s="231">
        <f xml:space="preserve"> IFERROR(($E216&gt;0)*($E216 &lt;=End_of_period) * ($G216 &gt;=Beginning_of_period) * (1-SUM($K216:BS216)) /  IFERROR((DATEDIF(Beginning_of_period,$G216,"m") + 1) / Months_in_Period,0),0)</f>
        <v>0</v>
      </c>
      <c r="BU216" s="231">
        <f xml:space="preserve"> IFERROR(($E216&gt;0)*($E216 &lt;=End_of_period) * ($G216 &gt;=Beginning_of_period) * (1-SUM($K216:BT216)) /  IFERROR((DATEDIF(Beginning_of_period,$G216,"m") + 1) / Months_in_Period,0),0)</f>
        <v>0</v>
      </c>
      <c r="BV216" s="231">
        <f xml:space="preserve"> IFERROR(($E216&gt;0)*($E216 &lt;=End_of_period) * ($G216 &gt;=Beginning_of_period) * (1-SUM($K216:BU216)) /  IFERROR((DATEDIF(Beginning_of_period,$G216,"m") + 1) / Months_in_Period,0),0)</f>
        <v>0</v>
      </c>
      <c r="BW216" s="231">
        <f xml:space="preserve"> IFERROR(($E216&gt;0)*($E216 &lt;=End_of_period) * ($G216 &gt;=Beginning_of_period) * (1-SUM($K216:BV216)) /  IFERROR((DATEDIF(Beginning_of_period,$G216,"m") + 1) / Months_in_Period,0),0)</f>
        <v>0</v>
      </c>
      <c r="BX216" s="231">
        <f xml:space="preserve"> IFERROR(($E216&gt;0)*($E216 &lt;=End_of_period) * ($G216 &gt;=Beginning_of_period) * (1-SUM($K216:BW216)) /  IFERROR((DATEDIF(Beginning_of_period,$G216,"m") + 1) / Months_in_Period,0),0)</f>
        <v>0</v>
      </c>
      <c r="BY216" s="231">
        <f xml:space="preserve"> IFERROR(($E216&gt;0)*($E216 &lt;=End_of_period) * ($G216 &gt;=Beginning_of_period) * (1-SUM($K216:BX216)) /  IFERROR((DATEDIF(Beginning_of_period,$G216,"m") + 1) / Months_in_Period,0),0)</f>
        <v>0</v>
      </c>
      <c r="BZ216" s="231">
        <f xml:space="preserve"> IFERROR(($E216&gt;0)*($E216 &lt;=End_of_period) * ($G216 &gt;=Beginning_of_period) * (1-SUM($K216:BY216)) /  IFERROR((DATEDIF(Beginning_of_period,$G216,"m") + 1) / Months_in_Period,0),0)</f>
        <v>0</v>
      </c>
      <c r="CA216" s="231">
        <f xml:space="preserve"> IFERROR(($E216&gt;0)*($E216 &lt;=End_of_period) * ($G216 &gt;=Beginning_of_period) * (1-SUM($K216:BZ216)) /  IFERROR((DATEDIF(Beginning_of_period,$G216,"m") + 1) / Months_in_Period,0),0)</f>
        <v>0</v>
      </c>
      <c r="CB216" s="231">
        <f xml:space="preserve"> IFERROR(($E216&gt;0)*($E216 &lt;=End_of_period) * ($G216 &gt;=Beginning_of_period) * (1-SUM($K216:CA216)) /  IFERROR((DATEDIF(Beginning_of_period,$G216,"m") + 1) / Months_in_Period,0),0)</f>
        <v>0</v>
      </c>
      <c r="CC216" s="231">
        <f xml:space="preserve"> IFERROR(($E216&gt;0)*($E216 &lt;=End_of_period) * ($G216 &gt;=Beginning_of_period) * (1-SUM($K216:CB216)) /  IFERROR((DATEDIF(Beginning_of_period,$G216,"m") + 1) / Months_in_Period,0),0)</f>
        <v>0</v>
      </c>
      <c r="CD216" s="231">
        <f xml:space="preserve"> IFERROR(($E216&gt;0)*($E216 &lt;=End_of_period) * ($G216 &gt;=Beginning_of_period) * (1-SUM($K216:CC216)) /  IFERROR((DATEDIF(Beginning_of_period,$G216,"m") + 1) / Months_in_Period,0),0)</f>
        <v>0</v>
      </c>
      <c r="CE216" s="231">
        <f xml:space="preserve"> IFERROR(($E216&gt;0)*($E216 &lt;=End_of_period) * ($G216 &gt;=Beginning_of_period) * (1-SUM($K216:CD216)) /  IFERROR((DATEDIF(Beginning_of_period,$G216,"m") + 1) / Months_in_Period,0),0)</f>
        <v>0</v>
      </c>
      <c r="CF216" s="231">
        <f xml:space="preserve"> IFERROR(($E216&gt;0)*($E216 &lt;=End_of_period) * ($G216 &gt;=Beginning_of_period) * (1-SUM($K216:CE216)) /  IFERROR((DATEDIF(Beginning_of_period,$G216,"m") + 1) / Months_in_Period,0),0)</f>
        <v>0</v>
      </c>
      <c r="CG216" s="231">
        <f xml:space="preserve"> IFERROR(($E216&gt;0)*($E216 &lt;=End_of_period) * ($G216 &gt;=Beginning_of_period) * (1-SUM($K216:CF216)) /  IFERROR((DATEDIF(Beginning_of_period,$G216,"m") + 1) / Months_in_Period,0),0)</f>
        <v>0</v>
      </c>
      <c r="CH216" s="231">
        <f xml:space="preserve"> IFERROR(($E216&gt;0)*($E216 &lt;=End_of_period) * ($G216 &gt;=Beginning_of_period) * (1-SUM($K216:CG216)) /  IFERROR((DATEDIF(Beginning_of_period,$G216,"m") + 1) / Months_in_Period,0),0)</f>
        <v>0</v>
      </c>
      <c r="CI216" s="231">
        <f xml:space="preserve"> IFERROR(($E216&gt;0)*($E216 &lt;=End_of_period) * ($G216 &gt;=Beginning_of_period) * (1-SUM($K216:CH216)) /  IFERROR((DATEDIF(Beginning_of_period,$G216,"m") + 1) / Months_in_Period,0),0)</f>
        <v>0</v>
      </c>
      <c r="CJ216" s="231">
        <f xml:space="preserve"> IFERROR(($E216&gt;0)*($E216 &lt;=End_of_period) * ($G216 &gt;=Beginning_of_period) * (1-SUM($K216:CI216)) /  IFERROR((DATEDIF(Beginning_of_period,$G216,"m") + 1) / Months_in_Period,0),0)</f>
        <v>0</v>
      </c>
      <c r="CK216" s="231">
        <f xml:space="preserve"> IFERROR(($E216&gt;0)*($E216 &lt;=End_of_period) * ($G216 &gt;=Beginning_of_period) * (1-SUM($K216:CJ216)) /  IFERROR((DATEDIF(Beginning_of_period,$G216,"m") + 1) / Months_in_Period,0),0)</f>
        <v>0</v>
      </c>
      <c r="CL216" s="231">
        <f xml:space="preserve"> IFERROR(($E216&gt;0)*($E216 &lt;=End_of_period) * ($G216 &gt;=Beginning_of_period) * (1-SUM($K216:CK216)) /  IFERROR((DATEDIF(Beginning_of_period,$G216,"m") + 1) / Months_in_Period,0),0)</f>
        <v>0</v>
      </c>
      <c r="CM216" s="231">
        <f xml:space="preserve"> IFERROR(($E216&gt;0)*($E216 &lt;=End_of_period) * ($G216 &gt;=Beginning_of_period) * (1-SUM($K216:CL216)) /  IFERROR((DATEDIF(Beginning_of_period,$G216,"m") + 1) / Months_in_Period,0),0)</f>
        <v>0</v>
      </c>
      <c r="CN216" s="231">
        <f xml:space="preserve"> IFERROR(($E216&gt;0)*($E216 &lt;=End_of_period) * ($G216 &gt;=Beginning_of_period) * (1-SUM($K216:CM216)) /  IFERROR((DATEDIF(Beginning_of_period,$G216,"m") + 1) / Months_in_Period,0),0)</f>
        <v>0</v>
      </c>
      <c r="CO216" s="231">
        <f xml:space="preserve"> IFERROR(($E216&gt;0)*($E216 &lt;=End_of_period) * ($G216 &gt;=Beginning_of_period) * (1-SUM($K216:CN216)) /  IFERROR((DATEDIF(Beginning_of_period,$G216,"m") + 1) / Months_in_Period,0),0)</f>
        <v>0</v>
      </c>
      <c r="CP216" s="10"/>
    </row>
    <row r="217" spans="1:94" ht="15" hidden="1" customHeight="1">
      <c r="A217" s="10"/>
      <c r="B217" s="3"/>
      <c r="C217" s="17" t="s">
        <v>634</v>
      </c>
      <c r="D217" s="10"/>
      <c r="E217" s="71"/>
      <c r="F217" s="10"/>
      <c r="G217" s="71"/>
      <c r="H217" s="149">
        <f xml:space="preserve"> IFERROR((DATEDIF(E217,G217,"m") + 1) / Months_in_Period,0)</f>
        <v>0.33333333333333331</v>
      </c>
      <c r="I217" s="231">
        <f t="shared" ref="I217:I218" si="118">IF(SUM(L217:CO217)=0,1,SUM(L217:CO217))</f>
        <v>1</v>
      </c>
      <c r="J217" s="10"/>
      <c r="K217" s="10"/>
      <c r="L217" s="231">
        <f xml:space="preserve"> IFERROR(($E217&gt;0)*($E217 &lt;=End_of_period) * ($G217 &gt;=Beginning_of_period) * (1-SUM($K217:K217)) /  IFERROR((DATEDIF(Beginning_of_period,$G217,"m") + 1) / Months_in_Period,0),0)</f>
        <v>0</v>
      </c>
      <c r="M217" s="231">
        <f xml:space="preserve"> IFERROR(($E217&gt;0)*($E217 &lt;=End_of_period) * ($G217 &gt;=Beginning_of_period) * (1-SUM($K217:L217)) /  IFERROR((DATEDIF(Beginning_of_period,$G217,"m") + 1) / Months_in_Period,0),0)</f>
        <v>0</v>
      </c>
      <c r="N217" s="231">
        <f xml:space="preserve"> IFERROR(($E217&gt;0)*($E217 &lt;=End_of_period) * ($G217 &gt;=Beginning_of_period) * (1-SUM($K217:M217)) /  IFERROR((DATEDIF(Beginning_of_period,$G217,"m") + 1) / Months_in_Period,0),0)</f>
        <v>0</v>
      </c>
      <c r="O217" s="231">
        <f xml:space="preserve"> IFERROR(($E217&gt;0)*($E217 &lt;=End_of_period) * ($G217 &gt;=Beginning_of_period) * (1-SUM($K217:N217)) /  IFERROR((DATEDIF(Beginning_of_period,$G217,"m") + 1) / Months_in_Period,0),0)</f>
        <v>0</v>
      </c>
      <c r="P217" s="231">
        <f xml:space="preserve"> IFERROR(($E217&gt;0)*($E217 &lt;=End_of_period) * ($G217 &gt;=Beginning_of_period) * (1-SUM($K217:O217)) /  IFERROR((DATEDIF(Beginning_of_period,$G217,"m") + 1) / Months_in_Period,0),0)</f>
        <v>0</v>
      </c>
      <c r="Q217" s="231">
        <f xml:space="preserve"> IFERROR(($E217&gt;0)*($E217 &lt;=End_of_period) * ($G217 &gt;=Beginning_of_period) * (1-SUM($K217:P217)) /  IFERROR((DATEDIF(Beginning_of_period,$G217,"m") + 1) / Months_in_Period,0),0)</f>
        <v>0</v>
      </c>
      <c r="R217" s="231">
        <f xml:space="preserve"> IFERROR(($E217&gt;0)*($E217 &lt;=End_of_period) * ($G217 &gt;=Beginning_of_period) * (1-SUM($K217:Q217)) /  IFERROR((DATEDIF(Beginning_of_period,$G217,"m") + 1) / Months_in_Period,0),0)</f>
        <v>0</v>
      </c>
      <c r="S217" s="231">
        <f xml:space="preserve"> IFERROR(($E217&gt;0)*($E217 &lt;=End_of_period) * ($G217 &gt;=Beginning_of_period) * (1-SUM($K217:R217)) /  IFERROR((DATEDIF(Beginning_of_period,$G217,"m") + 1) / Months_in_Period,0),0)</f>
        <v>0</v>
      </c>
      <c r="T217" s="231">
        <f xml:space="preserve"> IFERROR(($E217&gt;0)*($E217 &lt;=End_of_period) * ($G217 &gt;=Beginning_of_period) * (1-SUM($K217:S217)) /  IFERROR((DATEDIF(Beginning_of_period,$G217,"m") + 1) / Months_in_Period,0),0)</f>
        <v>0</v>
      </c>
      <c r="U217" s="231">
        <f xml:space="preserve"> IFERROR(($E217&gt;0)*($E217 &lt;=End_of_period) * ($G217 &gt;=Beginning_of_period) * (1-SUM($K217:T217)) /  IFERROR((DATEDIF(Beginning_of_period,$G217,"m") + 1) / Months_in_Period,0),0)</f>
        <v>0</v>
      </c>
      <c r="V217" s="231">
        <f xml:space="preserve"> IFERROR(($E217&gt;0)*($E217 &lt;=End_of_period) * ($G217 &gt;=Beginning_of_period) * (1-SUM($K217:U217)) /  IFERROR((DATEDIF(Beginning_of_period,$G217,"m") + 1) / Months_in_Period,0),0)</f>
        <v>0</v>
      </c>
      <c r="W217" s="231">
        <f xml:space="preserve"> IFERROR(($E217&gt;0)*($E217 &lt;=End_of_period) * ($G217 &gt;=Beginning_of_period) * (1-SUM($K217:V217)) /  IFERROR((DATEDIF(Beginning_of_period,$G217,"m") + 1) / Months_in_Period,0),0)</f>
        <v>0</v>
      </c>
      <c r="X217" s="231">
        <f xml:space="preserve"> IFERROR(($E217&gt;0)*($E217 &lt;=End_of_period) * ($G217 &gt;=Beginning_of_period) * (1-SUM($K217:W217)) /  IFERROR((DATEDIF(Beginning_of_period,$G217,"m") + 1) / Months_in_Period,0),0)</f>
        <v>0</v>
      </c>
      <c r="Y217" s="231">
        <f xml:space="preserve"> IFERROR(($E217&gt;0)*($E217 &lt;=End_of_period) * ($G217 &gt;=Beginning_of_period) * (1-SUM($K217:X217)) /  IFERROR((DATEDIF(Beginning_of_period,$G217,"m") + 1) / Months_in_Period,0),0)</f>
        <v>0</v>
      </c>
      <c r="Z217" s="231">
        <f xml:space="preserve"> IFERROR(($E217&gt;0)*($E217 &lt;=End_of_period) * ($G217 &gt;=Beginning_of_period) * (1-SUM($K217:Y217)) /  IFERROR((DATEDIF(Beginning_of_period,$G217,"m") + 1) / Months_in_Period,0),0)</f>
        <v>0</v>
      </c>
      <c r="AA217" s="231">
        <f xml:space="preserve"> IFERROR(($E217&gt;0)*($E217 &lt;=End_of_period) * ($G217 &gt;=Beginning_of_period) * (1-SUM($K217:Z217)) /  IFERROR((DATEDIF(Beginning_of_period,$G217,"m") + 1) / Months_in_Period,0),0)</f>
        <v>0</v>
      </c>
      <c r="AB217" s="231">
        <f xml:space="preserve"> IFERROR(($E217&gt;0)*($E217 &lt;=End_of_period) * ($G217 &gt;=Beginning_of_period) * (1-SUM($K217:AA217)) /  IFERROR((DATEDIF(Beginning_of_period,$G217,"m") + 1) / Months_in_Period,0),0)</f>
        <v>0</v>
      </c>
      <c r="AC217" s="231">
        <f xml:space="preserve"> IFERROR(($E217&gt;0)*($E217 &lt;=End_of_period) * ($G217 &gt;=Beginning_of_period) * (1-SUM($K217:AB217)) /  IFERROR((DATEDIF(Beginning_of_period,$G217,"m") + 1) / Months_in_Period,0),0)</f>
        <v>0</v>
      </c>
      <c r="AD217" s="231">
        <f xml:space="preserve"> IFERROR(($E217&gt;0)*($E217 &lt;=End_of_period) * ($G217 &gt;=Beginning_of_period) * (1-SUM($K217:AC217)) /  IFERROR((DATEDIF(Beginning_of_period,$G217,"m") + 1) / Months_in_Period,0),0)</f>
        <v>0</v>
      </c>
      <c r="AE217" s="231">
        <f xml:space="preserve"> IFERROR(($E217&gt;0)*($E217 &lt;=End_of_period) * ($G217 &gt;=Beginning_of_period) * (1-SUM($K217:AD217)) /  IFERROR((DATEDIF(Beginning_of_period,$G217,"m") + 1) / Months_in_Period,0),0)</f>
        <v>0</v>
      </c>
      <c r="AF217" s="231">
        <f xml:space="preserve"> IFERROR(($E217&gt;0)*($E217 &lt;=End_of_period) * ($G217 &gt;=Beginning_of_period) * (1-SUM($K217:AE217)) /  IFERROR((DATEDIF(Beginning_of_period,$G217,"m") + 1) / Months_in_Period,0),0)</f>
        <v>0</v>
      </c>
      <c r="AG217" s="231">
        <f xml:space="preserve"> IFERROR(($E217&gt;0)*($E217 &lt;=End_of_period) * ($G217 &gt;=Beginning_of_period) * (1-SUM($K217:AF217)) /  IFERROR((DATEDIF(Beginning_of_period,$G217,"m") + 1) / Months_in_Period,0),0)</f>
        <v>0</v>
      </c>
      <c r="AH217" s="231">
        <f xml:space="preserve"> IFERROR(($E217&gt;0)*($E217 &lt;=End_of_period) * ($G217 &gt;=Beginning_of_period) * (1-SUM($K217:AG217)) /  IFERROR((DATEDIF(Beginning_of_period,$G217,"m") + 1) / Months_in_Period,0),0)</f>
        <v>0</v>
      </c>
      <c r="AI217" s="231">
        <f xml:space="preserve"> IFERROR(($E217&gt;0)*($E217 &lt;=End_of_period) * ($G217 &gt;=Beginning_of_period) * (1-SUM($K217:AH217)) /  IFERROR((DATEDIF(Beginning_of_period,$G217,"m") + 1) / Months_in_Period,0),0)</f>
        <v>0</v>
      </c>
      <c r="AJ217" s="231">
        <f xml:space="preserve"> IFERROR(($E217&gt;0)*($E217 &lt;=End_of_period) * ($G217 &gt;=Beginning_of_period) * (1-SUM($K217:AI217)) /  IFERROR((DATEDIF(Beginning_of_period,$G217,"m") + 1) / Months_in_Period,0),0)</f>
        <v>0</v>
      </c>
      <c r="AK217" s="231">
        <f xml:space="preserve"> IFERROR(($E217&gt;0)*($E217 &lt;=End_of_period) * ($G217 &gt;=Beginning_of_period) * (1-SUM($K217:AJ217)) /  IFERROR((DATEDIF(Beginning_of_period,$G217,"m") + 1) / Months_in_Period,0),0)</f>
        <v>0</v>
      </c>
      <c r="AL217" s="231">
        <f xml:space="preserve"> IFERROR(($E217&gt;0)*($E217 &lt;=End_of_period) * ($G217 &gt;=Beginning_of_period) * (1-SUM($K217:AK217)) /  IFERROR((DATEDIF(Beginning_of_period,$G217,"m") + 1) / Months_in_Period,0),0)</f>
        <v>0</v>
      </c>
      <c r="AM217" s="231">
        <f xml:space="preserve"> IFERROR(($E217&gt;0)*($E217 &lt;=End_of_period) * ($G217 &gt;=Beginning_of_period) * (1-SUM($K217:AL217)) /  IFERROR((DATEDIF(Beginning_of_period,$G217,"m") + 1) / Months_in_Period,0),0)</f>
        <v>0</v>
      </c>
      <c r="AN217" s="231">
        <f xml:space="preserve"> IFERROR(($E217&gt;0)*($E217 &lt;=End_of_period) * ($G217 &gt;=Beginning_of_period) * (1-SUM($K217:AM217)) /  IFERROR((DATEDIF(Beginning_of_period,$G217,"m") + 1) / Months_in_Period,0),0)</f>
        <v>0</v>
      </c>
      <c r="AO217" s="231">
        <f xml:space="preserve"> IFERROR(($E217&gt;0)*($E217 &lt;=End_of_period) * ($G217 &gt;=Beginning_of_period) * (1-SUM($K217:AN217)) /  IFERROR((DATEDIF(Beginning_of_period,$G217,"m") + 1) / Months_in_Period,0),0)</f>
        <v>0</v>
      </c>
      <c r="AP217" s="231">
        <f xml:space="preserve"> IFERROR(($E217&gt;0)*($E217 &lt;=End_of_period) * ($G217 &gt;=Beginning_of_period) * (1-SUM($K217:AO217)) /  IFERROR((DATEDIF(Beginning_of_period,$G217,"m") + 1) / Months_in_Period,0),0)</f>
        <v>0</v>
      </c>
      <c r="AQ217" s="231">
        <f xml:space="preserve"> IFERROR(($E217&gt;0)*($E217 &lt;=End_of_period) * ($G217 &gt;=Beginning_of_period) * (1-SUM($K217:AP217)) /  IFERROR((DATEDIF(Beginning_of_period,$G217,"m") + 1) / Months_in_Period,0),0)</f>
        <v>0</v>
      </c>
      <c r="AR217" s="231">
        <f xml:space="preserve"> IFERROR(($E217&gt;0)*($E217 &lt;=End_of_period) * ($G217 &gt;=Beginning_of_period) * (1-SUM($K217:AQ217)) /  IFERROR((DATEDIF(Beginning_of_period,$G217,"m") + 1) / Months_in_Period,0),0)</f>
        <v>0</v>
      </c>
      <c r="AS217" s="231">
        <f xml:space="preserve"> IFERROR(($E217&gt;0)*($E217 &lt;=End_of_period) * ($G217 &gt;=Beginning_of_period) * (1-SUM($K217:AR217)) /  IFERROR((DATEDIF(Beginning_of_period,$G217,"m") + 1) / Months_in_Period,0),0)</f>
        <v>0</v>
      </c>
      <c r="AT217" s="231">
        <f xml:space="preserve"> IFERROR(($E217&gt;0)*($E217 &lt;=End_of_period) * ($G217 &gt;=Beginning_of_period) * (1-SUM($K217:AS217)) /  IFERROR((DATEDIF(Beginning_of_period,$G217,"m") + 1) / Months_in_Period,0),0)</f>
        <v>0</v>
      </c>
      <c r="AU217" s="231">
        <f xml:space="preserve"> IFERROR(($E217&gt;0)*($E217 &lt;=End_of_period) * ($G217 &gt;=Beginning_of_period) * (1-SUM($K217:AT217)) /  IFERROR((DATEDIF(Beginning_of_period,$G217,"m") + 1) / Months_in_Period,0),0)</f>
        <v>0</v>
      </c>
      <c r="AV217" s="231">
        <f xml:space="preserve"> IFERROR(($E217&gt;0)*($E217 &lt;=End_of_period) * ($G217 &gt;=Beginning_of_period) * (1-SUM($K217:AU217)) /  IFERROR((DATEDIF(Beginning_of_period,$G217,"m") + 1) / Months_in_Period,0),0)</f>
        <v>0</v>
      </c>
      <c r="AW217" s="231">
        <f xml:space="preserve"> IFERROR(($E217&gt;0)*($E217 &lt;=End_of_period) * ($G217 &gt;=Beginning_of_period) * (1-SUM($K217:AV217)) /  IFERROR((DATEDIF(Beginning_of_period,$G217,"m") + 1) / Months_in_Period,0),0)</f>
        <v>0</v>
      </c>
      <c r="AX217" s="231">
        <f xml:space="preserve"> IFERROR(($E217&gt;0)*($E217 &lt;=End_of_period) * ($G217 &gt;=Beginning_of_period) * (1-SUM($K217:AW217)) /  IFERROR((DATEDIF(Beginning_of_period,$G217,"m") + 1) / Months_in_Period,0),0)</f>
        <v>0</v>
      </c>
      <c r="AY217" s="231">
        <f xml:space="preserve"> IFERROR(($E217&gt;0)*($E217 &lt;=End_of_period) * ($G217 &gt;=Beginning_of_period) * (1-SUM($K217:AX217)) /  IFERROR((DATEDIF(Beginning_of_period,$G217,"m") + 1) / Months_in_Period,0),0)</f>
        <v>0</v>
      </c>
      <c r="AZ217" s="231">
        <f xml:space="preserve"> IFERROR(($E217&gt;0)*($E217 &lt;=End_of_period) * ($G217 &gt;=Beginning_of_period) * (1-SUM($K217:AY217)) /  IFERROR((DATEDIF(Beginning_of_period,$G217,"m") + 1) / Months_in_Period,0),0)</f>
        <v>0</v>
      </c>
      <c r="BA217" s="231">
        <f xml:space="preserve"> IFERROR(($E217&gt;0)*($E217 &lt;=End_of_period) * ($G217 &gt;=Beginning_of_period) * (1-SUM($K217:AZ217)) /  IFERROR((DATEDIF(Beginning_of_period,$G217,"m") + 1) / Months_in_Period,0),0)</f>
        <v>0</v>
      </c>
      <c r="BB217" s="231">
        <f xml:space="preserve"> IFERROR(($E217&gt;0)*($E217 &lt;=End_of_period) * ($G217 &gt;=Beginning_of_period) * (1-SUM($K217:BA217)) /  IFERROR((DATEDIF(Beginning_of_period,$G217,"m") + 1) / Months_in_Period,0),0)</f>
        <v>0</v>
      </c>
      <c r="BC217" s="231">
        <f xml:space="preserve"> IFERROR(($E217&gt;0)*($E217 &lt;=End_of_period) * ($G217 &gt;=Beginning_of_period) * (1-SUM($K217:BB217)) /  IFERROR((DATEDIF(Beginning_of_period,$G217,"m") + 1) / Months_in_Period,0),0)</f>
        <v>0</v>
      </c>
      <c r="BD217" s="231">
        <f xml:space="preserve"> IFERROR(($E217&gt;0)*($E217 &lt;=End_of_period) * ($G217 &gt;=Beginning_of_period) * (1-SUM($K217:BC217)) /  IFERROR((DATEDIF(Beginning_of_period,$G217,"m") + 1) / Months_in_Period,0),0)</f>
        <v>0</v>
      </c>
      <c r="BE217" s="231">
        <f xml:space="preserve"> IFERROR(($E217&gt;0)*($E217 &lt;=End_of_period) * ($G217 &gt;=Beginning_of_period) * (1-SUM($K217:BD217)) /  IFERROR((DATEDIF(Beginning_of_period,$G217,"m") + 1) / Months_in_Period,0),0)</f>
        <v>0</v>
      </c>
      <c r="BF217" s="231">
        <f xml:space="preserve"> IFERROR(($E217&gt;0)*($E217 &lt;=End_of_period) * ($G217 &gt;=Beginning_of_period) * (1-SUM($K217:BE217)) /  IFERROR((DATEDIF(Beginning_of_period,$G217,"m") + 1) / Months_in_Period,0),0)</f>
        <v>0</v>
      </c>
      <c r="BG217" s="231">
        <f xml:space="preserve"> IFERROR(($E217&gt;0)*($E217 &lt;=End_of_period) * ($G217 &gt;=Beginning_of_period) * (1-SUM($K217:BF217)) /  IFERROR((DATEDIF(Beginning_of_period,$G217,"m") + 1) / Months_in_Period,0),0)</f>
        <v>0</v>
      </c>
      <c r="BH217" s="231">
        <f xml:space="preserve"> IFERROR(($E217&gt;0)*($E217 &lt;=End_of_period) * ($G217 &gt;=Beginning_of_period) * (1-SUM($K217:BG217)) /  IFERROR((DATEDIF(Beginning_of_period,$G217,"m") + 1) / Months_in_Period,0),0)</f>
        <v>0</v>
      </c>
      <c r="BI217" s="231">
        <f xml:space="preserve"> IFERROR(($E217&gt;0)*($E217 &lt;=End_of_period) * ($G217 &gt;=Beginning_of_period) * (1-SUM($K217:BH217)) /  IFERROR((DATEDIF(Beginning_of_period,$G217,"m") + 1) / Months_in_Period,0),0)</f>
        <v>0</v>
      </c>
      <c r="BJ217" s="231">
        <f xml:space="preserve"> IFERROR(($E217&gt;0)*($E217 &lt;=End_of_period) * ($G217 &gt;=Beginning_of_period) * (1-SUM($K217:BI217)) /  IFERROR((DATEDIF(Beginning_of_period,$G217,"m") + 1) / Months_in_Period,0),0)</f>
        <v>0</v>
      </c>
      <c r="BK217" s="231">
        <f xml:space="preserve"> IFERROR(($E217&gt;0)*($E217 &lt;=End_of_period) * ($G217 &gt;=Beginning_of_period) * (1-SUM($K217:BJ217)) /  IFERROR((DATEDIF(Beginning_of_period,$G217,"m") + 1) / Months_in_Period,0),0)</f>
        <v>0</v>
      </c>
      <c r="BL217" s="231">
        <f xml:space="preserve"> IFERROR(($E217&gt;0)*($E217 &lt;=End_of_period) * ($G217 &gt;=Beginning_of_period) * (1-SUM($K217:BK217)) /  IFERROR((DATEDIF(Beginning_of_period,$G217,"m") + 1) / Months_in_Period,0),0)</f>
        <v>0</v>
      </c>
      <c r="BM217" s="231">
        <f xml:space="preserve"> IFERROR(($E217&gt;0)*($E217 &lt;=End_of_period) * ($G217 &gt;=Beginning_of_period) * (1-SUM($K217:BL217)) /  IFERROR((DATEDIF(Beginning_of_period,$G217,"m") + 1) / Months_in_Period,0),0)</f>
        <v>0</v>
      </c>
      <c r="BN217" s="231">
        <f xml:space="preserve"> IFERROR(($E217&gt;0)*($E217 &lt;=End_of_period) * ($G217 &gt;=Beginning_of_period) * (1-SUM($K217:BM217)) /  IFERROR((DATEDIF(Beginning_of_period,$G217,"m") + 1) / Months_in_Period,0),0)</f>
        <v>0</v>
      </c>
      <c r="BO217" s="231">
        <f xml:space="preserve"> IFERROR(($E217&gt;0)*($E217 &lt;=End_of_period) * ($G217 &gt;=Beginning_of_period) * (1-SUM($K217:BN217)) /  IFERROR((DATEDIF(Beginning_of_period,$G217,"m") + 1) / Months_in_Period,0),0)</f>
        <v>0</v>
      </c>
      <c r="BP217" s="231">
        <f xml:space="preserve"> IFERROR(($E217&gt;0)*($E217 &lt;=End_of_period) * ($G217 &gt;=Beginning_of_period) * (1-SUM($K217:BO217)) /  IFERROR((DATEDIF(Beginning_of_period,$G217,"m") + 1) / Months_in_Period,0),0)</f>
        <v>0</v>
      </c>
      <c r="BQ217" s="231">
        <f xml:space="preserve"> IFERROR(($E217&gt;0)*($E217 &lt;=End_of_period) * ($G217 &gt;=Beginning_of_period) * (1-SUM($K217:BP217)) /  IFERROR((DATEDIF(Beginning_of_period,$G217,"m") + 1) / Months_in_Period,0),0)</f>
        <v>0</v>
      </c>
      <c r="BR217" s="231">
        <f xml:space="preserve"> IFERROR(($E217&gt;0)*($E217 &lt;=End_of_period) * ($G217 &gt;=Beginning_of_period) * (1-SUM($K217:BQ217)) /  IFERROR((DATEDIF(Beginning_of_period,$G217,"m") + 1) / Months_in_Period,0),0)</f>
        <v>0</v>
      </c>
      <c r="BS217" s="231">
        <f xml:space="preserve"> IFERROR(($E217&gt;0)*($E217 &lt;=End_of_period) * ($G217 &gt;=Beginning_of_period) * (1-SUM($K217:BR217)) /  IFERROR((DATEDIF(Beginning_of_period,$G217,"m") + 1) / Months_in_Period,0),0)</f>
        <v>0</v>
      </c>
      <c r="BT217" s="231">
        <f xml:space="preserve"> IFERROR(($E217&gt;0)*($E217 &lt;=End_of_period) * ($G217 &gt;=Beginning_of_period) * (1-SUM($K217:BS217)) /  IFERROR((DATEDIF(Beginning_of_period,$G217,"m") + 1) / Months_in_Period,0),0)</f>
        <v>0</v>
      </c>
      <c r="BU217" s="231">
        <f xml:space="preserve"> IFERROR(($E217&gt;0)*($E217 &lt;=End_of_period) * ($G217 &gt;=Beginning_of_period) * (1-SUM($K217:BT217)) /  IFERROR((DATEDIF(Beginning_of_period,$G217,"m") + 1) / Months_in_Period,0),0)</f>
        <v>0</v>
      </c>
      <c r="BV217" s="231">
        <f xml:space="preserve"> IFERROR(($E217&gt;0)*($E217 &lt;=End_of_period) * ($G217 &gt;=Beginning_of_period) * (1-SUM($K217:BU217)) /  IFERROR((DATEDIF(Beginning_of_period,$G217,"m") + 1) / Months_in_Period,0),0)</f>
        <v>0</v>
      </c>
      <c r="BW217" s="231">
        <f xml:space="preserve"> IFERROR(($E217&gt;0)*($E217 &lt;=End_of_period) * ($G217 &gt;=Beginning_of_period) * (1-SUM($K217:BV217)) /  IFERROR((DATEDIF(Beginning_of_period,$G217,"m") + 1) / Months_in_Period,0),0)</f>
        <v>0</v>
      </c>
      <c r="BX217" s="231">
        <f xml:space="preserve"> IFERROR(($E217&gt;0)*($E217 &lt;=End_of_period) * ($G217 &gt;=Beginning_of_period) * (1-SUM($K217:BW217)) /  IFERROR((DATEDIF(Beginning_of_period,$G217,"m") + 1) / Months_in_Period,0),0)</f>
        <v>0</v>
      </c>
      <c r="BY217" s="231">
        <f xml:space="preserve"> IFERROR(($E217&gt;0)*($E217 &lt;=End_of_period) * ($G217 &gt;=Beginning_of_period) * (1-SUM($K217:BX217)) /  IFERROR((DATEDIF(Beginning_of_period,$G217,"m") + 1) / Months_in_Period,0),0)</f>
        <v>0</v>
      </c>
      <c r="BZ217" s="231">
        <f xml:space="preserve"> IFERROR(($E217&gt;0)*($E217 &lt;=End_of_period) * ($G217 &gt;=Beginning_of_period) * (1-SUM($K217:BY217)) /  IFERROR((DATEDIF(Beginning_of_period,$G217,"m") + 1) / Months_in_Period,0),0)</f>
        <v>0</v>
      </c>
      <c r="CA217" s="231">
        <f xml:space="preserve"> IFERROR(($E217&gt;0)*($E217 &lt;=End_of_period) * ($G217 &gt;=Beginning_of_period) * (1-SUM($K217:BZ217)) /  IFERROR((DATEDIF(Beginning_of_period,$G217,"m") + 1) / Months_in_Period,0),0)</f>
        <v>0</v>
      </c>
      <c r="CB217" s="231">
        <f xml:space="preserve"> IFERROR(($E217&gt;0)*($E217 &lt;=End_of_period) * ($G217 &gt;=Beginning_of_period) * (1-SUM($K217:CA217)) /  IFERROR((DATEDIF(Beginning_of_period,$G217,"m") + 1) / Months_in_Period,0),0)</f>
        <v>0</v>
      </c>
      <c r="CC217" s="231">
        <f xml:space="preserve"> IFERROR(($E217&gt;0)*($E217 &lt;=End_of_period) * ($G217 &gt;=Beginning_of_period) * (1-SUM($K217:CB217)) /  IFERROR((DATEDIF(Beginning_of_period,$G217,"m") + 1) / Months_in_Period,0),0)</f>
        <v>0</v>
      </c>
      <c r="CD217" s="231">
        <f xml:space="preserve"> IFERROR(($E217&gt;0)*($E217 &lt;=End_of_period) * ($G217 &gt;=Beginning_of_period) * (1-SUM($K217:CC217)) /  IFERROR((DATEDIF(Beginning_of_period,$G217,"m") + 1) / Months_in_Period,0),0)</f>
        <v>0</v>
      </c>
      <c r="CE217" s="231">
        <f xml:space="preserve"> IFERROR(($E217&gt;0)*($E217 &lt;=End_of_period) * ($G217 &gt;=Beginning_of_period) * (1-SUM($K217:CD217)) /  IFERROR((DATEDIF(Beginning_of_period,$G217,"m") + 1) / Months_in_Period,0),0)</f>
        <v>0</v>
      </c>
      <c r="CF217" s="231">
        <f xml:space="preserve"> IFERROR(($E217&gt;0)*($E217 &lt;=End_of_period) * ($G217 &gt;=Beginning_of_period) * (1-SUM($K217:CE217)) /  IFERROR((DATEDIF(Beginning_of_period,$G217,"m") + 1) / Months_in_Period,0),0)</f>
        <v>0</v>
      </c>
      <c r="CG217" s="231">
        <f xml:space="preserve"> IFERROR(($E217&gt;0)*($E217 &lt;=End_of_period) * ($G217 &gt;=Beginning_of_period) * (1-SUM($K217:CF217)) /  IFERROR((DATEDIF(Beginning_of_period,$G217,"m") + 1) / Months_in_Period,0),0)</f>
        <v>0</v>
      </c>
      <c r="CH217" s="231">
        <f xml:space="preserve"> IFERROR(($E217&gt;0)*($E217 &lt;=End_of_period) * ($G217 &gt;=Beginning_of_period) * (1-SUM($K217:CG217)) /  IFERROR((DATEDIF(Beginning_of_period,$G217,"m") + 1) / Months_in_Period,0),0)</f>
        <v>0</v>
      </c>
      <c r="CI217" s="231">
        <f xml:space="preserve"> IFERROR(($E217&gt;0)*($E217 &lt;=End_of_period) * ($G217 &gt;=Beginning_of_period) * (1-SUM($K217:CH217)) /  IFERROR((DATEDIF(Beginning_of_period,$G217,"m") + 1) / Months_in_Period,0),0)</f>
        <v>0</v>
      </c>
      <c r="CJ217" s="231">
        <f xml:space="preserve"> IFERROR(($E217&gt;0)*($E217 &lt;=End_of_period) * ($G217 &gt;=Beginning_of_period) * (1-SUM($K217:CI217)) /  IFERROR((DATEDIF(Beginning_of_period,$G217,"m") + 1) / Months_in_Period,0),0)</f>
        <v>0</v>
      </c>
      <c r="CK217" s="231">
        <f xml:space="preserve"> IFERROR(($E217&gt;0)*($E217 &lt;=End_of_period) * ($G217 &gt;=Beginning_of_period) * (1-SUM($K217:CJ217)) /  IFERROR((DATEDIF(Beginning_of_period,$G217,"m") + 1) / Months_in_Period,0),0)</f>
        <v>0</v>
      </c>
      <c r="CL217" s="231">
        <f xml:space="preserve"> IFERROR(($E217&gt;0)*($E217 &lt;=End_of_period) * ($G217 &gt;=Beginning_of_period) * (1-SUM($K217:CK217)) /  IFERROR((DATEDIF(Beginning_of_period,$G217,"m") + 1) / Months_in_Period,0),0)</f>
        <v>0</v>
      </c>
      <c r="CM217" s="231">
        <f xml:space="preserve"> IFERROR(($E217&gt;0)*($E217 &lt;=End_of_period) * ($G217 &gt;=Beginning_of_period) * (1-SUM($K217:CL217)) /  IFERROR((DATEDIF(Beginning_of_period,$G217,"m") + 1) / Months_in_Period,0),0)</f>
        <v>0</v>
      </c>
      <c r="CN217" s="231">
        <f xml:space="preserve"> IFERROR(($E217&gt;0)*($E217 &lt;=End_of_period) * ($G217 &gt;=Beginning_of_period) * (1-SUM($K217:CM217)) /  IFERROR((DATEDIF(Beginning_of_period,$G217,"m") + 1) / Months_in_Period,0),0)</f>
        <v>0</v>
      </c>
      <c r="CO217" s="231">
        <f xml:space="preserve"> IFERROR(($E217&gt;0)*($E217 &lt;=End_of_period) * ($G217 &gt;=Beginning_of_period) * (1-SUM($K217:CN217)) /  IFERROR((DATEDIF(Beginning_of_period,$G217,"m") + 1) / Months_in_Period,0),0)</f>
        <v>0</v>
      </c>
      <c r="CP217" s="10"/>
    </row>
    <row r="218" spans="1:94" ht="15" hidden="1" customHeight="1">
      <c r="A218" s="10"/>
      <c r="B218" s="3"/>
      <c r="C218" s="17" t="s">
        <v>848</v>
      </c>
      <c r="D218" s="10"/>
      <c r="E218" s="71"/>
      <c r="F218" s="10"/>
      <c r="G218" s="71"/>
      <c r="H218" s="149">
        <f xml:space="preserve"> IFERROR((DATEDIF(E218,G218,"m") + 1) / Months_in_Period,0)</f>
        <v>0.33333333333333331</v>
      </c>
      <c r="I218" s="231">
        <f t="shared" si="118"/>
        <v>1</v>
      </c>
      <c r="J218" s="10"/>
      <c r="K218" s="10"/>
      <c r="L218" s="231">
        <f xml:space="preserve"> IFERROR(($E218&gt;0)*($E218 &lt;=End_of_period) * ($G218 &gt;=Beginning_of_period) * (1-SUM($K218:K218)) /  IFERROR((DATEDIF(Beginning_of_period,$G218,"m") + 1) / Months_in_Period,0),0)</f>
        <v>0</v>
      </c>
      <c r="M218" s="231">
        <f xml:space="preserve"> IFERROR(($E218&gt;0)*($E218 &lt;=End_of_period) * ($G218 &gt;=Beginning_of_period) * (1-SUM($K218:L218)) /  IFERROR((DATEDIF(Beginning_of_period,$G218,"m") + 1) / Months_in_Period,0),0)</f>
        <v>0</v>
      </c>
      <c r="N218" s="231">
        <f xml:space="preserve"> IFERROR(($E218&gt;0)*($E218 &lt;=End_of_period) * ($G218 &gt;=Beginning_of_period) * (1-SUM($K218:M218)) /  IFERROR((DATEDIF(Beginning_of_period,$G218,"m") + 1) / Months_in_Period,0),0)</f>
        <v>0</v>
      </c>
      <c r="O218" s="231">
        <f xml:space="preserve"> IFERROR(($E218&gt;0)*($E218 &lt;=End_of_period) * ($G218 &gt;=Beginning_of_period) * (1-SUM($K218:N218)) /  IFERROR((DATEDIF(Beginning_of_period,$G218,"m") + 1) / Months_in_Period,0),0)</f>
        <v>0</v>
      </c>
      <c r="P218" s="231">
        <f xml:space="preserve"> IFERROR(($E218&gt;0)*($E218 &lt;=End_of_period) * ($G218 &gt;=Beginning_of_period) * (1-SUM($K218:O218)) /  IFERROR((DATEDIF(Beginning_of_period,$G218,"m") + 1) / Months_in_Period,0),0)</f>
        <v>0</v>
      </c>
      <c r="Q218" s="231">
        <f xml:space="preserve"> IFERROR(($E218&gt;0)*($E218 &lt;=End_of_period) * ($G218 &gt;=Beginning_of_period) * (1-SUM($K218:P218)) /  IFERROR((DATEDIF(Beginning_of_period,$G218,"m") + 1) / Months_in_Period,0),0)</f>
        <v>0</v>
      </c>
      <c r="R218" s="231">
        <f xml:space="preserve"> IFERROR(($E218&gt;0)*($E218 &lt;=End_of_period) * ($G218 &gt;=Beginning_of_period) * (1-SUM($K218:Q218)) /  IFERROR((DATEDIF(Beginning_of_period,$G218,"m") + 1) / Months_in_Period,0),0)</f>
        <v>0</v>
      </c>
      <c r="S218" s="231">
        <f xml:space="preserve"> IFERROR(($E218&gt;0)*($E218 &lt;=End_of_period) * ($G218 &gt;=Beginning_of_period) * (1-SUM($K218:R218)) /  IFERROR((DATEDIF(Beginning_of_period,$G218,"m") + 1) / Months_in_Period,0),0)</f>
        <v>0</v>
      </c>
      <c r="T218" s="231">
        <f xml:space="preserve"> IFERROR(($E218&gt;0)*($E218 &lt;=End_of_period) * ($G218 &gt;=Beginning_of_period) * (1-SUM($K218:S218)) /  IFERROR((DATEDIF(Beginning_of_period,$G218,"m") + 1) / Months_in_Period,0),0)</f>
        <v>0</v>
      </c>
      <c r="U218" s="231">
        <f xml:space="preserve"> IFERROR(($E218&gt;0)*($E218 &lt;=End_of_period) * ($G218 &gt;=Beginning_of_period) * (1-SUM($K218:T218)) /  IFERROR((DATEDIF(Beginning_of_period,$G218,"m") + 1) / Months_in_Period,0),0)</f>
        <v>0</v>
      </c>
      <c r="V218" s="231">
        <f xml:space="preserve"> IFERROR(($E218&gt;0)*($E218 &lt;=End_of_period) * ($G218 &gt;=Beginning_of_period) * (1-SUM($K218:U218)) /  IFERROR((DATEDIF(Beginning_of_period,$G218,"m") + 1) / Months_in_Period,0),0)</f>
        <v>0</v>
      </c>
      <c r="W218" s="231">
        <f xml:space="preserve"> IFERROR(($E218&gt;0)*($E218 &lt;=End_of_period) * ($G218 &gt;=Beginning_of_period) * (1-SUM($K218:V218)) /  IFERROR((DATEDIF(Beginning_of_period,$G218,"m") + 1) / Months_in_Period,0),0)</f>
        <v>0</v>
      </c>
      <c r="X218" s="231">
        <f xml:space="preserve"> IFERROR(($E218&gt;0)*($E218 &lt;=End_of_period) * ($G218 &gt;=Beginning_of_period) * (1-SUM($K218:W218)) /  IFERROR((DATEDIF(Beginning_of_period,$G218,"m") + 1) / Months_in_Period,0),0)</f>
        <v>0</v>
      </c>
      <c r="Y218" s="231">
        <f xml:space="preserve"> IFERROR(($E218&gt;0)*($E218 &lt;=End_of_period) * ($G218 &gt;=Beginning_of_period) * (1-SUM($K218:X218)) /  IFERROR((DATEDIF(Beginning_of_period,$G218,"m") + 1) / Months_in_Period,0),0)</f>
        <v>0</v>
      </c>
      <c r="Z218" s="231">
        <f xml:space="preserve"> IFERROR(($E218&gt;0)*($E218 &lt;=End_of_period) * ($G218 &gt;=Beginning_of_period) * (1-SUM($K218:Y218)) /  IFERROR((DATEDIF(Beginning_of_period,$G218,"m") + 1) / Months_in_Period,0),0)</f>
        <v>0</v>
      </c>
      <c r="AA218" s="231">
        <f xml:space="preserve"> IFERROR(($E218&gt;0)*($E218 &lt;=End_of_period) * ($G218 &gt;=Beginning_of_period) * (1-SUM($K218:Z218)) /  IFERROR((DATEDIF(Beginning_of_period,$G218,"m") + 1) / Months_in_Period,0),0)</f>
        <v>0</v>
      </c>
      <c r="AB218" s="231">
        <f xml:space="preserve"> IFERROR(($E218&gt;0)*($E218 &lt;=End_of_period) * ($G218 &gt;=Beginning_of_period) * (1-SUM($K218:AA218)) /  IFERROR((DATEDIF(Beginning_of_period,$G218,"m") + 1) / Months_in_Period,0),0)</f>
        <v>0</v>
      </c>
      <c r="AC218" s="231">
        <f xml:space="preserve"> IFERROR(($E218&gt;0)*($E218 &lt;=End_of_period) * ($G218 &gt;=Beginning_of_period) * (1-SUM($K218:AB218)) /  IFERROR((DATEDIF(Beginning_of_period,$G218,"m") + 1) / Months_in_Period,0),0)</f>
        <v>0</v>
      </c>
      <c r="AD218" s="231">
        <f xml:space="preserve"> IFERROR(($E218&gt;0)*($E218 &lt;=End_of_period) * ($G218 &gt;=Beginning_of_period) * (1-SUM($K218:AC218)) /  IFERROR((DATEDIF(Beginning_of_period,$G218,"m") + 1) / Months_in_Period,0),0)</f>
        <v>0</v>
      </c>
      <c r="AE218" s="231">
        <f xml:space="preserve"> IFERROR(($E218&gt;0)*($E218 &lt;=End_of_period) * ($G218 &gt;=Beginning_of_period) * (1-SUM($K218:AD218)) /  IFERROR((DATEDIF(Beginning_of_period,$G218,"m") + 1) / Months_in_Period,0),0)</f>
        <v>0</v>
      </c>
      <c r="AF218" s="231">
        <f xml:space="preserve"> IFERROR(($E218&gt;0)*($E218 &lt;=End_of_period) * ($G218 &gt;=Beginning_of_period) * (1-SUM($K218:AE218)) /  IFERROR((DATEDIF(Beginning_of_period,$G218,"m") + 1) / Months_in_Period,0),0)</f>
        <v>0</v>
      </c>
      <c r="AG218" s="231">
        <f xml:space="preserve"> IFERROR(($E218&gt;0)*($E218 &lt;=End_of_period) * ($G218 &gt;=Beginning_of_period) * (1-SUM($K218:AF218)) /  IFERROR((DATEDIF(Beginning_of_period,$G218,"m") + 1) / Months_in_Period,0),0)</f>
        <v>0</v>
      </c>
      <c r="AH218" s="231">
        <f xml:space="preserve"> IFERROR(($E218&gt;0)*($E218 &lt;=End_of_period) * ($G218 &gt;=Beginning_of_period) * (1-SUM($K218:AG218)) /  IFERROR((DATEDIF(Beginning_of_period,$G218,"m") + 1) / Months_in_Period,0),0)</f>
        <v>0</v>
      </c>
      <c r="AI218" s="231">
        <f xml:space="preserve"> IFERROR(($E218&gt;0)*($E218 &lt;=End_of_period) * ($G218 &gt;=Beginning_of_period) * (1-SUM($K218:AH218)) /  IFERROR((DATEDIF(Beginning_of_period,$G218,"m") + 1) / Months_in_Period,0),0)</f>
        <v>0</v>
      </c>
      <c r="AJ218" s="231">
        <f xml:space="preserve"> IFERROR(($E218&gt;0)*($E218 &lt;=End_of_period) * ($G218 &gt;=Beginning_of_period) * (1-SUM($K218:AI218)) /  IFERROR((DATEDIF(Beginning_of_period,$G218,"m") + 1) / Months_in_Period,0),0)</f>
        <v>0</v>
      </c>
      <c r="AK218" s="231">
        <f xml:space="preserve"> IFERROR(($E218&gt;0)*($E218 &lt;=End_of_period) * ($G218 &gt;=Beginning_of_period) * (1-SUM($K218:AJ218)) /  IFERROR((DATEDIF(Beginning_of_period,$G218,"m") + 1) / Months_in_Period,0),0)</f>
        <v>0</v>
      </c>
      <c r="AL218" s="231">
        <f xml:space="preserve"> IFERROR(($E218&gt;0)*($E218 &lt;=End_of_period) * ($G218 &gt;=Beginning_of_period) * (1-SUM($K218:AK218)) /  IFERROR((DATEDIF(Beginning_of_period,$G218,"m") + 1) / Months_in_Period,0),0)</f>
        <v>0</v>
      </c>
      <c r="AM218" s="231">
        <f xml:space="preserve"> IFERROR(($E218&gt;0)*($E218 &lt;=End_of_period) * ($G218 &gt;=Beginning_of_period) * (1-SUM($K218:AL218)) /  IFERROR((DATEDIF(Beginning_of_period,$G218,"m") + 1) / Months_in_Period,0),0)</f>
        <v>0</v>
      </c>
      <c r="AN218" s="231">
        <f xml:space="preserve"> IFERROR(($E218&gt;0)*($E218 &lt;=End_of_period) * ($G218 &gt;=Beginning_of_period) * (1-SUM($K218:AM218)) /  IFERROR((DATEDIF(Beginning_of_period,$G218,"m") + 1) / Months_in_Period,0),0)</f>
        <v>0</v>
      </c>
      <c r="AO218" s="231">
        <f xml:space="preserve"> IFERROR(($E218&gt;0)*($E218 &lt;=End_of_period) * ($G218 &gt;=Beginning_of_period) * (1-SUM($K218:AN218)) /  IFERROR((DATEDIF(Beginning_of_period,$G218,"m") + 1) / Months_in_Period,0),0)</f>
        <v>0</v>
      </c>
      <c r="AP218" s="231">
        <f xml:space="preserve"> IFERROR(($E218&gt;0)*($E218 &lt;=End_of_period) * ($G218 &gt;=Beginning_of_period) * (1-SUM($K218:AO218)) /  IFERROR((DATEDIF(Beginning_of_period,$G218,"m") + 1) / Months_in_Period,0),0)</f>
        <v>0</v>
      </c>
      <c r="AQ218" s="231">
        <f xml:space="preserve"> IFERROR(($E218&gt;0)*($E218 &lt;=End_of_period) * ($G218 &gt;=Beginning_of_period) * (1-SUM($K218:AP218)) /  IFERROR((DATEDIF(Beginning_of_period,$G218,"m") + 1) / Months_in_Period,0),0)</f>
        <v>0</v>
      </c>
      <c r="AR218" s="231">
        <f xml:space="preserve"> IFERROR(($E218&gt;0)*($E218 &lt;=End_of_period) * ($G218 &gt;=Beginning_of_period) * (1-SUM($K218:AQ218)) /  IFERROR((DATEDIF(Beginning_of_period,$G218,"m") + 1) / Months_in_Period,0),0)</f>
        <v>0</v>
      </c>
      <c r="AS218" s="231">
        <f xml:space="preserve"> IFERROR(($E218&gt;0)*($E218 &lt;=End_of_period) * ($G218 &gt;=Beginning_of_period) * (1-SUM($K218:AR218)) /  IFERROR((DATEDIF(Beginning_of_period,$G218,"m") + 1) / Months_in_Period,0),0)</f>
        <v>0</v>
      </c>
      <c r="AT218" s="231">
        <f xml:space="preserve"> IFERROR(($E218&gt;0)*($E218 &lt;=End_of_period) * ($G218 &gt;=Beginning_of_period) * (1-SUM($K218:AS218)) /  IFERROR((DATEDIF(Beginning_of_period,$G218,"m") + 1) / Months_in_Period,0),0)</f>
        <v>0</v>
      </c>
      <c r="AU218" s="231">
        <f xml:space="preserve"> IFERROR(($E218&gt;0)*($E218 &lt;=End_of_period) * ($G218 &gt;=Beginning_of_period) * (1-SUM($K218:AT218)) /  IFERROR((DATEDIF(Beginning_of_period,$G218,"m") + 1) / Months_in_Period,0),0)</f>
        <v>0</v>
      </c>
      <c r="AV218" s="231">
        <f xml:space="preserve"> IFERROR(($E218&gt;0)*($E218 &lt;=End_of_period) * ($G218 &gt;=Beginning_of_period) * (1-SUM($K218:AU218)) /  IFERROR((DATEDIF(Beginning_of_period,$G218,"m") + 1) / Months_in_Period,0),0)</f>
        <v>0</v>
      </c>
      <c r="AW218" s="231">
        <f xml:space="preserve"> IFERROR(($E218&gt;0)*($E218 &lt;=End_of_period) * ($G218 &gt;=Beginning_of_period) * (1-SUM($K218:AV218)) /  IFERROR((DATEDIF(Beginning_of_period,$G218,"m") + 1) / Months_in_Period,0),0)</f>
        <v>0</v>
      </c>
      <c r="AX218" s="231">
        <f xml:space="preserve"> IFERROR(($E218&gt;0)*($E218 &lt;=End_of_period) * ($G218 &gt;=Beginning_of_period) * (1-SUM($K218:AW218)) /  IFERROR((DATEDIF(Beginning_of_period,$G218,"m") + 1) / Months_in_Period,0),0)</f>
        <v>0</v>
      </c>
      <c r="AY218" s="231">
        <f xml:space="preserve"> IFERROR(($E218&gt;0)*($E218 &lt;=End_of_period) * ($G218 &gt;=Beginning_of_period) * (1-SUM($K218:AX218)) /  IFERROR((DATEDIF(Beginning_of_period,$G218,"m") + 1) / Months_in_Period,0),0)</f>
        <v>0</v>
      </c>
      <c r="AZ218" s="231">
        <f xml:space="preserve"> IFERROR(($E218&gt;0)*($E218 &lt;=End_of_period) * ($G218 &gt;=Beginning_of_period) * (1-SUM($K218:AY218)) /  IFERROR((DATEDIF(Beginning_of_period,$G218,"m") + 1) / Months_in_Period,0),0)</f>
        <v>0</v>
      </c>
      <c r="BA218" s="231">
        <f xml:space="preserve"> IFERROR(($E218&gt;0)*($E218 &lt;=End_of_period) * ($G218 &gt;=Beginning_of_period) * (1-SUM($K218:AZ218)) /  IFERROR((DATEDIF(Beginning_of_period,$G218,"m") + 1) / Months_in_Period,0),0)</f>
        <v>0</v>
      </c>
      <c r="BB218" s="231">
        <f xml:space="preserve"> IFERROR(($E218&gt;0)*($E218 &lt;=End_of_period) * ($G218 &gt;=Beginning_of_period) * (1-SUM($K218:BA218)) /  IFERROR((DATEDIF(Beginning_of_period,$G218,"m") + 1) / Months_in_Period,0),0)</f>
        <v>0</v>
      </c>
      <c r="BC218" s="231">
        <f xml:space="preserve"> IFERROR(($E218&gt;0)*($E218 &lt;=End_of_period) * ($G218 &gt;=Beginning_of_period) * (1-SUM($K218:BB218)) /  IFERROR((DATEDIF(Beginning_of_period,$G218,"m") + 1) / Months_in_Period,0),0)</f>
        <v>0</v>
      </c>
      <c r="BD218" s="231">
        <f xml:space="preserve"> IFERROR(($E218&gt;0)*($E218 &lt;=End_of_period) * ($G218 &gt;=Beginning_of_period) * (1-SUM($K218:BC218)) /  IFERROR((DATEDIF(Beginning_of_period,$G218,"m") + 1) / Months_in_Period,0),0)</f>
        <v>0</v>
      </c>
      <c r="BE218" s="231">
        <f xml:space="preserve"> IFERROR(($E218&gt;0)*($E218 &lt;=End_of_period) * ($G218 &gt;=Beginning_of_period) * (1-SUM($K218:BD218)) /  IFERROR((DATEDIF(Beginning_of_period,$G218,"m") + 1) / Months_in_Period,0),0)</f>
        <v>0</v>
      </c>
      <c r="BF218" s="231">
        <f xml:space="preserve"> IFERROR(($E218&gt;0)*($E218 &lt;=End_of_period) * ($G218 &gt;=Beginning_of_period) * (1-SUM($K218:BE218)) /  IFERROR((DATEDIF(Beginning_of_period,$G218,"m") + 1) / Months_in_Period,0),0)</f>
        <v>0</v>
      </c>
      <c r="BG218" s="231">
        <f xml:space="preserve"> IFERROR(($E218&gt;0)*($E218 &lt;=End_of_period) * ($G218 &gt;=Beginning_of_period) * (1-SUM($K218:BF218)) /  IFERROR((DATEDIF(Beginning_of_period,$G218,"m") + 1) / Months_in_Period,0),0)</f>
        <v>0</v>
      </c>
      <c r="BH218" s="231">
        <f xml:space="preserve"> IFERROR(($E218&gt;0)*($E218 &lt;=End_of_period) * ($G218 &gt;=Beginning_of_period) * (1-SUM($K218:BG218)) /  IFERROR((DATEDIF(Beginning_of_period,$G218,"m") + 1) / Months_in_Period,0),0)</f>
        <v>0</v>
      </c>
      <c r="BI218" s="231">
        <f xml:space="preserve"> IFERROR(($E218&gt;0)*($E218 &lt;=End_of_period) * ($G218 &gt;=Beginning_of_period) * (1-SUM($K218:BH218)) /  IFERROR((DATEDIF(Beginning_of_period,$G218,"m") + 1) / Months_in_Period,0),0)</f>
        <v>0</v>
      </c>
      <c r="BJ218" s="231">
        <f xml:space="preserve"> IFERROR(($E218&gt;0)*($E218 &lt;=End_of_period) * ($G218 &gt;=Beginning_of_period) * (1-SUM($K218:BI218)) /  IFERROR((DATEDIF(Beginning_of_period,$G218,"m") + 1) / Months_in_Period,0),0)</f>
        <v>0</v>
      </c>
      <c r="BK218" s="231">
        <f xml:space="preserve"> IFERROR(($E218&gt;0)*($E218 &lt;=End_of_period) * ($G218 &gt;=Beginning_of_period) * (1-SUM($K218:BJ218)) /  IFERROR((DATEDIF(Beginning_of_period,$G218,"m") + 1) / Months_in_Period,0),0)</f>
        <v>0</v>
      </c>
      <c r="BL218" s="231">
        <f xml:space="preserve"> IFERROR(($E218&gt;0)*($E218 &lt;=End_of_period) * ($G218 &gt;=Beginning_of_period) * (1-SUM($K218:BK218)) /  IFERROR((DATEDIF(Beginning_of_period,$G218,"m") + 1) / Months_in_Period,0),0)</f>
        <v>0</v>
      </c>
      <c r="BM218" s="231">
        <f xml:space="preserve"> IFERROR(($E218&gt;0)*($E218 &lt;=End_of_period) * ($G218 &gt;=Beginning_of_period) * (1-SUM($K218:BL218)) /  IFERROR((DATEDIF(Beginning_of_period,$G218,"m") + 1) / Months_in_Period,0),0)</f>
        <v>0</v>
      </c>
      <c r="BN218" s="231">
        <f xml:space="preserve"> IFERROR(($E218&gt;0)*($E218 &lt;=End_of_period) * ($G218 &gt;=Beginning_of_period) * (1-SUM($K218:BM218)) /  IFERROR((DATEDIF(Beginning_of_period,$G218,"m") + 1) / Months_in_Period,0),0)</f>
        <v>0</v>
      </c>
      <c r="BO218" s="231">
        <f xml:space="preserve"> IFERROR(($E218&gt;0)*($E218 &lt;=End_of_period) * ($G218 &gt;=Beginning_of_period) * (1-SUM($K218:BN218)) /  IFERROR((DATEDIF(Beginning_of_period,$G218,"m") + 1) / Months_in_Period,0),0)</f>
        <v>0</v>
      </c>
      <c r="BP218" s="231">
        <f xml:space="preserve"> IFERROR(($E218&gt;0)*($E218 &lt;=End_of_period) * ($G218 &gt;=Beginning_of_period) * (1-SUM($K218:BO218)) /  IFERROR((DATEDIF(Beginning_of_period,$G218,"m") + 1) / Months_in_Period,0),0)</f>
        <v>0</v>
      </c>
      <c r="BQ218" s="231">
        <f xml:space="preserve"> IFERROR(($E218&gt;0)*($E218 &lt;=End_of_period) * ($G218 &gt;=Beginning_of_period) * (1-SUM($K218:BP218)) /  IFERROR((DATEDIF(Beginning_of_period,$G218,"m") + 1) / Months_in_Period,0),0)</f>
        <v>0</v>
      </c>
      <c r="BR218" s="231">
        <f xml:space="preserve"> IFERROR(($E218&gt;0)*($E218 &lt;=End_of_period) * ($G218 &gt;=Beginning_of_period) * (1-SUM($K218:BQ218)) /  IFERROR((DATEDIF(Beginning_of_period,$G218,"m") + 1) / Months_in_Period,0),0)</f>
        <v>0</v>
      </c>
      <c r="BS218" s="231">
        <f xml:space="preserve"> IFERROR(($E218&gt;0)*($E218 &lt;=End_of_period) * ($G218 &gt;=Beginning_of_period) * (1-SUM($K218:BR218)) /  IFERROR((DATEDIF(Beginning_of_period,$G218,"m") + 1) / Months_in_Period,0),0)</f>
        <v>0</v>
      </c>
      <c r="BT218" s="231">
        <f xml:space="preserve"> IFERROR(($E218&gt;0)*($E218 &lt;=End_of_period) * ($G218 &gt;=Beginning_of_period) * (1-SUM($K218:BS218)) /  IFERROR((DATEDIF(Beginning_of_period,$G218,"m") + 1) / Months_in_Period,0),0)</f>
        <v>0</v>
      </c>
      <c r="BU218" s="231">
        <f xml:space="preserve"> IFERROR(($E218&gt;0)*($E218 &lt;=End_of_period) * ($G218 &gt;=Beginning_of_period) * (1-SUM($K218:BT218)) /  IFERROR((DATEDIF(Beginning_of_period,$G218,"m") + 1) / Months_in_Period,0),0)</f>
        <v>0</v>
      </c>
      <c r="BV218" s="231">
        <f xml:space="preserve"> IFERROR(($E218&gt;0)*($E218 &lt;=End_of_period) * ($G218 &gt;=Beginning_of_period) * (1-SUM($K218:BU218)) /  IFERROR((DATEDIF(Beginning_of_period,$G218,"m") + 1) / Months_in_Period,0),0)</f>
        <v>0</v>
      </c>
      <c r="BW218" s="231">
        <f xml:space="preserve"> IFERROR(($E218&gt;0)*($E218 &lt;=End_of_period) * ($G218 &gt;=Beginning_of_period) * (1-SUM($K218:BV218)) /  IFERROR((DATEDIF(Beginning_of_period,$G218,"m") + 1) / Months_in_Period,0),0)</f>
        <v>0</v>
      </c>
      <c r="BX218" s="231">
        <f xml:space="preserve"> IFERROR(($E218&gt;0)*($E218 &lt;=End_of_period) * ($G218 &gt;=Beginning_of_period) * (1-SUM($K218:BW218)) /  IFERROR((DATEDIF(Beginning_of_period,$G218,"m") + 1) / Months_in_Period,0),0)</f>
        <v>0</v>
      </c>
      <c r="BY218" s="231">
        <f xml:space="preserve"> IFERROR(($E218&gt;0)*($E218 &lt;=End_of_period) * ($G218 &gt;=Beginning_of_period) * (1-SUM($K218:BX218)) /  IFERROR((DATEDIF(Beginning_of_period,$G218,"m") + 1) / Months_in_Period,0),0)</f>
        <v>0</v>
      </c>
      <c r="BZ218" s="231">
        <f xml:space="preserve"> IFERROR(($E218&gt;0)*($E218 &lt;=End_of_period) * ($G218 &gt;=Beginning_of_period) * (1-SUM($K218:BY218)) /  IFERROR((DATEDIF(Beginning_of_period,$G218,"m") + 1) / Months_in_Period,0),0)</f>
        <v>0</v>
      </c>
      <c r="CA218" s="231">
        <f xml:space="preserve"> IFERROR(($E218&gt;0)*($E218 &lt;=End_of_period) * ($G218 &gt;=Beginning_of_period) * (1-SUM($K218:BZ218)) /  IFERROR((DATEDIF(Beginning_of_period,$G218,"m") + 1) / Months_in_Period,0),0)</f>
        <v>0</v>
      </c>
      <c r="CB218" s="231">
        <f xml:space="preserve"> IFERROR(($E218&gt;0)*($E218 &lt;=End_of_period) * ($G218 &gt;=Beginning_of_period) * (1-SUM($K218:CA218)) /  IFERROR((DATEDIF(Beginning_of_period,$G218,"m") + 1) / Months_in_Period,0),0)</f>
        <v>0</v>
      </c>
      <c r="CC218" s="231">
        <f xml:space="preserve"> IFERROR(($E218&gt;0)*($E218 &lt;=End_of_period) * ($G218 &gt;=Beginning_of_period) * (1-SUM($K218:CB218)) /  IFERROR((DATEDIF(Beginning_of_period,$G218,"m") + 1) / Months_in_Period,0),0)</f>
        <v>0</v>
      </c>
      <c r="CD218" s="231">
        <f xml:space="preserve"> IFERROR(($E218&gt;0)*($E218 &lt;=End_of_period) * ($G218 &gt;=Beginning_of_period) * (1-SUM($K218:CC218)) /  IFERROR((DATEDIF(Beginning_of_period,$G218,"m") + 1) / Months_in_Period,0),0)</f>
        <v>0</v>
      </c>
      <c r="CE218" s="231">
        <f xml:space="preserve"> IFERROR(($E218&gt;0)*($E218 &lt;=End_of_period) * ($G218 &gt;=Beginning_of_period) * (1-SUM($K218:CD218)) /  IFERROR((DATEDIF(Beginning_of_period,$G218,"m") + 1) / Months_in_Period,0),0)</f>
        <v>0</v>
      </c>
      <c r="CF218" s="231">
        <f xml:space="preserve"> IFERROR(($E218&gt;0)*($E218 &lt;=End_of_period) * ($G218 &gt;=Beginning_of_period) * (1-SUM($K218:CE218)) /  IFERROR((DATEDIF(Beginning_of_period,$G218,"m") + 1) / Months_in_Period,0),0)</f>
        <v>0</v>
      </c>
      <c r="CG218" s="231">
        <f xml:space="preserve"> IFERROR(($E218&gt;0)*($E218 &lt;=End_of_period) * ($G218 &gt;=Beginning_of_period) * (1-SUM($K218:CF218)) /  IFERROR((DATEDIF(Beginning_of_period,$G218,"m") + 1) / Months_in_Period,0),0)</f>
        <v>0</v>
      </c>
      <c r="CH218" s="231">
        <f xml:space="preserve"> IFERROR(($E218&gt;0)*($E218 &lt;=End_of_period) * ($G218 &gt;=Beginning_of_period) * (1-SUM($K218:CG218)) /  IFERROR((DATEDIF(Beginning_of_period,$G218,"m") + 1) / Months_in_Period,0),0)</f>
        <v>0</v>
      </c>
      <c r="CI218" s="231">
        <f xml:space="preserve"> IFERROR(($E218&gt;0)*($E218 &lt;=End_of_period) * ($G218 &gt;=Beginning_of_period) * (1-SUM($K218:CH218)) /  IFERROR((DATEDIF(Beginning_of_period,$G218,"m") + 1) / Months_in_Period,0),0)</f>
        <v>0</v>
      </c>
      <c r="CJ218" s="231">
        <f xml:space="preserve"> IFERROR(($E218&gt;0)*($E218 &lt;=End_of_period) * ($G218 &gt;=Beginning_of_period) * (1-SUM($K218:CI218)) /  IFERROR((DATEDIF(Beginning_of_period,$G218,"m") + 1) / Months_in_Period,0),0)</f>
        <v>0</v>
      </c>
      <c r="CK218" s="231">
        <f xml:space="preserve"> IFERROR(($E218&gt;0)*($E218 &lt;=End_of_period) * ($G218 &gt;=Beginning_of_period) * (1-SUM($K218:CJ218)) /  IFERROR((DATEDIF(Beginning_of_period,$G218,"m") + 1) / Months_in_Period,0),0)</f>
        <v>0</v>
      </c>
      <c r="CL218" s="231">
        <f xml:space="preserve"> IFERROR(($E218&gt;0)*($E218 &lt;=End_of_period) * ($G218 &gt;=Beginning_of_period) * (1-SUM($K218:CK218)) /  IFERROR((DATEDIF(Beginning_of_period,$G218,"m") + 1) / Months_in_Period,0),0)</f>
        <v>0</v>
      </c>
      <c r="CM218" s="231">
        <f xml:space="preserve"> IFERROR(($E218&gt;0)*($E218 &lt;=End_of_period) * ($G218 &gt;=Beginning_of_period) * (1-SUM($K218:CL218)) /  IFERROR((DATEDIF(Beginning_of_period,$G218,"m") + 1) / Months_in_Period,0),0)</f>
        <v>0</v>
      </c>
      <c r="CN218" s="231">
        <f xml:space="preserve"> IFERROR(($E218&gt;0)*($E218 &lt;=End_of_period) * ($G218 &gt;=Beginning_of_period) * (1-SUM($K218:CM218)) /  IFERROR((DATEDIF(Beginning_of_period,$G218,"m") + 1) / Months_in_Period,0),0)</f>
        <v>0</v>
      </c>
      <c r="CO218" s="231">
        <f xml:space="preserve"> IFERROR(($E218&gt;0)*($E218 &lt;=End_of_period) * ($G218 &gt;=Beginning_of_period) * (1-SUM($K218:CN218)) /  IFERROR((DATEDIF(Beginning_of_period,$G218,"m") + 1) / Months_in_Period,0),0)</f>
        <v>0</v>
      </c>
      <c r="CP218" s="10"/>
    </row>
    <row r="219" spans="1:94" ht="15" hidden="1" customHeight="1">
      <c r="A219" s="10"/>
      <c r="B219" s="3"/>
      <c r="C219" s="17"/>
      <c r="D219" s="10"/>
      <c r="E219" s="10"/>
      <c r="F219" s="10"/>
      <c r="G219" s="473" t="str">
        <f>IF(MAX(G216:G218)&gt;Date_Construction_End,"Не рекомендуется продолжать финансирование инфраструктуры после окончания основного строительства","")</f>
        <v/>
      </c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</row>
    <row r="220" spans="1:94" ht="15" hidden="1" customHeight="1" thickBot="1">
      <c r="A220" s="10"/>
      <c r="B220" s="3"/>
      <c r="C220" s="12" t="str">
        <f xml:space="preserve"> "Расходы на создание " &amp; Контр_панель!C44 &amp; " (в базовых ценах, без НДС)"</f>
        <v>Расходы на создание Прочая обеспечивающая инфраструктура (в базовых ценах, без НДС)</v>
      </c>
      <c r="D220" s="12"/>
      <c r="E220" s="12"/>
      <c r="F220" s="12"/>
      <c r="G220" s="12"/>
      <c r="H220" s="12"/>
      <c r="I220" s="12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</row>
    <row r="221" spans="1:94" ht="15" hidden="1" customHeight="1">
      <c r="A221" s="10"/>
      <c r="B221" s="3"/>
      <c r="C221" s="17"/>
      <c r="D221" s="10"/>
      <c r="E221" s="10"/>
      <c r="F221" s="10"/>
      <c r="G221" s="11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</row>
    <row r="222" spans="1:94" ht="15" hidden="1" customHeight="1">
      <c r="A222" s="10"/>
      <c r="B222" s="3"/>
      <c r="C222" s="67" t="s">
        <v>836</v>
      </c>
      <c r="D222" s="10"/>
      <c r="E222" s="10"/>
      <c r="F222" s="10"/>
      <c r="G222" s="11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</row>
    <row r="223" spans="1:94" ht="15" hidden="1" customHeight="1">
      <c r="A223" s="10"/>
      <c r="B223" s="3"/>
      <c r="C223" s="17" t="s">
        <v>840</v>
      </c>
      <c r="D223" s="10"/>
      <c r="E223" s="14">
        <v>0</v>
      </c>
      <c r="F223" s="10"/>
      <c r="G223" s="11" t="s">
        <v>820</v>
      </c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</row>
    <row r="224" spans="1:94" ht="15" hidden="1" customHeight="1">
      <c r="A224" s="10"/>
      <c r="B224" s="3"/>
      <c r="C224" s="17" t="s">
        <v>839</v>
      </c>
      <c r="D224" s="10"/>
      <c r="E224" s="225">
        <f xml:space="preserve"> E82</f>
        <v>0</v>
      </c>
      <c r="F224" s="10"/>
      <c r="G224" s="11" t="s">
        <v>817</v>
      </c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</row>
    <row r="225" spans="1:94" ht="15" hidden="1" customHeight="1">
      <c r="A225" s="10"/>
      <c r="B225" s="3"/>
      <c r="C225" s="17" t="s">
        <v>841</v>
      </c>
      <c r="D225" s="10"/>
      <c r="E225" s="14">
        <v>0</v>
      </c>
      <c r="F225" s="10"/>
      <c r="G225" s="11" t="s">
        <v>26</v>
      </c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</row>
    <row r="226" spans="1:94" ht="15" hidden="1" customHeight="1">
      <c r="A226" s="10"/>
      <c r="B226" s="3"/>
      <c r="C226" s="249" t="s">
        <v>845</v>
      </c>
      <c r="D226" s="228"/>
      <c r="E226" s="229">
        <f>E223*E224+E225</f>
        <v>0</v>
      </c>
      <c r="F226" s="228"/>
      <c r="G226" s="230" t="str">
        <f>Monetary_Unit</f>
        <v>тыс. руб.</v>
      </c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</row>
    <row r="227" spans="1:94" ht="15" hidden="1" customHeight="1">
      <c r="A227" s="10"/>
      <c r="B227" s="3"/>
      <c r="C227" s="17"/>
      <c r="D227" s="10"/>
      <c r="E227" s="225"/>
      <c r="F227" s="10"/>
      <c r="G227" s="11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</row>
    <row r="228" spans="1:94" ht="15" hidden="1" customHeight="1">
      <c r="A228" s="10"/>
      <c r="B228" s="3"/>
      <c r="C228" s="67" t="s">
        <v>837</v>
      </c>
      <c r="D228" s="10"/>
      <c r="E228" s="10"/>
      <c r="F228" s="10"/>
      <c r="G228" s="11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</row>
    <row r="229" spans="1:94" ht="15" hidden="1" customHeight="1">
      <c r="A229" s="10"/>
      <c r="B229" s="3"/>
      <c r="C229" s="17" t="s">
        <v>842</v>
      </c>
      <c r="D229" s="10"/>
      <c r="E229" s="167">
        <v>0</v>
      </c>
      <c r="F229" s="10"/>
      <c r="G229" s="11" t="s">
        <v>627</v>
      </c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</row>
    <row r="230" spans="1:94" ht="15" hidden="1" customHeight="1">
      <c r="A230" s="10"/>
      <c r="B230" s="3"/>
      <c r="C230" s="17" t="s">
        <v>824</v>
      </c>
      <c r="D230" s="10"/>
      <c r="E230" s="167">
        <v>0</v>
      </c>
      <c r="F230" s="10"/>
      <c r="G230" s="11" t="s">
        <v>631</v>
      </c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</row>
    <row r="231" spans="1:94" ht="15" hidden="1" customHeight="1">
      <c r="A231" s="10"/>
      <c r="B231" s="3"/>
      <c r="C231" s="17"/>
      <c r="D231" s="10"/>
      <c r="E231" s="10"/>
      <c r="F231" s="10"/>
      <c r="G231" s="11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</row>
    <row r="232" spans="1:94" ht="15" hidden="1" customHeight="1">
      <c r="A232" s="10"/>
      <c r="B232" s="3"/>
      <c r="C232" s="67" t="s">
        <v>838</v>
      </c>
      <c r="D232" s="10"/>
      <c r="E232" s="10" t="str">
        <f>"текушие цены на " &amp; TEXT(Расчеты!$E$85-1,"ДД.ММ.ГГГГ")</f>
        <v>текушие цены на 31.12.2024</v>
      </c>
      <c r="F232" s="10"/>
      <c r="G232" s="11"/>
      <c r="H232" s="10" t="s">
        <v>1205</v>
      </c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</row>
    <row r="233" spans="1:94" ht="15" hidden="1" customHeight="1">
      <c r="A233" s="10"/>
      <c r="B233" s="3"/>
      <c r="C233" s="17" t="s">
        <v>632</v>
      </c>
      <c r="D233" s="10"/>
      <c r="E233" s="225">
        <f xml:space="preserve"> E226 * E229</f>
        <v>0</v>
      </c>
      <c r="F233" s="10"/>
      <c r="G233" s="11" t="str">
        <f>Monetary_Unit</f>
        <v>тыс. руб.</v>
      </c>
      <c r="H233" s="10">
        <f ca="1">E233*SUMPRODUCT(L240:CO240,CAPEX_Accumulated_From_Date)</f>
        <v>0</v>
      </c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</row>
    <row r="234" spans="1:94" ht="15" hidden="1" customHeight="1">
      <c r="A234" s="10"/>
      <c r="B234" s="3"/>
      <c r="C234" s="17" t="s">
        <v>634</v>
      </c>
      <c r="D234" s="10"/>
      <c r="E234" s="225">
        <v>0</v>
      </c>
      <c r="F234" s="10"/>
      <c r="G234" s="11" t="str">
        <f>Monetary_Unit</f>
        <v>тыс. руб.</v>
      </c>
      <c r="H234" s="10">
        <f ca="1">E234*SUMPRODUCT(L241:CO241,CAPEX_Accumulated_From_Date)</f>
        <v>0</v>
      </c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</row>
    <row r="235" spans="1:94" ht="15" hidden="1" customHeight="1">
      <c r="A235" s="10"/>
      <c r="B235" s="3"/>
      <c r="C235" s="17" t="s">
        <v>848</v>
      </c>
      <c r="D235" s="10"/>
      <c r="E235" s="225">
        <f>E223*E224+E225</f>
        <v>0</v>
      </c>
      <c r="F235" s="10"/>
      <c r="G235" s="11" t="str">
        <f>Monetary_Unit</f>
        <v>тыс. руб.</v>
      </c>
      <c r="H235" s="10">
        <f ca="1">E235*SUMPRODUCT(L242:CO242,CAPEX_Accumulated_From_Date)</f>
        <v>0</v>
      </c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</row>
    <row r="236" spans="1:94" ht="15" hidden="1" customHeight="1">
      <c r="A236" s="10"/>
      <c r="B236" s="3"/>
      <c r="C236" s="17" t="s">
        <v>824</v>
      </c>
      <c r="D236" s="10"/>
      <c r="E236" s="225">
        <f xml:space="preserve"> SUM(E233:E235) * E230</f>
        <v>0</v>
      </c>
      <c r="F236" s="10"/>
      <c r="G236" s="11" t="str">
        <f>Monetary_Unit</f>
        <v>тыс. руб.</v>
      </c>
      <c r="H236" s="225">
        <f ca="1" xml:space="preserve"> SUM(H233:H235) * E230</f>
        <v>0</v>
      </c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</row>
    <row r="237" spans="1:94" ht="15" hidden="1" customHeight="1">
      <c r="A237" s="10"/>
      <c r="B237" s="3"/>
      <c r="C237" s="249" t="s">
        <v>835</v>
      </c>
      <c r="D237" s="228"/>
      <c r="E237" s="229">
        <f>SUM(E233:E236)</f>
        <v>0</v>
      </c>
      <c r="F237" s="228"/>
      <c r="G237" s="230" t="str">
        <f>Monetary_Unit</f>
        <v>тыс. руб.</v>
      </c>
      <c r="H237" s="229">
        <f ca="1">SUM(H233:H236)</f>
        <v>0</v>
      </c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</row>
    <row r="238" spans="1:94" ht="15" hidden="1" customHeight="1">
      <c r="A238" s="10"/>
      <c r="B238" s="3"/>
      <c r="C238" s="17"/>
      <c r="D238" s="10"/>
      <c r="E238" s="225"/>
      <c r="F238" s="10"/>
      <c r="G238" s="11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</row>
    <row r="239" spans="1:94" ht="15" hidden="1" customHeight="1">
      <c r="A239" s="10"/>
      <c r="B239" s="3"/>
      <c r="C239" s="67" t="s">
        <v>852</v>
      </c>
      <c r="D239" s="10"/>
      <c r="E239" s="10" t="s">
        <v>637</v>
      </c>
      <c r="F239" s="10"/>
      <c r="G239" s="11" t="s">
        <v>638</v>
      </c>
      <c r="H239" s="62" t="s">
        <v>650</v>
      </c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</row>
    <row r="240" spans="1:94" ht="15" hidden="1" customHeight="1">
      <c r="A240" s="10"/>
      <c r="B240" s="3"/>
      <c r="C240" s="17" t="s">
        <v>632</v>
      </c>
      <c r="D240" s="10"/>
      <c r="E240" s="71"/>
      <c r="F240" s="10"/>
      <c r="G240" s="71"/>
      <c r="H240" s="149">
        <f xml:space="preserve"> IFERROR((DATEDIF(E240,G240,"m") + 1) / Months_in_Period,0)</f>
        <v>0.33333333333333331</v>
      </c>
      <c r="I240" s="231">
        <f>IF(SUM(L240:CO240)=0,1,SUM(L240:CO240))</f>
        <v>1</v>
      </c>
      <c r="J240" s="10"/>
      <c r="K240" s="10"/>
      <c r="L240" s="231">
        <f xml:space="preserve"> IFERROR(($E240&gt;0)*($E240 &lt;=End_of_period) * ($G240 &gt;=Beginning_of_period) * (1-SUM($K240:K240)) /  IFERROR((DATEDIF(Beginning_of_period,$G240,"m") + 1) / Months_in_Period,0),0)</f>
        <v>0</v>
      </c>
      <c r="M240" s="231">
        <f xml:space="preserve"> IFERROR(($E240&gt;0)*($E240 &lt;=End_of_period) * ($G240 &gt;=Beginning_of_period) * (1-SUM($K240:L240)) /  IFERROR((DATEDIF(Beginning_of_period,$G240,"m") + 1) / Months_in_Period,0),0)</f>
        <v>0</v>
      </c>
      <c r="N240" s="231">
        <f xml:space="preserve"> IFERROR(($E240&gt;0)*($E240 &lt;=End_of_period) * ($G240 &gt;=Beginning_of_period) * (1-SUM($K240:M240)) /  IFERROR((DATEDIF(Beginning_of_period,$G240,"m") + 1) / Months_in_Period,0),0)</f>
        <v>0</v>
      </c>
      <c r="O240" s="231">
        <f xml:space="preserve"> IFERROR(($E240&gt;0)*($E240 &lt;=End_of_period) * ($G240 &gt;=Beginning_of_period) * (1-SUM($K240:N240)) /  IFERROR((DATEDIF(Beginning_of_period,$G240,"m") + 1) / Months_in_Period,0),0)</f>
        <v>0</v>
      </c>
      <c r="P240" s="231">
        <f xml:space="preserve"> IFERROR(($E240&gt;0)*($E240 &lt;=End_of_period) * ($G240 &gt;=Beginning_of_period) * (1-SUM($K240:O240)) /  IFERROR((DATEDIF(Beginning_of_period,$G240,"m") + 1) / Months_in_Period,0),0)</f>
        <v>0</v>
      </c>
      <c r="Q240" s="231">
        <f xml:space="preserve"> IFERROR(($E240&gt;0)*($E240 &lt;=End_of_period) * ($G240 &gt;=Beginning_of_period) * (1-SUM($K240:P240)) /  IFERROR((DATEDIF(Beginning_of_period,$G240,"m") + 1) / Months_in_Period,0),0)</f>
        <v>0</v>
      </c>
      <c r="R240" s="231">
        <f xml:space="preserve"> IFERROR(($E240&gt;0)*($E240 &lt;=End_of_period) * ($G240 &gt;=Beginning_of_period) * (1-SUM($K240:Q240)) /  IFERROR((DATEDIF(Beginning_of_period,$G240,"m") + 1) / Months_in_Period,0),0)</f>
        <v>0</v>
      </c>
      <c r="S240" s="231">
        <f xml:space="preserve"> IFERROR(($E240&gt;0)*($E240 &lt;=End_of_period) * ($G240 &gt;=Beginning_of_period) * (1-SUM($K240:R240)) /  IFERROR((DATEDIF(Beginning_of_period,$G240,"m") + 1) / Months_in_Period,0),0)</f>
        <v>0</v>
      </c>
      <c r="T240" s="231">
        <f xml:space="preserve"> IFERROR(($E240&gt;0)*($E240 &lt;=End_of_period) * ($G240 &gt;=Beginning_of_period) * (1-SUM($K240:S240)) /  IFERROR((DATEDIF(Beginning_of_period,$G240,"m") + 1) / Months_in_Period,0),0)</f>
        <v>0</v>
      </c>
      <c r="U240" s="231">
        <f xml:space="preserve"> IFERROR(($E240&gt;0)*($E240 &lt;=End_of_period) * ($G240 &gt;=Beginning_of_period) * (1-SUM($K240:T240)) /  IFERROR((DATEDIF(Beginning_of_period,$G240,"m") + 1) / Months_in_Period,0),0)</f>
        <v>0</v>
      </c>
      <c r="V240" s="231">
        <f xml:space="preserve"> IFERROR(($E240&gt;0)*($E240 &lt;=End_of_period) * ($G240 &gt;=Beginning_of_period) * (1-SUM($K240:U240)) /  IFERROR((DATEDIF(Beginning_of_period,$G240,"m") + 1) / Months_in_Period,0),0)</f>
        <v>0</v>
      </c>
      <c r="W240" s="231">
        <f xml:space="preserve"> IFERROR(($E240&gt;0)*($E240 &lt;=End_of_period) * ($G240 &gt;=Beginning_of_period) * (1-SUM($K240:V240)) /  IFERROR((DATEDIF(Beginning_of_period,$G240,"m") + 1) / Months_in_Period,0),0)</f>
        <v>0</v>
      </c>
      <c r="X240" s="231">
        <f xml:space="preserve"> IFERROR(($E240&gt;0)*($E240 &lt;=End_of_period) * ($G240 &gt;=Beginning_of_period) * (1-SUM($K240:W240)) /  IFERROR((DATEDIF(Beginning_of_period,$G240,"m") + 1) / Months_in_Period,0),0)</f>
        <v>0</v>
      </c>
      <c r="Y240" s="231">
        <f xml:space="preserve"> IFERROR(($E240&gt;0)*($E240 &lt;=End_of_period) * ($G240 &gt;=Beginning_of_period) * (1-SUM($K240:X240)) /  IFERROR((DATEDIF(Beginning_of_period,$G240,"m") + 1) / Months_in_Period,0),0)</f>
        <v>0</v>
      </c>
      <c r="Z240" s="231">
        <f xml:space="preserve"> IFERROR(($E240&gt;0)*($E240 &lt;=End_of_period) * ($G240 &gt;=Beginning_of_period) * (1-SUM($K240:Y240)) /  IFERROR((DATEDIF(Beginning_of_period,$G240,"m") + 1) / Months_in_Period,0),0)</f>
        <v>0</v>
      </c>
      <c r="AA240" s="231">
        <f xml:space="preserve"> IFERROR(($E240&gt;0)*($E240 &lt;=End_of_period) * ($G240 &gt;=Beginning_of_period) * (1-SUM($K240:Z240)) /  IFERROR((DATEDIF(Beginning_of_period,$G240,"m") + 1) / Months_in_Period,0),0)</f>
        <v>0</v>
      </c>
      <c r="AB240" s="231">
        <f xml:space="preserve"> IFERROR(($E240&gt;0)*($E240 &lt;=End_of_period) * ($G240 &gt;=Beginning_of_period) * (1-SUM($K240:AA240)) /  IFERROR((DATEDIF(Beginning_of_period,$G240,"m") + 1) / Months_in_Period,0),0)</f>
        <v>0</v>
      </c>
      <c r="AC240" s="231">
        <f xml:space="preserve"> IFERROR(($E240&gt;0)*($E240 &lt;=End_of_period) * ($G240 &gt;=Beginning_of_period) * (1-SUM($K240:AB240)) /  IFERROR((DATEDIF(Beginning_of_period,$G240,"m") + 1) / Months_in_Period,0),0)</f>
        <v>0</v>
      </c>
      <c r="AD240" s="231">
        <f xml:space="preserve"> IFERROR(($E240&gt;0)*($E240 &lt;=End_of_period) * ($G240 &gt;=Beginning_of_period) * (1-SUM($K240:AC240)) /  IFERROR((DATEDIF(Beginning_of_period,$G240,"m") + 1) / Months_in_Period,0),0)</f>
        <v>0</v>
      </c>
      <c r="AE240" s="231">
        <f xml:space="preserve"> IFERROR(($E240&gt;0)*($E240 &lt;=End_of_period) * ($G240 &gt;=Beginning_of_period) * (1-SUM($K240:AD240)) /  IFERROR((DATEDIF(Beginning_of_period,$G240,"m") + 1) / Months_in_Period,0),0)</f>
        <v>0</v>
      </c>
      <c r="AF240" s="231">
        <f xml:space="preserve"> IFERROR(($E240&gt;0)*($E240 &lt;=End_of_period) * ($G240 &gt;=Beginning_of_period) * (1-SUM($K240:AE240)) /  IFERROR((DATEDIF(Beginning_of_period,$G240,"m") + 1) / Months_in_Period,0),0)</f>
        <v>0</v>
      </c>
      <c r="AG240" s="231">
        <f xml:space="preserve"> IFERROR(($E240&gt;0)*($E240 &lt;=End_of_period) * ($G240 &gt;=Beginning_of_period) * (1-SUM($K240:AF240)) /  IFERROR((DATEDIF(Beginning_of_period,$G240,"m") + 1) / Months_in_Period,0),0)</f>
        <v>0</v>
      </c>
      <c r="AH240" s="231">
        <f xml:space="preserve"> IFERROR(($E240&gt;0)*($E240 &lt;=End_of_period) * ($G240 &gt;=Beginning_of_period) * (1-SUM($K240:AG240)) /  IFERROR((DATEDIF(Beginning_of_period,$G240,"m") + 1) / Months_in_Period,0),0)</f>
        <v>0</v>
      </c>
      <c r="AI240" s="231">
        <f xml:space="preserve"> IFERROR(($E240&gt;0)*($E240 &lt;=End_of_period) * ($G240 &gt;=Beginning_of_period) * (1-SUM($K240:AH240)) /  IFERROR((DATEDIF(Beginning_of_period,$G240,"m") + 1) / Months_in_Period,0),0)</f>
        <v>0</v>
      </c>
      <c r="AJ240" s="231">
        <f xml:space="preserve"> IFERROR(($E240&gt;0)*($E240 &lt;=End_of_period) * ($G240 &gt;=Beginning_of_period) * (1-SUM($K240:AI240)) /  IFERROR((DATEDIF(Beginning_of_period,$G240,"m") + 1) / Months_in_Period,0),0)</f>
        <v>0</v>
      </c>
      <c r="AK240" s="231">
        <f xml:space="preserve"> IFERROR(($E240&gt;0)*($E240 &lt;=End_of_period) * ($G240 &gt;=Beginning_of_period) * (1-SUM($K240:AJ240)) /  IFERROR((DATEDIF(Beginning_of_period,$G240,"m") + 1) / Months_in_Period,0),0)</f>
        <v>0</v>
      </c>
      <c r="AL240" s="231">
        <f xml:space="preserve"> IFERROR(($E240&gt;0)*($E240 &lt;=End_of_period) * ($G240 &gt;=Beginning_of_period) * (1-SUM($K240:AK240)) /  IFERROR((DATEDIF(Beginning_of_period,$G240,"m") + 1) / Months_in_Period,0),0)</f>
        <v>0</v>
      </c>
      <c r="AM240" s="231">
        <f xml:space="preserve"> IFERROR(($E240&gt;0)*($E240 &lt;=End_of_period) * ($G240 &gt;=Beginning_of_period) * (1-SUM($K240:AL240)) /  IFERROR((DATEDIF(Beginning_of_period,$G240,"m") + 1) / Months_in_Period,0),0)</f>
        <v>0</v>
      </c>
      <c r="AN240" s="231">
        <f xml:space="preserve"> IFERROR(($E240&gt;0)*($E240 &lt;=End_of_period) * ($G240 &gt;=Beginning_of_period) * (1-SUM($K240:AM240)) /  IFERROR((DATEDIF(Beginning_of_period,$G240,"m") + 1) / Months_in_Period,0),0)</f>
        <v>0</v>
      </c>
      <c r="AO240" s="231">
        <f xml:space="preserve"> IFERROR(($E240&gt;0)*($E240 &lt;=End_of_period) * ($G240 &gt;=Beginning_of_period) * (1-SUM($K240:AN240)) /  IFERROR((DATEDIF(Beginning_of_period,$G240,"m") + 1) / Months_in_Period,0),0)</f>
        <v>0</v>
      </c>
      <c r="AP240" s="231">
        <f xml:space="preserve"> IFERROR(($E240&gt;0)*($E240 &lt;=End_of_period) * ($G240 &gt;=Beginning_of_period) * (1-SUM($K240:AO240)) /  IFERROR((DATEDIF(Beginning_of_period,$G240,"m") + 1) / Months_in_Period,0),0)</f>
        <v>0</v>
      </c>
      <c r="AQ240" s="231">
        <f xml:space="preserve"> IFERROR(($E240&gt;0)*($E240 &lt;=End_of_period) * ($G240 &gt;=Beginning_of_period) * (1-SUM($K240:AP240)) /  IFERROR((DATEDIF(Beginning_of_period,$G240,"m") + 1) / Months_in_Period,0),0)</f>
        <v>0</v>
      </c>
      <c r="AR240" s="231">
        <f xml:space="preserve"> IFERROR(($E240&gt;0)*($E240 &lt;=End_of_period) * ($G240 &gt;=Beginning_of_period) * (1-SUM($K240:AQ240)) /  IFERROR((DATEDIF(Beginning_of_period,$G240,"m") + 1) / Months_in_Period,0),0)</f>
        <v>0</v>
      </c>
      <c r="AS240" s="231">
        <f xml:space="preserve"> IFERROR(($E240&gt;0)*($E240 &lt;=End_of_period) * ($G240 &gt;=Beginning_of_period) * (1-SUM($K240:AR240)) /  IFERROR((DATEDIF(Beginning_of_period,$G240,"m") + 1) / Months_in_Period,0),0)</f>
        <v>0</v>
      </c>
      <c r="AT240" s="231">
        <f xml:space="preserve"> IFERROR(($E240&gt;0)*($E240 &lt;=End_of_period) * ($G240 &gt;=Beginning_of_period) * (1-SUM($K240:AS240)) /  IFERROR((DATEDIF(Beginning_of_period,$G240,"m") + 1) / Months_in_Period,0),0)</f>
        <v>0</v>
      </c>
      <c r="AU240" s="231">
        <f xml:space="preserve"> IFERROR(($E240&gt;0)*($E240 &lt;=End_of_period) * ($G240 &gt;=Beginning_of_period) * (1-SUM($K240:AT240)) /  IFERROR((DATEDIF(Beginning_of_period,$G240,"m") + 1) / Months_in_Period,0),0)</f>
        <v>0</v>
      </c>
      <c r="AV240" s="231">
        <f xml:space="preserve"> IFERROR(($E240&gt;0)*($E240 &lt;=End_of_period) * ($G240 &gt;=Beginning_of_period) * (1-SUM($K240:AU240)) /  IFERROR((DATEDIF(Beginning_of_period,$G240,"m") + 1) / Months_in_Period,0),0)</f>
        <v>0</v>
      </c>
      <c r="AW240" s="231">
        <f xml:space="preserve"> IFERROR(($E240&gt;0)*($E240 &lt;=End_of_period) * ($G240 &gt;=Beginning_of_period) * (1-SUM($K240:AV240)) /  IFERROR((DATEDIF(Beginning_of_period,$G240,"m") + 1) / Months_in_Period,0),0)</f>
        <v>0</v>
      </c>
      <c r="AX240" s="231">
        <f xml:space="preserve"> IFERROR(($E240&gt;0)*($E240 &lt;=End_of_period) * ($G240 &gt;=Beginning_of_period) * (1-SUM($K240:AW240)) /  IFERROR((DATEDIF(Beginning_of_period,$G240,"m") + 1) / Months_in_Period,0),0)</f>
        <v>0</v>
      </c>
      <c r="AY240" s="231">
        <f xml:space="preserve"> IFERROR(($E240&gt;0)*($E240 &lt;=End_of_period) * ($G240 &gt;=Beginning_of_period) * (1-SUM($K240:AX240)) /  IFERROR((DATEDIF(Beginning_of_period,$G240,"m") + 1) / Months_in_Period,0),0)</f>
        <v>0</v>
      </c>
      <c r="AZ240" s="231">
        <f xml:space="preserve"> IFERROR(($E240&gt;0)*($E240 &lt;=End_of_period) * ($G240 &gt;=Beginning_of_period) * (1-SUM($K240:AY240)) /  IFERROR((DATEDIF(Beginning_of_period,$G240,"m") + 1) / Months_in_Period,0),0)</f>
        <v>0</v>
      </c>
      <c r="BA240" s="231">
        <f xml:space="preserve"> IFERROR(($E240&gt;0)*($E240 &lt;=End_of_period) * ($G240 &gt;=Beginning_of_period) * (1-SUM($K240:AZ240)) /  IFERROR((DATEDIF(Beginning_of_period,$G240,"m") + 1) / Months_in_Period,0),0)</f>
        <v>0</v>
      </c>
      <c r="BB240" s="231">
        <f xml:space="preserve"> IFERROR(($E240&gt;0)*($E240 &lt;=End_of_period) * ($G240 &gt;=Beginning_of_period) * (1-SUM($K240:BA240)) /  IFERROR((DATEDIF(Beginning_of_period,$G240,"m") + 1) / Months_in_Period,0),0)</f>
        <v>0</v>
      </c>
      <c r="BC240" s="231">
        <f xml:space="preserve"> IFERROR(($E240&gt;0)*($E240 &lt;=End_of_period) * ($G240 &gt;=Beginning_of_period) * (1-SUM($K240:BB240)) /  IFERROR((DATEDIF(Beginning_of_period,$G240,"m") + 1) / Months_in_Period,0),0)</f>
        <v>0</v>
      </c>
      <c r="BD240" s="231">
        <f xml:space="preserve"> IFERROR(($E240&gt;0)*($E240 &lt;=End_of_period) * ($G240 &gt;=Beginning_of_period) * (1-SUM($K240:BC240)) /  IFERROR((DATEDIF(Beginning_of_period,$G240,"m") + 1) / Months_in_Period,0),0)</f>
        <v>0</v>
      </c>
      <c r="BE240" s="231">
        <f xml:space="preserve"> IFERROR(($E240&gt;0)*($E240 &lt;=End_of_period) * ($G240 &gt;=Beginning_of_period) * (1-SUM($K240:BD240)) /  IFERROR((DATEDIF(Beginning_of_period,$G240,"m") + 1) / Months_in_Period,0),0)</f>
        <v>0</v>
      </c>
      <c r="BF240" s="231">
        <f xml:space="preserve"> IFERROR(($E240&gt;0)*($E240 &lt;=End_of_period) * ($G240 &gt;=Beginning_of_period) * (1-SUM($K240:BE240)) /  IFERROR((DATEDIF(Beginning_of_period,$G240,"m") + 1) / Months_in_Period,0),0)</f>
        <v>0</v>
      </c>
      <c r="BG240" s="231">
        <f xml:space="preserve"> IFERROR(($E240&gt;0)*($E240 &lt;=End_of_period) * ($G240 &gt;=Beginning_of_period) * (1-SUM($K240:BF240)) /  IFERROR((DATEDIF(Beginning_of_period,$G240,"m") + 1) / Months_in_Period,0),0)</f>
        <v>0</v>
      </c>
      <c r="BH240" s="231">
        <f xml:space="preserve"> IFERROR(($E240&gt;0)*($E240 &lt;=End_of_period) * ($G240 &gt;=Beginning_of_period) * (1-SUM($K240:BG240)) /  IFERROR((DATEDIF(Beginning_of_period,$G240,"m") + 1) / Months_in_Period,0),0)</f>
        <v>0</v>
      </c>
      <c r="BI240" s="231">
        <f xml:space="preserve"> IFERROR(($E240&gt;0)*($E240 &lt;=End_of_period) * ($G240 &gt;=Beginning_of_period) * (1-SUM($K240:BH240)) /  IFERROR((DATEDIF(Beginning_of_period,$G240,"m") + 1) / Months_in_Period,0),0)</f>
        <v>0</v>
      </c>
      <c r="BJ240" s="231">
        <f xml:space="preserve"> IFERROR(($E240&gt;0)*($E240 &lt;=End_of_period) * ($G240 &gt;=Beginning_of_period) * (1-SUM($K240:BI240)) /  IFERROR((DATEDIF(Beginning_of_period,$G240,"m") + 1) / Months_in_Period,0),0)</f>
        <v>0</v>
      </c>
      <c r="BK240" s="231">
        <f xml:space="preserve"> IFERROR(($E240&gt;0)*($E240 &lt;=End_of_period) * ($G240 &gt;=Beginning_of_period) * (1-SUM($K240:BJ240)) /  IFERROR((DATEDIF(Beginning_of_period,$G240,"m") + 1) / Months_in_Period,0),0)</f>
        <v>0</v>
      </c>
      <c r="BL240" s="231">
        <f xml:space="preserve"> IFERROR(($E240&gt;0)*($E240 &lt;=End_of_period) * ($G240 &gt;=Beginning_of_period) * (1-SUM($K240:BK240)) /  IFERROR((DATEDIF(Beginning_of_period,$G240,"m") + 1) / Months_in_Period,0),0)</f>
        <v>0</v>
      </c>
      <c r="BM240" s="231">
        <f xml:space="preserve"> IFERROR(($E240&gt;0)*($E240 &lt;=End_of_period) * ($G240 &gt;=Beginning_of_period) * (1-SUM($K240:BL240)) /  IFERROR((DATEDIF(Beginning_of_period,$G240,"m") + 1) / Months_in_Period,0),0)</f>
        <v>0</v>
      </c>
      <c r="BN240" s="231">
        <f xml:space="preserve"> IFERROR(($E240&gt;0)*($E240 &lt;=End_of_period) * ($G240 &gt;=Beginning_of_period) * (1-SUM($K240:BM240)) /  IFERROR((DATEDIF(Beginning_of_period,$G240,"m") + 1) / Months_in_Period,0),0)</f>
        <v>0</v>
      </c>
      <c r="BO240" s="231">
        <f xml:space="preserve"> IFERROR(($E240&gt;0)*($E240 &lt;=End_of_period) * ($G240 &gt;=Beginning_of_period) * (1-SUM($K240:BN240)) /  IFERROR((DATEDIF(Beginning_of_period,$G240,"m") + 1) / Months_in_Period,0),0)</f>
        <v>0</v>
      </c>
      <c r="BP240" s="231">
        <f xml:space="preserve"> IFERROR(($E240&gt;0)*($E240 &lt;=End_of_period) * ($G240 &gt;=Beginning_of_period) * (1-SUM($K240:BO240)) /  IFERROR((DATEDIF(Beginning_of_period,$G240,"m") + 1) / Months_in_Period,0),0)</f>
        <v>0</v>
      </c>
      <c r="BQ240" s="231">
        <f xml:space="preserve"> IFERROR(($E240&gt;0)*($E240 &lt;=End_of_period) * ($G240 &gt;=Beginning_of_period) * (1-SUM($K240:BP240)) /  IFERROR((DATEDIF(Beginning_of_period,$G240,"m") + 1) / Months_in_Period,0),0)</f>
        <v>0</v>
      </c>
      <c r="BR240" s="231">
        <f xml:space="preserve"> IFERROR(($E240&gt;0)*($E240 &lt;=End_of_period) * ($G240 &gt;=Beginning_of_period) * (1-SUM($K240:BQ240)) /  IFERROR((DATEDIF(Beginning_of_period,$G240,"m") + 1) / Months_in_Period,0),0)</f>
        <v>0</v>
      </c>
      <c r="BS240" s="231">
        <f xml:space="preserve"> IFERROR(($E240&gt;0)*($E240 &lt;=End_of_period) * ($G240 &gt;=Beginning_of_period) * (1-SUM($K240:BR240)) /  IFERROR((DATEDIF(Beginning_of_period,$G240,"m") + 1) / Months_in_Period,0),0)</f>
        <v>0</v>
      </c>
      <c r="BT240" s="231">
        <f xml:space="preserve"> IFERROR(($E240&gt;0)*($E240 &lt;=End_of_period) * ($G240 &gt;=Beginning_of_period) * (1-SUM($K240:BS240)) /  IFERROR((DATEDIF(Beginning_of_period,$G240,"m") + 1) / Months_in_Period,0),0)</f>
        <v>0</v>
      </c>
      <c r="BU240" s="231">
        <f xml:space="preserve"> IFERROR(($E240&gt;0)*($E240 &lt;=End_of_period) * ($G240 &gt;=Beginning_of_period) * (1-SUM($K240:BT240)) /  IFERROR((DATEDIF(Beginning_of_period,$G240,"m") + 1) / Months_in_Period,0),0)</f>
        <v>0</v>
      </c>
      <c r="BV240" s="231">
        <f xml:space="preserve"> IFERROR(($E240&gt;0)*($E240 &lt;=End_of_period) * ($G240 &gt;=Beginning_of_period) * (1-SUM($K240:BU240)) /  IFERROR((DATEDIF(Beginning_of_period,$G240,"m") + 1) / Months_in_Period,0),0)</f>
        <v>0</v>
      </c>
      <c r="BW240" s="231">
        <f xml:space="preserve"> IFERROR(($E240&gt;0)*($E240 &lt;=End_of_period) * ($G240 &gt;=Beginning_of_period) * (1-SUM($K240:BV240)) /  IFERROR((DATEDIF(Beginning_of_period,$G240,"m") + 1) / Months_in_Period,0),0)</f>
        <v>0</v>
      </c>
      <c r="BX240" s="231">
        <f xml:space="preserve"> IFERROR(($E240&gt;0)*($E240 &lt;=End_of_period) * ($G240 &gt;=Beginning_of_period) * (1-SUM($K240:BW240)) /  IFERROR((DATEDIF(Beginning_of_period,$G240,"m") + 1) / Months_in_Period,0),0)</f>
        <v>0</v>
      </c>
      <c r="BY240" s="231">
        <f xml:space="preserve"> IFERROR(($E240&gt;0)*($E240 &lt;=End_of_period) * ($G240 &gt;=Beginning_of_period) * (1-SUM($K240:BX240)) /  IFERROR((DATEDIF(Beginning_of_period,$G240,"m") + 1) / Months_in_Period,0),0)</f>
        <v>0</v>
      </c>
      <c r="BZ240" s="231">
        <f xml:space="preserve"> IFERROR(($E240&gt;0)*($E240 &lt;=End_of_period) * ($G240 &gt;=Beginning_of_period) * (1-SUM($K240:BY240)) /  IFERROR((DATEDIF(Beginning_of_period,$G240,"m") + 1) / Months_in_Period,0),0)</f>
        <v>0</v>
      </c>
      <c r="CA240" s="231">
        <f xml:space="preserve"> IFERROR(($E240&gt;0)*($E240 &lt;=End_of_period) * ($G240 &gt;=Beginning_of_period) * (1-SUM($K240:BZ240)) /  IFERROR((DATEDIF(Beginning_of_period,$G240,"m") + 1) / Months_in_Period,0),0)</f>
        <v>0</v>
      </c>
      <c r="CB240" s="231">
        <f xml:space="preserve"> IFERROR(($E240&gt;0)*($E240 &lt;=End_of_period) * ($G240 &gt;=Beginning_of_period) * (1-SUM($K240:CA240)) /  IFERROR((DATEDIF(Beginning_of_period,$G240,"m") + 1) / Months_in_Period,0),0)</f>
        <v>0</v>
      </c>
      <c r="CC240" s="231">
        <f xml:space="preserve"> IFERROR(($E240&gt;0)*($E240 &lt;=End_of_period) * ($G240 &gt;=Beginning_of_period) * (1-SUM($K240:CB240)) /  IFERROR((DATEDIF(Beginning_of_period,$G240,"m") + 1) / Months_in_Period,0),0)</f>
        <v>0</v>
      </c>
      <c r="CD240" s="231">
        <f xml:space="preserve"> IFERROR(($E240&gt;0)*($E240 &lt;=End_of_period) * ($G240 &gt;=Beginning_of_period) * (1-SUM($K240:CC240)) /  IFERROR((DATEDIF(Beginning_of_period,$G240,"m") + 1) / Months_in_Period,0),0)</f>
        <v>0</v>
      </c>
      <c r="CE240" s="231">
        <f xml:space="preserve"> IFERROR(($E240&gt;0)*($E240 &lt;=End_of_period) * ($G240 &gt;=Beginning_of_period) * (1-SUM($K240:CD240)) /  IFERROR((DATEDIF(Beginning_of_period,$G240,"m") + 1) / Months_in_Period,0),0)</f>
        <v>0</v>
      </c>
      <c r="CF240" s="231">
        <f xml:space="preserve"> IFERROR(($E240&gt;0)*($E240 &lt;=End_of_period) * ($G240 &gt;=Beginning_of_period) * (1-SUM($K240:CE240)) /  IFERROR((DATEDIF(Beginning_of_period,$G240,"m") + 1) / Months_in_Period,0),0)</f>
        <v>0</v>
      </c>
      <c r="CG240" s="231">
        <f xml:space="preserve"> IFERROR(($E240&gt;0)*($E240 &lt;=End_of_period) * ($G240 &gt;=Beginning_of_period) * (1-SUM($K240:CF240)) /  IFERROR((DATEDIF(Beginning_of_period,$G240,"m") + 1) / Months_in_Period,0),0)</f>
        <v>0</v>
      </c>
      <c r="CH240" s="231">
        <f xml:space="preserve"> IFERROR(($E240&gt;0)*($E240 &lt;=End_of_period) * ($G240 &gt;=Beginning_of_period) * (1-SUM($K240:CG240)) /  IFERROR((DATEDIF(Beginning_of_period,$G240,"m") + 1) / Months_in_Period,0),0)</f>
        <v>0</v>
      </c>
      <c r="CI240" s="231">
        <f xml:space="preserve"> IFERROR(($E240&gt;0)*($E240 &lt;=End_of_period) * ($G240 &gt;=Beginning_of_period) * (1-SUM($K240:CH240)) /  IFERROR((DATEDIF(Beginning_of_period,$G240,"m") + 1) / Months_in_Period,0),0)</f>
        <v>0</v>
      </c>
      <c r="CJ240" s="231">
        <f xml:space="preserve"> IFERROR(($E240&gt;0)*($E240 &lt;=End_of_period) * ($G240 &gt;=Beginning_of_period) * (1-SUM($K240:CI240)) /  IFERROR((DATEDIF(Beginning_of_period,$G240,"m") + 1) / Months_in_Period,0),0)</f>
        <v>0</v>
      </c>
      <c r="CK240" s="231">
        <f xml:space="preserve"> IFERROR(($E240&gt;0)*($E240 &lt;=End_of_period) * ($G240 &gt;=Beginning_of_period) * (1-SUM($K240:CJ240)) /  IFERROR((DATEDIF(Beginning_of_period,$G240,"m") + 1) / Months_in_Period,0),0)</f>
        <v>0</v>
      </c>
      <c r="CL240" s="231">
        <f xml:space="preserve"> IFERROR(($E240&gt;0)*($E240 &lt;=End_of_period) * ($G240 &gt;=Beginning_of_period) * (1-SUM($K240:CK240)) /  IFERROR((DATEDIF(Beginning_of_period,$G240,"m") + 1) / Months_in_Period,0),0)</f>
        <v>0</v>
      </c>
      <c r="CM240" s="231">
        <f xml:space="preserve"> IFERROR(($E240&gt;0)*($E240 &lt;=End_of_period) * ($G240 &gt;=Beginning_of_period) * (1-SUM($K240:CL240)) /  IFERROR((DATEDIF(Beginning_of_period,$G240,"m") + 1) / Months_in_Period,0),0)</f>
        <v>0</v>
      </c>
      <c r="CN240" s="231">
        <f xml:space="preserve"> IFERROR(($E240&gt;0)*($E240 &lt;=End_of_period) * ($G240 &gt;=Beginning_of_period) * (1-SUM($K240:CM240)) /  IFERROR((DATEDIF(Beginning_of_period,$G240,"m") + 1) / Months_in_Period,0),0)</f>
        <v>0</v>
      </c>
      <c r="CO240" s="231">
        <f xml:space="preserve"> IFERROR(($E240&gt;0)*($E240 &lt;=End_of_period) * ($G240 &gt;=Beginning_of_period) * (1-SUM($K240:CN240)) /  IFERROR((DATEDIF(Beginning_of_period,$G240,"m") + 1) / Months_in_Period,0),0)</f>
        <v>0</v>
      </c>
      <c r="CP240" s="10"/>
    </row>
    <row r="241" spans="1:94" ht="15" hidden="1" customHeight="1">
      <c r="A241" s="10"/>
      <c r="B241" s="3"/>
      <c r="C241" s="17" t="s">
        <v>634</v>
      </c>
      <c r="D241" s="10"/>
      <c r="E241" s="71"/>
      <c r="F241" s="10"/>
      <c r="G241" s="71"/>
      <c r="H241" s="149">
        <f xml:space="preserve"> IFERROR((DATEDIF(E241,G241,"m") + 1) / Months_in_Period,0)</f>
        <v>0.33333333333333331</v>
      </c>
      <c r="I241" s="231">
        <f t="shared" ref="I241:I242" si="119">IF(SUM(L241:CO241)=0,1,SUM(L241:CO241))</f>
        <v>1</v>
      </c>
      <c r="J241" s="10"/>
      <c r="K241" s="10"/>
      <c r="L241" s="231">
        <f xml:space="preserve"> IFERROR(($E241&gt;0)*($E241 &lt;=End_of_period) * ($G241 &gt;=Beginning_of_period) * (1-SUM($K241:K241)) /  IFERROR((DATEDIF(Beginning_of_period,$G241,"m") + 1) / Months_in_Period,0),0)</f>
        <v>0</v>
      </c>
      <c r="M241" s="231">
        <f xml:space="preserve"> IFERROR(($E241&gt;0)*($E241 &lt;=End_of_period) * ($G241 &gt;=Beginning_of_period) * (1-SUM($K241:L241)) /  IFERROR((DATEDIF(Beginning_of_period,$G241,"m") + 1) / Months_in_Period,0),0)</f>
        <v>0</v>
      </c>
      <c r="N241" s="231">
        <f xml:space="preserve"> IFERROR(($E241&gt;0)*($E241 &lt;=End_of_period) * ($G241 &gt;=Beginning_of_period) * (1-SUM($K241:M241)) /  IFERROR((DATEDIF(Beginning_of_period,$G241,"m") + 1) / Months_in_Period,0),0)</f>
        <v>0</v>
      </c>
      <c r="O241" s="231">
        <f xml:space="preserve"> IFERROR(($E241&gt;0)*($E241 &lt;=End_of_period) * ($G241 &gt;=Beginning_of_period) * (1-SUM($K241:N241)) /  IFERROR((DATEDIF(Beginning_of_period,$G241,"m") + 1) / Months_in_Period,0),0)</f>
        <v>0</v>
      </c>
      <c r="P241" s="231">
        <f xml:space="preserve"> IFERROR(($E241&gt;0)*($E241 &lt;=End_of_period) * ($G241 &gt;=Beginning_of_period) * (1-SUM($K241:O241)) /  IFERROR((DATEDIF(Beginning_of_period,$G241,"m") + 1) / Months_in_Period,0),0)</f>
        <v>0</v>
      </c>
      <c r="Q241" s="231">
        <f xml:space="preserve"> IFERROR(($E241&gt;0)*($E241 &lt;=End_of_period) * ($G241 &gt;=Beginning_of_period) * (1-SUM($K241:P241)) /  IFERROR((DATEDIF(Beginning_of_period,$G241,"m") + 1) / Months_in_Period,0),0)</f>
        <v>0</v>
      </c>
      <c r="R241" s="231">
        <f xml:space="preserve"> IFERROR(($E241&gt;0)*($E241 &lt;=End_of_period) * ($G241 &gt;=Beginning_of_period) * (1-SUM($K241:Q241)) /  IFERROR((DATEDIF(Beginning_of_period,$G241,"m") + 1) / Months_in_Period,0),0)</f>
        <v>0</v>
      </c>
      <c r="S241" s="231">
        <f xml:space="preserve"> IFERROR(($E241&gt;0)*($E241 &lt;=End_of_period) * ($G241 &gt;=Beginning_of_period) * (1-SUM($K241:R241)) /  IFERROR((DATEDIF(Beginning_of_period,$G241,"m") + 1) / Months_in_Period,0),0)</f>
        <v>0</v>
      </c>
      <c r="T241" s="231">
        <f xml:space="preserve"> IFERROR(($E241&gt;0)*($E241 &lt;=End_of_period) * ($G241 &gt;=Beginning_of_period) * (1-SUM($K241:S241)) /  IFERROR((DATEDIF(Beginning_of_period,$G241,"m") + 1) / Months_in_Period,0),0)</f>
        <v>0</v>
      </c>
      <c r="U241" s="231">
        <f xml:space="preserve"> IFERROR(($E241&gt;0)*($E241 &lt;=End_of_period) * ($G241 &gt;=Beginning_of_period) * (1-SUM($K241:T241)) /  IFERROR((DATEDIF(Beginning_of_period,$G241,"m") + 1) / Months_in_Period,0),0)</f>
        <v>0</v>
      </c>
      <c r="V241" s="231">
        <f xml:space="preserve"> IFERROR(($E241&gt;0)*($E241 &lt;=End_of_period) * ($G241 &gt;=Beginning_of_period) * (1-SUM($K241:U241)) /  IFERROR((DATEDIF(Beginning_of_period,$G241,"m") + 1) / Months_in_Period,0),0)</f>
        <v>0</v>
      </c>
      <c r="W241" s="231">
        <f xml:space="preserve"> IFERROR(($E241&gt;0)*($E241 &lt;=End_of_period) * ($G241 &gt;=Beginning_of_period) * (1-SUM($K241:V241)) /  IFERROR((DATEDIF(Beginning_of_period,$G241,"m") + 1) / Months_in_Period,0),0)</f>
        <v>0</v>
      </c>
      <c r="X241" s="231">
        <f xml:space="preserve"> IFERROR(($E241&gt;0)*($E241 &lt;=End_of_period) * ($G241 &gt;=Beginning_of_period) * (1-SUM($K241:W241)) /  IFERROR((DATEDIF(Beginning_of_period,$G241,"m") + 1) / Months_in_Period,0),0)</f>
        <v>0</v>
      </c>
      <c r="Y241" s="231">
        <f xml:space="preserve"> IFERROR(($E241&gt;0)*($E241 &lt;=End_of_period) * ($G241 &gt;=Beginning_of_period) * (1-SUM($K241:X241)) /  IFERROR((DATEDIF(Beginning_of_period,$G241,"m") + 1) / Months_in_Period,0),0)</f>
        <v>0</v>
      </c>
      <c r="Z241" s="231">
        <f xml:space="preserve"> IFERROR(($E241&gt;0)*($E241 &lt;=End_of_period) * ($G241 &gt;=Beginning_of_period) * (1-SUM($K241:Y241)) /  IFERROR((DATEDIF(Beginning_of_period,$G241,"m") + 1) / Months_in_Period,0),0)</f>
        <v>0</v>
      </c>
      <c r="AA241" s="231">
        <f xml:space="preserve"> IFERROR(($E241&gt;0)*($E241 &lt;=End_of_period) * ($G241 &gt;=Beginning_of_period) * (1-SUM($K241:Z241)) /  IFERROR((DATEDIF(Beginning_of_period,$G241,"m") + 1) / Months_in_Period,0),0)</f>
        <v>0</v>
      </c>
      <c r="AB241" s="231">
        <f xml:space="preserve"> IFERROR(($E241&gt;0)*($E241 &lt;=End_of_period) * ($G241 &gt;=Beginning_of_period) * (1-SUM($K241:AA241)) /  IFERROR((DATEDIF(Beginning_of_period,$G241,"m") + 1) / Months_in_Period,0),0)</f>
        <v>0</v>
      </c>
      <c r="AC241" s="231">
        <f xml:space="preserve"> IFERROR(($E241&gt;0)*($E241 &lt;=End_of_period) * ($G241 &gt;=Beginning_of_period) * (1-SUM($K241:AB241)) /  IFERROR((DATEDIF(Beginning_of_period,$G241,"m") + 1) / Months_in_Period,0),0)</f>
        <v>0</v>
      </c>
      <c r="AD241" s="231">
        <f xml:space="preserve"> IFERROR(($E241&gt;0)*($E241 &lt;=End_of_period) * ($G241 &gt;=Beginning_of_period) * (1-SUM($K241:AC241)) /  IFERROR((DATEDIF(Beginning_of_period,$G241,"m") + 1) / Months_in_Period,0),0)</f>
        <v>0</v>
      </c>
      <c r="AE241" s="231">
        <f xml:space="preserve"> IFERROR(($E241&gt;0)*($E241 &lt;=End_of_period) * ($G241 &gt;=Beginning_of_period) * (1-SUM($K241:AD241)) /  IFERROR((DATEDIF(Beginning_of_period,$G241,"m") + 1) / Months_in_Period,0),0)</f>
        <v>0</v>
      </c>
      <c r="AF241" s="231">
        <f xml:space="preserve"> IFERROR(($E241&gt;0)*($E241 &lt;=End_of_period) * ($G241 &gt;=Beginning_of_period) * (1-SUM($K241:AE241)) /  IFERROR((DATEDIF(Beginning_of_period,$G241,"m") + 1) / Months_in_Period,0),0)</f>
        <v>0</v>
      </c>
      <c r="AG241" s="231">
        <f xml:space="preserve"> IFERROR(($E241&gt;0)*($E241 &lt;=End_of_period) * ($G241 &gt;=Beginning_of_period) * (1-SUM($K241:AF241)) /  IFERROR((DATEDIF(Beginning_of_period,$G241,"m") + 1) / Months_in_Period,0),0)</f>
        <v>0</v>
      </c>
      <c r="AH241" s="231">
        <f xml:space="preserve"> IFERROR(($E241&gt;0)*($E241 &lt;=End_of_period) * ($G241 &gt;=Beginning_of_period) * (1-SUM($K241:AG241)) /  IFERROR((DATEDIF(Beginning_of_period,$G241,"m") + 1) / Months_in_Period,0),0)</f>
        <v>0</v>
      </c>
      <c r="AI241" s="231">
        <f xml:space="preserve"> IFERROR(($E241&gt;0)*($E241 &lt;=End_of_period) * ($G241 &gt;=Beginning_of_period) * (1-SUM($K241:AH241)) /  IFERROR((DATEDIF(Beginning_of_period,$G241,"m") + 1) / Months_in_Period,0),0)</f>
        <v>0</v>
      </c>
      <c r="AJ241" s="231">
        <f xml:space="preserve"> IFERROR(($E241&gt;0)*($E241 &lt;=End_of_period) * ($G241 &gt;=Beginning_of_period) * (1-SUM($K241:AI241)) /  IFERROR((DATEDIF(Beginning_of_period,$G241,"m") + 1) / Months_in_Period,0),0)</f>
        <v>0</v>
      </c>
      <c r="AK241" s="231">
        <f xml:space="preserve"> IFERROR(($E241&gt;0)*($E241 &lt;=End_of_period) * ($G241 &gt;=Beginning_of_period) * (1-SUM($K241:AJ241)) /  IFERROR((DATEDIF(Beginning_of_period,$G241,"m") + 1) / Months_in_Period,0),0)</f>
        <v>0</v>
      </c>
      <c r="AL241" s="231">
        <f xml:space="preserve"> IFERROR(($E241&gt;0)*($E241 &lt;=End_of_period) * ($G241 &gt;=Beginning_of_period) * (1-SUM($K241:AK241)) /  IFERROR((DATEDIF(Beginning_of_period,$G241,"m") + 1) / Months_in_Period,0),0)</f>
        <v>0</v>
      </c>
      <c r="AM241" s="231">
        <f xml:space="preserve"> IFERROR(($E241&gt;0)*($E241 &lt;=End_of_period) * ($G241 &gt;=Beginning_of_period) * (1-SUM($K241:AL241)) /  IFERROR((DATEDIF(Beginning_of_period,$G241,"m") + 1) / Months_in_Period,0),0)</f>
        <v>0</v>
      </c>
      <c r="AN241" s="231">
        <f xml:space="preserve"> IFERROR(($E241&gt;0)*($E241 &lt;=End_of_period) * ($G241 &gt;=Beginning_of_period) * (1-SUM($K241:AM241)) /  IFERROR((DATEDIF(Beginning_of_period,$G241,"m") + 1) / Months_in_Period,0),0)</f>
        <v>0</v>
      </c>
      <c r="AO241" s="231">
        <f xml:space="preserve"> IFERROR(($E241&gt;0)*($E241 &lt;=End_of_period) * ($G241 &gt;=Beginning_of_period) * (1-SUM($K241:AN241)) /  IFERROR((DATEDIF(Beginning_of_period,$G241,"m") + 1) / Months_in_Period,0),0)</f>
        <v>0</v>
      </c>
      <c r="AP241" s="231">
        <f xml:space="preserve"> IFERROR(($E241&gt;0)*($E241 &lt;=End_of_period) * ($G241 &gt;=Beginning_of_period) * (1-SUM($K241:AO241)) /  IFERROR((DATEDIF(Beginning_of_period,$G241,"m") + 1) / Months_in_Period,0),0)</f>
        <v>0</v>
      </c>
      <c r="AQ241" s="231">
        <f xml:space="preserve"> IFERROR(($E241&gt;0)*($E241 &lt;=End_of_period) * ($G241 &gt;=Beginning_of_period) * (1-SUM($K241:AP241)) /  IFERROR((DATEDIF(Beginning_of_period,$G241,"m") + 1) / Months_in_Period,0),0)</f>
        <v>0</v>
      </c>
      <c r="AR241" s="231">
        <f xml:space="preserve"> IFERROR(($E241&gt;0)*($E241 &lt;=End_of_period) * ($G241 &gt;=Beginning_of_period) * (1-SUM($K241:AQ241)) /  IFERROR((DATEDIF(Beginning_of_period,$G241,"m") + 1) / Months_in_Period,0),0)</f>
        <v>0</v>
      </c>
      <c r="AS241" s="231">
        <f xml:space="preserve"> IFERROR(($E241&gt;0)*($E241 &lt;=End_of_period) * ($G241 &gt;=Beginning_of_period) * (1-SUM($K241:AR241)) /  IFERROR((DATEDIF(Beginning_of_period,$G241,"m") + 1) / Months_in_Period,0),0)</f>
        <v>0</v>
      </c>
      <c r="AT241" s="231">
        <f xml:space="preserve"> IFERROR(($E241&gt;0)*($E241 &lt;=End_of_period) * ($G241 &gt;=Beginning_of_period) * (1-SUM($K241:AS241)) /  IFERROR((DATEDIF(Beginning_of_period,$G241,"m") + 1) / Months_in_Period,0),0)</f>
        <v>0</v>
      </c>
      <c r="AU241" s="231">
        <f xml:space="preserve"> IFERROR(($E241&gt;0)*($E241 &lt;=End_of_period) * ($G241 &gt;=Beginning_of_period) * (1-SUM($K241:AT241)) /  IFERROR((DATEDIF(Beginning_of_period,$G241,"m") + 1) / Months_in_Period,0),0)</f>
        <v>0</v>
      </c>
      <c r="AV241" s="231">
        <f xml:space="preserve"> IFERROR(($E241&gt;0)*($E241 &lt;=End_of_period) * ($G241 &gt;=Beginning_of_period) * (1-SUM($K241:AU241)) /  IFERROR((DATEDIF(Beginning_of_period,$G241,"m") + 1) / Months_in_Period,0),0)</f>
        <v>0</v>
      </c>
      <c r="AW241" s="231">
        <f xml:space="preserve"> IFERROR(($E241&gt;0)*($E241 &lt;=End_of_period) * ($G241 &gt;=Beginning_of_period) * (1-SUM($K241:AV241)) /  IFERROR((DATEDIF(Beginning_of_period,$G241,"m") + 1) / Months_in_Period,0),0)</f>
        <v>0</v>
      </c>
      <c r="AX241" s="231">
        <f xml:space="preserve"> IFERROR(($E241&gt;0)*($E241 &lt;=End_of_period) * ($G241 &gt;=Beginning_of_period) * (1-SUM($K241:AW241)) /  IFERROR((DATEDIF(Beginning_of_period,$G241,"m") + 1) / Months_in_Period,0),0)</f>
        <v>0</v>
      </c>
      <c r="AY241" s="231">
        <f xml:space="preserve"> IFERROR(($E241&gt;0)*($E241 &lt;=End_of_period) * ($G241 &gt;=Beginning_of_period) * (1-SUM($K241:AX241)) /  IFERROR((DATEDIF(Beginning_of_period,$G241,"m") + 1) / Months_in_Period,0),0)</f>
        <v>0</v>
      </c>
      <c r="AZ241" s="231">
        <f xml:space="preserve"> IFERROR(($E241&gt;0)*($E241 &lt;=End_of_period) * ($G241 &gt;=Beginning_of_period) * (1-SUM($K241:AY241)) /  IFERROR((DATEDIF(Beginning_of_period,$G241,"m") + 1) / Months_in_Period,0),0)</f>
        <v>0</v>
      </c>
      <c r="BA241" s="231">
        <f xml:space="preserve"> IFERROR(($E241&gt;0)*($E241 &lt;=End_of_period) * ($G241 &gt;=Beginning_of_period) * (1-SUM($K241:AZ241)) /  IFERROR((DATEDIF(Beginning_of_period,$G241,"m") + 1) / Months_in_Period,0),0)</f>
        <v>0</v>
      </c>
      <c r="BB241" s="231">
        <f xml:space="preserve"> IFERROR(($E241&gt;0)*($E241 &lt;=End_of_period) * ($G241 &gt;=Beginning_of_period) * (1-SUM($K241:BA241)) /  IFERROR((DATEDIF(Beginning_of_period,$G241,"m") + 1) / Months_in_Period,0),0)</f>
        <v>0</v>
      </c>
      <c r="BC241" s="231">
        <f xml:space="preserve"> IFERROR(($E241&gt;0)*($E241 &lt;=End_of_period) * ($G241 &gt;=Beginning_of_period) * (1-SUM($K241:BB241)) /  IFERROR((DATEDIF(Beginning_of_period,$G241,"m") + 1) / Months_in_Period,0),0)</f>
        <v>0</v>
      </c>
      <c r="BD241" s="231">
        <f xml:space="preserve"> IFERROR(($E241&gt;0)*($E241 &lt;=End_of_period) * ($G241 &gt;=Beginning_of_period) * (1-SUM($K241:BC241)) /  IFERROR((DATEDIF(Beginning_of_period,$G241,"m") + 1) / Months_in_Period,0),0)</f>
        <v>0</v>
      </c>
      <c r="BE241" s="231">
        <f xml:space="preserve"> IFERROR(($E241&gt;0)*($E241 &lt;=End_of_period) * ($G241 &gt;=Beginning_of_period) * (1-SUM($K241:BD241)) /  IFERROR((DATEDIF(Beginning_of_period,$G241,"m") + 1) / Months_in_Period,0),0)</f>
        <v>0</v>
      </c>
      <c r="BF241" s="231">
        <f xml:space="preserve"> IFERROR(($E241&gt;0)*($E241 &lt;=End_of_period) * ($G241 &gt;=Beginning_of_period) * (1-SUM($K241:BE241)) /  IFERROR((DATEDIF(Beginning_of_period,$G241,"m") + 1) / Months_in_Period,0),0)</f>
        <v>0</v>
      </c>
      <c r="BG241" s="231">
        <f xml:space="preserve"> IFERROR(($E241&gt;0)*($E241 &lt;=End_of_period) * ($G241 &gt;=Beginning_of_period) * (1-SUM($K241:BF241)) /  IFERROR((DATEDIF(Beginning_of_period,$G241,"m") + 1) / Months_in_Period,0),0)</f>
        <v>0</v>
      </c>
      <c r="BH241" s="231">
        <f xml:space="preserve"> IFERROR(($E241&gt;0)*($E241 &lt;=End_of_period) * ($G241 &gt;=Beginning_of_period) * (1-SUM($K241:BG241)) /  IFERROR((DATEDIF(Beginning_of_period,$G241,"m") + 1) / Months_in_Period,0),0)</f>
        <v>0</v>
      </c>
      <c r="BI241" s="231">
        <f xml:space="preserve"> IFERROR(($E241&gt;0)*($E241 &lt;=End_of_period) * ($G241 &gt;=Beginning_of_period) * (1-SUM($K241:BH241)) /  IFERROR((DATEDIF(Beginning_of_period,$G241,"m") + 1) / Months_in_Period,0),0)</f>
        <v>0</v>
      </c>
      <c r="BJ241" s="231">
        <f xml:space="preserve"> IFERROR(($E241&gt;0)*($E241 &lt;=End_of_period) * ($G241 &gt;=Beginning_of_period) * (1-SUM($K241:BI241)) /  IFERROR((DATEDIF(Beginning_of_period,$G241,"m") + 1) / Months_in_Period,0),0)</f>
        <v>0</v>
      </c>
      <c r="BK241" s="231">
        <f xml:space="preserve"> IFERROR(($E241&gt;0)*($E241 &lt;=End_of_period) * ($G241 &gt;=Beginning_of_period) * (1-SUM($K241:BJ241)) /  IFERROR((DATEDIF(Beginning_of_period,$G241,"m") + 1) / Months_in_Period,0),0)</f>
        <v>0</v>
      </c>
      <c r="BL241" s="231">
        <f xml:space="preserve"> IFERROR(($E241&gt;0)*($E241 &lt;=End_of_period) * ($G241 &gt;=Beginning_of_period) * (1-SUM($K241:BK241)) /  IFERROR((DATEDIF(Beginning_of_period,$G241,"m") + 1) / Months_in_Period,0),0)</f>
        <v>0</v>
      </c>
      <c r="BM241" s="231">
        <f xml:space="preserve"> IFERROR(($E241&gt;0)*($E241 &lt;=End_of_period) * ($G241 &gt;=Beginning_of_period) * (1-SUM($K241:BL241)) /  IFERROR((DATEDIF(Beginning_of_period,$G241,"m") + 1) / Months_in_Period,0),0)</f>
        <v>0</v>
      </c>
      <c r="BN241" s="231">
        <f xml:space="preserve"> IFERROR(($E241&gt;0)*($E241 &lt;=End_of_period) * ($G241 &gt;=Beginning_of_period) * (1-SUM($K241:BM241)) /  IFERROR((DATEDIF(Beginning_of_period,$G241,"m") + 1) / Months_in_Period,0),0)</f>
        <v>0</v>
      </c>
      <c r="BO241" s="231">
        <f xml:space="preserve"> IFERROR(($E241&gt;0)*($E241 &lt;=End_of_period) * ($G241 &gt;=Beginning_of_period) * (1-SUM($K241:BN241)) /  IFERROR((DATEDIF(Beginning_of_period,$G241,"m") + 1) / Months_in_Period,0),0)</f>
        <v>0</v>
      </c>
      <c r="BP241" s="231">
        <f xml:space="preserve"> IFERROR(($E241&gt;0)*($E241 &lt;=End_of_period) * ($G241 &gt;=Beginning_of_period) * (1-SUM($K241:BO241)) /  IFERROR((DATEDIF(Beginning_of_period,$G241,"m") + 1) / Months_in_Period,0),0)</f>
        <v>0</v>
      </c>
      <c r="BQ241" s="231">
        <f xml:space="preserve"> IFERROR(($E241&gt;0)*($E241 &lt;=End_of_period) * ($G241 &gt;=Beginning_of_period) * (1-SUM($K241:BP241)) /  IFERROR((DATEDIF(Beginning_of_period,$G241,"m") + 1) / Months_in_Period,0),0)</f>
        <v>0</v>
      </c>
      <c r="BR241" s="231">
        <f xml:space="preserve"> IFERROR(($E241&gt;0)*($E241 &lt;=End_of_period) * ($G241 &gt;=Beginning_of_period) * (1-SUM($K241:BQ241)) /  IFERROR((DATEDIF(Beginning_of_period,$G241,"m") + 1) / Months_in_Period,0),0)</f>
        <v>0</v>
      </c>
      <c r="BS241" s="231">
        <f xml:space="preserve"> IFERROR(($E241&gt;0)*($E241 &lt;=End_of_period) * ($G241 &gt;=Beginning_of_period) * (1-SUM($K241:BR241)) /  IFERROR((DATEDIF(Beginning_of_period,$G241,"m") + 1) / Months_in_Period,0),0)</f>
        <v>0</v>
      </c>
      <c r="BT241" s="231">
        <f xml:space="preserve"> IFERROR(($E241&gt;0)*($E241 &lt;=End_of_period) * ($G241 &gt;=Beginning_of_period) * (1-SUM($K241:BS241)) /  IFERROR((DATEDIF(Beginning_of_period,$G241,"m") + 1) / Months_in_Period,0),0)</f>
        <v>0</v>
      </c>
      <c r="BU241" s="231">
        <f xml:space="preserve"> IFERROR(($E241&gt;0)*($E241 &lt;=End_of_period) * ($G241 &gt;=Beginning_of_period) * (1-SUM($K241:BT241)) /  IFERROR((DATEDIF(Beginning_of_period,$G241,"m") + 1) / Months_in_Period,0),0)</f>
        <v>0</v>
      </c>
      <c r="BV241" s="231">
        <f xml:space="preserve"> IFERROR(($E241&gt;0)*($E241 &lt;=End_of_period) * ($G241 &gt;=Beginning_of_period) * (1-SUM($K241:BU241)) /  IFERROR((DATEDIF(Beginning_of_period,$G241,"m") + 1) / Months_in_Period,0),0)</f>
        <v>0</v>
      </c>
      <c r="BW241" s="231">
        <f xml:space="preserve"> IFERROR(($E241&gt;0)*($E241 &lt;=End_of_period) * ($G241 &gt;=Beginning_of_period) * (1-SUM($K241:BV241)) /  IFERROR((DATEDIF(Beginning_of_period,$G241,"m") + 1) / Months_in_Period,0),0)</f>
        <v>0</v>
      </c>
      <c r="BX241" s="231">
        <f xml:space="preserve"> IFERROR(($E241&gt;0)*($E241 &lt;=End_of_period) * ($G241 &gt;=Beginning_of_period) * (1-SUM($K241:BW241)) /  IFERROR((DATEDIF(Beginning_of_period,$G241,"m") + 1) / Months_in_Period,0),0)</f>
        <v>0</v>
      </c>
      <c r="BY241" s="231">
        <f xml:space="preserve"> IFERROR(($E241&gt;0)*($E241 &lt;=End_of_period) * ($G241 &gt;=Beginning_of_period) * (1-SUM($K241:BX241)) /  IFERROR((DATEDIF(Beginning_of_period,$G241,"m") + 1) / Months_in_Period,0),0)</f>
        <v>0</v>
      </c>
      <c r="BZ241" s="231">
        <f xml:space="preserve"> IFERROR(($E241&gt;0)*($E241 &lt;=End_of_period) * ($G241 &gt;=Beginning_of_period) * (1-SUM($K241:BY241)) /  IFERROR((DATEDIF(Beginning_of_period,$G241,"m") + 1) / Months_in_Period,0),0)</f>
        <v>0</v>
      </c>
      <c r="CA241" s="231">
        <f xml:space="preserve"> IFERROR(($E241&gt;0)*($E241 &lt;=End_of_period) * ($G241 &gt;=Beginning_of_period) * (1-SUM($K241:BZ241)) /  IFERROR((DATEDIF(Beginning_of_period,$G241,"m") + 1) / Months_in_Period,0),0)</f>
        <v>0</v>
      </c>
      <c r="CB241" s="231">
        <f xml:space="preserve"> IFERROR(($E241&gt;0)*($E241 &lt;=End_of_period) * ($G241 &gt;=Beginning_of_period) * (1-SUM($K241:CA241)) /  IFERROR((DATEDIF(Beginning_of_period,$G241,"m") + 1) / Months_in_Period,0),0)</f>
        <v>0</v>
      </c>
      <c r="CC241" s="231">
        <f xml:space="preserve"> IFERROR(($E241&gt;0)*($E241 &lt;=End_of_period) * ($G241 &gt;=Beginning_of_period) * (1-SUM($K241:CB241)) /  IFERROR((DATEDIF(Beginning_of_period,$G241,"m") + 1) / Months_in_Period,0),0)</f>
        <v>0</v>
      </c>
      <c r="CD241" s="231">
        <f xml:space="preserve"> IFERROR(($E241&gt;0)*($E241 &lt;=End_of_period) * ($G241 &gt;=Beginning_of_period) * (1-SUM($K241:CC241)) /  IFERROR((DATEDIF(Beginning_of_period,$G241,"m") + 1) / Months_in_Period,0),0)</f>
        <v>0</v>
      </c>
      <c r="CE241" s="231">
        <f xml:space="preserve"> IFERROR(($E241&gt;0)*($E241 &lt;=End_of_period) * ($G241 &gt;=Beginning_of_period) * (1-SUM($K241:CD241)) /  IFERROR((DATEDIF(Beginning_of_period,$G241,"m") + 1) / Months_in_Period,0),0)</f>
        <v>0</v>
      </c>
      <c r="CF241" s="231">
        <f xml:space="preserve"> IFERROR(($E241&gt;0)*($E241 &lt;=End_of_period) * ($G241 &gt;=Beginning_of_period) * (1-SUM($K241:CE241)) /  IFERROR((DATEDIF(Beginning_of_period,$G241,"m") + 1) / Months_in_Period,0),0)</f>
        <v>0</v>
      </c>
      <c r="CG241" s="231">
        <f xml:space="preserve"> IFERROR(($E241&gt;0)*($E241 &lt;=End_of_period) * ($G241 &gt;=Beginning_of_period) * (1-SUM($K241:CF241)) /  IFERROR((DATEDIF(Beginning_of_period,$G241,"m") + 1) / Months_in_Period,0),0)</f>
        <v>0</v>
      </c>
      <c r="CH241" s="231">
        <f xml:space="preserve"> IFERROR(($E241&gt;0)*($E241 &lt;=End_of_period) * ($G241 &gt;=Beginning_of_period) * (1-SUM($K241:CG241)) /  IFERROR((DATEDIF(Beginning_of_period,$G241,"m") + 1) / Months_in_Period,0),0)</f>
        <v>0</v>
      </c>
      <c r="CI241" s="231">
        <f xml:space="preserve"> IFERROR(($E241&gt;0)*($E241 &lt;=End_of_period) * ($G241 &gt;=Beginning_of_period) * (1-SUM($K241:CH241)) /  IFERROR((DATEDIF(Beginning_of_period,$G241,"m") + 1) / Months_in_Period,0),0)</f>
        <v>0</v>
      </c>
      <c r="CJ241" s="231">
        <f xml:space="preserve"> IFERROR(($E241&gt;0)*($E241 &lt;=End_of_period) * ($G241 &gt;=Beginning_of_period) * (1-SUM($K241:CI241)) /  IFERROR((DATEDIF(Beginning_of_period,$G241,"m") + 1) / Months_in_Period,0),0)</f>
        <v>0</v>
      </c>
      <c r="CK241" s="231">
        <f xml:space="preserve"> IFERROR(($E241&gt;0)*($E241 &lt;=End_of_period) * ($G241 &gt;=Beginning_of_period) * (1-SUM($K241:CJ241)) /  IFERROR((DATEDIF(Beginning_of_period,$G241,"m") + 1) / Months_in_Period,0),0)</f>
        <v>0</v>
      </c>
      <c r="CL241" s="231">
        <f xml:space="preserve"> IFERROR(($E241&gt;0)*($E241 &lt;=End_of_period) * ($G241 &gt;=Beginning_of_period) * (1-SUM($K241:CK241)) /  IFERROR((DATEDIF(Beginning_of_period,$G241,"m") + 1) / Months_in_Period,0),0)</f>
        <v>0</v>
      </c>
      <c r="CM241" s="231">
        <f xml:space="preserve"> IFERROR(($E241&gt;0)*($E241 &lt;=End_of_period) * ($G241 &gt;=Beginning_of_period) * (1-SUM($K241:CL241)) /  IFERROR((DATEDIF(Beginning_of_period,$G241,"m") + 1) / Months_in_Period,0),0)</f>
        <v>0</v>
      </c>
      <c r="CN241" s="231">
        <f xml:space="preserve"> IFERROR(($E241&gt;0)*($E241 &lt;=End_of_period) * ($G241 &gt;=Beginning_of_period) * (1-SUM($K241:CM241)) /  IFERROR((DATEDIF(Beginning_of_period,$G241,"m") + 1) / Months_in_Period,0),0)</f>
        <v>0</v>
      </c>
      <c r="CO241" s="231">
        <f xml:space="preserve"> IFERROR(($E241&gt;0)*($E241 &lt;=End_of_period) * ($G241 &gt;=Beginning_of_period) * (1-SUM($K241:CN241)) /  IFERROR((DATEDIF(Beginning_of_period,$G241,"m") + 1) / Months_in_Period,0),0)</f>
        <v>0</v>
      </c>
      <c r="CP241" s="10"/>
    </row>
    <row r="242" spans="1:94" ht="15" hidden="1" customHeight="1">
      <c r="A242" s="10"/>
      <c r="B242" s="3"/>
      <c r="C242" s="17" t="s">
        <v>848</v>
      </c>
      <c r="D242" s="10"/>
      <c r="E242" s="71"/>
      <c r="F242" s="10"/>
      <c r="G242" s="71"/>
      <c r="H242" s="149">
        <f xml:space="preserve"> IFERROR((DATEDIF(E242,G242,"m") + 1) / Months_in_Period,0)</f>
        <v>0.33333333333333331</v>
      </c>
      <c r="I242" s="231">
        <f t="shared" si="119"/>
        <v>1</v>
      </c>
      <c r="J242" s="10"/>
      <c r="K242" s="10"/>
      <c r="L242" s="231">
        <f xml:space="preserve"> IFERROR(($E242&gt;0)*($E242 &lt;=End_of_period) * ($G242 &gt;=Beginning_of_period) * (1-SUM($K242:K242)) /  IFERROR((DATEDIF(Beginning_of_period,$G242,"m") + 1) / Months_in_Period,0),0)</f>
        <v>0</v>
      </c>
      <c r="M242" s="231">
        <f xml:space="preserve"> IFERROR(($E242&gt;0)*($E242 &lt;=End_of_period) * ($G242 &gt;=Beginning_of_period) * (1-SUM($K242:L242)) /  IFERROR((DATEDIF(Beginning_of_period,$G242,"m") + 1) / Months_in_Period,0),0)</f>
        <v>0</v>
      </c>
      <c r="N242" s="231">
        <f xml:space="preserve"> IFERROR(($E242&gt;0)*($E242 &lt;=End_of_period) * ($G242 &gt;=Beginning_of_period) * (1-SUM($K242:M242)) /  IFERROR((DATEDIF(Beginning_of_period,$G242,"m") + 1) / Months_in_Period,0),0)</f>
        <v>0</v>
      </c>
      <c r="O242" s="231">
        <f xml:space="preserve"> IFERROR(($E242&gt;0)*($E242 &lt;=End_of_period) * ($G242 &gt;=Beginning_of_period) * (1-SUM($K242:N242)) /  IFERROR((DATEDIF(Beginning_of_period,$G242,"m") + 1) / Months_in_Period,0),0)</f>
        <v>0</v>
      </c>
      <c r="P242" s="231">
        <f xml:space="preserve"> IFERROR(($E242&gt;0)*($E242 &lt;=End_of_period) * ($G242 &gt;=Beginning_of_period) * (1-SUM($K242:O242)) /  IFERROR((DATEDIF(Beginning_of_period,$G242,"m") + 1) / Months_in_Period,0),0)</f>
        <v>0</v>
      </c>
      <c r="Q242" s="231">
        <f xml:space="preserve"> IFERROR(($E242&gt;0)*($E242 &lt;=End_of_period) * ($G242 &gt;=Beginning_of_period) * (1-SUM($K242:P242)) /  IFERROR((DATEDIF(Beginning_of_period,$G242,"m") + 1) / Months_in_Period,0),0)</f>
        <v>0</v>
      </c>
      <c r="R242" s="231">
        <f xml:space="preserve"> IFERROR(($E242&gt;0)*($E242 &lt;=End_of_period) * ($G242 &gt;=Beginning_of_period) * (1-SUM($K242:Q242)) /  IFERROR((DATEDIF(Beginning_of_period,$G242,"m") + 1) / Months_in_Period,0),0)</f>
        <v>0</v>
      </c>
      <c r="S242" s="231">
        <f xml:space="preserve"> IFERROR(($E242&gt;0)*($E242 &lt;=End_of_period) * ($G242 &gt;=Beginning_of_period) * (1-SUM($K242:R242)) /  IFERROR((DATEDIF(Beginning_of_period,$G242,"m") + 1) / Months_in_Period,0),0)</f>
        <v>0</v>
      </c>
      <c r="T242" s="231">
        <f xml:space="preserve"> IFERROR(($E242&gt;0)*($E242 &lt;=End_of_period) * ($G242 &gt;=Beginning_of_period) * (1-SUM($K242:S242)) /  IFERROR((DATEDIF(Beginning_of_period,$G242,"m") + 1) / Months_in_Period,0),0)</f>
        <v>0</v>
      </c>
      <c r="U242" s="231">
        <f xml:space="preserve"> IFERROR(($E242&gt;0)*($E242 &lt;=End_of_period) * ($G242 &gt;=Beginning_of_period) * (1-SUM($K242:T242)) /  IFERROR((DATEDIF(Beginning_of_period,$G242,"m") + 1) / Months_in_Period,0),0)</f>
        <v>0</v>
      </c>
      <c r="V242" s="231">
        <f xml:space="preserve"> IFERROR(($E242&gt;0)*($E242 &lt;=End_of_period) * ($G242 &gt;=Beginning_of_period) * (1-SUM($K242:U242)) /  IFERROR((DATEDIF(Beginning_of_period,$G242,"m") + 1) / Months_in_Period,0),0)</f>
        <v>0</v>
      </c>
      <c r="W242" s="231">
        <f xml:space="preserve"> IFERROR(($E242&gt;0)*($E242 &lt;=End_of_period) * ($G242 &gt;=Beginning_of_period) * (1-SUM($K242:V242)) /  IFERROR((DATEDIF(Beginning_of_period,$G242,"m") + 1) / Months_in_Period,0),0)</f>
        <v>0</v>
      </c>
      <c r="X242" s="231">
        <f xml:space="preserve"> IFERROR(($E242&gt;0)*($E242 &lt;=End_of_period) * ($G242 &gt;=Beginning_of_period) * (1-SUM($K242:W242)) /  IFERROR((DATEDIF(Beginning_of_period,$G242,"m") + 1) / Months_in_Period,0),0)</f>
        <v>0</v>
      </c>
      <c r="Y242" s="231">
        <f xml:space="preserve"> IFERROR(($E242&gt;0)*($E242 &lt;=End_of_period) * ($G242 &gt;=Beginning_of_period) * (1-SUM($K242:X242)) /  IFERROR((DATEDIF(Beginning_of_period,$G242,"m") + 1) / Months_in_Period,0),0)</f>
        <v>0</v>
      </c>
      <c r="Z242" s="231">
        <f xml:space="preserve"> IFERROR(($E242&gt;0)*($E242 &lt;=End_of_period) * ($G242 &gt;=Beginning_of_period) * (1-SUM($K242:Y242)) /  IFERROR((DATEDIF(Beginning_of_period,$G242,"m") + 1) / Months_in_Period,0),0)</f>
        <v>0</v>
      </c>
      <c r="AA242" s="231">
        <f xml:space="preserve"> IFERROR(($E242&gt;0)*($E242 &lt;=End_of_period) * ($G242 &gt;=Beginning_of_period) * (1-SUM($K242:Z242)) /  IFERROR((DATEDIF(Beginning_of_period,$G242,"m") + 1) / Months_in_Period,0),0)</f>
        <v>0</v>
      </c>
      <c r="AB242" s="231">
        <f xml:space="preserve"> IFERROR(($E242&gt;0)*($E242 &lt;=End_of_period) * ($G242 &gt;=Beginning_of_period) * (1-SUM($K242:AA242)) /  IFERROR((DATEDIF(Beginning_of_period,$G242,"m") + 1) / Months_in_Period,0),0)</f>
        <v>0</v>
      </c>
      <c r="AC242" s="231">
        <f xml:space="preserve"> IFERROR(($E242&gt;0)*($E242 &lt;=End_of_period) * ($G242 &gt;=Beginning_of_period) * (1-SUM($K242:AB242)) /  IFERROR((DATEDIF(Beginning_of_period,$G242,"m") + 1) / Months_in_Period,0),0)</f>
        <v>0</v>
      </c>
      <c r="AD242" s="231">
        <f xml:space="preserve"> IFERROR(($E242&gt;0)*($E242 &lt;=End_of_period) * ($G242 &gt;=Beginning_of_period) * (1-SUM($K242:AC242)) /  IFERROR((DATEDIF(Beginning_of_period,$G242,"m") + 1) / Months_in_Period,0),0)</f>
        <v>0</v>
      </c>
      <c r="AE242" s="231">
        <f xml:space="preserve"> IFERROR(($E242&gt;0)*($E242 &lt;=End_of_period) * ($G242 &gt;=Beginning_of_period) * (1-SUM($K242:AD242)) /  IFERROR((DATEDIF(Beginning_of_period,$G242,"m") + 1) / Months_in_Period,0),0)</f>
        <v>0</v>
      </c>
      <c r="AF242" s="231">
        <f xml:space="preserve"> IFERROR(($E242&gt;0)*($E242 &lt;=End_of_period) * ($G242 &gt;=Beginning_of_period) * (1-SUM($K242:AE242)) /  IFERROR((DATEDIF(Beginning_of_period,$G242,"m") + 1) / Months_in_Period,0),0)</f>
        <v>0</v>
      </c>
      <c r="AG242" s="231">
        <f xml:space="preserve"> IFERROR(($E242&gt;0)*($E242 &lt;=End_of_period) * ($G242 &gt;=Beginning_of_period) * (1-SUM($K242:AF242)) /  IFERROR((DATEDIF(Beginning_of_period,$G242,"m") + 1) / Months_in_Period,0),0)</f>
        <v>0</v>
      </c>
      <c r="AH242" s="231">
        <f xml:space="preserve"> IFERROR(($E242&gt;0)*($E242 &lt;=End_of_period) * ($G242 &gt;=Beginning_of_period) * (1-SUM($K242:AG242)) /  IFERROR((DATEDIF(Beginning_of_period,$G242,"m") + 1) / Months_in_Period,0),0)</f>
        <v>0</v>
      </c>
      <c r="AI242" s="231">
        <f xml:space="preserve"> IFERROR(($E242&gt;0)*($E242 &lt;=End_of_period) * ($G242 &gt;=Beginning_of_period) * (1-SUM($K242:AH242)) /  IFERROR((DATEDIF(Beginning_of_period,$G242,"m") + 1) / Months_in_Period,0),0)</f>
        <v>0</v>
      </c>
      <c r="AJ242" s="231">
        <f xml:space="preserve"> IFERROR(($E242&gt;0)*($E242 &lt;=End_of_period) * ($G242 &gt;=Beginning_of_period) * (1-SUM($K242:AI242)) /  IFERROR((DATEDIF(Beginning_of_period,$G242,"m") + 1) / Months_in_Period,0),0)</f>
        <v>0</v>
      </c>
      <c r="AK242" s="231">
        <f xml:space="preserve"> IFERROR(($E242&gt;0)*($E242 &lt;=End_of_period) * ($G242 &gt;=Beginning_of_period) * (1-SUM($K242:AJ242)) /  IFERROR((DATEDIF(Beginning_of_period,$G242,"m") + 1) / Months_in_Period,0),0)</f>
        <v>0</v>
      </c>
      <c r="AL242" s="231">
        <f xml:space="preserve"> IFERROR(($E242&gt;0)*($E242 &lt;=End_of_period) * ($G242 &gt;=Beginning_of_period) * (1-SUM($K242:AK242)) /  IFERROR((DATEDIF(Beginning_of_period,$G242,"m") + 1) / Months_in_Period,0),0)</f>
        <v>0</v>
      </c>
      <c r="AM242" s="231">
        <f xml:space="preserve"> IFERROR(($E242&gt;0)*($E242 &lt;=End_of_period) * ($G242 &gt;=Beginning_of_period) * (1-SUM($K242:AL242)) /  IFERROR((DATEDIF(Beginning_of_period,$G242,"m") + 1) / Months_in_Period,0),0)</f>
        <v>0</v>
      </c>
      <c r="AN242" s="231">
        <f xml:space="preserve"> IFERROR(($E242&gt;0)*($E242 &lt;=End_of_period) * ($G242 &gt;=Beginning_of_period) * (1-SUM($K242:AM242)) /  IFERROR((DATEDIF(Beginning_of_period,$G242,"m") + 1) / Months_in_Period,0),0)</f>
        <v>0</v>
      </c>
      <c r="AO242" s="231">
        <f xml:space="preserve"> IFERROR(($E242&gt;0)*($E242 &lt;=End_of_period) * ($G242 &gt;=Beginning_of_period) * (1-SUM($K242:AN242)) /  IFERROR((DATEDIF(Beginning_of_period,$G242,"m") + 1) / Months_in_Period,0),0)</f>
        <v>0</v>
      </c>
      <c r="AP242" s="231">
        <f xml:space="preserve"> IFERROR(($E242&gt;0)*($E242 &lt;=End_of_period) * ($G242 &gt;=Beginning_of_period) * (1-SUM($K242:AO242)) /  IFERROR((DATEDIF(Beginning_of_period,$G242,"m") + 1) / Months_in_Period,0),0)</f>
        <v>0</v>
      </c>
      <c r="AQ242" s="231">
        <f xml:space="preserve"> IFERROR(($E242&gt;0)*($E242 &lt;=End_of_period) * ($G242 &gt;=Beginning_of_period) * (1-SUM($K242:AP242)) /  IFERROR((DATEDIF(Beginning_of_period,$G242,"m") + 1) / Months_in_Period,0),0)</f>
        <v>0</v>
      </c>
      <c r="AR242" s="231">
        <f xml:space="preserve"> IFERROR(($E242&gt;0)*($E242 &lt;=End_of_period) * ($G242 &gt;=Beginning_of_period) * (1-SUM($K242:AQ242)) /  IFERROR((DATEDIF(Beginning_of_period,$G242,"m") + 1) / Months_in_Period,0),0)</f>
        <v>0</v>
      </c>
      <c r="AS242" s="231">
        <f xml:space="preserve"> IFERROR(($E242&gt;0)*($E242 &lt;=End_of_period) * ($G242 &gt;=Beginning_of_period) * (1-SUM($K242:AR242)) /  IFERROR((DATEDIF(Beginning_of_period,$G242,"m") + 1) / Months_in_Period,0),0)</f>
        <v>0</v>
      </c>
      <c r="AT242" s="231">
        <f xml:space="preserve"> IFERROR(($E242&gt;0)*($E242 &lt;=End_of_period) * ($G242 &gt;=Beginning_of_period) * (1-SUM($K242:AS242)) /  IFERROR((DATEDIF(Beginning_of_period,$G242,"m") + 1) / Months_in_Period,0),0)</f>
        <v>0</v>
      </c>
      <c r="AU242" s="231">
        <f xml:space="preserve"> IFERROR(($E242&gt;0)*($E242 &lt;=End_of_period) * ($G242 &gt;=Beginning_of_period) * (1-SUM($K242:AT242)) /  IFERROR((DATEDIF(Beginning_of_period,$G242,"m") + 1) / Months_in_Period,0),0)</f>
        <v>0</v>
      </c>
      <c r="AV242" s="231">
        <f xml:space="preserve"> IFERROR(($E242&gt;0)*($E242 &lt;=End_of_period) * ($G242 &gt;=Beginning_of_period) * (1-SUM($K242:AU242)) /  IFERROR((DATEDIF(Beginning_of_period,$G242,"m") + 1) / Months_in_Period,0),0)</f>
        <v>0</v>
      </c>
      <c r="AW242" s="231">
        <f xml:space="preserve"> IFERROR(($E242&gt;0)*($E242 &lt;=End_of_period) * ($G242 &gt;=Beginning_of_period) * (1-SUM($K242:AV242)) /  IFERROR((DATEDIF(Beginning_of_period,$G242,"m") + 1) / Months_in_Period,0),0)</f>
        <v>0</v>
      </c>
      <c r="AX242" s="231">
        <f xml:space="preserve"> IFERROR(($E242&gt;0)*($E242 &lt;=End_of_period) * ($G242 &gt;=Beginning_of_period) * (1-SUM($K242:AW242)) /  IFERROR((DATEDIF(Beginning_of_period,$G242,"m") + 1) / Months_in_Period,0),0)</f>
        <v>0</v>
      </c>
      <c r="AY242" s="231">
        <f xml:space="preserve"> IFERROR(($E242&gt;0)*($E242 &lt;=End_of_period) * ($G242 &gt;=Beginning_of_period) * (1-SUM($K242:AX242)) /  IFERROR((DATEDIF(Beginning_of_period,$G242,"m") + 1) / Months_in_Period,0),0)</f>
        <v>0</v>
      </c>
      <c r="AZ242" s="231">
        <f xml:space="preserve"> IFERROR(($E242&gt;0)*($E242 &lt;=End_of_period) * ($G242 &gt;=Beginning_of_period) * (1-SUM($K242:AY242)) /  IFERROR((DATEDIF(Beginning_of_period,$G242,"m") + 1) / Months_in_Period,0),0)</f>
        <v>0</v>
      </c>
      <c r="BA242" s="231">
        <f xml:space="preserve"> IFERROR(($E242&gt;0)*($E242 &lt;=End_of_period) * ($G242 &gt;=Beginning_of_period) * (1-SUM($K242:AZ242)) /  IFERROR((DATEDIF(Beginning_of_period,$G242,"m") + 1) / Months_in_Period,0),0)</f>
        <v>0</v>
      </c>
      <c r="BB242" s="231">
        <f xml:space="preserve"> IFERROR(($E242&gt;0)*($E242 &lt;=End_of_period) * ($G242 &gt;=Beginning_of_period) * (1-SUM($K242:BA242)) /  IFERROR((DATEDIF(Beginning_of_period,$G242,"m") + 1) / Months_in_Period,0),0)</f>
        <v>0</v>
      </c>
      <c r="BC242" s="231">
        <f xml:space="preserve"> IFERROR(($E242&gt;0)*($E242 &lt;=End_of_period) * ($G242 &gt;=Beginning_of_period) * (1-SUM($K242:BB242)) /  IFERROR((DATEDIF(Beginning_of_period,$G242,"m") + 1) / Months_in_Period,0),0)</f>
        <v>0</v>
      </c>
      <c r="BD242" s="231">
        <f xml:space="preserve"> IFERROR(($E242&gt;0)*($E242 &lt;=End_of_period) * ($G242 &gt;=Beginning_of_period) * (1-SUM($K242:BC242)) /  IFERROR((DATEDIF(Beginning_of_period,$G242,"m") + 1) / Months_in_Period,0),0)</f>
        <v>0</v>
      </c>
      <c r="BE242" s="231">
        <f xml:space="preserve"> IFERROR(($E242&gt;0)*($E242 &lt;=End_of_period) * ($G242 &gt;=Beginning_of_period) * (1-SUM($K242:BD242)) /  IFERROR((DATEDIF(Beginning_of_period,$G242,"m") + 1) / Months_in_Period,0),0)</f>
        <v>0</v>
      </c>
      <c r="BF242" s="231">
        <f xml:space="preserve"> IFERROR(($E242&gt;0)*($E242 &lt;=End_of_period) * ($G242 &gt;=Beginning_of_period) * (1-SUM($K242:BE242)) /  IFERROR((DATEDIF(Beginning_of_period,$G242,"m") + 1) / Months_in_Period,0),0)</f>
        <v>0</v>
      </c>
      <c r="BG242" s="231">
        <f xml:space="preserve"> IFERROR(($E242&gt;0)*($E242 &lt;=End_of_period) * ($G242 &gt;=Beginning_of_period) * (1-SUM($K242:BF242)) /  IFERROR((DATEDIF(Beginning_of_period,$G242,"m") + 1) / Months_in_Period,0),0)</f>
        <v>0</v>
      </c>
      <c r="BH242" s="231">
        <f xml:space="preserve"> IFERROR(($E242&gt;0)*($E242 &lt;=End_of_period) * ($G242 &gt;=Beginning_of_period) * (1-SUM($K242:BG242)) /  IFERROR((DATEDIF(Beginning_of_period,$G242,"m") + 1) / Months_in_Period,0),0)</f>
        <v>0</v>
      </c>
      <c r="BI242" s="231">
        <f xml:space="preserve"> IFERROR(($E242&gt;0)*($E242 &lt;=End_of_period) * ($G242 &gt;=Beginning_of_period) * (1-SUM($K242:BH242)) /  IFERROR((DATEDIF(Beginning_of_period,$G242,"m") + 1) / Months_in_Period,0),0)</f>
        <v>0</v>
      </c>
      <c r="BJ242" s="231">
        <f xml:space="preserve"> IFERROR(($E242&gt;0)*($E242 &lt;=End_of_period) * ($G242 &gt;=Beginning_of_period) * (1-SUM($K242:BI242)) /  IFERROR((DATEDIF(Beginning_of_period,$G242,"m") + 1) / Months_in_Period,0),0)</f>
        <v>0</v>
      </c>
      <c r="BK242" s="231">
        <f xml:space="preserve"> IFERROR(($E242&gt;0)*($E242 &lt;=End_of_period) * ($G242 &gt;=Beginning_of_period) * (1-SUM($K242:BJ242)) /  IFERROR((DATEDIF(Beginning_of_period,$G242,"m") + 1) / Months_in_Period,0),0)</f>
        <v>0</v>
      </c>
      <c r="BL242" s="231">
        <f xml:space="preserve"> IFERROR(($E242&gt;0)*($E242 &lt;=End_of_period) * ($G242 &gt;=Beginning_of_period) * (1-SUM($K242:BK242)) /  IFERROR((DATEDIF(Beginning_of_period,$G242,"m") + 1) / Months_in_Period,0),0)</f>
        <v>0</v>
      </c>
      <c r="BM242" s="231">
        <f xml:space="preserve"> IFERROR(($E242&gt;0)*($E242 &lt;=End_of_period) * ($G242 &gt;=Beginning_of_period) * (1-SUM($K242:BL242)) /  IFERROR((DATEDIF(Beginning_of_period,$G242,"m") + 1) / Months_in_Period,0),0)</f>
        <v>0</v>
      </c>
      <c r="BN242" s="231">
        <f xml:space="preserve"> IFERROR(($E242&gt;0)*($E242 &lt;=End_of_period) * ($G242 &gt;=Beginning_of_period) * (1-SUM($K242:BM242)) /  IFERROR((DATEDIF(Beginning_of_period,$G242,"m") + 1) / Months_in_Period,0),0)</f>
        <v>0</v>
      </c>
      <c r="BO242" s="231">
        <f xml:space="preserve"> IFERROR(($E242&gt;0)*($E242 &lt;=End_of_period) * ($G242 &gt;=Beginning_of_period) * (1-SUM($K242:BN242)) /  IFERROR((DATEDIF(Beginning_of_period,$G242,"m") + 1) / Months_in_Period,0),0)</f>
        <v>0</v>
      </c>
      <c r="BP242" s="231">
        <f xml:space="preserve"> IFERROR(($E242&gt;0)*($E242 &lt;=End_of_period) * ($G242 &gt;=Beginning_of_period) * (1-SUM($K242:BO242)) /  IFERROR((DATEDIF(Beginning_of_period,$G242,"m") + 1) / Months_in_Period,0),0)</f>
        <v>0</v>
      </c>
      <c r="BQ242" s="231">
        <f xml:space="preserve"> IFERROR(($E242&gt;0)*($E242 &lt;=End_of_period) * ($G242 &gt;=Beginning_of_period) * (1-SUM($K242:BP242)) /  IFERROR((DATEDIF(Beginning_of_period,$G242,"m") + 1) / Months_in_Period,0),0)</f>
        <v>0</v>
      </c>
      <c r="BR242" s="231">
        <f xml:space="preserve"> IFERROR(($E242&gt;0)*($E242 &lt;=End_of_period) * ($G242 &gt;=Beginning_of_period) * (1-SUM($K242:BQ242)) /  IFERROR((DATEDIF(Beginning_of_period,$G242,"m") + 1) / Months_in_Period,0),0)</f>
        <v>0</v>
      </c>
      <c r="BS242" s="231">
        <f xml:space="preserve"> IFERROR(($E242&gt;0)*($E242 &lt;=End_of_period) * ($G242 &gt;=Beginning_of_period) * (1-SUM($K242:BR242)) /  IFERROR((DATEDIF(Beginning_of_period,$G242,"m") + 1) / Months_in_Period,0),0)</f>
        <v>0</v>
      </c>
      <c r="BT242" s="231">
        <f xml:space="preserve"> IFERROR(($E242&gt;0)*($E242 &lt;=End_of_period) * ($G242 &gt;=Beginning_of_period) * (1-SUM($K242:BS242)) /  IFERROR((DATEDIF(Beginning_of_period,$G242,"m") + 1) / Months_in_Period,0),0)</f>
        <v>0</v>
      </c>
      <c r="BU242" s="231">
        <f xml:space="preserve"> IFERROR(($E242&gt;0)*($E242 &lt;=End_of_period) * ($G242 &gt;=Beginning_of_period) * (1-SUM($K242:BT242)) /  IFERROR((DATEDIF(Beginning_of_period,$G242,"m") + 1) / Months_in_Period,0),0)</f>
        <v>0</v>
      </c>
      <c r="BV242" s="231">
        <f xml:space="preserve"> IFERROR(($E242&gt;0)*($E242 &lt;=End_of_period) * ($G242 &gt;=Beginning_of_period) * (1-SUM($K242:BU242)) /  IFERROR((DATEDIF(Beginning_of_period,$G242,"m") + 1) / Months_in_Period,0),0)</f>
        <v>0</v>
      </c>
      <c r="BW242" s="231">
        <f xml:space="preserve"> IFERROR(($E242&gt;0)*($E242 &lt;=End_of_period) * ($G242 &gt;=Beginning_of_period) * (1-SUM($K242:BV242)) /  IFERROR((DATEDIF(Beginning_of_period,$G242,"m") + 1) / Months_in_Period,0),0)</f>
        <v>0</v>
      </c>
      <c r="BX242" s="231">
        <f xml:space="preserve"> IFERROR(($E242&gt;0)*($E242 &lt;=End_of_period) * ($G242 &gt;=Beginning_of_period) * (1-SUM($K242:BW242)) /  IFERROR((DATEDIF(Beginning_of_period,$G242,"m") + 1) / Months_in_Period,0),0)</f>
        <v>0</v>
      </c>
      <c r="BY242" s="231">
        <f xml:space="preserve"> IFERROR(($E242&gt;0)*($E242 &lt;=End_of_period) * ($G242 &gt;=Beginning_of_period) * (1-SUM($K242:BX242)) /  IFERROR((DATEDIF(Beginning_of_period,$G242,"m") + 1) / Months_in_Period,0),0)</f>
        <v>0</v>
      </c>
      <c r="BZ242" s="231">
        <f xml:space="preserve"> IFERROR(($E242&gt;0)*($E242 &lt;=End_of_period) * ($G242 &gt;=Beginning_of_period) * (1-SUM($K242:BY242)) /  IFERROR((DATEDIF(Beginning_of_period,$G242,"m") + 1) / Months_in_Period,0),0)</f>
        <v>0</v>
      </c>
      <c r="CA242" s="231">
        <f xml:space="preserve"> IFERROR(($E242&gt;0)*($E242 &lt;=End_of_period) * ($G242 &gt;=Beginning_of_period) * (1-SUM($K242:BZ242)) /  IFERROR((DATEDIF(Beginning_of_period,$G242,"m") + 1) / Months_in_Period,0),0)</f>
        <v>0</v>
      </c>
      <c r="CB242" s="231">
        <f xml:space="preserve"> IFERROR(($E242&gt;0)*($E242 &lt;=End_of_period) * ($G242 &gt;=Beginning_of_period) * (1-SUM($K242:CA242)) /  IFERROR((DATEDIF(Beginning_of_period,$G242,"m") + 1) / Months_in_Period,0),0)</f>
        <v>0</v>
      </c>
      <c r="CC242" s="231">
        <f xml:space="preserve"> IFERROR(($E242&gt;0)*($E242 &lt;=End_of_period) * ($G242 &gt;=Beginning_of_period) * (1-SUM($K242:CB242)) /  IFERROR((DATEDIF(Beginning_of_period,$G242,"m") + 1) / Months_in_Period,0),0)</f>
        <v>0</v>
      </c>
      <c r="CD242" s="231">
        <f xml:space="preserve"> IFERROR(($E242&gt;0)*($E242 &lt;=End_of_period) * ($G242 &gt;=Beginning_of_period) * (1-SUM($K242:CC242)) /  IFERROR((DATEDIF(Beginning_of_period,$G242,"m") + 1) / Months_in_Period,0),0)</f>
        <v>0</v>
      </c>
      <c r="CE242" s="231">
        <f xml:space="preserve"> IFERROR(($E242&gt;0)*($E242 &lt;=End_of_period) * ($G242 &gt;=Beginning_of_period) * (1-SUM($K242:CD242)) /  IFERROR((DATEDIF(Beginning_of_period,$G242,"m") + 1) / Months_in_Period,0),0)</f>
        <v>0</v>
      </c>
      <c r="CF242" s="231">
        <f xml:space="preserve"> IFERROR(($E242&gt;0)*($E242 &lt;=End_of_period) * ($G242 &gt;=Beginning_of_period) * (1-SUM($K242:CE242)) /  IFERROR((DATEDIF(Beginning_of_period,$G242,"m") + 1) / Months_in_Period,0),0)</f>
        <v>0</v>
      </c>
      <c r="CG242" s="231">
        <f xml:space="preserve"> IFERROR(($E242&gt;0)*($E242 &lt;=End_of_period) * ($G242 &gt;=Beginning_of_period) * (1-SUM($K242:CF242)) /  IFERROR((DATEDIF(Beginning_of_period,$G242,"m") + 1) / Months_in_Period,0),0)</f>
        <v>0</v>
      </c>
      <c r="CH242" s="231">
        <f xml:space="preserve"> IFERROR(($E242&gt;0)*($E242 &lt;=End_of_period) * ($G242 &gt;=Beginning_of_period) * (1-SUM($K242:CG242)) /  IFERROR((DATEDIF(Beginning_of_period,$G242,"m") + 1) / Months_in_Period,0),0)</f>
        <v>0</v>
      </c>
      <c r="CI242" s="231">
        <f xml:space="preserve"> IFERROR(($E242&gt;0)*($E242 &lt;=End_of_period) * ($G242 &gt;=Beginning_of_period) * (1-SUM($K242:CH242)) /  IFERROR((DATEDIF(Beginning_of_period,$G242,"m") + 1) / Months_in_Period,0),0)</f>
        <v>0</v>
      </c>
      <c r="CJ242" s="231">
        <f xml:space="preserve"> IFERROR(($E242&gt;0)*($E242 &lt;=End_of_period) * ($G242 &gt;=Beginning_of_period) * (1-SUM($K242:CI242)) /  IFERROR((DATEDIF(Beginning_of_period,$G242,"m") + 1) / Months_in_Period,0),0)</f>
        <v>0</v>
      </c>
      <c r="CK242" s="231">
        <f xml:space="preserve"> IFERROR(($E242&gt;0)*($E242 &lt;=End_of_period) * ($G242 &gt;=Beginning_of_period) * (1-SUM($K242:CJ242)) /  IFERROR((DATEDIF(Beginning_of_period,$G242,"m") + 1) / Months_in_Period,0),0)</f>
        <v>0</v>
      </c>
      <c r="CL242" s="231">
        <f xml:space="preserve"> IFERROR(($E242&gt;0)*($E242 &lt;=End_of_period) * ($G242 &gt;=Beginning_of_period) * (1-SUM($K242:CK242)) /  IFERROR((DATEDIF(Beginning_of_period,$G242,"m") + 1) / Months_in_Period,0),0)</f>
        <v>0</v>
      </c>
      <c r="CM242" s="231">
        <f xml:space="preserve"> IFERROR(($E242&gt;0)*($E242 &lt;=End_of_period) * ($G242 &gt;=Beginning_of_period) * (1-SUM($K242:CL242)) /  IFERROR((DATEDIF(Beginning_of_period,$G242,"m") + 1) / Months_in_Period,0),0)</f>
        <v>0</v>
      </c>
      <c r="CN242" s="231">
        <f xml:space="preserve"> IFERROR(($E242&gt;0)*($E242 &lt;=End_of_period) * ($G242 &gt;=Beginning_of_period) * (1-SUM($K242:CM242)) /  IFERROR((DATEDIF(Beginning_of_period,$G242,"m") + 1) / Months_in_Period,0),0)</f>
        <v>0</v>
      </c>
      <c r="CO242" s="231">
        <f xml:space="preserve"> IFERROR(($E242&gt;0)*($E242 &lt;=End_of_period) * ($G242 &gt;=Beginning_of_period) * (1-SUM($K242:CN242)) /  IFERROR((DATEDIF(Beginning_of_period,$G242,"m") + 1) / Months_in_Period,0),0)</f>
        <v>0</v>
      </c>
      <c r="CP242" s="10"/>
    </row>
    <row r="243" spans="1:94" ht="15" hidden="1" customHeight="1">
      <c r="A243" s="10"/>
      <c r="B243" s="3"/>
      <c r="C243" s="17"/>
      <c r="D243" s="10"/>
      <c r="E243" s="10"/>
      <c r="F243" s="10"/>
      <c r="G243" s="473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</row>
    <row r="244" spans="1:94" ht="15" customHeight="1">
      <c r="A244" s="10"/>
      <c r="B244" s="3"/>
      <c r="C244" s="384" t="str">
        <f xml:space="preserve"> "Сегмент 1: " &amp; C84</f>
        <v>Сегмент 1: Объект размещения (отель)</v>
      </c>
      <c r="D244" s="273"/>
      <c r="E244" s="273"/>
      <c r="F244" s="273"/>
      <c r="G244" s="274"/>
      <c r="H244" s="273"/>
      <c r="I244" s="273"/>
      <c r="J244" s="273"/>
      <c r="K244" s="273"/>
      <c r="L244" s="273"/>
      <c r="M244" s="273"/>
      <c r="N244" s="273"/>
      <c r="O244" s="273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3"/>
      <c r="AG244" s="273"/>
      <c r="AH244" s="273"/>
      <c r="AI244" s="273"/>
      <c r="AJ244" s="273"/>
      <c r="AK244" s="273"/>
      <c r="AL244" s="273"/>
      <c r="AM244" s="273"/>
      <c r="AN244" s="273"/>
      <c r="AO244" s="273"/>
      <c r="AP244" s="273"/>
      <c r="AQ244" s="273"/>
      <c r="AR244" s="273"/>
      <c r="AS244" s="273"/>
      <c r="AT244" s="273"/>
      <c r="AU244" s="273"/>
      <c r="AV244" s="273"/>
      <c r="AW244" s="273"/>
      <c r="AX244" s="273"/>
      <c r="AY244" s="273"/>
      <c r="AZ244" s="273"/>
      <c r="BA244" s="273"/>
      <c r="BB244" s="273"/>
      <c r="BC244" s="273"/>
      <c r="BD244" s="273"/>
      <c r="BE244" s="273"/>
      <c r="BF244" s="273"/>
      <c r="BG244" s="273"/>
      <c r="BH244" s="273"/>
      <c r="BI244" s="273"/>
      <c r="BJ244" s="273"/>
      <c r="BK244" s="273"/>
      <c r="BL244" s="273"/>
      <c r="BM244" s="273"/>
      <c r="BN244" s="273"/>
      <c r="BO244" s="273"/>
      <c r="BP244" s="273"/>
      <c r="BQ244" s="273"/>
      <c r="BR244" s="273"/>
      <c r="BS244" s="273"/>
      <c r="BT244" s="273"/>
      <c r="BU244" s="273"/>
      <c r="BV244" s="273"/>
      <c r="BW244" s="273"/>
      <c r="BX244" s="273"/>
      <c r="BY244" s="273"/>
      <c r="BZ244" s="273"/>
      <c r="CA244" s="273"/>
      <c r="CB244" s="273"/>
      <c r="CC244" s="273"/>
      <c r="CD244" s="273"/>
      <c r="CE244" s="273"/>
      <c r="CF244" s="273"/>
      <c r="CG244" s="273"/>
      <c r="CH244" s="273"/>
      <c r="CI244" s="273"/>
      <c r="CJ244" s="273"/>
      <c r="CK244" s="273"/>
      <c r="CL244" s="273"/>
      <c r="CM244" s="273"/>
      <c r="CN244" s="273"/>
      <c r="CO244" s="273"/>
      <c r="CP244" s="10"/>
    </row>
    <row r="245" spans="1:94" ht="15" customHeight="1">
      <c r="A245" s="10"/>
      <c r="B245" s="3"/>
      <c r="C245" s="17"/>
      <c r="D245" s="10"/>
      <c r="E245" s="10"/>
      <c r="F245" s="10"/>
      <c r="G245" s="11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</row>
    <row r="246" spans="1:94" ht="15" customHeight="1" thickBot="1">
      <c r="A246" s="10"/>
      <c r="B246" s="3"/>
      <c r="C246" s="12" t="str">
        <f xml:space="preserve"> "Расходы на создание " &amp; Контр_панель!C30 &amp; " (в базовых ценах, без НДС)"</f>
        <v>Расходы на создание Объект размещения (отель) (в базовых ценах, без НДС)</v>
      </c>
      <c r="D246" s="12"/>
      <c r="E246" s="12"/>
      <c r="F246" s="12"/>
      <c r="G246" s="12"/>
      <c r="H246" s="12"/>
      <c r="I246" s="12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</row>
    <row r="247" spans="1:94" ht="15" customHeight="1">
      <c r="A247" s="10"/>
      <c r="B247" s="3"/>
      <c r="C247" s="17"/>
      <c r="D247" s="10"/>
      <c r="E247" s="10"/>
      <c r="F247" s="10"/>
      <c r="G247" s="11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</row>
    <row r="248" spans="1:94" ht="15" customHeight="1">
      <c r="A248" s="10"/>
      <c r="B248" s="3"/>
      <c r="C248" s="67" t="s">
        <v>842</v>
      </c>
      <c r="D248" s="10"/>
      <c r="E248" s="10"/>
      <c r="F248" s="10"/>
      <c r="G248" s="11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</row>
    <row r="249" spans="1:94" ht="15" customHeight="1">
      <c r="A249" s="10"/>
      <c r="B249" s="3"/>
      <c r="C249" s="17" t="s">
        <v>605</v>
      </c>
      <c r="D249" s="10"/>
      <c r="E249" s="14"/>
      <c r="F249" s="10"/>
      <c r="G249" s="11" t="str">
        <f>Monetary_Unit</f>
        <v>тыс. руб.</v>
      </c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</row>
    <row r="250" spans="1:94" ht="15" customHeight="1">
      <c r="A250" s="10"/>
      <c r="B250" s="3"/>
      <c r="C250" s="17" t="s">
        <v>606</v>
      </c>
      <c r="D250" s="10"/>
      <c r="E250" s="14">
        <f>E261*4%</f>
        <v>102303.31391680001</v>
      </c>
      <c r="F250" s="10"/>
      <c r="G250" s="11" t="str">
        <f>Monetary_Unit</f>
        <v>тыс. руб.</v>
      </c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</row>
    <row r="251" spans="1:94" ht="15" customHeight="1">
      <c r="A251" s="10"/>
      <c r="B251" s="3"/>
      <c r="C251" s="17" t="s">
        <v>511</v>
      </c>
      <c r="D251" s="10"/>
      <c r="E251" s="227">
        <v>0</v>
      </c>
      <c r="F251" s="10"/>
      <c r="G251" s="11" t="str">
        <f>Monetary_Unit</f>
        <v>тыс. руб.</v>
      </c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</row>
    <row r="252" spans="1:94" ht="15" customHeight="1">
      <c r="A252" s="10"/>
      <c r="B252" s="3"/>
      <c r="C252" s="249" t="s">
        <v>823</v>
      </c>
      <c r="D252" s="228"/>
      <c r="E252" s="229">
        <f>SUM(E249:E251)</f>
        <v>102303.31391680001</v>
      </c>
      <c r="F252" s="228"/>
      <c r="G252" s="230" t="str">
        <f>Monetary_Unit</f>
        <v>тыс. руб.</v>
      </c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</row>
    <row r="253" spans="1:94" ht="15" customHeight="1">
      <c r="A253" s="10"/>
      <c r="B253" s="3"/>
      <c r="C253" s="17"/>
      <c r="D253" s="10"/>
      <c r="E253" s="10"/>
      <c r="F253" s="10"/>
      <c r="G253" s="11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</row>
    <row r="254" spans="1:94" ht="15" customHeight="1">
      <c r="A254" s="10"/>
      <c r="B254" s="3"/>
      <c r="C254" s="67" t="s">
        <v>844</v>
      </c>
      <c r="D254" s="10"/>
      <c r="E254" s="10"/>
      <c r="F254" s="10"/>
      <c r="G254" s="11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</row>
    <row r="255" spans="1:94" ht="15" customHeight="1">
      <c r="A255" s="10"/>
      <c r="B255" s="3"/>
      <c r="C255" s="17" t="s">
        <v>784</v>
      </c>
      <c r="D255" s="10"/>
      <c r="E255" s="167">
        <v>0</v>
      </c>
      <c r="F255" s="10"/>
      <c r="G255" s="11" t="s">
        <v>627</v>
      </c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</row>
    <row r="256" spans="1:94" ht="15" customHeight="1">
      <c r="A256" s="10"/>
      <c r="B256" s="3"/>
      <c r="C256" s="249" t="s">
        <v>640</v>
      </c>
      <c r="D256" s="228"/>
      <c r="E256" s="229">
        <f xml:space="preserve"> E261 * E255</f>
        <v>0</v>
      </c>
      <c r="F256" s="228"/>
      <c r="G256" s="230" t="str">
        <f>Monetary_Unit</f>
        <v>тыс. руб.</v>
      </c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</row>
    <row r="257" spans="1:94" ht="15" customHeight="1">
      <c r="A257" s="10"/>
      <c r="B257" s="3"/>
      <c r="C257" s="17"/>
      <c r="D257" s="10"/>
      <c r="E257" s="10"/>
      <c r="F257" s="10"/>
      <c r="G257" s="11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</row>
    <row r="258" spans="1:94" ht="15" customHeight="1">
      <c r="A258" s="10"/>
      <c r="B258" s="3"/>
      <c r="C258" s="67" t="s">
        <v>836</v>
      </c>
      <c r="D258" s="10"/>
      <c r="E258" s="10"/>
      <c r="F258" s="10"/>
      <c r="G258" s="11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</row>
    <row r="259" spans="1:94" ht="15" customHeight="1">
      <c r="A259" s="10"/>
      <c r="B259" s="3"/>
      <c r="C259" s="17" t="s">
        <v>785</v>
      </c>
      <c r="D259" s="10"/>
      <c r="E259" s="480">
        <v>136847</v>
      </c>
      <c r="F259" s="10"/>
      <c r="G259" s="11" t="s">
        <v>641</v>
      </c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</row>
    <row r="260" spans="1:94" ht="15" customHeight="1">
      <c r="A260" s="10"/>
      <c r="B260" s="3"/>
      <c r="C260" s="17" t="s">
        <v>615</v>
      </c>
      <c r="D260" s="10"/>
      <c r="E260" s="225">
        <f>E98</f>
        <v>18689.36</v>
      </c>
      <c r="F260" s="10"/>
      <c r="G260" s="11" t="s">
        <v>614</v>
      </c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</row>
    <row r="261" spans="1:94" ht="15" customHeight="1">
      <c r="A261" s="10"/>
      <c r="B261" s="3"/>
      <c r="C261" s="249" t="s">
        <v>845</v>
      </c>
      <c r="D261" s="228"/>
      <c r="E261" s="229">
        <f xml:space="preserve"> E259 * E260 / 1000</f>
        <v>2557582.8479200001</v>
      </c>
      <c r="F261" s="228"/>
      <c r="G261" s="230" t="str">
        <f>Monetary_Unit</f>
        <v>тыс. руб.</v>
      </c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</row>
    <row r="262" spans="1:94" ht="15" customHeight="1">
      <c r="A262" s="10"/>
      <c r="B262" s="3"/>
      <c r="C262" s="17"/>
      <c r="D262" s="10"/>
      <c r="E262" s="10"/>
      <c r="F262" s="10"/>
      <c r="G262" s="11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</row>
    <row r="263" spans="1:94" ht="15" customHeight="1">
      <c r="A263" s="10"/>
      <c r="B263" s="3"/>
      <c r="C263" s="67" t="s">
        <v>846</v>
      </c>
      <c r="D263" s="10"/>
      <c r="E263" s="10"/>
      <c r="F263" s="10"/>
      <c r="G263" s="11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</row>
    <row r="264" spans="1:94" ht="15" customHeight="1">
      <c r="A264" s="10"/>
      <c r="B264" s="3"/>
      <c r="C264" s="17" t="s">
        <v>626</v>
      </c>
      <c r="D264" s="10"/>
      <c r="E264" s="14">
        <v>1000000</v>
      </c>
      <c r="F264" s="10"/>
      <c r="G264" s="11" t="s">
        <v>647</v>
      </c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</row>
    <row r="265" spans="1:94" ht="15" customHeight="1">
      <c r="A265" s="10"/>
      <c r="B265" s="3"/>
      <c r="C265" s="17" t="s">
        <v>642</v>
      </c>
      <c r="D265" s="10"/>
      <c r="E265" s="225">
        <f>E111</f>
        <v>200</v>
      </c>
      <c r="F265" s="10"/>
      <c r="G265" s="11" t="s">
        <v>643</v>
      </c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</row>
    <row r="266" spans="1:94" ht="15" customHeight="1">
      <c r="A266" s="10"/>
      <c r="B266" s="3"/>
      <c r="C266" s="17" t="s">
        <v>1249</v>
      </c>
      <c r="D266" s="10"/>
      <c r="E266" s="14">
        <v>100421</v>
      </c>
      <c r="F266" s="10"/>
      <c r="G266" s="11" t="s">
        <v>641</v>
      </c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</row>
    <row r="267" spans="1:94" ht="15" customHeight="1">
      <c r="A267" s="10"/>
      <c r="B267" s="3"/>
      <c r="C267" s="17" t="s">
        <v>984</v>
      </c>
      <c r="D267" s="10"/>
      <c r="E267" s="225">
        <f xml:space="preserve"> E107</f>
        <v>4000</v>
      </c>
      <c r="F267" s="10"/>
      <c r="G267" s="11" t="s">
        <v>614</v>
      </c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</row>
    <row r="268" spans="1:94" ht="15" customHeight="1">
      <c r="A268" s="10"/>
      <c r="B268" s="3"/>
      <c r="C268" s="17" t="s">
        <v>623</v>
      </c>
      <c r="D268" s="10"/>
      <c r="E268" s="14">
        <v>90000</v>
      </c>
      <c r="F268" s="10"/>
      <c r="G268" s="11" t="s">
        <v>641</v>
      </c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</row>
    <row r="269" spans="1:94" ht="15" customHeight="1">
      <c r="A269" s="10"/>
      <c r="B269" s="3"/>
      <c r="C269" s="17" t="s">
        <v>644</v>
      </c>
      <c r="D269" s="10"/>
      <c r="E269" s="225">
        <f xml:space="preserve"> E105</f>
        <v>700</v>
      </c>
      <c r="F269" s="10"/>
      <c r="G269" s="11" t="s">
        <v>614</v>
      </c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</row>
    <row r="270" spans="1:94" ht="15" customHeight="1">
      <c r="A270" s="10"/>
      <c r="B270" s="3"/>
      <c r="C270" s="17" t="s">
        <v>618</v>
      </c>
      <c r="D270" s="10"/>
      <c r="E270" s="14">
        <v>100421</v>
      </c>
      <c r="F270" s="10"/>
      <c r="G270" s="11" t="s">
        <v>641</v>
      </c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</row>
    <row r="271" spans="1:94" ht="15" customHeight="1">
      <c r="A271" s="10"/>
      <c r="B271" s="3"/>
      <c r="C271" s="17" t="s">
        <v>645</v>
      </c>
      <c r="D271" s="10"/>
      <c r="E271" s="225">
        <f>E101</f>
        <v>2700</v>
      </c>
      <c r="F271" s="10"/>
      <c r="G271" s="11" t="s">
        <v>614</v>
      </c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</row>
    <row r="272" spans="1:94" ht="15" customHeight="1">
      <c r="A272" s="10"/>
      <c r="B272" s="3"/>
      <c r="C272" s="249" t="s">
        <v>646</v>
      </c>
      <c r="D272" s="228"/>
      <c r="E272" s="229">
        <f xml:space="preserve"> (E264 * E265 + E266 * E267 + E268 * E269 + E270 * E271) / Thousand</f>
        <v>935820.7</v>
      </c>
      <c r="F272" s="228"/>
      <c r="G272" s="230" t="str">
        <f>Monetary_Unit</f>
        <v>тыс. руб.</v>
      </c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</row>
    <row r="273" spans="1:94" ht="15" customHeight="1">
      <c r="A273" s="10"/>
      <c r="B273" s="3"/>
      <c r="C273" s="17"/>
      <c r="D273" s="10"/>
      <c r="E273" s="10"/>
      <c r="F273" s="10"/>
      <c r="G273" s="11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</row>
    <row r="274" spans="1:94" ht="15" customHeight="1">
      <c r="A274" s="10"/>
      <c r="B274" s="3"/>
      <c r="C274" s="67" t="s">
        <v>847</v>
      </c>
      <c r="D274" s="10"/>
      <c r="E274" s="10"/>
      <c r="F274" s="10"/>
      <c r="G274" s="11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</row>
    <row r="275" spans="1:94" ht="15" customHeight="1">
      <c r="A275" s="10"/>
      <c r="B275" s="3"/>
      <c r="C275" s="17" t="s">
        <v>625</v>
      </c>
      <c r="D275" s="10"/>
      <c r="E275" s="14">
        <v>18000</v>
      </c>
      <c r="F275" s="10"/>
      <c r="G275" s="11" t="s">
        <v>641</v>
      </c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</row>
    <row r="276" spans="1:94" ht="15" customHeight="1">
      <c r="A276" s="10"/>
      <c r="B276" s="3"/>
      <c r="C276" s="17" t="s">
        <v>610</v>
      </c>
      <c r="D276" s="10"/>
      <c r="E276" s="225">
        <f xml:space="preserve"> E94</f>
        <v>25143</v>
      </c>
      <c r="F276" s="10"/>
      <c r="G276" s="11" t="s">
        <v>614</v>
      </c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</row>
    <row r="277" spans="1:94" ht="15" customHeight="1">
      <c r="A277" s="10"/>
      <c r="B277" s="3"/>
      <c r="C277" s="249" t="s">
        <v>648</v>
      </c>
      <c r="D277" s="228"/>
      <c r="E277" s="229">
        <f xml:space="preserve"> E275 * E276 / Thousand</f>
        <v>452574</v>
      </c>
      <c r="F277" s="228"/>
      <c r="G277" s="230" t="str">
        <f>Monetary_Unit</f>
        <v>тыс. руб.</v>
      </c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</row>
    <row r="278" spans="1:94" ht="15" customHeight="1">
      <c r="A278" s="10"/>
      <c r="B278" s="3"/>
      <c r="C278" s="17"/>
      <c r="D278" s="10"/>
      <c r="E278" s="10"/>
      <c r="F278" s="10"/>
      <c r="G278" s="11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</row>
    <row r="279" spans="1:94" ht="15" customHeight="1">
      <c r="A279" s="10"/>
      <c r="B279" s="3"/>
      <c r="C279" s="67" t="s">
        <v>511</v>
      </c>
      <c r="D279" s="10"/>
      <c r="E279" s="10"/>
      <c r="F279" s="10"/>
      <c r="G279" s="11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</row>
    <row r="280" spans="1:94" ht="15" customHeight="1">
      <c r="A280" s="10"/>
      <c r="B280" s="3"/>
      <c r="C280" s="17" t="s">
        <v>628</v>
      </c>
      <c r="D280" s="10"/>
      <c r="E280" s="167">
        <v>4.8000000000000001E-2</v>
      </c>
      <c r="F280" s="10"/>
      <c r="G280" s="11" t="s">
        <v>627</v>
      </c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</row>
    <row r="281" spans="1:94" ht="15" customHeight="1">
      <c r="A281" s="10"/>
      <c r="B281" s="3"/>
      <c r="C281" s="17" t="s">
        <v>1206</v>
      </c>
      <c r="D281" s="10"/>
      <c r="E281" s="167">
        <v>0</v>
      </c>
      <c r="F281" s="10"/>
      <c r="G281" s="11" t="s">
        <v>627</v>
      </c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</row>
    <row r="282" spans="1:94" ht="15" customHeight="1">
      <c r="A282" s="10"/>
      <c r="B282" s="3"/>
      <c r="C282" s="17" t="s">
        <v>630</v>
      </c>
      <c r="D282" s="10"/>
      <c r="E282" s="328">
        <v>0</v>
      </c>
      <c r="F282" s="10"/>
      <c r="G282" s="11" t="s">
        <v>631</v>
      </c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</row>
    <row r="283" spans="1:94" ht="15" customHeight="1">
      <c r="A283" s="10"/>
      <c r="B283" s="3"/>
      <c r="C283" s="17"/>
      <c r="D283" s="10"/>
      <c r="E283" s="10"/>
      <c r="F283" s="10"/>
      <c r="G283" s="11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</row>
    <row r="284" spans="1:94" ht="15" customHeight="1">
      <c r="A284" s="10"/>
      <c r="B284" s="3"/>
      <c r="C284" s="67" t="s">
        <v>639</v>
      </c>
      <c r="D284" s="10"/>
      <c r="E284" s="10" t="str">
        <f>"текушие цены на " &amp; TEXT(Расчеты!$E$85-1,"ДД.ММ.ГГГГ")</f>
        <v>текушие цены на 31.12.2024</v>
      </c>
      <c r="F284" s="10"/>
      <c r="G284" s="11"/>
      <c r="H284" s="10" t="s">
        <v>1205</v>
      </c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</row>
    <row r="285" spans="1:94" ht="15" customHeight="1">
      <c r="A285" s="10"/>
      <c r="B285" s="3"/>
      <c r="C285" s="17" t="s">
        <v>632</v>
      </c>
      <c r="D285" s="10"/>
      <c r="E285" s="10">
        <f xml:space="preserve"> E252</f>
        <v>102303.31391680001</v>
      </c>
      <c r="F285" s="10"/>
      <c r="G285" s="11" t="str">
        <f t="shared" ref="G285:G293" si="120">Monetary_Unit</f>
        <v>тыс. руб.</v>
      </c>
      <c r="H285" s="10">
        <f t="shared" ref="H285:H290" ca="1" si="121">E285*SUMPRODUCT(L296:CO296,CAPEX_Accumulated_From_Date)</f>
        <v>105985.67474336748</v>
      </c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</row>
    <row r="286" spans="1:94" ht="15" customHeight="1">
      <c r="A286" s="10"/>
      <c r="B286" s="3"/>
      <c r="C286" s="17" t="s">
        <v>634</v>
      </c>
      <c r="D286" s="10"/>
      <c r="E286" s="10">
        <f xml:space="preserve"> E256</f>
        <v>0</v>
      </c>
      <c r="F286" s="10"/>
      <c r="G286" s="11" t="str">
        <f t="shared" si="120"/>
        <v>тыс. руб.</v>
      </c>
      <c r="H286" s="10">
        <f t="shared" ca="1" si="121"/>
        <v>0</v>
      </c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</row>
    <row r="287" spans="1:94" ht="15" customHeight="1">
      <c r="A287" s="10"/>
      <c r="B287" s="3"/>
      <c r="C287" s="17" t="s">
        <v>848</v>
      </c>
      <c r="D287" s="10"/>
      <c r="E287" s="10">
        <f xml:space="preserve"> E261</f>
        <v>2557582.8479200001</v>
      </c>
      <c r="F287" s="10"/>
      <c r="G287" s="11" t="str">
        <f t="shared" si="120"/>
        <v>тыс. руб.</v>
      </c>
      <c r="H287" s="10">
        <f t="shared" ca="1" si="121"/>
        <v>2885647.7017379953</v>
      </c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</row>
    <row r="288" spans="1:94" ht="15" customHeight="1">
      <c r="A288" s="10"/>
      <c r="B288" s="3"/>
      <c r="C288" s="17" t="s">
        <v>635</v>
      </c>
      <c r="D288" s="10"/>
      <c r="E288" s="10">
        <f xml:space="preserve"> E272</f>
        <v>935820.7</v>
      </c>
      <c r="F288" s="10"/>
      <c r="G288" s="11" t="str">
        <f t="shared" si="120"/>
        <v>тыс. руб.</v>
      </c>
      <c r="H288" s="10">
        <f t="shared" ca="1" si="121"/>
        <v>1097531.3301707343</v>
      </c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</row>
    <row r="289" spans="1:94" ht="15" customHeight="1">
      <c r="A289" s="10"/>
      <c r="B289" s="3"/>
      <c r="C289" s="17" t="s">
        <v>1219</v>
      </c>
      <c r="D289" s="10"/>
      <c r="E289" s="10">
        <f xml:space="preserve"> E277</f>
        <v>452574</v>
      </c>
      <c r="F289" s="10"/>
      <c r="G289" s="11" t="str">
        <f t="shared" si="120"/>
        <v>тыс. руб.</v>
      </c>
      <c r="H289" s="10">
        <f t="shared" ca="1" si="121"/>
        <v>543918.23751011165</v>
      </c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</row>
    <row r="290" spans="1:94" ht="15" customHeight="1">
      <c r="A290" s="10"/>
      <c r="B290" s="3"/>
      <c r="C290" s="17" t="s">
        <v>628</v>
      </c>
      <c r="D290" s="10"/>
      <c r="E290" s="10">
        <f xml:space="preserve"> E$287 * $E280</f>
        <v>122763.97670016001</v>
      </c>
      <c r="F290" s="10"/>
      <c r="G290" s="11" t="str">
        <f t="shared" si="120"/>
        <v>тыс. руб.</v>
      </c>
      <c r="H290" s="10">
        <f t="shared" ca="1" si="121"/>
        <v>147541.76297463715</v>
      </c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</row>
    <row r="291" spans="1:94" ht="15" customHeight="1">
      <c r="A291" s="10"/>
      <c r="B291" s="3"/>
      <c r="C291" s="17" t="s">
        <v>1206</v>
      </c>
      <c r="D291" s="10"/>
      <c r="E291" s="10">
        <f xml:space="preserve"> E$287 * $E281</f>
        <v>0</v>
      </c>
      <c r="F291" s="10"/>
      <c r="G291" s="11" t="str">
        <f t="shared" si="120"/>
        <v>тыс. руб.</v>
      </c>
      <c r="H291" s="10">
        <f ca="1" xml:space="preserve"> H$287 * $E281</f>
        <v>0</v>
      </c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</row>
    <row r="292" spans="1:94" ht="15" customHeight="1">
      <c r="A292" s="10"/>
      <c r="B292" s="3"/>
      <c r="C292" s="17" t="s">
        <v>824</v>
      </c>
      <c r="D292" s="10"/>
      <c r="E292" s="10">
        <f>SUM(E285:E291) * $E282</f>
        <v>0</v>
      </c>
      <c r="F292" s="10"/>
      <c r="G292" s="11" t="str">
        <f t="shared" si="120"/>
        <v>тыс. руб.</v>
      </c>
      <c r="H292" s="10">
        <f ca="1">SUM(H285:H291) * $E282</f>
        <v>0</v>
      </c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</row>
    <row r="293" spans="1:94" ht="15" customHeight="1">
      <c r="A293" s="10"/>
      <c r="B293" s="3"/>
      <c r="C293" s="249" t="s">
        <v>649</v>
      </c>
      <c r="D293" s="228"/>
      <c r="E293" s="229">
        <f>SUM(E285:E292)</f>
        <v>4171044.8385369605</v>
      </c>
      <c r="F293" s="228"/>
      <c r="G293" s="230" t="str">
        <f t="shared" si="120"/>
        <v>тыс. руб.</v>
      </c>
      <c r="H293" s="229">
        <f ca="1">SUM(H285:H292)</f>
        <v>4780624.7071368461</v>
      </c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</row>
    <row r="294" spans="1:94" ht="15" customHeight="1">
      <c r="A294" s="10"/>
      <c r="B294" s="3"/>
      <c r="C294" s="17"/>
      <c r="D294" s="10"/>
      <c r="E294" s="10"/>
      <c r="F294" s="10"/>
      <c r="G294" s="11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</row>
    <row r="295" spans="1:94" ht="15" customHeight="1">
      <c r="A295" s="10"/>
      <c r="B295" s="3"/>
      <c r="C295" s="67" t="s">
        <v>843</v>
      </c>
      <c r="D295" s="10"/>
      <c r="E295" s="10" t="s">
        <v>637</v>
      </c>
      <c r="F295" s="10"/>
      <c r="G295" s="11" t="s">
        <v>638</v>
      </c>
      <c r="H295" s="62" t="s">
        <v>650</v>
      </c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</row>
    <row r="296" spans="1:94" ht="15" customHeight="1">
      <c r="A296" s="10"/>
      <c r="B296" s="3"/>
      <c r="C296" s="17" t="s">
        <v>632</v>
      </c>
      <c r="D296" s="10"/>
      <c r="E296" s="71">
        <v>45658</v>
      </c>
      <c r="F296" s="10"/>
      <c r="G296" s="479">
        <v>46022</v>
      </c>
      <c r="H296" s="149">
        <f t="shared" ref="H296:H301" si="122" xml:space="preserve"> IFERROR((DATEDIF(E296,G296,"m") + 1) / Months_in_Period,0)</f>
        <v>4</v>
      </c>
      <c r="I296" s="231">
        <f>IF(SUM(L296:CO296)=0,1,SUM(L296:CO296))</f>
        <v>1</v>
      </c>
      <c r="J296" s="10"/>
      <c r="K296" s="10"/>
      <c r="L296" s="231">
        <f xml:space="preserve"> IFERROR(($E296&gt;0)*($E296 &lt;=End_of_period) * ($G296 &gt;=Beginning_of_period) * (1-SUM($K296:K296)) /  IFERROR((DATEDIF(Beginning_of_period,$G296,"m") + 1) / Months_in_Period,0),0)</f>
        <v>0.25</v>
      </c>
      <c r="M296" s="231">
        <f xml:space="preserve"> IFERROR(($E296&gt;0)*($E296 &lt;=End_of_period) * ($G296 &gt;=Beginning_of_period) * (1-SUM($K296:L296)) /  IFERROR((DATEDIF(Beginning_of_period,$G296,"m") + 1) / Months_in_Period,0),0)</f>
        <v>0.25</v>
      </c>
      <c r="N296" s="231">
        <f xml:space="preserve"> IFERROR(($E296&gt;0)*($E296 &lt;=End_of_period) * ($G296 &gt;=Beginning_of_period) * (1-SUM($K296:M296)) /  IFERROR((DATEDIF(Beginning_of_period,$G296,"m") + 1) / Months_in_Period,0),0)</f>
        <v>0.25</v>
      </c>
      <c r="O296" s="231">
        <f xml:space="preserve"> IFERROR(($E296&gt;0)*($E296 &lt;=End_of_period) * ($G296 &gt;=Beginning_of_period) * (1-SUM($K296:N296)) /  IFERROR((DATEDIF(Beginning_of_period,$G296,"m") + 1) / Months_in_Period,0),0)</f>
        <v>0.25</v>
      </c>
      <c r="P296" s="231">
        <f xml:space="preserve"> IFERROR(($E296&gt;0)*($E296 &lt;=End_of_period) * ($G296 &gt;=Beginning_of_period) * (1-SUM($K296:O296)) /  IFERROR((DATEDIF(Beginning_of_period,$G296,"m") + 1) / Months_in_Period,0),0)</f>
        <v>0</v>
      </c>
      <c r="Q296" s="231">
        <f xml:space="preserve"> IFERROR(($E296&gt;0)*($E296 &lt;=End_of_period) * ($G296 &gt;=Beginning_of_period) * (1-SUM($K296:P296)) /  IFERROR((DATEDIF(Beginning_of_period,$G296,"m") + 1) / Months_in_Period,0),0)</f>
        <v>0</v>
      </c>
      <c r="R296" s="231">
        <f xml:space="preserve"> IFERROR(($E296&gt;0)*($E296 &lt;=End_of_period) * ($G296 &gt;=Beginning_of_period) * (1-SUM($K296:Q296)) /  IFERROR((DATEDIF(Beginning_of_period,$G296,"m") + 1) / Months_in_Period,0),0)</f>
        <v>0</v>
      </c>
      <c r="S296" s="231">
        <f xml:space="preserve"> IFERROR(($E296&gt;0)*($E296 &lt;=End_of_period) * ($G296 &gt;=Beginning_of_period) * (1-SUM($K296:R296)) /  IFERROR((DATEDIF(Beginning_of_period,$G296,"m") + 1) / Months_in_Period,0),0)</f>
        <v>0</v>
      </c>
      <c r="T296" s="231">
        <f xml:space="preserve"> IFERROR(($E296&gt;0)*($E296 &lt;=End_of_period) * ($G296 &gt;=Beginning_of_period) * (1-SUM($K296:S296)) /  IFERROR((DATEDIF(Beginning_of_period,$G296,"m") + 1) / Months_in_Period,0),0)</f>
        <v>0</v>
      </c>
      <c r="U296" s="231">
        <f xml:space="preserve"> IFERROR(($E296&gt;0)*($E296 &lt;=End_of_period) * ($G296 &gt;=Beginning_of_period) * (1-SUM($K296:T296)) /  IFERROR((DATEDIF(Beginning_of_period,$G296,"m") + 1) / Months_in_Period,0),0)</f>
        <v>0</v>
      </c>
      <c r="V296" s="231">
        <f xml:space="preserve"> IFERROR(($E296&gt;0)*($E296 &lt;=End_of_period) * ($G296 &gt;=Beginning_of_period) * (1-SUM($K296:U296)) /  IFERROR((DATEDIF(Beginning_of_period,$G296,"m") + 1) / Months_in_Period,0),0)</f>
        <v>0</v>
      </c>
      <c r="W296" s="231">
        <f xml:space="preserve"> IFERROR(($E296&gt;0)*($E296 &lt;=End_of_period) * ($G296 &gt;=Beginning_of_period) * (1-SUM($K296:V296)) /  IFERROR((DATEDIF(Beginning_of_period,$G296,"m") + 1) / Months_in_Period,0),0)</f>
        <v>0</v>
      </c>
      <c r="X296" s="231">
        <f xml:space="preserve"> IFERROR(($E296&gt;0)*($E296 &lt;=End_of_period) * ($G296 &gt;=Beginning_of_period) * (1-SUM($K296:W296)) /  IFERROR((DATEDIF(Beginning_of_period,$G296,"m") + 1) / Months_in_Period,0),0)</f>
        <v>0</v>
      </c>
      <c r="Y296" s="231">
        <f xml:space="preserve"> IFERROR(($E296&gt;0)*($E296 &lt;=End_of_period) * ($G296 &gt;=Beginning_of_period) * (1-SUM($K296:X296)) /  IFERROR((DATEDIF(Beginning_of_period,$G296,"m") + 1) / Months_in_Period,0),0)</f>
        <v>0</v>
      </c>
      <c r="Z296" s="231">
        <f xml:space="preserve"> IFERROR(($E296&gt;0)*($E296 &lt;=End_of_period) * ($G296 &gt;=Beginning_of_period) * (1-SUM($K296:Y296)) /  IFERROR((DATEDIF(Beginning_of_period,$G296,"m") + 1) / Months_in_Period,0),0)</f>
        <v>0</v>
      </c>
      <c r="AA296" s="231">
        <f xml:space="preserve"> IFERROR(($E296&gt;0)*($E296 &lt;=End_of_period) * ($G296 &gt;=Beginning_of_period) * (1-SUM($K296:Z296)) /  IFERROR((DATEDIF(Beginning_of_period,$G296,"m") + 1) / Months_in_Period,0),0)</f>
        <v>0</v>
      </c>
      <c r="AB296" s="231">
        <f xml:space="preserve"> IFERROR(($E296&gt;0)*($E296 &lt;=End_of_period) * ($G296 &gt;=Beginning_of_period) * (1-SUM($K296:AA296)) /  IFERROR((DATEDIF(Beginning_of_period,$G296,"m") + 1) / Months_in_Period,0),0)</f>
        <v>0</v>
      </c>
      <c r="AC296" s="231">
        <f xml:space="preserve"> IFERROR(($E296&gt;0)*($E296 &lt;=End_of_period) * ($G296 &gt;=Beginning_of_period) * (1-SUM($K296:AB296)) /  IFERROR((DATEDIF(Beginning_of_period,$G296,"m") + 1) / Months_in_Period,0),0)</f>
        <v>0</v>
      </c>
      <c r="AD296" s="231">
        <f xml:space="preserve"> IFERROR(($E296&gt;0)*($E296 &lt;=End_of_period) * ($G296 &gt;=Beginning_of_period) * (1-SUM($K296:AC296)) /  IFERROR((DATEDIF(Beginning_of_period,$G296,"m") + 1) / Months_in_Period,0),0)</f>
        <v>0</v>
      </c>
      <c r="AE296" s="231">
        <f xml:space="preserve"> IFERROR(($E296&gt;0)*($E296 &lt;=End_of_period) * ($G296 &gt;=Beginning_of_period) * (1-SUM($K296:AD296)) /  IFERROR((DATEDIF(Beginning_of_period,$G296,"m") + 1) / Months_in_Period,0),0)</f>
        <v>0</v>
      </c>
      <c r="AF296" s="231">
        <f xml:space="preserve"> IFERROR(($E296&gt;0)*($E296 &lt;=End_of_period) * ($G296 &gt;=Beginning_of_period) * (1-SUM($K296:AE296)) /  IFERROR((DATEDIF(Beginning_of_period,$G296,"m") + 1) / Months_in_Period,0),0)</f>
        <v>0</v>
      </c>
      <c r="AG296" s="231">
        <f xml:space="preserve"> IFERROR(($E296&gt;0)*($E296 &lt;=End_of_period) * ($G296 &gt;=Beginning_of_period) * (1-SUM($K296:AF296)) /  IFERROR((DATEDIF(Beginning_of_period,$G296,"m") + 1) / Months_in_Period,0),0)</f>
        <v>0</v>
      </c>
      <c r="AH296" s="231">
        <f xml:space="preserve"> IFERROR(($E296&gt;0)*($E296 &lt;=End_of_period) * ($G296 &gt;=Beginning_of_period) * (1-SUM($K296:AG296)) /  IFERROR((DATEDIF(Beginning_of_period,$G296,"m") + 1) / Months_in_Period,0),0)</f>
        <v>0</v>
      </c>
      <c r="AI296" s="231">
        <f xml:space="preserve"> IFERROR(($E296&gt;0)*($E296 &lt;=End_of_period) * ($G296 &gt;=Beginning_of_period) * (1-SUM($K296:AH296)) /  IFERROR((DATEDIF(Beginning_of_period,$G296,"m") + 1) / Months_in_Period,0),0)</f>
        <v>0</v>
      </c>
      <c r="AJ296" s="231">
        <f xml:space="preserve"> IFERROR(($E296&gt;0)*($E296 &lt;=End_of_period) * ($G296 &gt;=Beginning_of_period) * (1-SUM($K296:AI296)) /  IFERROR((DATEDIF(Beginning_of_period,$G296,"m") + 1) / Months_in_Period,0),0)</f>
        <v>0</v>
      </c>
      <c r="AK296" s="231">
        <f xml:space="preserve"> IFERROR(($E296&gt;0)*($E296 &lt;=End_of_period) * ($G296 &gt;=Beginning_of_period) * (1-SUM($K296:AJ296)) /  IFERROR((DATEDIF(Beginning_of_period,$G296,"m") + 1) / Months_in_Period,0),0)</f>
        <v>0</v>
      </c>
      <c r="AL296" s="231">
        <f xml:space="preserve"> IFERROR(($E296&gt;0)*($E296 &lt;=End_of_period) * ($G296 &gt;=Beginning_of_period) * (1-SUM($K296:AK296)) /  IFERROR((DATEDIF(Beginning_of_period,$G296,"m") + 1) / Months_in_Period,0),0)</f>
        <v>0</v>
      </c>
      <c r="AM296" s="231">
        <f xml:space="preserve"> IFERROR(($E296&gt;0)*($E296 &lt;=End_of_period) * ($G296 &gt;=Beginning_of_period) * (1-SUM($K296:AL296)) /  IFERROR((DATEDIF(Beginning_of_period,$G296,"m") + 1) / Months_in_Period,0),0)</f>
        <v>0</v>
      </c>
      <c r="AN296" s="231">
        <f xml:space="preserve"> IFERROR(($E296&gt;0)*($E296 &lt;=End_of_period) * ($G296 &gt;=Beginning_of_period) * (1-SUM($K296:AM296)) /  IFERROR((DATEDIF(Beginning_of_period,$G296,"m") + 1) / Months_in_Period,0),0)</f>
        <v>0</v>
      </c>
      <c r="AO296" s="231">
        <f xml:space="preserve"> IFERROR(($E296&gt;0)*($E296 &lt;=End_of_period) * ($G296 &gt;=Beginning_of_period) * (1-SUM($K296:AN296)) /  IFERROR((DATEDIF(Beginning_of_period,$G296,"m") + 1) / Months_in_Period,0),0)</f>
        <v>0</v>
      </c>
      <c r="AP296" s="231">
        <f xml:space="preserve"> IFERROR(($E296&gt;0)*($E296 &lt;=End_of_period) * ($G296 &gt;=Beginning_of_period) * (1-SUM($K296:AO296)) /  IFERROR((DATEDIF(Beginning_of_period,$G296,"m") + 1) / Months_in_Period,0),0)</f>
        <v>0</v>
      </c>
      <c r="AQ296" s="231">
        <f xml:space="preserve"> IFERROR(($E296&gt;0)*($E296 &lt;=End_of_period) * ($G296 &gt;=Beginning_of_period) * (1-SUM($K296:AP296)) /  IFERROR((DATEDIF(Beginning_of_period,$G296,"m") + 1) / Months_in_Period,0),0)</f>
        <v>0</v>
      </c>
      <c r="AR296" s="231">
        <f xml:space="preserve"> IFERROR(($E296&gt;0)*($E296 &lt;=End_of_period) * ($G296 &gt;=Beginning_of_period) * (1-SUM($K296:AQ296)) /  IFERROR((DATEDIF(Beginning_of_period,$G296,"m") + 1) / Months_in_Period,0),0)</f>
        <v>0</v>
      </c>
      <c r="AS296" s="231">
        <f xml:space="preserve"> IFERROR(($E296&gt;0)*($E296 &lt;=End_of_period) * ($G296 &gt;=Beginning_of_period) * (1-SUM($K296:AR296)) /  IFERROR((DATEDIF(Beginning_of_period,$G296,"m") + 1) / Months_in_Period,0),0)</f>
        <v>0</v>
      </c>
      <c r="AT296" s="231">
        <f xml:space="preserve"> IFERROR(($E296&gt;0)*($E296 &lt;=End_of_period) * ($G296 &gt;=Beginning_of_period) * (1-SUM($K296:AS296)) /  IFERROR((DATEDIF(Beginning_of_period,$G296,"m") + 1) / Months_in_Period,0),0)</f>
        <v>0</v>
      </c>
      <c r="AU296" s="231">
        <f xml:space="preserve"> IFERROR(($E296&gt;0)*($E296 &lt;=End_of_period) * ($G296 &gt;=Beginning_of_period) * (1-SUM($K296:AT296)) /  IFERROR((DATEDIF(Beginning_of_period,$G296,"m") + 1) / Months_in_Period,0),0)</f>
        <v>0</v>
      </c>
      <c r="AV296" s="231">
        <f xml:space="preserve"> IFERROR(($E296&gt;0)*($E296 &lt;=End_of_period) * ($G296 &gt;=Beginning_of_period) * (1-SUM($K296:AU296)) /  IFERROR((DATEDIF(Beginning_of_period,$G296,"m") + 1) / Months_in_Period,0),0)</f>
        <v>0</v>
      </c>
      <c r="AW296" s="231">
        <f xml:space="preserve"> IFERROR(($E296&gt;0)*($E296 &lt;=End_of_period) * ($G296 &gt;=Beginning_of_period) * (1-SUM($K296:AV296)) /  IFERROR((DATEDIF(Beginning_of_period,$G296,"m") + 1) / Months_in_Period,0),0)</f>
        <v>0</v>
      </c>
      <c r="AX296" s="231">
        <f xml:space="preserve"> IFERROR(($E296&gt;0)*($E296 &lt;=End_of_period) * ($G296 &gt;=Beginning_of_period) * (1-SUM($K296:AW296)) /  IFERROR((DATEDIF(Beginning_of_period,$G296,"m") + 1) / Months_in_Period,0),0)</f>
        <v>0</v>
      </c>
      <c r="AY296" s="231">
        <f xml:space="preserve"> IFERROR(($E296&gt;0)*($E296 &lt;=End_of_period) * ($G296 &gt;=Beginning_of_period) * (1-SUM($K296:AX296)) /  IFERROR((DATEDIF(Beginning_of_period,$G296,"m") + 1) / Months_in_Period,0),0)</f>
        <v>0</v>
      </c>
      <c r="AZ296" s="231">
        <f xml:space="preserve"> IFERROR(($E296&gt;0)*($E296 &lt;=End_of_period) * ($G296 &gt;=Beginning_of_period) * (1-SUM($K296:AY296)) /  IFERROR((DATEDIF(Beginning_of_period,$G296,"m") + 1) / Months_in_Period,0),0)</f>
        <v>0</v>
      </c>
      <c r="BA296" s="231">
        <f xml:space="preserve"> IFERROR(($E296&gt;0)*($E296 &lt;=End_of_period) * ($G296 &gt;=Beginning_of_period) * (1-SUM($K296:AZ296)) /  IFERROR((DATEDIF(Beginning_of_period,$G296,"m") + 1) / Months_in_Period,0),0)</f>
        <v>0</v>
      </c>
      <c r="BB296" s="231">
        <f xml:space="preserve"> IFERROR(($E296&gt;0)*($E296 &lt;=End_of_period) * ($G296 &gt;=Beginning_of_period) * (1-SUM($K296:BA296)) /  IFERROR((DATEDIF(Beginning_of_period,$G296,"m") + 1) / Months_in_Period,0),0)</f>
        <v>0</v>
      </c>
      <c r="BC296" s="231">
        <f xml:space="preserve"> IFERROR(($E296&gt;0)*($E296 &lt;=End_of_period) * ($G296 &gt;=Beginning_of_period) * (1-SUM($K296:BB296)) /  IFERROR((DATEDIF(Beginning_of_period,$G296,"m") + 1) / Months_in_Period,0),0)</f>
        <v>0</v>
      </c>
      <c r="BD296" s="231">
        <f xml:space="preserve"> IFERROR(($E296&gt;0)*($E296 &lt;=End_of_period) * ($G296 &gt;=Beginning_of_period) * (1-SUM($K296:BC296)) /  IFERROR((DATEDIF(Beginning_of_period,$G296,"m") + 1) / Months_in_Period,0),0)</f>
        <v>0</v>
      </c>
      <c r="BE296" s="231">
        <f xml:space="preserve"> IFERROR(($E296&gt;0)*($E296 &lt;=End_of_period) * ($G296 &gt;=Beginning_of_period) * (1-SUM($K296:BD296)) /  IFERROR((DATEDIF(Beginning_of_period,$G296,"m") + 1) / Months_in_Period,0),0)</f>
        <v>0</v>
      </c>
      <c r="BF296" s="231">
        <f xml:space="preserve"> IFERROR(($E296&gt;0)*($E296 &lt;=End_of_period) * ($G296 &gt;=Beginning_of_period) * (1-SUM($K296:BE296)) /  IFERROR((DATEDIF(Beginning_of_period,$G296,"m") + 1) / Months_in_Period,0),0)</f>
        <v>0</v>
      </c>
      <c r="BG296" s="231">
        <f xml:space="preserve"> IFERROR(($E296&gt;0)*($E296 &lt;=End_of_period) * ($G296 &gt;=Beginning_of_period) * (1-SUM($K296:BF296)) /  IFERROR((DATEDIF(Beginning_of_period,$G296,"m") + 1) / Months_in_Period,0),0)</f>
        <v>0</v>
      </c>
      <c r="BH296" s="231">
        <f xml:space="preserve"> IFERROR(($E296&gt;0)*($E296 &lt;=End_of_period) * ($G296 &gt;=Beginning_of_period) * (1-SUM($K296:BG296)) /  IFERROR((DATEDIF(Beginning_of_period,$G296,"m") + 1) / Months_in_Period,0),0)</f>
        <v>0</v>
      </c>
      <c r="BI296" s="231">
        <f xml:space="preserve"> IFERROR(($E296&gt;0)*($E296 &lt;=End_of_period) * ($G296 &gt;=Beginning_of_period) * (1-SUM($K296:BH296)) /  IFERROR((DATEDIF(Beginning_of_period,$G296,"m") + 1) / Months_in_Period,0),0)</f>
        <v>0</v>
      </c>
      <c r="BJ296" s="231">
        <f xml:space="preserve"> IFERROR(($E296&gt;0)*($E296 &lt;=End_of_period) * ($G296 &gt;=Beginning_of_period) * (1-SUM($K296:BI296)) /  IFERROR((DATEDIF(Beginning_of_period,$G296,"m") + 1) / Months_in_Period,0),0)</f>
        <v>0</v>
      </c>
      <c r="BK296" s="231">
        <f xml:space="preserve"> IFERROR(($E296&gt;0)*($E296 &lt;=End_of_period) * ($G296 &gt;=Beginning_of_period) * (1-SUM($K296:BJ296)) /  IFERROR((DATEDIF(Beginning_of_period,$G296,"m") + 1) / Months_in_Period,0),0)</f>
        <v>0</v>
      </c>
      <c r="BL296" s="231">
        <f xml:space="preserve"> IFERROR(($E296&gt;0)*($E296 &lt;=End_of_period) * ($G296 &gt;=Beginning_of_period) * (1-SUM($K296:BK296)) /  IFERROR((DATEDIF(Beginning_of_period,$G296,"m") + 1) / Months_in_Period,0),0)</f>
        <v>0</v>
      </c>
      <c r="BM296" s="231">
        <f xml:space="preserve"> IFERROR(($E296&gt;0)*($E296 &lt;=End_of_period) * ($G296 &gt;=Beginning_of_period) * (1-SUM($K296:BL296)) /  IFERROR((DATEDIF(Beginning_of_period,$G296,"m") + 1) / Months_in_Period,0),0)</f>
        <v>0</v>
      </c>
      <c r="BN296" s="231">
        <f xml:space="preserve"> IFERROR(($E296&gt;0)*($E296 &lt;=End_of_period) * ($G296 &gt;=Beginning_of_period) * (1-SUM($K296:BM296)) /  IFERROR((DATEDIF(Beginning_of_period,$G296,"m") + 1) / Months_in_Period,0),0)</f>
        <v>0</v>
      </c>
      <c r="BO296" s="231">
        <f xml:space="preserve"> IFERROR(($E296&gt;0)*($E296 &lt;=End_of_period) * ($G296 &gt;=Beginning_of_period) * (1-SUM($K296:BN296)) /  IFERROR((DATEDIF(Beginning_of_period,$G296,"m") + 1) / Months_in_Period,0),0)</f>
        <v>0</v>
      </c>
      <c r="BP296" s="231">
        <f xml:space="preserve"> IFERROR(($E296&gt;0)*($E296 &lt;=End_of_period) * ($G296 &gt;=Beginning_of_period) * (1-SUM($K296:BO296)) /  IFERROR((DATEDIF(Beginning_of_period,$G296,"m") + 1) / Months_in_Period,0),0)</f>
        <v>0</v>
      </c>
      <c r="BQ296" s="231">
        <f xml:space="preserve"> IFERROR(($E296&gt;0)*($E296 &lt;=End_of_period) * ($G296 &gt;=Beginning_of_period) * (1-SUM($K296:BP296)) /  IFERROR((DATEDIF(Beginning_of_period,$G296,"m") + 1) / Months_in_Period,0),0)</f>
        <v>0</v>
      </c>
      <c r="BR296" s="231">
        <f xml:space="preserve"> IFERROR(($E296&gt;0)*($E296 &lt;=End_of_period) * ($G296 &gt;=Beginning_of_period) * (1-SUM($K296:BQ296)) /  IFERROR((DATEDIF(Beginning_of_period,$G296,"m") + 1) / Months_in_Period,0),0)</f>
        <v>0</v>
      </c>
      <c r="BS296" s="231">
        <f xml:space="preserve"> IFERROR(($E296&gt;0)*($E296 &lt;=End_of_period) * ($G296 &gt;=Beginning_of_period) * (1-SUM($K296:BR296)) /  IFERROR((DATEDIF(Beginning_of_period,$G296,"m") + 1) / Months_in_Period,0),0)</f>
        <v>0</v>
      </c>
      <c r="BT296" s="231">
        <f xml:space="preserve"> IFERROR(($E296&gt;0)*($E296 &lt;=End_of_period) * ($G296 &gt;=Beginning_of_period) * (1-SUM($K296:BS296)) /  IFERROR((DATEDIF(Beginning_of_period,$G296,"m") + 1) / Months_in_Period,0),0)</f>
        <v>0</v>
      </c>
      <c r="BU296" s="231">
        <f xml:space="preserve"> IFERROR(($E296&gt;0)*($E296 &lt;=End_of_period) * ($G296 &gt;=Beginning_of_period) * (1-SUM($K296:BT296)) /  IFERROR((DATEDIF(Beginning_of_period,$G296,"m") + 1) / Months_in_Period,0),0)</f>
        <v>0</v>
      </c>
      <c r="BV296" s="231">
        <f xml:space="preserve"> IFERROR(($E296&gt;0)*($E296 &lt;=End_of_period) * ($G296 &gt;=Beginning_of_period) * (1-SUM($K296:BU296)) /  IFERROR((DATEDIF(Beginning_of_period,$G296,"m") + 1) / Months_in_Period,0),0)</f>
        <v>0</v>
      </c>
      <c r="BW296" s="231">
        <f xml:space="preserve"> IFERROR(($E296&gt;0)*($E296 &lt;=End_of_period) * ($G296 &gt;=Beginning_of_period) * (1-SUM($K296:BV296)) /  IFERROR((DATEDIF(Beginning_of_period,$G296,"m") + 1) / Months_in_Period,0),0)</f>
        <v>0</v>
      </c>
      <c r="BX296" s="231">
        <f xml:space="preserve"> IFERROR(($E296&gt;0)*($E296 &lt;=End_of_period) * ($G296 &gt;=Beginning_of_period) * (1-SUM($K296:BW296)) /  IFERROR((DATEDIF(Beginning_of_period,$G296,"m") + 1) / Months_in_Period,0),0)</f>
        <v>0</v>
      </c>
      <c r="BY296" s="231">
        <f xml:space="preserve"> IFERROR(($E296&gt;0)*($E296 &lt;=End_of_period) * ($G296 &gt;=Beginning_of_period) * (1-SUM($K296:BX296)) /  IFERROR((DATEDIF(Beginning_of_period,$G296,"m") + 1) / Months_in_Period,0),0)</f>
        <v>0</v>
      </c>
      <c r="BZ296" s="231">
        <f xml:space="preserve"> IFERROR(($E296&gt;0)*($E296 &lt;=End_of_period) * ($G296 &gt;=Beginning_of_period) * (1-SUM($K296:BY296)) /  IFERROR((DATEDIF(Beginning_of_period,$G296,"m") + 1) / Months_in_Period,0),0)</f>
        <v>0</v>
      </c>
      <c r="CA296" s="231">
        <f xml:space="preserve"> IFERROR(($E296&gt;0)*($E296 &lt;=End_of_period) * ($G296 &gt;=Beginning_of_period) * (1-SUM($K296:BZ296)) /  IFERROR((DATEDIF(Beginning_of_period,$G296,"m") + 1) / Months_in_Period,0),0)</f>
        <v>0</v>
      </c>
      <c r="CB296" s="231">
        <f xml:space="preserve"> IFERROR(($E296&gt;0)*($E296 &lt;=End_of_period) * ($G296 &gt;=Beginning_of_period) * (1-SUM($K296:CA296)) /  IFERROR((DATEDIF(Beginning_of_period,$G296,"m") + 1) / Months_in_Period,0),0)</f>
        <v>0</v>
      </c>
      <c r="CC296" s="231">
        <f xml:space="preserve"> IFERROR(($E296&gt;0)*($E296 &lt;=End_of_period) * ($G296 &gt;=Beginning_of_period) * (1-SUM($K296:CB296)) /  IFERROR((DATEDIF(Beginning_of_period,$G296,"m") + 1) / Months_in_Period,0),0)</f>
        <v>0</v>
      </c>
      <c r="CD296" s="231">
        <f xml:space="preserve"> IFERROR(($E296&gt;0)*($E296 &lt;=End_of_period) * ($G296 &gt;=Beginning_of_period) * (1-SUM($K296:CC296)) /  IFERROR((DATEDIF(Beginning_of_period,$G296,"m") + 1) / Months_in_Period,0),0)</f>
        <v>0</v>
      </c>
      <c r="CE296" s="231">
        <f xml:space="preserve"> IFERROR(($E296&gt;0)*($E296 &lt;=End_of_period) * ($G296 &gt;=Beginning_of_period) * (1-SUM($K296:CD296)) /  IFERROR((DATEDIF(Beginning_of_period,$G296,"m") + 1) / Months_in_Period,0),0)</f>
        <v>0</v>
      </c>
      <c r="CF296" s="231">
        <f xml:space="preserve"> IFERROR(($E296&gt;0)*($E296 &lt;=End_of_period) * ($G296 &gt;=Beginning_of_period) * (1-SUM($K296:CE296)) /  IFERROR((DATEDIF(Beginning_of_period,$G296,"m") + 1) / Months_in_Period,0),0)</f>
        <v>0</v>
      </c>
      <c r="CG296" s="231">
        <f xml:space="preserve"> IFERROR(($E296&gt;0)*($E296 &lt;=End_of_period) * ($G296 &gt;=Beginning_of_period) * (1-SUM($K296:CF296)) /  IFERROR((DATEDIF(Beginning_of_period,$G296,"m") + 1) / Months_in_Period,0),0)</f>
        <v>0</v>
      </c>
      <c r="CH296" s="231">
        <f xml:space="preserve"> IFERROR(($E296&gt;0)*($E296 &lt;=End_of_period) * ($G296 &gt;=Beginning_of_period) * (1-SUM($K296:CG296)) /  IFERROR((DATEDIF(Beginning_of_period,$G296,"m") + 1) / Months_in_Period,0),0)</f>
        <v>0</v>
      </c>
      <c r="CI296" s="231">
        <f xml:space="preserve"> IFERROR(($E296&gt;0)*($E296 &lt;=End_of_period) * ($G296 &gt;=Beginning_of_period) * (1-SUM($K296:CH296)) /  IFERROR((DATEDIF(Beginning_of_period,$G296,"m") + 1) / Months_in_Period,0),0)</f>
        <v>0</v>
      </c>
      <c r="CJ296" s="231">
        <f xml:space="preserve"> IFERROR(($E296&gt;0)*($E296 &lt;=End_of_period) * ($G296 &gt;=Beginning_of_period) * (1-SUM($K296:CI296)) /  IFERROR((DATEDIF(Beginning_of_period,$G296,"m") + 1) / Months_in_Period,0),0)</f>
        <v>0</v>
      </c>
      <c r="CK296" s="231">
        <f xml:space="preserve"> IFERROR(($E296&gt;0)*($E296 &lt;=End_of_period) * ($G296 &gt;=Beginning_of_period) * (1-SUM($K296:CJ296)) /  IFERROR((DATEDIF(Beginning_of_period,$G296,"m") + 1) / Months_in_Period,0),0)</f>
        <v>0</v>
      </c>
      <c r="CL296" s="231">
        <f xml:space="preserve"> IFERROR(($E296&gt;0)*($E296 &lt;=End_of_period) * ($G296 &gt;=Beginning_of_period) * (1-SUM($K296:CK296)) /  IFERROR((DATEDIF(Beginning_of_period,$G296,"m") + 1) / Months_in_Period,0),0)</f>
        <v>0</v>
      </c>
      <c r="CM296" s="231">
        <f xml:space="preserve"> IFERROR(($E296&gt;0)*($E296 &lt;=End_of_period) * ($G296 &gt;=Beginning_of_period) * (1-SUM($K296:CL296)) /  IFERROR((DATEDIF(Beginning_of_period,$G296,"m") + 1) / Months_in_Period,0),0)</f>
        <v>0</v>
      </c>
      <c r="CN296" s="231">
        <f xml:space="preserve"> IFERROR(($E296&gt;0)*($E296 &lt;=End_of_period) * ($G296 &gt;=Beginning_of_period) * (1-SUM($K296:CM296)) /  IFERROR((DATEDIF(Beginning_of_period,$G296,"m") + 1) / Months_in_Period,0),0)</f>
        <v>0</v>
      </c>
      <c r="CO296" s="231">
        <f xml:space="preserve"> IFERROR(($E296&gt;0)*($E296 &lt;=End_of_period) * ($G296 &gt;=Beginning_of_period) * (1-SUM($K296:CN296)) /  IFERROR((DATEDIF(Beginning_of_period,$G296,"m") + 1) / Months_in_Period,0),0)</f>
        <v>0</v>
      </c>
      <c r="CP296" s="10"/>
    </row>
    <row r="297" spans="1:94" ht="15" customHeight="1">
      <c r="A297" s="10"/>
      <c r="B297" s="3"/>
      <c r="C297" s="17" t="s">
        <v>634</v>
      </c>
      <c r="D297" s="10"/>
      <c r="E297" s="71">
        <v>45931</v>
      </c>
      <c r="F297" s="10"/>
      <c r="G297" s="479">
        <v>46387</v>
      </c>
      <c r="H297" s="149">
        <f t="shared" si="122"/>
        <v>5</v>
      </c>
      <c r="I297" s="231">
        <f t="shared" ref="I297:I300" si="123">IF(SUM(L297:CO297)=0,1,SUM(L297:CO297))</f>
        <v>1</v>
      </c>
      <c r="J297" s="10"/>
      <c r="K297" s="10"/>
      <c r="L297" s="231">
        <f xml:space="preserve"> IFERROR(($E297&gt;0)*($E297 &lt;=End_of_period) * ($G297 &gt;=Beginning_of_period) * (1-SUM($K297:K297)) /  IFERROR((DATEDIF(Beginning_of_period,$G297,"m") + 1) / Months_in_Period,0),0)</f>
        <v>0</v>
      </c>
      <c r="M297" s="231">
        <f xml:space="preserve"> IFERROR(($E297&gt;0)*($E297 &lt;=End_of_period) * ($G297 &gt;=Beginning_of_period) * (1-SUM($K297:L297)) /  IFERROR((DATEDIF(Beginning_of_period,$G297,"m") + 1) / Months_in_Period,0),0)</f>
        <v>0</v>
      </c>
      <c r="N297" s="231">
        <f xml:space="preserve"> IFERROR(($E297&gt;0)*($E297 &lt;=End_of_period) * ($G297 &gt;=Beginning_of_period) * (1-SUM($K297:M297)) /  IFERROR((DATEDIF(Beginning_of_period,$G297,"m") + 1) / Months_in_Period,0),0)</f>
        <v>0</v>
      </c>
      <c r="O297" s="231">
        <f xml:space="preserve"> IFERROR(($E297&gt;0)*($E297 &lt;=End_of_period) * ($G297 &gt;=Beginning_of_period) * (1-SUM($K297:N297)) /  IFERROR((DATEDIF(Beginning_of_period,$G297,"m") + 1) / Months_in_Period,0),0)</f>
        <v>0.2</v>
      </c>
      <c r="P297" s="231">
        <f xml:space="preserve"> IFERROR(($E297&gt;0)*($E297 &lt;=End_of_period) * ($G297 &gt;=Beginning_of_period) * (1-SUM($K297:O297)) /  IFERROR((DATEDIF(Beginning_of_period,$G297,"m") + 1) / Months_in_Period,0),0)</f>
        <v>0.2</v>
      </c>
      <c r="Q297" s="231">
        <f xml:space="preserve"> IFERROR(($E297&gt;0)*($E297 &lt;=End_of_period) * ($G297 &gt;=Beginning_of_period) * (1-SUM($K297:P297)) /  IFERROR((DATEDIF(Beginning_of_period,$G297,"m") + 1) / Months_in_Period,0),0)</f>
        <v>0.19999999999999998</v>
      </c>
      <c r="R297" s="231">
        <f xml:space="preserve"> IFERROR(($E297&gt;0)*($E297 &lt;=End_of_period) * ($G297 &gt;=Beginning_of_period) * (1-SUM($K297:Q297)) /  IFERROR((DATEDIF(Beginning_of_period,$G297,"m") + 1) / Months_in_Period,0),0)</f>
        <v>0.2</v>
      </c>
      <c r="S297" s="231">
        <f xml:space="preserve"> IFERROR(($E297&gt;0)*($E297 &lt;=End_of_period) * ($G297 &gt;=Beginning_of_period) * (1-SUM($K297:R297)) /  IFERROR((DATEDIF(Beginning_of_period,$G297,"m") + 1) / Months_in_Period,0),0)</f>
        <v>0.19999999999999996</v>
      </c>
      <c r="T297" s="231">
        <f xml:space="preserve"> IFERROR(($E297&gt;0)*($E297 &lt;=End_of_period) * ($G297 &gt;=Beginning_of_period) * (1-SUM($K297:S297)) /  IFERROR((DATEDIF(Beginning_of_period,$G297,"m") + 1) / Months_in_Period,0),0)</f>
        <v>0</v>
      </c>
      <c r="U297" s="231">
        <f xml:space="preserve"> IFERROR(($E297&gt;0)*($E297 &lt;=End_of_period) * ($G297 &gt;=Beginning_of_period) * (1-SUM($K297:T297)) /  IFERROR((DATEDIF(Beginning_of_period,$G297,"m") + 1) / Months_in_Period,0),0)</f>
        <v>0</v>
      </c>
      <c r="V297" s="231">
        <f xml:space="preserve"> IFERROR(($E297&gt;0)*($E297 &lt;=End_of_period) * ($G297 &gt;=Beginning_of_period) * (1-SUM($K297:U297)) /  IFERROR((DATEDIF(Beginning_of_period,$G297,"m") + 1) / Months_in_Period,0),0)</f>
        <v>0</v>
      </c>
      <c r="W297" s="231">
        <f xml:space="preserve"> IFERROR(($E297&gt;0)*($E297 &lt;=End_of_period) * ($G297 &gt;=Beginning_of_period) * (1-SUM($K297:V297)) /  IFERROR((DATEDIF(Beginning_of_period,$G297,"m") + 1) / Months_in_Period,0),0)</f>
        <v>0</v>
      </c>
      <c r="X297" s="231">
        <f xml:space="preserve"> IFERROR(($E297&gt;0)*($E297 &lt;=End_of_period) * ($G297 &gt;=Beginning_of_period) * (1-SUM($K297:W297)) /  IFERROR((DATEDIF(Beginning_of_period,$G297,"m") + 1) / Months_in_Period,0),0)</f>
        <v>0</v>
      </c>
      <c r="Y297" s="231">
        <f xml:space="preserve"> IFERROR(($E297&gt;0)*($E297 &lt;=End_of_period) * ($G297 &gt;=Beginning_of_period) * (1-SUM($K297:X297)) /  IFERROR((DATEDIF(Beginning_of_period,$G297,"m") + 1) / Months_in_Period,0),0)</f>
        <v>0</v>
      </c>
      <c r="Z297" s="231">
        <f xml:space="preserve"> IFERROR(($E297&gt;0)*($E297 &lt;=End_of_period) * ($G297 &gt;=Beginning_of_period) * (1-SUM($K297:Y297)) /  IFERROR((DATEDIF(Beginning_of_period,$G297,"m") + 1) / Months_in_Period,0),0)</f>
        <v>0</v>
      </c>
      <c r="AA297" s="231">
        <f xml:space="preserve"> IFERROR(($E297&gt;0)*($E297 &lt;=End_of_period) * ($G297 &gt;=Beginning_of_period) * (1-SUM($K297:Z297)) /  IFERROR((DATEDIF(Beginning_of_period,$G297,"m") + 1) / Months_in_Period,0),0)</f>
        <v>0</v>
      </c>
      <c r="AB297" s="231">
        <f xml:space="preserve"> IFERROR(($E297&gt;0)*($E297 &lt;=End_of_period) * ($G297 &gt;=Beginning_of_period) * (1-SUM($K297:AA297)) /  IFERROR((DATEDIF(Beginning_of_period,$G297,"m") + 1) / Months_in_Period,0),0)</f>
        <v>0</v>
      </c>
      <c r="AC297" s="231">
        <f xml:space="preserve"> IFERROR(($E297&gt;0)*($E297 &lt;=End_of_period) * ($G297 &gt;=Beginning_of_period) * (1-SUM($K297:AB297)) /  IFERROR((DATEDIF(Beginning_of_period,$G297,"m") + 1) / Months_in_Period,0),0)</f>
        <v>0</v>
      </c>
      <c r="AD297" s="231">
        <f xml:space="preserve"> IFERROR(($E297&gt;0)*($E297 &lt;=End_of_period) * ($G297 &gt;=Beginning_of_period) * (1-SUM($K297:AC297)) /  IFERROR((DATEDIF(Beginning_of_period,$G297,"m") + 1) / Months_in_Period,0),0)</f>
        <v>0</v>
      </c>
      <c r="AE297" s="231">
        <f xml:space="preserve"> IFERROR(($E297&gt;0)*($E297 &lt;=End_of_period) * ($G297 &gt;=Beginning_of_period) * (1-SUM($K297:AD297)) /  IFERROR((DATEDIF(Beginning_of_period,$G297,"m") + 1) / Months_in_Period,0),0)</f>
        <v>0</v>
      </c>
      <c r="AF297" s="231">
        <f xml:space="preserve"> IFERROR(($E297&gt;0)*($E297 &lt;=End_of_period) * ($G297 &gt;=Beginning_of_period) * (1-SUM($K297:AE297)) /  IFERROR((DATEDIF(Beginning_of_period,$G297,"m") + 1) / Months_in_Period,0),0)</f>
        <v>0</v>
      </c>
      <c r="AG297" s="231">
        <f xml:space="preserve"> IFERROR(($E297&gt;0)*($E297 &lt;=End_of_period) * ($G297 &gt;=Beginning_of_period) * (1-SUM($K297:AF297)) /  IFERROR((DATEDIF(Beginning_of_period,$G297,"m") + 1) / Months_in_Period,0),0)</f>
        <v>0</v>
      </c>
      <c r="AH297" s="231">
        <f xml:space="preserve"> IFERROR(($E297&gt;0)*($E297 &lt;=End_of_period) * ($G297 &gt;=Beginning_of_period) * (1-SUM($K297:AG297)) /  IFERROR((DATEDIF(Beginning_of_period,$G297,"m") + 1) / Months_in_Period,0),0)</f>
        <v>0</v>
      </c>
      <c r="AI297" s="231">
        <f xml:space="preserve"> IFERROR(($E297&gt;0)*($E297 &lt;=End_of_period) * ($G297 &gt;=Beginning_of_period) * (1-SUM($K297:AH297)) /  IFERROR((DATEDIF(Beginning_of_period,$G297,"m") + 1) / Months_in_Period,0),0)</f>
        <v>0</v>
      </c>
      <c r="AJ297" s="231">
        <f xml:space="preserve"> IFERROR(($E297&gt;0)*($E297 &lt;=End_of_period) * ($G297 &gt;=Beginning_of_period) * (1-SUM($K297:AI297)) /  IFERROR((DATEDIF(Beginning_of_period,$G297,"m") + 1) / Months_in_Period,0),0)</f>
        <v>0</v>
      </c>
      <c r="AK297" s="231">
        <f xml:space="preserve"> IFERROR(($E297&gt;0)*($E297 &lt;=End_of_period) * ($G297 &gt;=Beginning_of_period) * (1-SUM($K297:AJ297)) /  IFERROR((DATEDIF(Beginning_of_period,$G297,"m") + 1) / Months_in_Period,0),0)</f>
        <v>0</v>
      </c>
      <c r="AL297" s="231">
        <f xml:space="preserve"> IFERROR(($E297&gt;0)*($E297 &lt;=End_of_period) * ($G297 &gt;=Beginning_of_period) * (1-SUM($K297:AK297)) /  IFERROR((DATEDIF(Beginning_of_period,$G297,"m") + 1) / Months_in_Period,0),0)</f>
        <v>0</v>
      </c>
      <c r="AM297" s="231">
        <f xml:space="preserve"> IFERROR(($E297&gt;0)*($E297 &lt;=End_of_period) * ($G297 &gt;=Beginning_of_period) * (1-SUM($K297:AL297)) /  IFERROR((DATEDIF(Beginning_of_period,$G297,"m") + 1) / Months_in_Period,0),0)</f>
        <v>0</v>
      </c>
      <c r="AN297" s="231">
        <f xml:space="preserve"> IFERROR(($E297&gt;0)*($E297 &lt;=End_of_period) * ($G297 &gt;=Beginning_of_period) * (1-SUM($K297:AM297)) /  IFERROR((DATEDIF(Beginning_of_period,$G297,"m") + 1) / Months_in_Period,0),0)</f>
        <v>0</v>
      </c>
      <c r="AO297" s="231">
        <f xml:space="preserve"> IFERROR(($E297&gt;0)*($E297 &lt;=End_of_period) * ($G297 &gt;=Beginning_of_period) * (1-SUM($K297:AN297)) /  IFERROR((DATEDIF(Beginning_of_period,$G297,"m") + 1) / Months_in_Period,0),0)</f>
        <v>0</v>
      </c>
      <c r="AP297" s="231">
        <f xml:space="preserve"> IFERROR(($E297&gt;0)*($E297 &lt;=End_of_period) * ($G297 &gt;=Beginning_of_period) * (1-SUM($K297:AO297)) /  IFERROR((DATEDIF(Beginning_of_period,$G297,"m") + 1) / Months_in_Period,0),0)</f>
        <v>0</v>
      </c>
      <c r="AQ297" s="231">
        <f xml:space="preserve"> IFERROR(($E297&gt;0)*($E297 &lt;=End_of_period) * ($G297 &gt;=Beginning_of_period) * (1-SUM($K297:AP297)) /  IFERROR((DATEDIF(Beginning_of_period,$G297,"m") + 1) / Months_in_Period,0),0)</f>
        <v>0</v>
      </c>
      <c r="AR297" s="231">
        <f xml:space="preserve"> IFERROR(($E297&gt;0)*($E297 &lt;=End_of_period) * ($G297 &gt;=Beginning_of_period) * (1-SUM($K297:AQ297)) /  IFERROR((DATEDIF(Beginning_of_period,$G297,"m") + 1) / Months_in_Period,0),0)</f>
        <v>0</v>
      </c>
      <c r="AS297" s="231">
        <f xml:space="preserve"> IFERROR(($E297&gt;0)*($E297 &lt;=End_of_period) * ($G297 &gt;=Beginning_of_period) * (1-SUM($K297:AR297)) /  IFERROR((DATEDIF(Beginning_of_period,$G297,"m") + 1) / Months_in_Period,0),0)</f>
        <v>0</v>
      </c>
      <c r="AT297" s="231">
        <f xml:space="preserve"> IFERROR(($E297&gt;0)*($E297 &lt;=End_of_period) * ($G297 &gt;=Beginning_of_period) * (1-SUM($K297:AS297)) /  IFERROR((DATEDIF(Beginning_of_period,$G297,"m") + 1) / Months_in_Period,0),0)</f>
        <v>0</v>
      </c>
      <c r="AU297" s="231">
        <f xml:space="preserve"> IFERROR(($E297&gt;0)*($E297 &lt;=End_of_period) * ($G297 &gt;=Beginning_of_period) * (1-SUM($K297:AT297)) /  IFERROR((DATEDIF(Beginning_of_period,$G297,"m") + 1) / Months_in_Period,0),0)</f>
        <v>0</v>
      </c>
      <c r="AV297" s="231">
        <f xml:space="preserve"> IFERROR(($E297&gt;0)*($E297 &lt;=End_of_period) * ($G297 &gt;=Beginning_of_period) * (1-SUM($K297:AU297)) /  IFERROR((DATEDIF(Beginning_of_period,$G297,"m") + 1) / Months_in_Period,0),0)</f>
        <v>0</v>
      </c>
      <c r="AW297" s="231">
        <f xml:space="preserve"> IFERROR(($E297&gt;0)*($E297 &lt;=End_of_period) * ($G297 &gt;=Beginning_of_period) * (1-SUM($K297:AV297)) /  IFERROR((DATEDIF(Beginning_of_period,$G297,"m") + 1) / Months_in_Period,0),0)</f>
        <v>0</v>
      </c>
      <c r="AX297" s="231">
        <f xml:space="preserve"> IFERROR(($E297&gt;0)*($E297 &lt;=End_of_period) * ($G297 &gt;=Beginning_of_period) * (1-SUM($K297:AW297)) /  IFERROR((DATEDIF(Beginning_of_period,$G297,"m") + 1) / Months_in_Period,0),0)</f>
        <v>0</v>
      </c>
      <c r="AY297" s="231">
        <f xml:space="preserve"> IFERROR(($E297&gt;0)*($E297 &lt;=End_of_period) * ($G297 &gt;=Beginning_of_period) * (1-SUM($K297:AX297)) /  IFERROR((DATEDIF(Beginning_of_period,$G297,"m") + 1) / Months_in_Period,0),0)</f>
        <v>0</v>
      </c>
      <c r="AZ297" s="231">
        <f xml:space="preserve"> IFERROR(($E297&gt;0)*($E297 &lt;=End_of_period) * ($G297 &gt;=Beginning_of_period) * (1-SUM($K297:AY297)) /  IFERROR((DATEDIF(Beginning_of_period,$G297,"m") + 1) / Months_in_Period,0),0)</f>
        <v>0</v>
      </c>
      <c r="BA297" s="231">
        <f xml:space="preserve"> IFERROR(($E297&gt;0)*($E297 &lt;=End_of_period) * ($G297 &gt;=Beginning_of_period) * (1-SUM($K297:AZ297)) /  IFERROR((DATEDIF(Beginning_of_period,$G297,"m") + 1) / Months_in_Period,0),0)</f>
        <v>0</v>
      </c>
      <c r="BB297" s="231">
        <f xml:space="preserve"> IFERROR(($E297&gt;0)*($E297 &lt;=End_of_period) * ($G297 &gt;=Beginning_of_period) * (1-SUM($K297:BA297)) /  IFERROR((DATEDIF(Beginning_of_period,$G297,"m") + 1) / Months_in_Period,0),0)</f>
        <v>0</v>
      </c>
      <c r="BC297" s="231">
        <f xml:space="preserve"> IFERROR(($E297&gt;0)*($E297 &lt;=End_of_period) * ($G297 &gt;=Beginning_of_period) * (1-SUM($K297:BB297)) /  IFERROR((DATEDIF(Beginning_of_period,$G297,"m") + 1) / Months_in_Period,0),0)</f>
        <v>0</v>
      </c>
      <c r="BD297" s="231">
        <f xml:space="preserve"> IFERROR(($E297&gt;0)*($E297 &lt;=End_of_period) * ($G297 &gt;=Beginning_of_period) * (1-SUM($K297:BC297)) /  IFERROR((DATEDIF(Beginning_of_period,$G297,"m") + 1) / Months_in_Period,0),0)</f>
        <v>0</v>
      </c>
      <c r="BE297" s="231">
        <f xml:space="preserve"> IFERROR(($E297&gt;0)*($E297 &lt;=End_of_period) * ($G297 &gt;=Beginning_of_period) * (1-SUM($K297:BD297)) /  IFERROR((DATEDIF(Beginning_of_period,$G297,"m") + 1) / Months_in_Period,0),0)</f>
        <v>0</v>
      </c>
      <c r="BF297" s="231">
        <f xml:space="preserve"> IFERROR(($E297&gt;0)*($E297 &lt;=End_of_period) * ($G297 &gt;=Beginning_of_period) * (1-SUM($K297:BE297)) /  IFERROR((DATEDIF(Beginning_of_period,$G297,"m") + 1) / Months_in_Period,0),0)</f>
        <v>0</v>
      </c>
      <c r="BG297" s="231">
        <f xml:space="preserve"> IFERROR(($E297&gt;0)*($E297 &lt;=End_of_period) * ($G297 &gt;=Beginning_of_period) * (1-SUM($K297:BF297)) /  IFERROR((DATEDIF(Beginning_of_period,$G297,"m") + 1) / Months_in_Period,0),0)</f>
        <v>0</v>
      </c>
      <c r="BH297" s="231">
        <f xml:space="preserve"> IFERROR(($E297&gt;0)*($E297 &lt;=End_of_period) * ($G297 &gt;=Beginning_of_period) * (1-SUM($K297:BG297)) /  IFERROR((DATEDIF(Beginning_of_period,$G297,"m") + 1) / Months_in_Period,0),0)</f>
        <v>0</v>
      </c>
      <c r="BI297" s="231">
        <f xml:space="preserve"> IFERROR(($E297&gt;0)*($E297 &lt;=End_of_period) * ($G297 &gt;=Beginning_of_period) * (1-SUM($K297:BH297)) /  IFERROR((DATEDIF(Beginning_of_period,$G297,"m") + 1) / Months_in_Period,0),0)</f>
        <v>0</v>
      </c>
      <c r="BJ297" s="231">
        <f xml:space="preserve"> IFERROR(($E297&gt;0)*($E297 &lt;=End_of_period) * ($G297 &gt;=Beginning_of_period) * (1-SUM($K297:BI297)) /  IFERROR((DATEDIF(Beginning_of_period,$G297,"m") + 1) / Months_in_Period,0),0)</f>
        <v>0</v>
      </c>
      <c r="BK297" s="231">
        <f xml:space="preserve"> IFERROR(($E297&gt;0)*($E297 &lt;=End_of_period) * ($G297 &gt;=Beginning_of_period) * (1-SUM($K297:BJ297)) /  IFERROR((DATEDIF(Beginning_of_period,$G297,"m") + 1) / Months_in_Period,0),0)</f>
        <v>0</v>
      </c>
      <c r="BL297" s="231">
        <f xml:space="preserve"> IFERROR(($E297&gt;0)*($E297 &lt;=End_of_period) * ($G297 &gt;=Beginning_of_period) * (1-SUM($K297:BK297)) /  IFERROR((DATEDIF(Beginning_of_period,$G297,"m") + 1) / Months_in_Period,0),0)</f>
        <v>0</v>
      </c>
      <c r="BM297" s="231">
        <f xml:space="preserve"> IFERROR(($E297&gt;0)*($E297 &lt;=End_of_period) * ($G297 &gt;=Beginning_of_period) * (1-SUM($K297:BL297)) /  IFERROR((DATEDIF(Beginning_of_period,$G297,"m") + 1) / Months_in_Period,0),0)</f>
        <v>0</v>
      </c>
      <c r="BN297" s="231">
        <f xml:space="preserve"> IFERROR(($E297&gt;0)*($E297 &lt;=End_of_period) * ($G297 &gt;=Beginning_of_period) * (1-SUM($K297:BM297)) /  IFERROR((DATEDIF(Beginning_of_period,$G297,"m") + 1) / Months_in_Period,0),0)</f>
        <v>0</v>
      </c>
      <c r="BO297" s="231">
        <f xml:space="preserve"> IFERROR(($E297&gt;0)*($E297 &lt;=End_of_period) * ($G297 &gt;=Beginning_of_period) * (1-SUM($K297:BN297)) /  IFERROR((DATEDIF(Beginning_of_period,$G297,"m") + 1) / Months_in_Period,0),0)</f>
        <v>0</v>
      </c>
      <c r="BP297" s="231">
        <f xml:space="preserve"> IFERROR(($E297&gt;0)*($E297 &lt;=End_of_period) * ($G297 &gt;=Beginning_of_period) * (1-SUM($K297:BO297)) /  IFERROR((DATEDIF(Beginning_of_period,$G297,"m") + 1) / Months_in_Period,0),0)</f>
        <v>0</v>
      </c>
      <c r="BQ297" s="231">
        <f xml:space="preserve"> IFERROR(($E297&gt;0)*($E297 &lt;=End_of_period) * ($G297 &gt;=Beginning_of_period) * (1-SUM($K297:BP297)) /  IFERROR((DATEDIF(Beginning_of_period,$G297,"m") + 1) / Months_in_Period,0),0)</f>
        <v>0</v>
      </c>
      <c r="BR297" s="231">
        <f xml:space="preserve"> IFERROR(($E297&gt;0)*($E297 &lt;=End_of_period) * ($G297 &gt;=Beginning_of_period) * (1-SUM($K297:BQ297)) /  IFERROR((DATEDIF(Beginning_of_period,$G297,"m") + 1) / Months_in_Period,0),0)</f>
        <v>0</v>
      </c>
      <c r="BS297" s="231">
        <f xml:space="preserve"> IFERROR(($E297&gt;0)*($E297 &lt;=End_of_period) * ($G297 &gt;=Beginning_of_period) * (1-SUM($K297:BR297)) /  IFERROR((DATEDIF(Beginning_of_period,$G297,"m") + 1) / Months_in_Period,0),0)</f>
        <v>0</v>
      </c>
      <c r="BT297" s="231">
        <f xml:space="preserve"> IFERROR(($E297&gt;0)*($E297 &lt;=End_of_period) * ($G297 &gt;=Beginning_of_period) * (1-SUM($K297:BS297)) /  IFERROR((DATEDIF(Beginning_of_period,$G297,"m") + 1) / Months_in_Period,0),0)</f>
        <v>0</v>
      </c>
      <c r="BU297" s="231">
        <f xml:space="preserve"> IFERROR(($E297&gt;0)*($E297 &lt;=End_of_period) * ($G297 &gt;=Beginning_of_period) * (1-SUM($K297:BT297)) /  IFERROR((DATEDIF(Beginning_of_period,$G297,"m") + 1) / Months_in_Period,0),0)</f>
        <v>0</v>
      </c>
      <c r="BV297" s="231">
        <f xml:space="preserve"> IFERROR(($E297&gt;0)*($E297 &lt;=End_of_period) * ($G297 &gt;=Beginning_of_period) * (1-SUM($K297:BU297)) /  IFERROR((DATEDIF(Beginning_of_period,$G297,"m") + 1) / Months_in_Period,0),0)</f>
        <v>0</v>
      </c>
      <c r="BW297" s="231">
        <f xml:space="preserve"> IFERROR(($E297&gt;0)*($E297 &lt;=End_of_period) * ($G297 &gt;=Beginning_of_period) * (1-SUM($K297:BV297)) /  IFERROR((DATEDIF(Beginning_of_period,$G297,"m") + 1) / Months_in_Period,0),0)</f>
        <v>0</v>
      </c>
      <c r="BX297" s="231">
        <f xml:space="preserve"> IFERROR(($E297&gt;0)*($E297 &lt;=End_of_period) * ($G297 &gt;=Beginning_of_period) * (1-SUM($K297:BW297)) /  IFERROR((DATEDIF(Beginning_of_period,$G297,"m") + 1) / Months_in_Period,0),0)</f>
        <v>0</v>
      </c>
      <c r="BY297" s="231">
        <f xml:space="preserve"> IFERROR(($E297&gt;0)*($E297 &lt;=End_of_period) * ($G297 &gt;=Beginning_of_period) * (1-SUM($K297:BX297)) /  IFERROR((DATEDIF(Beginning_of_period,$G297,"m") + 1) / Months_in_Period,0),0)</f>
        <v>0</v>
      </c>
      <c r="BZ297" s="231">
        <f xml:space="preserve"> IFERROR(($E297&gt;0)*($E297 &lt;=End_of_period) * ($G297 &gt;=Beginning_of_period) * (1-SUM($K297:BY297)) /  IFERROR((DATEDIF(Beginning_of_period,$G297,"m") + 1) / Months_in_Period,0),0)</f>
        <v>0</v>
      </c>
      <c r="CA297" s="231">
        <f xml:space="preserve"> IFERROR(($E297&gt;0)*($E297 &lt;=End_of_period) * ($G297 &gt;=Beginning_of_period) * (1-SUM($K297:BZ297)) /  IFERROR((DATEDIF(Beginning_of_period,$G297,"m") + 1) / Months_in_Period,0),0)</f>
        <v>0</v>
      </c>
      <c r="CB297" s="231">
        <f xml:space="preserve"> IFERROR(($E297&gt;0)*($E297 &lt;=End_of_period) * ($G297 &gt;=Beginning_of_period) * (1-SUM($K297:CA297)) /  IFERROR((DATEDIF(Beginning_of_period,$G297,"m") + 1) / Months_in_Period,0),0)</f>
        <v>0</v>
      </c>
      <c r="CC297" s="231">
        <f xml:space="preserve"> IFERROR(($E297&gt;0)*($E297 &lt;=End_of_period) * ($G297 &gt;=Beginning_of_period) * (1-SUM($K297:CB297)) /  IFERROR((DATEDIF(Beginning_of_period,$G297,"m") + 1) / Months_in_Period,0),0)</f>
        <v>0</v>
      </c>
      <c r="CD297" s="231">
        <f xml:space="preserve"> IFERROR(($E297&gt;0)*($E297 &lt;=End_of_period) * ($G297 &gt;=Beginning_of_period) * (1-SUM($K297:CC297)) /  IFERROR((DATEDIF(Beginning_of_period,$G297,"m") + 1) / Months_in_Period,0),0)</f>
        <v>0</v>
      </c>
      <c r="CE297" s="231">
        <f xml:space="preserve"> IFERROR(($E297&gt;0)*($E297 &lt;=End_of_period) * ($G297 &gt;=Beginning_of_period) * (1-SUM($K297:CD297)) /  IFERROR((DATEDIF(Beginning_of_period,$G297,"m") + 1) / Months_in_Period,0),0)</f>
        <v>0</v>
      </c>
      <c r="CF297" s="231">
        <f xml:space="preserve"> IFERROR(($E297&gt;0)*($E297 &lt;=End_of_period) * ($G297 &gt;=Beginning_of_period) * (1-SUM($K297:CE297)) /  IFERROR((DATEDIF(Beginning_of_period,$G297,"m") + 1) / Months_in_Period,0),0)</f>
        <v>0</v>
      </c>
      <c r="CG297" s="231">
        <f xml:space="preserve"> IFERROR(($E297&gt;0)*($E297 &lt;=End_of_period) * ($G297 &gt;=Beginning_of_period) * (1-SUM($K297:CF297)) /  IFERROR((DATEDIF(Beginning_of_period,$G297,"m") + 1) / Months_in_Period,0),0)</f>
        <v>0</v>
      </c>
      <c r="CH297" s="231">
        <f xml:space="preserve"> IFERROR(($E297&gt;0)*($E297 &lt;=End_of_period) * ($G297 &gt;=Beginning_of_period) * (1-SUM($K297:CG297)) /  IFERROR((DATEDIF(Beginning_of_period,$G297,"m") + 1) / Months_in_Period,0),0)</f>
        <v>0</v>
      </c>
      <c r="CI297" s="231">
        <f xml:space="preserve"> IFERROR(($E297&gt;0)*($E297 &lt;=End_of_period) * ($G297 &gt;=Beginning_of_period) * (1-SUM($K297:CH297)) /  IFERROR((DATEDIF(Beginning_of_period,$G297,"m") + 1) / Months_in_Period,0),0)</f>
        <v>0</v>
      </c>
      <c r="CJ297" s="231">
        <f xml:space="preserve"> IFERROR(($E297&gt;0)*($E297 &lt;=End_of_period) * ($G297 &gt;=Beginning_of_period) * (1-SUM($K297:CI297)) /  IFERROR((DATEDIF(Beginning_of_period,$G297,"m") + 1) / Months_in_Period,0),0)</f>
        <v>0</v>
      </c>
      <c r="CK297" s="231">
        <f xml:space="preserve"> IFERROR(($E297&gt;0)*($E297 &lt;=End_of_period) * ($G297 &gt;=Beginning_of_period) * (1-SUM($K297:CJ297)) /  IFERROR((DATEDIF(Beginning_of_period,$G297,"m") + 1) / Months_in_Period,0),0)</f>
        <v>0</v>
      </c>
      <c r="CL297" s="231">
        <f xml:space="preserve"> IFERROR(($E297&gt;0)*($E297 &lt;=End_of_period) * ($G297 &gt;=Beginning_of_period) * (1-SUM($K297:CK297)) /  IFERROR((DATEDIF(Beginning_of_period,$G297,"m") + 1) / Months_in_Period,0),0)</f>
        <v>0</v>
      </c>
      <c r="CM297" s="231">
        <f xml:space="preserve"> IFERROR(($E297&gt;0)*($E297 &lt;=End_of_period) * ($G297 &gt;=Beginning_of_period) * (1-SUM($K297:CL297)) /  IFERROR((DATEDIF(Beginning_of_period,$G297,"m") + 1) / Months_in_Period,0),0)</f>
        <v>0</v>
      </c>
      <c r="CN297" s="231">
        <f xml:space="preserve"> IFERROR(($E297&gt;0)*($E297 &lt;=End_of_period) * ($G297 &gt;=Beginning_of_period) * (1-SUM($K297:CM297)) /  IFERROR((DATEDIF(Beginning_of_period,$G297,"m") + 1) / Months_in_Period,0),0)</f>
        <v>0</v>
      </c>
      <c r="CO297" s="231">
        <f xml:space="preserve"> IFERROR(($E297&gt;0)*($E297 &lt;=End_of_period) * ($G297 &gt;=Beginning_of_period) * (1-SUM($K297:CN297)) /  IFERROR((DATEDIF(Beginning_of_period,$G297,"m") + 1) / Months_in_Period,0),0)</f>
        <v>0</v>
      </c>
      <c r="CP297" s="10"/>
    </row>
    <row r="298" spans="1:94" ht="15" customHeight="1">
      <c r="A298" s="10"/>
      <c r="B298" s="3"/>
      <c r="C298" s="17" t="s">
        <v>848</v>
      </c>
      <c r="D298" s="10"/>
      <c r="E298" s="71">
        <v>46023</v>
      </c>
      <c r="F298" s="10"/>
      <c r="G298" s="479">
        <v>47118</v>
      </c>
      <c r="H298" s="149">
        <f t="shared" si="122"/>
        <v>12</v>
      </c>
      <c r="I298" s="231">
        <f t="shared" si="123"/>
        <v>1</v>
      </c>
      <c r="J298" s="10"/>
      <c r="K298" s="10"/>
      <c r="L298" s="231">
        <f xml:space="preserve"> IFERROR(($E298&gt;0)*($E298 &lt;=End_of_period) * ($G298 &gt;=Beginning_of_period) * (1-SUM($K298:K298)) /  IFERROR((DATEDIF(Beginning_of_period,$G298,"m") + 1) / Months_in_Period,0),0)</f>
        <v>0</v>
      </c>
      <c r="M298" s="231">
        <f xml:space="preserve"> IFERROR(($E298&gt;0)*($E298 &lt;=End_of_period) * ($G298 &gt;=Beginning_of_period) * (1-SUM($K298:L298)) /  IFERROR((DATEDIF(Beginning_of_period,$G298,"m") + 1) / Months_in_Period,0),0)</f>
        <v>0</v>
      </c>
      <c r="N298" s="231">
        <f xml:space="preserve"> IFERROR(($E298&gt;0)*($E298 &lt;=End_of_period) * ($G298 &gt;=Beginning_of_period) * (1-SUM($K298:M298)) /  IFERROR((DATEDIF(Beginning_of_period,$G298,"m") + 1) / Months_in_Period,0),0)</f>
        <v>0</v>
      </c>
      <c r="O298" s="231">
        <f xml:space="preserve"> IFERROR(($E298&gt;0)*($E298 &lt;=End_of_period) * ($G298 &gt;=Beginning_of_period) * (1-SUM($K298:N298)) /  IFERROR((DATEDIF(Beginning_of_period,$G298,"m") + 1) / Months_in_Period,0),0)</f>
        <v>0</v>
      </c>
      <c r="P298" s="231">
        <f xml:space="preserve"> IFERROR(($E298&gt;0)*($E298 &lt;=End_of_period) * ($G298 &gt;=Beginning_of_period) * (1-SUM($K298:O298)) /  IFERROR((DATEDIF(Beginning_of_period,$G298,"m") + 1) / Months_in_Period,0),0)</f>
        <v>8.3333333333333329E-2</v>
      </c>
      <c r="Q298" s="231">
        <f xml:space="preserve"> IFERROR(($E298&gt;0)*($E298 &lt;=End_of_period) * ($G298 &gt;=Beginning_of_period) * (1-SUM($K298:P298)) /  IFERROR((DATEDIF(Beginning_of_period,$G298,"m") + 1) / Months_in_Period,0),0)</f>
        <v>8.3333333333333329E-2</v>
      </c>
      <c r="R298" s="231">
        <f xml:space="preserve"> IFERROR(($E298&gt;0)*($E298 &lt;=End_of_period) * ($G298 &gt;=Beginning_of_period) * (1-SUM($K298:Q298)) /  IFERROR((DATEDIF(Beginning_of_period,$G298,"m") + 1) / Months_in_Period,0),0)</f>
        <v>8.3333333333333343E-2</v>
      </c>
      <c r="S298" s="231">
        <f xml:space="preserve"> IFERROR(($E298&gt;0)*($E298 &lt;=End_of_period) * ($G298 &gt;=Beginning_of_period) * (1-SUM($K298:R298)) /  IFERROR((DATEDIF(Beginning_of_period,$G298,"m") + 1) / Months_in_Period,0),0)</f>
        <v>8.3333333333333329E-2</v>
      </c>
      <c r="T298" s="231">
        <f xml:space="preserve"> IFERROR(($E298&gt;0)*($E298 &lt;=End_of_period) * ($G298 &gt;=Beginning_of_period) * (1-SUM($K298:S298)) /  IFERROR((DATEDIF(Beginning_of_period,$G298,"m") + 1) / Months_in_Period,0),0)</f>
        <v>8.3333333333333343E-2</v>
      </c>
      <c r="U298" s="231">
        <f xml:space="preserve"> IFERROR(($E298&gt;0)*($E298 &lt;=End_of_period) * ($G298 &gt;=Beginning_of_period) * (1-SUM($K298:T298)) /  IFERROR((DATEDIF(Beginning_of_period,$G298,"m") + 1) / Months_in_Period,0),0)</f>
        <v>8.3333333333333343E-2</v>
      </c>
      <c r="V298" s="231">
        <f xml:space="preserve"> IFERROR(($E298&gt;0)*($E298 &lt;=End_of_period) * ($G298 &gt;=Beginning_of_period) * (1-SUM($K298:U298)) /  IFERROR((DATEDIF(Beginning_of_period,$G298,"m") + 1) / Months_in_Period,0),0)</f>
        <v>8.3333333333333329E-2</v>
      </c>
      <c r="W298" s="231">
        <f xml:space="preserve"> IFERROR(($E298&gt;0)*($E298 &lt;=End_of_period) * ($G298 &gt;=Beginning_of_period) * (1-SUM($K298:V298)) /  IFERROR((DATEDIF(Beginning_of_period,$G298,"m") + 1) / Months_in_Period,0),0)</f>
        <v>8.3333333333333329E-2</v>
      </c>
      <c r="X298" s="231">
        <f xml:space="preserve"> IFERROR(($E298&gt;0)*($E298 &lt;=End_of_period) * ($G298 &gt;=Beginning_of_period) * (1-SUM($K298:W298)) /  IFERROR((DATEDIF(Beginning_of_period,$G298,"m") + 1) / Months_in_Period,0),0)</f>
        <v>8.3333333333333315E-2</v>
      </c>
      <c r="Y298" s="231">
        <f xml:space="preserve"> IFERROR(($E298&gt;0)*($E298 &lt;=End_of_period) * ($G298 &gt;=Beginning_of_period) * (1-SUM($K298:X298)) /  IFERROR((DATEDIF(Beginning_of_period,$G298,"m") + 1) / Months_in_Period,0),0)</f>
        <v>8.3333333333333329E-2</v>
      </c>
      <c r="Z298" s="231">
        <f xml:space="preserve"> IFERROR(($E298&gt;0)*($E298 &lt;=End_of_period) * ($G298 &gt;=Beginning_of_period) * (1-SUM($K298:Y298)) /  IFERROR((DATEDIF(Beginning_of_period,$G298,"m") + 1) / Months_in_Period,0),0)</f>
        <v>8.3333333333333315E-2</v>
      </c>
      <c r="AA298" s="231">
        <f xml:space="preserve"> IFERROR(($E298&gt;0)*($E298 &lt;=End_of_period) * ($G298 &gt;=Beginning_of_period) * (1-SUM($K298:Z298)) /  IFERROR((DATEDIF(Beginning_of_period,$G298,"m") + 1) / Months_in_Period,0),0)</f>
        <v>8.3333333333333259E-2</v>
      </c>
      <c r="AB298" s="231">
        <f xml:space="preserve"> IFERROR(($E298&gt;0)*($E298 &lt;=End_of_period) * ($G298 &gt;=Beginning_of_period) * (1-SUM($K298:AA298)) /  IFERROR((DATEDIF(Beginning_of_period,$G298,"m") + 1) / Months_in_Period,0),0)</f>
        <v>0</v>
      </c>
      <c r="AC298" s="231">
        <f xml:space="preserve"> IFERROR(($E298&gt;0)*($E298 &lt;=End_of_period) * ($G298 &gt;=Beginning_of_period) * (1-SUM($K298:AB298)) /  IFERROR((DATEDIF(Beginning_of_period,$G298,"m") + 1) / Months_in_Period,0),0)</f>
        <v>0</v>
      </c>
      <c r="AD298" s="231">
        <f xml:space="preserve"> IFERROR(($E298&gt;0)*($E298 &lt;=End_of_period) * ($G298 &gt;=Beginning_of_period) * (1-SUM($K298:AC298)) /  IFERROR((DATEDIF(Beginning_of_period,$G298,"m") + 1) / Months_in_Period,0),0)</f>
        <v>0</v>
      </c>
      <c r="AE298" s="231">
        <f xml:space="preserve"> IFERROR(($E298&gt;0)*($E298 &lt;=End_of_period) * ($G298 &gt;=Beginning_of_period) * (1-SUM($K298:AD298)) /  IFERROR((DATEDIF(Beginning_of_period,$G298,"m") + 1) / Months_in_Period,0),0)</f>
        <v>0</v>
      </c>
      <c r="AF298" s="231">
        <f xml:space="preserve"> IFERROR(($E298&gt;0)*($E298 &lt;=End_of_period) * ($G298 &gt;=Beginning_of_period) * (1-SUM($K298:AE298)) /  IFERROR((DATEDIF(Beginning_of_period,$G298,"m") + 1) / Months_in_Period,0),0)</f>
        <v>0</v>
      </c>
      <c r="AG298" s="231">
        <f xml:space="preserve"> IFERROR(($E298&gt;0)*($E298 &lt;=End_of_period) * ($G298 &gt;=Beginning_of_period) * (1-SUM($K298:AF298)) /  IFERROR((DATEDIF(Beginning_of_period,$G298,"m") + 1) / Months_in_Period,0),0)</f>
        <v>0</v>
      </c>
      <c r="AH298" s="231">
        <f xml:space="preserve"> IFERROR(($E298&gt;0)*($E298 &lt;=End_of_period) * ($G298 &gt;=Beginning_of_period) * (1-SUM($K298:AG298)) /  IFERROR((DATEDIF(Beginning_of_period,$G298,"m") + 1) / Months_in_Period,0),0)</f>
        <v>0</v>
      </c>
      <c r="AI298" s="231">
        <f xml:space="preserve"> IFERROR(($E298&gt;0)*($E298 &lt;=End_of_period) * ($G298 &gt;=Beginning_of_period) * (1-SUM($K298:AH298)) /  IFERROR((DATEDIF(Beginning_of_period,$G298,"m") + 1) / Months_in_Period,0),0)</f>
        <v>0</v>
      </c>
      <c r="AJ298" s="231">
        <f xml:space="preserve"> IFERROR(($E298&gt;0)*($E298 &lt;=End_of_period) * ($G298 &gt;=Beginning_of_period) * (1-SUM($K298:AI298)) /  IFERROR((DATEDIF(Beginning_of_period,$G298,"m") + 1) / Months_in_Period,0),0)</f>
        <v>0</v>
      </c>
      <c r="AK298" s="231">
        <f xml:space="preserve"> IFERROR(($E298&gt;0)*($E298 &lt;=End_of_period) * ($G298 &gt;=Beginning_of_period) * (1-SUM($K298:AJ298)) /  IFERROR((DATEDIF(Beginning_of_period,$G298,"m") + 1) / Months_in_Period,0),0)</f>
        <v>0</v>
      </c>
      <c r="AL298" s="231">
        <f xml:space="preserve"> IFERROR(($E298&gt;0)*($E298 &lt;=End_of_period) * ($G298 &gt;=Beginning_of_period) * (1-SUM($K298:AK298)) /  IFERROR((DATEDIF(Beginning_of_period,$G298,"m") + 1) / Months_in_Period,0),0)</f>
        <v>0</v>
      </c>
      <c r="AM298" s="231">
        <f xml:space="preserve"> IFERROR(($E298&gt;0)*($E298 &lt;=End_of_period) * ($G298 &gt;=Beginning_of_period) * (1-SUM($K298:AL298)) /  IFERROR((DATEDIF(Beginning_of_period,$G298,"m") + 1) / Months_in_Period,0),0)</f>
        <v>0</v>
      </c>
      <c r="AN298" s="231">
        <f xml:space="preserve"> IFERROR(($E298&gt;0)*($E298 &lt;=End_of_period) * ($G298 &gt;=Beginning_of_period) * (1-SUM($K298:AM298)) /  IFERROR((DATEDIF(Beginning_of_period,$G298,"m") + 1) / Months_in_Period,0),0)</f>
        <v>0</v>
      </c>
      <c r="AO298" s="231">
        <f xml:space="preserve"> IFERROR(($E298&gt;0)*($E298 &lt;=End_of_period) * ($G298 &gt;=Beginning_of_period) * (1-SUM($K298:AN298)) /  IFERROR((DATEDIF(Beginning_of_period,$G298,"m") + 1) / Months_in_Period,0),0)</f>
        <v>0</v>
      </c>
      <c r="AP298" s="231">
        <f xml:space="preserve"> IFERROR(($E298&gt;0)*($E298 &lt;=End_of_period) * ($G298 &gt;=Beginning_of_period) * (1-SUM($K298:AO298)) /  IFERROR((DATEDIF(Beginning_of_period,$G298,"m") + 1) / Months_in_Period,0),0)</f>
        <v>0</v>
      </c>
      <c r="AQ298" s="231">
        <f xml:space="preserve"> IFERROR(($E298&gt;0)*($E298 &lt;=End_of_period) * ($G298 &gt;=Beginning_of_period) * (1-SUM($K298:AP298)) /  IFERROR((DATEDIF(Beginning_of_period,$G298,"m") + 1) / Months_in_Period,0),0)</f>
        <v>0</v>
      </c>
      <c r="AR298" s="231">
        <f xml:space="preserve"> IFERROR(($E298&gt;0)*($E298 &lt;=End_of_period) * ($G298 &gt;=Beginning_of_period) * (1-SUM($K298:AQ298)) /  IFERROR((DATEDIF(Beginning_of_period,$G298,"m") + 1) / Months_in_Period,0),0)</f>
        <v>0</v>
      </c>
      <c r="AS298" s="231">
        <f xml:space="preserve"> IFERROR(($E298&gt;0)*($E298 &lt;=End_of_period) * ($G298 &gt;=Beginning_of_period) * (1-SUM($K298:AR298)) /  IFERROR((DATEDIF(Beginning_of_period,$G298,"m") + 1) / Months_in_Period,0),0)</f>
        <v>0</v>
      </c>
      <c r="AT298" s="231">
        <f xml:space="preserve"> IFERROR(($E298&gt;0)*($E298 &lt;=End_of_period) * ($G298 &gt;=Beginning_of_period) * (1-SUM($K298:AS298)) /  IFERROR((DATEDIF(Beginning_of_period,$G298,"m") + 1) / Months_in_Period,0),0)</f>
        <v>0</v>
      </c>
      <c r="AU298" s="231">
        <f xml:space="preserve"> IFERROR(($E298&gt;0)*($E298 &lt;=End_of_period) * ($G298 &gt;=Beginning_of_period) * (1-SUM($K298:AT298)) /  IFERROR((DATEDIF(Beginning_of_period,$G298,"m") + 1) / Months_in_Period,0),0)</f>
        <v>0</v>
      </c>
      <c r="AV298" s="231">
        <f xml:space="preserve"> IFERROR(($E298&gt;0)*($E298 &lt;=End_of_period) * ($G298 &gt;=Beginning_of_period) * (1-SUM($K298:AU298)) /  IFERROR((DATEDIF(Beginning_of_period,$G298,"m") + 1) / Months_in_Period,0),0)</f>
        <v>0</v>
      </c>
      <c r="AW298" s="231">
        <f xml:space="preserve"> IFERROR(($E298&gt;0)*($E298 &lt;=End_of_period) * ($G298 &gt;=Beginning_of_period) * (1-SUM($K298:AV298)) /  IFERROR((DATEDIF(Beginning_of_period,$G298,"m") + 1) / Months_in_Period,0),0)</f>
        <v>0</v>
      </c>
      <c r="AX298" s="231">
        <f xml:space="preserve"> IFERROR(($E298&gt;0)*($E298 &lt;=End_of_period) * ($G298 &gt;=Beginning_of_period) * (1-SUM($K298:AW298)) /  IFERROR((DATEDIF(Beginning_of_period,$G298,"m") + 1) / Months_in_Period,0),0)</f>
        <v>0</v>
      </c>
      <c r="AY298" s="231">
        <f xml:space="preserve"> IFERROR(($E298&gt;0)*($E298 &lt;=End_of_period) * ($G298 &gt;=Beginning_of_period) * (1-SUM($K298:AX298)) /  IFERROR((DATEDIF(Beginning_of_period,$G298,"m") + 1) / Months_in_Period,0),0)</f>
        <v>0</v>
      </c>
      <c r="AZ298" s="231">
        <f xml:space="preserve"> IFERROR(($E298&gt;0)*($E298 &lt;=End_of_period) * ($G298 &gt;=Beginning_of_period) * (1-SUM($K298:AY298)) /  IFERROR((DATEDIF(Beginning_of_period,$G298,"m") + 1) / Months_in_Period,0),0)</f>
        <v>0</v>
      </c>
      <c r="BA298" s="231">
        <f xml:space="preserve"> IFERROR(($E298&gt;0)*($E298 &lt;=End_of_period) * ($G298 &gt;=Beginning_of_period) * (1-SUM($K298:AZ298)) /  IFERROR((DATEDIF(Beginning_of_period,$G298,"m") + 1) / Months_in_Period,0),0)</f>
        <v>0</v>
      </c>
      <c r="BB298" s="231">
        <f xml:space="preserve"> IFERROR(($E298&gt;0)*($E298 &lt;=End_of_period) * ($G298 &gt;=Beginning_of_period) * (1-SUM($K298:BA298)) /  IFERROR((DATEDIF(Beginning_of_period,$G298,"m") + 1) / Months_in_Period,0),0)</f>
        <v>0</v>
      </c>
      <c r="BC298" s="231">
        <f xml:space="preserve"> IFERROR(($E298&gt;0)*($E298 &lt;=End_of_period) * ($G298 &gt;=Beginning_of_period) * (1-SUM($K298:BB298)) /  IFERROR((DATEDIF(Beginning_of_period,$G298,"m") + 1) / Months_in_Period,0),0)</f>
        <v>0</v>
      </c>
      <c r="BD298" s="231">
        <f xml:space="preserve"> IFERROR(($E298&gt;0)*($E298 &lt;=End_of_period) * ($G298 &gt;=Beginning_of_period) * (1-SUM($K298:BC298)) /  IFERROR((DATEDIF(Beginning_of_period,$G298,"m") + 1) / Months_in_Period,0),0)</f>
        <v>0</v>
      </c>
      <c r="BE298" s="231">
        <f xml:space="preserve"> IFERROR(($E298&gt;0)*($E298 &lt;=End_of_period) * ($G298 &gt;=Beginning_of_period) * (1-SUM($K298:BD298)) /  IFERROR((DATEDIF(Beginning_of_period,$G298,"m") + 1) / Months_in_Period,0),0)</f>
        <v>0</v>
      </c>
      <c r="BF298" s="231">
        <f xml:space="preserve"> IFERROR(($E298&gt;0)*($E298 &lt;=End_of_period) * ($G298 &gt;=Beginning_of_period) * (1-SUM($K298:BE298)) /  IFERROR((DATEDIF(Beginning_of_period,$G298,"m") + 1) / Months_in_Period,0),0)</f>
        <v>0</v>
      </c>
      <c r="BG298" s="231">
        <f xml:space="preserve"> IFERROR(($E298&gt;0)*($E298 &lt;=End_of_period) * ($G298 &gt;=Beginning_of_period) * (1-SUM($K298:BF298)) /  IFERROR((DATEDIF(Beginning_of_period,$G298,"m") + 1) / Months_in_Period,0),0)</f>
        <v>0</v>
      </c>
      <c r="BH298" s="231">
        <f xml:space="preserve"> IFERROR(($E298&gt;0)*($E298 &lt;=End_of_period) * ($G298 &gt;=Beginning_of_period) * (1-SUM($K298:BG298)) /  IFERROR((DATEDIF(Beginning_of_period,$G298,"m") + 1) / Months_in_Period,0),0)</f>
        <v>0</v>
      </c>
      <c r="BI298" s="231">
        <f xml:space="preserve"> IFERROR(($E298&gt;0)*($E298 &lt;=End_of_period) * ($G298 &gt;=Beginning_of_period) * (1-SUM($K298:BH298)) /  IFERROR((DATEDIF(Beginning_of_period,$G298,"m") + 1) / Months_in_Period,0),0)</f>
        <v>0</v>
      </c>
      <c r="BJ298" s="231">
        <f xml:space="preserve"> IFERROR(($E298&gt;0)*($E298 &lt;=End_of_period) * ($G298 &gt;=Beginning_of_period) * (1-SUM($K298:BI298)) /  IFERROR((DATEDIF(Beginning_of_period,$G298,"m") + 1) / Months_in_Period,0),0)</f>
        <v>0</v>
      </c>
      <c r="BK298" s="231">
        <f xml:space="preserve"> IFERROR(($E298&gt;0)*($E298 &lt;=End_of_period) * ($G298 &gt;=Beginning_of_period) * (1-SUM($K298:BJ298)) /  IFERROR((DATEDIF(Beginning_of_period,$G298,"m") + 1) / Months_in_Period,0),0)</f>
        <v>0</v>
      </c>
      <c r="BL298" s="231">
        <f xml:space="preserve"> IFERROR(($E298&gt;0)*($E298 &lt;=End_of_period) * ($G298 &gt;=Beginning_of_period) * (1-SUM($K298:BK298)) /  IFERROR((DATEDIF(Beginning_of_period,$G298,"m") + 1) / Months_in_Period,0),0)</f>
        <v>0</v>
      </c>
      <c r="BM298" s="231">
        <f xml:space="preserve"> IFERROR(($E298&gt;0)*($E298 &lt;=End_of_period) * ($G298 &gt;=Beginning_of_period) * (1-SUM($K298:BL298)) /  IFERROR((DATEDIF(Beginning_of_period,$G298,"m") + 1) / Months_in_Period,0),0)</f>
        <v>0</v>
      </c>
      <c r="BN298" s="231">
        <f xml:space="preserve"> IFERROR(($E298&gt;0)*($E298 &lt;=End_of_period) * ($G298 &gt;=Beginning_of_period) * (1-SUM($K298:BM298)) /  IFERROR((DATEDIF(Beginning_of_period,$G298,"m") + 1) / Months_in_Period,0),0)</f>
        <v>0</v>
      </c>
      <c r="BO298" s="231">
        <f xml:space="preserve"> IFERROR(($E298&gt;0)*($E298 &lt;=End_of_period) * ($G298 &gt;=Beginning_of_period) * (1-SUM($K298:BN298)) /  IFERROR((DATEDIF(Beginning_of_period,$G298,"m") + 1) / Months_in_Period,0),0)</f>
        <v>0</v>
      </c>
      <c r="BP298" s="231">
        <f xml:space="preserve"> IFERROR(($E298&gt;0)*($E298 &lt;=End_of_period) * ($G298 &gt;=Beginning_of_period) * (1-SUM($K298:BO298)) /  IFERROR((DATEDIF(Beginning_of_period,$G298,"m") + 1) / Months_in_Period,0),0)</f>
        <v>0</v>
      </c>
      <c r="BQ298" s="231">
        <f xml:space="preserve"> IFERROR(($E298&gt;0)*($E298 &lt;=End_of_period) * ($G298 &gt;=Beginning_of_period) * (1-SUM($K298:BP298)) /  IFERROR((DATEDIF(Beginning_of_period,$G298,"m") + 1) / Months_in_Period,0),0)</f>
        <v>0</v>
      </c>
      <c r="BR298" s="231">
        <f xml:space="preserve"> IFERROR(($E298&gt;0)*($E298 &lt;=End_of_period) * ($G298 &gt;=Beginning_of_period) * (1-SUM($K298:BQ298)) /  IFERROR((DATEDIF(Beginning_of_period,$G298,"m") + 1) / Months_in_Period,0),0)</f>
        <v>0</v>
      </c>
      <c r="BS298" s="231">
        <f xml:space="preserve"> IFERROR(($E298&gt;0)*($E298 &lt;=End_of_period) * ($G298 &gt;=Beginning_of_period) * (1-SUM($K298:BR298)) /  IFERROR((DATEDIF(Beginning_of_period,$G298,"m") + 1) / Months_in_Period,0),0)</f>
        <v>0</v>
      </c>
      <c r="BT298" s="231">
        <f xml:space="preserve"> IFERROR(($E298&gt;0)*($E298 &lt;=End_of_period) * ($G298 &gt;=Beginning_of_period) * (1-SUM($K298:BS298)) /  IFERROR((DATEDIF(Beginning_of_period,$G298,"m") + 1) / Months_in_Period,0),0)</f>
        <v>0</v>
      </c>
      <c r="BU298" s="231">
        <f xml:space="preserve"> IFERROR(($E298&gt;0)*($E298 &lt;=End_of_period) * ($G298 &gt;=Beginning_of_period) * (1-SUM($K298:BT298)) /  IFERROR((DATEDIF(Beginning_of_period,$G298,"m") + 1) / Months_in_Period,0),0)</f>
        <v>0</v>
      </c>
      <c r="BV298" s="231">
        <f xml:space="preserve"> IFERROR(($E298&gt;0)*($E298 &lt;=End_of_period) * ($G298 &gt;=Beginning_of_period) * (1-SUM($K298:BU298)) /  IFERROR((DATEDIF(Beginning_of_period,$G298,"m") + 1) / Months_in_Period,0),0)</f>
        <v>0</v>
      </c>
      <c r="BW298" s="231">
        <f xml:space="preserve"> IFERROR(($E298&gt;0)*($E298 &lt;=End_of_period) * ($G298 &gt;=Beginning_of_period) * (1-SUM($K298:BV298)) /  IFERROR((DATEDIF(Beginning_of_period,$G298,"m") + 1) / Months_in_Period,0),0)</f>
        <v>0</v>
      </c>
      <c r="BX298" s="231">
        <f xml:space="preserve"> IFERROR(($E298&gt;0)*($E298 &lt;=End_of_period) * ($G298 &gt;=Beginning_of_period) * (1-SUM($K298:BW298)) /  IFERROR((DATEDIF(Beginning_of_period,$G298,"m") + 1) / Months_in_Period,0),0)</f>
        <v>0</v>
      </c>
      <c r="BY298" s="231">
        <f xml:space="preserve"> IFERROR(($E298&gt;0)*($E298 &lt;=End_of_period) * ($G298 &gt;=Beginning_of_period) * (1-SUM($K298:BX298)) /  IFERROR((DATEDIF(Beginning_of_period,$G298,"m") + 1) / Months_in_Period,0),0)</f>
        <v>0</v>
      </c>
      <c r="BZ298" s="231">
        <f xml:space="preserve"> IFERROR(($E298&gt;0)*($E298 &lt;=End_of_period) * ($G298 &gt;=Beginning_of_period) * (1-SUM($K298:BY298)) /  IFERROR((DATEDIF(Beginning_of_period,$G298,"m") + 1) / Months_in_Period,0),0)</f>
        <v>0</v>
      </c>
      <c r="CA298" s="231">
        <f xml:space="preserve"> IFERROR(($E298&gt;0)*($E298 &lt;=End_of_period) * ($G298 &gt;=Beginning_of_period) * (1-SUM($K298:BZ298)) /  IFERROR((DATEDIF(Beginning_of_period,$G298,"m") + 1) / Months_in_Period,0),0)</f>
        <v>0</v>
      </c>
      <c r="CB298" s="231">
        <f xml:space="preserve"> IFERROR(($E298&gt;0)*($E298 &lt;=End_of_period) * ($G298 &gt;=Beginning_of_period) * (1-SUM($K298:CA298)) /  IFERROR((DATEDIF(Beginning_of_period,$G298,"m") + 1) / Months_in_Period,0),0)</f>
        <v>0</v>
      </c>
      <c r="CC298" s="231">
        <f xml:space="preserve"> IFERROR(($E298&gt;0)*($E298 &lt;=End_of_period) * ($G298 &gt;=Beginning_of_period) * (1-SUM($K298:CB298)) /  IFERROR((DATEDIF(Beginning_of_period,$G298,"m") + 1) / Months_in_Period,0),0)</f>
        <v>0</v>
      </c>
      <c r="CD298" s="231">
        <f xml:space="preserve"> IFERROR(($E298&gt;0)*($E298 &lt;=End_of_period) * ($G298 &gt;=Beginning_of_period) * (1-SUM($K298:CC298)) /  IFERROR((DATEDIF(Beginning_of_period,$G298,"m") + 1) / Months_in_Period,0),0)</f>
        <v>0</v>
      </c>
      <c r="CE298" s="231">
        <f xml:space="preserve"> IFERROR(($E298&gt;0)*($E298 &lt;=End_of_period) * ($G298 &gt;=Beginning_of_period) * (1-SUM($K298:CD298)) /  IFERROR((DATEDIF(Beginning_of_period,$G298,"m") + 1) / Months_in_Period,0),0)</f>
        <v>0</v>
      </c>
      <c r="CF298" s="231">
        <f xml:space="preserve"> IFERROR(($E298&gt;0)*($E298 &lt;=End_of_period) * ($G298 &gt;=Beginning_of_period) * (1-SUM($K298:CE298)) /  IFERROR((DATEDIF(Beginning_of_period,$G298,"m") + 1) / Months_in_Period,0),0)</f>
        <v>0</v>
      </c>
      <c r="CG298" s="231">
        <f xml:space="preserve"> IFERROR(($E298&gt;0)*($E298 &lt;=End_of_period) * ($G298 &gt;=Beginning_of_period) * (1-SUM($K298:CF298)) /  IFERROR((DATEDIF(Beginning_of_period,$G298,"m") + 1) / Months_in_Period,0),0)</f>
        <v>0</v>
      </c>
      <c r="CH298" s="231">
        <f xml:space="preserve"> IFERROR(($E298&gt;0)*($E298 &lt;=End_of_period) * ($G298 &gt;=Beginning_of_period) * (1-SUM($K298:CG298)) /  IFERROR((DATEDIF(Beginning_of_period,$G298,"m") + 1) / Months_in_Period,0),0)</f>
        <v>0</v>
      </c>
      <c r="CI298" s="231">
        <f xml:space="preserve"> IFERROR(($E298&gt;0)*($E298 &lt;=End_of_period) * ($G298 &gt;=Beginning_of_period) * (1-SUM($K298:CH298)) /  IFERROR((DATEDIF(Beginning_of_period,$G298,"m") + 1) / Months_in_Period,0),0)</f>
        <v>0</v>
      </c>
      <c r="CJ298" s="231">
        <f xml:space="preserve"> IFERROR(($E298&gt;0)*($E298 &lt;=End_of_period) * ($G298 &gt;=Beginning_of_period) * (1-SUM($K298:CI298)) /  IFERROR((DATEDIF(Beginning_of_period,$G298,"m") + 1) / Months_in_Period,0),0)</f>
        <v>0</v>
      </c>
      <c r="CK298" s="231">
        <f xml:space="preserve"> IFERROR(($E298&gt;0)*($E298 &lt;=End_of_period) * ($G298 &gt;=Beginning_of_period) * (1-SUM($K298:CJ298)) /  IFERROR((DATEDIF(Beginning_of_period,$G298,"m") + 1) / Months_in_Period,0),0)</f>
        <v>0</v>
      </c>
      <c r="CL298" s="231">
        <f xml:space="preserve"> IFERROR(($E298&gt;0)*($E298 &lt;=End_of_period) * ($G298 &gt;=Beginning_of_period) * (1-SUM($K298:CK298)) /  IFERROR((DATEDIF(Beginning_of_period,$G298,"m") + 1) / Months_in_Period,0),0)</f>
        <v>0</v>
      </c>
      <c r="CM298" s="231">
        <f xml:space="preserve"> IFERROR(($E298&gt;0)*($E298 &lt;=End_of_period) * ($G298 &gt;=Beginning_of_period) * (1-SUM($K298:CL298)) /  IFERROR((DATEDIF(Beginning_of_period,$G298,"m") + 1) / Months_in_Period,0),0)</f>
        <v>0</v>
      </c>
      <c r="CN298" s="231">
        <f xml:space="preserve"> IFERROR(($E298&gt;0)*($E298 &lt;=End_of_period) * ($G298 &gt;=Beginning_of_period) * (1-SUM($K298:CM298)) /  IFERROR((DATEDIF(Beginning_of_period,$G298,"m") + 1) / Months_in_Period,0),0)</f>
        <v>0</v>
      </c>
      <c r="CO298" s="231">
        <f xml:space="preserve"> IFERROR(($E298&gt;0)*($E298 &lt;=End_of_period) * ($G298 &gt;=Beginning_of_period) * (1-SUM($K298:CN298)) /  IFERROR((DATEDIF(Beginning_of_period,$G298,"m") + 1) / Months_in_Period,0),0)</f>
        <v>0</v>
      </c>
      <c r="CP298" s="10"/>
    </row>
    <row r="299" spans="1:94" ht="15" customHeight="1">
      <c r="A299" s="10"/>
      <c r="B299" s="3"/>
      <c r="C299" s="17" t="s">
        <v>635</v>
      </c>
      <c r="D299" s="10"/>
      <c r="E299" s="71">
        <v>46753</v>
      </c>
      <c r="F299" s="10"/>
      <c r="G299" s="479">
        <v>47118</v>
      </c>
      <c r="H299" s="149">
        <f t="shared" si="122"/>
        <v>4</v>
      </c>
      <c r="I299" s="231">
        <f t="shared" si="123"/>
        <v>1</v>
      </c>
      <c r="J299" s="10"/>
      <c r="K299" s="10"/>
      <c r="L299" s="231">
        <f xml:space="preserve"> IFERROR(($E299&gt;0)*($E299 &lt;=End_of_period) * ($G299 &gt;=Beginning_of_period) * (1-SUM($K299:K299)) /  IFERROR((DATEDIF(Beginning_of_period,$G299,"m") + 1) / Months_in_Period,0),0)</f>
        <v>0</v>
      </c>
      <c r="M299" s="231">
        <f xml:space="preserve"> IFERROR(($E299&gt;0)*($E299 &lt;=End_of_period) * ($G299 &gt;=Beginning_of_period) * (1-SUM($K299:L299)) /  IFERROR((DATEDIF(Beginning_of_period,$G299,"m") + 1) / Months_in_Period,0),0)</f>
        <v>0</v>
      </c>
      <c r="N299" s="231">
        <f xml:space="preserve"> IFERROR(($E299&gt;0)*($E299 &lt;=End_of_period) * ($G299 &gt;=Beginning_of_period) * (1-SUM($K299:M299)) /  IFERROR((DATEDIF(Beginning_of_period,$G299,"m") + 1) / Months_in_Period,0),0)</f>
        <v>0</v>
      </c>
      <c r="O299" s="231">
        <f xml:space="preserve"> IFERROR(($E299&gt;0)*($E299 &lt;=End_of_period) * ($G299 &gt;=Beginning_of_period) * (1-SUM($K299:N299)) /  IFERROR((DATEDIF(Beginning_of_period,$G299,"m") + 1) / Months_in_Period,0),0)</f>
        <v>0</v>
      </c>
      <c r="P299" s="231">
        <f xml:space="preserve"> IFERROR(($E299&gt;0)*($E299 &lt;=End_of_period) * ($G299 &gt;=Beginning_of_period) * (1-SUM($K299:O299)) /  IFERROR((DATEDIF(Beginning_of_period,$G299,"m") + 1) / Months_in_Period,0),0)</f>
        <v>0</v>
      </c>
      <c r="Q299" s="231">
        <f xml:space="preserve"> IFERROR(($E299&gt;0)*($E299 &lt;=End_of_period) * ($G299 &gt;=Beginning_of_period) * (1-SUM($K299:P299)) /  IFERROR((DATEDIF(Beginning_of_period,$G299,"m") + 1) / Months_in_Period,0),0)</f>
        <v>0</v>
      </c>
      <c r="R299" s="231">
        <f xml:space="preserve"> IFERROR(($E299&gt;0)*($E299 &lt;=End_of_period) * ($G299 &gt;=Beginning_of_period) * (1-SUM($K299:Q299)) /  IFERROR((DATEDIF(Beginning_of_period,$G299,"m") + 1) / Months_in_Period,0),0)</f>
        <v>0</v>
      </c>
      <c r="S299" s="231">
        <f xml:space="preserve"> IFERROR(($E299&gt;0)*($E299 &lt;=End_of_period) * ($G299 &gt;=Beginning_of_period) * (1-SUM($K299:R299)) /  IFERROR((DATEDIF(Beginning_of_period,$G299,"m") + 1) / Months_in_Period,0),0)</f>
        <v>0</v>
      </c>
      <c r="T299" s="231">
        <f xml:space="preserve"> IFERROR(($E299&gt;0)*($E299 &lt;=End_of_period) * ($G299 &gt;=Beginning_of_period) * (1-SUM($K299:S299)) /  IFERROR((DATEDIF(Beginning_of_period,$G299,"m") + 1) / Months_in_Period,0),0)</f>
        <v>0</v>
      </c>
      <c r="U299" s="231">
        <f xml:space="preserve"> IFERROR(($E299&gt;0)*($E299 &lt;=End_of_period) * ($G299 &gt;=Beginning_of_period) * (1-SUM($K299:T299)) /  IFERROR((DATEDIF(Beginning_of_period,$G299,"m") + 1) / Months_in_Period,0),0)</f>
        <v>0</v>
      </c>
      <c r="V299" s="231">
        <f xml:space="preserve"> IFERROR(($E299&gt;0)*($E299 &lt;=End_of_period) * ($G299 &gt;=Beginning_of_period) * (1-SUM($K299:U299)) /  IFERROR((DATEDIF(Beginning_of_period,$G299,"m") + 1) / Months_in_Period,0),0)</f>
        <v>0</v>
      </c>
      <c r="W299" s="231">
        <f xml:space="preserve"> IFERROR(($E299&gt;0)*($E299 &lt;=End_of_period) * ($G299 &gt;=Beginning_of_period) * (1-SUM($K299:V299)) /  IFERROR((DATEDIF(Beginning_of_period,$G299,"m") + 1) / Months_in_Period,0),0)</f>
        <v>0</v>
      </c>
      <c r="X299" s="231">
        <f xml:space="preserve"> IFERROR(($E299&gt;0)*($E299 &lt;=End_of_period) * ($G299 &gt;=Beginning_of_period) * (1-SUM($K299:W299)) /  IFERROR((DATEDIF(Beginning_of_period,$G299,"m") + 1) / Months_in_Period,0),0)</f>
        <v>0.25</v>
      </c>
      <c r="Y299" s="231">
        <f xml:space="preserve"> IFERROR(($E299&gt;0)*($E299 &lt;=End_of_period) * ($G299 &gt;=Beginning_of_period) * (1-SUM($K299:X299)) /  IFERROR((DATEDIF(Beginning_of_period,$G299,"m") + 1) / Months_in_Period,0),0)</f>
        <v>0.25</v>
      </c>
      <c r="Z299" s="231">
        <f xml:space="preserve"> IFERROR(($E299&gt;0)*($E299 &lt;=End_of_period) * ($G299 &gt;=Beginning_of_period) * (1-SUM($K299:Y299)) /  IFERROR((DATEDIF(Beginning_of_period,$G299,"m") + 1) / Months_in_Period,0),0)</f>
        <v>0.25</v>
      </c>
      <c r="AA299" s="231">
        <f xml:space="preserve"> IFERROR(($E299&gt;0)*($E299 &lt;=End_of_period) * ($G299 &gt;=Beginning_of_period) * (1-SUM($K299:Z299)) /  IFERROR((DATEDIF(Beginning_of_period,$G299,"m") + 1) / Months_in_Period,0),0)</f>
        <v>0.25</v>
      </c>
      <c r="AB299" s="231">
        <f xml:space="preserve"> IFERROR(($E299&gt;0)*($E299 &lt;=End_of_period) * ($G299 &gt;=Beginning_of_period) * (1-SUM($K299:AA299)) /  IFERROR((DATEDIF(Beginning_of_period,$G299,"m") + 1) / Months_in_Period,0),0)</f>
        <v>0</v>
      </c>
      <c r="AC299" s="231">
        <f xml:space="preserve"> IFERROR(($E299&gt;0)*($E299 &lt;=End_of_period) * ($G299 &gt;=Beginning_of_period) * (1-SUM($K299:AB299)) /  IFERROR((DATEDIF(Beginning_of_period,$G299,"m") + 1) / Months_in_Period,0),0)</f>
        <v>0</v>
      </c>
      <c r="AD299" s="231">
        <f xml:space="preserve"> IFERROR(($E299&gt;0)*($E299 &lt;=End_of_period) * ($G299 &gt;=Beginning_of_period) * (1-SUM($K299:AC299)) /  IFERROR((DATEDIF(Beginning_of_period,$G299,"m") + 1) / Months_in_Period,0),0)</f>
        <v>0</v>
      </c>
      <c r="AE299" s="231">
        <f xml:space="preserve"> IFERROR(($E299&gt;0)*($E299 &lt;=End_of_period) * ($G299 &gt;=Beginning_of_period) * (1-SUM($K299:AD299)) /  IFERROR((DATEDIF(Beginning_of_period,$G299,"m") + 1) / Months_in_Period,0),0)</f>
        <v>0</v>
      </c>
      <c r="AF299" s="231">
        <f xml:space="preserve"> IFERROR(($E299&gt;0)*($E299 &lt;=End_of_period) * ($G299 &gt;=Beginning_of_period) * (1-SUM($K299:AE299)) /  IFERROR((DATEDIF(Beginning_of_period,$G299,"m") + 1) / Months_in_Period,0),0)</f>
        <v>0</v>
      </c>
      <c r="AG299" s="231">
        <f xml:space="preserve"> IFERROR(($E299&gt;0)*($E299 &lt;=End_of_period) * ($G299 &gt;=Beginning_of_period) * (1-SUM($K299:AF299)) /  IFERROR((DATEDIF(Beginning_of_period,$G299,"m") + 1) / Months_in_Period,0),0)</f>
        <v>0</v>
      </c>
      <c r="AH299" s="231">
        <f xml:space="preserve"> IFERROR(($E299&gt;0)*($E299 &lt;=End_of_period) * ($G299 &gt;=Beginning_of_period) * (1-SUM($K299:AG299)) /  IFERROR((DATEDIF(Beginning_of_period,$G299,"m") + 1) / Months_in_Period,0),0)</f>
        <v>0</v>
      </c>
      <c r="AI299" s="231">
        <f xml:space="preserve"> IFERROR(($E299&gt;0)*($E299 &lt;=End_of_period) * ($G299 &gt;=Beginning_of_period) * (1-SUM($K299:AH299)) /  IFERROR((DATEDIF(Beginning_of_period,$G299,"m") + 1) / Months_in_Period,0),0)</f>
        <v>0</v>
      </c>
      <c r="AJ299" s="231">
        <f xml:space="preserve"> IFERROR(($E299&gt;0)*($E299 &lt;=End_of_period) * ($G299 &gt;=Beginning_of_period) * (1-SUM($K299:AI299)) /  IFERROR((DATEDIF(Beginning_of_period,$G299,"m") + 1) / Months_in_Period,0),0)</f>
        <v>0</v>
      </c>
      <c r="AK299" s="231">
        <f xml:space="preserve"> IFERROR(($E299&gt;0)*($E299 &lt;=End_of_period) * ($G299 &gt;=Beginning_of_period) * (1-SUM($K299:AJ299)) /  IFERROR((DATEDIF(Beginning_of_period,$G299,"m") + 1) / Months_in_Period,0),0)</f>
        <v>0</v>
      </c>
      <c r="AL299" s="231">
        <f xml:space="preserve"> IFERROR(($E299&gt;0)*($E299 &lt;=End_of_period) * ($G299 &gt;=Beginning_of_period) * (1-SUM($K299:AK299)) /  IFERROR((DATEDIF(Beginning_of_period,$G299,"m") + 1) / Months_in_Period,0),0)</f>
        <v>0</v>
      </c>
      <c r="AM299" s="231">
        <f xml:space="preserve"> IFERROR(($E299&gt;0)*($E299 &lt;=End_of_period) * ($G299 &gt;=Beginning_of_period) * (1-SUM($K299:AL299)) /  IFERROR((DATEDIF(Beginning_of_period,$G299,"m") + 1) / Months_in_Period,0),0)</f>
        <v>0</v>
      </c>
      <c r="AN299" s="231">
        <f xml:space="preserve"> IFERROR(($E299&gt;0)*($E299 &lt;=End_of_period) * ($G299 &gt;=Beginning_of_period) * (1-SUM($K299:AM299)) /  IFERROR((DATEDIF(Beginning_of_period,$G299,"m") + 1) / Months_in_Period,0),0)</f>
        <v>0</v>
      </c>
      <c r="AO299" s="231">
        <f xml:space="preserve"> IFERROR(($E299&gt;0)*($E299 &lt;=End_of_period) * ($G299 &gt;=Beginning_of_period) * (1-SUM($K299:AN299)) /  IFERROR((DATEDIF(Beginning_of_period,$G299,"m") + 1) / Months_in_Period,0),0)</f>
        <v>0</v>
      </c>
      <c r="AP299" s="231">
        <f xml:space="preserve"> IFERROR(($E299&gt;0)*($E299 &lt;=End_of_period) * ($G299 &gt;=Beginning_of_period) * (1-SUM($K299:AO299)) /  IFERROR((DATEDIF(Beginning_of_period,$G299,"m") + 1) / Months_in_Period,0),0)</f>
        <v>0</v>
      </c>
      <c r="AQ299" s="231">
        <f xml:space="preserve"> IFERROR(($E299&gt;0)*($E299 &lt;=End_of_period) * ($G299 &gt;=Beginning_of_period) * (1-SUM($K299:AP299)) /  IFERROR((DATEDIF(Beginning_of_period,$G299,"m") + 1) / Months_in_Period,0),0)</f>
        <v>0</v>
      </c>
      <c r="AR299" s="231">
        <f xml:space="preserve"> IFERROR(($E299&gt;0)*($E299 &lt;=End_of_period) * ($G299 &gt;=Beginning_of_period) * (1-SUM($K299:AQ299)) /  IFERROR((DATEDIF(Beginning_of_period,$G299,"m") + 1) / Months_in_Period,0),0)</f>
        <v>0</v>
      </c>
      <c r="AS299" s="231">
        <f xml:space="preserve"> IFERROR(($E299&gt;0)*($E299 &lt;=End_of_period) * ($G299 &gt;=Beginning_of_period) * (1-SUM($K299:AR299)) /  IFERROR((DATEDIF(Beginning_of_period,$G299,"m") + 1) / Months_in_Period,0),0)</f>
        <v>0</v>
      </c>
      <c r="AT299" s="231">
        <f xml:space="preserve"> IFERROR(($E299&gt;0)*($E299 &lt;=End_of_period) * ($G299 &gt;=Beginning_of_period) * (1-SUM($K299:AS299)) /  IFERROR((DATEDIF(Beginning_of_period,$G299,"m") + 1) / Months_in_Period,0),0)</f>
        <v>0</v>
      </c>
      <c r="AU299" s="231">
        <f xml:space="preserve"> IFERROR(($E299&gt;0)*($E299 &lt;=End_of_period) * ($G299 &gt;=Beginning_of_period) * (1-SUM($K299:AT299)) /  IFERROR((DATEDIF(Beginning_of_period,$G299,"m") + 1) / Months_in_Period,0),0)</f>
        <v>0</v>
      </c>
      <c r="AV299" s="231">
        <f xml:space="preserve"> IFERROR(($E299&gt;0)*($E299 &lt;=End_of_period) * ($G299 &gt;=Beginning_of_period) * (1-SUM($K299:AU299)) /  IFERROR((DATEDIF(Beginning_of_period,$G299,"m") + 1) / Months_in_Period,0),0)</f>
        <v>0</v>
      </c>
      <c r="AW299" s="231">
        <f xml:space="preserve"> IFERROR(($E299&gt;0)*($E299 &lt;=End_of_period) * ($G299 &gt;=Beginning_of_period) * (1-SUM($K299:AV299)) /  IFERROR((DATEDIF(Beginning_of_period,$G299,"m") + 1) / Months_in_Period,0),0)</f>
        <v>0</v>
      </c>
      <c r="AX299" s="231">
        <f xml:space="preserve"> IFERROR(($E299&gt;0)*($E299 &lt;=End_of_period) * ($G299 &gt;=Beginning_of_period) * (1-SUM($K299:AW299)) /  IFERROR((DATEDIF(Beginning_of_period,$G299,"m") + 1) / Months_in_Period,0),0)</f>
        <v>0</v>
      </c>
      <c r="AY299" s="231">
        <f xml:space="preserve"> IFERROR(($E299&gt;0)*($E299 &lt;=End_of_period) * ($G299 &gt;=Beginning_of_period) * (1-SUM($K299:AX299)) /  IFERROR((DATEDIF(Beginning_of_period,$G299,"m") + 1) / Months_in_Period,0),0)</f>
        <v>0</v>
      </c>
      <c r="AZ299" s="231">
        <f xml:space="preserve"> IFERROR(($E299&gt;0)*($E299 &lt;=End_of_period) * ($G299 &gt;=Beginning_of_period) * (1-SUM($K299:AY299)) /  IFERROR((DATEDIF(Beginning_of_period,$G299,"m") + 1) / Months_in_Period,0),0)</f>
        <v>0</v>
      </c>
      <c r="BA299" s="231">
        <f xml:space="preserve"> IFERROR(($E299&gt;0)*($E299 &lt;=End_of_period) * ($G299 &gt;=Beginning_of_period) * (1-SUM($K299:AZ299)) /  IFERROR((DATEDIF(Beginning_of_period,$G299,"m") + 1) / Months_in_Period,0),0)</f>
        <v>0</v>
      </c>
      <c r="BB299" s="231">
        <f xml:space="preserve"> IFERROR(($E299&gt;0)*($E299 &lt;=End_of_period) * ($G299 &gt;=Beginning_of_period) * (1-SUM($K299:BA299)) /  IFERROR((DATEDIF(Beginning_of_period,$G299,"m") + 1) / Months_in_Period,0),0)</f>
        <v>0</v>
      </c>
      <c r="BC299" s="231">
        <f xml:space="preserve"> IFERROR(($E299&gt;0)*($E299 &lt;=End_of_period) * ($G299 &gt;=Beginning_of_period) * (1-SUM($K299:BB299)) /  IFERROR((DATEDIF(Beginning_of_period,$G299,"m") + 1) / Months_in_Period,0),0)</f>
        <v>0</v>
      </c>
      <c r="BD299" s="231">
        <f xml:space="preserve"> IFERROR(($E299&gt;0)*($E299 &lt;=End_of_period) * ($G299 &gt;=Beginning_of_period) * (1-SUM($K299:BC299)) /  IFERROR((DATEDIF(Beginning_of_period,$G299,"m") + 1) / Months_in_Period,0),0)</f>
        <v>0</v>
      </c>
      <c r="BE299" s="231">
        <f xml:space="preserve"> IFERROR(($E299&gt;0)*($E299 &lt;=End_of_period) * ($G299 &gt;=Beginning_of_period) * (1-SUM($K299:BD299)) /  IFERROR((DATEDIF(Beginning_of_period,$G299,"m") + 1) / Months_in_Period,0),0)</f>
        <v>0</v>
      </c>
      <c r="BF299" s="231">
        <f xml:space="preserve"> IFERROR(($E299&gt;0)*($E299 &lt;=End_of_period) * ($G299 &gt;=Beginning_of_period) * (1-SUM($K299:BE299)) /  IFERROR((DATEDIF(Beginning_of_period,$G299,"m") + 1) / Months_in_Period,0),0)</f>
        <v>0</v>
      </c>
      <c r="BG299" s="231">
        <f xml:space="preserve"> IFERROR(($E299&gt;0)*($E299 &lt;=End_of_period) * ($G299 &gt;=Beginning_of_period) * (1-SUM($K299:BF299)) /  IFERROR((DATEDIF(Beginning_of_period,$G299,"m") + 1) / Months_in_Period,0),0)</f>
        <v>0</v>
      </c>
      <c r="BH299" s="231">
        <f xml:space="preserve"> IFERROR(($E299&gt;0)*($E299 &lt;=End_of_period) * ($G299 &gt;=Beginning_of_period) * (1-SUM($K299:BG299)) /  IFERROR((DATEDIF(Beginning_of_period,$G299,"m") + 1) / Months_in_Period,0),0)</f>
        <v>0</v>
      </c>
      <c r="BI299" s="231">
        <f xml:space="preserve"> IFERROR(($E299&gt;0)*($E299 &lt;=End_of_period) * ($G299 &gt;=Beginning_of_period) * (1-SUM($K299:BH299)) /  IFERROR((DATEDIF(Beginning_of_period,$G299,"m") + 1) / Months_in_Period,0),0)</f>
        <v>0</v>
      </c>
      <c r="BJ299" s="231">
        <f xml:space="preserve"> IFERROR(($E299&gt;0)*($E299 &lt;=End_of_period) * ($G299 &gt;=Beginning_of_period) * (1-SUM($K299:BI299)) /  IFERROR((DATEDIF(Beginning_of_period,$G299,"m") + 1) / Months_in_Period,0),0)</f>
        <v>0</v>
      </c>
      <c r="BK299" s="231">
        <f xml:space="preserve"> IFERROR(($E299&gt;0)*($E299 &lt;=End_of_period) * ($G299 &gt;=Beginning_of_period) * (1-SUM($K299:BJ299)) /  IFERROR((DATEDIF(Beginning_of_period,$G299,"m") + 1) / Months_in_Period,0),0)</f>
        <v>0</v>
      </c>
      <c r="BL299" s="231">
        <f xml:space="preserve"> IFERROR(($E299&gt;0)*($E299 &lt;=End_of_period) * ($G299 &gt;=Beginning_of_period) * (1-SUM($K299:BK299)) /  IFERROR((DATEDIF(Beginning_of_period,$G299,"m") + 1) / Months_in_Period,0),0)</f>
        <v>0</v>
      </c>
      <c r="BM299" s="231">
        <f xml:space="preserve"> IFERROR(($E299&gt;0)*($E299 &lt;=End_of_period) * ($G299 &gt;=Beginning_of_period) * (1-SUM($K299:BL299)) /  IFERROR((DATEDIF(Beginning_of_period,$G299,"m") + 1) / Months_in_Period,0),0)</f>
        <v>0</v>
      </c>
      <c r="BN299" s="231">
        <f xml:space="preserve"> IFERROR(($E299&gt;0)*($E299 &lt;=End_of_period) * ($G299 &gt;=Beginning_of_period) * (1-SUM($K299:BM299)) /  IFERROR((DATEDIF(Beginning_of_period,$G299,"m") + 1) / Months_in_Period,0),0)</f>
        <v>0</v>
      </c>
      <c r="BO299" s="231">
        <f xml:space="preserve"> IFERROR(($E299&gt;0)*($E299 &lt;=End_of_period) * ($G299 &gt;=Beginning_of_period) * (1-SUM($K299:BN299)) /  IFERROR((DATEDIF(Beginning_of_period,$G299,"m") + 1) / Months_in_Period,0),0)</f>
        <v>0</v>
      </c>
      <c r="BP299" s="231">
        <f xml:space="preserve"> IFERROR(($E299&gt;0)*($E299 &lt;=End_of_period) * ($G299 &gt;=Beginning_of_period) * (1-SUM($K299:BO299)) /  IFERROR((DATEDIF(Beginning_of_period,$G299,"m") + 1) / Months_in_Period,0),0)</f>
        <v>0</v>
      </c>
      <c r="BQ299" s="231">
        <f xml:space="preserve"> IFERROR(($E299&gt;0)*($E299 &lt;=End_of_period) * ($G299 &gt;=Beginning_of_period) * (1-SUM($K299:BP299)) /  IFERROR((DATEDIF(Beginning_of_period,$G299,"m") + 1) / Months_in_Period,0),0)</f>
        <v>0</v>
      </c>
      <c r="BR299" s="231">
        <f xml:space="preserve"> IFERROR(($E299&gt;0)*($E299 &lt;=End_of_period) * ($G299 &gt;=Beginning_of_period) * (1-SUM($K299:BQ299)) /  IFERROR((DATEDIF(Beginning_of_period,$G299,"m") + 1) / Months_in_Period,0),0)</f>
        <v>0</v>
      </c>
      <c r="BS299" s="231">
        <f xml:space="preserve"> IFERROR(($E299&gt;0)*($E299 &lt;=End_of_period) * ($G299 &gt;=Beginning_of_period) * (1-SUM($K299:BR299)) /  IFERROR((DATEDIF(Beginning_of_period,$G299,"m") + 1) / Months_in_Period,0),0)</f>
        <v>0</v>
      </c>
      <c r="BT299" s="231">
        <f xml:space="preserve"> IFERROR(($E299&gt;0)*($E299 &lt;=End_of_period) * ($G299 &gt;=Beginning_of_period) * (1-SUM($K299:BS299)) /  IFERROR((DATEDIF(Beginning_of_period,$G299,"m") + 1) / Months_in_Period,0),0)</f>
        <v>0</v>
      </c>
      <c r="BU299" s="231">
        <f xml:space="preserve"> IFERROR(($E299&gt;0)*($E299 &lt;=End_of_period) * ($G299 &gt;=Beginning_of_period) * (1-SUM($K299:BT299)) /  IFERROR((DATEDIF(Beginning_of_period,$G299,"m") + 1) / Months_in_Period,0),0)</f>
        <v>0</v>
      </c>
      <c r="BV299" s="231">
        <f xml:space="preserve"> IFERROR(($E299&gt;0)*($E299 &lt;=End_of_period) * ($G299 &gt;=Beginning_of_period) * (1-SUM($K299:BU299)) /  IFERROR((DATEDIF(Beginning_of_period,$G299,"m") + 1) / Months_in_Period,0),0)</f>
        <v>0</v>
      </c>
      <c r="BW299" s="231">
        <f xml:space="preserve"> IFERROR(($E299&gt;0)*($E299 &lt;=End_of_period) * ($G299 &gt;=Beginning_of_period) * (1-SUM($K299:BV299)) /  IFERROR((DATEDIF(Beginning_of_period,$G299,"m") + 1) / Months_in_Period,0),0)</f>
        <v>0</v>
      </c>
      <c r="BX299" s="231">
        <f xml:space="preserve"> IFERROR(($E299&gt;0)*($E299 &lt;=End_of_period) * ($G299 &gt;=Beginning_of_period) * (1-SUM($K299:BW299)) /  IFERROR((DATEDIF(Beginning_of_period,$G299,"m") + 1) / Months_in_Period,0),0)</f>
        <v>0</v>
      </c>
      <c r="BY299" s="231">
        <f xml:space="preserve"> IFERROR(($E299&gt;0)*($E299 &lt;=End_of_period) * ($G299 &gt;=Beginning_of_period) * (1-SUM($K299:BX299)) /  IFERROR((DATEDIF(Beginning_of_period,$G299,"m") + 1) / Months_in_Period,0),0)</f>
        <v>0</v>
      </c>
      <c r="BZ299" s="231">
        <f xml:space="preserve"> IFERROR(($E299&gt;0)*($E299 &lt;=End_of_period) * ($G299 &gt;=Beginning_of_period) * (1-SUM($K299:BY299)) /  IFERROR((DATEDIF(Beginning_of_period,$G299,"m") + 1) / Months_in_Period,0),0)</f>
        <v>0</v>
      </c>
      <c r="CA299" s="231">
        <f xml:space="preserve"> IFERROR(($E299&gt;0)*($E299 &lt;=End_of_period) * ($G299 &gt;=Beginning_of_period) * (1-SUM($K299:BZ299)) /  IFERROR((DATEDIF(Beginning_of_period,$G299,"m") + 1) / Months_in_Period,0),0)</f>
        <v>0</v>
      </c>
      <c r="CB299" s="231">
        <f xml:space="preserve"> IFERROR(($E299&gt;0)*($E299 &lt;=End_of_period) * ($G299 &gt;=Beginning_of_period) * (1-SUM($K299:CA299)) /  IFERROR((DATEDIF(Beginning_of_period,$G299,"m") + 1) / Months_in_Period,0),0)</f>
        <v>0</v>
      </c>
      <c r="CC299" s="231">
        <f xml:space="preserve"> IFERROR(($E299&gt;0)*($E299 &lt;=End_of_period) * ($G299 &gt;=Beginning_of_period) * (1-SUM($K299:CB299)) /  IFERROR((DATEDIF(Beginning_of_period,$G299,"m") + 1) / Months_in_Period,0),0)</f>
        <v>0</v>
      </c>
      <c r="CD299" s="231">
        <f xml:space="preserve"> IFERROR(($E299&gt;0)*($E299 &lt;=End_of_period) * ($G299 &gt;=Beginning_of_period) * (1-SUM($K299:CC299)) /  IFERROR((DATEDIF(Beginning_of_period,$G299,"m") + 1) / Months_in_Period,0),0)</f>
        <v>0</v>
      </c>
      <c r="CE299" s="231">
        <f xml:space="preserve"> IFERROR(($E299&gt;0)*($E299 &lt;=End_of_period) * ($G299 &gt;=Beginning_of_period) * (1-SUM($K299:CD299)) /  IFERROR((DATEDIF(Beginning_of_period,$G299,"m") + 1) / Months_in_Period,0),0)</f>
        <v>0</v>
      </c>
      <c r="CF299" s="231">
        <f xml:space="preserve"> IFERROR(($E299&gt;0)*($E299 &lt;=End_of_period) * ($G299 &gt;=Beginning_of_period) * (1-SUM($K299:CE299)) /  IFERROR((DATEDIF(Beginning_of_period,$G299,"m") + 1) / Months_in_Period,0),0)</f>
        <v>0</v>
      </c>
      <c r="CG299" s="231">
        <f xml:space="preserve"> IFERROR(($E299&gt;0)*($E299 &lt;=End_of_period) * ($G299 &gt;=Beginning_of_period) * (1-SUM($K299:CF299)) /  IFERROR((DATEDIF(Beginning_of_period,$G299,"m") + 1) / Months_in_Period,0),0)</f>
        <v>0</v>
      </c>
      <c r="CH299" s="231">
        <f xml:space="preserve"> IFERROR(($E299&gt;0)*($E299 &lt;=End_of_period) * ($G299 &gt;=Beginning_of_period) * (1-SUM($K299:CG299)) /  IFERROR((DATEDIF(Beginning_of_period,$G299,"m") + 1) / Months_in_Period,0),0)</f>
        <v>0</v>
      </c>
      <c r="CI299" s="231">
        <f xml:space="preserve"> IFERROR(($E299&gt;0)*($E299 &lt;=End_of_period) * ($G299 &gt;=Beginning_of_period) * (1-SUM($K299:CH299)) /  IFERROR((DATEDIF(Beginning_of_period,$G299,"m") + 1) / Months_in_Period,0),0)</f>
        <v>0</v>
      </c>
      <c r="CJ299" s="231">
        <f xml:space="preserve"> IFERROR(($E299&gt;0)*($E299 &lt;=End_of_period) * ($G299 &gt;=Beginning_of_period) * (1-SUM($K299:CI299)) /  IFERROR((DATEDIF(Beginning_of_period,$G299,"m") + 1) / Months_in_Period,0),0)</f>
        <v>0</v>
      </c>
      <c r="CK299" s="231">
        <f xml:space="preserve"> IFERROR(($E299&gt;0)*($E299 &lt;=End_of_period) * ($G299 &gt;=Beginning_of_period) * (1-SUM($K299:CJ299)) /  IFERROR((DATEDIF(Beginning_of_period,$G299,"m") + 1) / Months_in_Period,0),0)</f>
        <v>0</v>
      </c>
      <c r="CL299" s="231">
        <f xml:space="preserve"> IFERROR(($E299&gt;0)*($E299 &lt;=End_of_period) * ($G299 &gt;=Beginning_of_period) * (1-SUM($K299:CK299)) /  IFERROR((DATEDIF(Beginning_of_period,$G299,"m") + 1) / Months_in_Period,0),0)</f>
        <v>0</v>
      </c>
      <c r="CM299" s="231">
        <f xml:space="preserve"> IFERROR(($E299&gt;0)*($E299 &lt;=End_of_period) * ($G299 &gt;=Beginning_of_period) * (1-SUM($K299:CL299)) /  IFERROR((DATEDIF(Beginning_of_period,$G299,"m") + 1) / Months_in_Period,0),0)</f>
        <v>0</v>
      </c>
      <c r="CN299" s="231">
        <f xml:space="preserve"> IFERROR(($E299&gt;0)*($E299 &lt;=End_of_period) * ($G299 &gt;=Beginning_of_period) * (1-SUM($K299:CM299)) /  IFERROR((DATEDIF(Beginning_of_period,$G299,"m") + 1) / Months_in_Period,0),0)</f>
        <v>0</v>
      </c>
      <c r="CO299" s="231">
        <f xml:space="preserve"> IFERROR(($E299&gt;0)*($E299 &lt;=End_of_period) * ($G299 &gt;=Beginning_of_period) * (1-SUM($K299:CN299)) /  IFERROR((DATEDIF(Beginning_of_period,$G299,"m") + 1) / Months_in_Period,0),0)</f>
        <v>0</v>
      </c>
      <c r="CP299" s="10"/>
    </row>
    <row r="300" spans="1:94" ht="15" customHeight="1">
      <c r="A300" s="10"/>
      <c r="B300" s="3"/>
      <c r="C300" s="17" t="s">
        <v>1219</v>
      </c>
      <c r="D300" s="10"/>
      <c r="E300" s="71">
        <v>47119</v>
      </c>
      <c r="F300" s="10"/>
      <c r="G300" s="479">
        <v>47208</v>
      </c>
      <c r="H300" s="149">
        <f t="shared" si="122"/>
        <v>1</v>
      </c>
      <c r="I300" s="231">
        <f t="shared" si="123"/>
        <v>1</v>
      </c>
      <c r="J300" s="10"/>
      <c r="K300" s="10"/>
      <c r="L300" s="231">
        <f xml:space="preserve"> IFERROR(($E300&gt;0)*($E300 &lt;=End_of_period) * ($G300 &gt;=Beginning_of_period) * (1-SUM($K300:K300)) /  IFERROR((DATEDIF(Beginning_of_period,$G300,"m") + 1) / Months_in_Period,0),0)</f>
        <v>0</v>
      </c>
      <c r="M300" s="231">
        <f xml:space="preserve"> IFERROR(($E300&gt;0)*($E300 &lt;=End_of_period) * ($G300 &gt;=Beginning_of_period) * (1-SUM($K300:L300)) /  IFERROR((DATEDIF(Beginning_of_period,$G300,"m") + 1) / Months_in_Period,0),0)</f>
        <v>0</v>
      </c>
      <c r="N300" s="231">
        <f xml:space="preserve"> IFERROR(($E300&gt;0)*($E300 &lt;=End_of_period) * ($G300 &gt;=Beginning_of_period) * (1-SUM($K300:M300)) /  IFERROR((DATEDIF(Beginning_of_period,$G300,"m") + 1) / Months_in_Period,0),0)</f>
        <v>0</v>
      </c>
      <c r="O300" s="231">
        <f xml:space="preserve"> IFERROR(($E300&gt;0)*($E300 &lt;=End_of_period) * ($G300 &gt;=Beginning_of_period) * (1-SUM($K300:N300)) /  IFERROR((DATEDIF(Beginning_of_period,$G300,"m") + 1) / Months_in_Period,0),0)</f>
        <v>0</v>
      </c>
      <c r="P300" s="231">
        <f xml:space="preserve"> IFERROR(($E300&gt;0)*($E300 &lt;=End_of_period) * ($G300 &gt;=Beginning_of_period) * (1-SUM($K300:O300)) /  IFERROR((DATEDIF(Beginning_of_period,$G300,"m") + 1) / Months_in_Period,0),0)</f>
        <v>0</v>
      </c>
      <c r="Q300" s="231">
        <f xml:space="preserve"> IFERROR(($E300&gt;0)*($E300 &lt;=End_of_period) * ($G300 &gt;=Beginning_of_period) * (1-SUM($K300:P300)) /  IFERROR((DATEDIF(Beginning_of_period,$G300,"m") + 1) / Months_in_Period,0),0)</f>
        <v>0</v>
      </c>
      <c r="R300" s="231">
        <f xml:space="preserve"> IFERROR(($E300&gt;0)*($E300 &lt;=End_of_period) * ($G300 &gt;=Beginning_of_period) * (1-SUM($K300:Q300)) /  IFERROR((DATEDIF(Beginning_of_period,$G300,"m") + 1) / Months_in_Period,0),0)</f>
        <v>0</v>
      </c>
      <c r="S300" s="231">
        <f xml:space="preserve"> IFERROR(($E300&gt;0)*($E300 &lt;=End_of_period) * ($G300 &gt;=Beginning_of_period) * (1-SUM($K300:R300)) /  IFERROR((DATEDIF(Beginning_of_period,$G300,"m") + 1) / Months_in_Period,0),0)</f>
        <v>0</v>
      </c>
      <c r="T300" s="231">
        <f xml:space="preserve"> IFERROR(($E300&gt;0)*($E300 &lt;=End_of_period) * ($G300 &gt;=Beginning_of_period) * (1-SUM($K300:S300)) /  IFERROR((DATEDIF(Beginning_of_period,$G300,"m") + 1) / Months_in_Period,0),0)</f>
        <v>0</v>
      </c>
      <c r="U300" s="231">
        <f xml:space="preserve"> IFERROR(($E300&gt;0)*($E300 &lt;=End_of_period) * ($G300 &gt;=Beginning_of_period) * (1-SUM($K300:T300)) /  IFERROR((DATEDIF(Beginning_of_period,$G300,"m") + 1) / Months_in_Period,0),0)</f>
        <v>0</v>
      </c>
      <c r="V300" s="231">
        <f xml:space="preserve"> IFERROR(($E300&gt;0)*($E300 &lt;=End_of_period) * ($G300 &gt;=Beginning_of_period) * (1-SUM($K300:U300)) /  IFERROR((DATEDIF(Beginning_of_period,$G300,"m") + 1) / Months_in_Period,0),0)</f>
        <v>0</v>
      </c>
      <c r="W300" s="231">
        <f xml:space="preserve"> IFERROR(($E300&gt;0)*($E300 &lt;=End_of_period) * ($G300 &gt;=Beginning_of_period) * (1-SUM($K300:V300)) /  IFERROR((DATEDIF(Beginning_of_period,$G300,"m") + 1) / Months_in_Period,0),0)</f>
        <v>0</v>
      </c>
      <c r="X300" s="231">
        <f xml:space="preserve"> IFERROR(($E300&gt;0)*($E300 &lt;=End_of_period) * ($G300 &gt;=Beginning_of_period) * (1-SUM($K300:W300)) /  IFERROR((DATEDIF(Beginning_of_period,$G300,"m") + 1) / Months_in_Period,0),0)</f>
        <v>0</v>
      </c>
      <c r="Y300" s="231">
        <f xml:space="preserve"> IFERROR(($E300&gt;0)*($E300 &lt;=End_of_period) * ($G300 &gt;=Beginning_of_period) * (1-SUM($K300:X300)) /  IFERROR((DATEDIF(Beginning_of_period,$G300,"m") + 1) / Months_in_Period,0),0)</f>
        <v>0</v>
      </c>
      <c r="Z300" s="231">
        <f xml:space="preserve"> IFERROR(($E300&gt;0)*($E300 &lt;=End_of_period) * ($G300 &gt;=Beginning_of_period) * (1-SUM($K300:Y300)) /  IFERROR((DATEDIF(Beginning_of_period,$G300,"m") + 1) / Months_in_Period,0),0)</f>
        <v>0</v>
      </c>
      <c r="AA300" s="231">
        <f xml:space="preserve"> IFERROR(($E300&gt;0)*($E300 &lt;=End_of_period) * ($G300 &gt;=Beginning_of_period) * (1-SUM($K300:Z300)) /  IFERROR((DATEDIF(Beginning_of_period,$G300,"m") + 1) / Months_in_Period,0),0)</f>
        <v>0</v>
      </c>
      <c r="AB300" s="231">
        <f xml:space="preserve"> IFERROR(($E300&gt;0)*($E300 &lt;=End_of_period) * ($G300 &gt;=Beginning_of_period) * (1-SUM($K300:AA300)) /  IFERROR((DATEDIF(Beginning_of_period,$G300,"m") + 1) / Months_in_Period,0),0)</f>
        <v>1</v>
      </c>
      <c r="AC300" s="231">
        <f xml:space="preserve"> IFERROR(($E300&gt;0)*($E300 &lt;=End_of_period) * ($G300 &gt;=Beginning_of_period) * (1-SUM($K300:AB300)) /  IFERROR((DATEDIF(Beginning_of_period,$G300,"m") + 1) / Months_in_Period,0),0)</f>
        <v>0</v>
      </c>
      <c r="AD300" s="231">
        <f xml:space="preserve"> IFERROR(($E300&gt;0)*($E300 &lt;=End_of_period) * ($G300 &gt;=Beginning_of_period) * (1-SUM($K300:AC300)) /  IFERROR((DATEDIF(Beginning_of_period,$G300,"m") + 1) / Months_in_Period,0),0)</f>
        <v>0</v>
      </c>
      <c r="AE300" s="231">
        <f xml:space="preserve"> IFERROR(($E300&gt;0)*($E300 &lt;=End_of_period) * ($G300 &gt;=Beginning_of_period) * (1-SUM($K300:AD300)) /  IFERROR((DATEDIF(Beginning_of_period,$G300,"m") + 1) / Months_in_Period,0),0)</f>
        <v>0</v>
      </c>
      <c r="AF300" s="231">
        <f xml:space="preserve"> IFERROR(($E300&gt;0)*($E300 &lt;=End_of_period) * ($G300 &gt;=Beginning_of_period) * (1-SUM($K300:AE300)) /  IFERROR((DATEDIF(Beginning_of_period,$G300,"m") + 1) / Months_in_Period,0),0)</f>
        <v>0</v>
      </c>
      <c r="AG300" s="231">
        <f xml:space="preserve"> IFERROR(($E300&gt;0)*($E300 &lt;=End_of_period) * ($G300 &gt;=Beginning_of_period) * (1-SUM($K300:AF300)) /  IFERROR((DATEDIF(Beginning_of_period,$G300,"m") + 1) / Months_in_Period,0),0)</f>
        <v>0</v>
      </c>
      <c r="AH300" s="231">
        <f xml:space="preserve"> IFERROR(($E300&gt;0)*($E300 &lt;=End_of_period) * ($G300 &gt;=Beginning_of_period) * (1-SUM($K300:AG300)) /  IFERROR((DATEDIF(Beginning_of_period,$G300,"m") + 1) / Months_in_Period,0),0)</f>
        <v>0</v>
      </c>
      <c r="AI300" s="231">
        <f xml:space="preserve"> IFERROR(($E300&gt;0)*($E300 &lt;=End_of_period) * ($G300 &gt;=Beginning_of_period) * (1-SUM($K300:AH300)) /  IFERROR((DATEDIF(Beginning_of_period,$G300,"m") + 1) / Months_in_Period,0),0)</f>
        <v>0</v>
      </c>
      <c r="AJ300" s="231">
        <f xml:space="preserve"> IFERROR(($E300&gt;0)*($E300 &lt;=End_of_period) * ($G300 &gt;=Beginning_of_period) * (1-SUM($K300:AI300)) /  IFERROR((DATEDIF(Beginning_of_period,$G300,"m") + 1) / Months_in_Period,0),0)</f>
        <v>0</v>
      </c>
      <c r="AK300" s="231">
        <f xml:space="preserve"> IFERROR(($E300&gt;0)*($E300 &lt;=End_of_period) * ($G300 &gt;=Beginning_of_period) * (1-SUM($K300:AJ300)) /  IFERROR((DATEDIF(Beginning_of_period,$G300,"m") + 1) / Months_in_Period,0),0)</f>
        <v>0</v>
      </c>
      <c r="AL300" s="231">
        <f xml:space="preserve"> IFERROR(($E300&gt;0)*($E300 &lt;=End_of_period) * ($G300 &gt;=Beginning_of_period) * (1-SUM($K300:AK300)) /  IFERROR((DATEDIF(Beginning_of_period,$G300,"m") + 1) / Months_in_Period,0),0)</f>
        <v>0</v>
      </c>
      <c r="AM300" s="231">
        <f xml:space="preserve"> IFERROR(($E300&gt;0)*($E300 &lt;=End_of_period) * ($G300 &gt;=Beginning_of_period) * (1-SUM($K300:AL300)) /  IFERROR((DATEDIF(Beginning_of_period,$G300,"m") + 1) / Months_in_Period,0),0)</f>
        <v>0</v>
      </c>
      <c r="AN300" s="231">
        <f xml:space="preserve"> IFERROR(($E300&gt;0)*($E300 &lt;=End_of_period) * ($G300 &gt;=Beginning_of_period) * (1-SUM($K300:AM300)) /  IFERROR((DATEDIF(Beginning_of_period,$G300,"m") + 1) / Months_in_Period,0),0)</f>
        <v>0</v>
      </c>
      <c r="AO300" s="231">
        <f xml:space="preserve"> IFERROR(($E300&gt;0)*($E300 &lt;=End_of_period) * ($G300 &gt;=Beginning_of_period) * (1-SUM($K300:AN300)) /  IFERROR((DATEDIF(Beginning_of_period,$G300,"m") + 1) / Months_in_Period,0),0)</f>
        <v>0</v>
      </c>
      <c r="AP300" s="231">
        <f xml:space="preserve"> IFERROR(($E300&gt;0)*($E300 &lt;=End_of_period) * ($G300 &gt;=Beginning_of_period) * (1-SUM($K300:AO300)) /  IFERROR((DATEDIF(Beginning_of_period,$G300,"m") + 1) / Months_in_Period,0),0)</f>
        <v>0</v>
      </c>
      <c r="AQ300" s="231">
        <f xml:space="preserve"> IFERROR(($E300&gt;0)*($E300 &lt;=End_of_period) * ($G300 &gt;=Beginning_of_period) * (1-SUM($K300:AP300)) /  IFERROR((DATEDIF(Beginning_of_period,$G300,"m") + 1) / Months_in_Period,0),0)</f>
        <v>0</v>
      </c>
      <c r="AR300" s="231">
        <f xml:space="preserve"> IFERROR(($E300&gt;0)*($E300 &lt;=End_of_period) * ($G300 &gt;=Beginning_of_period) * (1-SUM($K300:AQ300)) /  IFERROR((DATEDIF(Beginning_of_period,$G300,"m") + 1) / Months_in_Period,0),0)</f>
        <v>0</v>
      </c>
      <c r="AS300" s="231">
        <f xml:space="preserve"> IFERROR(($E300&gt;0)*($E300 &lt;=End_of_period) * ($G300 &gt;=Beginning_of_period) * (1-SUM($K300:AR300)) /  IFERROR((DATEDIF(Beginning_of_period,$G300,"m") + 1) / Months_in_Period,0),0)</f>
        <v>0</v>
      </c>
      <c r="AT300" s="231">
        <f xml:space="preserve"> IFERROR(($E300&gt;0)*($E300 &lt;=End_of_period) * ($G300 &gt;=Beginning_of_period) * (1-SUM($K300:AS300)) /  IFERROR((DATEDIF(Beginning_of_period,$G300,"m") + 1) / Months_in_Period,0),0)</f>
        <v>0</v>
      </c>
      <c r="AU300" s="231">
        <f xml:space="preserve"> IFERROR(($E300&gt;0)*($E300 &lt;=End_of_period) * ($G300 &gt;=Beginning_of_period) * (1-SUM($K300:AT300)) /  IFERROR((DATEDIF(Beginning_of_period,$G300,"m") + 1) / Months_in_Period,0),0)</f>
        <v>0</v>
      </c>
      <c r="AV300" s="231">
        <f xml:space="preserve"> IFERROR(($E300&gt;0)*($E300 &lt;=End_of_period) * ($G300 &gt;=Beginning_of_period) * (1-SUM($K300:AU300)) /  IFERROR((DATEDIF(Beginning_of_period,$G300,"m") + 1) / Months_in_Period,0),0)</f>
        <v>0</v>
      </c>
      <c r="AW300" s="231">
        <f xml:space="preserve"> IFERROR(($E300&gt;0)*($E300 &lt;=End_of_period) * ($G300 &gt;=Beginning_of_period) * (1-SUM($K300:AV300)) /  IFERROR((DATEDIF(Beginning_of_period,$G300,"m") + 1) / Months_in_Period,0),0)</f>
        <v>0</v>
      </c>
      <c r="AX300" s="231">
        <f xml:space="preserve"> IFERROR(($E300&gt;0)*($E300 &lt;=End_of_period) * ($G300 &gt;=Beginning_of_period) * (1-SUM($K300:AW300)) /  IFERROR((DATEDIF(Beginning_of_period,$G300,"m") + 1) / Months_in_Period,0),0)</f>
        <v>0</v>
      </c>
      <c r="AY300" s="231">
        <f xml:space="preserve"> IFERROR(($E300&gt;0)*($E300 &lt;=End_of_period) * ($G300 &gt;=Beginning_of_period) * (1-SUM($K300:AX300)) /  IFERROR((DATEDIF(Beginning_of_period,$G300,"m") + 1) / Months_in_Period,0),0)</f>
        <v>0</v>
      </c>
      <c r="AZ300" s="231">
        <f xml:space="preserve"> IFERROR(($E300&gt;0)*($E300 &lt;=End_of_period) * ($G300 &gt;=Beginning_of_period) * (1-SUM($K300:AY300)) /  IFERROR((DATEDIF(Beginning_of_period,$G300,"m") + 1) / Months_in_Period,0),0)</f>
        <v>0</v>
      </c>
      <c r="BA300" s="231">
        <f xml:space="preserve"> IFERROR(($E300&gt;0)*($E300 &lt;=End_of_period) * ($G300 &gt;=Beginning_of_period) * (1-SUM($K300:AZ300)) /  IFERROR((DATEDIF(Beginning_of_period,$G300,"m") + 1) / Months_in_Period,0),0)</f>
        <v>0</v>
      </c>
      <c r="BB300" s="231">
        <f xml:space="preserve"> IFERROR(($E300&gt;0)*($E300 &lt;=End_of_period) * ($G300 &gt;=Beginning_of_period) * (1-SUM($K300:BA300)) /  IFERROR((DATEDIF(Beginning_of_period,$G300,"m") + 1) / Months_in_Period,0),0)</f>
        <v>0</v>
      </c>
      <c r="BC300" s="231">
        <f xml:space="preserve"> IFERROR(($E300&gt;0)*($E300 &lt;=End_of_period) * ($G300 &gt;=Beginning_of_period) * (1-SUM($K300:BB300)) /  IFERROR((DATEDIF(Beginning_of_period,$G300,"m") + 1) / Months_in_Period,0),0)</f>
        <v>0</v>
      </c>
      <c r="BD300" s="231">
        <f xml:space="preserve"> IFERROR(($E300&gt;0)*($E300 &lt;=End_of_period) * ($G300 &gt;=Beginning_of_period) * (1-SUM($K300:BC300)) /  IFERROR((DATEDIF(Beginning_of_period,$G300,"m") + 1) / Months_in_Period,0),0)</f>
        <v>0</v>
      </c>
      <c r="BE300" s="231">
        <f xml:space="preserve"> IFERROR(($E300&gt;0)*($E300 &lt;=End_of_period) * ($G300 &gt;=Beginning_of_period) * (1-SUM($K300:BD300)) /  IFERROR((DATEDIF(Beginning_of_period,$G300,"m") + 1) / Months_in_Period,0),0)</f>
        <v>0</v>
      </c>
      <c r="BF300" s="231">
        <f xml:space="preserve"> IFERROR(($E300&gt;0)*($E300 &lt;=End_of_period) * ($G300 &gt;=Beginning_of_period) * (1-SUM($K300:BE300)) /  IFERROR((DATEDIF(Beginning_of_period,$G300,"m") + 1) / Months_in_Period,0),0)</f>
        <v>0</v>
      </c>
      <c r="BG300" s="231">
        <f xml:space="preserve"> IFERROR(($E300&gt;0)*($E300 &lt;=End_of_period) * ($G300 &gt;=Beginning_of_period) * (1-SUM($K300:BF300)) /  IFERROR((DATEDIF(Beginning_of_period,$G300,"m") + 1) / Months_in_Period,0),0)</f>
        <v>0</v>
      </c>
      <c r="BH300" s="231">
        <f xml:space="preserve"> IFERROR(($E300&gt;0)*($E300 &lt;=End_of_period) * ($G300 &gt;=Beginning_of_period) * (1-SUM($K300:BG300)) /  IFERROR((DATEDIF(Beginning_of_period,$G300,"m") + 1) / Months_in_Period,0),0)</f>
        <v>0</v>
      </c>
      <c r="BI300" s="231">
        <f xml:space="preserve"> IFERROR(($E300&gt;0)*($E300 &lt;=End_of_period) * ($G300 &gt;=Beginning_of_period) * (1-SUM($K300:BH300)) /  IFERROR((DATEDIF(Beginning_of_period,$G300,"m") + 1) / Months_in_Period,0),0)</f>
        <v>0</v>
      </c>
      <c r="BJ300" s="231">
        <f xml:space="preserve"> IFERROR(($E300&gt;0)*($E300 &lt;=End_of_period) * ($G300 &gt;=Beginning_of_period) * (1-SUM($K300:BI300)) /  IFERROR((DATEDIF(Beginning_of_period,$G300,"m") + 1) / Months_in_Period,0),0)</f>
        <v>0</v>
      </c>
      <c r="BK300" s="231">
        <f xml:space="preserve"> IFERROR(($E300&gt;0)*($E300 &lt;=End_of_period) * ($G300 &gt;=Beginning_of_period) * (1-SUM($K300:BJ300)) /  IFERROR((DATEDIF(Beginning_of_period,$G300,"m") + 1) / Months_in_Period,0),0)</f>
        <v>0</v>
      </c>
      <c r="BL300" s="231">
        <f xml:space="preserve"> IFERROR(($E300&gt;0)*($E300 &lt;=End_of_period) * ($G300 &gt;=Beginning_of_period) * (1-SUM($K300:BK300)) /  IFERROR((DATEDIF(Beginning_of_period,$G300,"m") + 1) / Months_in_Period,0),0)</f>
        <v>0</v>
      </c>
      <c r="BM300" s="231">
        <f xml:space="preserve"> IFERROR(($E300&gt;0)*($E300 &lt;=End_of_period) * ($G300 &gt;=Beginning_of_period) * (1-SUM($K300:BL300)) /  IFERROR((DATEDIF(Beginning_of_period,$G300,"m") + 1) / Months_in_Period,0),0)</f>
        <v>0</v>
      </c>
      <c r="BN300" s="231">
        <f xml:space="preserve"> IFERROR(($E300&gt;0)*($E300 &lt;=End_of_period) * ($G300 &gt;=Beginning_of_period) * (1-SUM($K300:BM300)) /  IFERROR((DATEDIF(Beginning_of_period,$G300,"m") + 1) / Months_in_Period,0),0)</f>
        <v>0</v>
      </c>
      <c r="BO300" s="231">
        <f xml:space="preserve"> IFERROR(($E300&gt;0)*($E300 &lt;=End_of_period) * ($G300 &gt;=Beginning_of_period) * (1-SUM($K300:BN300)) /  IFERROR((DATEDIF(Beginning_of_period,$G300,"m") + 1) / Months_in_Period,0),0)</f>
        <v>0</v>
      </c>
      <c r="BP300" s="231">
        <f xml:space="preserve"> IFERROR(($E300&gt;0)*($E300 &lt;=End_of_period) * ($G300 &gt;=Beginning_of_period) * (1-SUM($K300:BO300)) /  IFERROR((DATEDIF(Beginning_of_period,$G300,"m") + 1) / Months_in_Period,0),0)</f>
        <v>0</v>
      </c>
      <c r="BQ300" s="231">
        <f xml:space="preserve"> IFERROR(($E300&gt;0)*($E300 &lt;=End_of_period) * ($G300 &gt;=Beginning_of_period) * (1-SUM($K300:BP300)) /  IFERROR((DATEDIF(Beginning_of_period,$G300,"m") + 1) / Months_in_Period,0),0)</f>
        <v>0</v>
      </c>
      <c r="BR300" s="231">
        <f xml:space="preserve"> IFERROR(($E300&gt;0)*($E300 &lt;=End_of_period) * ($G300 &gt;=Beginning_of_period) * (1-SUM($K300:BQ300)) /  IFERROR((DATEDIF(Beginning_of_period,$G300,"m") + 1) / Months_in_Period,0),0)</f>
        <v>0</v>
      </c>
      <c r="BS300" s="231">
        <f xml:space="preserve"> IFERROR(($E300&gt;0)*($E300 &lt;=End_of_period) * ($G300 &gt;=Beginning_of_period) * (1-SUM($K300:BR300)) /  IFERROR((DATEDIF(Beginning_of_period,$G300,"m") + 1) / Months_in_Period,0),0)</f>
        <v>0</v>
      </c>
      <c r="BT300" s="231">
        <f xml:space="preserve"> IFERROR(($E300&gt;0)*($E300 &lt;=End_of_period) * ($G300 &gt;=Beginning_of_period) * (1-SUM($K300:BS300)) /  IFERROR((DATEDIF(Beginning_of_period,$G300,"m") + 1) / Months_in_Period,0),0)</f>
        <v>0</v>
      </c>
      <c r="BU300" s="231">
        <f xml:space="preserve"> IFERROR(($E300&gt;0)*($E300 &lt;=End_of_period) * ($G300 &gt;=Beginning_of_period) * (1-SUM($K300:BT300)) /  IFERROR((DATEDIF(Beginning_of_period,$G300,"m") + 1) / Months_in_Period,0),0)</f>
        <v>0</v>
      </c>
      <c r="BV300" s="231">
        <f xml:space="preserve"> IFERROR(($E300&gt;0)*($E300 &lt;=End_of_period) * ($G300 &gt;=Beginning_of_period) * (1-SUM($K300:BU300)) /  IFERROR((DATEDIF(Beginning_of_period,$G300,"m") + 1) / Months_in_Period,0),0)</f>
        <v>0</v>
      </c>
      <c r="BW300" s="231">
        <f xml:space="preserve"> IFERROR(($E300&gt;0)*($E300 &lt;=End_of_period) * ($G300 &gt;=Beginning_of_period) * (1-SUM($K300:BV300)) /  IFERROR((DATEDIF(Beginning_of_period,$G300,"m") + 1) / Months_in_Period,0),0)</f>
        <v>0</v>
      </c>
      <c r="BX300" s="231">
        <f xml:space="preserve"> IFERROR(($E300&gt;0)*($E300 &lt;=End_of_period) * ($G300 &gt;=Beginning_of_period) * (1-SUM($K300:BW300)) /  IFERROR((DATEDIF(Beginning_of_period,$G300,"m") + 1) / Months_in_Period,0),0)</f>
        <v>0</v>
      </c>
      <c r="BY300" s="231">
        <f xml:space="preserve"> IFERROR(($E300&gt;0)*($E300 &lt;=End_of_period) * ($G300 &gt;=Beginning_of_period) * (1-SUM($K300:BX300)) /  IFERROR((DATEDIF(Beginning_of_period,$G300,"m") + 1) / Months_in_Period,0),0)</f>
        <v>0</v>
      </c>
      <c r="BZ300" s="231">
        <f xml:space="preserve"> IFERROR(($E300&gt;0)*($E300 &lt;=End_of_period) * ($G300 &gt;=Beginning_of_period) * (1-SUM($K300:BY300)) /  IFERROR((DATEDIF(Beginning_of_period,$G300,"m") + 1) / Months_in_Period,0),0)</f>
        <v>0</v>
      </c>
      <c r="CA300" s="231">
        <f xml:space="preserve"> IFERROR(($E300&gt;0)*($E300 &lt;=End_of_period) * ($G300 &gt;=Beginning_of_period) * (1-SUM($K300:BZ300)) /  IFERROR((DATEDIF(Beginning_of_period,$G300,"m") + 1) / Months_in_Period,0),0)</f>
        <v>0</v>
      </c>
      <c r="CB300" s="231">
        <f xml:space="preserve"> IFERROR(($E300&gt;0)*($E300 &lt;=End_of_period) * ($G300 &gt;=Beginning_of_period) * (1-SUM($K300:CA300)) /  IFERROR((DATEDIF(Beginning_of_period,$G300,"m") + 1) / Months_in_Period,0),0)</f>
        <v>0</v>
      </c>
      <c r="CC300" s="231">
        <f xml:space="preserve"> IFERROR(($E300&gt;0)*($E300 &lt;=End_of_period) * ($G300 &gt;=Beginning_of_period) * (1-SUM($K300:CB300)) /  IFERROR((DATEDIF(Beginning_of_period,$G300,"m") + 1) / Months_in_Period,0),0)</f>
        <v>0</v>
      </c>
      <c r="CD300" s="231">
        <f xml:space="preserve"> IFERROR(($E300&gt;0)*($E300 &lt;=End_of_period) * ($G300 &gt;=Beginning_of_period) * (1-SUM($K300:CC300)) /  IFERROR((DATEDIF(Beginning_of_period,$G300,"m") + 1) / Months_in_Period,0),0)</f>
        <v>0</v>
      </c>
      <c r="CE300" s="231">
        <f xml:space="preserve"> IFERROR(($E300&gt;0)*($E300 &lt;=End_of_period) * ($G300 &gt;=Beginning_of_period) * (1-SUM($K300:CD300)) /  IFERROR((DATEDIF(Beginning_of_period,$G300,"m") + 1) / Months_in_Period,0),0)</f>
        <v>0</v>
      </c>
      <c r="CF300" s="231">
        <f xml:space="preserve"> IFERROR(($E300&gt;0)*($E300 &lt;=End_of_period) * ($G300 &gt;=Beginning_of_period) * (1-SUM($K300:CE300)) /  IFERROR((DATEDIF(Beginning_of_period,$G300,"m") + 1) / Months_in_Period,0),0)</f>
        <v>0</v>
      </c>
      <c r="CG300" s="231">
        <f xml:space="preserve"> IFERROR(($E300&gt;0)*($E300 &lt;=End_of_period) * ($G300 &gt;=Beginning_of_period) * (1-SUM($K300:CF300)) /  IFERROR((DATEDIF(Beginning_of_period,$G300,"m") + 1) / Months_in_Period,0),0)</f>
        <v>0</v>
      </c>
      <c r="CH300" s="231">
        <f xml:space="preserve"> IFERROR(($E300&gt;0)*($E300 &lt;=End_of_period) * ($G300 &gt;=Beginning_of_period) * (1-SUM($K300:CG300)) /  IFERROR((DATEDIF(Beginning_of_period,$G300,"m") + 1) / Months_in_Period,0),0)</f>
        <v>0</v>
      </c>
      <c r="CI300" s="231">
        <f xml:space="preserve"> IFERROR(($E300&gt;0)*($E300 &lt;=End_of_period) * ($G300 &gt;=Beginning_of_period) * (1-SUM($K300:CH300)) /  IFERROR((DATEDIF(Beginning_of_period,$G300,"m") + 1) / Months_in_Period,0),0)</f>
        <v>0</v>
      </c>
      <c r="CJ300" s="231">
        <f xml:space="preserve"> IFERROR(($E300&gt;0)*($E300 &lt;=End_of_period) * ($G300 &gt;=Beginning_of_period) * (1-SUM($K300:CI300)) /  IFERROR((DATEDIF(Beginning_of_period,$G300,"m") + 1) / Months_in_Period,0),0)</f>
        <v>0</v>
      </c>
      <c r="CK300" s="231">
        <f xml:space="preserve"> IFERROR(($E300&gt;0)*($E300 &lt;=End_of_period) * ($G300 &gt;=Beginning_of_period) * (1-SUM($K300:CJ300)) /  IFERROR((DATEDIF(Beginning_of_period,$G300,"m") + 1) / Months_in_Period,0),0)</f>
        <v>0</v>
      </c>
      <c r="CL300" s="231">
        <f xml:space="preserve"> IFERROR(($E300&gt;0)*($E300 &lt;=End_of_period) * ($G300 &gt;=Beginning_of_period) * (1-SUM($K300:CK300)) /  IFERROR((DATEDIF(Beginning_of_period,$G300,"m") + 1) / Months_in_Period,0),0)</f>
        <v>0</v>
      </c>
      <c r="CM300" s="231">
        <f xml:space="preserve"> IFERROR(($E300&gt;0)*($E300 &lt;=End_of_period) * ($G300 &gt;=Beginning_of_period) * (1-SUM($K300:CL300)) /  IFERROR((DATEDIF(Beginning_of_period,$G300,"m") + 1) / Months_in_Period,0),0)</f>
        <v>0</v>
      </c>
      <c r="CN300" s="231">
        <f xml:space="preserve"> IFERROR(($E300&gt;0)*($E300 &lt;=End_of_period) * ($G300 &gt;=Beginning_of_period) * (1-SUM($K300:CM300)) /  IFERROR((DATEDIF(Beginning_of_period,$G300,"m") + 1) / Months_in_Period,0),0)</f>
        <v>0</v>
      </c>
      <c r="CO300" s="231">
        <f xml:space="preserve"> IFERROR(($E300&gt;0)*($E300 &lt;=End_of_period) * ($G300 &gt;=Beginning_of_period) * (1-SUM($K300:CN300)) /  IFERROR((DATEDIF(Beginning_of_period,$G300,"m") + 1) / Months_in_Period,0),0)</f>
        <v>0</v>
      </c>
      <c r="CP300" s="10"/>
    </row>
    <row r="301" spans="1:94" ht="15" customHeight="1">
      <c r="A301" s="10"/>
      <c r="B301" s="3"/>
      <c r="C301" s="17" t="s">
        <v>1220</v>
      </c>
      <c r="D301" s="10"/>
      <c r="E301" s="71">
        <v>47119</v>
      </c>
      <c r="F301" s="10"/>
      <c r="G301" s="479">
        <v>47208</v>
      </c>
      <c r="H301" s="149">
        <f t="shared" si="122"/>
        <v>1</v>
      </c>
      <c r="I301" s="231">
        <f t="shared" ref="I301" si="124">IF(SUM(L301:CO301)=0,1,SUM(L301:CO301))</f>
        <v>1</v>
      </c>
      <c r="J301" s="10"/>
      <c r="K301" s="10"/>
      <c r="L301" s="231">
        <f xml:space="preserve"> IFERROR(($E301&gt;0)*($E301 &lt;=End_of_period) * ($G301 &gt;=Beginning_of_period) * (1-SUM($K301:K301)) /  IFERROR((DATEDIF(Beginning_of_period,$G301,"m") + 1) / Months_in_Period,0),0)</f>
        <v>0</v>
      </c>
      <c r="M301" s="231">
        <f xml:space="preserve"> IFERROR(($E301&gt;0)*($E301 &lt;=End_of_period) * ($G301 &gt;=Beginning_of_period) * (1-SUM($K301:L301)) /  IFERROR((DATEDIF(Beginning_of_period,$G301,"m") + 1) / Months_in_Period,0),0)</f>
        <v>0</v>
      </c>
      <c r="N301" s="231">
        <f xml:space="preserve"> IFERROR(($E301&gt;0)*($E301 &lt;=End_of_period) * ($G301 &gt;=Beginning_of_period) * (1-SUM($K301:M301)) /  IFERROR((DATEDIF(Beginning_of_period,$G301,"m") + 1) / Months_in_Period,0),0)</f>
        <v>0</v>
      </c>
      <c r="O301" s="231">
        <f xml:space="preserve"> IFERROR(($E301&gt;0)*($E301 &lt;=End_of_period) * ($G301 &gt;=Beginning_of_period) * (1-SUM($K301:N301)) /  IFERROR((DATEDIF(Beginning_of_period,$G301,"m") + 1) / Months_in_Period,0),0)</f>
        <v>0</v>
      </c>
      <c r="P301" s="231">
        <f xml:space="preserve"> IFERROR(($E301&gt;0)*($E301 &lt;=End_of_period) * ($G301 &gt;=Beginning_of_period) * (1-SUM($K301:O301)) /  IFERROR((DATEDIF(Beginning_of_period,$G301,"m") + 1) / Months_in_Period,0),0)</f>
        <v>0</v>
      </c>
      <c r="Q301" s="231">
        <f xml:space="preserve"> IFERROR(($E301&gt;0)*($E301 &lt;=End_of_period) * ($G301 &gt;=Beginning_of_period) * (1-SUM($K301:P301)) /  IFERROR((DATEDIF(Beginning_of_period,$G301,"m") + 1) / Months_in_Period,0),0)</f>
        <v>0</v>
      </c>
      <c r="R301" s="231">
        <f xml:space="preserve"> IFERROR(($E301&gt;0)*($E301 &lt;=End_of_period) * ($G301 &gt;=Beginning_of_period) * (1-SUM($K301:Q301)) /  IFERROR((DATEDIF(Beginning_of_period,$G301,"m") + 1) / Months_in_Period,0),0)</f>
        <v>0</v>
      </c>
      <c r="S301" s="231">
        <f xml:space="preserve"> IFERROR(($E301&gt;0)*($E301 &lt;=End_of_period) * ($G301 &gt;=Beginning_of_period) * (1-SUM($K301:R301)) /  IFERROR((DATEDIF(Beginning_of_period,$G301,"m") + 1) / Months_in_Period,0),0)</f>
        <v>0</v>
      </c>
      <c r="T301" s="231">
        <f xml:space="preserve"> IFERROR(($E301&gt;0)*($E301 &lt;=End_of_period) * ($G301 &gt;=Beginning_of_period) * (1-SUM($K301:S301)) /  IFERROR((DATEDIF(Beginning_of_period,$G301,"m") + 1) / Months_in_Period,0),0)</f>
        <v>0</v>
      </c>
      <c r="U301" s="231">
        <f xml:space="preserve"> IFERROR(($E301&gt;0)*($E301 &lt;=End_of_period) * ($G301 &gt;=Beginning_of_period) * (1-SUM($K301:T301)) /  IFERROR((DATEDIF(Beginning_of_period,$G301,"m") + 1) / Months_in_Period,0),0)</f>
        <v>0</v>
      </c>
      <c r="V301" s="231">
        <f xml:space="preserve"> IFERROR(($E301&gt;0)*($E301 &lt;=End_of_period) * ($G301 &gt;=Beginning_of_period) * (1-SUM($K301:U301)) /  IFERROR((DATEDIF(Beginning_of_period,$G301,"m") + 1) / Months_in_Period,0),0)</f>
        <v>0</v>
      </c>
      <c r="W301" s="231">
        <f xml:space="preserve"> IFERROR(($E301&gt;0)*($E301 &lt;=End_of_period) * ($G301 &gt;=Beginning_of_period) * (1-SUM($K301:V301)) /  IFERROR((DATEDIF(Beginning_of_period,$G301,"m") + 1) / Months_in_Period,0),0)</f>
        <v>0</v>
      </c>
      <c r="X301" s="231">
        <f xml:space="preserve"> IFERROR(($E301&gt;0)*($E301 &lt;=End_of_period) * ($G301 &gt;=Beginning_of_period) * (1-SUM($K301:W301)) /  IFERROR((DATEDIF(Beginning_of_period,$G301,"m") + 1) / Months_in_Period,0),0)</f>
        <v>0</v>
      </c>
      <c r="Y301" s="231">
        <f xml:space="preserve"> IFERROR(($E301&gt;0)*($E301 &lt;=End_of_period) * ($G301 &gt;=Beginning_of_period) * (1-SUM($K301:X301)) /  IFERROR((DATEDIF(Beginning_of_period,$G301,"m") + 1) / Months_in_Period,0),0)</f>
        <v>0</v>
      </c>
      <c r="Z301" s="231">
        <f xml:space="preserve"> IFERROR(($E301&gt;0)*($E301 &lt;=End_of_period) * ($G301 &gt;=Beginning_of_period) * (1-SUM($K301:Y301)) /  IFERROR((DATEDIF(Beginning_of_period,$G301,"m") + 1) / Months_in_Period,0),0)</f>
        <v>0</v>
      </c>
      <c r="AA301" s="231">
        <f xml:space="preserve"> IFERROR(($E301&gt;0)*($E301 &lt;=End_of_period) * ($G301 &gt;=Beginning_of_period) * (1-SUM($K301:Z301)) /  IFERROR((DATEDIF(Beginning_of_period,$G301,"m") + 1) / Months_in_Period,0),0)</f>
        <v>0</v>
      </c>
      <c r="AB301" s="231">
        <f xml:space="preserve"> IFERROR(($E301&gt;0)*($E301 &lt;=End_of_period) * ($G301 &gt;=Beginning_of_period) * (1-SUM($K301:AA301)) /  IFERROR((DATEDIF(Beginning_of_period,$G301,"m") + 1) / Months_in_Period,0),0)</f>
        <v>1</v>
      </c>
      <c r="AC301" s="231">
        <f xml:space="preserve"> IFERROR(($E301&gt;0)*($E301 &lt;=End_of_period) * ($G301 &gt;=Beginning_of_period) * (1-SUM($K301:AB301)) /  IFERROR((DATEDIF(Beginning_of_period,$G301,"m") + 1) / Months_in_Period,0),0)</f>
        <v>0</v>
      </c>
      <c r="AD301" s="231">
        <f xml:space="preserve"> IFERROR(($E301&gt;0)*($E301 &lt;=End_of_period) * ($G301 &gt;=Beginning_of_period) * (1-SUM($K301:AC301)) /  IFERROR((DATEDIF(Beginning_of_period,$G301,"m") + 1) / Months_in_Period,0),0)</f>
        <v>0</v>
      </c>
      <c r="AE301" s="231">
        <f xml:space="preserve"> IFERROR(($E301&gt;0)*($E301 &lt;=End_of_period) * ($G301 &gt;=Beginning_of_period) * (1-SUM($K301:AD301)) /  IFERROR((DATEDIF(Beginning_of_period,$G301,"m") + 1) / Months_in_Period,0),0)</f>
        <v>0</v>
      </c>
      <c r="AF301" s="231">
        <f xml:space="preserve"> IFERROR(($E301&gt;0)*($E301 &lt;=End_of_period) * ($G301 &gt;=Beginning_of_period) * (1-SUM($K301:AE301)) /  IFERROR((DATEDIF(Beginning_of_period,$G301,"m") + 1) / Months_in_Period,0),0)</f>
        <v>0</v>
      </c>
      <c r="AG301" s="231">
        <f xml:space="preserve"> IFERROR(($E301&gt;0)*($E301 &lt;=End_of_period) * ($G301 &gt;=Beginning_of_period) * (1-SUM($K301:AF301)) /  IFERROR((DATEDIF(Beginning_of_period,$G301,"m") + 1) / Months_in_Period,0),0)</f>
        <v>0</v>
      </c>
      <c r="AH301" s="231">
        <f xml:space="preserve"> IFERROR(($E301&gt;0)*($E301 &lt;=End_of_period) * ($G301 &gt;=Beginning_of_period) * (1-SUM($K301:AG301)) /  IFERROR((DATEDIF(Beginning_of_period,$G301,"m") + 1) / Months_in_Period,0),0)</f>
        <v>0</v>
      </c>
      <c r="AI301" s="231">
        <f xml:space="preserve"> IFERROR(($E301&gt;0)*($E301 &lt;=End_of_period) * ($G301 &gt;=Beginning_of_period) * (1-SUM($K301:AH301)) /  IFERROR((DATEDIF(Beginning_of_period,$G301,"m") + 1) / Months_in_Period,0),0)</f>
        <v>0</v>
      </c>
      <c r="AJ301" s="231">
        <f xml:space="preserve"> IFERROR(($E301&gt;0)*($E301 &lt;=End_of_period) * ($G301 &gt;=Beginning_of_period) * (1-SUM($K301:AI301)) /  IFERROR((DATEDIF(Beginning_of_period,$G301,"m") + 1) / Months_in_Period,0),0)</f>
        <v>0</v>
      </c>
      <c r="AK301" s="231">
        <f xml:space="preserve"> IFERROR(($E301&gt;0)*($E301 &lt;=End_of_period) * ($G301 &gt;=Beginning_of_period) * (1-SUM($K301:AJ301)) /  IFERROR((DATEDIF(Beginning_of_period,$G301,"m") + 1) / Months_in_Period,0),0)</f>
        <v>0</v>
      </c>
      <c r="AL301" s="231">
        <f xml:space="preserve"> IFERROR(($E301&gt;0)*($E301 &lt;=End_of_period) * ($G301 &gt;=Beginning_of_period) * (1-SUM($K301:AK301)) /  IFERROR((DATEDIF(Beginning_of_period,$G301,"m") + 1) / Months_in_Period,0),0)</f>
        <v>0</v>
      </c>
      <c r="AM301" s="231">
        <f xml:space="preserve"> IFERROR(($E301&gt;0)*($E301 &lt;=End_of_period) * ($G301 &gt;=Beginning_of_period) * (1-SUM($K301:AL301)) /  IFERROR((DATEDIF(Beginning_of_period,$G301,"m") + 1) / Months_in_Period,0),0)</f>
        <v>0</v>
      </c>
      <c r="AN301" s="231">
        <f xml:space="preserve"> IFERROR(($E301&gt;0)*($E301 &lt;=End_of_period) * ($G301 &gt;=Beginning_of_period) * (1-SUM($K301:AM301)) /  IFERROR((DATEDIF(Beginning_of_period,$G301,"m") + 1) / Months_in_Period,0),0)</f>
        <v>0</v>
      </c>
      <c r="AO301" s="231">
        <f xml:space="preserve"> IFERROR(($E301&gt;0)*($E301 &lt;=End_of_period) * ($G301 &gt;=Beginning_of_period) * (1-SUM($K301:AN301)) /  IFERROR((DATEDIF(Beginning_of_period,$G301,"m") + 1) / Months_in_Period,0),0)</f>
        <v>0</v>
      </c>
      <c r="AP301" s="231">
        <f xml:space="preserve"> IFERROR(($E301&gt;0)*($E301 &lt;=End_of_period) * ($G301 &gt;=Beginning_of_period) * (1-SUM($K301:AO301)) /  IFERROR((DATEDIF(Beginning_of_period,$G301,"m") + 1) / Months_in_Period,0),0)</f>
        <v>0</v>
      </c>
      <c r="AQ301" s="231">
        <f xml:space="preserve"> IFERROR(($E301&gt;0)*($E301 &lt;=End_of_period) * ($G301 &gt;=Beginning_of_period) * (1-SUM($K301:AP301)) /  IFERROR((DATEDIF(Beginning_of_period,$G301,"m") + 1) / Months_in_Period,0),0)</f>
        <v>0</v>
      </c>
      <c r="AR301" s="231">
        <f xml:space="preserve"> IFERROR(($E301&gt;0)*($E301 &lt;=End_of_period) * ($G301 &gt;=Beginning_of_period) * (1-SUM($K301:AQ301)) /  IFERROR((DATEDIF(Beginning_of_period,$G301,"m") + 1) / Months_in_Period,0),0)</f>
        <v>0</v>
      </c>
      <c r="AS301" s="231">
        <f xml:space="preserve"> IFERROR(($E301&gt;0)*($E301 &lt;=End_of_period) * ($G301 &gt;=Beginning_of_period) * (1-SUM($K301:AR301)) /  IFERROR((DATEDIF(Beginning_of_period,$G301,"m") + 1) / Months_in_Period,0),0)</f>
        <v>0</v>
      </c>
      <c r="AT301" s="231">
        <f xml:space="preserve"> IFERROR(($E301&gt;0)*($E301 &lt;=End_of_period) * ($G301 &gt;=Beginning_of_period) * (1-SUM($K301:AS301)) /  IFERROR((DATEDIF(Beginning_of_period,$G301,"m") + 1) / Months_in_Period,0),0)</f>
        <v>0</v>
      </c>
      <c r="AU301" s="231">
        <f xml:space="preserve"> IFERROR(($E301&gt;0)*($E301 &lt;=End_of_period) * ($G301 &gt;=Beginning_of_period) * (1-SUM($K301:AT301)) /  IFERROR((DATEDIF(Beginning_of_period,$G301,"m") + 1) / Months_in_Period,0),0)</f>
        <v>0</v>
      </c>
      <c r="AV301" s="231">
        <f xml:space="preserve"> IFERROR(($E301&gt;0)*($E301 &lt;=End_of_period) * ($G301 &gt;=Beginning_of_period) * (1-SUM($K301:AU301)) /  IFERROR((DATEDIF(Beginning_of_period,$G301,"m") + 1) / Months_in_Period,0),0)</f>
        <v>0</v>
      </c>
      <c r="AW301" s="231">
        <f xml:space="preserve"> IFERROR(($E301&gt;0)*($E301 &lt;=End_of_period) * ($G301 &gt;=Beginning_of_period) * (1-SUM($K301:AV301)) /  IFERROR((DATEDIF(Beginning_of_period,$G301,"m") + 1) / Months_in_Period,0),0)</f>
        <v>0</v>
      </c>
      <c r="AX301" s="231">
        <f xml:space="preserve"> IFERROR(($E301&gt;0)*($E301 &lt;=End_of_period) * ($G301 &gt;=Beginning_of_period) * (1-SUM($K301:AW301)) /  IFERROR((DATEDIF(Beginning_of_period,$G301,"m") + 1) / Months_in_Period,0),0)</f>
        <v>0</v>
      </c>
      <c r="AY301" s="231">
        <f xml:space="preserve"> IFERROR(($E301&gt;0)*($E301 &lt;=End_of_period) * ($G301 &gt;=Beginning_of_period) * (1-SUM($K301:AX301)) /  IFERROR((DATEDIF(Beginning_of_period,$G301,"m") + 1) / Months_in_Period,0),0)</f>
        <v>0</v>
      </c>
      <c r="AZ301" s="231">
        <f xml:space="preserve"> IFERROR(($E301&gt;0)*($E301 &lt;=End_of_period) * ($G301 &gt;=Beginning_of_period) * (1-SUM($K301:AY301)) /  IFERROR((DATEDIF(Beginning_of_period,$G301,"m") + 1) / Months_in_Period,0),0)</f>
        <v>0</v>
      </c>
      <c r="BA301" s="231">
        <f xml:space="preserve"> IFERROR(($E301&gt;0)*($E301 &lt;=End_of_period) * ($G301 &gt;=Beginning_of_period) * (1-SUM($K301:AZ301)) /  IFERROR((DATEDIF(Beginning_of_period,$G301,"m") + 1) / Months_in_Period,0),0)</f>
        <v>0</v>
      </c>
      <c r="BB301" s="231">
        <f xml:space="preserve"> IFERROR(($E301&gt;0)*($E301 &lt;=End_of_period) * ($G301 &gt;=Beginning_of_period) * (1-SUM($K301:BA301)) /  IFERROR((DATEDIF(Beginning_of_period,$G301,"m") + 1) / Months_in_Period,0),0)</f>
        <v>0</v>
      </c>
      <c r="BC301" s="231">
        <f xml:space="preserve"> IFERROR(($E301&gt;0)*($E301 &lt;=End_of_period) * ($G301 &gt;=Beginning_of_period) * (1-SUM($K301:BB301)) /  IFERROR((DATEDIF(Beginning_of_period,$G301,"m") + 1) / Months_in_Period,0),0)</f>
        <v>0</v>
      </c>
      <c r="BD301" s="231">
        <f xml:space="preserve"> IFERROR(($E301&gt;0)*($E301 &lt;=End_of_period) * ($G301 &gt;=Beginning_of_period) * (1-SUM($K301:BC301)) /  IFERROR((DATEDIF(Beginning_of_period,$G301,"m") + 1) / Months_in_Period,0),0)</f>
        <v>0</v>
      </c>
      <c r="BE301" s="231">
        <f xml:space="preserve"> IFERROR(($E301&gt;0)*($E301 &lt;=End_of_period) * ($G301 &gt;=Beginning_of_period) * (1-SUM($K301:BD301)) /  IFERROR((DATEDIF(Beginning_of_period,$G301,"m") + 1) / Months_in_Period,0),0)</f>
        <v>0</v>
      </c>
      <c r="BF301" s="231">
        <f xml:space="preserve"> IFERROR(($E301&gt;0)*($E301 &lt;=End_of_period) * ($G301 &gt;=Beginning_of_period) * (1-SUM($K301:BE301)) /  IFERROR((DATEDIF(Beginning_of_period,$G301,"m") + 1) / Months_in_Period,0),0)</f>
        <v>0</v>
      </c>
      <c r="BG301" s="231">
        <f xml:space="preserve"> IFERROR(($E301&gt;0)*($E301 &lt;=End_of_period) * ($G301 &gt;=Beginning_of_period) * (1-SUM($K301:BF301)) /  IFERROR((DATEDIF(Beginning_of_period,$G301,"m") + 1) / Months_in_Period,0),0)</f>
        <v>0</v>
      </c>
      <c r="BH301" s="231">
        <f xml:space="preserve"> IFERROR(($E301&gt;0)*($E301 &lt;=End_of_period) * ($G301 &gt;=Beginning_of_period) * (1-SUM($K301:BG301)) /  IFERROR((DATEDIF(Beginning_of_period,$G301,"m") + 1) / Months_in_Period,0),0)</f>
        <v>0</v>
      </c>
      <c r="BI301" s="231">
        <f xml:space="preserve"> IFERROR(($E301&gt;0)*($E301 &lt;=End_of_period) * ($G301 &gt;=Beginning_of_period) * (1-SUM($K301:BH301)) /  IFERROR((DATEDIF(Beginning_of_period,$G301,"m") + 1) / Months_in_Period,0),0)</f>
        <v>0</v>
      </c>
      <c r="BJ301" s="231">
        <f xml:space="preserve"> IFERROR(($E301&gt;0)*($E301 &lt;=End_of_period) * ($G301 &gt;=Beginning_of_period) * (1-SUM($K301:BI301)) /  IFERROR((DATEDIF(Beginning_of_period,$G301,"m") + 1) / Months_in_Period,0),0)</f>
        <v>0</v>
      </c>
      <c r="BK301" s="231">
        <f xml:space="preserve"> IFERROR(($E301&gt;0)*($E301 &lt;=End_of_period) * ($G301 &gt;=Beginning_of_period) * (1-SUM($K301:BJ301)) /  IFERROR((DATEDIF(Beginning_of_period,$G301,"m") + 1) / Months_in_Period,0),0)</f>
        <v>0</v>
      </c>
      <c r="BL301" s="231">
        <f xml:space="preserve"> IFERROR(($E301&gt;0)*($E301 &lt;=End_of_period) * ($G301 &gt;=Beginning_of_period) * (1-SUM($K301:BK301)) /  IFERROR((DATEDIF(Beginning_of_period,$G301,"m") + 1) / Months_in_Period,0),0)</f>
        <v>0</v>
      </c>
      <c r="BM301" s="231">
        <f xml:space="preserve"> IFERROR(($E301&gt;0)*($E301 &lt;=End_of_period) * ($G301 &gt;=Beginning_of_period) * (1-SUM($K301:BL301)) /  IFERROR((DATEDIF(Beginning_of_period,$G301,"m") + 1) / Months_in_Period,0),0)</f>
        <v>0</v>
      </c>
      <c r="BN301" s="231">
        <f xml:space="preserve"> IFERROR(($E301&gt;0)*($E301 &lt;=End_of_period) * ($G301 &gt;=Beginning_of_period) * (1-SUM($K301:BM301)) /  IFERROR((DATEDIF(Beginning_of_period,$G301,"m") + 1) / Months_in_Period,0),0)</f>
        <v>0</v>
      </c>
      <c r="BO301" s="231">
        <f xml:space="preserve"> IFERROR(($E301&gt;0)*($E301 &lt;=End_of_period) * ($G301 &gt;=Beginning_of_period) * (1-SUM($K301:BN301)) /  IFERROR((DATEDIF(Beginning_of_period,$G301,"m") + 1) / Months_in_Period,0),0)</f>
        <v>0</v>
      </c>
      <c r="BP301" s="231">
        <f xml:space="preserve"> IFERROR(($E301&gt;0)*($E301 &lt;=End_of_period) * ($G301 &gt;=Beginning_of_period) * (1-SUM($K301:BO301)) /  IFERROR((DATEDIF(Beginning_of_period,$G301,"m") + 1) / Months_in_Period,0),0)</f>
        <v>0</v>
      </c>
      <c r="BQ301" s="231">
        <f xml:space="preserve"> IFERROR(($E301&gt;0)*($E301 &lt;=End_of_period) * ($G301 &gt;=Beginning_of_period) * (1-SUM($K301:BP301)) /  IFERROR((DATEDIF(Beginning_of_period,$G301,"m") + 1) / Months_in_Period,0),0)</f>
        <v>0</v>
      </c>
      <c r="BR301" s="231">
        <f xml:space="preserve"> IFERROR(($E301&gt;0)*($E301 &lt;=End_of_period) * ($G301 &gt;=Beginning_of_period) * (1-SUM($K301:BQ301)) /  IFERROR((DATEDIF(Beginning_of_period,$G301,"m") + 1) / Months_in_Period,0),0)</f>
        <v>0</v>
      </c>
      <c r="BS301" s="231">
        <f xml:space="preserve"> IFERROR(($E301&gt;0)*($E301 &lt;=End_of_period) * ($G301 &gt;=Beginning_of_period) * (1-SUM($K301:BR301)) /  IFERROR((DATEDIF(Beginning_of_period,$G301,"m") + 1) / Months_in_Period,0),0)</f>
        <v>0</v>
      </c>
      <c r="BT301" s="231">
        <f xml:space="preserve"> IFERROR(($E301&gt;0)*($E301 &lt;=End_of_period) * ($G301 &gt;=Beginning_of_period) * (1-SUM($K301:BS301)) /  IFERROR((DATEDIF(Beginning_of_period,$G301,"m") + 1) / Months_in_Period,0),0)</f>
        <v>0</v>
      </c>
      <c r="BU301" s="231">
        <f xml:space="preserve"> IFERROR(($E301&gt;0)*($E301 &lt;=End_of_period) * ($G301 &gt;=Beginning_of_period) * (1-SUM($K301:BT301)) /  IFERROR((DATEDIF(Beginning_of_period,$G301,"m") + 1) / Months_in_Period,0),0)</f>
        <v>0</v>
      </c>
      <c r="BV301" s="231">
        <f xml:space="preserve"> IFERROR(($E301&gt;0)*($E301 &lt;=End_of_period) * ($G301 &gt;=Beginning_of_period) * (1-SUM($K301:BU301)) /  IFERROR((DATEDIF(Beginning_of_period,$G301,"m") + 1) / Months_in_Period,0),0)</f>
        <v>0</v>
      </c>
      <c r="BW301" s="231">
        <f xml:space="preserve"> IFERROR(($E301&gt;0)*($E301 &lt;=End_of_period) * ($G301 &gt;=Beginning_of_period) * (1-SUM($K301:BV301)) /  IFERROR((DATEDIF(Beginning_of_period,$G301,"m") + 1) / Months_in_Period,0),0)</f>
        <v>0</v>
      </c>
      <c r="BX301" s="231">
        <f xml:space="preserve"> IFERROR(($E301&gt;0)*($E301 &lt;=End_of_period) * ($G301 &gt;=Beginning_of_period) * (1-SUM($K301:BW301)) /  IFERROR((DATEDIF(Beginning_of_period,$G301,"m") + 1) / Months_in_Period,0),0)</f>
        <v>0</v>
      </c>
      <c r="BY301" s="231">
        <f xml:space="preserve"> IFERROR(($E301&gt;0)*($E301 &lt;=End_of_period) * ($G301 &gt;=Beginning_of_period) * (1-SUM($K301:BX301)) /  IFERROR((DATEDIF(Beginning_of_period,$G301,"m") + 1) / Months_in_Period,0),0)</f>
        <v>0</v>
      </c>
      <c r="BZ301" s="231">
        <f xml:space="preserve"> IFERROR(($E301&gt;0)*($E301 &lt;=End_of_period) * ($G301 &gt;=Beginning_of_period) * (1-SUM($K301:BY301)) /  IFERROR((DATEDIF(Beginning_of_period,$G301,"m") + 1) / Months_in_Period,0),0)</f>
        <v>0</v>
      </c>
      <c r="CA301" s="231">
        <f xml:space="preserve"> IFERROR(($E301&gt;0)*($E301 &lt;=End_of_period) * ($G301 &gt;=Beginning_of_period) * (1-SUM($K301:BZ301)) /  IFERROR((DATEDIF(Beginning_of_period,$G301,"m") + 1) / Months_in_Period,0),0)</f>
        <v>0</v>
      </c>
      <c r="CB301" s="231">
        <f xml:space="preserve"> IFERROR(($E301&gt;0)*($E301 &lt;=End_of_period) * ($G301 &gt;=Beginning_of_period) * (1-SUM($K301:CA301)) /  IFERROR((DATEDIF(Beginning_of_period,$G301,"m") + 1) / Months_in_Period,0),0)</f>
        <v>0</v>
      </c>
      <c r="CC301" s="231">
        <f xml:space="preserve"> IFERROR(($E301&gt;0)*($E301 &lt;=End_of_period) * ($G301 &gt;=Beginning_of_period) * (1-SUM($K301:CB301)) /  IFERROR((DATEDIF(Beginning_of_period,$G301,"m") + 1) / Months_in_Period,0),0)</f>
        <v>0</v>
      </c>
      <c r="CD301" s="231">
        <f xml:space="preserve"> IFERROR(($E301&gt;0)*($E301 &lt;=End_of_period) * ($G301 &gt;=Beginning_of_period) * (1-SUM($K301:CC301)) /  IFERROR((DATEDIF(Beginning_of_period,$G301,"m") + 1) / Months_in_Period,0),0)</f>
        <v>0</v>
      </c>
      <c r="CE301" s="231">
        <f xml:space="preserve"> IFERROR(($E301&gt;0)*($E301 &lt;=End_of_period) * ($G301 &gt;=Beginning_of_period) * (1-SUM($K301:CD301)) /  IFERROR((DATEDIF(Beginning_of_period,$G301,"m") + 1) / Months_in_Period,0),0)</f>
        <v>0</v>
      </c>
      <c r="CF301" s="231">
        <f xml:space="preserve"> IFERROR(($E301&gt;0)*($E301 &lt;=End_of_period) * ($G301 &gt;=Beginning_of_period) * (1-SUM($K301:CE301)) /  IFERROR((DATEDIF(Beginning_of_period,$G301,"m") + 1) / Months_in_Period,0),0)</f>
        <v>0</v>
      </c>
      <c r="CG301" s="231">
        <f xml:space="preserve"> IFERROR(($E301&gt;0)*($E301 &lt;=End_of_period) * ($G301 &gt;=Beginning_of_period) * (1-SUM($K301:CF301)) /  IFERROR((DATEDIF(Beginning_of_period,$G301,"m") + 1) / Months_in_Period,0),0)</f>
        <v>0</v>
      </c>
      <c r="CH301" s="231">
        <f xml:space="preserve"> IFERROR(($E301&gt;0)*($E301 &lt;=End_of_period) * ($G301 &gt;=Beginning_of_period) * (1-SUM($K301:CG301)) /  IFERROR((DATEDIF(Beginning_of_period,$G301,"m") + 1) / Months_in_Period,0),0)</f>
        <v>0</v>
      </c>
      <c r="CI301" s="231">
        <f xml:space="preserve"> IFERROR(($E301&gt;0)*($E301 &lt;=End_of_period) * ($G301 &gt;=Beginning_of_period) * (1-SUM($K301:CH301)) /  IFERROR((DATEDIF(Beginning_of_period,$G301,"m") + 1) / Months_in_Period,0),0)</f>
        <v>0</v>
      </c>
      <c r="CJ301" s="231">
        <f xml:space="preserve"> IFERROR(($E301&gt;0)*($E301 &lt;=End_of_period) * ($G301 &gt;=Beginning_of_period) * (1-SUM($K301:CI301)) /  IFERROR((DATEDIF(Beginning_of_period,$G301,"m") + 1) / Months_in_Period,0),0)</f>
        <v>0</v>
      </c>
      <c r="CK301" s="231">
        <f xml:space="preserve"> IFERROR(($E301&gt;0)*($E301 &lt;=End_of_period) * ($G301 &gt;=Beginning_of_period) * (1-SUM($K301:CJ301)) /  IFERROR((DATEDIF(Beginning_of_period,$G301,"m") + 1) / Months_in_Period,0),0)</f>
        <v>0</v>
      </c>
      <c r="CL301" s="231">
        <f xml:space="preserve"> IFERROR(($E301&gt;0)*($E301 &lt;=End_of_period) * ($G301 &gt;=Beginning_of_period) * (1-SUM($K301:CK301)) /  IFERROR((DATEDIF(Beginning_of_period,$G301,"m") + 1) / Months_in_Period,0),0)</f>
        <v>0</v>
      </c>
      <c r="CM301" s="231">
        <f xml:space="preserve"> IFERROR(($E301&gt;0)*($E301 &lt;=End_of_period) * ($G301 &gt;=Beginning_of_period) * (1-SUM($K301:CL301)) /  IFERROR((DATEDIF(Beginning_of_period,$G301,"m") + 1) / Months_in_Period,0),0)</f>
        <v>0</v>
      </c>
      <c r="CN301" s="231">
        <f xml:space="preserve"> IFERROR(($E301&gt;0)*($E301 &lt;=End_of_period) * ($G301 &gt;=Beginning_of_period) * (1-SUM($K301:CM301)) /  IFERROR((DATEDIF(Beginning_of_period,$G301,"m") + 1) / Months_in_Period,0),0)</f>
        <v>0</v>
      </c>
      <c r="CO301" s="231">
        <f xml:space="preserve"> IFERROR(($E301&gt;0)*($E301 &lt;=End_of_period) * ($G301 &gt;=Beginning_of_period) * (1-SUM($K301:CN301)) /  IFERROR((DATEDIF(Beginning_of_period,$G301,"m") + 1) / Months_in_Period,0),0)</f>
        <v>0</v>
      </c>
      <c r="CP301" s="10"/>
    </row>
    <row r="302" spans="1:94" ht="15" customHeight="1">
      <c r="A302" s="10"/>
      <c r="B302" s="3"/>
      <c r="C302" s="17"/>
      <c r="D302" s="10"/>
      <c r="E302" s="10"/>
      <c r="F302" s="10"/>
      <c r="G302" s="11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</row>
    <row r="303" spans="1:94" ht="15" hidden="1" customHeight="1">
      <c r="A303" s="10"/>
      <c r="B303" s="3"/>
      <c r="C303" s="384" t="str">
        <f xml:space="preserve"> "Сегмент 2: " &amp; C134</f>
        <v>Сегмент 2: Развлекательный комплекс</v>
      </c>
      <c r="D303" s="273"/>
      <c r="E303" s="273"/>
      <c r="F303" s="273"/>
      <c r="G303" s="274"/>
      <c r="H303" s="273"/>
      <c r="I303" s="273"/>
      <c r="J303" s="273"/>
      <c r="K303" s="273"/>
      <c r="L303" s="273"/>
      <c r="M303" s="273"/>
      <c r="N303" s="273"/>
      <c r="O303" s="273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3"/>
      <c r="AG303" s="273"/>
      <c r="AH303" s="273"/>
      <c r="AI303" s="273"/>
      <c r="AJ303" s="273"/>
      <c r="AK303" s="273"/>
      <c r="AL303" s="273"/>
      <c r="AM303" s="273"/>
      <c r="AN303" s="273"/>
      <c r="AO303" s="273"/>
      <c r="AP303" s="273"/>
      <c r="AQ303" s="273"/>
      <c r="AR303" s="273"/>
      <c r="AS303" s="273"/>
      <c r="AT303" s="273"/>
      <c r="AU303" s="273"/>
      <c r="AV303" s="273"/>
      <c r="AW303" s="273"/>
      <c r="AX303" s="273"/>
      <c r="AY303" s="273"/>
      <c r="AZ303" s="273"/>
      <c r="BA303" s="273"/>
      <c r="BB303" s="273"/>
      <c r="BC303" s="273"/>
      <c r="BD303" s="273"/>
      <c r="BE303" s="273"/>
      <c r="BF303" s="273"/>
      <c r="BG303" s="273"/>
      <c r="BH303" s="273"/>
      <c r="BI303" s="273"/>
      <c r="BJ303" s="273"/>
      <c r="BK303" s="273"/>
      <c r="BL303" s="273"/>
      <c r="BM303" s="273"/>
      <c r="BN303" s="273"/>
      <c r="BO303" s="273"/>
      <c r="BP303" s="273"/>
      <c r="BQ303" s="273"/>
      <c r="BR303" s="273"/>
      <c r="BS303" s="273"/>
      <c r="BT303" s="273"/>
      <c r="BU303" s="273"/>
      <c r="BV303" s="273"/>
      <c r="BW303" s="273"/>
      <c r="BX303" s="273"/>
      <c r="BY303" s="273"/>
      <c r="BZ303" s="273"/>
      <c r="CA303" s="273"/>
      <c r="CB303" s="273"/>
      <c r="CC303" s="273"/>
      <c r="CD303" s="273"/>
      <c r="CE303" s="273"/>
      <c r="CF303" s="273"/>
      <c r="CG303" s="273"/>
      <c r="CH303" s="273"/>
      <c r="CI303" s="273"/>
      <c r="CJ303" s="273"/>
      <c r="CK303" s="273"/>
      <c r="CL303" s="273"/>
      <c r="CM303" s="273"/>
      <c r="CN303" s="273"/>
      <c r="CO303" s="273"/>
      <c r="CP303" s="10"/>
    </row>
    <row r="304" spans="1:94" ht="15" hidden="1" customHeight="1">
      <c r="A304" s="10"/>
      <c r="B304" s="3"/>
      <c r="C304" s="17"/>
      <c r="D304" s="10"/>
      <c r="E304" s="10"/>
      <c r="F304" s="10"/>
      <c r="G304" s="11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</row>
    <row r="305" spans="1:94" ht="15" hidden="1" customHeight="1" thickBot="1">
      <c r="A305" s="10"/>
      <c r="B305" s="3"/>
      <c r="C305" s="12" t="str">
        <f xml:space="preserve"> "Расходы на создание " &amp; Контр_панель!C31 &amp; " (в базовых ценах, без НДС)"</f>
        <v>Расходы на создание Развлекательный комплекс (в базовых ценах, без НДС)</v>
      </c>
      <c r="D305" s="12"/>
      <c r="E305" s="12"/>
      <c r="F305" s="12"/>
      <c r="G305" s="12"/>
      <c r="H305" s="12"/>
      <c r="I305" s="12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</row>
    <row r="306" spans="1:94" ht="15" hidden="1" customHeight="1">
      <c r="A306" s="10"/>
      <c r="B306" s="3"/>
      <c r="C306" s="17"/>
      <c r="D306" s="10"/>
      <c r="E306" s="10"/>
      <c r="F306" s="10"/>
      <c r="G306" s="11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  <c r="CG306" s="10"/>
      <c r="CH306" s="10"/>
      <c r="CI306" s="10"/>
      <c r="CJ306" s="10"/>
      <c r="CK306" s="10"/>
      <c r="CL306" s="10"/>
      <c r="CM306" s="10"/>
      <c r="CN306" s="10"/>
      <c r="CO306" s="10"/>
      <c r="CP306" s="10"/>
    </row>
    <row r="307" spans="1:94" ht="15" hidden="1" customHeight="1">
      <c r="A307" s="10"/>
      <c r="B307" s="3"/>
      <c r="C307" s="67" t="s">
        <v>850</v>
      </c>
      <c r="D307" s="10"/>
      <c r="E307" s="10"/>
      <c r="F307" s="10"/>
      <c r="G307" s="11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</row>
    <row r="308" spans="1:94" ht="15" hidden="1" customHeight="1">
      <c r="A308" s="10"/>
      <c r="B308" s="3"/>
      <c r="C308" s="17" t="s">
        <v>1251</v>
      </c>
      <c r="D308" s="10"/>
      <c r="E308" s="14">
        <v>120</v>
      </c>
      <c r="F308" s="10"/>
      <c r="G308" s="11" t="s">
        <v>857</v>
      </c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  <c r="CP308" s="10"/>
    </row>
    <row r="309" spans="1:94" ht="15" hidden="1" customHeight="1">
      <c r="A309" s="10"/>
      <c r="B309" s="3"/>
      <c r="C309" s="17" t="s">
        <v>1252</v>
      </c>
      <c r="D309" s="10"/>
      <c r="E309" s="225">
        <f xml:space="preserve"> E138</f>
        <v>0</v>
      </c>
      <c r="F309" s="10"/>
      <c r="G309" s="11" t="s">
        <v>856</v>
      </c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</row>
    <row r="310" spans="1:94" ht="15" hidden="1" customHeight="1">
      <c r="A310" s="10"/>
      <c r="B310" s="3"/>
      <c r="C310" s="17" t="s">
        <v>1253</v>
      </c>
      <c r="D310" s="10"/>
      <c r="E310" s="14">
        <v>120</v>
      </c>
      <c r="F310" s="10"/>
      <c r="G310" s="11" t="s">
        <v>820</v>
      </c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  <c r="CG310" s="10"/>
      <c r="CH310" s="10"/>
      <c r="CI310" s="10"/>
      <c r="CJ310" s="10"/>
      <c r="CK310" s="10"/>
      <c r="CL310" s="10"/>
      <c r="CM310" s="10"/>
      <c r="CN310" s="10"/>
      <c r="CO310" s="10"/>
      <c r="CP310" s="10"/>
    </row>
    <row r="311" spans="1:94" ht="15" hidden="1" customHeight="1">
      <c r="A311" s="10"/>
      <c r="B311" s="3"/>
      <c r="C311" s="17" t="s">
        <v>1252</v>
      </c>
      <c r="D311" s="10"/>
      <c r="E311" s="225">
        <f xml:space="preserve"> E139</f>
        <v>0</v>
      </c>
      <c r="F311" s="10"/>
      <c r="G311" s="11" t="s">
        <v>817</v>
      </c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  <c r="CG311" s="10"/>
      <c r="CH311" s="10"/>
      <c r="CI311" s="10"/>
      <c r="CJ311" s="10"/>
      <c r="CK311" s="10"/>
      <c r="CL311" s="10"/>
      <c r="CM311" s="10"/>
      <c r="CN311" s="10"/>
      <c r="CO311" s="10"/>
      <c r="CP311" s="10"/>
    </row>
    <row r="312" spans="1:94" ht="15" hidden="1" customHeight="1">
      <c r="A312" s="10"/>
      <c r="B312" s="3"/>
      <c r="C312" s="17" t="s">
        <v>1254</v>
      </c>
      <c r="D312" s="10"/>
      <c r="E312" s="14">
        <v>50</v>
      </c>
      <c r="F312" s="10"/>
      <c r="G312" s="11" t="s">
        <v>820</v>
      </c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</row>
    <row r="313" spans="1:94" ht="15" hidden="1" customHeight="1">
      <c r="A313" s="10"/>
      <c r="B313" s="3"/>
      <c r="C313" s="17" t="s">
        <v>1252</v>
      </c>
      <c r="D313" s="10"/>
      <c r="E313" s="225">
        <f xml:space="preserve"> E140</f>
        <v>0</v>
      </c>
      <c r="F313" s="10"/>
      <c r="G313" s="11" t="s">
        <v>817</v>
      </c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  <c r="CG313" s="10"/>
      <c r="CH313" s="10"/>
      <c r="CI313" s="10"/>
      <c r="CJ313" s="10"/>
      <c r="CK313" s="10"/>
      <c r="CL313" s="10"/>
      <c r="CM313" s="10"/>
      <c r="CN313" s="10"/>
      <c r="CO313" s="10"/>
      <c r="CP313" s="10"/>
    </row>
    <row r="314" spans="1:94" ht="15" hidden="1" customHeight="1">
      <c r="A314" s="10"/>
      <c r="B314" s="3"/>
      <c r="C314" s="249" t="s">
        <v>845</v>
      </c>
      <c r="D314" s="228"/>
      <c r="E314" s="229">
        <f xml:space="preserve"> E308*E309 + E310 * E311 + E312 * E313</f>
        <v>0</v>
      </c>
      <c r="F314" s="228"/>
      <c r="G314" s="230" t="str">
        <f>Monetary_Unit</f>
        <v>тыс. руб.</v>
      </c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</row>
    <row r="315" spans="1:94" ht="15" hidden="1" customHeight="1">
      <c r="A315" s="10"/>
      <c r="B315" s="3"/>
      <c r="C315" s="17"/>
      <c r="D315" s="10"/>
      <c r="E315" s="10"/>
      <c r="F315" s="10"/>
      <c r="G315" s="11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  <c r="CG315" s="10"/>
      <c r="CH315" s="10"/>
      <c r="CI315" s="10"/>
      <c r="CJ315" s="10"/>
      <c r="CK315" s="10"/>
      <c r="CL315" s="10"/>
      <c r="CM315" s="10"/>
      <c r="CN315" s="10"/>
      <c r="CO315" s="10"/>
      <c r="CP315" s="10"/>
    </row>
    <row r="316" spans="1:94" ht="15" hidden="1" customHeight="1">
      <c r="A316" s="10"/>
      <c r="B316" s="3"/>
      <c r="C316" s="67" t="s">
        <v>837</v>
      </c>
      <c r="D316" s="10"/>
      <c r="E316" s="10"/>
      <c r="F316" s="10"/>
      <c r="G316" s="11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  <c r="CG316" s="10"/>
      <c r="CH316" s="10"/>
      <c r="CI316" s="10"/>
      <c r="CJ316" s="10"/>
      <c r="CK316" s="10"/>
      <c r="CL316" s="10"/>
      <c r="CM316" s="10"/>
      <c r="CN316" s="10"/>
      <c r="CO316" s="10"/>
      <c r="CP316" s="10"/>
    </row>
    <row r="317" spans="1:94" ht="15" hidden="1" customHeight="1">
      <c r="A317" s="10"/>
      <c r="B317" s="3"/>
      <c r="C317" s="17" t="s">
        <v>842</v>
      </c>
      <c r="D317" s="10"/>
      <c r="E317" s="167">
        <v>0.04</v>
      </c>
      <c r="F317" s="10"/>
      <c r="G317" s="11" t="s">
        <v>627</v>
      </c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  <c r="CP317" s="10"/>
    </row>
    <row r="318" spans="1:94" ht="15" hidden="1" customHeight="1">
      <c r="A318" s="10"/>
      <c r="B318" s="3"/>
      <c r="C318" s="17" t="s">
        <v>849</v>
      </c>
      <c r="D318" s="10"/>
      <c r="E318" s="167">
        <v>0</v>
      </c>
      <c r="F318" s="10"/>
      <c r="G318" s="11" t="s">
        <v>627</v>
      </c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</row>
    <row r="319" spans="1:94" ht="15" hidden="1" customHeight="1">
      <c r="A319" s="10"/>
      <c r="B319" s="3"/>
      <c r="C319" s="17" t="s">
        <v>824</v>
      </c>
      <c r="D319" s="10"/>
      <c r="E319" s="167">
        <v>0.01</v>
      </c>
      <c r="F319" s="10"/>
      <c r="G319" s="11" t="s">
        <v>627</v>
      </c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</row>
    <row r="320" spans="1:94" ht="15" hidden="1" customHeight="1">
      <c r="A320" s="10"/>
      <c r="B320" s="3"/>
      <c r="C320" s="17"/>
      <c r="D320" s="10"/>
      <c r="E320" s="10"/>
      <c r="F320" s="10"/>
      <c r="G320" s="11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  <c r="CG320" s="10"/>
      <c r="CH320" s="10"/>
      <c r="CI320" s="10"/>
      <c r="CJ320" s="10"/>
      <c r="CK320" s="10"/>
      <c r="CL320" s="10"/>
      <c r="CM320" s="10"/>
      <c r="CN320" s="10"/>
      <c r="CO320" s="10"/>
      <c r="CP320" s="10"/>
    </row>
    <row r="321" spans="1:94" ht="15" hidden="1" customHeight="1">
      <c r="A321" s="10"/>
      <c r="B321" s="3"/>
      <c r="C321" s="67" t="s">
        <v>838</v>
      </c>
      <c r="D321" s="10"/>
      <c r="E321" s="10" t="str">
        <f>"текушие цены на " &amp; TEXT(Расчеты!$E$85-1,"ДД.ММ.ГГГГ")</f>
        <v>текушие цены на 31.12.2024</v>
      </c>
      <c r="F321" s="10"/>
      <c r="G321" s="11"/>
      <c r="H321" s="10" t="s">
        <v>1205</v>
      </c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</row>
    <row r="322" spans="1:94" ht="15" hidden="1" customHeight="1">
      <c r="A322" s="10"/>
      <c r="B322" s="3"/>
      <c r="C322" s="17" t="s">
        <v>632</v>
      </c>
      <c r="D322" s="10"/>
      <c r="E322" s="225">
        <f xml:space="preserve"> E314 * E317</f>
        <v>0</v>
      </c>
      <c r="F322" s="10"/>
      <c r="G322" s="11" t="str">
        <f>Monetary_Unit</f>
        <v>тыс. руб.</v>
      </c>
      <c r="H322" s="10">
        <f ca="1">E322*SUMPRODUCT(L329:CO329,CAPEX_Accumulated_From_Date)</f>
        <v>0</v>
      </c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  <c r="CG322" s="10"/>
      <c r="CH322" s="10"/>
      <c r="CI322" s="10"/>
      <c r="CJ322" s="10"/>
      <c r="CK322" s="10"/>
      <c r="CL322" s="10"/>
      <c r="CM322" s="10"/>
      <c r="CN322" s="10"/>
      <c r="CO322" s="10"/>
      <c r="CP322" s="10"/>
    </row>
    <row r="323" spans="1:94" ht="15" hidden="1" customHeight="1">
      <c r="A323" s="10"/>
      <c r="B323" s="3"/>
      <c r="C323" s="17" t="s">
        <v>634</v>
      </c>
      <c r="D323" s="10"/>
      <c r="E323" s="225">
        <f xml:space="preserve"> E314 * E318</f>
        <v>0</v>
      </c>
      <c r="F323" s="10"/>
      <c r="G323" s="11" t="str">
        <f>Monetary_Unit</f>
        <v>тыс. руб.</v>
      </c>
      <c r="H323" s="10">
        <f ca="1">E323*SUMPRODUCT(L330:CO330,CAPEX_Accumulated_From_Date)</f>
        <v>0</v>
      </c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  <c r="CG323" s="10"/>
      <c r="CH323" s="10"/>
      <c r="CI323" s="10"/>
      <c r="CJ323" s="10"/>
      <c r="CK323" s="10"/>
      <c r="CL323" s="10"/>
      <c r="CM323" s="10"/>
      <c r="CN323" s="10"/>
      <c r="CO323" s="10"/>
      <c r="CP323" s="10"/>
    </row>
    <row r="324" spans="1:94" ht="15" hidden="1" customHeight="1">
      <c r="A324" s="10"/>
      <c r="B324" s="3"/>
      <c r="C324" s="17" t="s">
        <v>848</v>
      </c>
      <c r="D324" s="10"/>
      <c r="E324" s="225">
        <f xml:space="preserve"> E314</f>
        <v>0</v>
      </c>
      <c r="F324" s="10"/>
      <c r="G324" s="11" t="str">
        <f>Monetary_Unit</f>
        <v>тыс. руб.</v>
      </c>
      <c r="H324" s="10">
        <f ca="1">E324*SUMPRODUCT(L331:CO331,CAPEX_Accumulated_From_Date)</f>
        <v>0</v>
      </c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</row>
    <row r="325" spans="1:94" ht="15" hidden="1" customHeight="1">
      <c r="A325" s="10"/>
      <c r="B325" s="3"/>
      <c r="C325" s="17" t="s">
        <v>824</v>
      </c>
      <c r="D325" s="10"/>
      <c r="E325" s="225">
        <f xml:space="preserve"> E324 * $E319</f>
        <v>0</v>
      </c>
      <c r="F325" s="10"/>
      <c r="G325" s="11" t="str">
        <f>Monetary_Unit</f>
        <v>тыс. руб.</v>
      </c>
      <c r="H325" s="10">
        <f ca="1" xml:space="preserve"> H324 * $E319</f>
        <v>0</v>
      </c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</row>
    <row r="326" spans="1:94" ht="15" hidden="1" customHeight="1">
      <c r="A326" s="10"/>
      <c r="B326" s="3"/>
      <c r="C326" s="249" t="s">
        <v>855</v>
      </c>
      <c r="D326" s="228"/>
      <c r="E326" s="229">
        <f>SUM(E322:E325)</f>
        <v>0</v>
      </c>
      <c r="F326" s="228"/>
      <c r="G326" s="230" t="str">
        <f>Monetary_Unit</f>
        <v>тыс. руб.</v>
      </c>
      <c r="H326" s="229">
        <f ca="1">SUM(H322:H325)</f>
        <v>0</v>
      </c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</row>
    <row r="327" spans="1:94" ht="15" hidden="1" customHeight="1">
      <c r="A327" s="10"/>
      <c r="B327" s="3"/>
      <c r="C327" s="17"/>
      <c r="D327" s="10"/>
      <c r="E327" s="10"/>
      <c r="F327" s="10"/>
      <c r="G327" s="11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</row>
    <row r="328" spans="1:94" ht="15" hidden="1" customHeight="1">
      <c r="A328" s="10"/>
      <c r="B328" s="3"/>
      <c r="C328" s="67" t="s">
        <v>852</v>
      </c>
      <c r="D328" s="10"/>
      <c r="E328" s="10" t="s">
        <v>637</v>
      </c>
      <c r="F328" s="10"/>
      <c r="G328" s="11" t="s">
        <v>638</v>
      </c>
      <c r="H328" s="62" t="s">
        <v>650</v>
      </c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</row>
    <row r="329" spans="1:94" ht="15" hidden="1" customHeight="1">
      <c r="A329" s="10"/>
      <c r="B329" s="3"/>
      <c r="C329" s="17" t="s">
        <v>632</v>
      </c>
      <c r="D329" s="10"/>
      <c r="E329" s="71">
        <v>45839</v>
      </c>
      <c r="F329" s="10"/>
      <c r="G329" s="479">
        <v>46022</v>
      </c>
      <c r="H329" s="149">
        <f xml:space="preserve"> IFERROR((DATEDIF(E329,G329,"m") + 1) / Months_in_Period,0)</f>
        <v>2</v>
      </c>
      <c r="I329" s="231">
        <f>IF(SUM(L329:CO329)=0,1,SUM(L329:CO329))</f>
        <v>1</v>
      </c>
      <c r="J329" s="10"/>
      <c r="K329" s="10"/>
      <c r="L329" s="231">
        <f xml:space="preserve"> IFERROR(($E329&gt;0)*($E329 &lt;=End_of_period) * ($G329 &gt;=Beginning_of_period) * (1-SUM($K329:K329)) /  IFERROR((DATEDIF(Beginning_of_period,$G329,"m") + 1) / Months_in_Period,0),0)</f>
        <v>0</v>
      </c>
      <c r="M329" s="231">
        <f xml:space="preserve"> IFERROR(($E329&gt;0)*($E329 &lt;=End_of_period) * ($G329 &gt;=Beginning_of_period) * (1-SUM($K329:L329)) /  IFERROR((DATEDIF(Beginning_of_period,$G329,"m") + 1) / Months_in_Period,0),0)</f>
        <v>0</v>
      </c>
      <c r="N329" s="231">
        <f xml:space="preserve"> IFERROR(($E329&gt;0)*($E329 &lt;=End_of_period) * ($G329 &gt;=Beginning_of_period) * (1-SUM($K329:M329)) /  IFERROR((DATEDIF(Beginning_of_period,$G329,"m") + 1) / Months_in_Period,0),0)</f>
        <v>0.5</v>
      </c>
      <c r="O329" s="231">
        <f xml:space="preserve"> IFERROR(($E329&gt;0)*($E329 &lt;=End_of_period) * ($G329 &gt;=Beginning_of_period) * (1-SUM($K329:N329)) /  IFERROR((DATEDIF(Beginning_of_period,$G329,"m") + 1) / Months_in_Period,0),0)</f>
        <v>0.5</v>
      </c>
      <c r="P329" s="231">
        <f xml:space="preserve"> IFERROR(($E329&gt;0)*($E329 &lt;=End_of_period) * ($G329 &gt;=Beginning_of_period) * (1-SUM($K329:O329)) /  IFERROR((DATEDIF(Beginning_of_period,$G329,"m") + 1) / Months_in_Period,0),0)</f>
        <v>0</v>
      </c>
      <c r="Q329" s="231">
        <f xml:space="preserve"> IFERROR(($E329&gt;0)*($E329 &lt;=End_of_period) * ($G329 &gt;=Beginning_of_period) * (1-SUM($K329:P329)) /  IFERROR((DATEDIF(Beginning_of_period,$G329,"m") + 1) / Months_in_Period,0),0)</f>
        <v>0</v>
      </c>
      <c r="R329" s="231">
        <f xml:space="preserve"> IFERROR(($E329&gt;0)*($E329 &lt;=End_of_period) * ($G329 &gt;=Beginning_of_period) * (1-SUM($K329:Q329)) /  IFERROR((DATEDIF(Beginning_of_period,$G329,"m") + 1) / Months_in_Period,0),0)</f>
        <v>0</v>
      </c>
      <c r="S329" s="231">
        <f xml:space="preserve"> IFERROR(($E329&gt;0)*($E329 &lt;=End_of_period) * ($G329 &gt;=Beginning_of_period) * (1-SUM($K329:R329)) /  IFERROR((DATEDIF(Beginning_of_period,$G329,"m") + 1) / Months_in_Period,0),0)</f>
        <v>0</v>
      </c>
      <c r="T329" s="231">
        <f xml:space="preserve"> IFERROR(($E329&gt;0)*($E329 &lt;=End_of_period) * ($G329 &gt;=Beginning_of_period) * (1-SUM($K329:S329)) /  IFERROR((DATEDIF(Beginning_of_period,$G329,"m") + 1) / Months_in_Period,0),0)</f>
        <v>0</v>
      </c>
      <c r="U329" s="231">
        <f xml:space="preserve"> IFERROR(($E329&gt;0)*($E329 &lt;=End_of_period) * ($G329 &gt;=Beginning_of_period) * (1-SUM($K329:T329)) /  IFERROR((DATEDIF(Beginning_of_period,$G329,"m") + 1) / Months_in_Period,0),0)</f>
        <v>0</v>
      </c>
      <c r="V329" s="231">
        <f xml:space="preserve"> IFERROR(($E329&gt;0)*($E329 &lt;=End_of_period) * ($G329 &gt;=Beginning_of_period) * (1-SUM($K329:U329)) /  IFERROR((DATEDIF(Beginning_of_period,$G329,"m") + 1) / Months_in_Period,0),0)</f>
        <v>0</v>
      </c>
      <c r="W329" s="231">
        <f xml:space="preserve"> IFERROR(($E329&gt;0)*($E329 &lt;=End_of_period) * ($G329 &gt;=Beginning_of_period) * (1-SUM($K329:V329)) /  IFERROR((DATEDIF(Beginning_of_period,$G329,"m") + 1) / Months_in_Period,0),0)</f>
        <v>0</v>
      </c>
      <c r="X329" s="231">
        <f xml:space="preserve"> IFERROR(($E329&gt;0)*($E329 &lt;=End_of_period) * ($G329 &gt;=Beginning_of_period) * (1-SUM($K329:W329)) /  IFERROR((DATEDIF(Beginning_of_period,$G329,"m") + 1) / Months_in_Period,0),0)</f>
        <v>0</v>
      </c>
      <c r="Y329" s="231">
        <f xml:space="preserve"> IFERROR(($E329&gt;0)*($E329 &lt;=End_of_period) * ($G329 &gt;=Beginning_of_period) * (1-SUM($K329:X329)) /  IFERROR((DATEDIF(Beginning_of_period,$G329,"m") + 1) / Months_in_Period,0),0)</f>
        <v>0</v>
      </c>
      <c r="Z329" s="231">
        <f xml:space="preserve"> IFERROR(($E329&gt;0)*($E329 &lt;=End_of_period) * ($G329 &gt;=Beginning_of_period) * (1-SUM($K329:Y329)) /  IFERROR((DATEDIF(Beginning_of_period,$G329,"m") + 1) / Months_in_Period,0),0)</f>
        <v>0</v>
      </c>
      <c r="AA329" s="231">
        <f xml:space="preserve"> IFERROR(($E329&gt;0)*($E329 &lt;=End_of_period) * ($G329 &gt;=Beginning_of_period) * (1-SUM($K329:Z329)) /  IFERROR((DATEDIF(Beginning_of_period,$G329,"m") + 1) / Months_in_Period,0),0)</f>
        <v>0</v>
      </c>
      <c r="AB329" s="231">
        <f xml:space="preserve"> IFERROR(($E329&gt;0)*($E329 &lt;=End_of_period) * ($G329 &gt;=Beginning_of_period) * (1-SUM($K329:AA329)) /  IFERROR((DATEDIF(Beginning_of_period,$G329,"m") + 1) / Months_in_Period,0),0)</f>
        <v>0</v>
      </c>
      <c r="AC329" s="231">
        <f xml:space="preserve"> IFERROR(($E329&gt;0)*($E329 &lt;=End_of_period) * ($G329 &gt;=Beginning_of_period) * (1-SUM($K329:AB329)) /  IFERROR((DATEDIF(Beginning_of_period,$G329,"m") + 1) / Months_in_Period,0),0)</f>
        <v>0</v>
      </c>
      <c r="AD329" s="231">
        <f xml:space="preserve"> IFERROR(($E329&gt;0)*($E329 &lt;=End_of_period) * ($G329 &gt;=Beginning_of_period) * (1-SUM($K329:AC329)) /  IFERROR((DATEDIF(Beginning_of_period,$G329,"m") + 1) / Months_in_Period,0),0)</f>
        <v>0</v>
      </c>
      <c r="AE329" s="231">
        <f xml:space="preserve"> IFERROR(($E329&gt;0)*($E329 &lt;=End_of_period) * ($G329 &gt;=Beginning_of_period) * (1-SUM($K329:AD329)) /  IFERROR((DATEDIF(Beginning_of_period,$G329,"m") + 1) / Months_in_Period,0),0)</f>
        <v>0</v>
      </c>
      <c r="AF329" s="231">
        <f xml:space="preserve"> IFERROR(($E329&gt;0)*($E329 &lt;=End_of_period) * ($G329 &gt;=Beginning_of_period) * (1-SUM($K329:AE329)) /  IFERROR((DATEDIF(Beginning_of_period,$G329,"m") + 1) / Months_in_Period,0),0)</f>
        <v>0</v>
      </c>
      <c r="AG329" s="231">
        <f xml:space="preserve"> IFERROR(($E329&gt;0)*($E329 &lt;=End_of_period) * ($G329 &gt;=Beginning_of_period) * (1-SUM($K329:AF329)) /  IFERROR((DATEDIF(Beginning_of_period,$G329,"m") + 1) / Months_in_Period,0),0)</f>
        <v>0</v>
      </c>
      <c r="AH329" s="231">
        <f xml:space="preserve"> IFERROR(($E329&gt;0)*($E329 &lt;=End_of_period) * ($G329 &gt;=Beginning_of_period) * (1-SUM($K329:AG329)) /  IFERROR((DATEDIF(Beginning_of_period,$G329,"m") + 1) / Months_in_Period,0),0)</f>
        <v>0</v>
      </c>
      <c r="AI329" s="231">
        <f xml:space="preserve"> IFERROR(($E329&gt;0)*($E329 &lt;=End_of_period) * ($G329 &gt;=Beginning_of_period) * (1-SUM($K329:AH329)) /  IFERROR((DATEDIF(Beginning_of_period,$G329,"m") + 1) / Months_in_Period,0),0)</f>
        <v>0</v>
      </c>
      <c r="AJ329" s="231">
        <f xml:space="preserve"> IFERROR(($E329&gt;0)*($E329 &lt;=End_of_period) * ($G329 &gt;=Beginning_of_period) * (1-SUM($K329:AI329)) /  IFERROR((DATEDIF(Beginning_of_period,$G329,"m") + 1) / Months_in_Period,0),0)</f>
        <v>0</v>
      </c>
      <c r="AK329" s="231">
        <f xml:space="preserve"> IFERROR(($E329&gt;0)*($E329 &lt;=End_of_period) * ($G329 &gt;=Beginning_of_period) * (1-SUM($K329:AJ329)) /  IFERROR((DATEDIF(Beginning_of_period,$G329,"m") + 1) / Months_in_Period,0),0)</f>
        <v>0</v>
      </c>
      <c r="AL329" s="231">
        <f xml:space="preserve"> IFERROR(($E329&gt;0)*($E329 &lt;=End_of_period) * ($G329 &gt;=Beginning_of_period) * (1-SUM($K329:AK329)) /  IFERROR((DATEDIF(Beginning_of_period,$G329,"m") + 1) / Months_in_Period,0),0)</f>
        <v>0</v>
      </c>
      <c r="AM329" s="231">
        <f xml:space="preserve"> IFERROR(($E329&gt;0)*($E329 &lt;=End_of_period) * ($G329 &gt;=Beginning_of_period) * (1-SUM($K329:AL329)) /  IFERROR((DATEDIF(Beginning_of_period,$G329,"m") + 1) / Months_in_Period,0),0)</f>
        <v>0</v>
      </c>
      <c r="AN329" s="231">
        <f xml:space="preserve"> IFERROR(($E329&gt;0)*($E329 &lt;=End_of_period) * ($G329 &gt;=Beginning_of_period) * (1-SUM($K329:AM329)) /  IFERROR((DATEDIF(Beginning_of_period,$G329,"m") + 1) / Months_in_Period,0),0)</f>
        <v>0</v>
      </c>
      <c r="AO329" s="231">
        <f xml:space="preserve"> IFERROR(($E329&gt;0)*($E329 &lt;=End_of_period) * ($G329 &gt;=Beginning_of_period) * (1-SUM($K329:AN329)) /  IFERROR((DATEDIF(Beginning_of_period,$G329,"m") + 1) / Months_in_Period,0),0)</f>
        <v>0</v>
      </c>
      <c r="AP329" s="231">
        <f xml:space="preserve"> IFERROR(($E329&gt;0)*($E329 &lt;=End_of_period) * ($G329 &gt;=Beginning_of_period) * (1-SUM($K329:AO329)) /  IFERROR((DATEDIF(Beginning_of_period,$G329,"m") + 1) / Months_in_Period,0),0)</f>
        <v>0</v>
      </c>
      <c r="AQ329" s="231">
        <f xml:space="preserve"> IFERROR(($E329&gt;0)*($E329 &lt;=End_of_period) * ($G329 &gt;=Beginning_of_period) * (1-SUM($K329:AP329)) /  IFERROR((DATEDIF(Beginning_of_period,$G329,"m") + 1) / Months_in_Period,0),0)</f>
        <v>0</v>
      </c>
      <c r="AR329" s="231">
        <f xml:space="preserve"> IFERROR(($E329&gt;0)*($E329 &lt;=End_of_period) * ($G329 &gt;=Beginning_of_period) * (1-SUM($K329:AQ329)) /  IFERROR((DATEDIF(Beginning_of_period,$G329,"m") + 1) / Months_in_Period,0),0)</f>
        <v>0</v>
      </c>
      <c r="AS329" s="231">
        <f xml:space="preserve"> IFERROR(($E329&gt;0)*($E329 &lt;=End_of_period) * ($G329 &gt;=Beginning_of_period) * (1-SUM($K329:AR329)) /  IFERROR((DATEDIF(Beginning_of_period,$G329,"m") + 1) / Months_in_Period,0),0)</f>
        <v>0</v>
      </c>
      <c r="AT329" s="231">
        <f xml:space="preserve"> IFERROR(($E329&gt;0)*($E329 &lt;=End_of_period) * ($G329 &gt;=Beginning_of_period) * (1-SUM($K329:AS329)) /  IFERROR((DATEDIF(Beginning_of_period,$G329,"m") + 1) / Months_in_Period,0),0)</f>
        <v>0</v>
      </c>
      <c r="AU329" s="231">
        <f xml:space="preserve"> IFERROR(($E329&gt;0)*($E329 &lt;=End_of_period) * ($G329 &gt;=Beginning_of_period) * (1-SUM($K329:AT329)) /  IFERROR((DATEDIF(Beginning_of_period,$G329,"m") + 1) / Months_in_Period,0),0)</f>
        <v>0</v>
      </c>
      <c r="AV329" s="231">
        <f xml:space="preserve"> IFERROR(($E329&gt;0)*($E329 &lt;=End_of_period) * ($G329 &gt;=Beginning_of_period) * (1-SUM($K329:AU329)) /  IFERROR((DATEDIF(Beginning_of_period,$G329,"m") + 1) / Months_in_Period,0),0)</f>
        <v>0</v>
      </c>
      <c r="AW329" s="231">
        <f xml:space="preserve"> IFERROR(($E329&gt;0)*($E329 &lt;=End_of_period) * ($G329 &gt;=Beginning_of_period) * (1-SUM($K329:AV329)) /  IFERROR((DATEDIF(Beginning_of_period,$G329,"m") + 1) / Months_in_Period,0),0)</f>
        <v>0</v>
      </c>
      <c r="AX329" s="231">
        <f xml:space="preserve"> IFERROR(($E329&gt;0)*($E329 &lt;=End_of_period) * ($G329 &gt;=Beginning_of_period) * (1-SUM($K329:AW329)) /  IFERROR((DATEDIF(Beginning_of_period,$G329,"m") + 1) / Months_in_Period,0),0)</f>
        <v>0</v>
      </c>
      <c r="AY329" s="231">
        <f xml:space="preserve"> IFERROR(($E329&gt;0)*($E329 &lt;=End_of_period) * ($G329 &gt;=Beginning_of_period) * (1-SUM($K329:AX329)) /  IFERROR((DATEDIF(Beginning_of_period,$G329,"m") + 1) / Months_in_Period,0),0)</f>
        <v>0</v>
      </c>
      <c r="AZ329" s="231">
        <f xml:space="preserve"> IFERROR(($E329&gt;0)*($E329 &lt;=End_of_period) * ($G329 &gt;=Beginning_of_period) * (1-SUM($K329:AY329)) /  IFERROR((DATEDIF(Beginning_of_period,$G329,"m") + 1) / Months_in_Period,0),0)</f>
        <v>0</v>
      </c>
      <c r="BA329" s="231">
        <f xml:space="preserve"> IFERROR(($E329&gt;0)*($E329 &lt;=End_of_period) * ($G329 &gt;=Beginning_of_period) * (1-SUM($K329:AZ329)) /  IFERROR((DATEDIF(Beginning_of_period,$G329,"m") + 1) / Months_in_Period,0),0)</f>
        <v>0</v>
      </c>
      <c r="BB329" s="231">
        <f xml:space="preserve"> IFERROR(($E329&gt;0)*($E329 &lt;=End_of_period) * ($G329 &gt;=Beginning_of_period) * (1-SUM($K329:BA329)) /  IFERROR((DATEDIF(Beginning_of_period,$G329,"m") + 1) / Months_in_Period,0),0)</f>
        <v>0</v>
      </c>
      <c r="BC329" s="231">
        <f xml:space="preserve"> IFERROR(($E329&gt;0)*($E329 &lt;=End_of_period) * ($G329 &gt;=Beginning_of_period) * (1-SUM($K329:BB329)) /  IFERROR((DATEDIF(Beginning_of_period,$G329,"m") + 1) / Months_in_Period,0),0)</f>
        <v>0</v>
      </c>
      <c r="BD329" s="231">
        <f xml:space="preserve"> IFERROR(($E329&gt;0)*($E329 &lt;=End_of_period) * ($G329 &gt;=Beginning_of_period) * (1-SUM($K329:BC329)) /  IFERROR((DATEDIF(Beginning_of_period,$G329,"m") + 1) / Months_in_Period,0),0)</f>
        <v>0</v>
      </c>
      <c r="BE329" s="231">
        <f xml:space="preserve"> IFERROR(($E329&gt;0)*($E329 &lt;=End_of_period) * ($G329 &gt;=Beginning_of_period) * (1-SUM($K329:BD329)) /  IFERROR((DATEDIF(Beginning_of_period,$G329,"m") + 1) / Months_in_Period,0),0)</f>
        <v>0</v>
      </c>
      <c r="BF329" s="231">
        <f xml:space="preserve"> IFERROR(($E329&gt;0)*($E329 &lt;=End_of_period) * ($G329 &gt;=Beginning_of_period) * (1-SUM($K329:BE329)) /  IFERROR((DATEDIF(Beginning_of_period,$G329,"m") + 1) / Months_in_Period,0),0)</f>
        <v>0</v>
      </c>
      <c r="BG329" s="231">
        <f xml:space="preserve"> IFERROR(($E329&gt;0)*($E329 &lt;=End_of_period) * ($G329 &gt;=Beginning_of_period) * (1-SUM($K329:BF329)) /  IFERROR((DATEDIF(Beginning_of_period,$G329,"m") + 1) / Months_in_Period,0),0)</f>
        <v>0</v>
      </c>
      <c r="BH329" s="231">
        <f xml:space="preserve"> IFERROR(($E329&gt;0)*($E329 &lt;=End_of_period) * ($G329 &gt;=Beginning_of_period) * (1-SUM($K329:BG329)) /  IFERROR((DATEDIF(Beginning_of_period,$G329,"m") + 1) / Months_in_Period,0),0)</f>
        <v>0</v>
      </c>
      <c r="BI329" s="231">
        <f xml:space="preserve"> IFERROR(($E329&gt;0)*($E329 &lt;=End_of_period) * ($G329 &gt;=Beginning_of_period) * (1-SUM($K329:BH329)) /  IFERROR((DATEDIF(Beginning_of_period,$G329,"m") + 1) / Months_in_Period,0),0)</f>
        <v>0</v>
      </c>
      <c r="BJ329" s="231">
        <f xml:space="preserve"> IFERROR(($E329&gt;0)*($E329 &lt;=End_of_period) * ($G329 &gt;=Beginning_of_period) * (1-SUM($K329:BI329)) /  IFERROR((DATEDIF(Beginning_of_period,$G329,"m") + 1) / Months_in_Period,0),0)</f>
        <v>0</v>
      </c>
      <c r="BK329" s="231">
        <f xml:space="preserve"> IFERROR(($E329&gt;0)*($E329 &lt;=End_of_period) * ($G329 &gt;=Beginning_of_period) * (1-SUM($K329:BJ329)) /  IFERROR((DATEDIF(Beginning_of_period,$G329,"m") + 1) / Months_in_Period,0),0)</f>
        <v>0</v>
      </c>
      <c r="BL329" s="231">
        <f xml:space="preserve"> IFERROR(($E329&gt;0)*($E329 &lt;=End_of_period) * ($G329 &gt;=Beginning_of_period) * (1-SUM($K329:BK329)) /  IFERROR((DATEDIF(Beginning_of_period,$G329,"m") + 1) / Months_in_Period,0),0)</f>
        <v>0</v>
      </c>
      <c r="BM329" s="231">
        <f xml:space="preserve"> IFERROR(($E329&gt;0)*($E329 &lt;=End_of_period) * ($G329 &gt;=Beginning_of_period) * (1-SUM($K329:BL329)) /  IFERROR((DATEDIF(Beginning_of_period,$G329,"m") + 1) / Months_in_Period,0),0)</f>
        <v>0</v>
      </c>
      <c r="BN329" s="231">
        <f xml:space="preserve"> IFERROR(($E329&gt;0)*($E329 &lt;=End_of_period) * ($G329 &gt;=Beginning_of_period) * (1-SUM($K329:BM329)) /  IFERROR((DATEDIF(Beginning_of_period,$G329,"m") + 1) / Months_in_Period,0),0)</f>
        <v>0</v>
      </c>
      <c r="BO329" s="231">
        <f xml:space="preserve"> IFERROR(($E329&gt;0)*($E329 &lt;=End_of_period) * ($G329 &gt;=Beginning_of_period) * (1-SUM($K329:BN329)) /  IFERROR((DATEDIF(Beginning_of_period,$G329,"m") + 1) / Months_in_Period,0),0)</f>
        <v>0</v>
      </c>
      <c r="BP329" s="231">
        <f xml:space="preserve"> IFERROR(($E329&gt;0)*($E329 &lt;=End_of_period) * ($G329 &gt;=Beginning_of_period) * (1-SUM($K329:BO329)) /  IFERROR((DATEDIF(Beginning_of_period,$G329,"m") + 1) / Months_in_Period,0),0)</f>
        <v>0</v>
      </c>
      <c r="BQ329" s="231">
        <f xml:space="preserve"> IFERROR(($E329&gt;0)*($E329 &lt;=End_of_period) * ($G329 &gt;=Beginning_of_period) * (1-SUM($K329:BP329)) /  IFERROR((DATEDIF(Beginning_of_period,$G329,"m") + 1) / Months_in_Period,0),0)</f>
        <v>0</v>
      </c>
      <c r="BR329" s="231">
        <f xml:space="preserve"> IFERROR(($E329&gt;0)*($E329 &lt;=End_of_period) * ($G329 &gt;=Beginning_of_period) * (1-SUM($K329:BQ329)) /  IFERROR((DATEDIF(Beginning_of_period,$G329,"m") + 1) / Months_in_Period,0),0)</f>
        <v>0</v>
      </c>
      <c r="BS329" s="231">
        <f xml:space="preserve"> IFERROR(($E329&gt;0)*($E329 &lt;=End_of_period) * ($G329 &gt;=Beginning_of_period) * (1-SUM($K329:BR329)) /  IFERROR((DATEDIF(Beginning_of_period,$G329,"m") + 1) / Months_in_Period,0),0)</f>
        <v>0</v>
      </c>
      <c r="BT329" s="231">
        <f xml:space="preserve"> IFERROR(($E329&gt;0)*($E329 &lt;=End_of_period) * ($G329 &gt;=Beginning_of_period) * (1-SUM($K329:BS329)) /  IFERROR((DATEDIF(Beginning_of_period,$G329,"m") + 1) / Months_in_Period,0),0)</f>
        <v>0</v>
      </c>
      <c r="BU329" s="231">
        <f xml:space="preserve"> IFERROR(($E329&gt;0)*($E329 &lt;=End_of_period) * ($G329 &gt;=Beginning_of_period) * (1-SUM($K329:BT329)) /  IFERROR((DATEDIF(Beginning_of_period,$G329,"m") + 1) / Months_in_Period,0),0)</f>
        <v>0</v>
      </c>
      <c r="BV329" s="231">
        <f xml:space="preserve"> IFERROR(($E329&gt;0)*($E329 &lt;=End_of_period) * ($G329 &gt;=Beginning_of_period) * (1-SUM($K329:BU329)) /  IFERROR((DATEDIF(Beginning_of_period,$G329,"m") + 1) / Months_in_Period,0),0)</f>
        <v>0</v>
      </c>
      <c r="BW329" s="231">
        <f xml:space="preserve"> IFERROR(($E329&gt;0)*($E329 &lt;=End_of_period) * ($G329 &gt;=Beginning_of_period) * (1-SUM($K329:BV329)) /  IFERROR((DATEDIF(Beginning_of_period,$G329,"m") + 1) / Months_in_Period,0),0)</f>
        <v>0</v>
      </c>
      <c r="BX329" s="231">
        <f xml:space="preserve"> IFERROR(($E329&gt;0)*($E329 &lt;=End_of_period) * ($G329 &gt;=Beginning_of_period) * (1-SUM($K329:BW329)) /  IFERROR((DATEDIF(Beginning_of_period,$G329,"m") + 1) / Months_in_Period,0),0)</f>
        <v>0</v>
      </c>
      <c r="BY329" s="231">
        <f xml:space="preserve"> IFERROR(($E329&gt;0)*($E329 &lt;=End_of_period) * ($G329 &gt;=Beginning_of_period) * (1-SUM($K329:BX329)) /  IFERROR((DATEDIF(Beginning_of_period,$G329,"m") + 1) / Months_in_Period,0),0)</f>
        <v>0</v>
      </c>
      <c r="BZ329" s="231">
        <f xml:space="preserve"> IFERROR(($E329&gt;0)*($E329 &lt;=End_of_period) * ($G329 &gt;=Beginning_of_period) * (1-SUM($K329:BY329)) /  IFERROR((DATEDIF(Beginning_of_period,$G329,"m") + 1) / Months_in_Period,0),0)</f>
        <v>0</v>
      </c>
      <c r="CA329" s="231">
        <f xml:space="preserve"> IFERROR(($E329&gt;0)*($E329 &lt;=End_of_period) * ($G329 &gt;=Beginning_of_period) * (1-SUM($K329:BZ329)) /  IFERROR((DATEDIF(Beginning_of_period,$G329,"m") + 1) / Months_in_Period,0),0)</f>
        <v>0</v>
      </c>
      <c r="CB329" s="231">
        <f xml:space="preserve"> IFERROR(($E329&gt;0)*($E329 &lt;=End_of_period) * ($G329 &gt;=Beginning_of_period) * (1-SUM($K329:CA329)) /  IFERROR((DATEDIF(Beginning_of_period,$G329,"m") + 1) / Months_in_Period,0),0)</f>
        <v>0</v>
      </c>
      <c r="CC329" s="231">
        <f xml:space="preserve"> IFERROR(($E329&gt;0)*($E329 &lt;=End_of_period) * ($G329 &gt;=Beginning_of_period) * (1-SUM($K329:CB329)) /  IFERROR((DATEDIF(Beginning_of_period,$G329,"m") + 1) / Months_in_Period,0),0)</f>
        <v>0</v>
      </c>
      <c r="CD329" s="231">
        <f xml:space="preserve"> IFERROR(($E329&gt;0)*($E329 &lt;=End_of_period) * ($G329 &gt;=Beginning_of_period) * (1-SUM($K329:CC329)) /  IFERROR((DATEDIF(Beginning_of_period,$G329,"m") + 1) / Months_in_Period,0),0)</f>
        <v>0</v>
      </c>
      <c r="CE329" s="231">
        <f xml:space="preserve"> IFERROR(($E329&gt;0)*($E329 &lt;=End_of_period) * ($G329 &gt;=Beginning_of_period) * (1-SUM($K329:CD329)) /  IFERROR((DATEDIF(Beginning_of_period,$G329,"m") + 1) / Months_in_Period,0),0)</f>
        <v>0</v>
      </c>
      <c r="CF329" s="231">
        <f xml:space="preserve"> IFERROR(($E329&gt;0)*($E329 &lt;=End_of_period) * ($G329 &gt;=Beginning_of_period) * (1-SUM($K329:CE329)) /  IFERROR((DATEDIF(Beginning_of_period,$G329,"m") + 1) / Months_in_Period,0),0)</f>
        <v>0</v>
      </c>
      <c r="CG329" s="231">
        <f xml:space="preserve"> IFERROR(($E329&gt;0)*($E329 &lt;=End_of_period) * ($G329 &gt;=Beginning_of_period) * (1-SUM($K329:CF329)) /  IFERROR((DATEDIF(Beginning_of_period,$G329,"m") + 1) / Months_in_Period,0),0)</f>
        <v>0</v>
      </c>
      <c r="CH329" s="231">
        <f xml:space="preserve"> IFERROR(($E329&gt;0)*($E329 &lt;=End_of_period) * ($G329 &gt;=Beginning_of_period) * (1-SUM($K329:CG329)) /  IFERROR((DATEDIF(Beginning_of_period,$G329,"m") + 1) / Months_in_Period,0),0)</f>
        <v>0</v>
      </c>
      <c r="CI329" s="231">
        <f xml:space="preserve"> IFERROR(($E329&gt;0)*($E329 &lt;=End_of_period) * ($G329 &gt;=Beginning_of_period) * (1-SUM($K329:CH329)) /  IFERROR((DATEDIF(Beginning_of_period,$G329,"m") + 1) / Months_in_Period,0),0)</f>
        <v>0</v>
      </c>
      <c r="CJ329" s="231">
        <f xml:space="preserve"> IFERROR(($E329&gt;0)*($E329 &lt;=End_of_period) * ($G329 &gt;=Beginning_of_period) * (1-SUM($K329:CI329)) /  IFERROR((DATEDIF(Beginning_of_period,$G329,"m") + 1) / Months_in_Period,0),0)</f>
        <v>0</v>
      </c>
      <c r="CK329" s="231">
        <f xml:space="preserve"> IFERROR(($E329&gt;0)*($E329 &lt;=End_of_period) * ($G329 &gt;=Beginning_of_period) * (1-SUM($K329:CJ329)) /  IFERROR((DATEDIF(Beginning_of_period,$G329,"m") + 1) / Months_in_Period,0),0)</f>
        <v>0</v>
      </c>
      <c r="CL329" s="231">
        <f xml:space="preserve"> IFERROR(($E329&gt;0)*($E329 &lt;=End_of_period) * ($G329 &gt;=Beginning_of_period) * (1-SUM($K329:CK329)) /  IFERROR((DATEDIF(Beginning_of_period,$G329,"m") + 1) / Months_in_Period,0),0)</f>
        <v>0</v>
      </c>
      <c r="CM329" s="231">
        <f xml:space="preserve"> IFERROR(($E329&gt;0)*($E329 &lt;=End_of_period) * ($G329 &gt;=Beginning_of_period) * (1-SUM($K329:CL329)) /  IFERROR((DATEDIF(Beginning_of_period,$G329,"m") + 1) / Months_in_Period,0),0)</f>
        <v>0</v>
      </c>
      <c r="CN329" s="231">
        <f xml:space="preserve"> IFERROR(($E329&gt;0)*($E329 &lt;=End_of_period) * ($G329 &gt;=Beginning_of_period) * (1-SUM($K329:CM329)) /  IFERROR((DATEDIF(Beginning_of_period,$G329,"m") + 1) / Months_in_Period,0),0)</f>
        <v>0</v>
      </c>
      <c r="CO329" s="231">
        <f xml:space="preserve"> IFERROR(($E329&gt;0)*($E329 &lt;=End_of_period) * ($G329 &gt;=Beginning_of_period) * (1-SUM($K329:CN329)) /  IFERROR((DATEDIF(Beginning_of_period,$G329,"m") + 1) / Months_in_Period,0),0)</f>
        <v>0</v>
      </c>
      <c r="CP329" s="10"/>
    </row>
    <row r="330" spans="1:94" ht="15" hidden="1" customHeight="1">
      <c r="A330" s="10"/>
      <c r="B330" s="3"/>
      <c r="C330" s="17" t="s">
        <v>634</v>
      </c>
      <c r="D330" s="10"/>
      <c r="E330" s="71">
        <v>45839</v>
      </c>
      <c r="F330" s="10"/>
      <c r="G330" s="479">
        <v>45930</v>
      </c>
      <c r="H330" s="149">
        <f xml:space="preserve"> IFERROR((DATEDIF(E330,G330,"m") + 1) / Months_in_Period,0)</f>
        <v>1</v>
      </c>
      <c r="I330" s="231">
        <f t="shared" ref="I330:I331" si="125">IF(SUM(L330:CO330)=0,1,SUM(L330:CO330))</f>
        <v>1</v>
      </c>
      <c r="J330" s="10"/>
      <c r="K330" s="10"/>
      <c r="L330" s="231">
        <f xml:space="preserve"> IFERROR(($E330&gt;0)*($E330 &lt;=End_of_period) * ($G330 &gt;=Beginning_of_period) * (1-SUM($K330:K330)) /  IFERROR((DATEDIF(Beginning_of_period,$G330,"m") + 1) / Months_in_Period,0),0)</f>
        <v>0</v>
      </c>
      <c r="M330" s="231">
        <f xml:space="preserve"> IFERROR(($E330&gt;0)*($E330 &lt;=End_of_period) * ($G330 &gt;=Beginning_of_period) * (1-SUM($K330:L330)) /  IFERROR((DATEDIF(Beginning_of_period,$G330,"m") + 1) / Months_in_Period,0),0)</f>
        <v>0</v>
      </c>
      <c r="N330" s="231">
        <f xml:space="preserve"> IFERROR(($E330&gt;0)*($E330 &lt;=End_of_period) * ($G330 &gt;=Beginning_of_period) * (1-SUM($K330:M330)) /  IFERROR((DATEDIF(Beginning_of_period,$G330,"m") + 1) / Months_in_Period,0),0)</f>
        <v>1</v>
      </c>
      <c r="O330" s="231">
        <f xml:space="preserve"> IFERROR(($E330&gt;0)*($E330 &lt;=End_of_period) * ($G330 &gt;=Beginning_of_period) * (1-SUM($K330:N330)) /  IFERROR((DATEDIF(Beginning_of_period,$G330,"m") + 1) / Months_in_Period,0),0)</f>
        <v>0</v>
      </c>
      <c r="P330" s="231">
        <f xml:space="preserve"> IFERROR(($E330&gt;0)*($E330 &lt;=End_of_period) * ($G330 &gt;=Beginning_of_period) * (1-SUM($K330:O330)) /  IFERROR((DATEDIF(Beginning_of_period,$G330,"m") + 1) / Months_in_Period,0),0)</f>
        <v>0</v>
      </c>
      <c r="Q330" s="231">
        <f xml:space="preserve"> IFERROR(($E330&gt;0)*($E330 &lt;=End_of_period) * ($G330 &gt;=Beginning_of_period) * (1-SUM($K330:P330)) /  IFERROR((DATEDIF(Beginning_of_period,$G330,"m") + 1) / Months_in_Period,0),0)</f>
        <v>0</v>
      </c>
      <c r="R330" s="231">
        <f xml:space="preserve"> IFERROR(($E330&gt;0)*($E330 &lt;=End_of_period) * ($G330 &gt;=Beginning_of_period) * (1-SUM($K330:Q330)) /  IFERROR((DATEDIF(Beginning_of_period,$G330,"m") + 1) / Months_in_Period,0),0)</f>
        <v>0</v>
      </c>
      <c r="S330" s="231">
        <f xml:space="preserve"> IFERROR(($E330&gt;0)*($E330 &lt;=End_of_period) * ($G330 &gt;=Beginning_of_period) * (1-SUM($K330:R330)) /  IFERROR((DATEDIF(Beginning_of_period,$G330,"m") + 1) / Months_in_Period,0),0)</f>
        <v>0</v>
      </c>
      <c r="T330" s="231">
        <f xml:space="preserve"> IFERROR(($E330&gt;0)*($E330 &lt;=End_of_period) * ($G330 &gt;=Beginning_of_period) * (1-SUM($K330:S330)) /  IFERROR((DATEDIF(Beginning_of_period,$G330,"m") + 1) / Months_in_Period,0),0)</f>
        <v>0</v>
      </c>
      <c r="U330" s="231">
        <f xml:space="preserve"> IFERROR(($E330&gt;0)*($E330 &lt;=End_of_period) * ($G330 &gt;=Beginning_of_period) * (1-SUM($K330:T330)) /  IFERROR((DATEDIF(Beginning_of_period,$G330,"m") + 1) / Months_in_Period,0),0)</f>
        <v>0</v>
      </c>
      <c r="V330" s="231">
        <f xml:space="preserve"> IFERROR(($E330&gt;0)*($E330 &lt;=End_of_period) * ($G330 &gt;=Beginning_of_period) * (1-SUM($K330:U330)) /  IFERROR((DATEDIF(Beginning_of_period,$G330,"m") + 1) / Months_in_Period,0),0)</f>
        <v>0</v>
      </c>
      <c r="W330" s="231">
        <f xml:space="preserve"> IFERROR(($E330&gt;0)*($E330 &lt;=End_of_period) * ($G330 &gt;=Beginning_of_period) * (1-SUM($K330:V330)) /  IFERROR((DATEDIF(Beginning_of_period,$G330,"m") + 1) / Months_in_Period,0),0)</f>
        <v>0</v>
      </c>
      <c r="X330" s="231">
        <f xml:space="preserve"> IFERROR(($E330&gt;0)*($E330 &lt;=End_of_period) * ($G330 &gt;=Beginning_of_period) * (1-SUM($K330:W330)) /  IFERROR((DATEDIF(Beginning_of_period,$G330,"m") + 1) / Months_in_Period,0),0)</f>
        <v>0</v>
      </c>
      <c r="Y330" s="231">
        <f xml:space="preserve"> IFERROR(($E330&gt;0)*($E330 &lt;=End_of_period) * ($G330 &gt;=Beginning_of_period) * (1-SUM($K330:X330)) /  IFERROR((DATEDIF(Beginning_of_period,$G330,"m") + 1) / Months_in_Period,0),0)</f>
        <v>0</v>
      </c>
      <c r="Z330" s="231">
        <f xml:space="preserve"> IFERROR(($E330&gt;0)*($E330 &lt;=End_of_period) * ($G330 &gt;=Beginning_of_period) * (1-SUM($K330:Y330)) /  IFERROR((DATEDIF(Beginning_of_period,$G330,"m") + 1) / Months_in_Period,0),0)</f>
        <v>0</v>
      </c>
      <c r="AA330" s="231">
        <f xml:space="preserve"> IFERROR(($E330&gt;0)*($E330 &lt;=End_of_period) * ($G330 &gt;=Beginning_of_period) * (1-SUM($K330:Z330)) /  IFERROR((DATEDIF(Beginning_of_period,$G330,"m") + 1) / Months_in_Period,0),0)</f>
        <v>0</v>
      </c>
      <c r="AB330" s="231">
        <f xml:space="preserve"> IFERROR(($E330&gt;0)*($E330 &lt;=End_of_period) * ($G330 &gt;=Beginning_of_period) * (1-SUM($K330:AA330)) /  IFERROR((DATEDIF(Beginning_of_period,$G330,"m") + 1) / Months_in_Period,0),0)</f>
        <v>0</v>
      </c>
      <c r="AC330" s="231">
        <f xml:space="preserve"> IFERROR(($E330&gt;0)*($E330 &lt;=End_of_period) * ($G330 &gt;=Beginning_of_period) * (1-SUM($K330:AB330)) /  IFERROR((DATEDIF(Beginning_of_period,$G330,"m") + 1) / Months_in_Period,0),0)</f>
        <v>0</v>
      </c>
      <c r="AD330" s="231">
        <f xml:space="preserve"> IFERROR(($E330&gt;0)*($E330 &lt;=End_of_period) * ($G330 &gt;=Beginning_of_period) * (1-SUM($K330:AC330)) /  IFERROR((DATEDIF(Beginning_of_period,$G330,"m") + 1) / Months_in_Period,0),0)</f>
        <v>0</v>
      </c>
      <c r="AE330" s="231">
        <f xml:space="preserve"> IFERROR(($E330&gt;0)*($E330 &lt;=End_of_period) * ($G330 &gt;=Beginning_of_period) * (1-SUM($K330:AD330)) /  IFERROR((DATEDIF(Beginning_of_period,$G330,"m") + 1) / Months_in_Period,0),0)</f>
        <v>0</v>
      </c>
      <c r="AF330" s="231">
        <f xml:space="preserve"> IFERROR(($E330&gt;0)*($E330 &lt;=End_of_period) * ($G330 &gt;=Beginning_of_period) * (1-SUM($K330:AE330)) /  IFERROR((DATEDIF(Beginning_of_period,$G330,"m") + 1) / Months_in_Period,0),0)</f>
        <v>0</v>
      </c>
      <c r="AG330" s="231">
        <f xml:space="preserve"> IFERROR(($E330&gt;0)*($E330 &lt;=End_of_period) * ($G330 &gt;=Beginning_of_period) * (1-SUM($K330:AF330)) /  IFERROR((DATEDIF(Beginning_of_period,$G330,"m") + 1) / Months_in_Period,0),0)</f>
        <v>0</v>
      </c>
      <c r="AH330" s="231">
        <f xml:space="preserve"> IFERROR(($E330&gt;0)*($E330 &lt;=End_of_period) * ($G330 &gt;=Beginning_of_period) * (1-SUM($K330:AG330)) /  IFERROR((DATEDIF(Beginning_of_period,$G330,"m") + 1) / Months_in_Period,0),0)</f>
        <v>0</v>
      </c>
      <c r="AI330" s="231">
        <f xml:space="preserve"> IFERROR(($E330&gt;0)*($E330 &lt;=End_of_period) * ($G330 &gt;=Beginning_of_period) * (1-SUM($K330:AH330)) /  IFERROR((DATEDIF(Beginning_of_period,$G330,"m") + 1) / Months_in_Period,0),0)</f>
        <v>0</v>
      </c>
      <c r="AJ330" s="231">
        <f xml:space="preserve"> IFERROR(($E330&gt;0)*($E330 &lt;=End_of_period) * ($G330 &gt;=Beginning_of_period) * (1-SUM($K330:AI330)) /  IFERROR((DATEDIF(Beginning_of_period,$G330,"m") + 1) / Months_in_Period,0),0)</f>
        <v>0</v>
      </c>
      <c r="AK330" s="231">
        <f xml:space="preserve"> IFERROR(($E330&gt;0)*($E330 &lt;=End_of_period) * ($G330 &gt;=Beginning_of_period) * (1-SUM($K330:AJ330)) /  IFERROR((DATEDIF(Beginning_of_period,$G330,"m") + 1) / Months_in_Period,0),0)</f>
        <v>0</v>
      </c>
      <c r="AL330" s="231">
        <f xml:space="preserve"> IFERROR(($E330&gt;0)*($E330 &lt;=End_of_period) * ($G330 &gt;=Beginning_of_period) * (1-SUM($K330:AK330)) /  IFERROR((DATEDIF(Beginning_of_period,$G330,"m") + 1) / Months_in_Period,0),0)</f>
        <v>0</v>
      </c>
      <c r="AM330" s="231">
        <f xml:space="preserve"> IFERROR(($E330&gt;0)*($E330 &lt;=End_of_period) * ($G330 &gt;=Beginning_of_period) * (1-SUM($K330:AL330)) /  IFERROR((DATEDIF(Beginning_of_period,$G330,"m") + 1) / Months_in_Period,0),0)</f>
        <v>0</v>
      </c>
      <c r="AN330" s="231">
        <f xml:space="preserve"> IFERROR(($E330&gt;0)*($E330 &lt;=End_of_period) * ($G330 &gt;=Beginning_of_period) * (1-SUM($K330:AM330)) /  IFERROR((DATEDIF(Beginning_of_period,$G330,"m") + 1) / Months_in_Period,0),0)</f>
        <v>0</v>
      </c>
      <c r="AO330" s="231">
        <f xml:space="preserve"> IFERROR(($E330&gt;0)*($E330 &lt;=End_of_period) * ($G330 &gt;=Beginning_of_period) * (1-SUM($K330:AN330)) /  IFERROR((DATEDIF(Beginning_of_period,$G330,"m") + 1) / Months_in_Period,0),0)</f>
        <v>0</v>
      </c>
      <c r="AP330" s="231">
        <f xml:space="preserve"> IFERROR(($E330&gt;0)*($E330 &lt;=End_of_period) * ($G330 &gt;=Beginning_of_period) * (1-SUM($K330:AO330)) /  IFERROR((DATEDIF(Beginning_of_period,$G330,"m") + 1) / Months_in_Period,0),0)</f>
        <v>0</v>
      </c>
      <c r="AQ330" s="231">
        <f xml:space="preserve"> IFERROR(($E330&gt;0)*($E330 &lt;=End_of_period) * ($G330 &gt;=Beginning_of_period) * (1-SUM($K330:AP330)) /  IFERROR((DATEDIF(Beginning_of_period,$G330,"m") + 1) / Months_in_Period,0),0)</f>
        <v>0</v>
      </c>
      <c r="AR330" s="231">
        <f xml:space="preserve"> IFERROR(($E330&gt;0)*($E330 &lt;=End_of_period) * ($G330 &gt;=Beginning_of_period) * (1-SUM($K330:AQ330)) /  IFERROR((DATEDIF(Beginning_of_period,$G330,"m") + 1) / Months_in_Period,0),0)</f>
        <v>0</v>
      </c>
      <c r="AS330" s="231">
        <f xml:space="preserve"> IFERROR(($E330&gt;0)*($E330 &lt;=End_of_period) * ($G330 &gt;=Beginning_of_period) * (1-SUM($K330:AR330)) /  IFERROR((DATEDIF(Beginning_of_period,$G330,"m") + 1) / Months_in_Period,0),0)</f>
        <v>0</v>
      </c>
      <c r="AT330" s="231">
        <f xml:space="preserve"> IFERROR(($E330&gt;0)*($E330 &lt;=End_of_period) * ($G330 &gt;=Beginning_of_period) * (1-SUM($K330:AS330)) /  IFERROR((DATEDIF(Beginning_of_period,$G330,"m") + 1) / Months_in_Period,0),0)</f>
        <v>0</v>
      </c>
      <c r="AU330" s="231">
        <f xml:space="preserve"> IFERROR(($E330&gt;0)*($E330 &lt;=End_of_period) * ($G330 &gt;=Beginning_of_period) * (1-SUM($K330:AT330)) /  IFERROR((DATEDIF(Beginning_of_period,$G330,"m") + 1) / Months_in_Period,0),0)</f>
        <v>0</v>
      </c>
      <c r="AV330" s="231">
        <f xml:space="preserve"> IFERROR(($E330&gt;0)*($E330 &lt;=End_of_period) * ($G330 &gt;=Beginning_of_period) * (1-SUM($K330:AU330)) /  IFERROR((DATEDIF(Beginning_of_period,$G330,"m") + 1) / Months_in_Period,0),0)</f>
        <v>0</v>
      </c>
      <c r="AW330" s="231">
        <f xml:space="preserve"> IFERROR(($E330&gt;0)*($E330 &lt;=End_of_period) * ($G330 &gt;=Beginning_of_period) * (1-SUM($K330:AV330)) /  IFERROR((DATEDIF(Beginning_of_period,$G330,"m") + 1) / Months_in_Period,0),0)</f>
        <v>0</v>
      </c>
      <c r="AX330" s="231">
        <f xml:space="preserve"> IFERROR(($E330&gt;0)*($E330 &lt;=End_of_period) * ($G330 &gt;=Beginning_of_period) * (1-SUM($K330:AW330)) /  IFERROR((DATEDIF(Beginning_of_period,$G330,"m") + 1) / Months_in_Period,0),0)</f>
        <v>0</v>
      </c>
      <c r="AY330" s="231">
        <f xml:space="preserve"> IFERROR(($E330&gt;0)*($E330 &lt;=End_of_period) * ($G330 &gt;=Beginning_of_period) * (1-SUM($K330:AX330)) /  IFERROR((DATEDIF(Beginning_of_period,$G330,"m") + 1) / Months_in_Period,0),0)</f>
        <v>0</v>
      </c>
      <c r="AZ330" s="231">
        <f xml:space="preserve"> IFERROR(($E330&gt;0)*($E330 &lt;=End_of_period) * ($G330 &gt;=Beginning_of_period) * (1-SUM($K330:AY330)) /  IFERROR((DATEDIF(Beginning_of_period,$G330,"m") + 1) / Months_in_Period,0),0)</f>
        <v>0</v>
      </c>
      <c r="BA330" s="231">
        <f xml:space="preserve"> IFERROR(($E330&gt;0)*($E330 &lt;=End_of_period) * ($G330 &gt;=Beginning_of_period) * (1-SUM($K330:AZ330)) /  IFERROR((DATEDIF(Beginning_of_period,$G330,"m") + 1) / Months_in_Period,0),0)</f>
        <v>0</v>
      </c>
      <c r="BB330" s="231">
        <f xml:space="preserve"> IFERROR(($E330&gt;0)*($E330 &lt;=End_of_period) * ($G330 &gt;=Beginning_of_period) * (1-SUM($K330:BA330)) /  IFERROR((DATEDIF(Beginning_of_period,$G330,"m") + 1) / Months_in_Period,0),0)</f>
        <v>0</v>
      </c>
      <c r="BC330" s="231">
        <f xml:space="preserve"> IFERROR(($E330&gt;0)*($E330 &lt;=End_of_period) * ($G330 &gt;=Beginning_of_period) * (1-SUM($K330:BB330)) /  IFERROR((DATEDIF(Beginning_of_period,$G330,"m") + 1) / Months_in_Period,0),0)</f>
        <v>0</v>
      </c>
      <c r="BD330" s="231">
        <f xml:space="preserve"> IFERROR(($E330&gt;0)*($E330 &lt;=End_of_period) * ($G330 &gt;=Beginning_of_period) * (1-SUM($K330:BC330)) /  IFERROR((DATEDIF(Beginning_of_period,$G330,"m") + 1) / Months_in_Period,0),0)</f>
        <v>0</v>
      </c>
      <c r="BE330" s="231">
        <f xml:space="preserve"> IFERROR(($E330&gt;0)*($E330 &lt;=End_of_period) * ($G330 &gt;=Beginning_of_period) * (1-SUM($K330:BD330)) /  IFERROR((DATEDIF(Beginning_of_period,$G330,"m") + 1) / Months_in_Period,0),0)</f>
        <v>0</v>
      </c>
      <c r="BF330" s="231">
        <f xml:space="preserve"> IFERROR(($E330&gt;0)*($E330 &lt;=End_of_period) * ($G330 &gt;=Beginning_of_period) * (1-SUM($K330:BE330)) /  IFERROR((DATEDIF(Beginning_of_period,$G330,"m") + 1) / Months_in_Period,0),0)</f>
        <v>0</v>
      </c>
      <c r="BG330" s="231">
        <f xml:space="preserve"> IFERROR(($E330&gt;0)*($E330 &lt;=End_of_period) * ($G330 &gt;=Beginning_of_period) * (1-SUM($K330:BF330)) /  IFERROR((DATEDIF(Beginning_of_period,$G330,"m") + 1) / Months_in_Period,0),0)</f>
        <v>0</v>
      </c>
      <c r="BH330" s="231">
        <f xml:space="preserve"> IFERROR(($E330&gt;0)*($E330 &lt;=End_of_period) * ($G330 &gt;=Beginning_of_period) * (1-SUM($K330:BG330)) /  IFERROR((DATEDIF(Beginning_of_period,$G330,"m") + 1) / Months_in_Period,0),0)</f>
        <v>0</v>
      </c>
      <c r="BI330" s="231">
        <f xml:space="preserve"> IFERROR(($E330&gt;0)*($E330 &lt;=End_of_period) * ($G330 &gt;=Beginning_of_period) * (1-SUM($K330:BH330)) /  IFERROR((DATEDIF(Beginning_of_period,$G330,"m") + 1) / Months_in_Period,0),0)</f>
        <v>0</v>
      </c>
      <c r="BJ330" s="231">
        <f xml:space="preserve"> IFERROR(($E330&gt;0)*($E330 &lt;=End_of_period) * ($G330 &gt;=Beginning_of_period) * (1-SUM($K330:BI330)) /  IFERROR((DATEDIF(Beginning_of_period,$G330,"m") + 1) / Months_in_Period,0),0)</f>
        <v>0</v>
      </c>
      <c r="BK330" s="231">
        <f xml:space="preserve"> IFERROR(($E330&gt;0)*($E330 &lt;=End_of_period) * ($G330 &gt;=Beginning_of_period) * (1-SUM($K330:BJ330)) /  IFERROR((DATEDIF(Beginning_of_period,$G330,"m") + 1) / Months_in_Period,0),0)</f>
        <v>0</v>
      </c>
      <c r="BL330" s="231">
        <f xml:space="preserve"> IFERROR(($E330&gt;0)*($E330 &lt;=End_of_period) * ($G330 &gt;=Beginning_of_period) * (1-SUM($K330:BK330)) /  IFERROR((DATEDIF(Beginning_of_period,$G330,"m") + 1) / Months_in_Period,0),0)</f>
        <v>0</v>
      </c>
      <c r="BM330" s="231">
        <f xml:space="preserve"> IFERROR(($E330&gt;0)*($E330 &lt;=End_of_period) * ($G330 &gt;=Beginning_of_period) * (1-SUM($K330:BL330)) /  IFERROR((DATEDIF(Beginning_of_period,$G330,"m") + 1) / Months_in_Period,0),0)</f>
        <v>0</v>
      </c>
      <c r="BN330" s="231">
        <f xml:space="preserve"> IFERROR(($E330&gt;0)*($E330 &lt;=End_of_period) * ($G330 &gt;=Beginning_of_period) * (1-SUM($K330:BM330)) /  IFERROR((DATEDIF(Beginning_of_period,$G330,"m") + 1) / Months_in_Period,0),0)</f>
        <v>0</v>
      </c>
      <c r="BO330" s="231">
        <f xml:space="preserve"> IFERROR(($E330&gt;0)*($E330 &lt;=End_of_period) * ($G330 &gt;=Beginning_of_period) * (1-SUM($K330:BN330)) /  IFERROR((DATEDIF(Beginning_of_period,$G330,"m") + 1) / Months_in_Period,0),0)</f>
        <v>0</v>
      </c>
      <c r="BP330" s="231">
        <f xml:space="preserve"> IFERROR(($E330&gt;0)*($E330 &lt;=End_of_period) * ($G330 &gt;=Beginning_of_period) * (1-SUM($K330:BO330)) /  IFERROR((DATEDIF(Beginning_of_period,$G330,"m") + 1) / Months_in_Period,0),0)</f>
        <v>0</v>
      </c>
      <c r="BQ330" s="231">
        <f xml:space="preserve"> IFERROR(($E330&gt;0)*($E330 &lt;=End_of_period) * ($G330 &gt;=Beginning_of_period) * (1-SUM($K330:BP330)) /  IFERROR((DATEDIF(Beginning_of_period,$G330,"m") + 1) / Months_in_Period,0),0)</f>
        <v>0</v>
      </c>
      <c r="BR330" s="231">
        <f xml:space="preserve"> IFERROR(($E330&gt;0)*($E330 &lt;=End_of_period) * ($G330 &gt;=Beginning_of_period) * (1-SUM($K330:BQ330)) /  IFERROR((DATEDIF(Beginning_of_period,$G330,"m") + 1) / Months_in_Period,0),0)</f>
        <v>0</v>
      </c>
      <c r="BS330" s="231">
        <f xml:space="preserve"> IFERROR(($E330&gt;0)*($E330 &lt;=End_of_period) * ($G330 &gt;=Beginning_of_period) * (1-SUM($K330:BR330)) /  IFERROR((DATEDIF(Beginning_of_period,$G330,"m") + 1) / Months_in_Period,0),0)</f>
        <v>0</v>
      </c>
      <c r="BT330" s="231">
        <f xml:space="preserve"> IFERROR(($E330&gt;0)*($E330 &lt;=End_of_period) * ($G330 &gt;=Beginning_of_period) * (1-SUM($K330:BS330)) /  IFERROR((DATEDIF(Beginning_of_period,$G330,"m") + 1) / Months_in_Period,0),0)</f>
        <v>0</v>
      </c>
      <c r="BU330" s="231">
        <f xml:space="preserve"> IFERROR(($E330&gt;0)*($E330 &lt;=End_of_period) * ($G330 &gt;=Beginning_of_period) * (1-SUM($K330:BT330)) /  IFERROR((DATEDIF(Beginning_of_period,$G330,"m") + 1) / Months_in_Period,0),0)</f>
        <v>0</v>
      </c>
      <c r="BV330" s="231">
        <f xml:space="preserve"> IFERROR(($E330&gt;0)*($E330 &lt;=End_of_period) * ($G330 &gt;=Beginning_of_period) * (1-SUM($K330:BU330)) /  IFERROR((DATEDIF(Beginning_of_period,$G330,"m") + 1) / Months_in_Period,0),0)</f>
        <v>0</v>
      </c>
      <c r="BW330" s="231">
        <f xml:space="preserve"> IFERROR(($E330&gt;0)*($E330 &lt;=End_of_period) * ($G330 &gt;=Beginning_of_period) * (1-SUM($K330:BV330)) /  IFERROR((DATEDIF(Beginning_of_period,$G330,"m") + 1) / Months_in_Period,0),0)</f>
        <v>0</v>
      </c>
      <c r="BX330" s="231">
        <f xml:space="preserve"> IFERROR(($E330&gt;0)*($E330 &lt;=End_of_period) * ($G330 &gt;=Beginning_of_period) * (1-SUM($K330:BW330)) /  IFERROR((DATEDIF(Beginning_of_period,$G330,"m") + 1) / Months_in_Period,0),0)</f>
        <v>0</v>
      </c>
      <c r="BY330" s="231">
        <f xml:space="preserve"> IFERROR(($E330&gt;0)*($E330 &lt;=End_of_period) * ($G330 &gt;=Beginning_of_period) * (1-SUM($K330:BX330)) /  IFERROR((DATEDIF(Beginning_of_period,$G330,"m") + 1) / Months_in_Period,0),0)</f>
        <v>0</v>
      </c>
      <c r="BZ330" s="231">
        <f xml:space="preserve"> IFERROR(($E330&gt;0)*($E330 &lt;=End_of_period) * ($G330 &gt;=Beginning_of_period) * (1-SUM($K330:BY330)) /  IFERROR((DATEDIF(Beginning_of_period,$G330,"m") + 1) / Months_in_Period,0),0)</f>
        <v>0</v>
      </c>
      <c r="CA330" s="231">
        <f xml:space="preserve"> IFERROR(($E330&gt;0)*($E330 &lt;=End_of_period) * ($G330 &gt;=Beginning_of_period) * (1-SUM($K330:BZ330)) /  IFERROR((DATEDIF(Beginning_of_period,$G330,"m") + 1) / Months_in_Period,0),0)</f>
        <v>0</v>
      </c>
      <c r="CB330" s="231">
        <f xml:space="preserve"> IFERROR(($E330&gt;0)*($E330 &lt;=End_of_period) * ($G330 &gt;=Beginning_of_period) * (1-SUM($K330:CA330)) /  IFERROR((DATEDIF(Beginning_of_period,$G330,"m") + 1) / Months_in_Period,0),0)</f>
        <v>0</v>
      </c>
      <c r="CC330" s="231">
        <f xml:space="preserve"> IFERROR(($E330&gt;0)*($E330 &lt;=End_of_period) * ($G330 &gt;=Beginning_of_period) * (1-SUM($K330:CB330)) /  IFERROR((DATEDIF(Beginning_of_period,$G330,"m") + 1) / Months_in_Period,0),0)</f>
        <v>0</v>
      </c>
      <c r="CD330" s="231">
        <f xml:space="preserve"> IFERROR(($E330&gt;0)*($E330 &lt;=End_of_period) * ($G330 &gt;=Beginning_of_period) * (1-SUM($K330:CC330)) /  IFERROR((DATEDIF(Beginning_of_period,$G330,"m") + 1) / Months_in_Period,0),0)</f>
        <v>0</v>
      </c>
      <c r="CE330" s="231">
        <f xml:space="preserve"> IFERROR(($E330&gt;0)*($E330 &lt;=End_of_period) * ($G330 &gt;=Beginning_of_period) * (1-SUM($K330:CD330)) /  IFERROR((DATEDIF(Beginning_of_period,$G330,"m") + 1) / Months_in_Period,0),0)</f>
        <v>0</v>
      </c>
      <c r="CF330" s="231">
        <f xml:space="preserve"> IFERROR(($E330&gt;0)*($E330 &lt;=End_of_period) * ($G330 &gt;=Beginning_of_period) * (1-SUM($K330:CE330)) /  IFERROR((DATEDIF(Beginning_of_period,$G330,"m") + 1) / Months_in_Period,0),0)</f>
        <v>0</v>
      </c>
      <c r="CG330" s="231">
        <f xml:space="preserve"> IFERROR(($E330&gt;0)*($E330 &lt;=End_of_period) * ($G330 &gt;=Beginning_of_period) * (1-SUM($K330:CF330)) /  IFERROR((DATEDIF(Beginning_of_period,$G330,"m") + 1) / Months_in_Period,0),0)</f>
        <v>0</v>
      </c>
      <c r="CH330" s="231">
        <f xml:space="preserve"> IFERROR(($E330&gt;0)*($E330 &lt;=End_of_period) * ($G330 &gt;=Beginning_of_period) * (1-SUM($K330:CG330)) /  IFERROR((DATEDIF(Beginning_of_period,$G330,"m") + 1) / Months_in_Period,0),0)</f>
        <v>0</v>
      </c>
      <c r="CI330" s="231">
        <f xml:space="preserve"> IFERROR(($E330&gt;0)*($E330 &lt;=End_of_period) * ($G330 &gt;=Beginning_of_period) * (1-SUM($K330:CH330)) /  IFERROR((DATEDIF(Beginning_of_period,$G330,"m") + 1) / Months_in_Period,0),0)</f>
        <v>0</v>
      </c>
      <c r="CJ330" s="231">
        <f xml:space="preserve"> IFERROR(($E330&gt;0)*($E330 &lt;=End_of_period) * ($G330 &gt;=Beginning_of_period) * (1-SUM($K330:CI330)) /  IFERROR((DATEDIF(Beginning_of_period,$G330,"m") + 1) / Months_in_Period,0),0)</f>
        <v>0</v>
      </c>
      <c r="CK330" s="231">
        <f xml:space="preserve"> IFERROR(($E330&gt;0)*($E330 &lt;=End_of_period) * ($G330 &gt;=Beginning_of_period) * (1-SUM($K330:CJ330)) /  IFERROR((DATEDIF(Beginning_of_period,$G330,"m") + 1) / Months_in_Period,0),0)</f>
        <v>0</v>
      </c>
      <c r="CL330" s="231">
        <f xml:space="preserve"> IFERROR(($E330&gt;0)*($E330 &lt;=End_of_period) * ($G330 &gt;=Beginning_of_period) * (1-SUM($K330:CK330)) /  IFERROR((DATEDIF(Beginning_of_period,$G330,"m") + 1) / Months_in_Period,0),0)</f>
        <v>0</v>
      </c>
      <c r="CM330" s="231">
        <f xml:space="preserve"> IFERROR(($E330&gt;0)*($E330 &lt;=End_of_period) * ($G330 &gt;=Beginning_of_period) * (1-SUM($K330:CL330)) /  IFERROR((DATEDIF(Beginning_of_period,$G330,"m") + 1) / Months_in_Period,0),0)</f>
        <v>0</v>
      </c>
      <c r="CN330" s="231">
        <f xml:space="preserve"> IFERROR(($E330&gt;0)*($E330 &lt;=End_of_period) * ($G330 &gt;=Beginning_of_period) * (1-SUM($K330:CM330)) /  IFERROR((DATEDIF(Beginning_of_period,$G330,"m") + 1) / Months_in_Period,0),0)</f>
        <v>0</v>
      </c>
      <c r="CO330" s="231">
        <f xml:space="preserve"> IFERROR(($E330&gt;0)*($E330 &lt;=End_of_period) * ($G330 &gt;=Beginning_of_period) * (1-SUM($K330:CN330)) /  IFERROR((DATEDIF(Beginning_of_period,$G330,"m") + 1) / Months_in_Period,0),0)</f>
        <v>0</v>
      </c>
      <c r="CP330" s="10"/>
    </row>
    <row r="331" spans="1:94" ht="15" hidden="1" customHeight="1">
      <c r="A331" s="10"/>
      <c r="B331" s="3"/>
      <c r="C331" s="17" t="s">
        <v>848</v>
      </c>
      <c r="D331" s="10"/>
      <c r="E331" s="71">
        <v>46023</v>
      </c>
      <c r="F331" s="10"/>
      <c r="G331" s="479">
        <v>47118</v>
      </c>
      <c r="H331" s="149">
        <f xml:space="preserve"> IFERROR((DATEDIF(E331,G331,"m") + 1) / Months_in_Period,0)</f>
        <v>12</v>
      </c>
      <c r="I331" s="231">
        <f t="shared" si="125"/>
        <v>1</v>
      </c>
      <c r="J331" s="10"/>
      <c r="K331" s="10"/>
      <c r="L331" s="231">
        <f xml:space="preserve"> IFERROR(($E331&gt;0)*($E331 &lt;=End_of_period) * ($G331 &gt;=Beginning_of_period) * (1-SUM($K331:K331)) /  IFERROR((DATEDIF(Beginning_of_period,$G331,"m") + 1) / Months_in_Period,0),0)</f>
        <v>0</v>
      </c>
      <c r="M331" s="231">
        <f xml:space="preserve"> IFERROR(($E331&gt;0)*($E331 &lt;=End_of_period) * ($G331 &gt;=Beginning_of_period) * (1-SUM($K331:L331)) /  IFERROR((DATEDIF(Beginning_of_period,$G331,"m") + 1) / Months_in_Period,0),0)</f>
        <v>0</v>
      </c>
      <c r="N331" s="231">
        <f xml:space="preserve"> IFERROR(($E331&gt;0)*($E331 &lt;=End_of_period) * ($G331 &gt;=Beginning_of_period) * (1-SUM($K331:M331)) /  IFERROR((DATEDIF(Beginning_of_period,$G331,"m") + 1) / Months_in_Period,0),0)</f>
        <v>0</v>
      </c>
      <c r="O331" s="231">
        <f xml:space="preserve"> IFERROR(($E331&gt;0)*($E331 &lt;=End_of_period) * ($G331 &gt;=Beginning_of_period) * (1-SUM($K331:N331)) /  IFERROR((DATEDIF(Beginning_of_period,$G331,"m") + 1) / Months_in_Period,0),0)</f>
        <v>0</v>
      </c>
      <c r="P331" s="231">
        <f xml:space="preserve"> IFERROR(($E331&gt;0)*($E331 &lt;=End_of_period) * ($G331 &gt;=Beginning_of_period) * (1-SUM($K331:O331)) /  IFERROR((DATEDIF(Beginning_of_period,$G331,"m") + 1) / Months_in_Period,0),0)</f>
        <v>8.3333333333333329E-2</v>
      </c>
      <c r="Q331" s="231">
        <f xml:space="preserve"> IFERROR(($E331&gt;0)*($E331 &lt;=End_of_period) * ($G331 &gt;=Beginning_of_period) * (1-SUM($K331:P331)) /  IFERROR((DATEDIF(Beginning_of_period,$G331,"m") + 1) / Months_in_Period,0),0)</f>
        <v>8.3333333333333329E-2</v>
      </c>
      <c r="R331" s="231">
        <f xml:space="preserve"> IFERROR(($E331&gt;0)*($E331 &lt;=End_of_period) * ($G331 &gt;=Beginning_of_period) * (1-SUM($K331:Q331)) /  IFERROR((DATEDIF(Beginning_of_period,$G331,"m") + 1) / Months_in_Period,0),0)</f>
        <v>8.3333333333333343E-2</v>
      </c>
      <c r="S331" s="231">
        <f xml:space="preserve"> IFERROR(($E331&gt;0)*($E331 &lt;=End_of_period) * ($G331 &gt;=Beginning_of_period) * (1-SUM($K331:R331)) /  IFERROR((DATEDIF(Beginning_of_period,$G331,"m") + 1) / Months_in_Period,0),0)</f>
        <v>8.3333333333333329E-2</v>
      </c>
      <c r="T331" s="231">
        <f xml:space="preserve"> IFERROR(($E331&gt;0)*($E331 &lt;=End_of_period) * ($G331 &gt;=Beginning_of_period) * (1-SUM($K331:S331)) /  IFERROR((DATEDIF(Beginning_of_period,$G331,"m") + 1) / Months_in_Period,0),0)</f>
        <v>8.3333333333333343E-2</v>
      </c>
      <c r="U331" s="231">
        <f xml:space="preserve"> IFERROR(($E331&gt;0)*($E331 &lt;=End_of_period) * ($G331 &gt;=Beginning_of_period) * (1-SUM($K331:T331)) /  IFERROR((DATEDIF(Beginning_of_period,$G331,"m") + 1) / Months_in_Period,0),0)</f>
        <v>8.3333333333333343E-2</v>
      </c>
      <c r="V331" s="231">
        <f xml:space="preserve"> IFERROR(($E331&gt;0)*($E331 &lt;=End_of_period) * ($G331 &gt;=Beginning_of_period) * (1-SUM($K331:U331)) /  IFERROR((DATEDIF(Beginning_of_period,$G331,"m") + 1) / Months_in_Period,0),0)</f>
        <v>8.3333333333333329E-2</v>
      </c>
      <c r="W331" s="231">
        <f xml:space="preserve"> IFERROR(($E331&gt;0)*($E331 &lt;=End_of_period) * ($G331 &gt;=Beginning_of_period) * (1-SUM($K331:V331)) /  IFERROR((DATEDIF(Beginning_of_period,$G331,"m") + 1) / Months_in_Period,0),0)</f>
        <v>8.3333333333333329E-2</v>
      </c>
      <c r="X331" s="231">
        <f xml:space="preserve"> IFERROR(($E331&gt;0)*($E331 &lt;=End_of_period) * ($G331 &gt;=Beginning_of_period) * (1-SUM($K331:W331)) /  IFERROR((DATEDIF(Beginning_of_period,$G331,"m") + 1) / Months_in_Period,0),0)</f>
        <v>8.3333333333333315E-2</v>
      </c>
      <c r="Y331" s="231">
        <f xml:space="preserve"> IFERROR(($E331&gt;0)*($E331 &lt;=End_of_period) * ($G331 &gt;=Beginning_of_period) * (1-SUM($K331:X331)) /  IFERROR((DATEDIF(Beginning_of_period,$G331,"m") + 1) / Months_in_Period,0),0)</f>
        <v>8.3333333333333329E-2</v>
      </c>
      <c r="Z331" s="231">
        <f xml:space="preserve"> IFERROR(($E331&gt;0)*($E331 &lt;=End_of_period) * ($G331 &gt;=Beginning_of_period) * (1-SUM($K331:Y331)) /  IFERROR((DATEDIF(Beginning_of_period,$G331,"m") + 1) / Months_in_Period,0),0)</f>
        <v>8.3333333333333315E-2</v>
      </c>
      <c r="AA331" s="231">
        <f xml:space="preserve"> IFERROR(($E331&gt;0)*($E331 &lt;=End_of_period) * ($G331 &gt;=Beginning_of_period) * (1-SUM($K331:Z331)) /  IFERROR((DATEDIF(Beginning_of_period,$G331,"m") + 1) / Months_in_Period,0),0)</f>
        <v>8.3333333333333259E-2</v>
      </c>
      <c r="AB331" s="231">
        <f xml:space="preserve"> IFERROR(($E331&gt;0)*($E331 &lt;=End_of_period) * ($G331 &gt;=Beginning_of_period) * (1-SUM($K331:AA331)) /  IFERROR((DATEDIF(Beginning_of_period,$G331,"m") + 1) / Months_in_Period,0),0)</f>
        <v>0</v>
      </c>
      <c r="AC331" s="231">
        <f xml:space="preserve"> IFERROR(($E331&gt;0)*($E331 &lt;=End_of_period) * ($G331 &gt;=Beginning_of_period) * (1-SUM($K331:AB331)) /  IFERROR((DATEDIF(Beginning_of_period,$G331,"m") + 1) / Months_in_Period,0),0)</f>
        <v>0</v>
      </c>
      <c r="AD331" s="231">
        <f xml:space="preserve"> IFERROR(($E331&gt;0)*($E331 &lt;=End_of_period) * ($G331 &gt;=Beginning_of_period) * (1-SUM($K331:AC331)) /  IFERROR((DATEDIF(Beginning_of_period,$G331,"m") + 1) / Months_in_Period,0),0)</f>
        <v>0</v>
      </c>
      <c r="AE331" s="231">
        <f xml:space="preserve"> IFERROR(($E331&gt;0)*($E331 &lt;=End_of_period) * ($G331 &gt;=Beginning_of_period) * (1-SUM($K331:AD331)) /  IFERROR((DATEDIF(Beginning_of_period,$G331,"m") + 1) / Months_in_Period,0),0)</f>
        <v>0</v>
      </c>
      <c r="AF331" s="231">
        <f xml:space="preserve"> IFERROR(($E331&gt;0)*($E331 &lt;=End_of_period) * ($G331 &gt;=Beginning_of_period) * (1-SUM($K331:AE331)) /  IFERROR((DATEDIF(Beginning_of_period,$G331,"m") + 1) / Months_in_Period,0),0)</f>
        <v>0</v>
      </c>
      <c r="AG331" s="231">
        <f xml:space="preserve"> IFERROR(($E331&gt;0)*($E331 &lt;=End_of_period) * ($G331 &gt;=Beginning_of_period) * (1-SUM($K331:AF331)) /  IFERROR((DATEDIF(Beginning_of_period,$G331,"m") + 1) / Months_in_Period,0),0)</f>
        <v>0</v>
      </c>
      <c r="AH331" s="231">
        <f xml:space="preserve"> IFERROR(($E331&gt;0)*($E331 &lt;=End_of_period) * ($G331 &gt;=Beginning_of_period) * (1-SUM($K331:AG331)) /  IFERROR((DATEDIF(Beginning_of_period,$G331,"m") + 1) / Months_in_Period,0),0)</f>
        <v>0</v>
      </c>
      <c r="AI331" s="231">
        <f xml:space="preserve"> IFERROR(($E331&gt;0)*($E331 &lt;=End_of_period) * ($G331 &gt;=Beginning_of_period) * (1-SUM($K331:AH331)) /  IFERROR((DATEDIF(Beginning_of_period,$G331,"m") + 1) / Months_in_Period,0),0)</f>
        <v>0</v>
      </c>
      <c r="AJ331" s="231">
        <f xml:space="preserve"> IFERROR(($E331&gt;0)*($E331 &lt;=End_of_period) * ($G331 &gt;=Beginning_of_period) * (1-SUM($K331:AI331)) /  IFERROR((DATEDIF(Beginning_of_period,$G331,"m") + 1) / Months_in_Period,0),0)</f>
        <v>0</v>
      </c>
      <c r="AK331" s="231">
        <f xml:space="preserve"> IFERROR(($E331&gt;0)*($E331 &lt;=End_of_period) * ($G331 &gt;=Beginning_of_period) * (1-SUM($K331:AJ331)) /  IFERROR((DATEDIF(Beginning_of_period,$G331,"m") + 1) / Months_in_Period,0),0)</f>
        <v>0</v>
      </c>
      <c r="AL331" s="231">
        <f xml:space="preserve"> IFERROR(($E331&gt;0)*($E331 &lt;=End_of_period) * ($G331 &gt;=Beginning_of_period) * (1-SUM($K331:AK331)) /  IFERROR((DATEDIF(Beginning_of_period,$G331,"m") + 1) / Months_in_Period,0),0)</f>
        <v>0</v>
      </c>
      <c r="AM331" s="231">
        <f xml:space="preserve"> IFERROR(($E331&gt;0)*($E331 &lt;=End_of_period) * ($G331 &gt;=Beginning_of_period) * (1-SUM($K331:AL331)) /  IFERROR((DATEDIF(Beginning_of_period,$G331,"m") + 1) / Months_in_Period,0),0)</f>
        <v>0</v>
      </c>
      <c r="AN331" s="231">
        <f xml:space="preserve"> IFERROR(($E331&gt;0)*($E331 &lt;=End_of_period) * ($G331 &gt;=Beginning_of_period) * (1-SUM($K331:AM331)) /  IFERROR((DATEDIF(Beginning_of_period,$G331,"m") + 1) / Months_in_Period,0),0)</f>
        <v>0</v>
      </c>
      <c r="AO331" s="231">
        <f xml:space="preserve"> IFERROR(($E331&gt;0)*($E331 &lt;=End_of_period) * ($G331 &gt;=Beginning_of_period) * (1-SUM($K331:AN331)) /  IFERROR((DATEDIF(Beginning_of_period,$G331,"m") + 1) / Months_in_Period,0),0)</f>
        <v>0</v>
      </c>
      <c r="AP331" s="231">
        <f xml:space="preserve"> IFERROR(($E331&gt;0)*($E331 &lt;=End_of_period) * ($G331 &gt;=Beginning_of_period) * (1-SUM($K331:AO331)) /  IFERROR((DATEDIF(Beginning_of_period,$G331,"m") + 1) / Months_in_Period,0),0)</f>
        <v>0</v>
      </c>
      <c r="AQ331" s="231">
        <f xml:space="preserve"> IFERROR(($E331&gt;0)*($E331 &lt;=End_of_period) * ($G331 &gt;=Beginning_of_period) * (1-SUM($K331:AP331)) /  IFERROR((DATEDIF(Beginning_of_period,$G331,"m") + 1) / Months_in_Period,0),0)</f>
        <v>0</v>
      </c>
      <c r="AR331" s="231">
        <f xml:space="preserve"> IFERROR(($E331&gt;0)*($E331 &lt;=End_of_period) * ($G331 &gt;=Beginning_of_period) * (1-SUM($K331:AQ331)) /  IFERROR((DATEDIF(Beginning_of_period,$G331,"m") + 1) / Months_in_Period,0),0)</f>
        <v>0</v>
      </c>
      <c r="AS331" s="231">
        <f xml:space="preserve"> IFERROR(($E331&gt;0)*($E331 &lt;=End_of_period) * ($G331 &gt;=Beginning_of_period) * (1-SUM($K331:AR331)) /  IFERROR((DATEDIF(Beginning_of_period,$G331,"m") + 1) / Months_in_Period,0),0)</f>
        <v>0</v>
      </c>
      <c r="AT331" s="231">
        <f xml:space="preserve"> IFERROR(($E331&gt;0)*($E331 &lt;=End_of_period) * ($G331 &gt;=Beginning_of_period) * (1-SUM($K331:AS331)) /  IFERROR((DATEDIF(Beginning_of_period,$G331,"m") + 1) / Months_in_Period,0),0)</f>
        <v>0</v>
      </c>
      <c r="AU331" s="231">
        <f xml:space="preserve"> IFERROR(($E331&gt;0)*($E331 &lt;=End_of_period) * ($G331 &gt;=Beginning_of_period) * (1-SUM($K331:AT331)) /  IFERROR((DATEDIF(Beginning_of_period,$G331,"m") + 1) / Months_in_Period,0),0)</f>
        <v>0</v>
      </c>
      <c r="AV331" s="231">
        <f xml:space="preserve"> IFERROR(($E331&gt;0)*($E331 &lt;=End_of_period) * ($G331 &gt;=Beginning_of_period) * (1-SUM($K331:AU331)) /  IFERROR((DATEDIF(Beginning_of_period,$G331,"m") + 1) / Months_in_Period,0),0)</f>
        <v>0</v>
      </c>
      <c r="AW331" s="231">
        <f xml:space="preserve"> IFERROR(($E331&gt;0)*($E331 &lt;=End_of_period) * ($G331 &gt;=Beginning_of_period) * (1-SUM($K331:AV331)) /  IFERROR((DATEDIF(Beginning_of_period,$G331,"m") + 1) / Months_in_Period,0),0)</f>
        <v>0</v>
      </c>
      <c r="AX331" s="231">
        <f xml:space="preserve"> IFERROR(($E331&gt;0)*($E331 &lt;=End_of_period) * ($G331 &gt;=Beginning_of_period) * (1-SUM($K331:AW331)) /  IFERROR((DATEDIF(Beginning_of_period,$G331,"m") + 1) / Months_in_Period,0),0)</f>
        <v>0</v>
      </c>
      <c r="AY331" s="231">
        <f xml:space="preserve"> IFERROR(($E331&gt;0)*($E331 &lt;=End_of_period) * ($G331 &gt;=Beginning_of_period) * (1-SUM($K331:AX331)) /  IFERROR((DATEDIF(Beginning_of_period,$G331,"m") + 1) / Months_in_Period,0),0)</f>
        <v>0</v>
      </c>
      <c r="AZ331" s="231">
        <f xml:space="preserve"> IFERROR(($E331&gt;0)*($E331 &lt;=End_of_period) * ($G331 &gt;=Beginning_of_period) * (1-SUM($K331:AY331)) /  IFERROR((DATEDIF(Beginning_of_period,$G331,"m") + 1) / Months_in_Period,0),0)</f>
        <v>0</v>
      </c>
      <c r="BA331" s="231">
        <f xml:space="preserve"> IFERROR(($E331&gt;0)*($E331 &lt;=End_of_period) * ($G331 &gt;=Beginning_of_period) * (1-SUM($K331:AZ331)) /  IFERROR((DATEDIF(Beginning_of_period,$G331,"m") + 1) / Months_in_Period,0),0)</f>
        <v>0</v>
      </c>
      <c r="BB331" s="231">
        <f xml:space="preserve"> IFERROR(($E331&gt;0)*($E331 &lt;=End_of_period) * ($G331 &gt;=Beginning_of_period) * (1-SUM($K331:BA331)) /  IFERROR((DATEDIF(Beginning_of_period,$G331,"m") + 1) / Months_in_Period,0),0)</f>
        <v>0</v>
      </c>
      <c r="BC331" s="231">
        <f xml:space="preserve"> IFERROR(($E331&gt;0)*($E331 &lt;=End_of_period) * ($G331 &gt;=Beginning_of_period) * (1-SUM($K331:BB331)) /  IFERROR((DATEDIF(Beginning_of_period,$G331,"m") + 1) / Months_in_Period,0),0)</f>
        <v>0</v>
      </c>
      <c r="BD331" s="231">
        <f xml:space="preserve"> IFERROR(($E331&gt;0)*($E331 &lt;=End_of_period) * ($G331 &gt;=Beginning_of_period) * (1-SUM($K331:BC331)) /  IFERROR((DATEDIF(Beginning_of_period,$G331,"m") + 1) / Months_in_Period,0),0)</f>
        <v>0</v>
      </c>
      <c r="BE331" s="231">
        <f xml:space="preserve"> IFERROR(($E331&gt;0)*($E331 &lt;=End_of_period) * ($G331 &gt;=Beginning_of_period) * (1-SUM($K331:BD331)) /  IFERROR((DATEDIF(Beginning_of_period,$G331,"m") + 1) / Months_in_Period,0),0)</f>
        <v>0</v>
      </c>
      <c r="BF331" s="231">
        <f xml:space="preserve"> IFERROR(($E331&gt;0)*($E331 &lt;=End_of_period) * ($G331 &gt;=Beginning_of_period) * (1-SUM($K331:BE331)) /  IFERROR((DATEDIF(Beginning_of_period,$G331,"m") + 1) / Months_in_Period,0),0)</f>
        <v>0</v>
      </c>
      <c r="BG331" s="231">
        <f xml:space="preserve"> IFERROR(($E331&gt;0)*($E331 &lt;=End_of_period) * ($G331 &gt;=Beginning_of_period) * (1-SUM($K331:BF331)) /  IFERROR((DATEDIF(Beginning_of_period,$G331,"m") + 1) / Months_in_Period,0),0)</f>
        <v>0</v>
      </c>
      <c r="BH331" s="231">
        <f xml:space="preserve"> IFERROR(($E331&gt;0)*($E331 &lt;=End_of_period) * ($G331 &gt;=Beginning_of_period) * (1-SUM($K331:BG331)) /  IFERROR((DATEDIF(Beginning_of_period,$G331,"m") + 1) / Months_in_Period,0),0)</f>
        <v>0</v>
      </c>
      <c r="BI331" s="231">
        <f xml:space="preserve"> IFERROR(($E331&gt;0)*($E331 &lt;=End_of_period) * ($G331 &gt;=Beginning_of_period) * (1-SUM($K331:BH331)) /  IFERROR((DATEDIF(Beginning_of_period,$G331,"m") + 1) / Months_in_Period,0),0)</f>
        <v>0</v>
      </c>
      <c r="BJ331" s="231">
        <f xml:space="preserve"> IFERROR(($E331&gt;0)*($E331 &lt;=End_of_period) * ($G331 &gt;=Beginning_of_period) * (1-SUM($K331:BI331)) /  IFERROR((DATEDIF(Beginning_of_period,$G331,"m") + 1) / Months_in_Period,0),0)</f>
        <v>0</v>
      </c>
      <c r="BK331" s="231">
        <f xml:space="preserve"> IFERROR(($E331&gt;0)*($E331 &lt;=End_of_period) * ($G331 &gt;=Beginning_of_period) * (1-SUM($K331:BJ331)) /  IFERROR((DATEDIF(Beginning_of_period,$G331,"m") + 1) / Months_in_Period,0),0)</f>
        <v>0</v>
      </c>
      <c r="BL331" s="231">
        <f xml:space="preserve"> IFERROR(($E331&gt;0)*($E331 &lt;=End_of_period) * ($G331 &gt;=Beginning_of_period) * (1-SUM($K331:BK331)) /  IFERROR((DATEDIF(Beginning_of_period,$G331,"m") + 1) / Months_in_Period,0),0)</f>
        <v>0</v>
      </c>
      <c r="BM331" s="231">
        <f xml:space="preserve"> IFERROR(($E331&gt;0)*($E331 &lt;=End_of_period) * ($G331 &gt;=Beginning_of_period) * (1-SUM($K331:BL331)) /  IFERROR((DATEDIF(Beginning_of_period,$G331,"m") + 1) / Months_in_Period,0),0)</f>
        <v>0</v>
      </c>
      <c r="BN331" s="231">
        <f xml:space="preserve"> IFERROR(($E331&gt;0)*($E331 &lt;=End_of_period) * ($G331 &gt;=Beginning_of_period) * (1-SUM($K331:BM331)) /  IFERROR((DATEDIF(Beginning_of_period,$G331,"m") + 1) / Months_in_Period,0),0)</f>
        <v>0</v>
      </c>
      <c r="BO331" s="231">
        <f xml:space="preserve"> IFERROR(($E331&gt;0)*($E331 &lt;=End_of_period) * ($G331 &gt;=Beginning_of_period) * (1-SUM($K331:BN331)) /  IFERROR((DATEDIF(Beginning_of_period,$G331,"m") + 1) / Months_in_Period,0),0)</f>
        <v>0</v>
      </c>
      <c r="BP331" s="231">
        <f xml:space="preserve"> IFERROR(($E331&gt;0)*($E331 &lt;=End_of_period) * ($G331 &gt;=Beginning_of_period) * (1-SUM($K331:BO331)) /  IFERROR((DATEDIF(Beginning_of_period,$G331,"m") + 1) / Months_in_Period,0),0)</f>
        <v>0</v>
      </c>
      <c r="BQ331" s="231">
        <f xml:space="preserve"> IFERROR(($E331&gt;0)*($E331 &lt;=End_of_period) * ($G331 &gt;=Beginning_of_period) * (1-SUM($K331:BP331)) /  IFERROR((DATEDIF(Beginning_of_period,$G331,"m") + 1) / Months_in_Period,0),0)</f>
        <v>0</v>
      </c>
      <c r="BR331" s="231">
        <f xml:space="preserve"> IFERROR(($E331&gt;0)*($E331 &lt;=End_of_period) * ($G331 &gt;=Beginning_of_period) * (1-SUM($K331:BQ331)) /  IFERROR((DATEDIF(Beginning_of_period,$G331,"m") + 1) / Months_in_Period,0),0)</f>
        <v>0</v>
      </c>
      <c r="BS331" s="231">
        <f xml:space="preserve"> IFERROR(($E331&gt;0)*($E331 &lt;=End_of_period) * ($G331 &gt;=Beginning_of_period) * (1-SUM($K331:BR331)) /  IFERROR((DATEDIF(Beginning_of_period,$G331,"m") + 1) / Months_in_Period,0),0)</f>
        <v>0</v>
      </c>
      <c r="BT331" s="231">
        <f xml:space="preserve"> IFERROR(($E331&gt;0)*($E331 &lt;=End_of_period) * ($G331 &gt;=Beginning_of_period) * (1-SUM($K331:BS331)) /  IFERROR((DATEDIF(Beginning_of_period,$G331,"m") + 1) / Months_in_Period,0),0)</f>
        <v>0</v>
      </c>
      <c r="BU331" s="231">
        <f xml:space="preserve"> IFERROR(($E331&gt;0)*($E331 &lt;=End_of_period) * ($G331 &gt;=Beginning_of_period) * (1-SUM($K331:BT331)) /  IFERROR((DATEDIF(Beginning_of_period,$G331,"m") + 1) / Months_in_Period,0),0)</f>
        <v>0</v>
      </c>
      <c r="BV331" s="231">
        <f xml:space="preserve"> IFERROR(($E331&gt;0)*($E331 &lt;=End_of_period) * ($G331 &gt;=Beginning_of_period) * (1-SUM($K331:BU331)) /  IFERROR((DATEDIF(Beginning_of_period,$G331,"m") + 1) / Months_in_Period,0),0)</f>
        <v>0</v>
      </c>
      <c r="BW331" s="231">
        <f xml:space="preserve"> IFERROR(($E331&gt;0)*($E331 &lt;=End_of_period) * ($G331 &gt;=Beginning_of_period) * (1-SUM($K331:BV331)) /  IFERROR((DATEDIF(Beginning_of_period,$G331,"m") + 1) / Months_in_Period,0),0)</f>
        <v>0</v>
      </c>
      <c r="BX331" s="231">
        <f xml:space="preserve"> IFERROR(($E331&gt;0)*($E331 &lt;=End_of_period) * ($G331 &gt;=Beginning_of_period) * (1-SUM($K331:BW331)) /  IFERROR((DATEDIF(Beginning_of_period,$G331,"m") + 1) / Months_in_Period,0),0)</f>
        <v>0</v>
      </c>
      <c r="BY331" s="231">
        <f xml:space="preserve"> IFERROR(($E331&gt;0)*($E331 &lt;=End_of_period) * ($G331 &gt;=Beginning_of_period) * (1-SUM($K331:BX331)) /  IFERROR((DATEDIF(Beginning_of_period,$G331,"m") + 1) / Months_in_Period,0),0)</f>
        <v>0</v>
      </c>
      <c r="BZ331" s="231">
        <f xml:space="preserve"> IFERROR(($E331&gt;0)*($E331 &lt;=End_of_period) * ($G331 &gt;=Beginning_of_period) * (1-SUM($K331:BY331)) /  IFERROR((DATEDIF(Beginning_of_period,$G331,"m") + 1) / Months_in_Period,0),0)</f>
        <v>0</v>
      </c>
      <c r="CA331" s="231">
        <f xml:space="preserve"> IFERROR(($E331&gt;0)*($E331 &lt;=End_of_period) * ($G331 &gt;=Beginning_of_period) * (1-SUM($K331:BZ331)) /  IFERROR((DATEDIF(Beginning_of_period,$G331,"m") + 1) / Months_in_Period,0),0)</f>
        <v>0</v>
      </c>
      <c r="CB331" s="231">
        <f xml:space="preserve"> IFERROR(($E331&gt;0)*($E331 &lt;=End_of_period) * ($G331 &gt;=Beginning_of_period) * (1-SUM($K331:CA331)) /  IFERROR((DATEDIF(Beginning_of_period,$G331,"m") + 1) / Months_in_Period,0),0)</f>
        <v>0</v>
      </c>
      <c r="CC331" s="231">
        <f xml:space="preserve"> IFERROR(($E331&gt;0)*($E331 &lt;=End_of_period) * ($G331 &gt;=Beginning_of_period) * (1-SUM($K331:CB331)) /  IFERROR((DATEDIF(Beginning_of_period,$G331,"m") + 1) / Months_in_Period,0),0)</f>
        <v>0</v>
      </c>
      <c r="CD331" s="231">
        <f xml:space="preserve"> IFERROR(($E331&gt;0)*($E331 &lt;=End_of_period) * ($G331 &gt;=Beginning_of_period) * (1-SUM($K331:CC331)) /  IFERROR((DATEDIF(Beginning_of_period,$G331,"m") + 1) / Months_in_Period,0),0)</f>
        <v>0</v>
      </c>
      <c r="CE331" s="231">
        <f xml:space="preserve"> IFERROR(($E331&gt;0)*($E331 &lt;=End_of_period) * ($G331 &gt;=Beginning_of_period) * (1-SUM($K331:CD331)) /  IFERROR((DATEDIF(Beginning_of_period,$G331,"m") + 1) / Months_in_Period,0),0)</f>
        <v>0</v>
      </c>
      <c r="CF331" s="231">
        <f xml:space="preserve"> IFERROR(($E331&gt;0)*($E331 &lt;=End_of_period) * ($G331 &gt;=Beginning_of_period) * (1-SUM($K331:CE331)) /  IFERROR((DATEDIF(Beginning_of_period,$G331,"m") + 1) / Months_in_Period,0),0)</f>
        <v>0</v>
      </c>
      <c r="CG331" s="231">
        <f xml:space="preserve"> IFERROR(($E331&gt;0)*($E331 &lt;=End_of_period) * ($G331 &gt;=Beginning_of_period) * (1-SUM($K331:CF331)) /  IFERROR((DATEDIF(Beginning_of_period,$G331,"m") + 1) / Months_in_Period,0),0)</f>
        <v>0</v>
      </c>
      <c r="CH331" s="231">
        <f xml:space="preserve"> IFERROR(($E331&gt;0)*($E331 &lt;=End_of_period) * ($G331 &gt;=Beginning_of_period) * (1-SUM($K331:CG331)) /  IFERROR((DATEDIF(Beginning_of_period,$G331,"m") + 1) / Months_in_Period,0),0)</f>
        <v>0</v>
      </c>
      <c r="CI331" s="231">
        <f xml:space="preserve"> IFERROR(($E331&gt;0)*($E331 &lt;=End_of_period) * ($G331 &gt;=Beginning_of_period) * (1-SUM($K331:CH331)) /  IFERROR((DATEDIF(Beginning_of_period,$G331,"m") + 1) / Months_in_Period,0),0)</f>
        <v>0</v>
      </c>
      <c r="CJ331" s="231">
        <f xml:space="preserve"> IFERROR(($E331&gt;0)*($E331 &lt;=End_of_period) * ($G331 &gt;=Beginning_of_period) * (1-SUM($K331:CI331)) /  IFERROR((DATEDIF(Beginning_of_period,$G331,"m") + 1) / Months_in_Period,0),0)</f>
        <v>0</v>
      </c>
      <c r="CK331" s="231">
        <f xml:space="preserve"> IFERROR(($E331&gt;0)*($E331 &lt;=End_of_period) * ($G331 &gt;=Beginning_of_period) * (1-SUM($K331:CJ331)) /  IFERROR((DATEDIF(Beginning_of_period,$G331,"m") + 1) / Months_in_Period,0),0)</f>
        <v>0</v>
      </c>
      <c r="CL331" s="231">
        <f xml:space="preserve"> IFERROR(($E331&gt;0)*($E331 &lt;=End_of_period) * ($G331 &gt;=Beginning_of_period) * (1-SUM($K331:CK331)) /  IFERROR((DATEDIF(Beginning_of_period,$G331,"m") + 1) / Months_in_Period,0),0)</f>
        <v>0</v>
      </c>
      <c r="CM331" s="231">
        <f xml:space="preserve"> IFERROR(($E331&gt;0)*($E331 &lt;=End_of_period) * ($G331 &gt;=Beginning_of_period) * (1-SUM($K331:CL331)) /  IFERROR((DATEDIF(Beginning_of_period,$G331,"m") + 1) / Months_in_Period,0),0)</f>
        <v>0</v>
      </c>
      <c r="CN331" s="231">
        <f xml:space="preserve"> IFERROR(($E331&gt;0)*($E331 &lt;=End_of_period) * ($G331 &gt;=Beginning_of_period) * (1-SUM($K331:CM331)) /  IFERROR((DATEDIF(Beginning_of_period,$G331,"m") + 1) / Months_in_Period,0),0)</f>
        <v>0</v>
      </c>
      <c r="CO331" s="231">
        <f xml:space="preserve"> IFERROR(($E331&gt;0)*($E331 &lt;=End_of_period) * ($G331 &gt;=Beginning_of_period) * (1-SUM($K331:CN331)) /  IFERROR((DATEDIF(Beginning_of_period,$G331,"m") + 1) / Months_in_Period,0),0)</f>
        <v>0</v>
      </c>
      <c r="CP331" s="10"/>
    </row>
    <row r="332" spans="1:94" ht="15" hidden="1" customHeight="1">
      <c r="A332" s="10"/>
      <c r="B332" s="3"/>
      <c r="C332" s="17"/>
      <c r="D332" s="10"/>
      <c r="E332" s="10"/>
      <c r="F332" s="10"/>
      <c r="G332" s="11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</row>
    <row r="333" spans="1:94" ht="15" hidden="1" customHeight="1">
      <c r="A333" s="10"/>
      <c r="B333" s="3"/>
      <c r="C333" s="384" t="str">
        <f xml:space="preserve"> "Сегмент 3: " &amp; C142</f>
        <v>Сегмент 3: Крытый парк развлечений</v>
      </c>
      <c r="D333" s="273"/>
      <c r="E333" s="273"/>
      <c r="F333" s="273"/>
      <c r="G333" s="274"/>
      <c r="H333" s="273"/>
      <c r="I333" s="273"/>
      <c r="J333" s="273"/>
      <c r="K333" s="273"/>
      <c r="L333" s="273"/>
      <c r="M333" s="273"/>
      <c r="N333" s="273"/>
      <c r="O333" s="273"/>
      <c r="P333" s="273"/>
      <c r="Q333" s="273"/>
      <c r="R333" s="273"/>
      <c r="S333" s="273"/>
      <c r="T333" s="273"/>
      <c r="U333" s="273"/>
      <c r="V333" s="273"/>
      <c r="W333" s="273"/>
      <c r="X333" s="273"/>
      <c r="Y333" s="273"/>
      <c r="Z333" s="273"/>
      <c r="AA333" s="273"/>
      <c r="AB333" s="273"/>
      <c r="AC333" s="273"/>
      <c r="AD333" s="273"/>
      <c r="AE333" s="273"/>
      <c r="AF333" s="273"/>
      <c r="AG333" s="273"/>
      <c r="AH333" s="273"/>
      <c r="AI333" s="273"/>
      <c r="AJ333" s="273"/>
      <c r="AK333" s="273"/>
      <c r="AL333" s="273"/>
      <c r="AM333" s="273"/>
      <c r="AN333" s="273"/>
      <c r="AO333" s="273"/>
      <c r="AP333" s="273"/>
      <c r="AQ333" s="273"/>
      <c r="AR333" s="273"/>
      <c r="AS333" s="273"/>
      <c r="AT333" s="273"/>
      <c r="AU333" s="273"/>
      <c r="AV333" s="273"/>
      <c r="AW333" s="273"/>
      <c r="AX333" s="273"/>
      <c r="AY333" s="273"/>
      <c r="AZ333" s="273"/>
      <c r="BA333" s="273"/>
      <c r="BB333" s="273"/>
      <c r="BC333" s="273"/>
      <c r="BD333" s="273"/>
      <c r="BE333" s="273"/>
      <c r="BF333" s="273"/>
      <c r="BG333" s="273"/>
      <c r="BH333" s="273"/>
      <c r="BI333" s="273"/>
      <c r="BJ333" s="273"/>
      <c r="BK333" s="273"/>
      <c r="BL333" s="273"/>
      <c r="BM333" s="273"/>
      <c r="BN333" s="273"/>
      <c r="BO333" s="273"/>
      <c r="BP333" s="273"/>
      <c r="BQ333" s="273"/>
      <c r="BR333" s="273"/>
      <c r="BS333" s="273"/>
      <c r="BT333" s="273"/>
      <c r="BU333" s="273"/>
      <c r="BV333" s="273"/>
      <c r="BW333" s="273"/>
      <c r="BX333" s="273"/>
      <c r="BY333" s="273"/>
      <c r="BZ333" s="273"/>
      <c r="CA333" s="273"/>
      <c r="CB333" s="273"/>
      <c r="CC333" s="273"/>
      <c r="CD333" s="273"/>
      <c r="CE333" s="273"/>
      <c r="CF333" s="273"/>
      <c r="CG333" s="273"/>
      <c r="CH333" s="273"/>
      <c r="CI333" s="273"/>
      <c r="CJ333" s="273"/>
      <c r="CK333" s="273"/>
      <c r="CL333" s="273"/>
      <c r="CM333" s="273"/>
      <c r="CN333" s="273"/>
      <c r="CO333" s="273"/>
      <c r="CP333" s="10"/>
    </row>
    <row r="334" spans="1:94" ht="15" hidden="1" customHeight="1">
      <c r="A334" s="10"/>
      <c r="B334" s="3"/>
      <c r="C334" s="17"/>
      <c r="D334" s="10"/>
      <c r="E334" s="10"/>
      <c r="F334" s="10"/>
      <c r="G334" s="11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</row>
    <row r="335" spans="1:94" ht="15" hidden="1" customHeight="1" thickBot="1">
      <c r="A335" s="10"/>
      <c r="B335" s="3"/>
      <c r="C335" s="12" t="str">
        <f xml:space="preserve"> "Расходы на создание " &amp; Контр_панель!C32 &amp; " (в базовых ценах, без НДС)"</f>
        <v>Расходы на создание Крытый парк развлечений (в базовых ценах, без НДС)</v>
      </c>
      <c r="D335" s="12"/>
      <c r="E335" s="12"/>
      <c r="F335" s="12"/>
      <c r="G335" s="12"/>
      <c r="H335" s="12"/>
      <c r="I335" s="12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  <c r="CG335" s="10"/>
      <c r="CH335" s="10"/>
      <c r="CI335" s="10"/>
      <c r="CJ335" s="10"/>
      <c r="CK335" s="10"/>
      <c r="CL335" s="10"/>
      <c r="CM335" s="10"/>
      <c r="CN335" s="10"/>
      <c r="CO335" s="10"/>
      <c r="CP335" s="10"/>
    </row>
    <row r="336" spans="1:94" ht="15" hidden="1" customHeight="1">
      <c r="A336" s="10"/>
      <c r="B336" s="3"/>
      <c r="C336" s="17"/>
      <c r="D336" s="10"/>
      <c r="E336" s="10"/>
      <c r="F336" s="10"/>
      <c r="G336" s="11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  <c r="CP336" s="10"/>
    </row>
    <row r="337" spans="1:94" ht="15" hidden="1" customHeight="1">
      <c r="A337" s="10"/>
      <c r="B337" s="3"/>
      <c r="C337" s="67" t="s">
        <v>850</v>
      </c>
      <c r="D337" s="10"/>
      <c r="E337" s="10"/>
      <c r="F337" s="10"/>
      <c r="G337" s="11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</row>
    <row r="338" spans="1:94" ht="15" hidden="1" customHeight="1">
      <c r="A338" s="10"/>
      <c r="B338" s="3"/>
      <c r="C338" s="17" t="s">
        <v>860</v>
      </c>
      <c r="D338" s="10"/>
      <c r="E338" s="14"/>
      <c r="F338" s="10"/>
      <c r="G338" s="11" t="s">
        <v>857</v>
      </c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  <c r="CP338" s="10"/>
    </row>
    <row r="339" spans="1:94" ht="15" hidden="1" customHeight="1">
      <c r="A339" s="10"/>
      <c r="B339" s="3"/>
      <c r="C339" s="17" t="s">
        <v>861</v>
      </c>
      <c r="D339" s="10"/>
      <c r="E339" s="225"/>
      <c r="F339" s="10"/>
      <c r="G339" s="11" t="s">
        <v>856</v>
      </c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</row>
    <row r="340" spans="1:94" ht="15" hidden="1" customHeight="1">
      <c r="A340" s="10"/>
      <c r="B340" s="3"/>
      <c r="C340" s="249" t="s">
        <v>845</v>
      </c>
      <c r="D340" s="228"/>
      <c r="E340" s="229"/>
      <c r="F340" s="228"/>
      <c r="G340" s="230" t="str">
        <f>Monetary_Unit</f>
        <v>тыс. руб.</v>
      </c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</row>
    <row r="341" spans="1:94" ht="15" hidden="1" customHeight="1">
      <c r="A341" s="10"/>
      <c r="B341" s="3"/>
      <c r="C341" s="17"/>
      <c r="D341" s="10"/>
      <c r="E341" s="10"/>
      <c r="F341" s="10"/>
      <c r="G341" s="11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</row>
    <row r="342" spans="1:94" ht="15" hidden="1" customHeight="1">
      <c r="A342" s="10"/>
      <c r="B342" s="3"/>
      <c r="C342" s="67" t="s">
        <v>837</v>
      </c>
      <c r="D342" s="10"/>
      <c r="E342" s="10"/>
      <c r="F342" s="10"/>
      <c r="G342" s="11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</row>
    <row r="343" spans="1:94" ht="15" hidden="1" customHeight="1">
      <c r="A343" s="10"/>
      <c r="B343" s="3"/>
      <c r="C343" s="17" t="s">
        <v>842</v>
      </c>
      <c r="D343" s="10"/>
      <c r="E343" s="167"/>
      <c r="F343" s="10"/>
      <c r="G343" s="11" t="s">
        <v>627</v>
      </c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</row>
    <row r="344" spans="1:94" ht="15" hidden="1" customHeight="1">
      <c r="A344" s="10"/>
      <c r="B344" s="3"/>
      <c r="C344" s="17" t="s">
        <v>849</v>
      </c>
      <c r="D344" s="10"/>
      <c r="E344" s="167">
        <v>0</v>
      </c>
      <c r="F344" s="10"/>
      <c r="G344" s="11" t="s">
        <v>627</v>
      </c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</row>
    <row r="345" spans="1:94" ht="15" hidden="1" customHeight="1">
      <c r="A345" s="10"/>
      <c r="B345" s="3"/>
      <c r="C345" s="17" t="s">
        <v>824</v>
      </c>
      <c r="D345" s="10"/>
      <c r="E345" s="167">
        <v>0</v>
      </c>
      <c r="F345" s="10"/>
      <c r="G345" s="11" t="s">
        <v>627</v>
      </c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</row>
    <row r="346" spans="1:94" ht="15" hidden="1" customHeight="1">
      <c r="A346" s="10"/>
      <c r="B346" s="3"/>
      <c r="C346" s="17"/>
      <c r="D346" s="10"/>
      <c r="E346" s="10"/>
      <c r="F346" s="10"/>
      <c r="G346" s="11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</row>
    <row r="347" spans="1:94" ht="15" hidden="1" customHeight="1">
      <c r="A347" s="10"/>
      <c r="B347" s="3"/>
      <c r="C347" s="67" t="s">
        <v>838</v>
      </c>
      <c r="D347" s="10"/>
      <c r="E347" s="10" t="str">
        <f>"текушие цены на " &amp; TEXT(Расчеты!$E$85-1,"ДД.ММ.ГГГГ")</f>
        <v>текушие цены на 31.12.2024</v>
      </c>
      <c r="F347" s="10"/>
      <c r="G347" s="11"/>
      <c r="H347" s="10" t="s">
        <v>1205</v>
      </c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</row>
    <row r="348" spans="1:94" ht="15" hidden="1" customHeight="1">
      <c r="A348" s="10"/>
      <c r="B348" s="3"/>
      <c r="C348" s="17" t="s">
        <v>632</v>
      </c>
      <c r="D348" s="10"/>
      <c r="E348" s="225">
        <f xml:space="preserve"> E340 * E343</f>
        <v>0</v>
      </c>
      <c r="F348" s="10"/>
      <c r="G348" s="11" t="str">
        <f>Monetary_Unit</f>
        <v>тыс. руб.</v>
      </c>
      <c r="H348" s="10">
        <f ca="1">E348*SUMPRODUCT(L355:CO355,CAPEX_Accumulated_From_Date)</f>
        <v>0</v>
      </c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</row>
    <row r="349" spans="1:94" ht="15" hidden="1" customHeight="1">
      <c r="A349" s="10"/>
      <c r="B349" s="3"/>
      <c r="C349" s="17" t="s">
        <v>634</v>
      </c>
      <c r="D349" s="10"/>
      <c r="E349" s="225">
        <f xml:space="preserve"> E340 * E344</f>
        <v>0</v>
      </c>
      <c r="F349" s="10"/>
      <c r="G349" s="11" t="str">
        <f>Monetary_Unit</f>
        <v>тыс. руб.</v>
      </c>
      <c r="H349" s="10">
        <f ca="1">E349*SUMPRODUCT(L356:CO356,CAPEX_Accumulated_From_Date)</f>
        <v>0</v>
      </c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</row>
    <row r="350" spans="1:94" ht="15" hidden="1" customHeight="1">
      <c r="A350" s="10"/>
      <c r="B350" s="3"/>
      <c r="C350" s="17" t="s">
        <v>848</v>
      </c>
      <c r="D350" s="10"/>
      <c r="E350" s="225">
        <f xml:space="preserve"> E340</f>
        <v>0</v>
      </c>
      <c r="F350" s="10"/>
      <c r="G350" s="11" t="str">
        <f>Monetary_Unit</f>
        <v>тыс. руб.</v>
      </c>
      <c r="H350" s="10">
        <f ca="1">E350*SUMPRODUCT(L357:CO357,CAPEX_Accumulated_From_Date)</f>
        <v>0</v>
      </c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  <c r="CP350" s="10"/>
    </row>
    <row r="351" spans="1:94" ht="15" hidden="1" customHeight="1">
      <c r="A351" s="10"/>
      <c r="B351" s="3"/>
      <c r="C351" s="17" t="s">
        <v>824</v>
      </c>
      <c r="D351" s="10"/>
      <c r="E351" s="225">
        <f xml:space="preserve"> E350 * $E345</f>
        <v>0</v>
      </c>
      <c r="F351" s="10"/>
      <c r="G351" s="11" t="str">
        <f>Monetary_Unit</f>
        <v>тыс. руб.</v>
      </c>
      <c r="H351" s="225">
        <f ca="1" xml:space="preserve"> H350 * $E345</f>
        <v>0</v>
      </c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  <c r="CP351" s="10"/>
    </row>
    <row r="352" spans="1:94" ht="15" hidden="1" customHeight="1">
      <c r="A352" s="10"/>
      <c r="B352" s="3"/>
      <c r="C352" s="249" t="s">
        <v>855</v>
      </c>
      <c r="D352" s="228"/>
      <c r="E352" s="229">
        <f>SUM(E348:E351)</f>
        <v>0</v>
      </c>
      <c r="F352" s="228"/>
      <c r="G352" s="230" t="str">
        <f>Monetary_Unit</f>
        <v>тыс. руб.</v>
      </c>
      <c r="H352" s="229">
        <f ca="1">SUM(H348:H351)</f>
        <v>0</v>
      </c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</row>
    <row r="353" spans="1:94" ht="15" hidden="1" customHeight="1">
      <c r="A353" s="10"/>
      <c r="B353" s="3"/>
      <c r="C353" s="17"/>
      <c r="D353" s="10"/>
      <c r="E353" s="10"/>
      <c r="F353" s="10"/>
      <c r="G353" s="11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</row>
    <row r="354" spans="1:94" ht="15" hidden="1" customHeight="1">
      <c r="A354" s="10"/>
      <c r="B354" s="3"/>
      <c r="C354" s="67" t="s">
        <v>852</v>
      </c>
      <c r="D354" s="10"/>
      <c r="E354" s="10" t="s">
        <v>637</v>
      </c>
      <c r="F354" s="10"/>
      <c r="G354" s="11" t="s">
        <v>638</v>
      </c>
      <c r="H354" s="62" t="s">
        <v>650</v>
      </c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</row>
    <row r="355" spans="1:94" ht="15" hidden="1" customHeight="1">
      <c r="A355" s="10"/>
      <c r="B355" s="3"/>
      <c r="C355" s="17" t="s">
        <v>632</v>
      </c>
      <c r="D355" s="10"/>
      <c r="E355" s="71"/>
      <c r="F355" s="10"/>
      <c r="G355" s="479"/>
      <c r="H355" s="149">
        <f xml:space="preserve"> IFERROR((DATEDIF(E355,G355,"m") + 1) / Months_in_Period,0)</f>
        <v>0.33333333333333331</v>
      </c>
      <c r="I355" s="231">
        <f>IF(SUM(L355:CO355)=0,1,SUM(L355:CO355))</f>
        <v>1</v>
      </c>
      <c r="J355" s="10"/>
      <c r="K355" s="10"/>
      <c r="L355" s="231">
        <f xml:space="preserve"> IFERROR(($E355&gt;0)*($E355 &lt;=End_of_period) * ($G355 &gt;=Beginning_of_period) * (1-SUM($K355:K355)) /  IFERROR((DATEDIF(Beginning_of_period,$G355,"m") + 1) / Months_in_Period,0),0)</f>
        <v>0</v>
      </c>
      <c r="M355" s="231">
        <f xml:space="preserve"> IFERROR(($E355&gt;0)*($E355 &lt;=End_of_period) * ($G355 &gt;=Beginning_of_period) * (1-SUM($K355:L355)) /  IFERROR((DATEDIF(Beginning_of_period,$G355,"m") + 1) / Months_in_Period,0),0)</f>
        <v>0</v>
      </c>
      <c r="N355" s="231">
        <f xml:space="preserve"> IFERROR(($E355&gt;0)*($E355 &lt;=End_of_period) * ($G355 &gt;=Beginning_of_period) * (1-SUM($K355:M355)) /  IFERROR((DATEDIF(Beginning_of_period,$G355,"m") + 1) / Months_in_Period,0),0)</f>
        <v>0</v>
      </c>
      <c r="O355" s="231">
        <f xml:space="preserve"> IFERROR(($E355&gt;0)*($E355 &lt;=End_of_period) * ($G355 &gt;=Beginning_of_period) * (1-SUM($K355:N355)) /  IFERROR((DATEDIF(Beginning_of_period,$G355,"m") + 1) / Months_in_Period,0),0)</f>
        <v>0</v>
      </c>
      <c r="P355" s="231">
        <f xml:space="preserve"> IFERROR(($E355&gt;0)*($E355 &lt;=End_of_period) * ($G355 &gt;=Beginning_of_period) * (1-SUM($K355:O355)) /  IFERROR((DATEDIF(Beginning_of_period,$G355,"m") + 1) / Months_in_Period,0),0)</f>
        <v>0</v>
      </c>
      <c r="Q355" s="231">
        <f xml:space="preserve"> IFERROR(($E355&gt;0)*($E355 &lt;=End_of_period) * ($G355 &gt;=Beginning_of_period) * (1-SUM($K355:P355)) /  IFERROR((DATEDIF(Beginning_of_period,$G355,"m") + 1) / Months_in_Period,0),0)</f>
        <v>0</v>
      </c>
      <c r="R355" s="231">
        <f xml:space="preserve"> IFERROR(($E355&gt;0)*($E355 &lt;=End_of_period) * ($G355 &gt;=Beginning_of_period) * (1-SUM($K355:Q355)) /  IFERROR((DATEDIF(Beginning_of_period,$G355,"m") + 1) / Months_in_Period,0),0)</f>
        <v>0</v>
      </c>
      <c r="S355" s="231">
        <f xml:space="preserve"> IFERROR(($E355&gt;0)*($E355 &lt;=End_of_period) * ($G355 &gt;=Beginning_of_period) * (1-SUM($K355:R355)) /  IFERROR((DATEDIF(Beginning_of_period,$G355,"m") + 1) / Months_in_Period,0),0)</f>
        <v>0</v>
      </c>
      <c r="T355" s="231">
        <f xml:space="preserve"> IFERROR(($E355&gt;0)*($E355 &lt;=End_of_period) * ($G355 &gt;=Beginning_of_period) * (1-SUM($K355:S355)) /  IFERROR((DATEDIF(Beginning_of_period,$G355,"m") + 1) / Months_in_Period,0),0)</f>
        <v>0</v>
      </c>
      <c r="U355" s="231">
        <f xml:space="preserve"> IFERROR(($E355&gt;0)*($E355 &lt;=End_of_period) * ($G355 &gt;=Beginning_of_period) * (1-SUM($K355:T355)) /  IFERROR((DATEDIF(Beginning_of_period,$G355,"m") + 1) / Months_in_Period,0),0)</f>
        <v>0</v>
      </c>
      <c r="V355" s="231">
        <f xml:space="preserve"> IFERROR(($E355&gt;0)*($E355 &lt;=End_of_period) * ($G355 &gt;=Beginning_of_period) * (1-SUM($K355:U355)) /  IFERROR((DATEDIF(Beginning_of_period,$G355,"m") + 1) / Months_in_Period,0),0)</f>
        <v>0</v>
      </c>
      <c r="W355" s="231">
        <f xml:space="preserve"> IFERROR(($E355&gt;0)*($E355 &lt;=End_of_period) * ($G355 &gt;=Beginning_of_period) * (1-SUM($K355:V355)) /  IFERROR((DATEDIF(Beginning_of_period,$G355,"m") + 1) / Months_in_Period,0),0)</f>
        <v>0</v>
      </c>
      <c r="X355" s="231">
        <f xml:space="preserve"> IFERROR(($E355&gt;0)*($E355 &lt;=End_of_period) * ($G355 &gt;=Beginning_of_period) * (1-SUM($K355:W355)) /  IFERROR((DATEDIF(Beginning_of_period,$G355,"m") + 1) / Months_in_Period,0),0)</f>
        <v>0</v>
      </c>
      <c r="Y355" s="231">
        <f xml:space="preserve"> IFERROR(($E355&gt;0)*($E355 &lt;=End_of_period) * ($G355 &gt;=Beginning_of_period) * (1-SUM($K355:X355)) /  IFERROR((DATEDIF(Beginning_of_period,$G355,"m") + 1) / Months_in_Period,0),0)</f>
        <v>0</v>
      </c>
      <c r="Z355" s="231">
        <f xml:space="preserve"> IFERROR(($E355&gt;0)*($E355 &lt;=End_of_period) * ($G355 &gt;=Beginning_of_period) * (1-SUM($K355:Y355)) /  IFERROR((DATEDIF(Beginning_of_period,$G355,"m") + 1) / Months_in_Period,0),0)</f>
        <v>0</v>
      </c>
      <c r="AA355" s="231">
        <f xml:space="preserve"> IFERROR(($E355&gt;0)*($E355 &lt;=End_of_period) * ($G355 &gt;=Beginning_of_period) * (1-SUM($K355:Z355)) /  IFERROR((DATEDIF(Beginning_of_period,$G355,"m") + 1) / Months_in_Period,0),0)</f>
        <v>0</v>
      </c>
      <c r="AB355" s="231">
        <f xml:space="preserve"> IFERROR(($E355&gt;0)*($E355 &lt;=End_of_period) * ($G355 &gt;=Beginning_of_period) * (1-SUM($K355:AA355)) /  IFERROR((DATEDIF(Beginning_of_period,$G355,"m") + 1) / Months_in_Period,0),0)</f>
        <v>0</v>
      </c>
      <c r="AC355" s="231">
        <f xml:space="preserve"> IFERROR(($E355&gt;0)*($E355 &lt;=End_of_period) * ($G355 &gt;=Beginning_of_period) * (1-SUM($K355:AB355)) /  IFERROR((DATEDIF(Beginning_of_period,$G355,"m") + 1) / Months_in_Period,0),0)</f>
        <v>0</v>
      </c>
      <c r="AD355" s="231">
        <f xml:space="preserve"> IFERROR(($E355&gt;0)*($E355 &lt;=End_of_period) * ($G355 &gt;=Beginning_of_period) * (1-SUM($K355:AC355)) /  IFERROR((DATEDIF(Beginning_of_period,$G355,"m") + 1) / Months_in_Period,0),0)</f>
        <v>0</v>
      </c>
      <c r="AE355" s="231">
        <f xml:space="preserve"> IFERROR(($E355&gt;0)*($E355 &lt;=End_of_period) * ($G355 &gt;=Beginning_of_period) * (1-SUM($K355:AD355)) /  IFERROR((DATEDIF(Beginning_of_period,$G355,"m") + 1) / Months_in_Period,0),0)</f>
        <v>0</v>
      </c>
      <c r="AF355" s="231">
        <f xml:space="preserve"> IFERROR(($E355&gt;0)*($E355 &lt;=End_of_period) * ($G355 &gt;=Beginning_of_period) * (1-SUM($K355:AE355)) /  IFERROR((DATEDIF(Beginning_of_period,$G355,"m") + 1) / Months_in_Period,0),0)</f>
        <v>0</v>
      </c>
      <c r="AG355" s="231">
        <f xml:space="preserve"> IFERROR(($E355&gt;0)*($E355 &lt;=End_of_period) * ($G355 &gt;=Beginning_of_period) * (1-SUM($K355:AF355)) /  IFERROR((DATEDIF(Beginning_of_period,$G355,"m") + 1) / Months_in_Period,0),0)</f>
        <v>0</v>
      </c>
      <c r="AH355" s="231">
        <f xml:space="preserve"> IFERROR(($E355&gt;0)*($E355 &lt;=End_of_period) * ($G355 &gt;=Beginning_of_period) * (1-SUM($K355:AG355)) /  IFERROR((DATEDIF(Beginning_of_period,$G355,"m") + 1) / Months_in_Period,0),0)</f>
        <v>0</v>
      </c>
      <c r="AI355" s="231">
        <f xml:space="preserve"> IFERROR(($E355&gt;0)*($E355 &lt;=End_of_period) * ($G355 &gt;=Beginning_of_period) * (1-SUM($K355:AH355)) /  IFERROR((DATEDIF(Beginning_of_period,$G355,"m") + 1) / Months_in_Period,0),0)</f>
        <v>0</v>
      </c>
      <c r="AJ355" s="231">
        <f xml:space="preserve"> IFERROR(($E355&gt;0)*($E355 &lt;=End_of_period) * ($G355 &gt;=Beginning_of_period) * (1-SUM($K355:AI355)) /  IFERROR((DATEDIF(Beginning_of_period,$G355,"m") + 1) / Months_in_Period,0),0)</f>
        <v>0</v>
      </c>
      <c r="AK355" s="231">
        <f xml:space="preserve"> IFERROR(($E355&gt;0)*($E355 &lt;=End_of_period) * ($G355 &gt;=Beginning_of_period) * (1-SUM($K355:AJ355)) /  IFERROR((DATEDIF(Beginning_of_period,$G355,"m") + 1) / Months_in_Period,0),0)</f>
        <v>0</v>
      </c>
      <c r="AL355" s="231">
        <f xml:space="preserve"> IFERROR(($E355&gt;0)*($E355 &lt;=End_of_period) * ($G355 &gt;=Beginning_of_period) * (1-SUM($K355:AK355)) /  IFERROR((DATEDIF(Beginning_of_period,$G355,"m") + 1) / Months_in_Period,0),0)</f>
        <v>0</v>
      </c>
      <c r="AM355" s="231">
        <f xml:space="preserve"> IFERROR(($E355&gt;0)*($E355 &lt;=End_of_period) * ($G355 &gt;=Beginning_of_period) * (1-SUM($K355:AL355)) /  IFERROR((DATEDIF(Beginning_of_period,$G355,"m") + 1) / Months_in_Period,0),0)</f>
        <v>0</v>
      </c>
      <c r="AN355" s="231">
        <f xml:space="preserve"> IFERROR(($E355&gt;0)*($E355 &lt;=End_of_period) * ($G355 &gt;=Beginning_of_period) * (1-SUM($K355:AM355)) /  IFERROR((DATEDIF(Beginning_of_period,$G355,"m") + 1) / Months_in_Period,0),0)</f>
        <v>0</v>
      </c>
      <c r="AO355" s="231">
        <f xml:space="preserve"> IFERROR(($E355&gt;0)*($E355 &lt;=End_of_period) * ($G355 &gt;=Beginning_of_period) * (1-SUM($K355:AN355)) /  IFERROR((DATEDIF(Beginning_of_period,$G355,"m") + 1) / Months_in_Period,0),0)</f>
        <v>0</v>
      </c>
      <c r="AP355" s="231">
        <f xml:space="preserve"> IFERROR(($E355&gt;0)*($E355 &lt;=End_of_period) * ($G355 &gt;=Beginning_of_period) * (1-SUM($K355:AO355)) /  IFERROR((DATEDIF(Beginning_of_period,$G355,"m") + 1) / Months_in_Period,0),0)</f>
        <v>0</v>
      </c>
      <c r="AQ355" s="231">
        <f xml:space="preserve"> IFERROR(($E355&gt;0)*($E355 &lt;=End_of_period) * ($G355 &gt;=Beginning_of_period) * (1-SUM($K355:AP355)) /  IFERROR((DATEDIF(Beginning_of_period,$G355,"m") + 1) / Months_in_Period,0),0)</f>
        <v>0</v>
      </c>
      <c r="AR355" s="231">
        <f xml:space="preserve"> IFERROR(($E355&gt;0)*($E355 &lt;=End_of_period) * ($G355 &gt;=Beginning_of_period) * (1-SUM($K355:AQ355)) /  IFERROR((DATEDIF(Beginning_of_period,$G355,"m") + 1) / Months_in_Period,0),0)</f>
        <v>0</v>
      </c>
      <c r="AS355" s="231">
        <f xml:space="preserve"> IFERROR(($E355&gt;0)*($E355 &lt;=End_of_period) * ($G355 &gt;=Beginning_of_period) * (1-SUM($K355:AR355)) /  IFERROR((DATEDIF(Beginning_of_period,$G355,"m") + 1) / Months_in_Period,0),0)</f>
        <v>0</v>
      </c>
      <c r="AT355" s="231">
        <f xml:space="preserve"> IFERROR(($E355&gt;0)*($E355 &lt;=End_of_period) * ($G355 &gt;=Beginning_of_period) * (1-SUM($K355:AS355)) /  IFERROR((DATEDIF(Beginning_of_period,$G355,"m") + 1) / Months_in_Period,0),0)</f>
        <v>0</v>
      </c>
      <c r="AU355" s="231">
        <f xml:space="preserve"> IFERROR(($E355&gt;0)*($E355 &lt;=End_of_period) * ($G355 &gt;=Beginning_of_period) * (1-SUM($K355:AT355)) /  IFERROR((DATEDIF(Beginning_of_period,$G355,"m") + 1) / Months_in_Period,0),0)</f>
        <v>0</v>
      </c>
      <c r="AV355" s="231">
        <f xml:space="preserve"> IFERROR(($E355&gt;0)*($E355 &lt;=End_of_period) * ($G355 &gt;=Beginning_of_period) * (1-SUM($K355:AU355)) /  IFERROR((DATEDIF(Beginning_of_period,$G355,"m") + 1) / Months_in_Period,0),0)</f>
        <v>0</v>
      </c>
      <c r="AW355" s="231">
        <f xml:space="preserve"> IFERROR(($E355&gt;0)*($E355 &lt;=End_of_period) * ($G355 &gt;=Beginning_of_period) * (1-SUM($K355:AV355)) /  IFERROR((DATEDIF(Beginning_of_period,$G355,"m") + 1) / Months_in_Period,0),0)</f>
        <v>0</v>
      </c>
      <c r="AX355" s="231">
        <f xml:space="preserve"> IFERROR(($E355&gt;0)*($E355 &lt;=End_of_period) * ($G355 &gt;=Beginning_of_period) * (1-SUM($K355:AW355)) /  IFERROR((DATEDIF(Beginning_of_period,$G355,"m") + 1) / Months_in_Period,0),0)</f>
        <v>0</v>
      </c>
      <c r="AY355" s="231">
        <f xml:space="preserve"> IFERROR(($E355&gt;0)*($E355 &lt;=End_of_period) * ($G355 &gt;=Beginning_of_period) * (1-SUM($K355:AX355)) /  IFERROR((DATEDIF(Beginning_of_period,$G355,"m") + 1) / Months_in_Period,0),0)</f>
        <v>0</v>
      </c>
      <c r="AZ355" s="231">
        <f xml:space="preserve"> IFERROR(($E355&gt;0)*($E355 &lt;=End_of_period) * ($G355 &gt;=Beginning_of_period) * (1-SUM($K355:AY355)) /  IFERROR((DATEDIF(Beginning_of_period,$G355,"m") + 1) / Months_in_Period,0),0)</f>
        <v>0</v>
      </c>
      <c r="BA355" s="231">
        <f xml:space="preserve"> IFERROR(($E355&gt;0)*($E355 &lt;=End_of_period) * ($G355 &gt;=Beginning_of_period) * (1-SUM($K355:AZ355)) /  IFERROR((DATEDIF(Beginning_of_period,$G355,"m") + 1) / Months_in_Period,0),0)</f>
        <v>0</v>
      </c>
      <c r="BB355" s="231">
        <f xml:space="preserve"> IFERROR(($E355&gt;0)*($E355 &lt;=End_of_period) * ($G355 &gt;=Beginning_of_period) * (1-SUM($K355:BA355)) /  IFERROR((DATEDIF(Beginning_of_period,$G355,"m") + 1) / Months_in_Period,0),0)</f>
        <v>0</v>
      </c>
      <c r="BC355" s="231">
        <f xml:space="preserve"> IFERROR(($E355&gt;0)*($E355 &lt;=End_of_period) * ($G355 &gt;=Beginning_of_period) * (1-SUM($K355:BB355)) /  IFERROR((DATEDIF(Beginning_of_period,$G355,"m") + 1) / Months_in_Period,0),0)</f>
        <v>0</v>
      </c>
      <c r="BD355" s="231">
        <f xml:space="preserve"> IFERROR(($E355&gt;0)*($E355 &lt;=End_of_period) * ($G355 &gt;=Beginning_of_period) * (1-SUM($K355:BC355)) /  IFERROR((DATEDIF(Beginning_of_period,$G355,"m") + 1) / Months_in_Period,0),0)</f>
        <v>0</v>
      </c>
      <c r="BE355" s="231">
        <f xml:space="preserve"> IFERROR(($E355&gt;0)*($E355 &lt;=End_of_period) * ($G355 &gt;=Beginning_of_period) * (1-SUM($K355:BD355)) /  IFERROR((DATEDIF(Beginning_of_period,$G355,"m") + 1) / Months_in_Period,0),0)</f>
        <v>0</v>
      </c>
      <c r="BF355" s="231">
        <f xml:space="preserve"> IFERROR(($E355&gt;0)*($E355 &lt;=End_of_period) * ($G355 &gt;=Beginning_of_period) * (1-SUM($K355:BE355)) /  IFERROR((DATEDIF(Beginning_of_period,$G355,"m") + 1) / Months_in_Period,0),0)</f>
        <v>0</v>
      </c>
      <c r="BG355" s="231">
        <f xml:space="preserve"> IFERROR(($E355&gt;0)*($E355 &lt;=End_of_period) * ($G355 &gt;=Beginning_of_period) * (1-SUM($K355:BF355)) /  IFERROR((DATEDIF(Beginning_of_period,$G355,"m") + 1) / Months_in_Period,0),0)</f>
        <v>0</v>
      </c>
      <c r="BH355" s="231">
        <f xml:space="preserve"> IFERROR(($E355&gt;0)*($E355 &lt;=End_of_period) * ($G355 &gt;=Beginning_of_period) * (1-SUM($K355:BG355)) /  IFERROR((DATEDIF(Beginning_of_period,$G355,"m") + 1) / Months_in_Period,0),0)</f>
        <v>0</v>
      </c>
      <c r="BI355" s="231">
        <f xml:space="preserve"> IFERROR(($E355&gt;0)*($E355 &lt;=End_of_period) * ($G355 &gt;=Beginning_of_period) * (1-SUM($K355:BH355)) /  IFERROR((DATEDIF(Beginning_of_period,$G355,"m") + 1) / Months_in_Period,0),0)</f>
        <v>0</v>
      </c>
      <c r="BJ355" s="231">
        <f xml:space="preserve"> IFERROR(($E355&gt;0)*($E355 &lt;=End_of_period) * ($G355 &gt;=Beginning_of_period) * (1-SUM($K355:BI355)) /  IFERROR((DATEDIF(Beginning_of_period,$G355,"m") + 1) / Months_in_Period,0),0)</f>
        <v>0</v>
      </c>
      <c r="BK355" s="231">
        <f xml:space="preserve"> IFERROR(($E355&gt;0)*($E355 &lt;=End_of_period) * ($G355 &gt;=Beginning_of_period) * (1-SUM($K355:BJ355)) /  IFERROR((DATEDIF(Beginning_of_period,$G355,"m") + 1) / Months_in_Period,0),0)</f>
        <v>0</v>
      </c>
      <c r="BL355" s="231">
        <f xml:space="preserve"> IFERROR(($E355&gt;0)*($E355 &lt;=End_of_period) * ($G355 &gt;=Beginning_of_period) * (1-SUM($K355:BK355)) /  IFERROR((DATEDIF(Beginning_of_period,$G355,"m") + 1) / Months_in_Period,0),0)</f>
        <v>0</v>
      </c>
      <c r="BM355" s="231">
        <f xml:space="preserve"> IFERROR(($E355&gt;0)*($E355 &lt;=End_of_period) * ($G355 &gt;=Beginning_of_period) * (1-SUM($K355:BL355)) /  IFERROR((DATEDIF(Beginning_of_period,$G355,"m") + 1) / Months_in_Period,0),0)</f>
        <v>0</v>
      </c>
      <c r="BN355" s="231">
        <f xml:space="preserve"> IFERROR(($E355&gt;0)*($E355 &lt;=End_of_period) * ($G355 &gt;=Beginning_of_period) * (1-SUM($K355:BM355)) /  IFERROR((DATEDIF(Beginning_of_period,$G355,"m") + 1) / Months_in_Period,0),0)</f>
        <v>0</v>
      </c>
      <c r="BO355" s="231">
        <f xml:space="preserve"> IFERROR(($E355&gt;0)*($E355 &lt;=End_of_period) * ($G355 &gt;=Beginning_of_period) * (1-SUM($K355:BN355)) /  IFERROR((DATEDIF(Beginning_of_period,$G355,"m") + 1) / Months_in_Period,0),0)</f>
        <v>0</v>
      </c>
      <c r="BP355" s="231">
        <f xml:space="preserve"> IFERROR(($E355&gt;0)*($E355 &lt;=End_of_period) * ($G355 &gt;=Beginning_of_period) * (1-SUM($K355:BO355)) /  IFERROR((DATEDIF(Beginning_of_period,$G355,"m") + 1) / Months_in_Period,0),0)</f>
        <v>0</v>
      </c>
      <c r="BQ355" s="231">
        <f xml:space="preserve"> IFERROR(($E355&gt;0)*($E355 &lt;=End_of_period) * ($G355 &gt;=Beginning_of_period) * (1-SUM($K355:BP355)) /  IFERROR((DATEDIF(Beginning_of_period,$G355,"m") + 1) / Months_in_Period,0),0)</f>
        <v>0</v>
      </c>
      <c r="BR355" s="231">
        <f xml:space="preserve"> IFERROR(($E355&gt;0)*($E355 &lt;=End_of_period) * ($G355 &gt;=Beginning_of_period) * (1-SUM($K355:BQ355)) /  IFERROR((DATEDIF(Beginning_of_period,$G355,"m") + 1) / Months_in_Period,0),0)</f>
        <v>0</v>
      </c>
      <c r="BS355" s="231">
        <f xml:space="preserve"> IFERROR(($E355&gt;0)*($E355 &lt;=End_of_period) * ($G355 &gt;=Beginning_of_period) * (1-SUM($K355:BR355)) /  IFERROR((DATEDIF(Beginning_of_period,$G355,"m") + 1) / Months_in_Period,0),0)</f>
        <v>0</v>
      </c>
      <c r="BT355" s="231">
        <f xml:space="preserve"> IFERROR(($E355&gt;0)*($E355 &lt;=End_of_period) * ($G355 &gt;=Beginning_of_period) * (1-SUM($K355:BS355)) /  IFERROR((DATEDIF(Beginning_of_period,$G355,"m") + 1) / Months_in_Period,0),0)</f>
        <v>0</v>
      </c>
      <c r="BU355" s="231">
        <f xml:space="preserve"> IFERROR(($E355&gt;0)*($E355 &lt;=End_of_period) * ($G355 &gt;=Beginning_of_period) * (1-SUM($K355:BT355)) /  IFERROR((DATEDIF(Beginning_of_period,$G355,"m") + 1) / Months_in_Period,0),0)</f>
        <v>0</v>
      </c>
      <c r="BV355" s="231">
        <f xml:space="preserve"> IFERROR(($E355&gt;0)*($E355 &lt;=End_of_period) * ($G355 &gt;=Beginning_of_period) * (1-SUM($K355:BU355)) /  IFERROR((DATEDIF(Beginning_of_period,$G355,"m") + 1) / Months_in_Period,0),0)</f>
        <v>0</v>
      </c>
      <c r="BW355" s="231">
        <f xml:space="preserve"> IFERROR(($E355&gt;0)*($E355 &lt;=End_of_period) * ($G355 &gt;=Beginning_of_period) * (1-SUM($K355:BV355)) /  IFERROR((DATEDIF(Beginning_of_period,$G355,"m") + 1) / Months_in_Period,0),0)</f>
        <v>0</v>
      </c>
      <c r="BX355" s="231">
        <f xml:space="preserve"> IFERROR(($E355&gt;0)*($E355 &lt;=End_of_period) * ($G355 &gt;=Beginning_of_period) * (1-SUM($K355:BW355)) /  IFERROR((DATEDIF(Beginning_of_period,$G355,"m") + 1) / Months_in_Period,0),0)</f>
        <v>0</v>
      </c>
      <c r="BY355" s="231">
        <f xml:space="preserve"> IFERROR(($E355&gt;0)*($E355 &lt;=End_of_period) * ($G355 &gt;=Beginning_of_period) * (1-SUM($K355:BX355)) /  IFERROR((DATEDIF(Beginning_of_period,$G355,"m") + 1) / Months_in_Period,0),0)</f>
        <v>0</v>
      </c>
      <c r="BZ355" s="231">
        <f xml:space="preserve"> IFERROR(($E355&gt;0)*($E355 &lt;=End_of_period) * ($G355 &gt;=Beginning_of_period) * (1-SUM($K355:BY355)) /  IFERROR((DATEDIF(Beginning_of_period,$G355,"m") + 1) / Months_in_Period,0),0)</f>
        <v>0</v>
      </c>
      <c r="CA355" s="231">
        <f xml:space="preserve"> IFERROR(($E355&gt;0)*($E355 &lt;=End_of_period) * ($G355 &gt;=Beginning_of_period) * (1-SUM($K355:BZ355)) /  IFERROR((DATEDIF(Beginning_of_period,$G355,"m") + 1) / Months_in_Period,0),0)</f>
        <v>0</v>
      </c>
      <c r="CB355" s="231">
        <f xml:space="preserve"> IFERROR(($E355&gt;0)*($E355 &lt;=End_of_period) * ($G355 &gt;=Beginning_of_period) * (1-SUM($K355:CA355)) /  IFERROR((DATEDIF(Beginning_of_period,$G355,"m") + 1) / Months_in_Period,0),0)</f>
        <v>0</v>
      </c>
      <c r="CC355" s="231">
        <f xml:space="preserve"> IFERROR(($E355&gt;0)*($E355 &lt;=End_of_period) * ($G355 &gt;=Beginning_of_period) * (1-SUM($K355:CB355)) /  IFERROR((DATEDIF(Beginning_of_period,$G355,"m") + 1) / Months_in_Period,0),0)</f>
        <v>0</v>
      </c>
      <c r="CD355" s="231">
        <f xml:space="preserve"> IFERROR(($E355&gt;0)*($E355 &lt;=End_of_period) * ($G355 &gt;=Beginning_of_period) * (1-SUM($K355:CC355)) /  IFERROR((DATEDIF(Beginning_of_period,$G355,"m") + 1) / Months_in_Period,0),0)</f>
        <v>0</v>
      </c>
      <c r="CE355" s="231">
        <f xml:space="preserve"> IFERROR(($E355&gt;0)*($E355 &lt;=End_of_period) * ($G355 &gt;=Beginning_of_period) * (1-SUM($K355:CD355)) /  IFERROR((DATEDIF(Beginning_of_period,$G355,"m") + 1) / Months_in_Period,0),0)</f>
        <v>0</v>
      </c>
      <c r="CF355" s="231">
        <f xml:space="preserve"> IFERROR(($E355&gt;0)*($E355 &lt;=End_of_period) * ($G355 &gt;=Beginning_of_period) * (1-SUM($K355:CE355)) /  IFERROR((DATEDIF(Beginning_of_period,$G355,"m") + 1) / Months_in_Period,0),0)</f>
        <v>0</v>
      </c>
      <c r="CG355" s="231">
        <f xml:space="preserve"> IFERROR(($E355&gt;0)*($E355 &lt;=End_of_period) * ($G355 &gt;=Beginning_of_period) * (1-SUM($K355:CF355)) /  IFERROR((DATEDIF(Beginning_of_period,$G355,"m") + 1) / Months_in_Period,0),0)</f>
        <v>0</v>
      </c>
      <c r="CH355" s="231">
        <f xml:space="preserve"> IFERROR(($E355&gt;0)*($E355 &lt;=End_of_period) * ($G355 &gt;=Beginning_of_period) * (1-SUM($K355:CG355)) /  IFERROR((DATEDIF(Beginning_of_period,$G355,"m") + 1) / Months_in_Period,0),0)</f>
        <v>0</v>
      </c>
      <c r="CI355" s="231">
        <f xml:space="preserve"> IFERROR(($E355&gt;0)*($E355 &lt;=End_of_period) * ($G355 &gt;=Beginning_of_period) * (1-SUM($K355:CH355)) /  IFERROR((DATEDIF(Beginning_of_period,$G355,"m") + 1) / Months_in_Period,0),0)</f>
        <v>0</v>
      </c>
      <c r="CJ355" s="231">
        <f xml:space="preserve"> IFERROR(($E355&gt;0)*($E355 &lt;=End_of_period) * ($G355 &gt;=Beginning_of_period) * (1-SUM($K355:CI355)) /  IFERROR((DATEDIF(Beginning_of_period,$G355,"m") + 1) / Months_in_Period,0),0)</f>
        <v>0</v>
      </c>
      <c r="CK355" s="231">
        <f xml:space="preserve"> IFERROR(($E355&gt;0)*($E355 &lt;=End_of_period) * ($G355 &gt;=Beginning_of_period) * (1-SUM($K355:CJ355)) /  IFERROR((DATEDIF(Beginning_of_period,$G355,"m") + 1) / Months_in_Period,0),0)</f>
        <v>0</v>
      </c>
      <c r="CL355" s="231">
        <f xml:space="preserve"> IFERROR(($E355&gt;0)*($E355 &lt;=End_of_period) * ($G355 &gt;=Beginning_of_period) * (1-SUM($K355:CK355)) /  IFERROR((DATEDIF(Beginning_of_period,$G355,"m") + 1) / Months_in_Period,0),0)</f>
        <v>0</v>
      </c>
      <c r="CM355" s="231">
        <f xml:space="preserve"> IFERROR(($E355&gt;0)*($E355 &lt;=End_of_period) * ($G355 &gt;=Beginning_of_period) * (1-SUM($K355:CL355)) /  IFERROR((DATEDIF(Beginning_of_period,$G355,"m") + 1) / Months_in_Period,0),0)</f>
        <v>0</v>
      </c>
      <c r="CN355" s="231">
        <f xml:space="preserve"> IFERROR(($E355&gt;0)*($E355 &lt;=End_of_period) * ($G355 &gt;=Beginning_of_period) * (1-SUM($K355:CM355)) /  IFERROR((DATEDIF(Beginning_of_period,$G355,"m") + 1) / Months_in_Period,0),0)</f>
        <v>0</v>
      </c>
      <c r="CO355" s="231">
        <f xml:space="preserve"> IFERROR(($E355&gt;0)*($E355 &lt;=End_of_period) * ($G355 &gt;=Beginning_of_period) * (1-SUM($K355:CN355)) /  IFERROR((DATEDIF(Beginning_of_period,$G355,"m") + 1) / Months_in_Period,0),0)</f>
        <v>0</v>
      </c>
      <c r="CP355" s="10"/>
    </row>
    <row r="356" spans="1:94" ht="15" hidden="1" customHeight="1">
      <c r="A356" s="10"/>
      <c r="B356" s="3"/>
      <c r="C356" s="17" t="s">
        <v>634</v>
      </c>
      <c r="D356" s="10"/>
      <c r="E356" s="71"/>
      <c r="F356" s="10"/>
      <c r="G356" s="479"/>
      <c r="H356" s="149">
        <f xml:space="preserve"> IFERROR((DATEDIF(E356,G356,"m") + 1) / Months_in_Period,0)</f>
        <v>0.33333333333333331</v>
      </c>
      <c r="I356" s="231">
        <f t="shared" ref="I356:I357" si="126">IF(SUM(L356:CO356)=0,1,SUM(L356:CO356))</f>
        <v>1</v>
      </c>
      <c r="J356" s="10"/>
      <c r="K356" s="10"/>
      <c r="L356" s="231">
        <f xml:space="preserve"> IFERROR(($E356&gt;0)*($E356 &lt;=End_of_period) * ($G356 &gt;=Beginning_of_period) * (1-SUM($K356:K356)) /  IFERROR((DATEDIF(Beginning_of_period,$G356,"m") + 1) / Months_in_Period,0),0)</f>
        <v>0</v>
      </c>
      <c r="M356" s="231">
        <f xml:space="preserve"> IFERROR(($E356&gt;0)*($E356 &lt;=End_of_period) * ($G356 &gt;=Beginning_of_period) * (1-SUM($K356:L356)) /  IFERROR((DATEDIF(Beginning_of_period,$G356,"m") + 1) / Months_in_Period,0),0)</f>
        <v>0</v>
      </c>
      <c r="N356" s="231">
        <f xml:space="preserve"> IFERROR(($E356&gt;0)*($E356 &lt;=End_of_period) * ($G356 &gt;=Beginning_of_period) * (1-SUM($K356:M356)) /  IFERROR((DATEDIF(Beginning_of_period,$G356,"m") + 1) / Months_in_Period,0),0)</f>
        <v>0</v>
      </c>
      <c r="O356" s="231">
        <f xml:space="preserve"> IFERROR(($E356&gt;0)*($E356 &lt;=End_of_period) * ($G356 &gt;=Beginning_of_period) * (1-SUM($K356:N356)) /  IFERROR((DATEDIF(Beginning_of_period,$G356,"m") + 1) / Months_in_Period,0),0)</f>
        <v>0</v>
      </c>
      <c r="P356" s="231">
        <f xml:space="preserve"> IFERROR(($E356&gt;0)*($E356 &lt;=End_of_period) * ($G356 &gt;=Beginning_of_period) * (1-SUM($K356:O356)) /  IFERROR((DATEDIF(Beginning_of_period,$G356,"m") + 1) / Months_in_Period,0),0)</f>
        <v>0</v>
      </c>
      <c r="Q356" s="231">
        <f xml:space="preserve"> IFERROR(($E356&gt;0)*($E356 &lt;=End_of_period) * ($G356 &gt;=Beginning_of_period) * (1-SUM($K356:P356)) /  IFERROR((DATEDIF(Beginning_of_period,$G356,"m") + 1) / Months_in_Period,0),0)</f>
        <v>0</v>
      </c>
      <c r="R356" s="231">
        <f xml:space="preserve"> IFERROR(($E356&gt;0)*($E356 &lt;=End_of_period) * ($G356 &gt;=Beginning_of_period) * (1-SUM($K356:Q356)) /  IFERROR((DATEDIF(Beginning_of_period,$G356,"m") + 1) / Months_in_Period,0),0)</f>
        <v>0</v>
      </c>
      <c r="S356" s="231">
        <f xml:space="preserve"> IFERROR(($E356&gt;0)*($E356 &lt;=End_of_period) * ($G356 &gt;=Beginning_of_period) * (1-SUM($K356:R356)) /  IFERROR((DATEDIF(Beginning_of_period,$G356,"m") + 1) / Months_in_Period,0),0)</f>
        <v>0</v>
      </c>
      <c r="T356" s="231">
        <f xml:space="preserve"> IFERROR(($E356&gt;0)*($E356 &lt;=End_of_period) * ($G356 &gt;=Beginning_of_period) * (1-SUM($K356:S356)) /  IFERROR((DATEDIF(Beginning_of_period,$G356,"m") + 1) / Months_in_Period,0),0)</f>
        <v>0</v>
      </c>
      <c r="U356" s="231">
        <f xml:space="preserve"> IFERROR(($E356&gt;0)*($E356 &lt;=End_of_period) * ($G356 &gt;=Beginning_of_period) * (1-SUM($K356:T356)) /  IFERROR((DATEDIF(Beginning_of_period,$G356,"m") + 1) / Months_in_Period,0),0)</f>
        <v>0</v>
      </c>
      <c r="V356" s="231">
        <f xml:space="preserve"> IFERROR(($E356&gt;0)*($E356 &lt;=End_of_period) * ($G356 &gt;=Beginning_of_period) * (1-SUM($K356:U356)) /  IFERROR((DATEDIF(Beginning_of_period,$G356,"m") + 1) / Months_in_Period,0),0)</f>
        <v>0</v>
      </c>
      <c r="W356" s="231">
        <f xml:space="preserve"> IFERROR(($E356&gt;0)*($E356 &lt;=End_of_period) * ($G356 &gt;=Beginning_of_period) * (1-SUM($K356:V356)) /  IFERROR((DATEDIF(Beginning_of_period,$G356,"m") + 1) / Months_in_Period,0),0)</f>
        <v>0</v>
      </c>
      <c r="X356" s="231">
        <f xml:space="preserve"> IFERROR(($E356&gt;0)*($E356 &lt;=End_of_period) * ($G356 &gt;=Beginning_of_period) * (1-SUM($K356:W356)) /  IFERROR((DATEDIF(Beginning_of_period,$G356,"m") + 1) / Months_in_Period,0),0)</f>
        <v>0</v>
      </c>
      <c r="Y356" s="231">
        <f xml:space="preserve"> IFERROR(($E356&gt;0)*($E356 &lt;=End_of_period) * ($G356 &gt;=Beginning_of_period) * (1-SUM($K356:X356)) /  IFERROR((DATEDIF(Beginning_of_period,$G356,"m") + 1) / Months_in_Period,0),0)</f>
        <v>0</v>
      </c>
      <c r="Z356" s="231">
        <f xml:space="preserve"> IFERROR(($E356&gt;0)*($E356 &lt;=End_of_period) * ($G356 &gt;=Beginning_of_period) * (1-SUM($K356:Y356)) /  IFERROR((DATEDIF(Beginning_of_period,$G356,"m") + 1) / Months_in_Period,0),0)</f>
        <v>0</v>
      </c>
      <c r="AA356" s="231">
        <f xml:space="preserve"> IFERROR(($E356&gt;0)*($E356 &lt;=End_of_period) * ($G356 &gt;=Beginning_of_period) * (1-SUM($K356:Z356)) /  IFERROR((DATEDIF(Beginning_of_period,$G356,"m") + 1) / Months_in_Period,0),0)</f>
        <v>0</v>
      </c>
      <c r="AB356" s="231">
        <f xml:space="preserve"> IFERROR(($E356&gt;0)*($E356 &lt;=End_of_period) * ($G356 &gt;=Beginning_of_period) * (1-SUM($K356:AA356)) /  IFERROR((DATEDIF(Beginning_of_period,$G356,"m") + 1) / Months_in_Period,0),0)</f>
        <v>0</v>
      </c>
      <c r="AC356" s="231">
        <f xml:space="preserve"> IFERROR(($E356&gt;0)*($E356 &lt;=End_of_period) * ($G356 &gt;=Beginning_of_period) * (1-SUM($K356:AB356)) /  IFERROR((DATEDIF(Beginning_of_period,$G356,"m") + 1) / Months_in_Period,0),0)</f>
        <v>0</v>
      </c>
      <c r="AD356" s="231">
        <f xml:space="preserve"> IFERROR(($E356&gt;0)*($E356 &lt;=End_of_period) * ($G356 &gt;=Beginning_of_period) * (1-SUM($K356:AC356)) /  IFERROR((DATEDIF(Beginning_of_period,$G356,"m") + 1) / Months_in_Period,0),0)</f>
        <v>0</v>
      </c>
      <c r="AE356" s="231">
        <f xml:space="preserve"> IFERROR(($E356&gt;0)*($E356 &lt;=End_of_period) * ($G356 &gt;=Beginning_of_period) * (1-SUM($K356:AD356)) /  IFERROR((DATEDIF(Beginning_of_period,$G356,"m") + 1) / Months_in_Period,0),0)</f>
        <v>0</v>
      </c>
      <c r="AF356" s="231">
        <f xml:space="preserve"> IFERROR(($E356&gt;0)*($E356 &lt;=End_of_period) * ($G356 &gt;=Beginning_of_period) * (1-SUM($K356:AE356)) /  IFERROR((DATEDIF(Beginning_of_period,$G356,"m") + 1) / Months_in_Period,0),0)</f>
        <v>0</v>
      </c>
      <c r="AG356" s="231">
        <f xml:space="preserve"> IFERROR(($E356&gt;0)*($E356 &lt;=End_of_period) * ($G356 &gt;=Beginning_of_period) * (1-SUM($K356:AF356)) /  IFERROR((DATEDIF(Beginning_of_period,$G356,"m") + 1) / Months_in_Period,0),0)</f>
        <v>0</v>
      </c>
      <c r="AH356" s="231">
        <f xml:space="preserve"> IFERROR(($E356&gt;0)*($E356 &lt;=End_of_period) * ($G356 &gt;=Beginning_of_period) * (1-SUM($K356:AG356)) /  IFERROR((DATEDIF(Beginning_of_period,$G356,"m") + 1) / Months_in_Period,0),0)</f>
        <v>0</v>
      </c>
      <c r="AI356" s="231">
        <f xml:space="preserve"> IFERROR(($E356&gt;0)*($E356 &lt;=End_of_period) * ($G356 &gt;=Beginning_of_period) * (1-SUM($K356:AH356)) /  IFERROR((DATEDIF(Beginning_of_period,$G356,"m") + 1) / Months_in_Period,0),0)</f>
        <v>0</v>
      </c>
      <c r="AJ356" s="231">
        <f xml:space="preserve"> IFERROR(($E356&gt;0)*($E356 &lt;=End_of_period) * ($G356 &gt;=Beginning_of_period) * (1-SUM($K356:AI356)) /  IFERROR((DATEDIF(Beginning_of_period,$G356,"m") + 1) / Months_in_Period,0),0)</f>
        <v>0</v>
      </c>
      <c r="AK356" s="231">
        <f xml:space="preserve"> IFERROR(($E356&gt;0)*($E356 &lt;=End_of_period) * ($G356 &gt;=Beginning_of_period) * (1-SUM($K356:AJ356)) /  IFERROR((DATEDIF(Beginning_of_period,$G356,"m") + 1) / Months_in_Period,0),0)</f>
        <v>0</v>
      </c>
      <c r="AL356" s="231">
        <f xml:space="preserve"> IFERROR(($E356&gt;0)*($E356 &lt;=End_of_period) * ($G356 &gt;=Beginning_of_period) * (1-SUM($K356:AK356)) /  IFERROR((DATEDIF(Beginning_of_period,$G356,"m") + 1) / Months_in_Period,0),0)</f>
        <v>0</v>
      </c>
      <c r="AM356" s="231">
        <f xml:space="preserve"> IFERROR(($E356&gt;0)*($E356 &lt;=End_of_period) * ($G356 &gt;=Beginning_of_period) * (1-SUM($K356:AL356)) /  IFERROR((DATEDIF(Beginning_of_period,$G356,"m") + 1) / Months_in_Period,0),0)</f>
        <v>0</v>
      </c>
      <c r="AN356" s="231">
        <f xml:space="preserve"> IFERROR(($E356&gt;0)*($E356 &lt;=End_of_period) * ($G356 &gt;=Beginning_of_period) * (1-SUM($K356:AM356)) /  IFERROR((DATEDIF(Beginning_of_period,$G356,"m") + 1) / Months_in_Period,0),0)</f>
        <v>0</v>
      </c>
      <c r="AO356" s="231">
        <f xml:space="preserve"> IFERROR(($E356&gt;0)*($E356 &lt;=End_of_period) * ($G356 &gt;=Beginning_of_period) * (1-SUM($K356:AN356)) /  IFERROR((DATEDIF(Beginning_of_period,$G356,"m") + 1) / Months_in_Period,0),0)</f>
        <v>0</v>
      </c>
      <c r="AP356" s="231">
        <f xml:space="preserve"> IFERROR(($E356&gt;0)*($E356 &lt;=End_of_period) * ($G356 &gt;=Beginning_of_period) * (1-SUM($K356:AO356)) /  IFERROR((DATEDIF(Beginning_of_period,$G356,"m") + 1) / Months_in_Period,0),0)</f>
        <v>0</v>
      </c>
      <c r="AQ356" s="231">
        <f xml:space="preserve"> IFERROR(($E356&gt;0)*($E356 &lt;=End_of_period) * ($G356 &gt;=Beginning_of_period) * (1-SUM($K356:AP356)) /  IFERROR((DATEDIF(Beginning_of_period,$G356,"m") + 1) / Months_in_Period,0),0)</f>
        <v>0</v>
      </c>
      <c r="AR356" s="231">
        <f xml:space="preserve"> IFERROR(($E356&gt;0)*($E356 &lt;=End_of_period) * ($G356 &gt;=Beginning_of_period) * (1-SUM($K356:AQ356)) /  IFERROR((DATEDIF(Beginning_of_period,$G356,"m") + 1) / Months_in_Period,0),0)</f>
        <v>0</v>
      </c>
      <c r="AS356" s="231">
        <f xml:space="preserve"> IFERROR(($E356&gt;0)*($E356 &lt;=End_of_period) * ($G356 &gt;=Beginning_of_period) * (1-SUM($K356:AR356)) /  IFERROR((DATEDIF(Beginning_of_period,$G356,"m") + 1) / Months_in_Period,0),0)</f>
        <v>0</v>
      </c>
      <c r="AT356" s="231">
        <f xml:space="preserve"> IFERROR(($E356&gt;0)*($E356 &lt;=End_of_period) * ($G356 &gt;=Beginning_of_period) * (1-SUM($K356:AS356)) /  IFERROR((DATEDIF(Beginning_of_period,$G356,"m") + 1) / Months_in_Period,0),0)</f>
        <v>0</v>
      </c>
      <c r="AU356" s="231">
        <f xml:space="preserve"> IFERROR(($E356&gt;0)*($E356 &lt;=End_of_period) * ($G356 &gt;=Beginning_of_period) * (1-SUM($K356:AT356)) /  IFERROR((DATEDIF(Beginning_of_period,$G356,"m") + 1) / Months_in_Period,0),0)</f>
        <v>0</v>
      </c>
      <c r="AV356" s="231">
        <f xml:space="preserve"> IFERROR(($E356&gt;0)*($E356 &lt;=End_of_period) * ($G356 &gt;=Beginning_of_period) * (1-SUM($K356:AU356)) /  IFERROR((DATEDIF(Beginning_of_period,$G356,"m") + 1) / Months_in_Period,0),0)</f>
        <v>0</v>
      </c>
      <c r="AW356" s="231">
        <f xml:space="preserve"> IFERROR(($E356&gt;0)*($E356 &lt;=End_of_period) * ($G356 &gt;=Beginning_of_period) * (1-SUM($K356:AV356)) /  IFERROR((DATEDIF(Beginning_of_period,$G356,"m") + 1) / Months_in_Period,0),0)</f>
        <v>0</v>
      </c>
      <c r="AX356" s="231">
        <f xml:space="preserve"> IFERROR(($E356&gt;0)*($E356 &lt;=End_of_period) * ($G356 &gt;=Beginning_of_period) * (1-SUM($K356:AW356)) /  IFERROR((DATEDIF(Beginning_of_period,$G356,"m") + 1) / Months_in_Period,0),0)</f>
        <v>0</v>
      </c>
      <c r="AY356" s="231">
        <f xml:space="preserve"> IFERROR(($E356&gt;0)*($E356 &lt;=End_of_period) * ($G356 &gt;=Beginning_of_period) * (1-SUM($K356:AX356)) /  IFERROR((DATEDIF(Beginning_of_period,$G356,"m") + 1) / Months_in_Period,0),0)</f>
        <v>0</v>
      </c>
      <c r="AZ356" s="231">
        <f xml:space="preserve"> IFERROR(($E356&gt;0)*($E356 &lt;=End_of_period) * ($G356 &gt;=Beginning_of_period) * (1-SUM($K356:AY356)) /  IFERROR((DATEDIF(Beginning_of_period,$G356,"m") + 1) / Months_in_Period,0),0)</f>
        <v>0</v>
      </c>
      <c r="BA356" s="231">
        <f xml:space="preserve"> IFERROR(($E356&gt;0)*($E356 &lt;=End_of_period) * ($G356 &gt;=Beginning_of_period) * (1-SUM($K356:AZ356)) /  IFERROR((DATEDIF(Beginning_of_period,$G356,"m") + 1) / Months_in_Period,0),0)</f>
        <v>0</v>
      </c>
      <c r="BB356" s="231">
        <f xml:space="preserve"> IFERROR(($E356&gt;0)*($E356 &lt;=End_of_period) * ($G356 &gt;=Beginning_of_period) * (1-SUM($K356:BA356)) /  IFERROR((DATEDIF(Beginning_of_period,$G356,"m") + 1) / Months_in_Period,0),0)</f>
        <v>0</v>
      </c>
      <c r="BC356" s="231">
        <f xml:space="preserve"> IFERROR(($E356&gt;0)*($E356 &lt;=End_of_period) * ($G356 &gt;=Beginning_of_period) * (1-SUM($K356:BB356)) /  IFERROR((DATEDIF(Beginning_of_period,$G356,"m") + 1) / Months_in_Period,0),0)</f>
        <v>0</v>
      </c>
      <c r="BD356" s="231">
        <f xml:space="preserve"> IFERROR(($E356&gt;0)*($E356 &lt;=End_of_period) * ($G356 &gt;=Beginning_of_period) * (1-SUM($K356:BC356)) /  IFERROR((DATEDIF(Beginning_of_period,$G356,"m") + 1) / Months_in_Period,0),0)</f>
        <v>0</v>
      </c>
      <c r="BE356" s="231">
        <f xml:space="preserve"> IFERROR(($E356&gt;0)*($E356 &lt;=End_of_period) * ($G356 &gt;=Beginning_of_period) * (1-SUM($K356:BD356)) /  IFERROR((DATEDIF(Beginning_of_period,$G356,"m") + 1) / Months_in_Period,0),0)</f>
        <v>0</v>
      </c>
      <c r="BF356" s="231">
        <f xml:space="preserve"> IFERROR(($E356&gt;0)*($E356 &lt;=End_of_period) * ($G356 &gt;=Beginning_of_period) * (1-SUM($K356:BE356)) /  IFERROR((DATEDIF(Beginning_of_period,$G356,"m") + 1) / Months_in_Period,0),0)</f>
        <v>0</v>
      </c>
      <c r="BG356" s="231">
        <f xml:space="preserve"> IFERROR(($E356&gt;0)*($E356 &lt;=End_of_period) * ($G356 &gt;=Beginning_of_period) * (1-SUM($K356:BF356)) /  IFERROR((DATEDIF(Beginning_of_period,$G356,"m") + 1) / Months_in_Period,0),0)</f>
        <v>0</v>
      </c>
      <c r="BH356" s="231">
        <f xml:space="preserve"> IFERROR(($E356&gt;0)*($E356 &lt;=End_of_period) * ($G356 &gt;=Beginning_of_period) * (1-SUM($K356:BG356)) /  IFERROR((DATEDIF(Beginning_of_period,$G356,"m") + 1) / Months_in_Period,0),0)</f>
        <v>0</v>
      </c>
      <c r="BI356" s="231">
        <f xml:space="preserve"> IFERROR(($E356&gt;0)*($E356 &lt;=End_of_period) * ($G356 &gt;=Beginning_of_period) * (1-SUM($K356:BH356)) /  IFERROR((DATEDIF(Beginning_of_period,$G356,"m") + 1) / Months_in_Period,0),0)</f>
        <v>0</v>
      </c>
      <c r="BJ356" s="231">
        <f xml:space="preserve"> IFERROR(($E356&gt;0)*($E356 &lt;=End_of_period) * ($G356 &gt;=Beginning_of_period) * (1-SUM($K356:BI356)) /  IFERROR((DATEDIF(Beginning_of_period,$G356,"m") + 1) / Months_in_Period,0),0)</f>
        <v>0</v>
      </c>
      <c r="BK356" s="231">
        <f xml:space="preserve"> IFERROR(($E356&gt;0)*($E356 &lt;=End_of_period) * ($G356 &gt;=Beginning_of_period) * (1-SUM($K356:BJ356)) /  IFERROR((DATEDIF(Beginning_of_period,$G356,"m") + 1) / Months_in_Period,0),0)</f>
        <v>0</v>
      </c>
      <c r="BL356" s="231">
        <f xml:space="preserve"> IFERROR(($E356&gt;0)*($E356 &lt;=End_of_period) * ($G356 &gt;=Beginning_of_period) * (1-SUM($K356:BK356)) /  IFERROR((DATEDIF(Beginning_of_period,$G356,"m") + 1) / Months_in_Period,0),0)</f>
        <v>0</v>
      </c>
      <c r="BM356" s="231">
        <f xml:space="preserve"> IFERROR(($E356&gt;0)*($E356 &lt;=End_of_period) * ($G356 &gt;=Beginning_of_period) * (1-SUM($K356:BL356)) /  IFERROR((DATEDIF(Beginning_of_period,$G356,"m") + 1) / Months_in_Period,0),0)</f>
        <v>0</v>
      </c>
      <c r="BN356" s="231">
        <f xml:space="preserve"> IFERROR(($E356&gt;0)*($E356 &lt;=End_of_period) * ($G356 &gt;=Beginning_of_period) * (1-SUM($K356:BM356)) /  IFERROR((DATEDIF(Beginning_of_period,$G356,"m") + 1) / Months_in_Period,0),0)</f>
        <v>0</v>
      </c>
      <c r="BO356" s="231">
        <f xml:space="preserve"> IFERROR(($E356&gt;0)*($E356 &lt;=End_of_period) * ($G356 &gt;=Beginning_of_period) * (1-SUM($K356:BN356)) /  IFERROR((DATEDIF(Beginning_of_period,$G356,"m") + 1) / Months_in_Period,0),0)</f>
        <v>0</v>
      </c>
      <c r="BP356" s="231">
        <f xml:space="preserve"> IFERROR(($E356&gt;0)*($E356 &lt;=End_of_period) * ($G356 &gt;=Beginning_of_period) * (1-SUM($K356:BO356)) /  IFERROR((DATEDIF(Beginning_of_period,$G356,"m") + 1) / Months_in_Period,0),0)</f>
        <v>0</v>
      </c>
      <c r="BQ356" s="231">
        <f xml:space="preserve"> IFERROR(($E356&gt;0)*($E356 &lt;=End_of_period) * ($G356 &gt;=Beginning_of_period) * (1-SUM($K356:BP356)) /  IFERROR((DATEDIF(Beginning_of_period,$G356,"m") + 1) / Months_in_Period,0),0)</f>
        <v>0</v>
      </c>
      <c r="BR356" s="231">
        <f xml:space="preserve"> IFERROR(($E356&gt;0)*($E356 &lt;=End_of_period) * ($G356 &gt;=Beginning_of_period) * (1-SUM($K356:BQ356)) /  IFERROR((DATEDIF(Beginning_of_period,$G356,"m") + 1) / Months_in_Period,0),0)</f>
        <v>0</v>
      </c>
      <c r="BS356" s="231">
        <f xml:space="preserve"> IFERROR(($E356&gt;0)*($E356 &lt;=End_of_period) * ($G356 &gt;=Beginning_of_period) * (1-SUM($K356:BR356)) /  IFERROR((DATEDIF(Beginning_of_period,$G356,"m") + 1) / Months_in_Period,0),0)</f>
        <v>0</v>
      </c>
      <c r="BT356" s="231">
        <f xml:space="preserve"> IFERROR(($E356&gt;0)*($E356 &lt;=End_of_period) * ($G356 &gt;=Beginning_of_period) * (1-SUM($K356:BS356)) /  IFERROR((DATEDIF(Beginning_of_period,$G356,"m") + 1) / Months_in_Period,0),0)</f>
        <v>0</v>
      </c>
      <c r="BU356" s="231">
        <f xml:space="preserve"> IFERROR(($E356&gt;0)*($E356 &lt;=End_of_period) * ($G356 &gt;=Beginning_of_period) * (1-SUM($K356:BT356)) /  IFERROR((DATEDIF(Beginning_of_period,$G356,"m") + 1) / Months_in_Period,0),0)</f>
        <v>0</v>
      </c>
      <c r="BV356" s="231">
        <f xml:space="preserve"> IFERROR(($E356&gt;0)*($E356 &lt;=End_of_period) * ($G356 &gt;=Beginning_of_period) * (1-SUM($K356:BU356)) /  IFERROR((DATEDIF(Beginning_of_period,$G356,"m") + 1) / Months_in_Period,0),0)</f>
        <v>0</v>
      </c>
      <c r="BW356" s="231">
        <f xml:space="preserve"> IFERROR(($E356&gt;0)*($E356 &lt;=End_of_period) * ($G356 &gt;=Beginning_of_period) * (1-SUM($K356:BV356)) /  IFERROR((DATEDIF(Beginning_of_period,$G356,"m") + 1) / Months_in_Period,0),0)</f>
        <v>0</v>
      </c>
      <c r="BX356" s="231">
        <f xml:space="preserve"> IFERROR(($E356&gt;0)*($E356 &lt;=End_of_period) * ($G356 &gt;=Beginning_of_period) * (1-SUM($K356:BW356)) /  IFERROR((DATEDIF(Beginning_of_period,$G356,"m") + 1) / Months_in_Period,0),0)</f>
        <v>0</v>
      </c>
      <c r="BY356" s="231">
        <f xml:space="preserve"> IFERROR(($E356&gt;0)*($E356 &lt;=End_of_period) * ($G356 &gt;=Beginning_of_period) * (1-SUM($K356:BX356)) /  IFERROR((DATEDIF(Beginning_of_period,$G356,"m") + 1) / Months_in_Period,0),0)</f>
        <v>0</v>
      </c>
      <c r="BZ356" s="231">
        <f xml:space="preserve"> IFERROR(($E356&gt;0)*($E356 &lt;=End_of_period) * ($G356 &gt;=Beginning_of_period) * (1-SUM($K356:BY356)) /  IFERROR((DATEDIF(Beginning_of_period,$G356,"m") + 1) / Months_in_Period,0),0)</f>
        <v>0</v>
      </c>
      <c r="CA356" s="231">
        <f xml:space="preserve"> IFERROR(($E356&gt;0)*($E356 &lt;=End_of_period) * ($G356 &gt;=Beginning_of_period) * (1-SUM($K356:BZ356)) /  IFERROR((DATEDIF(Beginning_of_period,$G356,"m") + 1) / Months_in_Period,0),0)</f>
        <v>0</v>
      </c>
      <c r="CB356" s="231">
        <f xml:space="preserve"> IFERROR(($E356&gt;0)*($E356 &lt;=End_of_period) * ($G356 &gt;=Beginning_of_period) * (1-SUM($K356:CA356)) /  IFERROR((DATEDIF(Beginning_of_period,$G356,"m") + 1) / Months_in_Period,0),0)</f>
        <v>0</v>
      </c>
      <c r="CC356" s="231">
        <f xml:space="preserve"> IFERROR(($E356&gt;0)*($E356 &lt;=End_of_period) * ($G356 &gt;=Beginning_of_period) * (1-SUM($K356:CB356)) /  IFERROR((DATEDIF(Beginning_of_period,$G356,"m") + 1) / Months_in_Period,0),0)</f>
        <v>0</v>
      </c>
      <c r="CD356" s="231">
        <f xml:space="preserve"> IFERROR(($E356&gt;0)*($E356 &lt;=End_of_period) * ($G356 &gt;=Beginning_of_period) * (1-SUM($K356:CC356)) /  IFERROR((DATEDIF(Beginning_of_period,$G356,"m") + 1) / Months_in_Period,0),0)</f>
        <v>0</v>
      </c>
      <c r="CE356" s="231">
        <f xml:space="preserve"> IFERROR(($E356&gt;0)*($E356 &lt;=End_of_period) * ($G356 &gt;=Beginning_of_period) * (1-SUM($K356:CD356)) /  IFERROR((DATEDIF(Beginning_of_period,$G356,"m") + 1) / Months_in_Period,0),0)</f>
        <v>0</v>
      </c>
      <c r="CF356" s="231">
        <f xml:space="preserve"> IFERROR(($E356&gt;0)*($E356 &lt;=End_of_period) * ($G356 &gt;=Beginning_of_period) * (1-SUM($K356:CE356)) /  IFERROR((DATEDIF(Beginning_of_period,$G356,"m") + 1) / Months_in_Period,0),0)</f>
        <v>0</v>
      </c>
      <c r="CG356" s="231">
        <f xml:space="preserve"> IFERROR(($E356&gt;0)*($E356 &lt;=End_of_period) * ($G356 &gt;=Beginning_of_period) * (1-SUM($K356:CF356)) /  IFERROR((DATEDIF(Beginning_of_period,$G356,"m") + 1) / Months_in_Period,0),0)</f>
        <v>0</v>
      </c>
      <c r="CH356" s="231">
        <f xml:space="preserve"> IFERROR(($E356&gt;0)*($E356 &lt;=End_of_period) * ($G356 &gt;=Beginning_of_period) * (1-SUM($K356:CG356)) /  IFERROR((DATEDIF(Beginning_of_period,$G356,"m") + 1) / Months_in_Period,0),0)</f>
        <v>0</v>
      </c>
      <c r="CI356" s="231">
        <f xml:space="preserve"> IFERROR(($E356&gt;0)*($E356 &lt;=End_of_period) * ($G356 &gt;=Beginning_of_period) * (1-SUM($K356:CH356)) /  IFERROR((DATEDIF(Beginning_of_period,$G356,"m") + 1) / Months_in_Period,0),0)</f>
        <v>0</v>
      </c>
      <c r="CJ356" s="231">
        <f xml:space="preserve"> IFERROR(($E356&gt;0)*($E356 &lt;=End_of_period) * ($G356 &gt;=Beginning_of_period) * (1-SUM($K356:CI356)) /  IFERROR((DATEDIF(Beginning_of_period,$G356,"m") + 1) / Months_in_Period,0),0)</f>
        <v>0</v>
      </c>
      <c r="CK356" s="231">
        <f xml:space="preserve"> IFERROR(($E356&gt;0)*($E356 &lt;=End_of_period) * ($G356 &gt;=Beginning_of_period) * (1-SUM($K356:CJ356)) /  IFERROR((DATEDIF(Beginning_of_period,$G356,"m") + 1) / Months_in_Period,0),0)</f>
        <v>0</v>
      </c>
      <c r="CL356" s="231">
        <f xml:space="preserve"> IFERROR(($E356&gt;0)*($E356 &lt;=End_of_period) * ($G356 &gt;=Beginning_of_period) * (1-SUM($K356:CK356)) /  IFERROR((DATEDIF(Beginning_of_period,$G356,"m") + 1) / Months_in_Period,0),0)</f>
        <v>0</v>
      </c>
      <c r="CM356" s="231">
        <f xml:space="preserve"> IFERROR(($E356&gt;0)*($E356 &lt;=End_of_period) * ($G356 &gt;=Beginning_of_period) * (1-SUM($K356:CL356)) /  IFERROR((DATEDIF(Beginning_of_period,$G356,"m") + 1) / Months_in_Period,0),0)</f>
        <v>0</v>
      </c>
      <c r="CN356" s="231">
        <f xml:space="preserve"> IFERROR(($E356&gt;0)*($E356 &lt;=End_of_period) * ($G356 &gt;=Beginning_of_period) * (1-SUM($K356:CM356)) /  IFERROR((DATEDIF(Beginning_of_period,$G356,"m") + 1) / Months_in_Period,0),0)</f>
        <v>0</v>
      </c>
      <c r="CO356" s="231">
        <f xml:space="preserve"> IFERROR(($E356&gt;0)*($E356 &lt;=End_of_period) * ($G356 &gt;=Beginning_of_period) * (1-SUM($K356:CN356)) /  IFERROR((DATEDIF(Beginning_of_period,$G356,"m") + 1) / Months_in_Period,0),0)</f>
        <v>0</v>
      </c>
      <c r="CP356" s="10"/>
    </row>
    <row r="357" spans="1:94" ht="15" hidden="1" customHeight="1">
      <c r="A357" s="10"/>
      <c r="B357" s="3"/>
      <c r="C357" s="17" t="s">
        <v>848</v>
      </c>
      <c r="D357" s="10"/>
      <c r="E357" s="71"/>
      <c r="F357" s="10"/>
      <c r="G357" s="479"/>
      <c r="H357" s="149">
        <f xml:space="preserve"> IFERROR((DATEDIF(E357,G357,"m") + 1) / Months_in_Period,0)</f>
        <v>0.33333333333333331</v>
      </c>
      <c r="I357" s="231">
        <f t="shared" si="126"/>
        <v>1</v>
      </c>
      <c r="J357" s="10"/>
      <c r="K357" s="10"/>
      <c r="L357" s="231">
        <f xml:space="preserve"> IFERROR(($E357&gt;0)*($E357 &lt;=End_of_period) * ($G357 &gt;=Beginning_of_period) * (1-SUM($K357:K357)) /  IFERROR((DATEDIF(Beginning_of_period,$G357,"m") + 1) / Months_in_Period,0),0)</f>
        <v>0</v>
      </c>
      <c r="M357" s="231">
        <f xml:space="preserve"> IFERROR(($E357&gt;0)*($E357 &lt;=End_of_period) * ($G357 &gt;=Beginning_of_period) * (1-SUM($K357:L357)) /  IFERROR((DATEDIF(Beginning_of_period,$G357,"m") + 1) / Months_in_Period,0),0)</f>
        <v>0</v>
      </c>
      <c r="N357" s="231">
        <f xml:space="preserve"> IFERROR(($E357&gt;0)*($E357 &lt;=End_of_period) * ($G357 &gt;=Beginning_of_period) * (1-SUM($K357:M357)) /  IFERROR((DATEDIF(Beginning_of_period,$G357,"m") + 1) / Months_in_Period,0),0)</f>
        <v>0</v>
      </c>
      <c r="O357" s="231">
        <f xml:space="preserve"> IFERROR(($E357&gt;0)*($E357 &lt;=End_of_period) * ($G357 &gt;=Beginning_of_period) * (1-SUM($K357:N357)) /  IFERROR((DATEDIF(Beginning_of_period,$G357,"m") + 1) / Months_in_Period,0),0)</f>
        <v>0</v>
      </c>
      <c r="P357" s="231">
        <f xml:space="preserve"> IFERROR(($E357&gt;0)*($E357 &lt;=End_of_period) * ($G357 &gt;=Beginning_of_period) * (1-SUM($K357:O357)) /  IFERROR((DATEDIF(Beginning_of_period,$G357,"m") + 1) / Months_in_Period,0),0)</f>
        <v>0</v>
      </c>
      <c r="Q357" s="231">
        <f xml:space="preserve"> IFERROR(($E357&gt;0)*($E357 &lt;=End_of_period) * ($G357 &gt;=Beginning_of_period) * (1-SUM($K357:P357)) /  IFERROR((DATEDIF(Beginning_of_period,$G357,"m") + 1) / Months_in_Period,0),0)</f>
        <v>0</v>
      </c>
      <c r="R357" s="231">
        <f xml:space="preserve"> IFERROR(($E357&gt;0)*($E357 &lt;=End_of_period) * ($G357 &gt;=Beginning_of_period) * (1-SUM($K357:Q357)) /  IFERROR((DATEDIF(Beginning_of_period,$G357,"m") + 1) / Months_in_Period,0),0)</f>
        <v>0</v>
      </c>
      <c r="S357" s="231">
        <f xml:space="preserve"> IFERROR(($E357&gt;0)*($E357 &lt;=End_of_period) * ($G357 &gt;=Beginning_of_period) * (1-SUM($K357:R357)) /  IFERROR((DATEDIF(Beginning_of_period,$G357,"m") + 1) / Months_in_Period,0),0)</f>
        <v>0</v>
      </c>
      <c r="T357" s="231">
        <f xml:space="preserve"> IFERROR(($E357&gt;0)*($E357 &lt;=End_of_period) * ($G357 &gt;=Beginning_of_period) * (1-SUM($K357:S357)) /  IFERROR((DATEDIF(Beginning_of_period,$G357,"m") + 1) / Months_in_Period,0),0)</f>
        <v>0</v>
      </c>
      <c r="U357" s="231">
        <f xml:space="preserve"> IFERROR(($E357&gt;0)*($E357 &lt;=End_of_period) * ($G357 &gt;=Beginning_of_period) * (1-SUM($K357:T357)) /  IFERROR((DATEDIF(Beginning_of_period,$G357,"m") + 1) / Months_in_Period,0),0)</f>
        <v>0</v>
      </c>
      <c r="V357" s="231">
        <f xml:space="preserve"> IFERROR(($E357&gt;0)*($E357 &lt;=End_of_period) * ($G357 &gt;=Beginning_of_period) * (1-SUM($K357:U357)) /  IFERROR((DATEDIF(Beginning_of_period,$G357,"m") + 1) / Months_in_Period,0),0)</f>
        <v>0</v>
      </c>
      <c r="W357" s="231">
        <f xml:space="preserve"> IFERROR(($E357&gt;0)*($E357 &lt;=End_of_period) * ($G357 &gt;=Beginning_of_period) * (1-SUM($K357:V357)) /  IFERROR((DATEDIF(Beginning_of_period,$G357,"m") + 1) / Months_in_Period,0),0)</f>
        <v>0</v>
      </c>
      <c r="X357" s="231">
        <f xml:space="preserve"> IFERROR(($E357&gt;0)*($E357 &lt;=End_of_period) * ($G357 &gt;=Beginning_of_period) * (1-SUM($K357:W357)) /  IFERROR((DATEDIF(Beginning_of_period,$G357,"m") + 1) / Months_in_Period,0),0)</f>
        <v>0</v>
      </c>
      <c r="Y357" s="231">
        <f xml:space="preserve"> IFERROR(($E357&gt;0)*($E357 &lt;=End_of_period) * ($G357 &gt;=Beginning_of_period) * (1-SUM($K357:X357)) /  IFERROR((DATEDIF(Beginning_of_period,$G357,"m") + 1) / Months_in_Period,0),0)</f>
        <v>0</v>
      </c>
      <c r="Z357" s="231">
        <f xml:space="preserve"> IFERROR(($E357&gt;0)*($E357 &lt;=End_of_period) * ($G357 &gt;=Beginning_of_period) * (1-SUM($K357:Y357)) /  IFERROR((DATEDIF(Beginning_of_period,$G357,"m") + 1) / Months_in_Period,0),0)</f>
        <v>0</v>
      </c>
      <c r="AA357" s="231">
        <f xml:space="preserve"> IFERROR(($E357&gt;0)*($E357 &lt;=End_of_period) * ($G357 &gt;=Beginning_of_period) * (1-SUM($K357:Z357)) /  IFERROR((DATEDIF(Beginning_of_period,$G357,"m") + 1) / Months_in_Period,0),0)</f>
        <v>0</v>
      </c>
      <c r="AB357" s="231">
        <f xml:space="preserve"> IFERROR(($E357&gt;0)*($E357 &lt;=End_of_period) * ($G357 &gt;=Beginning_of_period) * (1-SUM($K357:AA357)) /  IFERROR((DATEDIF(Beginning_of_period,$G357,"m") + 1) / Months_in_Period,0),0)</f>
        <v>0</v>
      </c>
      <c r="AC357" s="231">
        <f xml:space="preserve"> IFERROR(($E357&gt;0)*($E357 &lt;=End_of_period) * ($G357 &gt;=Beginning_of_period) * (1-SUM($K357:AB357)) /  IFERROR((DATEDIF(Beginning_of_period,$G357,"m") + 1) / Months_in_Period,0),0)</f>
        <v>0</v>
      </c>
      <c r="AD357" s="231">
        <f xml:space="preserve"> IFERROR(($E357&gt;0)*($E357 &lt;=End_of_period) * ($G357 &gt;=Beginning_of_period) * (1-SUM($K357:AC357)) /  IFERROR((DATEDIF(Beginning_of_period,$G357,"m") + 1) / Months_in_Period,0),0)</f>
        <v>0</v>
      </c>
      <c r="AE357" s="231">
        <f xml:space="preserve"> IFERROR(($E357&gt;0)*($E357 &lt;=End_of_period) * ($G357 &gt;=Beginning_of_period) * (1-SUM($K357:AD357)) /  IFERROR((DATEDIF(Beginning_of_period,$G357,"m") + 1) / Months_in_Period,0),0)</f>
        <v>0</v>
      </c>
      <c r="AF357" s="231">
        <f xml:space="preserve"> IFERROR(($E357&gt;0)*($E357 &lt;=End_of_period) * ($G357 &gt;=Beginning_of_period) * (1-SUM($K357:AE357)) /  IFERROR((DATEDIF(Beginning_of_period,$G357,"m") + 1) / Months_in_Period,0),0)</f>
        <v>0</v>
      </c>
      <c r="AG357" s="231">
        <f xml:space="preserve"> IFERROR(($E357&gt;0)*($E357 &lt;=End_of_period) * ($G357 &gt;=Beginning_of_period) * (1-SUM($K357:AF357)) /  IFERROR((DATEDIF(Beginning_of_period,$G357,"m") + 1) / Months_in_Period,0),0)</f>
        <v>0</v>
      </c>
      <c r="AH357" s="231">
        <f xml:space="preserve"> IFERROR(($E357&gt;0)*($E357 &lt;=End_of_period) * ($G357 &gt;=Beginning_of_period) * (1-SUM($K357:AG357)) /  IFERROR((DATEDIF(Beginning_of_period,$G357,"m") + 1) / Months_in_Period,0),0)</f>
        <v>0</v>
      </c>
      <c r="AI357" s="231">
        <f xml:space="preserve"> IFERROR(($E357&gt;0)*($E357 &lt;=End_of_period) * ($G357 &gt;=Beginning_of_period) * (1-SUM($K357:AH357)) /  IFERROR((DATEDIF(Beginning_of_period,$G357,"m") + 1) / Months_in_Period,0),0)</f>
        <v>0</v>
      </c>
      <c r="AJ357" s="231">
        <f xml:space="preserve"> IFERROR(($E357&gt;0)*($E357 &lt;=End_of_period) * ($G357 &gt;=Beginning_of_period) * (1-SUM($K357:AI357)) /  IFERROR((DATEDIF(Beginning_of_period,$G357,"m") + 1) / Months_in_Period,0),0)</f>
        <v>0</v>
      </c>
      <c r="AK357" s="231">
        <f xml:space="preserve"> IFERROR(($E357&gt;0)*($E357 &lt;=End_of_period) * ($G357 &gt;=Beginning_of_period) * (1-SUM($K357:AJ357)) /  IFERROR((DATEDIF(Beginning_of_period,$G357,"m") + 1) / Months_in_Period,0),0)</f>
        <v>0</v>
      </c>
      <c r="AL357" s="231">
        <f xml:space="preserve"> IFERROR(($E357&gt;0)*($E357 &lt;=End_of_period) * ($G357 &gt;=Beginning_of_period) * (1-SUM($K357:AK357)) /  IFERROR((DATEDIF(Beginning_of_period,$G357,"m") + 1) / Months_in_Period,0),0)</f>
        <v>0</v>
      </c>
      <c r="AM357" s="231">
        <f xml:space="preserve"> IFERROR(($E357&gt;0)*($E357 &lt;=End_of_period) * ($G357 &gt;=Beginning_of_period) * (1-SUM($K357:AL357)) /  IFERROR((DATEDIF(Beginning_of_period,$G357,"m") + 1) / Months_in_Period,0),0)</f>
        <v>0</v>
      </c>
      <c r="AN357" s="231">
        <f xml:space="preserve"> IFERROR(($E357&gt;0)*($E357 &lt;=End_of_period) * ($G357 &gt;=Beginning_of_period) * (1-SUM($K357:AM357)) /  IFERROR((DATEDIF(Beginning_of_period,$G357,"m") + 1) / Months_in_Period,0),0)</f>
        <v>0</v>
      </c>
      <c r="AO357" s="231">
        <f xml:space="preserve"> IFERROR(($E357&gt;0)*($E357 &lt;=End_of_period) * ($G357 &gt;=Beginning_of_period) * (1-SUM($K357:AN357)) /  IFERROR((DATEDIF(Beginning_of_period,$G357,"m") + 1) / Months_in_Period,0),0)</f>
        <v>0</v>
      </c>
      <c r="AP357" s="231">
        <f xml:space="preserve"> IFERROR(($E357&gt;0)*($E357 &lt;=End_of_period) * ($G357 &gt;=Beginning_of_period) * (1-SUM($K357:AO357)) /  IFERROR((DATEDIF(Beginning_of_period,$G357,"m") + 1) / Months_in_Period,0),0)</f>
        <v>0</v>
      </c>
      <c r="AQ357" s="231">
        <f xml:space="preserve"> IFERROR(($E357&gt;0)*($E357 &lt;=End_of_period) * ($G357 &gt;=Beginning_of_period) * (1-SUM($K357:AP357)) /  IFERROR((DATEDIF(Beginning_of_period,$G357,"m") + 1) / Months_in_Period,0),0)</f>
        <v>0</v>
      </c>
      <c r="AR357" s="231">
        <f xml:space="preserve"> IFERROR(($E357&gt;0)*($E357 &lt;=End_of_period) * ($G357 &gt;=Beginning_of_period) * (1-SUM($K357:AQ357)) /  IFERROR((DATEDIF(Beginning_of_period,$G357,"m") + 1) / Months_in_Period,0),0)</f>
        <v>0</v>
      </c>
      <c r="AS357" s="231">
        <f xml:space="preserve"> IFERROR(($E357&gt;0)*($E357 &lt;=End_of_period) * ($G357 &gt;=Beginning_of_period) * (1-SUM($K357:AR357)) /  IFERROR((DATEDIF(Beginning_of_period,$G357,"m") + 1) / Months_in_Period,0),0)</f>
        <v>0</v>
      </c>
      <c r="AT357" s="231">
        <f xml:space="preserve"> IFERROR(($E357&gt;0)*($E357 &lt;=End_of_period) * ($G357 &gt;=Beginning_of_period) * (1-SUM($K357:AS357)) /  IFERROR((DATEDIF(Beginning_of_period,$G357,"m") + 1) / Months_in_Period,0),0)</f>
        <v>0</v>
      </c>
      <c r="AU357" s="231">
        <f xml:space="preserve"> IFERROR(($E357&gt;0)*($E357 &lt;=End_of_period) * ($G357 &gt;=Beginning_of_period) * (1-SUM($K357:AT357)) /  IFERROR((DATEDIF(Beginning_of_period,$G357,"m") + 1) / Months_in_Period,0),0)</f>
        <v>0</v>
      </c>
      <c r="AV357" s="231">
        <f xml:space="preserve"> IFERROR(($E357&gt;0)*($E357 &lt;=End_of_period) * ($G357 &gt;=Beginning_of_period) * (1-SUM($K357:AU357)) /  IFERROR((DATEDIF(Beginning_of_period,$G357,"m") + 1) / Months_in_Period,0),0)</f>
        <v>0</v>
      </c>
      <c r="AW357" s="231">
        <f xml:space="preserve"> IFERROR(($E357&gt;0)*($E357 &lt;=End_of_period) * ($G357 &gt;=Beginning_of_period) * (1-SUM($K357:AV357)) /  IFERROR((DATEDIF(Beginning_of_period,$G357,"m") + 1) / Months_in_Period,0),0)</f>
        <v>0</v>
      </c>
      <c r="AX357" s="231">
        <f xml:space="preserve"> IFERROR(($E357&gt;0)*($E357 &lt;=End_of_period) * ($G357 &gt;=Beginning_of_period) * (1-SUM($K357:AW357)) /  IFERROR((DATEDIF(Beginning_of_period,$G357,"m") + 1) / Months_in_Period,0),0)</f>
        <v>0</v>
      </c>
      <c r="AY357" s="231">
        <f xml:space="preserve"> IFERROR(($E357&gt;0)*($E357 &lt;=End_of_period) * ($G357 &gt;=Beginning_of_period) * (1-SUM($K357:AX357)) /  IFERROR((DATEDIF(Beginning_of_period,$G357,"m") + 1) / Months_in_Period,0),0)</f>
        <v>0</v>
      </c>
      <c r="AZ357" s="231">
        <f xml:space="preserve"> IFERROR(($E357&gt;0)*($E357 &lt;=End_of_period) * ($G357 &gt;=Beginning_of_period) * (1-SUM($K357:AY357)) /  IFERROR((DATEDIF(Beginning_of_period,$G357,"m") + 1) / Months_in_Period,0),0)</f>
        <v>0</v>
      </c>
      <c r="BA357" s="231">
        <f xml:space="preserve"> IFERROR(($E357&gt;0)*($E357 &lt;=End_of_period) * ($G357 &gt;=Beginning_of_period) * (1-SUM($K357:AZ357)) /  IFERROR((DATEDIF(Beginning_of_period,$G357,"m") + 1) / Months_in_Period,0),0)</f>
        <v>0</v>
      </c>
      <c r="BB357" s="231">
        <f xml:space="preserve"> IFERROR(($E357&gt;0)*($E357 &lt;=End_of_period) * ($G357 &gt;=Beginning_of_period) * (1-SUM($K357:BA357)) /  IFERROR((DATEDIF(Beginning_of_period,$G357,"m") + 1) / Months_in_Period,0),0)</f>
        <v>0</v>
      </c>
      <c r="BC357" s="231">
        <f xml:space="preserve"> IFERROR(($E357&gt;0)*($E357 &lt;=End_of_period) * ($G357 &gt;=Beginning_of_period) * (1-SUM($K357:BB357)) /  IFERROR((DATEDIF(Beginning_of_period,$G357,"m") + 1) / Months_in_Period,0),0)</f>
        <v>0</v>
      </c>
      <c r="BD357" s="231">
        <f xml:space="preserve"> IFERROR(($E357&gt;0)*($E357 &lt;=End_of_period) * ($G357 &gt;=Beginning_of_period) * (1-SUM($K357:BC357)) /  IFERROR((DATEDIF(Beginning_of_period,$G357,"m") + 1) / Months_in_Period,0),0)</f>
        <v>0</v>
      </c>
      <c r="BE357" s="231">
        <f xml:space="preserve"> IFERROR(($E357&gt;0)*($E357 &lt;=End_of_period) * ($G357 &gt;=Beginning_of_period) * (1-SUM($K357:BD357)) /  IFERROR((DATEDIF(Beginning_of_period,$G357,"m") + 1) / Months_in_Period,0),0)</f>
        <v>0</v>
      </c>
      <c r="BF357" s="231">
        <f xml:space="preserve"> IFERROR(($E357&gt;0)*($E357 &lt;=End_of_period) * ($G357 &gt;=Beginning_of_period) * (1-SUM($K357:BE357)) /  IFERROR((DATEDIF(Beginning_of_period,$G357,"m") + 1) / Months_in_Period,0),0)</f>
        <v>0</v>
      </c>
      <c r="BG357" s="231">
        <f xml:space="preserve"> IFERROR(($E357&gt;0)*($E357 &lt;=End_of_period) * ($G357 &gt;=Beginning_of_period) * (1-SUM($K357:BF357)) /  IFERROR((DATEDIF(Beginning_of_period,$G357,"m") + 1) / Months_in_Period,0),0)</f>
        <v>0</v>
      </c>
      <c r="BH357" s="231">
        <f xml:space="preserve"> IFERROR(($E357&gt;0)*($E357 &lt;=End_of_period) * ($G357 &gt;=Beginning_of_period) * (1-SUM($K357:BG357)) /  IFERROR((DATEDIF(Beginning_of_period,$G357,"m") + 1) / Months_in_Period,0),0)</f>
        <v>0</v>
      </c>
      <c r="BI357" s="231">
        <f xml:space="preserve"> IFERROR(($E357&gt;0)*($E357 &lt;=End_of_period) * ($G357 &gt;=Beginning_of_period) * (1-SUM($K357:BH357)) /  IFERROR((DATEDIF(Beginning_of_period,$G357,"m") + 1) / Months_in_Period,0),0)</f>
        <v>0</v>
      </c>
      <c r="BJ357" s="231">
        <f xml:space="preserve"> IFERROR(($E357&gt;0)*($E357 &lt;=End_of_period) * ($G357 &gt;=Beginning_of_period) * (1-SUM($K357:BI357)) /  IFERROR((DATEDIF(Beginning_of_period,$G357,"m") + 1) / Months_in_Period,0),0)</f>
        <v>0</v>
      </c>
      <c r="BK357" s="231">
        <f xml:space="preserve"> IFERROR(($E357&gt;0)*($E357 &lt;=End_of_period) * ($G357 &gt;=Beginning_of_period) * (1-SUM($K357:BJ357)) /  IFERROR((DATEDIF(Beginning_of_period,$G357,"m") + 1) / Months_in_Period,0),0)</f>
        <v>0</v>
      </c>
      <c r="BL357" s="231">
        <f xml:space="preserve"> IFERROR(($E357&gt;0)*($E357 &lt;=End_of_period) * ($G357 &gt;=Beginning_of_period) * (1-SUM($K357:BK357)) /  IFERROR((DATEDIF(Beginning_of_period,$G357,"m") + 1) / Months_in_Period,0),0)</f>
        <v>0</v>
      </c>
      <c r="BM357" s="231">
        <f xml:space="preserve"> IFERROR(($E357&gt;0)*($E357 &lt;=End_of_period) * ($G357 &gt;=Beginning_of_period) * (1-SUM($K357:BL357)) /  IFERROR((DATEDIF(Beginning_of_period,$G357,"m") + 1) / Months_in_Period,0),0)</f>
        <v>0</v>
      </c>
      <c r="BN357" s="231">
        <f xml:space="preserve"> IFERROR(($E357&gt;0)*($E357 &lt;=End_of_period) * ($G357 &gt;=Beginning_of_period) * (1-SUM($K357:BM357)) /  IFERROR((DATEDIF(Beginning_of_period,$G357,"m") + 1) / Months_in_Period,0),0)</f>
        <v>0</v>
      </c>
      <c r="BO357" s="231">
        <f xml:space="preserve"> IFERROR(($E357&gt;0)*($E357 &lt;=End_of_period) * ($G357 &gt;=Beginning_of_period) * (1-SUM($K357:BN357)) /  IFERROR((DATEDIF(Beginning_of_period,$G357,"m") + 1) / Months_in_Period,0),0)</f>
        <v>0</v>
      </c>
      <c r="BP357" s="231">
        <f xml:space="preserve"> IFERROR(($E357&gt;0)*($E357 &lt;=End_of_period) * ($G357 &gt;=Beginning_of_period) * (1-SUM($K357:BO357)) /  IFERROR((DATEDIF(Beginning_of_period,$G357,"m") + 1) / Months_in_Period,0),0)</f>
        <v>0</v>
      </c>
      <c r="BQ357" s="231">
        <f xml:space="preserve"> IFERROR(($E357&gt;0)*($E357 &lt;=End_of_period) * ($G357 &gt;=Beginning_of_period) * (1-SUM($K357:BP357)) /  IFERROR((DATEDIF(Beginning_of_period,$G357,"m") + 1) / Months_in_Period,0),0)</f>
        <v>0</v>
      </c>
      <c r="BR357" s="231">
        <f xml:space="preserve"> IFERROR(($E357&gt;0)*($E357 &lt;=End_of_period) * ($G357 &gt;=Beginning_of_period) * (1-SUM($K357:BQ357)) /  IFERROR((DATEDIF(Beginning_of_period,$G357,"m") + 1) / Months_in_Period,0),0)</f>
        <v>0</v>
      </c>
      <c r="BS357" s="231">
        <f xml:space="preserve"> IFERROR(($E357&gt;0)*($E357 &lt;=End_of_period) * ($G357 &gt;=Beginning_of_period) * (1-SUM($K357:BR357)) /  IFERROR((DATEDIF(Beginning_of_period,$G357,"m") + 1) / Months_in_Period,0),0)</f>
        <v>0</v>
      </c>
      <c r="BT357" s="231">
        <f xml:space="preserve"> IFERROR(($E357&gt;0)*($E357 &lt;=End_of_period) * ($G357 &gt;=Beginning_of_period) * (1-SUM($K357:BS357)) /  IFERROR((DATEDIF(Beginning_of_period,$G357,"m") + 1) / Months_in_Period,0),0)</f>
        <v>0</v>
      </c>
      <c r="BU357" s="231">
        <f xml:space="preserve"> IFERROR(($E357&gt;0)*($E357 &lt;=End_of_period) * ($G357 &gt;=Beginning_of_period) * (1-SUM($K357:BT357)) /  IFERROR((DATEDIF(Beginning_of_period,$G357,"m") + 1) / Months_in_Period,0),0)</f>
        <v>0</v>
      </c>
      <c r="BV357" s="231">
        <f xml:space="preserve"> IFERROR(($E357&gt;0)*($E357 &lt;=End_of_period) * ($G357 &gt;=Beginning_of_period) * (1-SUM($K357:BU357)) /  IFERROR((DATEDIF(Beginning_of_period,$G357,"m") + 1) / Months_in_Period,0),0)</f>
        <v>0</v>
      </c>
      <c r="BW357" s="231">
        <f xml:space="preserve"> IFERROR(($E357&gt;0)*($E357 &lt;=End_of_period) * ($G357 &gt;=Beginning_of_period) * (1-SUM($K357:BV357)) /  IFERROR((DATEDIF(Beginning_of_period,$G357,"m") + 1) / Months_in_Period,0),0)</f>
        <v>0</v>
      </c>
      <c r="BX357" s="231">
        <f xml:space="preserve"> IFERROR(($E357&gt;0)*($E357 &lt;=End_of_period) * ($G357 &gt;=Beginning_of_period) * (1-SUM($K357:BW357)) /  IFERROR((DATEDIF(Beginning_of_period,$G357,"m") + 1) / Months_in_Period,0),0)</f>
        <v>0</v>
      </c>
      <c r="BY357" s="231">
        <f xml:space="preserve"> IFERROR(($E357&gt;0)*($E357 &lt;=End_of_period) * ($G357 &gt;=Beginning_of_period) * (1-SUM($K357:BX357)) /  IFERROR((DATEDIF(Beginning_of_period,$G357,"m") + 1) / Months_in_Period,0),0)</f>
        <v>0</v>
      </c>
      <c r="BZ357" s="231">
        <f xml:space="preserve"> IFERROR(($E357&gt;0)*($E357 &lt;=End_of_period) * ($G357 &gt;=Beginning_of_period) * (1-SUM($K357:BY357)) /  IFERROR((DATEDIF(Beginning_of_period,$G357,"m") + 1) / Months_in_Period,0),0)</f>
        <v>0</v>
      </c>
      <c r="CA357" s="231">
        <f xml:space="preserve"> IFERROR(($E357&gt;0)*($E357 &lt;=End_of_period) * ($G357 &gt;=Beginning_of_period) * (1-SUM($K357:BZ357)) /  IFERROR((DATEDIF(Beginning_of_period,$G357,"m") + 1) / Months_in_Period,0),0)</f>
        <v>0</v>
      </c>
      <c r="CB357" s="231">
        <f xml:space="preserve"> IFERROR(($E357&gt;0)*($E357 &lt;=End_of_period) * ($G357 &gt;=Beginning_of_period) * (1-SUM($K357:CA357)) /  IFERROR((DATEDIF(Beginning_of_period,$G357,"m") + 1) / Months_in_Period,0),0)</f>
        <v>0</v>
      </c>
      <c r="CC357" s="231">
        <f xml:space="preserve"> IFERROR(($E357&gt;0)*($E357 &lt;=End_of_period) * ($G357 &gt;=Beginning_of_period) * (1-SUM($K357:CB357)) /  IFERROR((DATEDIF(Beginning_of_period,$G357,"m") + 1) / Months_in_Period,0),0)</f>
        <v>0</v>
      </c>
      <c r="CD357" s="231">
        <f xml:space="preserve"> IFERROR(($E357&gt;0)*($E357 &lt;=End_of_period) * ($G357 &gt;=Beginning_of_period) * (1-SUM($K357:CC357)) /  IFERROR((DATEDIF(Beginning_of_period,$G357,"m") + 1) / Months_in_Period,0),0)</f>
        <v>0</v>
      </c>
      <c r="CE357" s="231">
        <f xml:space="preserve"> IFERROR(($E357&gt;0)*($E357 &lt;=End_of_period) * ($G357 &gt;=Beginning_of_period) * (1-SUM($K357:CD357)) /  IFERROR((DATEDIF(Beginning_of_period,$G357,"m") + 1) / Months_in_Period,0),0)</f>
        <v>0</v>
      </c>
      <c r="CF357" s="231">
        <f xml:space="preserve"> IFERROR(($E357&gt;0)*($E357 &lt;=End_of_period) * ($G357 &gt;=Beginning_of_period) * (1-SUM($K357:CE357)) /  IFERROR((DATEDIF(Beginning_of_period,$G357,"m") + 1) / Months_in_Period,0),0)</f>
        <v>0</v>
      </c>
      <c r="CG357" s="231">
        <f xml:space="preserve"> IFERROR(($E357&gt;0)*($E357 &lt;=End_of_period) * ($G357 &gt;=Beginning_of_period) * (1-SUM($K357:CF357)) /  IFERROR((DATEDIF(Beginning_of_period,$G357,"m") + 1) / Months_in_Period,0),0)</f>
        <v>0</v>
      </c>
      <c r="CH357" s="231">
        <f xml:space="preserve"> IFERROR(($E357&gt;0)*($E357 &lt;=End_of_period) * ($G357 &gt;=Beginning_of_period) * (1-SUM($K357:CG357)) /  IFERROR((DATEDIF(Beginning_of_period,$G357,"m") + 1) / Months_in_Period,0),0)</f>
        <v>0</v>
      </c>
      <c r="CI357" s="231">
        <f xml:space="preserve"> IFERROR(($E357&gt;0)*($E357 &lt;=End_of_period) * ($G357 &gt;=Beginning_of_period) * (1-SUM($K357:CH357)) /  IFERROR((DATEDIF(Beginning_of_period,$G357,"m") + 1) / Months_in_Period,0),0)</f>
        <v>0</v>
      </c>
      <c r="CJ357" s="231">
        <f xml:space="preserve"> IFERROR(($E357&gt;0)*($E357 &lt;=End_of_period) * ($G357 &gt;=Beginning_of_period) * (1-SUM($K357:CI357)) /  IFERROR((DATEDIF(Beginning_of_period,$G357,"m") + 1) / Months_in_Period,0),0)</f>
        <v>0</v>
      </c>
      <c r="CK357" s="231">
        <f xml:space="preserve"> IFERROR(($E357&gt;0)*($E357 &lt;=End_of_period) * ($G357 &gt;=Beginning_of_period) * (1-SUM($K357:CJ357)) /  IFERROR((DATEDIF(Beginning_of_period,$G357,"m") + 1) / Months_in_Period,0),0)</f>
        <v>0</v>
      </c>
      <c r="CL357" s="231">
        <f xml:space="preserve"> IFERROR(($E357&gt;0)*($E357 &lt;=End_of_period) * ($G357 &gt;=Beginning_of_period) * (1-SUM($K357:CK357)) /  IFERROR((DATEDIF(Beginning_of_period,$G357,"m") + 1) / Months_in_Period,0),0)</f>
        <v>0</v>
      </c>
      <c r="CM357" s="231">
        <f xml:space="preserve"> IFERROR(($E357&gt;0)*($E357 &lt;=End_of_period) * ($G357 &gt;=Beginning_of_period) * (1-SUM($K357:CL357)) /  IFERROR((DATEDIF(Beginning_of_period,$G357,"m") + 1) / Months_in_Period,0),0)</f>
        <v>0</v>
      </c>
      <c r="CN357" s="231">
        <f xml:space="preserve"> IFERROR(($E357&gt;0)*($E357 &lt;=End_of_period) * ($G357 &gt;=Beginning_of_period) * (1-SUM($K357:CM357)) /  IFERROR((DATEDIF(Beginning_of_period,$G357,"m") + 1) / Months_in_Period,0),0)</f>
        <v>0</v>
      </c>
      <c r="CO357" s="231">
        <f xml:space="preserve"> IFERROR(($E357&gt;0)*($E357 &lt;=End_of_period) * ($G357 &gt;=Beginning_of_period) * (1-SUM($K357:CN357)) /  IFERROR((DATEDIF(Beginning_of_period,$G357,"m") + 1) / Months_in_Period,0),0)</f>
        <v>0</v>
      </c>
      <c r="CP357" s="10"/>
    </row>
    <row r="358" spans="1:94" ht="15" customHeight="1">
      <c r="A358" s="10"/>
      <c r="B358" s="3"/>
      <c r="C358" s="17"/>
      <c r="D358" s="10"/>
      <c r="E358" s="10"/>
      <c r="F358" s="10"/>
      <c r="G358" s="11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  <c r="CD358" s="10"/>
      <c r="CE358" s="10"/>
      <c r="CF358" s="10"/>
      <c r="CG358" s="10"/>
      <c r="CH358" s="10"/>
      <c r="CI358" s="10"/>
      <c r="CJ358" s="10"/>
      <c r="CK358" s="10"/>
      <c r="CL358" s="10"/>
      <c r="CM358" s="10"/>
      <c r="CN358" s="10"/>
      <c r="CO358" s="10"/>
      <c r="CP358" s="10"/>
    </row>
    <row r="359" spans="1:94" ht="15" customHeight="1">
      <c r="A359" s="10"/>
      <c r="B359" s="3"/>
      <c r="C359" s="17"/>
      <c r="D359" s="10"/>
      <c r="E359" s="10" t="str">
        <f>"текушие цены на " &amp; TEXT(Расчеты!$E$85-1,"ДД.ММ.ГГГГ")</f>
        <v>текушие цены на 31.12.2024</v>
      </c>
      <c r="F359" s="10"/>
      <c r="G359" s="11"/>
      <c r="H359" s="10" t="s">
        <v>1205</v>
      </c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  <c r="CG359" s="10"/>
      <c r="CH359" s="10"/>
      <c r="CI359" s="10"/>
      <c r="CJ359" s="10"/>
      <c r="CK359" s="10"/>
      <c r="CL359" s="10"/>
      <c r="CM359" s="10"/>
      <c r="CN359" s="10"/>
      <c r="CO359" s="10"/>
      <c r="CP359" s="10"/>
    </row>
    <row r="360" spans="1:94" ht="15" customHeight="1">
      <c r="A360" s="10"/>
      <c r="B360" s="3"/>
      <c r="C360" s="24" t="s">
        <v>1207</v>
      </c>
      <c r="D360" s="24"/>
      <c r="E360" s="24">
        <f>SUM(E181+E213+E237,E293,E326,E352)</f>
        <v>4195618.4585369602</v>
      </c>
      <c r="F360" s="24"/>
      <c r="G360" s="135" t="str">
        <f>Monetary_Unit</f>
        <v>тыс. руб.</v>
      </c>
      <c r="H360" s="24">
        <f ca="1">SUM(H181+H213+H237,H293,H326,H352)</f>
        <v>4808399.504779838</v>
      </c>
      <c r="I360" s="24"/>
      <c r="J360" s="24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  <c r="CP360" s="10"/>
    </row>
    <row r="361" spans="1:94" ht="15" customHeight="1">
      <c r="A361" s="10"/>
      <c r="B361" s="3"/>
      <c r="C361" s="17"/>
      <c r="D361" s="10"/>
      <c r="E361" s="10"/>
      <c r="F361" s="10"/>
      <c r="G361" s="11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  <c r="CP361" s="10"/>
    </row>
    <row r="362" spans="1:94" ht="23.15" customHeight="1">
      <c r="A362" s="10"/>
      <c r="B362" s="5" t="s">
        <v>299</v>
      </c>
      <c r="C362" s="5"/>
      <c r="D362" s="31"/>
      <c r="E362" s="31"/>
      <c r="F362" s="31"/>
      <c r="G362" s="18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  <c r="BS362" s="31"/>
      <c r="BT362" s="31"/>
      <c r="BU362" s="31"/>
      <c r="BV362" s="31"/>
      <c r="BW362" s="31"/>
      <c r="BX362" s="31"/>
      <c r="BY362" s="31"/>
      <c r="BZ362" s="31"/>
      <c r="CA362" s="31"/>
      <c r="CB362" s="31"/>
      <c r="CC362" s="31"/>
      <c r="CD362" s="31"/>
      <c r="CE362" s="31"/>
      <c r="CF362" s="31"/>
      <c r="CG362" s="31"/>
      <c r="CH362" s="31"/>
      <c r="CI362" s="31"/>
      <c r="CJ362" s="31"/>
      <c r="CK362" s="31"/>
      <c r="CL362" s="31"/>
      <c r="CM362" s="31"/>
      <c r="CN362" s="31"/>
      <c r="CO362" s="31"/>
      <c r="CP362" s="10"/>
    </row>
    <row r="363" spans="1:94" ht="15" customHeight="1">
      <c r="A363" s="10"/>
      <c r="B363" s="10"/>
      <c r="C363" s="10"/>
      <c r="D363" s="10"/>
      <c r="E363" s="10"/>
      <c r="F363" s="10"/>
      <c r="G363" s="14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</row>
    <row r="364" spans="1:94" ht="15" customHeight="1">
      <c r="A364" s="10"/>
      <c r="B364" s="10"/>
      <c r="C364" s="67" t="s">
        <v>133</v>
      </c>
      <c r="D364" s="10"/>
      <c r="E364" s="10"/>
      <c r="F364" s="10"/>
      <c r="G364" s="14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</row>
    <row r="365" spans="1:94" ht="15" customHeight="1">
      <c r="A365" s="10"/>
      <c r="B365" s="10"/>
      <c r="C365" s="17" t="s">
        <v>868</v>
      </c>
      <c r="D365" s="10"/>
      <c r="E365" s="14">
        <v>30</v>
      </c>
      <c r="F365" s="10"/>
      <c r="G365" s="142" t="s">
        <v>123</v>
      </c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0"/>
      <c r="CP365" s="10"/>
    </row>
    <row r="366" spans="1:94" ht="15" customHeight="1">
      <c r="A366" s="10"/>
      <c r="B366" s="10"/>
      <c r="C366" s="17" t="s">
        <v>581</v>
      </c>
      <c r="D366" s="10"/>
      <c r="E366" s="14">
        <v>30</v>
      </c>
      <c r="F366" s="10"/>
      <c r="G366" s="142" t="s">
        <v>123</v>
      </c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0"/>
      <c r="CO366" s="10"/>
      <c r="CP366" s="10"/>
    </row>
    <row r="367" spans="1:94" ht="15" customHeight="1">
      <c r="A367" s="10"/>
      <c r="B367" s="10"/>
      <c r="C367" s="17" t="s">
        <v>635</v>
      </c>
      <c r="D367" s="10"/>
      <c r="E367" s="14">
        <v>7</v>
      </c>
      <c r="F367" s="10"/>
      <c r="G367" s="142" t="s">
        <v>123</v>
      </c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</row>
    <row r="368" spans="1:94" ht="15" customHeight="1">
      <c r="A368" s="10"/>
      <c r="B368" s="10"/>
      <c r="C368" s="17"/>
      <c r="D368" s="10"/>
      <c r="E368" s="10"/>
      <c r="F368" s="10"/>
      <c r="G368" s="14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</row>
    <row r="369" spans="1:94" ht="15" customHeight="1">
      <c r="A369" s="10"/>
      <c r="B369" s="10"/>
      <c r="C369" s="67" t="s">
        <v>134</v>
      </c>
      <c r="D369" s="10"/>
      <c r="E369" s="10"/>
      <c r="F369" s="10"/>
      <c r="G369" s="14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</row>
    <row r="370" spans="1:94" ht="15" customHeight="1">
      <c r="A370" s="10"/>
      <c r="B370" s="10"/>
      <c r="C370" s="17" t="s">
        <v>868</v>
      </c>
      <c r="D370" s="10"/>
      <c r="E370" s="14">
        <v>30</v>
      </c>
      <c r="F370" s="10"/>
      <c r="G370" s="142" t="s">
        <v>123</v>
      </c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</row>
    <row r="371" spans="1:94" ht="15" customHeight="1">
      <c r="A371" s="10"/>
      <c r="B371" s="10"/>
      <c r="C371" s="17" t="s">
        <v>581</v>
      </c>
      <c r="D371" s="10"/>
      <c r="E371" s="14">
        <v>30</v>
      </c>
      <c r="F371" s="10"/>
      <c r="G371" s="142" t="s">
        <v>123</v>
      </c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</row>
    <row r="372" spans="1:94" ht="15" customHeight="1">
      <c r="A372" s="10"/>
      <c r="B372" s="10"/>
      <c r="C372" s="17" t="s">
        <v>635</v>
      </c>
      <c r="D372" s="10"/>
      <c r="E372" s="14">
        <v>7</v>
      </c>
      <c r="F372" s="10"/>
      <c r="G372" s="142" t="s">
        <v>123</v>
      </c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</row>
    <row r="373" spans="1:94" ht="15" customHeight="1">
      <c r="A373" s="10"/>
      <c r="B373" s="10"/>
      <c r="C373" s="17"/>
      <c r="D373" s="10"/>
      <c r="E373" s="10"/>
      <c r="F373" s="10"/>
      <c r="G373" s="11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</row>
    <row r="374" spans="1:94" ht="15" customHeight="1">
      <c r="A374" s="10"/>
      <c r="B374" s="10"/>
      <c r="C374" s="67" t="s">
        <v>132</v>
      </c>
      <c r="D374" s="10"/>
      <c r="E374" s="10"/>
      <c r="F374" s="10"/>
      <c r="G374" s="14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</row>
    <row r="375" spans="1:94" ht="15" customHeight="1">
      <c r="A375" s="10"/>
      <c r="B375" s="10"/>
      <c r="C375" s="17" t="s">
        <v>868</v>
      </c>
      <c r="D375" s="10"/>
      <c r="E375" s="80">
        <v>0.1</v>
      </c>
      <c r="F375" s="10"/>
      <c r="G375" s="142" t="s">
        <v>28</v>
      </c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</row>
    <row r="376" spans="1:94" ht="15" customHeight="1">
      <c r="A376" s="10"/>
      <c r="B376" s="10"/>
      <c r="C376" s="17" t="s">
        <v>581</v>
      </c>
      <c r="D376" s="10"/>
      <c r="E376" s="80">
        <v>0.1</v>
      </c>
      <c r="F376" s="10"/>
      <c r="G376" s="142" t="s">
        <v>28</v>
      </c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</row>
    <row r="377" spans="1:94" ht="15" customHeight="1">
      <c r="A377" s="10"/>
      <c r="B377" s="10"/>
      <c r="C377" s="17" t="s">
        <v>635</v>
      </c>
      <c r="D377" s="10"/>
      <c r="E377" s="80">
        <v>0.3</v>
      </c>
      <c r="F377" s="10"/>
      <c r="G377" s="142" t="s">
        <v>28</v>
      </c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</row>
    <row r="378" spans="1:94" ht="15" customHeight="1">
      <c r="A378" s="10"/>
      <c r="B378" s="10"/>
      <c r="C378" s="17"/>
      <c r="D378" s="10"/>
      <c r="E378" s="10"/>
      <c r="F378" s="10"/>
      <c r="G378" s="14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</row>
    <row r="379" spans="1:94" ht="22.5" customHeight="1">
      <c r="A379" s="10"/>
      <c r="B379" s="5" t="s">
        <v>96</v>
      </c>
      <c r="C379" s="5"/>
      <c r="D379" s="5"/>
      <c r="E379" s="5"/>
      <c r="F379" s="5"/>
      <c r="G379" s="6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  <c r="BS379" s="31"/>
      <c r="BT379" s="31"/>
      <c r="BU379" s="31"/>
      <c r="BV379" s="31"/>
      <c r="BW379" s="31"/>
      <c r="BX379" s="31"/>
      <c r="BY379" s="31"/>
      <c r="BZ379" s="31"/>
      <c r="CA379" s="31"/>
      <c r="CB379" s="31"/>
      <c r="CC379" s="31"/>
      <c r="CD379" s="31"/>
      <c r="CE379" s="31"/>
      <c r="CF379" s="31"/>
      <c r="CG379" s="31"/>
      <c r="CH379" s="31"/>
      <c r="CI379" s="31"/>
      <c r="CJ379" s="31"/>
      <c r="CK379" s="31"/>
      <c r="CL379" s="31"/>
      <c r="CM379" s="31"/>
      <c r="CN379" s="31"/>
      <c r="CO379" s="31"/>
      <c r="CP379" s="10"/>
    </row>
    <row r="380" spans="1:94">
      <c r="A380" s="10"/>
      <c r="B380" s="10"/>
      <c r="C380" s="10"/>
      <c r="D380" s="10"/>
      <c r="E380" s="10"/>
      <c r="F380" s="10"/>
      <c r="G380" s="11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  <c r="CP380" s="10"/>
    </row>
    <row r="381" spans="1:94" ht="15" customHeight="1">
      <c r="A381" s="10"/>
      <c r="B381" s="3"/>
      <c r="C381" s="384" t="str">
        <f>C244</f>
        <v>Сегмент 1: Объект размещения (отель)</v>
      </c>
      <c r="D381" s="273"/>
      <c r="E381" s="273"/>
      <c r="F381" s="273"/>
      <c r="G381" s="274"/>
      <c r="H381" s="273"/>
      <c r="I381" s="273"/>
      <c r="J381" s="273"/>
      <c r="K381" s="273"/>
      <c r="L381" s="273"/>
      <c r="M381" s="273"/>
      <c r="N381" s="273"/>
      <c r="O381" s="273"/>
      <c r="P381" s="273"/>
      <c r="Q381" s="273"/>
      <c r="R381" s="273"/>
      <c r="S381" s="273"/>
      <c r="T381" s="273"/>
      <c r="U381" s="273"/>
      <c r="V381" s="273"/>
      <c r="W381" s="273"/>
      <c r="X381" s="273"/>
      <c r="Y381" s="273"/>
      <c r="Z381" s="273"/>
      <c r="AA381" s="273"/>
      <c r="AB381" s="273"/>
      <c r="AC381" s="273"/>
      <c r="AD381" s="273"/>
      <c r="AE381" s="273"/>
      <c r="AF381" s="273"/>
      <c r="AG381" s="273"/>
      <c r="AH381" s="273"/>
      <c r="AI381" s="273"/>
      <c r="AJ381" s="273"/>
      <c r="AK381" s="273"/>
      <c r="AL381" s="273"/>
      <c r="AM381" s="273"/>
      <c r="AN381" s="273"/>
      <c r="AO381" s="273"/>
      <c r="AP381" s="273"/>
      <c r="AQ381" s="273"/>
      <c r="AR381" s="273"/>
      <c r="AS381" s="273"/>
      <c r="AT381" s="273"/>
      <c r="AU381" s="273"/>
      <c r="AV381" s="273"/>
      <c r="AW381" s="273"/>
      <c r="AX381" s="273"/>
      <c r="AY381" s="273"/>
      <c r="AZ381" s="273"/>
      <c r="BA381" s="273"/>
      <c r="BB381" s="273"/>
      <c r="BC381" s="273"/>
      <c r="BD381" s="273"/>
      <c r="BE381" s="273"/>
      <c r="BF381" s="273"/>
      <c r="BG381" s="273"/>
      <c r="BH381" s="273"/>
      <c r="BI381" s="273"/>
      <c r="BJ381" s="273"/>
      <c r="BK381" s="273"/>
      <c r="BL381" s="273"/>
      <c r="BM381" s="273"/>
      <c r="BN381" s="273"/>
      <c r="BO381" s="273"/>
      <c r="BP381" s="273"/>
      <c r="BQ381" s="273"/>
      <c r="BR381" s="273"/>
      <c r="BS381" s="273"/>
      <c r="BT381" s="273"/>
      <c r="BU381" s="273"/>
      <c r="BV381" s="273"/>
      <c r="BW381" s="273"/>
      <c r="BX381" s="273"/>
      <c r="BY381" s="273"/>
      <c r="BZ381" s="273"/>
      <c r="CA381" s="273"/>
      <c r="CB381" s="273"/>
      <c r="CC381" s="273"/>
      <c r="CD381" s="273"/>
      <c r="CE381" s="273"/>
      <c r="CF381" s="273"/>
      <c r="CG381" s="273"/>
      <c r="CH381" s="273"/>
      <c r="CI381" s="273"/>
      <c r="CJ381" s="273"/>
      <c r="CK381" s="273"/>
      <c r="CL381" s="273"/>
      <c r="CM381" s="273"/>
      <c r="CN381" s="273"/>
      <c r="CO381" s="273"/>
      <c r="CP381" s="10"/>
    </row>
    <row r="382" spans="1:94" ht="15" customHeight="1">
      <c r="A382" s="10"/>
      <c r="B382" s="3"/>
      <c r="C382" s="17"/>
      <c r="D382" s="10"/>
      <c r="E382" s="10"/>
      <c r="F382" s="10"/>
      <c r="G382" s="11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  <c r="CP382" s="10"/>
    </row>
    <row r="383" spans="1:94" ht="16" thickBot="1">
      <c r="A383" s="10"/>
      <c r="B383" s="10"/>
      <c r="C383" s="12" t="s">
        <v>717</v>
      </c>
      <c r="D383" s="12"/>
      <c r="E383" s="12"/>
      <c r="F383" s="12"/>
      <c r="G383" s="12"/>
      <c r="H383" s="12"/>
      <c r="I383" s="12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  <c r="CD383" s="10"/>
      <c r="CE383" s="10"/>
      <c r="CF383" s="10"/>
      <c r="CG383" s="10"/>
      <c r="CH383" s="10"/>
      <c r="CI383" s="10"/>
      <c r="CJ383" s="10"/>
      <c r="CK383" s="10"/>
      <c r="CL383" s="10"/>
      <c r="CM383" s="10"/>
      <c r="CN383" s="10"/>
      <c r="CO383" s="10"/>
      <c r="CP383" s="10"/>
    </row>
    <row r="384" spans="1:94">
      <c r="A384" s="10"/>
      <c r="B384" s="10"/>
      <c r="C384" s="10"/>
      <c r="D384" s="10"/>
      <c r="E384" s="10"/>
      <c r="F384" s="10"/>
      <c r="G384" s="11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  <c r="CG384" s="10"/>
      <c r="CH384" s="10"/>
      <c r="CI384" s="10"/>
      <c r="CJ384" s="10"/>
      <c r="CK384" s="10"/>
      <c r="CL384" s="10"/>
      <c r="CM384" s="10"/>
      <c r="CN384" s="10"/>
      <c r="CO384" s="10"/>
      <c r="CP384" s="10"/>
    </row>
    <row r="385" spans="1:94">
      <c r="A385" s="10"/>
      <c r="B385" s="10"/>
      <c r="C385" s="17" t="s">
        <v>653</v>
      </c>
      <c r="D385" s="10"/>
      <c r="E385" s="80">
        <f>Загрузка!H15/100</f>
        <v>0.65</v>
      </c>
      <c r="F385" s="10"/>
      <c r="G385" s="11" t="s">
        <v>28</v>
      </c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  <c r="CD385" s="10"/>
      <c r="CE385" s="10"/>
      <c r="CF385" s="10"/>
      <c r="CG385" s="10"/>
      <c r="CH385" s="10"/>
      <c r="CI385" s="10"/>
      <c r="CJ385" s="10"/>
      <c r="CK385" s="10"/>
      <c r="CL385" s="10"/>
      <c r="CM385" s="10"/>
      <c r="CN385" s="10"/>
      <c r="CO385" s="10"/>
      <c r="CP385" s="10"/>
    </row>
    <row r="386" spans="1:94">
      <c r="A386" s="10"/>
      <c r="B386" s="10"/>
      <c r="C386" s="17" t="s">
        <v>719</v>
      </c>
      <c r="D386" s="10"/>
      <c r="E386" s="80">
        <v>0.45</v>
      </c>
      <c r="F386" s="10"/>
      <c r="G386" s="11" t="s">
        <v>28</v>
      </c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  <c r="CD386" s="10"/>
      <c r="CE386" s="10"/>
      <c r="CF386" s="10"/>
      <c r="CG386" s="10"/>
      <c r="CH386" s="10"/>
      <c r="CI386" s="10"/>
      <c r="CJ386" s="10"/>
      <c r="CK386" s="10"/>
      <c r="CL386" s="10"/>
      <c r="CM386" s="10"/>
      <c r="CN386" s="10"/>
      <c r="CO386" s="10"/>
      <c r="CP386" s="10"/>
    </row>
    <row r="387" spans="1:94">
      <c r="A387" s="10"/>
      <c r="B387" s="10"/>
      <c r="C387" s="17" t="s">
        <v>657</v>
      </c>
      <c r="D387" s="10"/>
      <c r="E387" s="14">
        <v>12</v>
      </c>
      <c r="F387" s="10"/>
      <c r="G387" s="11" t="s">
        <v>1180</v>
      </c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  <c r="CD387" s="10"/>
      <c r="CE387" s="10"/>
      <c r="CF387" s="10"/>
      <c r="CG387" s="10"/>
      <c r="CH387" s="10"/>
      <c r="CI387" s="10"/>
      <c r="CJ387" s="10"/>
      <c r="CK387" s="10"/>
      <c r="CL387" s="10"/>
      <c r="CM387" s="10"/>
      <c r="CN387" s="10"/>
      <c r="CO387" s="10"/>
      <c r="CP387" s="10"/>
    </row>
    <row r="388" spans="1:94">
      <c r="A388" s="10"/>
      <c r="B388" s="10"/>
      <c r="C388" s="17"/>
      <c r="D388" s="10"/>
      <c r="E388" s="10"/>
      <c r="F388" s="10"/>
      <c r="G388" s="11"/>
      <c r="H388" s="10" t="s">
        <v>1175</v>
      </c>
      <c r="I388" s="10"/>
      <c r="J388" s="10"/>
      <c r="K388" s="10"/>
      <c r="L388" s="162">
        <v>1</v>
      </c>
      <c r="M388" s="162">
        <f xml:space="preserve"> L388 + 1</f>
        <v>2</v>
      </c>
      <c r="N388" s="162">
        <f t="shared" ref="N388" si="127" xml:space="preserve"> M388 + 1</f>
        <v>3</v>
      </c>
      <c r="O388" s="162">
        <f t="shared" ref="O388" si="128" xml:space="preserve"> N388 + 1</f>
        <v>4</v>
      </c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</row>
    <row r="389" spans="1:94">
      <c r="A389" s="10"/>
      <c r="B389" s="10"/>
      <c r="C389" s="17" t="s">
        <v>1174</v>
      </c>
      <c r="D389" s="10"/>
      <c r="E389" s="10"/>
      <c r="F389" s="10"/>
      <c r="G389" s="11" t="s">
        <v>28</v>
      </c>
      <c r="H389" s="231">
        <f>SUM(L389:O389)</f>
        <v>1</v>
      </c>
      <c r="I389" s="10"/>
      <c r="J389" s="10"/>
      <c r="K389" s="10"/>
      <c r="L389" s="167">
        <f>Загрузка!L5/100</f>
        <v>0.18601716304896518</v>
      </c>
      <c r="M389" s="167">
        <f>Загрузка!L8/100</f>
        <v>0.2782685512367491</v>
      </c>
      <c r="N389" s="167">
        <f>Загрузка!L11/100</f>
        <v>0.34199899040888437</v>
      </c>
      <c r="O389" s="167">
        <f>Загрузка!L14/100</f>
        <v>0.1937152953054013</v>
      </c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  <c r="CG389" s="10"/>
      <c r="CH389" s="10"/>
      <c r="CI389" s="10"/>
      <c r="CJ389" s="10"/>
      <c r="CK389" s="10"/>
      <c r="CL389" s="10"/>
      <c r="CM389" s="10"/>
      <c r="CN389" s="10"/>
      <c r="CO389" s="10"/>
      <c r="CP389" s="10"/>
    </row>
    <row r="390" spans="1:94">
      <c r="A390" s="10"/>
      <c r="B390" s="10"/>
      <c r="C390" s="10"/>
      <c r="D390" s="10"/>
      <c r="E390" s="10"/>
      <c r="F390" s="10"/>
      <c r="G390" s="11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</row>
    <row r="391" spans="1:94">
      <c r="A391" s="10"/>
      <c r="B391" s="10"/>
      <c r="C391" s="17" t="s">
        <v>1224</v>
      </c>
      <c r="D391" s="10"/>
      <c r="E391" s="63">
        <f>Загрузка!J25</f>
        <v>2.5873423227490213</v>
      </c>
      <c r="F391" s="10"/>
      <c r="G391" s="11" t="s">
        <v>660</v>
      </c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</row>
    <row r="392" spans="1:94">
      <c r="A392" s="10"/>
      <c r="B392" s="10"/>
      <c r="C392" s="10"/>
      <c r="D392" s="10"/>
      <c r="E392" s="10"/>
      <c r="F392" s="10"/>
      <c r="G392" s="11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  <c r="CP392" s="10"/>
    </row>
    <row r="393" spans="1:94" ht="16" thickBot="1">
      <c r="A393" s="10"/>
      <c r="B393" s="10"/>
      <c r="C393" s="12" t="s">
        <v>716</v>
      </c>
      <c r="D393" s="12"/>
      <c r="E393" s="12"/>
      <c r="F393" s="12"/>
      <c r="G393" s="12"/>
      <c r="H393" s="12"/>
      <c r="I393" s="12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  <c r="CD393" s="10"/>
      <c r="CE393" s="10"/>
      <c r="CF393" s="10"/>
      <c r="CG393" s="10"/>
      <c r="CH393" s="10"/>
      <c r="CI393" s="10"/>
      <c r="CJ393" s="10"/>
      <c r="CK393" s="10"/>
      <c r="CL393" s="10"/>
      <c r="CM393" s="10"/>
      <c r="CN393" s="10"/>
      <c r="CO393" s="10"/>
      <c r="CP393" s="10"/>
    </row>
    <row r="394" spans="1:94">
      <c r="A394" s="10"/>
      <c r="B394" s="10"/>
      <c r="C394" s="10"/>
      <c r="D394" s="10"/>
      <c r="E394" s="10"/>
      <c r="F394" s="10"/>
      <c r="G394" s="11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  <c r="CG394" s="10"/>
      <c r="CH394" s="10"/>
      <c r="CI394" s="10"/>
      <c r="CJ394" s="10"/>
      <c r="CK394" s="10"/>
      <c r="CL394" s="10"/>
      <c r="CM394" s="10"/>
      <c r="CN394" s="10"/>
      <c r="CO394" s="10"/>
      <c r="CP394" s="10"/>
    </row>
    <row r="395" spans="1:94">
      <c r="A395" s="10"/>
      <c r="B395" s="10"/>
      <c r="C395" s="17" t="s">
        <v>788</v>
      </c>
      <c r="D395" s="10"/>
      <c r="E395" s="14">
        <f>'Конкурентный анализ 5'!E43</f>
        <v>10098.081</v>
      </c>
      <c r="F395" s="10"/>
      <c r="G395" s="11" t="s">
        <v>662</v>
      </c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  <c r="CD395" s="10"/>
      <c r="CE395" s="10"/>
      <c r="CF395" s="10"/>
      <c r="CG395" s="10"/>
      <c r="CH395" s="10"/>
      <c r="CI395" s="10"/>
      <c r="CJ395" s="10"/>
      <c r="CK395" s="10"/>
      <c r="CL395" s="10"/>
      <c r="CM395" s="10"/>
      <c r="CN395" s="10"/>
      <c r="CO395" s="10"/>
      <c r="CP395" s="10"/>
    </row>
    <row r="396" spans="1:94">
      <c r="A396" s="10"/>
      <c r="B396" s="10"/>
      <c r="C396" s="17"/>
      <c r="D396" s="10"/>
      <c r="E396" s="10"/>
      <c r="F396" s="10"/>
      <c r="G396" s="11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M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</row>
    <row r="397" spans="1:94">
      <c r="A397" s="10"/>
      <c r="B397" s="10"/>
      <c r="C397" s="17" t="s">
        <v>1255</v>
      </c>
      <c r="D397" s="10"/>
      <c r="E397" s="80">
        <f>'Конкурентный анализ 5'!F35/100</f>
        <v>1.2554580896686161</v>
      </c>
      <c r="F397" s="10"/>
      <c r="G397" s="11" t="s">
        <v>28</v>
      </c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M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  <c r="CD397" s="10"/>
      <c r="CE397" s="10"/>
      <c r="CF397" s="10"/>
      <c r="CG397" s="10"/>
      <c r="CH397" s="10"/>
      <c r="CI397" s="10"/>
      <c r="CJ397" s="10"/>
      <c r="CK397" s="10"/>
      <c r="CL397" s="10"/>
      <c r="CM397" s="10"/>
      <c r="CN397" s="10"/>
      <c r="CO397" s="10"/>
      <c r="CP397" s="10"/>
    </row>
    <row r="398" spans="1:94">
      <c r="A398" s="10"/>
      <c r="B398" s="10"/>
      <c r="C398" s="17" t="s">
        <v>1344</v>
      </c>
      <c r="D398" s="10"/>
      <c r="E398" s="80">
        <f>'Конкурентный анализ 5'!F36/100</f>
        <v>1.5078581871345029</v>
      </c>
      <c r="F398" s="10"/>
      <c r="G398" s="11" t="s">
        <v>28</v>
      </c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CE398" s="10"/>
      <c r="CF398" s="10"/>
      <c r="CG398" s="10"/>
      <c r="CH398" s="10"/>
      <c r="CI398" s="10"/>
      <c r="CJ398" s="10"/>
      <c r="CK398" s="10"/>
      <c r="CL398" s="10"/>
      <c r="CM398" s="10"/>
      <c r="CN398" s="10"/>
      <c r="CO398" s="10"/>
      <c r="CP398" s="10"/>
    </row>
    <row r="399" spans="1:94">
      <c r="A399" s="10"/>
      <c r="B399" s="10"/>
      <c r="C399" s="17" t="s">
        <v>1345</v>
      </c>
      <c r="D399" s="10"/>
      <c r="E399" s="80">
        <f>'Конкурентный анализ 5'!F37/100</f>
        <v>2.6720272904483431</v>
      </c>
      <c r="F399" s="10"/>
      <c r="G399" s="11" t="s">
        <v>28</v>
      </c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  <c r="CD399" s="10"/>
      <c r="CE399" s="10"/>
      <c r="CF399" s="10"/>
      <c r="CG399" s="10"/>
      <c r="CH399" s="10"/>
      <c r="CI399" s="10"/>
      <c r="CJ399" s="10"/>
      <c r="CK399" s="10"/>
      <c r="CL399" s="10"/>
      <c r="CM399" s="10"/>
      <c r="CN399" s="10"/>
      <c r="CO399" s="10"/>
      <c r="CP399" s="10"/>
    </row>
    <row r="400" spans="1:94">
      <c r="A400" s="10"/>
      <c r="B400" s="10"/>
      <c r="C400" s="17" t="s">
        <v>1346</v>
      </c>
      <c r="D400" s="10"/>
      <c r="E400" s="80">
        <f>'Конкурентный анализ 5'!F38/100</f>
        <v>2.4167884990253414</v>
      </c>
      <c r="F400" s="10"/>
      <c r="G400" s="11" t="s">
        <v>28</v>
      </c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  <c r="CP400" s="10"/>
    </row>
    <row r="401" spans="1:94">
      <c r="A401" s="10"/>
      <c r="B401" s="10"/>
      <c r="C401" s="17" t="s">
        <v>1525</v>
      </c>
      <c r="D401" s="10"/>
      <c r="E401" s="80"/>
      <c r="F401" s="10"/>
      <c r="G401" s="11" t="s">
        <v>28</v>
      </c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  <c r="CP401" s="10"/>
    </row>
    <row r="402" spans="1:94">
      <c r="A402" s="10"/>
      <c r="B402" s="10"/>
      <c r="C402" s="17" t="s">
        <v>1526</v>
      </c>
      <c r="D402" s="10"/>
      <c r="E402" s="80"/>
      <c r="F402" s="10"/>
      <c r="G402" s="11" t="s">
        <v>28</v>
      </c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  <c r="CP402" s="10"/>
    </row>
    <row r="403" spans="1:94">
      <c r="A403" s="10"/>
      <c r="B403" s="10"/>
      <c r="C403" s="17" t="s">
        <v>1527</v>
      </c>
      <c r="D403" s="10"/>
      <c r="E403" s="80"/>
      <c r="F403" s="10"/>
      <c r="G403" s="11" t="s">
        <v>28</v>
      </c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M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  <c r="CD403" s="10"/>
      <c r="CE403" s="10"/>
      <c r="CF403" s="10"/>
      <c r="CG403" s="10"/>
      <c r="CH403" s="10"/>
      <c r="CI403" s="10"/>
      <c r="CJ403" s="10"/>
      <c r="CK403" s="10"/>
      <c r="CL403" s="10"/>
      <c r="CM403" s="10"/>
      <c r="CN403" s="10"/>
      <c r="CO403" s="10"/>
      <c r="CP403" s="10"/>
    </row>
    <row r="404" spans="1:94">
      <c r="A404" s="10"/>
      <c r="B404" s="10"/>
      <c r="C404" s="17" t="s">
        <v>1528</v>
      </c>
      <c r="D404" s="10"/>
      <c r="E404" s="80"/>
      <c r="F404" s="10"/>
      <c r="G404" s="11" t="s">
        <v>28</v>
      </c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  <c r="CD404" s="10"/>
      <c r="CE404" s="10"/>
      <c r="CF404" s="10"/>
      <c r="CG404" s="10"/>
      <c r="CH404" s="10"/>
      <c r="CI404" s="10"/>
      <c r="CJ404" s="10"/>
      <c r="CK404" s="10"/>
      <c r="CL404" s="10"/>
      <c r="CM404" s="10"/>
      <c r="CN404" s="10"/>
      <c r="CO404" s="10"/>
      <c r="CP404" s="10"/>
    </row>
    <row r="405" spans="1:94">
      <c r="A405" s="10"/>
      <c r="B405" s="10"/>
      <c r="C405" s="35" t="s">
        <v>675</v>
      </c>
      <c r="D405" s="10"/>
      <c r="E405" s="10"/>
      <c r="F405" s="10"/>
      <c r="G405" s="11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M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  <c r="CD405" s="10"/>
      <c r="CE405" s="10"/>
      <c r="CF405" s="10"/>
      <c r="CG405" s="10"/>
      <c r="CH405" s="10"/>
      <c r="CI405" s="10"/>
      <c r="CJ405" s="10"/>
      <c r="CK405" s="10"/>
      <c r="CL405" s="10"/>
      <c r="CM405" s="10"/>
      <c r="CN405" s="10"/>
      <c r="CO405" s="10"/>
      <c r="CP405" s="10"/>
    </row>
    <row r="406" spans="1:94">
      <c r="A406" s="10"/>
      <c r="B406" s="10"/>
      <c r="C406" s="17" t="s">
        <v>669</v>
      </c>
      <c r="D406" s="10"/>
      <c r="E406" s="80">
        <f>'Анализ рынка'!D43</f>
        <v>0.52</v>
      </c>
      <c r="F406" s="10"/>
      <c r="G406" s="11" t="s">
        <v>28</v>
      </c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M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  <c r="CD406" s="10"/>
      <c r="CE406" s="10"/>
      <c r="CF406" s="10"/>
      <c r="CG406" s="10"/>
      <c r="CH406" s="10"/>
      <c r="CI406" s="10"/>
      <c r="CJ406" s="10"/>
      <c r="CK406" s="10"/>
      <c r="CL406" s="10"/>
      <c r="CM406" s="10"/>
      <c r="CN406" s="10"/>
      <c r="CO406" s="10"/>
      <c r="CP406" s="10"/>
    </row>
    <row r="407" spans="1:94">
      <c r="A407" s="10"/>
      <c r="B407" s="10"/>
      <c r="C407" s="17" t="s">
        <v>668</v>
      </c>
      <c r="D407" s="10"/>
      <c r="E407" s="80">
        <v>0</v>
      </c>
      <c r="F407" s="10"/>
      <c r="G407" s="11" t="s">
        <v>28</v>
      </c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  <c r="CD407" s="10"/>
      <c r="CE407" s="10"/>
      <c r="CF407" s="10"/>
      <c r="CG407" s="10"/>
      <c r="CH407" s="10"/>
      <c r="CI407" s="10"/>
      <c r="CJ407" s="10"/>
      <c r="CK407" s="10"/>
      <c r="CL407" s="10"/>
      <c r="CM407" s="10"/>
      <c r="CN407" s="10"/>
      <c r="CO407" s="10"/>
      <c r="CP407" s="10"/>
    </row>
    <row r="408" spans="1:94">
      <c r="A408" s="10"/>
      <c r="B408" s="10"/>
      <c r="C408" s="17" t="s">
        <v>670</v>
      </c>
      <c r="D408" s="10"/>
      <c r="E408" s="80">
        <f>'Анализ рынка'!D42</f>
        <v>0.48</v>
      </c>
      <c r="F408" s="10"/>
      <c r="G408" s="11" t="s">
        <v>28</v>
      </c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M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  <c r="CD408" s="10"/>
      <c r="CE408" s="10"/>
      <c r="CF408" s="10"/>
      <c r="CG408" s="10"/>
      <c r="CH408" s="10"/>
      <c r="CI408" s="10"/>
      <c r="CJ408" s="10"/>
      <c r="CK408" s="10"/>
      <c r="CL408" s="10"/>
      <c r="CM408" s="10"/>
      <c r="CN408" s="10"/>
      <c r="CO408" s="10"/>
      <c r="CP408" s="10"/>
    </row>
    <row r="409" spans="1:94">
      <c r="A409" s="10"/>
      <c r="B409" s="10"/>
      <c r="C409" s="249" t="s">
        <v>789</v>
      </c>
      <c r="D409" s="228"/>
      <c r="E409" s="250">
        <f>SUM(E406:E408)</f>
        <v>1</v>
      </c>
      <c r="F409" s="10"/>
      <c r="G409" s="11" t="s">
        <v>28</v>
      </c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  <c r="CD409" s="10"/>
      <c r="CE409" s="10"/>
      <c r="CF409" s="10"/>
      <c r="CG409" s="10"/>
      <c r="CH409" s="10"/>
      <c r="CI409" s="10"/>
      <c r="CJ409" s="10"/>
      <c r="CK409" s="10"/>
      <c r="CL409" s="10"/>
      <c r="CM409" s="10"/>
      <c r="CN409" s="10"/>
      <c r="CO409" s="10"/>
      <c r="CP409" s="10"/>
    </row>
    <row r="410" spans="1:94">
      <c r="A410" s="10"/>
      <c r="B410" s="10"/>
      <c r="C410" s="10"/>
      <c r="D410" s="10"/>
      <c r="E410" s="10"/>
      <c r="F410" s="10"/>
      <c r="G410" s="11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  <c r="CP410" s="10"/>
    </row>
    <row r="411" spans="1:94">
      <c r="A411" s="10"/>
      <c r="B411" s="10"/>
      <c r="C411" s="35" t="s">
        <v>667</v>
      </c>
      <c r="D411" s="10"/>
      <c r="E411" s="10"/>
      <c r="F411" s="10"/>
      <c r="G411" s="11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  <c r="CP411" s="10"/>
    </row>
    <row r="412" spans="1:94">
      <c r="A412" s="10"/>
      <c r="B412" s="10"/>
      <c r="C412" s="17" t="s">
        <v>669</v>
      </c>
      <c r="D412" s="10"/>
      <c r="E412" s="80">
        <v>1</v>
      </c>
      <c r="F412" s="10"/>
      <c r="G412" s="11" t="s">
        <v>28</v>
      </c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  <c r="CP412" s="10"/>
    </row>
    <row r="413" spans="1:94">
      <c r="A413" s="10"/>
      <c r="B413" s="10"/>
      <c r="C413" s="17" t="s">
        <v>668</v>
      </c>
      <c r="D413" s="10"/>
      <c r="E413" s="80">
        <v>0</v>
      </c>
      <c r="F413" s="10"/>
      <c r="G413" s="11" t="s">
        <v>28</v>
      </c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M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  <c r="CD413" s="10"/>
      <c r="CE413" s="10"/>
      <c r="CF413" s="10"/>
      <c r="CG413" s="10"/>
      <c r="CH413" s="10"/>
      <c r="CI413" s="10"/>
      <c r="CJ413" s="10"/>
      <c r="CK413" s="10"/>
      <c r="CL413" s="10"/>
      <c r="CM413" s="10"/>
      <c r="CN413" s="10"/>
      <c r="CO413" s="10"/>
      <c r="CP413" s="10"/>
    </row>
    <row r="414" spans="1:94">
      <c r="A414" s="10"/>
      <c r="B414" s="10"/>
      <c r="C414" s="17" t="s">
        <v>670</v>
      </c>
      <c r="D414" s="10"/>
      <c r="E414" s="80">
        <v>0.8</v>
      </c>
      <c r="F414" s="10"/>
      <c r="G414" s="11" t="s">
        <v>28</v>
      </c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  <c r="CD414" s="10"/>
      <c r="CE414" s="10"/>
      <c r="CF414" s="10"/>
      <c r="CG414" s="10"/>
      <c r="CH414" s="10"/>
      <c r="CI414" s="10"/>
      <c r="CJ414" s="10"/>
      <c r="CK414" s="10"/>
      <c r="CL414" s="10"/>
      <c r="CM414" s="10"/>
      <c r="CN414" s="10"/>
      <c r="CO414" s="10"/>
      <c r="CP414" s="10"/>
    </row>
    <row r="415" spans="1:94">
      <c r="A415" s="10"/>
      <c r="B415" s="10"/>
      <c r="C415" s="10"/>
      <c r="D415" s="10"/>
      <c r="E415" s="10"/>
      <c r="F415" s="10"/>
      <c r="G415" s="11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  <c r="BL415" s="10"/>
      <c r="BM415" s="10"/>
      <c r="BN415" s="10"/>
      <c r="BO415" s="10"/>
      <c r="BP415" s="10"/>
      <c r="BQ415" s="10"/>
      <c r="BR415" s="10"/>
      <c r="BS415" s="10"/>
      <c r="BT415" s="10"/>
      <c r="BU415" s="10"/>
      <c r="BV415" s="10"/>
      <c r="BW415" s="10"/>
      <c r="BX415" s="10"/>
      <c r="BY415" s="10"/>
      <c r="BZ415" s="10"/>
      <c r="CA415" s="10"/>
      <c r="CB415" s="10"/>
      <c r="CC415" s="10"/>
      <c r="CD415" s="10"/>
      <c r="CE415" s="10"/>
      <c r="CF415" s="10"/>
      <c r="CG415" s="10"/>
      <c r="CH415" s="10"/>
      <c r="CI415" s="10"/>
      <c r="CJ415" s="10"/>
      <c r="CK415" s="10"/>
      <c r="CL415" s="10"/>
      <c r="CM415" s="10"/>
      <c r="CN415" s="10"/>
      <c r="CO415" s="10"/>
      <c r="CP415" s="10"/>
    </row>
    <row r="416" spans="1:94">
      <c r="A416" s="10"/>
      <c r="B416" s="10"/>
      <c r="C416" s="35" t="s">
        <v>671</v>
      </c>
      <c r="D416" s="10"/>
      <c r="E416" s="10"/>
      <c r="F416" s="10"/>
      <c r="G416" s="11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</row>
    <row r="417" spans="1:94">
      <c r="A417" s="10"/>
      <c r="B417" s="10"/>
      <c r="C417" s="17" t="s">
        <v>673</v>
      </c>
      <c r="D417" s="10"/>
      <c r="E417" s="80">
        <f>'Конкурентный анализ 5'!D29/100</f>
        <v>1</v>
      </c>
      <c r="F417" s="10"/>
      <c r="G417" s="11" t="s">
        <v>28</v>
      </c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  <c r="CP417" s="10"/>
    </row>
    <row r="418" spans="1:94">
      <c r="A418" s="10"/>
      <c r="B418" s="10"/>
      <c r="C418" s="17" t="s">
        <v>672</v>
      </c>
      <c r="D418" s="10"/>
      <c r="E418" s="80">
        <f>'Конкурентный анализ 5'!E29/100</f>
        <v>1.4</v>
      </c>
      <c r="F418" s="10"/>
      <c r="G418" s="11" t="s">
        <v>28</v>
      </c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  <c r="CP418" s="10"/>
    </row>
    <row r="419" spans="1:94">
      <c r="A419" s="10"/>
      <c r="B419" s="10"/>
      <c r="C419" s="17" t="s">
        <v>674</v>
      </c>
      <c r="D419" s="10"/>
      <c r="E419" s="80">
        <f>'Конкурентный анализ 5'!C29/100</f>
        <v>1.8</v>
      </c>
      <c r="F419" s="10"/>
      <c r="G419" s="11" t="s">
        <v>28</v>
      </c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  <c r="CP419" s="10"/>
    </row>
    <row r="420" spans="1:94">
      <c r="A420" s="10"/>
      <c r="B420" s="10"/>
      <c r="C420" s="10"/>
      <c r="D420" s="10"/>
      <c r="E420" s="10"/>
      <c r="F420" s="10"/>
      <c r="G420" s="11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  <c r="CP420" s="10"/>
    </row>
    <row r="421" spans="1:94">
      <c r="A421" s="10"/>
      <c r="B421" s="10"/>
      <c r="C421" s="35" t="s">
        <v>793</v>
      </c>
      <c r="D421" s="10"/>
      <c r="E421" s="10"/>
      <c r="F421" s="10"/>
      <c r="G421" s="11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M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</row>
    <row r="422" spans="1:94">
      <c r="A422" s="10"/>
      <c r="B422" s="10"/>
      <c r="C422" s="17" t="s">
        <v>673</v>
      </c>
      <c r="D422" s="10"/>
      <c r="E422" s="80">
        <v>0.18</v>
      </c>
      <c r="F422" s="10"/>
      <c r="G422" s="11" t="s">
        <v>28</v>
      </c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M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  <c r="CD422" s="10"/>
      <c r="CE422" s="10"/>
      <c r="CF422" s="10"/>
      <c r="CG422" s="10"/>
      <c r="CH422" s="10"/>
      <c r="CI422" s="10"/>
      <c r="CJ422" s="10"/>
      <c r="CK422" s="10"/>
      <c r="CL422" s="10"/>
      <c r="CM422" s="10"/>
      <c r="CN422" s="10"/>
      <c r="CO422" s="10"/>
      <c r="CP422" s="10"/>
    </row>
    <row r="423" spans="1:94">
      <c r="A423" s="10"/>
      <c r="B423" s="10"/>
      <c r="C423" s="17" t="s">
        <v>672</v>
      </c>
      <c r="D423" s="10"/>
      <c r="E423" s="80">
        <v>0.41</v>
      </c>
      <c r="F423" s="10"/>
      <c r="G423" s="11" t="s">
        <v>28</v>
      </c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M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  <c r="CD423" s="10"/>
      <c r="CE423" s="10"/>
      <c r="CF423" s="10"/>
      <c r="CG423" s="10"/>
      <c r="CH423" s="10"/>
      <c r="CI423" s="10"/>
      <c r="CJ423" s="10"/>
      <c r="CK423" s="10"/>
      <c r="CL423" s="10"/>
      <c r="CM423" s="10"/>
      <c r="CN423" s="10"/>
      <c r="CO423" s="10"/>
      <c r="CP423" s="10"/>
    </row>
    <row r="424" spans="1:94">
      <c r="A424" s="10"/>
      <c r="B424" s="10"/>
      <c r="C424" s="17" t="s">
        <v>674</v>
      </c>
      <c r="D424" s="10"/>
      <c r="E424" s="80">
        <v>0.41</v>
      </c>
      <c r="F424" s="10"/>
      <c r="G424" s="11" t="s">
        <v>28</v>
      </c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  <c r="CD424" s="10"/>
      <c r="CE424" s="10"/>
      <c r="CF424" s="10"/>
      <c r="CG424" s="10"/>
      <c r="CH424" s="10"/>
      <c r="CI424" s="10"/>
      <c r="CJ424" s="10"/>
      <c r="CK424" s="10"/>
      <c r="CL424" s="10"/>
      <c r="CM424" s="10"/>
      <c r="CN424" s="10"/>
      <c r="CO424" s="10"/>
      <c r="CP424" s="10"/>
    </row>
    <row r="425" spans="1:94">
      <c r="A425" s="10"/>
      <c r="B425" s="10"/>
      <c r="C425" s="10"/>
      <c r="D425" s="10"/>
      <c r="E425" s="10"/>
      <c r="F425" s="10"/>
      <c r="G425" s="11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M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  <c r="CD425" s="10"/>
      <c r="CE425" s="10"/>
      <c r="CF425" s="10"/>
      <c r="CG425" s="10"/>
      <c r="CH425" s="10"/>
      <c r="CI425" s="10"/>
      <c r="CJ425" s="10"/>
      <c r="CK425" s="10"/>
      <c r="CL425" s="10"/>
      <c r="CM425" s="10"/>
      <c r="CN425" s="10"/>
      <c r="CO425" s="10"/>
      <c r="CP425" s="10"/>
    </row>
    <row r="426" spans="1:94" ht="16" thickBot="1">
      <c r="A426" s="10"/>
      <c r="B426" s="10"/>
      <c r="C426" s="12" t="s">
        <v>718</v>
      </c>
      <c r="D426" s="12"/>
      <c r="E426" s="12"/>
      <c r="F426" s="12"/>
      <c r="G426" s="12"/>
      <c r="H426" s="12"/>
      <c r="I426" s="12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M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  <c r="CD426" s="10"/>
      <c r="CE426" s="10"/>
      <c r="CF426" s="10"/>
      <c r="CG426" s="10"/>
      <c r="CH426" s="10"/>
      <c r="CI426" s="10"/>
      <c r="CJ426" s="10"/>
      <c r="CK426" s="10"/>
      <c r="CL426" s="10"/>
      <c r="CM426" s="10"/>
      <c r="CN426" s="10"/>
      <c r="CO426" s="10"/>
      <c r="CP426" s="10"/>
    </row>
    <row r="427" spans="1:94">
      <c r="A427" s="10"/>
      <c r="B427" s="10"/>
      <c r="C427" s="10"/>
      <c r="D427" s="10"/>
      <c r="E427" s="10"/>
      <c r="F427" s="10"/>
      <c r="G427" s="11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M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  <c r="CD427" s="10"/>
      <c r="CE427" s="10"/>
      <c r="CF427" s="10"/>
      <c r="CG427" s="10"/>
      <c r="CH427" s="10"/>
      <c r="CI427" s="10"/>
      <c r="CJ427" s="10"/>
      <c r="CK427" s="10"/>
      <c r="CL427" s="10"/>
      <c r="CM427" s="10"/>
      <c r="CN427" s="10"/>
      <c r="CO427" s="10"/>
      <c r="CP427" s="10"/>
    </row>
    <row r="428" spans="1:94">
      <c r="A428" s="10"/>
      <c r="B428" s="10"/>
      <c r="C428" s="17" t="s">
        <v>1271</v>
      </c>
      <c r="D428" s="10"/>
      <c r="E428" s="80">
        <v>1</v>
      </c>
      <c r="F428" s="10"/>
      <c r="G428" s="11" t="s">
        <v>28</v>
      </c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M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  <c r="CD428" s="10"/>
      <c r="CE428" s="10"/>
      <c r="CF428" s="10"/>
      <c r="CG428" s="10"/>
      <c r="CH428" s="10"/>
      <c r="CI428" s="10"/>
      <c r="CJ428" s="10"/>
      <c r="CK428" s="10"/>
      <c r="CL428" s="10"/>
      <c r="CM428" s="10"/>
      <c r="CN428" s="10"/>
      <c r="CO428" s="10"/>
      <c r="CP428" s="10"/>
    </row>
    <row r="429" spans="1:94">
      <c r="A429" s="10"/>
      <c r="B429" s="10"/>
      <c r="C429" s="17" t="s">
        <v>790</v>
      </c>
      <c r="D429" s="10"/>
      <c r="E429" s="80"/>
      <c r="F429" s="10"/>
      <c r="G429" s="11" t="s">
        <v>28</v>
      </c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  <c r="CP429" s="10"/>
    </row>
    <row r="430" spans="1:94">
      <c r="A430" s="10"/>
      <c r="B430" s="10"/>
      <c r="C430" s="17" t="s">
        <v>791</v>
      </c>
      <c r="D430" s="10"/>
      <c r="E430" s="80"/>
      <c r="F430" s="10"/>
      <c r="G430" s="11" t="s">
        <v>28</v>
      </c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  <c r="CP430" s="10"/>
    </row>
    <row r="431" spans="1:94">
      <c r="A431" s="10"/>
      <c r="B431" s="10"/>
      <c r="C431" s="17" t="s">
        <v>792</v>
      </c>
      <c r="D431" s="10"/>
      <c r="E431" s="80">
        <v>0.2</v>
      </c>
      <c r="F431" s="10"/>
      <c r="G431" s="11" t="s">
        <v>28</v>
      </c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  <c r="CP431" s="10"/>
    </row>
    <row r="432" spans="1:94">
      <c r="A432" s="10"/>
      <c r="B432" s="10"/>
      <c r="C432" s="17"/>
      <c r="D432" s="10"/>
      <c r="E432" s="10"/>
      <c r="F432" s="10"/>
      <c r="G432" s="11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  <c r="BL432" s="10"/>
      <c r="BM432" s="10"/>
      <c r="BN432" s="10"/>
      <c r="BO432" s="10"/>
      <c r="BP432" s="10"/>
      <c r="BQ432" s="10"/>
      <c r="BR432" s="10"/>
      <c r="BS432" s="10"/>
      <c r="BT432" s="10"/>
      <c r="BU432" s="10"/>
      <c r="BV432" s="10"/>
      <c r="BW432" s="10"/>
      <c r="BX432" s="10"/>
      <c r="BY432" s="10"/>
      <c r="BZ432" s="10"/>
      <c r="CA432" s="10"/>
      <c r="CB432" s="10"/>
      <c r="CC432" s="10"/>
      <c r="CD432" s="10"/>
      <c r="CE432" s="10"/>
      <c r="CF432" s="10"/>
      <c r="CG432" s="10"/>
      <c r="CH432" s="10"/>
      <c r="CI432" s="10"/>
      <c r="CJ432" s="10"/>
      <c r="CK432" s="10"/>
      <c r="CL432" s="10"/>
      <c r="CM432" s="10"/>
      <c r="CN432" s="10"/>
      <c r="CO432" s="10"/>
      <c r="CP432" s="10"/>
    </row>
    <row r="433" spans="1:94">
      <c r="A433" s="10"/>
      <c r="B433" s="10"/>
      <c r="C433" s="17" t="s">
        <v>693</v>
      </c>
      <c r="D433" s="10"/>
      <c r="E433" s="14">
        <v>0</v>
      </c>
      <c r="F433" s="10"/>
      <c r="G433" s="11" t="s">
        <v>692</v>
      </c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  <c r="BL433" s="10"/>
      <c r="BM433" s="10"/>
      <c r="BN433" s="10"/>
      <c r="BO433" s="10"/>
      <c r="BP433" s="10"/>
      <c r="BQ433" s="10"/>
      <c r="BR433" s="10"/>
      <c r="BS433" s="10"/>
      <c r="BT433" s="10"/>
      <c r="BU433" s="10"/>
      <c r="BV433" s="10"/>
      <c r="BW433" s="10"/>
      <c r="BX433" s="10"/>
      <c r="BY433" s="10"/>
      <c r="BZ433" s="10"/>
      <c r="CA433" s="10"/>
      <c r="CB433" s="10"/>
      <c r="CC433" s="10"/>
      <c r="CD433" s="10"/>
      <c r="CE433" s="10"/>
      <c r="CF433" s="10"/>
      <c r="CG433" s="10"/>
      <c r="CH433" s="10"/>
      <c r="CI433" s="10"/>
      <c r="CJ433" s="10"/>
      <c r="CK433" s="10"/>
      <c r="CL433" s="10"/>
      <c r="CM433" s="10"/>
      <c r="CN433" s="10"/>
      <c r="CO433" s="10"/>
      <c r="CP433" s="10"/>
    </row>
    <row r="434" spans="1:94">
      <c r="A434" s="10"/>
      <c r="B434" s="10"/>
      <c r="C434" s="17" t="s">
        <v>694</v>
      </c>
      <c r="D434" s="10"/>
      <c r="E434" s="14">
        <v>50</v>
      </c>
      <c r="F434" s="10"/>
      <c r="G434" s="11" t="s">
        <v>692</v>
      </c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</row>
    <row r="435" spans="1:94">
      <c r="A435" s="10"/>
      <c r="B435" s="10"/>
      <c r="C435" s="17" t="s">
        <v>695</v>
      </c>
      <c r="D435" s="10"/>
      <c r="E435" s="14">
        <v>80</v>
      </c>
      <c r="F435" s="10"/>
      <c r="G435" s="11" t="s">
        <v>692</v>
      </c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  <c r="BL435" s="10"/>
      <c r="BM435" s="10"/>
      <c r="BN435" s="10"/>
      <c r="BO435" s="10"/>
      <c r="BP435" s="10"/>
      <c r="BQ435" s="10"/>
      <c r="BR435" s="10"/>
      <c r="BS435" s="10"/>
      <c r="BT435" s="10"/>
      <c r="BU435" s="10"/>
      <c r="BV435" s="10"/>
      <c r="BW435" s="10"/>
      <c r="BX435" s="10"/>
      <c r="BY435" s="10"/>
      <c r="BZ435" s="10"/>
      <c r="CA435" s="10"/>
      <c r="CB435" s="10"/>
      <c r="CC435" s="10"/>
      <c r="CD435" s="10"/>
      <c r="CE435" s="10"/>
      <c r="CF435" s="10"/>
      <c r="CG435" s="10"/>
      <c r="CH435" s="10"/>
      <c r="CI435" s="10"/>
      <c r="CJ435" s="10"/>
      <c r="CK435" s="10"/>
      <c r="CL435" s="10"/>
      <c r="CM435" s="10"/>
      <c r="CN435" s="10"/>
      <c r="CO435" s="10"/>
      <c r="CP435" s="10"/>
    </row>
    <row r="436" spans="1:94">
      <c r="A436" s="10"/>
      <c r="B436" s="10"/>
      <c r="C436" s="17" t="s">
        <v>700</v>
      </c>
      <c r="D436" s="10"/>
      <c r="E436" s="14"/>
      <c r="F436" s="10"/>
      <c r="G436" s="11" t="s">
        <v>692</v>
      </c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  <c r="BL436" s="10"/>
      <c r="BM436" s="10"/>
      <c r="BN436" s="10"/>
      <c r="BO436" s="10"/>
      <c r="BP436" s="10"/>
      <c r="BQ436" s="10"/>
      <c r="BR436" s="10"/>
      <c r="BS436" s="10"/>
      <c r="BT436" s="10"/>
      <c r="BU436" s="10"/>
      <c r="BV436" s="10"/>
      <c r="BW436" s="10"/>
      <c r="BX436" s="10"/>
      <c r="BY436" s="10"/>
      <c r="BZ436" s="10"/>
      <c r="CA436" s="10"/>
      <c r="CB436" s="10"/>
      <c r="CC436" s="10"/>
      <c r="CD436" s="10"/>
      <c r="CE436" s="10"/>
      <c r="CF436" s="10"/>
      <c r="CG436" s="10"/>
      <c r="CH436" s="10"/>
      <c r="CI436" s="10"/>
      <c r="CJ436" s="10"/>
      <c r="CK436" s="10"/>
      <c r="CL436" s="10"/>
      <c r="CM436" s="10"/>
      <c r="CN436" s="10"/>
      <c r="CO436" s="10"/>
      <c r="CP436" s="10"/>
    </row>
    <row r="437" spans="1:94">
      <c r="A437" s="10"/>
      <c r="B437" s="10"/>
      <c r="C437" s="17"/>
      <c r="D437" s="10"/>
      <c r="E437" s="10"/>
      <c r="F437" s="10"/>
      <c r="G437" s="11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  <c r="BL437" s="10"/>
      <c r="BM437" s="10"/>
      <c r="BN437" s="10"/>
      <c r="BO437" s="10"/>
      <c r="BP437" s="10"/>
      <c r="BQ437" s="10"/>
      <c r="BR437" s="10"/>
      <c r="BS437" s="10"/>
      <c r="BT437" s="10"/>
      <c r="BU437" s="10"/>
      <c r="BV437" s="10"/>
      <c r="BW437" s="10"/>
      <c r="BX437" s="10"/>
      <c r="BY437" s="10"/>
      <c r="BZ437" s="10"/>
      <c r="CA437" s="10"/>
      <c r="CB437" s="10"/>
      <c r="CC437" s="10"/>
      <c r="CD437" s="10"/>
      <c r="CE437" s="10"/>
      <c r="CF437" s="10"/>
      <c r="CG437" s="10"/>
      <c r="CH437" s="10"/>
      <c r="CI437" s="10"/>
      <c r="CJ437" s="10"/>
      <c r="CK437" s="10"/>
      <c r="CL437" s="10"/>
      <c r="CM437" s="10"/>
      <c r="CN437" s="10"/>
      <c r="CO437" s="10"/>
      <c r="CP437" s="10"/>
    </row>
    <row r="438" spans="1:94">
      <c r="A438" s="10"/>
      <c r="B438" s="10"/>
      <c r="C438" s="17" t="s">
        <v>1256</v>
      </c>
      <c r="D438" s="10"/>
      <c r="E438" s="14">
        <f>'Конкурентный анализ 5'!G50</f>
        <v>6796.0894500000013</v>
      </c>
      <c r="F438" s="10"/>
      <c r="G438" s="11" t="s">
        <v>666</v>
      </c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  <c r="BL438" s="10"/>
      <c r="BM438" s="10"/>
      <c r="BN438" s="10"/>
      <c r="BO438" s="10"/>
      <c r="BP438" s="10"/>
      <c r="BQ438" s="10"/>
      <c r="BR438" s="10"/>
      <c r="BS438" s="10"/>
      <c r="BT438" s="10"/>
      <c r="BU438" s="10"/>
      <c r="BV438" s="10"/>
      <c r="BW438" s="10"/>
      <c r="BX438" s="10"/>
      <c r="BY438" s="10"/>
      <c r="BZ438" s="10"/>
      <c r="CA438" s="10"/>
      <c r="CB438" s="10"/>
      <c r="CC438" s="10"/>
      <c r="CD438" s="10"/>
      <c r="CE438" s="10"/>
      <c r="CF438" s="10"/>
      <c r="CG438" s="10"/>
      <c r="CH438" s="10"/>
      <c r="CI438" s="10"/>
      <c r="CJ438" s="10"/>
      <c r="CK438" s="10"/>
      <c r="CL438" s="10"/>
      <c r="CM438" s="10"/>
      <c r="CN438" s="10"/>
      <c r="CO438" s="10"/>
      <c r="CP438" s="10"/>
    </row>
    <row r="439" spans="1:94">
      <c r="A439" s="10"/>
      <c r="B439" s="10"/>
      <c r="C439" s="17" t="s">
        <v>696</v>
      </c>
      <c r="D439" s="10"/>
      <c r="E439" s="14">
        <v>2500</v>
      </c>
      <c r="F439" s="10"/>
      <c r="G439" s="11" t="s">
        <v>666</v>
      </c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  <c r="CD439" s="10"/>
      <c r="CE439" s="10"/>
      <c r="CF439" s="10"/>
      <c r="CG439" s="10"/>
      <c r="CH439" s="10"/>
      <c r="CI439" s="10"/>
      <c r="CJ439" s="10"/>
      <c r="CK439" s="10"/>
      <c r="CL439" s="10"/>
      <c r="CM439" s="10"/>
      <c r="CN439" s="10"/>
      <c r="CO439" s="10"/>
      <c r="CP439" s="10"/>
    </row>
    <row r="440" spans="1:94">
      <c r="A440" s="10"/>
      <c r="B440" s="10"/>
      <c r="C440" s="17" t="s">
        <v>697</v>
      </c>
      <c r="D440" s="10"/>
      <c r="E440" s="14">
        <v>2500</v>
      </c>
      <c r="F440" s="10"/>
      <c r="G440" s="11" t="s">
        <v>666</v>
      </c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  <c r="CD440" s="10"/>
      <c r="CE440" s="10"/>
      <c r="CF440" s="10"/>
      <c r="CG440" s="10"/>
      <c r="CH440" s="10"/>
      <c r="CI440" s="10"/>
      <c r="CJ440" s="10"/>
      <c r="CK440" s="10"/>
      <c r="CL440" s="10"/>
      <c r="CM440" s="10"/>
      <c r="CN440" s="10"/>
      <c r="CO440" s="10"/>
      <c r="CP440" s="10"/>
    </row>
    <row r="441" spans="1:94">
      <c r="A441" s="10"/>
      <c r="B441" s="10"/>
      <c r="C441" s="17" t="s">
        <v>698</v>
      </c>
      <c r="D441" s="10"/>
      <c r="E441" s="14">
        <v>1200</v>
      </c>
      <c r="F441" s="10"/>
      <c r="G441" s="11" t="s">
        <v>666</v>
      </c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  <c r="CD441" s="10"/>
      <c r="CE441" s="10"/>
      <c r="CF441" s="10"/>
      <c r="CG441" s="10"/>
      <c r="CH441" s="10"/>
      <c r="CI441" s="10"/>
      <c r="CJ441" s="10"/>
      <c r="CK441" s="10"/>
      <c r="CL441" s="10"/>
      <c r="CM441" s="10"/>
      <c r="CN441" s="10"/>
      <c r="CO441" s="10"/>
      <c r="CP441" s="10"/>
    </row>
    <row r="442" spans="1:94">
      <c r="A442" s="10"/>
      <c r="B442" s="10"/>
      <c r="C442" s="10"/>
      <c r="D442" s="10"/>
      <c r="E442" s="10"/>
      <c r="F442" s="10"/>
      <c r="G442" s="11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  <c r="CD442" s="10"/>
      <c r="CE442" s="10"/>
      <c r="CF442" s="10"/>
      <c r="CG442" s="10"/>
      <c r="CH442" s="10"/>
      <c r="CI442" s="10"/>
      <c r="CJ442" s="10"/>
      <c r="CK442" s="10"/>
      <c r="CL442" s="10"/>
      <c r="CM442" s="10"/>
      <c r="CN442" s="10"/>
      <c r="CO442" s="10"/>
      <c r="CP442" s="10"/>
    </row>
    <row r="443" spans="1:94" ht="16" thickBot="1">
      <c r="A443" s="10"/>
      <c r="B443" s="10"/>
      <c r="C443" s="12" t="s">
        <v>1196</v>
      </c>
      <c r="D443" s="12"/>
      <c r="E443" s="12"/>
      <c r="F443" s="12"/>
      <c r="G443" s="12"/>
      <c r="H443" s="12"/>
      <c r="I443" s="12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  <c r="BL443" s="10"/>
      <c r="BM443" s="10"/>
      <c r="BN443" s="10"/>
      <c r="B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  <c r="CD443" s="10"/>
      <c r="CE443" s="10"/>
      <c r="CF443" s="10"/>
      <c r="CG443" s="10"/>
      <c r="CH443" s="10"/>
      <c r="CI443" s="10"/>
      <c r="CJ443" s="10"/>
      <c r="CK443" s="10"/>
      <c r="CL443" s="10"/>
      <c r="CM443" s="10"/>
      <c r="CN443" s="10"/>
      <c r="CO443" s="10"/>
      <c r="CP443" s="10"/>
    </row>
    <row r="444" spans="1:94">
      <c r="A444" s="10"/>
      <c r="B444" s="10"/>
      <c r="C444" s="10"/>
      <c r="D444" s="10"/>
      <c r="E444" s="10"/>
      <c r="F444" s="10"/>
      <c r="G444" s="11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  <c r="BL444" s="10"/>
      <c r="BM444" s="10"/>
      <c r="BN444" s="10"/>
      <c r="BO444" s="10"/>
      <c r="BP444" s="10"/>
      <c r="BQ444" s="10"/>
      <c r="BR444" s="10"/>
      <c r="BS444" s="10"/>
      <c r="BT444" s="10"/>
      <c r="BU444" s="10"/>
      <c r="BV444" s="10"/>
      <c r="BW444" s="10"/>
      <c r="BX444" s="10"/>
      <c r="BY444" s="10"/>
      <c r="BZ444" s="10"/>
      <c r="CA444" s="10"/>
      <c r="CB444" s="10"/>
      <c r="CC444" s="10"/>
      <c r="CD444" s="10"/>
      <c r="CE444" s="10"/>
      <c r="CF444" s="10"/>
      <c r="CG444" s="10"/>
      <c r="CH444" s="10"/>
      <c r="CI444" s="10"/>
      <c r="CJ444" s="10"/>
      <c r="CK444" s="10"/>
      <c r="CL444" s="10"/>
      <c r="CM444" s="10"/>
      <c r="CN444" s="10"/>
      <c r="CO444" s="10"/>
      <c r="CP444" s="10"/>
    </row>
    <row r="445" spans="1:94">
      <c r="A445" s="10"/>
      <c r="B445" s="10"/>
      <c r="C445" s="17" t="s">
        <v>1197</v>
      </c>
      <c r="D445" s="10"/>
      <c r="E445" s="80">
        <v>0.14000000000000001</v>
      </c>
      <c r="F445" s="10"/>
      <c r="G445" s="11" t="s">
        <v>28</v>
      </c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  <c r="BI445" s="10"/>
      <c r="BJ445" s="10"/>
      <c r="BK445" s="10"/>
      <c r="BL445" s="10"/>
      <c r="BM445" s="10"/>
      <c r="BN445" s="10"/>
      <c r="BO445" s="10"/>
      <c r="BP445" s="10"/>
      <c r="BQ445" s="10"/>
      <c r="BR445" s="10"/>
      <c r="BS445" s="10"/>
      <c r="BT445" s="10"/>
      <c r="BU445" s="10"/>
      <c r="BV445" s="10"/>
      <c r="BW445" s="10"/>
      <c r="BX445" s="10"/>
      <c r="BY445" s="10"/>
      <c r="BZ445" s="10"/>
      <c r="CA445" s="10"/>
      <c r="CB445" s="10"/>
      <c r="CC445" s="10"/>
      <c r="CD445" s="10"/>
      <c r="CE445" s="10"/>
      <c r="CF445" s="10"/>
      <c r="CG445" s="10"/>
      <c r="CH445" s="10"/>
      <c r="CI445" s="10"/>
      <c r="CJ445" s="10"/>
      <c r="CK445" s="10"/>
      <c r="CL445" s="10"/>
      <c r="CM445" s="10"/>
      <c r="CN445" s="10"/>
      <c r="CO445" s="10"/>
      <c r="CP445" s="10"/>
    </row>
    <row r="446" spans="1:94">
      <c r="A446" s="10"/>
      <c r="B446" s="10"/>
      <c r="C446" s="10"/>
      <c r="D446" s="10"/>
      <c r="E446" s="10"/>
      <c r="F446" s="10"/>
      <c r="G446" s="11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  <c r="BL446" s="10"/>
      <c r="BM446" s="10"/>
      <c r="BN446" s="10"/>
      <c r="B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  <c r="CD446" s="10"/>
      <c r="CE446" s="10"/>
      <c r="CF446" s="10"/>
      <c r="CG446" s="10"/>
      <c r="CH446" s="10"/>
      <c r="CI446" s="10"/>
      <c r="CJ446" s="10"/>
      <c r="CK446" s="10"/>
      <c r="CL446" s="10"/>
      <c r="CM446" s="10"/>
      <c r="CN446" s="10"/>
      <c r="CO446" s="10"/>
      <c r="CP446" s="10"/>
    </row>
    <row r="447" spans="1:94" ht="15" customHeight="1">
      <c r="A447" s="10"/>
      <c r="B447" s="3"/>
      <c r="C447" s="384" t="str">
        <f>C303</f>
        <v>Сегмент 2: Развлекательный комплекс</v>
      </c>
      <c r="D447" s="273"/>
      <c r="E447" s="273"/>
      <c r="F447" s="273"/>
      <c r="G447" s="274"/>
      <c r="H447" s="273"/>
      <c r="I447" s="273"/>
      <c r="J447" s="273"/>
      <c r="K447" s="273"/>
      <c r="L447" s="273"/>
      <c r="M447" s="273"/>
      <c r="N447" s="273"/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  <c r="Z447" s="273"/>
      <c r="AA447" s="273"/>
      <c r="AB447" s="273"/>
      <c r="AC447" s="273"/>
      <c r="AD447" s="273"/>
      <c r="AE447" s="273"/>
      <c r="AF447" s="273"/>
      <c r="AG447" s="273"/>
      <c r="AH447" s="273"/>
      <c r="AI447" s="273"/>
      <c r="AJ447" s="273"/>
      <c r="AK447" s="273"/>
      <c r="AL447" s="273"/>
      <c r="AM447" s="273"/>
      <c r="AN447" s="273"/>
      <c r="AO447" s="273"/>
      <c r="AP447" s="273"/>
      <c r="AQ447" s="273"/>
      <c r="AR447" s="273"/>
      <c r="AS447" s="273"/>
      <c r="AT447" s="273"/>
      <c r="AU447" s="273"/>
      <c r="AV447" s="273"/>
      <c r="AW447" s="273"/>
      <c r="AX447" s="273"/>
      <c r="AY447" s="273"/>
      <c r="AZ447" s="273"/>
      <c r="BA447" s="273"/>
      <c r="BB447" s="273"/>
      <c r="BC447" s="273"/>
      <c r="BD447" s="273"/>
      <c r="BE447" s="273"/>
      <c r="BF447" s="273"/>
      <c r="BG447" s="273"/>
      <c r="BH447" s="273"/>
      <c r="BI447" s="273"/>
      <c r="BJ447" s="273"/>
      <c r="BK447" s="273"/>
      <c r="BL447" s="273"/>
      <c r="BM447" s="273"/>
      <c r="BN447" s="273"/>
      <c r="BO447" s="273"/>
      <c r="BP447" s="273"/>
      <c r="BQ447" s="273"/>
      <c r="BR447" s="273"/>
      <c r="BS447" s="273"/>
      <c r="BT447" s="273"/>
      <c r="BU447" s="273"/>
      <c r="BV447" s="273"/>
      <c r="BW447" s="273"/>
      <c r="BX447" s="273"/>
      <c r="BY447" s="273"/>
      <c r="BZ447" s="273"/>
      <c r="CA447" s="273"/>
      <c r="CB447" s="273"/>
      <c r="CC447" s="273"/>
      <c r="CD447" s="273"/>
      <c r="CE447" s="273"/>
      <c r="CF447" s="273"/>
      <c r="CG447" s="273"/>
      <c r="CH447" s="273"/>
      <c r="CI447" s="273"/>
      <c r="CJ447" s="273"/>
      <c r="CK447" s="273"/>
      <c r="CL447" s="273"/>
      <c r="CM447" s="273"/>
      <c r="CN447" s="273"/>
      <c r="CO447" s="273"/>
      <c r="CP447" s="10"/>
    </row>
    <row r="448" spans="1:94">
      <c r="A448" s="10"/>
      <c r="B448" s="10"/>
      <c r="C448" s="10"/>
      <c r="D448" s="10"/>
      <c r="E448" s="10"/>
      <c r="F448" s="10"/>
      <c r="G448" s="11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  <c r="BL448" s="10"/>
      <c r="BM448" s="10"/>
      <c r="BN448" s="10"/>
      <c r="BO448" s="10"/>
      <c r="BP448" s="10"/>
      <c r="BQ448" s="10"/>
      <c r="BR448" s="10"/>
      <c r="BS448" s="10"/>
      <c r="BT448" s="10"/>
      <c r="BU448" s="10"/>
      <c r="BV448" s="10"/>
      <c r="BW448" s="10"/>
      <c r="BX448" s="10"/>
      <c r="BY448" s="10"/>
      <c r="BZ448" s="10"/>
      <c r="CA448" s="10"/>
      <c r="CB448" s="10"/>
      <c r="CC448" s="10"/>
      <c r="CD448" s="10"/>
      <c r="CE448" s="10"/>
      <c r="CF448" s="10"/>
      <c r="CG448" s="10"/>
      <c r="CH448" s="10"/>
      <c r="CI448" s="10"/>
      <c r="CJ448" s="10"/>
      <c r="CK448" s="10"/>
      <c r="CL448" s="10"/>
      <c r="CM448" s="10"/>
      <c r="CN448" s="10"/>
      <c r="CO448" s="10"/>
      <c r="CP448" s="10"/>
    </row>
    <row r="449" spans="1:94" ht="16" hidden="1" thickBot="1">
      <c r="A449" s="10"/>
      <c r="B449" s="10"/>
      <c r="C449" s="12" t="s">
        <v>878</v>
      </c>
      <c r="D449" s="12"/>
      <c r="E449" s="12"/>
      <c r="F449" s="12"/>
      <c r="G449" s="12"/>
      <c r="H449" s="12"/>
      <c r="I449" s="12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  <c r="BL449" s="10"/>
      <c r="BM449" s="10"/>
      <c r="BN449" s="10"/>
      <c r="BO449" s="10"/>
      <c r="BP449" s="10"/>
      <c r="BQ449" s="10"/>
      <c r="BR449" s="10"/>
      <c r="BS449" s="10"/>
      <c r="BT449" s="10"/>
      <c r="BU449" s="10"/>
      <c r="BV449" s="10"/>
      <c r="BW449" s="10"/>
      <c r="BX449" s="10"/>
      <c r="BY449" s="10"/>
      <c r="BZ449" s="10"/>
      <c r="CA449" s="10"/>
      <c r="CB449" s="10"/>
      <c r="CC449" s="10"/>
      <c r="CD449" s="10"/>
      <c r="CE449" s="10"/>
      <c r="CF449" s="10"/>
      <c r="CG449" s="10"/>
      <c r="CH449" s="10"/>
      <c r="CI449" s="10"/>
      <c r="CJ449" s="10"/>
      <c r="CK449" s="10"/>
      <c r="CL449" s="10"/>
      <c r="CM449" s="10"/>
      <c r="CN449" s="10"/>
      <c r="CO449" s="10"/>
      <c r="CP449" s="10"/>
    </row>
    <row r="450" spans="1:94" hidden="1">
      <c r="A450" s="10"/>
      <c r="B450" s="10"/>
      <c r="C450" s="10"/>
      <c r="D450" s="10"/>
      <c r="E450" s="10"/>
      <c r="F450" s="10"/>
      <c r="G450" s="11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  <c r="BI450" s="10"/>
      <c r="BJ450" s="10"/>
      <c r="BK450" s="10"/>
      <c r="BL450" s="10"/>
      <c r="BM450" s="10"/>
      <c r="BN450" s="10"/>
      <c r="BO450" s="10"/>
      <c r="BP450" s="10"/>
      <c r="BQ450" s="10"/>
      <c r="BR450" s="10"/>
      <c r="BS450" s="10"/>
      <c r="BT450" s="10"/>
      <c r="BU450" s="10"/>
      <c r="BV450" s="10"/>
      <c r="BW450" s="10"/>
      <c r="BX450" s="10"/>
      <c r="BY450" s="10"/>
      <c r="BZ450" s="10"/>
      <c r="CA450" s="10"/>
      <c r="CB450" s="10"/>
      <c r="CC450" s="10"/>
      <c r="CD450" s="10"/>
      <c r="CE450" s="10"/>
      <c r="CF450" s="10"/>
      <c r="CG450" s="10"/>
      <c r="CH450" s="10"/>
      <c r="CI450" s="10"/>
      <c r="CJ450" s="10"/>
      <c r="CK450" s="10"/>
      <c r="CL450" s="10"/>
      <c r="CM450" s="10"/>
      <c r="CN450" s="10"/>
      <c r="CO450" s="10"/>
      <c r="CP450" s="10"/>
    </row>
    <row r="451" spans="1:94" hidden="1">
      <c r="A451" s="10"/>
      <c r="B451" s="10"/>
      <c r="C451" s="35"/>
      <c r="D451" s="10"/>
      <c r="E451" s="10"/>
      <c r="F451" s="10"/>
      <c r="G451" s="11"/>
      <c r="H451" s="10"/>
      <c r="I451" s="10"/>
      <c r="J451" s="10"/>
      <c r="K451" s="10"/>
      <c r="L451" s="312">
        <v>1</v>
      </c>
      <c r="M451" s="312">
        <f xml:space="preserve"> L451 + 1</f>
        <v>2</v>
      </c>
      <c r="N451" s="312">
        <f t="shared" ref="N451:U451" si="129" xml:space="preserve"> M451 + 1</f>
        <v>3</v>
      </c>
      <c r="O451" s="312">
        <f t="shared" si="129"/>
        <v>4</v>
      </c>
      <c r="P451" s="312">
        <f t="shared" si="129"/>
        <v>5</v>
      </c>
      <c r="Q451" s="312">
        <f t="shared" si="129"/>
        <v>6</v>
      </c>
      <c r="R451" s="312">
        <f t="shared" si="129"/>
        <v>7</v>
      </c>
      <c r="S451" s="312">
        <f t="shared" si="129"/>
        <v>8</v>
      </c>
      <c r="T451" s="312">
        <f t="shared" si="129"/>
        <v>9</v>
      </c>
      <c r="U451" s="312">
        <f t="shared" si="129"/>
        <v>10</v>
      </c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  <c r="BL451" s="10"/>
      <c r="BM451" s="10"/>
      <c r="BN451" s="10"/>
      <c r="BO451" s="10"/>
      <c r="BP451" s="10"/>
      <c r="BQ451" s="10"/>
      <c r="BR451" s="10"/>
      <c r="BS451" s="10"/>
      <c r="BT451" s="10"/>
      <c r="BU451" s="10"/>
      <c r="BV451" s="10"/>
      <c r="BW451" s="10"/>
      <c r="BX451" s="10"/>
      <c r="BY451" s="10"/>
      <c r="BZ451" s="10"/>
      <c r="CA451" s="10"/>
      <c r="CB451" s="10"/>
      <c r="CC451" s="10"/>
      <c r="CD451" s="10"/>
      <c r="CE451" s="10"/>
      <c r="CF451" s="10"/>
      <c r="CG451" s="10"/>
      <c r="CH451" s="10"/>
      <c r="CI451" s="10"/>
      <c r="CJ451" s="10"/>
      <c r="CK451" s="10"/>
      <c r="CL451" s="10"/>
      <c r="CM451" s="10"/>
      <c r="CN451" s="10"/>
      <c r="CO451" s="10"/>
      <c r="CP451" s="10"/>
    </row>
    <row r="452" spans="1:94" hidden="1">
      <c r="A452" s="10"/>
      <c r="B452" s="10"/>
      <c r="C452" s="17"/>
      <c r="D452" s="10"/>
      <c r="E452" s="10"/>
      <c r="F452" s="10"/>
      <c r="G452" s="11"/>
      <c r="H452" s="10"/>
      <c r="I452" s="10"/>
      <c r="J452" s="10"/>
      <c r="K452" s="10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  <c r="BL452" s="10"/>
      <c r="BM452" s="10"/>
      <c r="BN452" s="10"/>
      <c r="BO452" s="10"/>
      <c r="BP452" s="10"/>
      <c r="BQ452" s="10"/>
      <c r="BR452" s="10"/>
      <c r="BS452" s="10"/>
      <c r="BT452" s="10"/>
      <c r="BU452" s="10"/>
      <c r="BV452" s="10"/>
      <c r="BW452" s="10"/>
      <c r="BX452" s="10"/>
      <c r="BY452" s="10"/>
      <c r="BZ452" s="10"/>
      <c r="CA452" s="10"/>
      <c r="CB452" s="10"/>
      <c r="CC452" s="10"/>
      <c r="CD452" s="10"/>
      <c r="CE452" s="10"/>
      <c r="CF452" s="10"/>
      <c r="CG452" s="10"/>
      <c r="CH452" s="10"/>
      <c r="CI452" s="10"/>
      <c r="CJ452" s="10"/>
      <c r="CK452" s="10"/>
      <c r="CL452" s="10"/>
      <c r="CM452" s="10"/>
      <c r="CN452" s="10"/>
      <c r="CO452" s="10"/>
      <c r="CP452" s="10"/>
    </row>
    <row r="453" spans="1:94" hidden="1">
      <c r="A453" s="10"/>
      <c r="B453" s="10"/>
      <c r="C453" s="17"/>
      <c r="D453" s="10"/>
      <c r="E453" s="10"/>
      <c r="F453" s="10"/>
      <c r="G453" s="11"/>
      <c r="H453" s="10"/>
      <c r="I453" s="10"/>
      <c r="J453" s="10"/>
      <c r="K453" s="10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0"/>
      <c r="BS453" s="10"/>
      <c r="BT453" s="10"/>
      <c r="BU453" s="10"/>
      <c r="BV453" s="10"/>
      <c r="BW453" s="10"/>
      <c r="BX453" s="10"/>
      <c r="BY453" s="10"/>
      <c r="BZ453" s="10"/>
      <c r="CA453" s="10"/>
      <c r="CB453" s="10"/>
      <c r="CC453" s="10"/>
      <c r="CD453" s="10"/>
      <c r="CE453" s="10"/>
      <c r="CF453" s="10"/>
      <c r="CG453" s="10"/>
      <c r="CH453" s="10"/>
      <c r="CI453" s="10"/>
      <c r="CJ453" s="10"/>
      <c r="CK453" s="10"/>
      <c r="CL453" s="10"/>
      <c r="CM453" s="10"/>
      <c r="CN453" s="10"/>
      <c r="CO453" s="10"/>
      <c r="CP453" s="10"/>
    </row>
    <row r="454" spans="1:94" hidden="1">
      <c r="A454" s="10"/>
      <c r="B454" s="10"/>
      <c r="C454" s="10"/>
      <c r="D454" s="10"/>
      <c r="E454" s="10"/>
      <c r="F454" s="10"/>
      <c r="G454" s="11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  <c r="BL454" s="10"/>
      <c r="BM454" s="10"/>
      <c r="BN454" s="10"/>
      <c r="BO454" s="10"/>
      <c r="BP454" s="10"/>
      <c r="BQ454" s="10"/>
      <c r="BR454" s="10"/>
      <c r="BS454" s="10"/>
      <c r="BT454" s="10"/>
      <c r="BU454" s="10"/>
      <c r="BV454" s="10"/>
      <c r="BW454" s="10"/>
      <c r="BX454" s="10"/>
      <c r="BY454" s="10"/>
      <c r="BZ454" s="10"/>
      <c r="CA454" s="10"/>
      <c r="CB454" s="10"/>
      <c r="CC454" s="10"/>
      <c r="CD454" s="10"/>
      <c r="CE454" s="10"/>
      <c r="CF454" s="10"/>
      <c r="CG454" s="10"/>
      <c r="CH454" s="10"/>
      <c r="CI454" s="10"/>
      <c r="CJ454" s="10"/>
      <c r="CK454" s="10"/>
      <c r="CL454" s="10"/>
      <c r="CM454" s="10"/>
      <c r="CN454" s="10"/>
      <c r="CO454" s="10"/>
      <c r="CP454" s="10"/>
    </row>
    <row r="455" spans="1:94" hidden="1">
      <c r="A455" s="10"/>
      <c r="B455" s="10"/>
      <c r="C455" s="35"/>
      <c r="D455" s="10"/>
      <c r="E455" s="10"/>
      <c r="F455" s="10"/>
      <c r="G455" s="11"/>
      <c r="H455" s="10"/>
      <c r="I455" s="10"/>
      <c r="J455" s="10"/>
      <c r="K455" s="10"/>
      <c r="L455" s="312">
        <v>1</v>
      </c>
      <c r="M455" s="312">
        <f xml:space="preserve"> L455 + 1</f>
        <v>2</v>
      </c>
      <c r="N455" s="312">
        <f t="shared" ref="N455:U455" si="130" xml:space="preserve"> M455 + 1</f>
        <v>3</v>
      </c>
      <c r="O455" s="312">
        <f t="shared" si="130"/>
        <v>4</v>
      </c>
      <c r="P455" s="312">
        <f t="shared" si="130"/>
        <v>5</v>
      </c>
      <c r="Q455" s="312">
        <f t="shared" si="130"/>
        <v>6</v>
      </c>
      <c r="R455" s="312">
        <f t="shared" si="130"/>
        <v>7</v>
      </c>
      <c r="S455" s="312">
        <f t="shared" si="130"/>
        <v>8</v>
      </c>
      <c r="T455" s="312">
        <f t="shared" si="130"/>
        <v>9</v>
      </c>
      <c r="U455" s="312">
        <f t="shared" si="130"/>
        <v>10</v>
      </c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  <c r="BL455" s="10"/>
      <c r="BM455" s="10"/>
      <c r="BN455" s="10"/>
      <c r="BO455" s="10"/>
      <c r="BP455" s="10"/>
      <c r="BQ455" s="10"/>
      <c r="BR455" s="10"/>
      <c r="BS455" s="10"/>
      <c r="BT455" s="10"/>
      <c r="BU455" s="10"/>
      <c r="BV455" s="10"/>
      <c r="BW455" s="10"/>
      <c r="BX455" s="10"/>
      <c r="BY455" s="10"/>
      <c r="BZ455" s="10"/>
      <c r="CA455" s="10"/>
      <c r="CB455" s="10"/>
      <c r="CC455" s="10"/>
      <c r="CD455" s="10"/>
      <c r="CE455" s="10"/>
      <c r="CF455" s="10"/>
      <c r="CG455" s="10"/>
      <c r="CH455" s="10"/>
      <c r="CI455" s="10"/>
      <c r="CJ455" s="10"/>
      <c r="CK455" s="10"/>
      <c r="CL455" s="10"/>
      <c r="CM455" s="10"/>
      <c r="CN455" s="10"/>
      <c r="CO455" s="10"/>
      <c r="CP455" s="10"/>
    </row>
    <row r="456" spans="1:94" hidden="1">
      <c r="A456" s="10"/>
      <c r="B456" s="10"/>
      <c r="C456" s="17"/>
      <c r="D456" s="10"/>
      <c r="E456" s="10"/>
      <c r="F456" s="10"/>
      <c r="G456" s="11"/>
      <c r="H456" s="10"/>
      <c r="I456" s="10"/>
      <c r="J456" s="10"/>
      <c r="K456" s="10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  <c r="BI456" s="10"/>
      <c r="BJ456" s="10"/>
      <c r="BK456" s="10"/>
      <c r="BL456" s="10"/>
      <c r="BM456" s="10"/>
      <c r="BN456" s="10"/>
      <c r="BO456" s="10"/>
      <c r="BP456" s="10"/>
      <c r="BQ456" s="10"/>
      <c r="BR456" s="10"/>
      <c r="BS456" s="10"/>
      <c r="BT456" s="10"/>
      <c r="BU456" s="10"/>
      <c r="BV456" s="10"/>
      <c r="BW456" s="10"/>
      <c r="BX456" s="10"/>
      <c r="BY456" s="10"/>
      <c r="BZ456" s="10"/>
      <c r="CA456" s="10"/>
      <c r="CB456" s="10"/>
      <c r="CC456" s="10"/>
      <c r="CD456" s="10"/>
      <c r="CE456" s="10"/>
      <c r="CF456" s="10"/>
      <c r="CG456" s="10"/>
      <c r="CH456" s="10"/>
      <c r="CI456" s="10"/>
      <c r="CJ456" s="10"/>
      <c r="CK456" s="10"/>
      <c r="CL456" s="10"/>
      <c r="CM456" s="10"/>
      <c r="CN456" s="10"/>
      <c r="CO456" s="10"/>
      <c r="CP456" s="10"/>
    </row>
    <row r="457" spans="1:94" hidden="1">
      <c r="A457" s="10"/>
      <c r="B457" s="10"/>
      <c r="C457" s="17"/>
      <c r="D457" s="10"/>
      <c r="E457" s="10"/>
      <c r="F457" s="10"/>
      <c r="G457" s="11"/>
      <c r="H457" s="10"/>
      <c r="I457" s="10"/>
      <c r="J457" s="10"/>
      <c r="K457" s="10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  <c r="BI457" s="10"/>
      <c r="BJ457" s="10"/>
      <c r="BK457" s="10"/>
      <c r="BL457" s="10"/>
      <c r="BM457" s="10"/>
      <c r="BN457" s="10"/>
      <c r="BO457" s="10"/>
      <c r="BP457" s="10"/>
      <c r="BQ457" s="10"/>
      <c r="BR457" s="10"/>
      <c r="BS457" s="10"/>
      <c r="BT457" s="10"/>
      <c r="BU457" s="10"/>
      <c r="BV457" s="10"/>
      <c r="BW457" s="10"/>
      <c r="BX457" s="10"/>
      <c r="BY457" s="10"/>
      <c r="BZ457" s="10"/>
      <c r="CA457" s="10"/>
      <c r="CB457" s="10"/>
      <c r="CC457" s="10"/>
      <c r="CD457" s="10"/>
      <c r="CE457" s="10"/>
      <c r="CF457" s="10"/>
      <c r="CG457" s="10"/>
      <c r="CH457" s="10"/>
      <c r="CI457" s="10"/>
      <c r="CJ457" s="10"/>
      <c r="CK457" s="10"/>
      <c r="CL457" s="10"/>
      <c r="CM457" s="10"/>
      <c r="CN457" s="10"/>
      <c r="CO457" s="10"/>
      <c r="CP457" s="10"/>
    </row>
    <row r="458" spans="1:94" hidden="1">
      <c r="A458" s="10"/>
      <c r="B458" s="10"/>
      <c r="C458" s="10"/>
      <c r="D458" s="10"/>
      <c r="E458" s="10"/>
      <c r="F458" s="10"/>
      <c r="G458" s="11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  <c r="BL458" s="10"/>
      <c r="BM458" s="10"/>
      <c r="BN458" s="10"/>
      <c r="BO458" s="10"/>
      <c r="BP458" s="10"/>
      <c r="BQ458" s="10"/>
      <c r="BR458" s="10"/>
      <c r="BS458" s="10"/>
      <c r="BT458" s="10"/>
      <c r="BU458" s="10"/>
      <c r="BV458" s="10"/>
      <c r="BW458" s="10"/>
      <c r="BX458" s="10"/>
      <c r="BY458" s="10"/>
      <c r="BZ458" s="10"/>
      <c r="CA458" s="10"/>
      <c r="CB458" s="10"/>
      <c r="CC458" s="10"/>
      <c r="CD458" s="10"/>
      <c r="CE458" s="10"/>
      <c r="CF458" s="10"/>
      <c r="CG458" s="10"/>
      <c r="CH458" s="10"/>
      <c r="CI458" s="10"/>
      <c r="CJ458" s="10"/>
      <c r="CK458" s="10"/>
      <c r="CL458" s="10"/>
      <c r="CM458" s="10"/>
      <c r="CN458" s="10"/>
      <c r="CO458" s="10"/>
      <c r="CP458" s="10"/>
    </row>
    <row r="459" spans="1:94" ht="16" hidden="1" thickBot="1">
      <c r="A459" s="10"/>
      <c r="B459" s="10"/>
      <c r="C459" s="12"/>
      <c r="D459" s="12"/>
      <c r="E459" s="12"/>
      <c r="F459" s="12"/>
      <c r="G459" s="12"/>
      <c r="H459" s="12"/>
      <c r="I459" s="12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  <c r="BL459" s="10"/>
      <c r="BM459" s="10"/>
      <c r="BN459" s="10"/>
      <c r="B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  <c r="CD459" s="10"/>
      <c r="CE459" s="10"/>
      <c r="CF459" s="10"/>
      <c r="CG459" s="10"/>
      <c r="CH459" s="10"/>
      <c r="CI459" s="10"/>
      <c r="CJ459" s="10"/>
      <c r="CK459" s="10"/>
      <c r="CL459" s="10"/>
      <c r="CM459" s="10"/>
      <c r="CN459" s="10"/>
      <c r="CO459" s="10"/>
      <c r="CP459" s="10"/>
    </row>
    <row r="460" spans="1:94" hidden="1">
      <c r="A460" s="10"/>
      <c r="B460" s="10"/>
      <c r="C460" s="10"/>
      <c r="D460" s="10"/>
      <c r="E460" s="10"/>
      <c r="F460" s="10"/>
      <c r="G460" s="11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  <c r="BL460" s="10"/>
      <c r="BM460" s="10"/>
      <c r="BN460" s="10"/>
      <c r="BO460" s="10"/>
      <c r="BP460" s="10"/>
      <c r="BQ460" s="10"/>
      <c r="BR460" s="10"/>
      <c r="BS460" s="10"/>
      <c r="BT460" s="10"/>
      <c r="BU460" s="10"/>
      <c r="BV460" s="10"/>
      <c r="BW460" s="10"/>
      <c r="BX460" s="10"/>
      <c r="BY460" s="10"/>
      <c r="BZ460" s="10"/>
      <c r="CA460" s="10"/>
      <c r="CB460" s="10"/>
      <c r="CC460" s="10"/>
      <c r="CD460" s="10"/>
      <c r="CE460" s="10"/>
      <c r="CF460" s="10"/>
      <c r="CG460" s="10"/>
      <c r="CH460" s="10"/>
      <c r="CI460" s="10"/>
      <c r="CJ460" s="10"/>
      <c r="CK460" s="10"/>
      <c r="CL460" s="10"/>
      <c r="CM460" s="10"/>
      <c r="CN460" s="10"/>
      <c r="CO460" s="10"/>
      <c r="CP460" s="10"/>
    </row>
    <row r="461" spans="1:94" hidden="1">
      <c r="A461" s="10"/>
      <c r="B461" s="10"/>
      <c r="C461" s="21"/>
      <c r="D461" s="10"/>
      <c r="E461" s="14"/>
      <c r="F461" s="11"/>
      <c r="G461" s="11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  <c r="BI461" s="10"/>
      <c r="BJ461" s="10"/>
      <c r="BK461" s="10"/>
      <c r="BL461" s="10"/>
      <c r="BM461" s="10"/>
      <c r="BN461" s="10"/>
      <c r="BO461" s="10"/>
      <c r="BP461" s="10"/>
      <c r="BQ461" s="10"/>
      <c r="BR461" s="10"/>
      <c r="BS461" s="10"/>
      <c r="BT461" s="10"/>
      <c r="BU461" s="10"/>
      <c r="BV461" s="10"/>
      <c r="BW461" s="10"/>
      <c r="BX461" s="10"/>
      <c r="BY461" s="10"/>
      <c r="BZ461" s="10"/>
      <c r="CA461" s="10"/>
      <c r="CB461" s="10"/>
      <c r="CC461" s="10"/>
      <c r="CD461" s="10"/>
      <c r="CE461" s="10"/>
      <c r="CF461" s="10"/>
      <c r="CG461" s="10"/>
      <c r="CH461" s="10"/>
      <c r="CI461" s="10"/>
      <c r="CJ461" s="10"/>
      <c r="CK461" s="10"/>
      <c r="CL461" s="10"/>
      <c r="CM461" s="10"/>
      <c r="CN461" s="10"/>
      <c r="CO461" s="10"/>
      <c r="CP461" s="10"/>
    </row>
    <row r="462" spans="1:94" hidden="1">
      <c r="A462" s="10"/>
      <c r="B462" s="10"/>
      <c r="C462" s="21"/>
      <c r="D462" s="10"/>
      <c r="E462" s="14"/>
      <c r="F462" s="11"/>
      <c r="G462" s="11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  <c r="BL462" s="10"/>
      <c r="BM462" s="10"/>
      <c r="BN462" s="10"/>
      <c r="BO462" s="10"/>
      <c r="BP462" s="10"/>
      <c r="BQ462" s="10"/>
      <c r="BR462" s="10"/>
      <c r="BS462" s="10"/>
      <c r="BT462" s="10"/>
      <c r="BU462" s="10"/>
      <c r="BV462" s="10"/>
      <c r="BW462" s="10"/>
      <c r="BX462" s="10"/>
      <c r="BY462" s="10"/>
      <c r="BZ462" s="10"/>
      <c r="CA462" s="10"/>
      <c r="CB462" s="10"/>
      <c r="CC462" s="10"/>
      <c r="CD462" s="10"/>
      <c r="CE462" s="10"/>
      <c r="CF462" s="10"/>
      <c r="CG462" s="10"/>
      <c r="CH462" s="10"/>
      <c r="CI462" s="10"/>
      <c r="CJ462" s="10"/>
      <c r="CK462" s="10"/>
      <c r="CL462" s="10"/>
      <c r="CM462" s="10"/>
      <c r="CN462" s="10"/>
      <c r="CO462" s="10"/>
      <c r="CP462" s="10"/>
    </row>
    <row r="463" spans="1:94" hidden="1">
      <c r="A463" s="10"/>
      <c r="B463" s="10"/>
      <c r="C463" s="10"/>
      <c r="D463" s="10"/>
      <c r="E463" s="10"/>
      <c r="F463" s="10"/>
      <c r="G463" s="11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  <c r="CD463" s="10"/>
      <c r="CE463" s="10"/>
      <c r="CF463" s="10"/>
      <c r="CG463" s="10"/>
      <c r="CH463" s="10"/>
      <c r="CI463" s="10"/>
      <c r="CJ463" s="10"/>
      <c r="CK463" s="10"/>
      <c r="CL463" s="10"/>
      <c r="CM463" s="10"/>
      <c r="CN463" s="10"/>
      <c r="CO463" s="10"/>
      <c r="CP463" s="10"/>
    </row>
    <row r="464" spans="1:94" ht="16" thickBot="1">
      <c r="A464" s="10"/>
      <c r="B464" s="10"/>
      <c r="C464" s="12" t="s">
        <v>881</v>
      </c>
      <c r="D464" s="12"/>
      <c r="E464" s="12"/>
      <c r="F464" s="12"/>
      <c r="G464" s="12"/>
      <c r="H464" s="12"/>
      <c r="I464" s="12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0"/>
      <c r="CE464" s="10"/>
      <c r="CF464" s="10"/>
      <c r="CG464" s="10"/>
      <c r="CH464" s="10"/>
      <c r="CI464" s="10"/>
      <c r="CJ464" s="10"/>
      <c r="CK464" s="10"/>
      <c r="CL464" s="10"/>
      <c r="CM464" s="10"/>
      <c r="CN464" s="10"/>
      <c r="CO464" s="10"/>
      <c r="CP464" s="10"/>
    </row>
    <row r="465" spans="1:94">
      <c r="A465" s="10"/>
      <c r="B465" s="10"/>
      <c r="C465" s="10"/>
      <c r="D465" s="10"/>
      <c r="E465" s="10"/>
      <c r="F465" s="10"/>
      <c r="G465" s="11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  <c r="BI465" s="10"/>
      <c r="BJ465" s="10"/>
      <c r="BK465" s="10"/>
      <c r="BL465" s="10"/>
      <c r="BM465" s="10"/>
      <c r="BN465" s="10"/>
      <c r="BO465" s="10"/>
      <c r="BP465" s="10"/>
      <c r="BQ465" s="10"/>
      <c r="BR465" s="10"/>
      <c r="BS465" s="10"/>
      <c r="BT465" s="10"/>
      <c r="BU465" s="10"/>
      <c r="BV465" s="10"/>
      <c r="BW465" s="10"/>
      <c r="BX465" s="10"/>
      <c r="BY465" s="10"/>
      <c r="BZ465" s="10"/>
      <c r="CA465" s="10"/>
      <c r="CB465" s="10"/>
      <c r="CC465" s="10"/>
      <c r="CD465" s="10"/>
      <c r="CE465" s="10"/>
      <c r="CF465" s="10"/>
      <c r="CG465" s="10"/>
      <c r="CH465" s="10"/>
      <c r="CI465" s="10"/>
      <c r="CJ465" s="10"/>
      <c r="CK465" s="10"/>
      <c r="CL465" s="10"/>
      <c r="CM465" s="10"/>
      <c r="CN465" s="10"/>
      <c r="CO465" s="10"/>
      <c r="CP465" s="10"/>
    </row>
    <row r="466" spans="1:94">
      <c r="A466" s="10"/>
      <c r="B466" s="10"/>
      <c r="C466" s="21" t="s">
        <v>882</v>
      </c>
      <c r="D466" s="10"/>
      <c r="E466" s="80">
        <v>0</v>
      </c>
      <c r="F466" s="10"/>
      <c r="G466" s="11" t="s">
        <v>738</v>
      </c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  <c r="BI466" s="10"/>
      <c r="BJ466" s="10"/>
      <c r="BK466" s="10"/>
      <c r="BL466" s="10"/>
      <c r="BM466" s="10"/>
      <c r="BN466" s="10"/>
      <c r="BO466" s="10"/>
      <c r="BP466" s="10"/>
      <c r="BQ466" s="10"/>
      <c r="BR466" s="10"/>
      <c r="BS466" s="10"/>
      <c r="BT466" s="10"/>
      <c r="BU466" s="10"/>
      <c r="BV466" s="10"/>
      <c r="BW466" s="10"/>
      <c r="BX466" s="10"/>
      <c r="BY466" s="10"/>
      <c r="BZ466" s="10"/>
      <c r="CA466" s="10"/>
      <c r="CB466" s="10"/>
      <c r="CC466" s="10"/>
      <c r="CD466" s="10"/>
      <c r="CE466" s="10"/>
      <c r="CF466" s="10"/>
      <c r="CG466" s="10"/>
      <c r="CH466" s="10"/>
      <c r="CI466" s="10"/>
      <c r="CJ466" s="10"/>
      <c r="CK466" s="10"/>
      <c r="CL466" s="10"/>
      <c r="CM466" s="10"/>
      <c r="CN466" s="10"/>
      <c r="CO466" s="10"/>
      <c r="CP466" s="10"/>
    </row>
    <row r="467" spans="1:94">
      <c r="A467" s="10"/>
      <c r="B467" s="10"/>
      <c r="C467" s="10"/>
      <c r="D467" s="10"/>
      <c r="E467" s="10"/>
      <c r="F467" s="10"/>
      <c r="G467" s="11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  <c r="BI467" s="10"/>
      <c r="BJ467" s="10"/>
      <c r="BK467" s="10"/>
      <c r="BL467" s="10"/>
      <c r="BM467" s="10"/>
      <c r="BN467" s="10"/>
      <c r="BO467" s="10"/>
      <c r="BP467" s="10"/>
      <c r="BQ467" s="10"/>
      <c r="BR467" s="10"/>
      <c r="BS467" s="10"/>
      <c r="BT467" s="10"/>
      <c r="BU467" s="10"/>
      <c r="BV467" s="10"/>
      <c r="BW467" s="10"/>
      <c r="BX467" s="10"/>
      <c r="BY467" s="10"/>
      <c r="BZ467" s="10"/>
      <c r="CA467" s="10"/>
      <c r="CB467" s="10"/>
      <c r="CC467" s="10"/>
      <c r="CD467" s="10"/>
      <c r="CE467" s="10"/>
      <c r="CF467" s="10"/>
      <c r="CG467" s="10"/>
      <c r="CH467" s="10"/>
      <c r="CI467" s="10"/>
      <c r="CJ467" s="10"/>
      <c r="CK467" s="10"/>
      <c r="CL467" s="10"/>
      <c r="CM467" s="10"/>
      <c r="CN467" s="10"/>
      <c r="CO467" s="10"/>
      <c r="CP467" s="10"/>
    </row>
    <row r="468" spans="1:94" ht="15" customHeight="1">
      <c r="A468" s="10"/>
      <c r="B468" s="3"/>
      <c r="C468" s="384" t="str">
        <f>C333</f>
        <v>Сегмент 3: Крытый парк развлечений</v>
      </c>
      <c r="D468" s="273"/>
      <c r="E468" s="273"/>
      <c r="F468" s="273"/>
      <c r="G468" s="274"/>
      <c r="H468" s="273"/>
      <c r="I468" s="273"/>
      <c r="J468" s="273"/>
      <c r="K468" s="273"/>
      <c r="L468" s="273"/>
      <c r="M468" s="273"/>
      <c r="N468" s="273"/>
      <c r="O468" s="273"/>
      <c r="P468" s="273"/>
      <c r="Q468" s="273"/>
      <c r="R468" s="273"/>
      <c r="S468" s="273"/>
      <c r="T468" s="273"/>
      <c r="U468" s="273"/>
      <c r="V468" s="273"/>
      <c r="W468" s="273"/>
      <c r="X468" s="273"/>
      <c r="Y468" s="273"/>
      <c r="Z468" s="273"/>
      <c r="AA468" s="273"/>
      <c r="AB468" s="273"/>
      <c r="AC468" s="273"/>
      <c r="AD468" s="273"/>
      <c r="AE468" s="273"/>
      <c r="AF468" s="273"/>
      <c r="AG468" s="273"/>
      <c r="AH468" s="273"/>
      <c r="AI468" s="273"/>
      <c r="AJ468" s="273"/>
      <c r="AK468" s="273"/>
      <c r="AL468" s="273"/>
      <c r="AM468" s="273"/>
      <c r="AN468" s="273"/>
      <c r="AO468" s="273"/>
      <c r="AP468" s="273"/>
      <c r="AQ468" s="273"/>
      <c r="AR468" s="273"/>
      <c r="AS468" s="273"/>
      <c r="AT468" s="273"/>
      <c r="AU468" s="273"/>
      <c r="AV468" s="273"/>
      <c r="AW468" s="273"/>
      <c r="AX468" s="273"/>
      <c r="AY468" s="273"/>
      <c r="AZ468" s="273"/>
      <c r="BA468" s="273"/>
      <c r="BB468" s="273"/>
      <c r="BC468" s="273"/>
      <c r="BD468" s="273"/>
      <c r="BE468" s="273"/>
      <c r="BF468" s="273"/>
      <c r="BG468" s="273"/>
      <c r="BH468" s="273"/>
      <c r="BI468" s="273"/>
      <c r="BJ468" s="273"/>
      <c r="BK468" s="273"/>
      <c r="BL468" s="273"/>
      <c r="BM468" s="273"/>
      <c r="BN468" s="273"/>
      <c r="BO468" s="273"/>
      <c r="BP468" s="273"/>
      <c r="BQ468" s="273"/>
      <c r="BR468" s="273"/>
      <c r="BS468" s="273"/>
      <c r="BT468" s="273"/>
      <c r="BU468" s="273"/>
      <c r="BV468" s="273"/>
      <c r="BW468" s="273"/>
      <c r="BX468" s="273"/>
      <c r="BY468" s="273"/>
      <c r="BZ468" s="273"/>
      <c r="CA468" s="273"/>
      <c r="CB468" s="273"/>
      <c r="CC468" s="273"/>
      <c r="CD468" s="273"/>
      <c r="CE468" s="273"/>
      <c r="CF468" s="273"/>
      <c r="CG468" s="273"/>
      <c r="CH468" s="273"/>
      <c r="CI468" s="273"/>
      <c r="CJ468" s="273"/>
      <c r="CK468" s="273"/>
      <c r="CL468" s="273"/>
      <c r="CM468" s="273"/>
      <c r="CN468" s="273"/>
      <c r="CO468" s="273"/>
      <c r="CP468" s="10"/>
    </row>
    <row r="469" spans="1:94">
      <c r="A469" s="10"/>
      <c r="B469" s="10"/>
      <c r="C469" s="10"/>
      <c r="D469" s="10"/>
      <c r="E469" s="10"/>
      <c r="F469" s="10"/>
      <c r="G469" s="11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  <c r="BL469" s="10"/>
      <c r="BM469" s="10"/>
      <c r="BN469" s="10"/>
      <c r="BO469" s="10"/>
      <c r="BP469" s="10"/>
      <c r="BQ469" s="10"/>
      <c r="BR469" s="10"/>
      <c r="BS469" s="10"/>
      <c r="BT469" s="10"/>
      <c r="BU469" s="10"/>
      <c r="BV469" s="10"/>
      <c r="BW469" s="10"/>
      <c r="BX469" s="10"/>
      <c r="BY469" s="10"/>
      <c r="BZ469" s="10"/>
      <c r="CA469" s="10"/>
      <c r="CB469" s="10"/>
      <c r="CC469" s="10"/>
      <c r="CD469" s="10"/>
      <c r="CE469" s="10"/>
      <c r="CF469" s="10"/>
      <c r="CG469" s="10"/>
      <c r="CH469" s="10"/>
      <c r="CI469" s="10"/>
      <c r="CJ469" s="10"/>
      <c r="CK469" s="10"/>
      <c r="CL469" s="10"/>
      <c r="CM469" s="10"/>
      <c r="CN469" s="10"/>
      <c r="CO469" s="10"/>
      <c r="CP469" s="10"/>
    </row>
    <row r="470" spans="1:94" ht="16" thickBot="1">
      <c r="A470" s="10"/>
      <c r="B470" s="10"/>
      <c r="C470" s="12" t="s">
        <v>891</v>
      </c>
      <c r="D470" s="12"/>
      <c r="E470" s="12"/>
      <c r="F470" s="12"/>
      <c r="G470" s="12"/>
      <c r="H470" s="12"/>
      <c r="I470" s="12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  <c r="BI470" s="10"/>
      <c r="BJ470" s="10"/>
      <c r="BK470" s="10"/>
      <c r="BL470" s="10"/>
      <c r="BM470" s="10"/>
      <c r="BN470" s="10"/>
      <c r="BO470" s="10"/>
      <c r="BP470" s="10"/>
      <c r="BQ470" s="10"/>
      <c r="BR470" s="10"/>
      <c r="BS470" s="10"/>
      <c r="BT470" s="10"/>
      <c r="BU470" s="10"/>
      <c r="BV470" s="10"/>
      <c r="BW470" s="10"/>
      <c r="BX470" s="10"/>
      <c r="BY470" s="10"/>
      <c r="BZ470" s="10"/>
      <c r="CA470" s="10"/>
      <c r="CB470" s="10"/>
      <c r="CC470" s="10"/>
      <c r="CD470" s="10"/>
      <c r="CE470" s="10"/>
      <c r="CF470" s="10"/>
      <c r="CG470" s="10"/>
      <c r="CH470" s="10"/>
      <c r="CI470" s="10"/>
      <c r="CJ470" s="10"/>
      <c r="CK470" s="10"/>
      <c r="CL470" s="10"/>
      <c r="CM470" s="10"/>
      <c r="CN470" s="10"/>
      <c r="CO470" s="10"/>
      <c r="CP470" s="10"/>
    </row>
    <row r="471" spans="1:94">
      <c r="A471" s="10"/>
      <c r="B471" s="10"/>
      <c r="C471" s="10"/>
      <c r="D471" s="10"/>
      <c r="E471" s="10"/>
      <c r="F471" s="10"/>
      <c r="G471" s="11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10"/>
      <c r="BM471" s="10"/>
      <c r="BN471" s="10"/>
      <c r="BO471" s="10"/>
      <c r="BP471" s="10"/>
      <c r="BQ471" s="10"/>
      <c r="BR471" s="10"/>
      <c r="BS471" s="10"/>
      <c r="BT471" s="10"/>
      <c r="BU471" s="10"/>
      <c r="BV471" s="10"/>
      <c r="BW471" s="10"/>
      <c r="BX471" s="10"/>
      <c r="BY471" s="10"/>
      <c r="BZ471" s="10"/>
      <c r="CA471" s="10"/>
      <c r="CB471" s="10"/>
      <c r="CC471" s="10"/>
      <c r="CD471" s="10"/>
      <c r="CE471" s="10"/>
      <c r="CF471" s="10"/>
      <c r="CG471" s="10"/>
      <c r="CH471" s="10"/>
      <c r="CI471" s="10"/>
      <c r="CJ471" s="10"/>
      <c r="CK471" s="10"/>
      <c r="CL471" s="10"/>
      <c r="CM471" s="10"/>
      <c r="CN471" s="10"/>
      <c r="CO471" s="10"/>
      <c r="CP471" s="10"/>
    </row>
    <row r="472" spans="1:94">
      <c r="A472" s="10"/>
      <c r="B472" s="10"/>
      <c r="C472" s="10" t="s">
        <v>892</v>
      </c>
      <c r="D472" s="10"/>
      <c r="E472" s="80">
        <v>0</v>
      </c>
      <c r="F472" s="10"/>
      <c r="G472" s="314" t="s">
        <v>893</v>
      </c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10"/>
      <c r="BJ472" s="10"/>
      <c r="BK472" s="10"/>
      <c r="BL472" s="10"/>
      <c r="BM472" s="10"/>
      <c r="BN472" s="10"/>
      <c r="BO472" s="10"/>
      <c r="BP472" s="10"/>
      <c r="BQ472" s="10"/>
      <c r="BR472" s="10"/>
      <c r="BS472" s="10"/>
      <c r="BT472" s="10"/>
      <c r="BU472" s="10"/>
      <c r="BV472" s="10"/>
      <c r="BW472" s="10"/>
      <c r="BX472" s="10"/>
      <c r="BY472" s="10"/>
      <c r="BZ472" s="10"/>
      <c r="CA472" s="10"/>
      <c r="CB472" s="10"/>
      <c r="CC472" s="10"/>
      <c r="CD472" s="10"/>
      <c r="CE472" s="10"/>
      <c r="CF472" s="10"/>
      <c r="CG472" s="10"/>
      <c r="CH472" s="10"/>
      <c r="CI472" s="10"/>
      <c r="CJ472" s="10"/>
      <c r="CK472" s="10"/>
      <c r="CL472" s="10"/>
      <c r="CM472" s="10"/>
      <c r="CN472" s="10"/>
      <c r="CO472" s="10"/>
      <c r="CP472" s="10"/>
    </row>
    <row r="473" spans="1:94">
      <c r="A473" s="10"/>
      <c r="B473" s="10"/>
      <c r="C473" s="10" t="s">
        <v>905</v>
      </c>
      <c r="D473" s="10"/>
      <c r="E473" s="14">
        <v>0</v>
      </c>
      <c r="F473" s="10"/>
      <c r="G473" s="11" t="s">
        <v>906</v>
      </c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  <c r="BL473" s="10"/>
      <c r="BM473" s="10"/>
      <c r="BN473" s="10"/>
      <c r="BO473" s="10"/>
      <c r="BP473" s="10"/>
      <c r="BQ473" s="10"/>
      <c r="BR473" s="10"/>
      <c r="BS473" s="10"/>
      <c r="BT473" s="10"/>
      <c r="BU473" s="10"/>
      <c r="BV473" s="10"/>
      <c r="BW473" s="10"/>
      <c r="BX473" s="10"/>
      <c r="BY473" s="10"/>
      <c r="BZ473" s="10"/>
      <c r="CA473" s="10"/>
      <c r="CB473" s="10"/>
      <c r="CC473" s="10"/>
      <c r="CD473" s="10"/>
      <c r="CE473" s="10"/>
      <c r="CF473" s="10"/>
      <c r="CG473" s="10"/>
      <c r="CH473" s="10"/>
      <c r="CI473" s="10"/>
      <c r="CJ473" s="10"/>
      <c r="CK473" s="10"/>
      <c r="CL473" s="10"/>
      <c r="CM473" s="10"/>
      <c r="CN473" s="10"/>
      <c r="CO473" s="10"/>
      <c r="CP473" s="10"/>
    </row>
    <row r="474" spans="1:94">
      <c r="A474" s="10"/>
      <c r="B474" s="10"/>
      <c r="C474" s="10"/>
      <c r="D474" s="10"/>
      <c r="E474" s="10"/>
      <c r="F474" s="10"/>
      <c r="G474" s="11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  <c r="CD474" s="10"/>
      <c r="CE474" s="10"/>
      <c r="CF474" s="10"/>
      <c r="CG474" s="10"/>
      <c r="CH474" s="10"/>
      <c r="CI474" s="10"/>
      <c r="CJ474" s="10"/>
      <c r="CK474" s="10"/>
      <c r="CL474" s="10"/>
      <c r="CM474" s="10"/>
      <c r="CN474" s="10"/>
      <c r="CO474" s="10"/>
      <c r="CP474" s="10"/>
    </row>
    <row r="475" spans="1:94" ht="22.5" customHeight="1">
      <c r="A475" s="10"/>
      <c r="B475" s="5" t="s">
        <v>897</v>
      </c>
      <c r="C475" s="5"/>
      <c r="D475" s="31"/>
      <c r="E475" s="112"/>
      <c r="F475" s="5"/>
      <c r="G475" s="6"/>
      <c r="H475" s="31"/>
      <c r="I475" s="5"/>
      <c r="J475" s="5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  <c r="BS475" s="31"/>
      <c r="BT475" s="31"/>
      <c r="BU475" s="31"/>
      <c r="BV475" s="31"/>
      <c r="BW475" s="31"/>
      <c r="BX475" s="31"/>
      <c r="BY475" s="31"/>
      <c r="BZ475" s="31"/>
      <c r="CA475" s="31"/>
      <c r="CB475" s="31"/>
      <c r="CC475" s="31"/>
      <c r="CD475" s="31"/>
      <c r="CE475" s="31"/>
      <c r="CF475" s="31"/>
      <c r="CG475" s="31"/>
      <c r="CH475" s="31"/>
      <c r="CI475" s="31"/>
      <c r="CJ475" s="31"/>
      <c r="CK475" s="31"/>
      <c r="CL475" s="31"/>
      <c r="CM475" s="31"/>
      <c r="CN475" s="31"/>
      <c r="CO475" s="31"/>
      <c r="CP475" s="10"/>
    </row>
    <row r="476" spans="1:94" ht="15" customHeight="1">
      <c r="A476" s="10"/>
      <c r="B476" s="10"/>
      <c r="C476" s="10"/>
      <c r="D476" s="10"/>
      <c r="E476" s="59"/>
      <c r="F476" s="3"/>
      <c r="G476" s="142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  <c r="BI476" s="10"/>
      <c r="BJ476" s="10"/>
      <c r="BK476" s="10"/>
      <c r="BL476" s="10"/>
      <c r="BM476" s="10"/>
      <c r="BN476" s="10"/>
      <c r="BO476" s="10"/>
      <c r="BP476" s="10"/>
      <c r="BQ476" s="10"/>
      <c r="BR476" s="10"/>
      <c r="BS476" s="10"/>
      <c r="BT476" s="10"/>
      <c r="BU476" s="10"/>
      <c r="BV476" s="10"/>
      <c r="BW476" s="10"/>
      <c r="BX476" s="10"/>
      <c r="BY476" s="10"/>
      <c r="BZ476" s="10"/>
      <c r="CA476" s="10"/>
      <c r="CB476" s="10"/>
      <c r="CC476" s="10"/>
      <c r="CD476" s="10"/>
      <c r="CE476" s="10"/>
      <c r="CF476" s="10"/>
      <c r="CG476" s="10"/>
      <c r="CH476" s="10"/>
      <c r="CI476" s="10"/>
      <c r="CJ476" s="10"/>
      <c r="CK476" s="10"/>
      <c r="CL476" s="10"/>
      <c r="CM476" s="10"/>
      <c r="CN476" s="10"/>
      <c r="CO476" s="10"/>
      <c r="CP476" s="10"/>
    </row>
    <row r="477" spans="1:94" ht="15" customHeight="1">
      <c r="A477" s="10"/>
      <c r="B477" s="3"/>
      <c r="C477" s="384" t="str">
        <f>C158</f>
        <v>Сегмент 0: Общая поддерживающая инфраструктура</v>
      </c>
      <c r="D477" s="273"/>
      <c r="E477" s="273"/>
      <c r="F477" s="273"/>
      <c r="G477" s="274"/>
      <c r="H477" s="273"/>
      <c r="I477" s="273"/>
      <c r="J477" s="273"/>
      <c r="K477" s="273"/>
      <c r="L477" s="273"/>
      <c r="M477" s="273"/>
      <c r="N477" s="273"/>
      <c r="O477" s="273"/>
      <c r="P477" s="273"/>
      <c r="Q477" s="273"/>
      <c r="R477" s="273"/>
      <c r="S477" s="273"/>
      <c r="T477" s="273"/>
      <c r="U477" s="273"/>
      <c r="V477" s="273"/>
      <c r="W477" s="273"/>
      <c r="X477" s="273"/>
      <c r="Y477" s="273"/>
      <c r="Z477" s="273"/>
      <c r="AA477" s="273"/>
      <c r="AB477" s="273"/>
      <c r="AC477" s="273"/>
      <c r="AD477" s="273"/>
      <c r="AE477" s="273"/>
      <c r="AF477" s="273"/>
      <c r="AG477" s="273"/>
      <c r="AH477" s="273"/>
      <c r="AI477" s="273"/>
      <c r="AJ477" s="273"/>
      <c r="AK477" s="273"/>
      <c r="AL477" s="273"/>
      <c r="AM477" s="273"/>
      <c r="AN477" s="273"/>
      <c r="AO477" s="273"/>
      <c r="AP477" s="273"/>
      <c r="AQ477" s="273"/>
      <c r="AR477" s="273"/>
      <c r="AS477" s="273"/>
      <c r="AT477" s="273"/>
      <c r="AU477" s="273"/>
      <c r="AV477" s="273"/>
      <c r="AW477" s="273"/>
      <c r="AX477" s="273"/>
      <c r="AY477" s="273"/>
      <c r="AZ477" s="273"/>
      <c r="BA477" s="273"/>
      <c r="BB477" s="273"/>
      <c r="BC477" s="273"/>
      <c r="BD477" s="273"/>
      <c r="BE477" s="273"/>
      <c r="BF477" s="273"/>
      <c r="BG477" s="273"/>
      <c r="BH477" s="273"/>
      <c r="BI477" s="273"/>
      <c r="BJ477" s="273"/>
      <c r="BK477" s="273"/>
      <c r="BL477" s="273"/>
      <c r="BM477" s="273"/>
      <c r="BN477" s="273"/>
      <c r="BO477" s="273"/>
      <c r="BP477" s="273"/>
      <c r="BQ477" s="273"/>
      <c r="BR477" s="273"/>
      <c r="BS477" s="273"/>
      <c r="BT477" s="273"/>
      <c r="BU477" s="273"/>
      <c r="BV477" s="273"/>
      <c r="BW477" s="273"/>
      <c r="BX477" s="273"/>
      <c r="BY477" s="273"/>
      <c r="BZ477" s="273"/>
      <c r="CA477" s="273"/>
      <c r="CB477" s="273"/>
      <c r="CC477" s="273"/>
      <c r="CD477" s="273"/>
      <c r="CE477" s="273"/>
      <c r="CF477" s="273"/>
      <c r="CG477" s="273"/>
      <c r="CH477" s="273"/>
      <c r="CI477" s="273"/>
      <c r="CJ477" s="273"/>
      <c r="CK477" s="273"/>
      <c r="CL477" s="273"/>
      <c r="CM477" s="273"/>
      <c r="CN477" s="273"/>
      <c r="CO477" s="273"/>
      <c r="CP477" s="10"/>
    </row>
    <row r="478" spans="1:94" ht="15" customHeight="1">
      <c r="A478" s="10"/>
      <c r="B478" s="10"/>
      <c r="C478" s="10"/>
      <c r="D478" s="10"/>
      <c r="E478" s="59"/>
      <c r="F478" s="3"/>
      <c r="G478" s="142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  <c r="BI478" s="10"/>
      <c r="BJ478" s="10"/>
      <c r="BK478" s="10"/>
      <c r="BL478" s="10"/>
      <c r="BM478" s="10"/>
      <c r="BN478" s="10"/>
      <c r="BO478" s="10"/>
      <c r="BP478" s="10"/>
      <c r="BQ478" s="10"/>
      <c r="BR478" s="10"/>
      <c r="BS478" s="10"/>
      <c r="BT478" s="10"/>
      <c r="BU478" s="10"/>
      <c r="BV478" s="10"/>
      <c r="BW478" s="10"/>
      <c r="BX478" s="10"/>
      <c r="BY478" s="10"/>
      <c r="BZ478" s="10"/>
      <c r="CA478" s="10"/>
      <c r="CB478" s="10"/>
      <c r="CC478" s="10"/>
      <c r="CD478" s="10"/>
      <c r="CE478" s="10"/>
      <c r="CF478" s="10"/>
      <c r="CG478" s="10"/>
      <c r="CH478" s="10"/>
      <c r="CI478" s="10"/>
      <c r="CJ478" s="10"/>
      <c r="CK478" s="10"/>
      <c r="CL478" s="10"/>
      <c r="CM478" s="10"/>
      <c r="CN478" s="10"/>
      <c r="CO478" s="10"/>
      <c r="CP478" s="10"/>
    </row>
    <row r="479" spans="1:94" ht="15" customHeight="1" thickBot="1">
      <c r="A479" s="10"/>
      <c r="B479" s="10"/>
      <c r="C479" s="12" t="s">
        <v>908</v>
      </c>
      <c r="D479" s="12"/>
      <c r="E479" s="12"/>
      <c r="F479" s="12"/>
      <c r="G479" s="12"/>
      <c r="H479" s="12"/>
      <c r="I479" s="12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  <c r="BL479" s="10"/>
      <c r="BM479" s="10"/>
      <c r="BN479" s="10"/>
      <c r="BO479" s="10"/>
      <c r="BP479" s="10"/>
      <c r="BQ479" s="10"/>
      <c r="BR479" s="10"/>
      <c r="BS479" s="10"/>
      <c r="BT479" s="10"/>
      <c r="BU479" s="10"/>
      <c r="BV479" s="10"/>
      <c r="BW479" s="10"/>
      <c r="BX479" s="10"/>
      <c r="BY479" s="10"/>
      <c r="BZ479" s="10"/>
      <c r="CA479" s="10"/>
      <c r="CB479" s="10"/>
      <c r="CC479" s="10"/>
      <c r="CD479" s="10"/>
      <c r="CE479" s="10"/>
      <c r="CF479" s="10"/>
      <c r="CG479" s="10"/>
      <c r="CH479" s="10"/>
      <c r="CI479" s="10"/>
      <c r="CJ479" s="10"/>
      <c r="CK479" s="10"/>
      <c r="CL479" s="10"/>
      <c r="CM479" s="10"/>
      <c r="CN479" s="10"/>
      <c r="CO479" s="10"/>
      <c r="CP479" s="10"/>
    </row>
    <row r="480" spans="1:94" ht="15" customHeight="1">
      <c r="A480" s="10"/>
      <c r="B480" s="10"/>
      <c r="C480" s="10"/>
      <c r="D480" s="10"/>
      <c r="E480" s="59"/>
      <c r="F480" s="3"/>
      <c r="G480" s="142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  <c r="BI480" s="10"/>
      <c r="BJ480" s="10"/>
      <c r="BK480" s="10"/>
      <c r="BL480" s="10"/>
      <c r="BM480" s="10"/>
      <c r="BN480" s="10"/>
      <c r="BO480" s="10"/>
      <c r="BP480" s="10"/>
      <c r="BQ480" s="10"/>
      <c r="BR480" s="10"/>
      <c r="BS480" s="10"/>
      <c r="BT480" s="10"/>
      <c r="BU480" s="10"/>
      <c r="BV480" s="10"/>
      <c r="BW480" s="10"/>
      <c r="BX480" s="10"/>
      <c r="BY480" s="10"/>
      <c r="BZ480" s="10"/>
      <c r="CA480" s="10"/>
      <c r="CB480" s="10"/>
      <c r="CC480" s="10"/>
      <c r="CD480" s="10"/>
      <c r="CE480" s="10"/>
      <c r="CF480" s="10"/>
      <c r="CG480" s="10"/>
      <c r="CH480" s="10"/>
      <c r="CI480" s="10"/>
      <c r="CJ480" s="10"/>
      <c r="CK480" s="10"/>
      <c r="CL480" s="10"/>
      <c r="CM480" s="10"/>
      <c r="CN480" s="10"/>
      <c r="CO480" s="10"/>
      <c r="CP480" s="10"/>
    </row>
    <row r="481" spans="1:94" ht="15" customHeight="1">
      <c r="A481" s="10"/>
      <c r="B481" s="10"/>
      <c r="C481" s="17" t="str">
        <f xml:space="preserve"> "Расходы на содержание и обслуживание " &amp; Контр_панель!C42</f>
        <v>Расходы на содержание и обслуживание Транспортная инфраструктура</v>
      </c>
      <c r="D481" s="10"/>
      <c r="E481" s="80">
        <v>0.03</v>
      </c>
      <c r="F481" s="3"/>
      <c r="G481" s="240" t="s">
        <v>907</v>
      </c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10"/>
      <c r="BJ481" s="10"/>
      <c r="BK481" s="10"/>
      <c r="BL481" s="10"/>
      <c r="BM481" s="10"/>
      <c r="BN481" s="10"/>
      <c r="BO481" s="10"/>
      <c r="BP481" s="10"/>
      <c r="BQ481" s="10"/>
      <c r="BR481" s="10"/>
      <c r="BS481" s="10"/>
      <c r="BT481" s="10"/>
      <c r="BU481" s="10"/>
      <c r="BV481" s="10"/>
      <c r="BW481" s="10"/>
      <c r="BX481" s="10"/>
      <c r="BY481" s="10"/>
      <c r="BZ481" s="10"/>
      <c r="CA481" s="10"/>
      <c r="CB481" s="10"/>
      <c r="CC481" s="10"/>
      <c r="CD481" s="10"/>
      <c r="CE481" s="10"/>
      <c r="CF481" s="10"/>
      <c r="CG481" s="10"/>
      <c r="CH481" s="10"/>
      <c r="CI481" s="10"/>
      <c r="CJ481" s="10"/>
      <c r="CK481" s="10"/>
      <c r="CL481" s="10"/>
      <c r="CM481" s="10"/>
      <c r="CN481" s="10"/>
      <c r="CO481" s="10"/>
      <c r="CP481" s="10"/>
    </row>
    <row r="482" spans="1:94" ht="15" customHeight="1">
      <c r="A482" s="10"/>
      <c r="B482" s="10"/>
      <c r="C482" s="17" t="str">
        <f xml:space="preserve"> "Расходы на содержание и обслуживание " &amp; Контр_панель!C43</f>
        <v>Расходы на содержание и обслуживание Коммунальная инфраструктура</v>
      </c>
      <c r="D482" s="10"/>
      <c r="E482" s="80">
        <v>0</v>
      </c>
      <c r="F482" s="3"/>
      <c r="G482" s="240" t="s">
        <v>907</v>
      </c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  <c r="BI482" s="10"/>
      <c r="BJ482" s="10"/>
      <c r="BK482" s="10"/>
      <c r="BL482" s="10"/>
      <c r="BM482" s="10"/>
      <c r="BN482" s="10"/>
      <c r="BO482" s="10"/>
      <c r="BP482" s="10"/>
      <c r="BQ482" s="10"/>
      <c r="BR482" s="10"/>
      <c r="BS482" s="10"/>
      <c r="BT482" s="10"/>
      <c r="BU482" s="10"/>
      <c r="BV482" s="10"/>
      <c r="BW482" s="10"/>
      <c r="BX482" s="10"/>
      <c r="BY482" s="10"/>
      <c r="BZ482" s="10"/>
      <c r="CA482" s="10"/>
      <c r="CB482" s="10"/>
      <c r="CC482" s="10"/>
      <c r="CD482" s="10"/>
      <c r="CE482" s="10"/>
      <c r="CF482" s="10"/>
      <c r="CG482" s="10"/>
      <c r="CH482" s="10"/>
      <c r="CI482" s="10"/>
      <c r="CJ482" s="10"/>
      <c r="CK482" s="10"/>
      <c r="CL482" s="10"/>
      <c r="CM482" s="10"/>
      <c r="CN482" s="10"/>
      <c r="CO482" s="10"/>
      <c r="CP482" s="10"/>
    </row>
    <row r="483" spans="1:94" ht="15" customHeight="1">
      <c r="A483" s="10"/>
      <c r="B483" s="10"/>
      <c r="C483" s="17" t="str">
        <f xml:space="preserve"> "Расходы на содержание и обслуживание " &amp; Контр_панель!C44</f>
        <v>Расходы на содержание и обслуживание Прочая обеспечивающая инфраструктура</v>
      </c>
      <c r="D483" s="10"/>
      <c r="E483" s="80">
        <v>0</v>
      </c>
      <c r="F483" s="3"/>
      <c r="G483" s="240" t="s">
        <v>907</v>
      </c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  <c r="BI483" s="10"/>
      <c r="BJ483" s="10"/>
      <c r="BK483" s="10"/>
      <c r="BL483" s="10"/>
      <c r="BM483" s="10"/>
      <c r="BN483" s="10"/>
      <c r="BO483" s="10"/>
      <c r="BP483" s="10"/>
      <c r="BQ483" s="10"/>
      <c r="BR483" s="10"/>
      <c r="BS483" s="10"/>
      <c r="BT483" s="10"/>
      <c r="BU483" s="10"/>
      <c r="BV483" s="10"/>
      <c r="BW483" s="10"/>
      <c r="BX483" s="10"/>
      <c r="BY483" s="10"/>
      <c r="BZ483" s="10"/>
      <c r="CA483" s="10"/>
      <c r="CB483" s="10"/>
      <c r="CC483" s="10"/>
      <c r="CD483" s="10"/>
      <c r="CE483" s="10"/>
      <c r="CF483" s="10"/>
      <c r="CG483" s="10"/>
      <c r="CH483" s="10"/>
      <c r="CI483" s="10"/>
      <c r="CJ483" s="10"/>
      <c r="CK483" s="10"/>
      <c r="CL483" s="10"/>
      <c r="CM483" s="10"/>
      <c r="CN483" s="10"/>
      <c r="CO483" s="10"/>
      <c r="CP483" s="10"/>
    </row>
    <row r="484" spans="1:94" ht="15" customHeight="1">
      <c r="A484" s="10"/>
      <c r="B484" s="10"/>
      <c r="C484" s="10"/>
      <c r="D484" s="10"/>
      <c r="E484" s="59"/>
      <c r="F484" s="3"/>
      <c r="G484" s="142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  <c r="CD484" s="10"/>
      <c r="CE484" s="10"/>
      <c r="CF484" s="10"/>
      <c r="CG484" s="10"/>
      <c r="CH484" s="10"/>
      <c r="CI484" s="10"/>
      <c r="CJ484" s="10"/>
      <c r="CK484" s="10"/>
      <c r="CL484" s="10"/>
      <c r="CM484" s="10"/>
      <c r="CN484" s="10"/>
      <c r="CO484" s="10"/>
      <c r="CP484" s="10"/>
    </row>
    <row r="485" spans="1:94" ht="15" customHeight="1">
      <c r="A485" s="10"/>
      <c r="B485" s="3"/>
      <c r="C485" s="384" t="str">
        <f>C244</f>
        <v>Сегмент 1: Объект размещения (отель)</v>
      </c>
      <c r="D485" s="273"/>
      <c r="E485" s="273"/>
      <c r="F485" s="273"/>
      <c r="G485" s="274"/>
      <c r="H485" s="273"/>
      <c r="I485" s="273"/>
      <c r="J485" s="273"/>
      <c r="K485" s="273"/>
      <c r="L485" s="273"/>
      <c r="M485" s="273"/>
      <c r="N485" s="273"/>
      <c r="O485" s="273"/>
      <c r="P485" s="273"/>
      <c r="Q485" s="273"/>
      <c r="R485" s="273"/>
      <c r="S485" s="273"/>
      <c r="T485" s="273"/>
      <c r="U485" s="273"/>
      <c r="V485" s="273"/>
      <c r="W485" s="273"/>
      <c r="X485" s="273"/>
      <c r="Y485" s="273"/>
      <c r="Z485" s="273"/>
      <c r="AA485" s="273"/>
      <c r="AB485" s="273"/>
      <c r="AC485" s="273"/>
      <c r="AD485" s="273"/>
      <c r="AE485" s="273"/>
      <c r="AF485" s="273"/>
      <c r="AG485" s="273"/>
      <c r="AH485" s="273"/>
      <c r="AI485" s="273"/>
      <c r="AJ485" s="273"/>
      <c r="AK485" s="273"/>
      <c r="AL485" s="273"/>
      <c r="AM485" s="273"/>
      <c r="AN485" s="273"/>
      <c r="AO485" s="273"/>
      <c r="AP485" s="273"/>
      <c r="AQ485" s="273"/>
      <c r="AR485" s="273"/>
      <c r="AS485" s="273"/>
      <c r="AT485" s="273"/>
      <c r="AU485" s="273"/>
      <c r="AV485" s="273"/>
      <c r="AW485" s="273"/>
      <c r="AX485" s="273"/>
      <c r="AY485" s="273"/>
      <c r="AZ485" s="273"/>
      <c r="BA485" s="273"/>
      <c r="BB485" s="273"/>
      <c r="BC485" s="273"/>
      <c r="BD485" s="273"/>
      <c r="BE485" s="273"/>
      <c r="BF485" s="273"/>
      <c r="BG485" s="273"/>
      <c r="BH485" s="273"/>
      <c r="BI485" s="273"/>
      <c r="BJ485" s="273"/>
      <c r="BK485" s="273"/>
      <c r="BL485" s="273"/>
      <c r="BM485" s="273"/>
      <c r="BN485" s="273"/>
      <c r="BO485" s="273"/>
      <c r="BP485" s="273"/>
      <c r="BQ485" s="273"/>
      <c r="BR485" s="273"/>
      <c r="BS485" s="273"/>
      <c r="BT485" s="273"/>
      <c r="BU485" s="273"/>
      <c r="BV485" s="273"/>
      <c r="BW485" s="273"/>
      <c r="BX485" s="273"/>
      <c r="BY485" s="273"/>
      <c r="BZ485" s="273"/>
      <c r="CA485" s="273"/>
      <c r="CB485" s="273"/>
      <c r="CC485" s="273"/>
      <c r="CD485" s="273"/>
      <c r="CE485" s="273"/>
      <c r="CF485" s="273"/>
      <c r="CG485" s="273"/>
      <c r="CH485" s="273"/>
      <c r="CI485" s="273"/>
      <c r="CJ485" s="273"/>
      <c r="CK485" s="273"/>
      <c r="CL485" s="273"/>
      <c r="CM485" s="273"/>
      <c r="CN485" s="273"/>
      <c r="CO485" s="273"/>
      <c r="CP485" s="10"/>
    </row>
    <row r="486" spans="1:94" ht="15" customHeight="1">
      <c r="A486" s="10"/>
      <c r="B486" s="10"/>
      <c r="C486" s="10"/>
      <c r="D486" s="10"/>
      <c r="E486" s="59"/>
      <c r="F486" s="3"/>
      <c r="G486" s="14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  <c r="BL486" s="10"/>
      <c r="BM486" s="10"/>
      <c r="BN486" s="10"/>
      <c r="BO486" s="10"/>
      <c r="BP486" s="10"/>
      <c r="BQ486" s="10"/>
      <c r="BR486" s="10"/>
      <c r="BS486" s="10"/>
      <c r="BT486" s="10"/>
      <c r="BU486" s="10"/>
      <c r="BV486" s="10"/>
      <c r="BW486" s="10"/>
      <c r="BX486" s="10"/>
      <c r="BY486" s="10"/>
      <c r="BZ486" s="10"/>
      <c r="CA486" s="10"/>
      <c r="CB486" s="10"/>
      <c r="CC486" s="10"/>
      <c r="CD486" s="10"/>
      <c r="CE486" s="10"/>
      <c r="CF486" s="10"/>
      <c r="CG486" s="10"/>
      <c r="CH486" s="10"/>
      <c r="CI486" s="10"/>
      <c r="CJ486" s="10"/>
      <c r="CK486" s="10"/>
      <c r="CL486" s="10"/>
      <c r="CM486" s="10"/>
      <c r="CN486" s="10"/>
      <c r="CO486" s="10"/>
      <c r="CP486" s="10"/>
    </row>
    <row r="487" spans="1:94" ht="15" customHeight="1" thickBot="1">
      <c r="A487" s="10"/>
      <c r="B487" s="10"/>
      <c r="C487" s="12" t="s">
        <v>916</v>
      </c>
      <c r="D487" s="12"/>
      <c r="E487" s="12"/>
      <c r="F487" s="12"/>
      <c r="G487" s="12"/>
      <c r="H487" s="12"/>
      <c r="I487" s="12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  <c r="CP487" s="10"/>
    </row>
    <row r="488" spans="1:94" ht="15" customHeight="1">
      <c r="A488" s="10"/>
      <c r="B488" s="10"/>
      <c r="C488" s="10"/>
      <c r="D488" s="10"/>
      <c r="E488" s="59"/>
      <c r="F488" s="3"/>
      <c r="G488" s="14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  <c r="BI488" s="10"/>
      <c r="BJ488" s="10"/>
      <c r="BK488" s="10"/>
      <c r="BL488" s="10"/>
      <c r="BM488" s="10"/>
      <c r="BN488" s="10"/>
      <c r="BO488" s="10"/>
      <c r="BP488" s="10"/>
      <c r="BQ488" s="10"/>
      <c r="BR488" s="10"/>
      <c r="BS488" s="10"/>
      <c r="BT488" s="10"/>
      <c r="BU488" s="10"/>
      <c r="BV488" s="10"/>
      <c r="BW488" s="10"/>
      <c r="BX488" s="10"/>
      <c r="BY488" s="10"/>
      <c r="BZ488" s="10"/>
      <c r="CA488" s="10"/>
      <c r="CB488" s="10"/>
      <c r="CC488" s="10"/>
      <c r="CD488" s="10"/>
      <c r="CE488" s="10"/>
      <c r="CF488" s="10"/>
      <c r="CG488" s="10"/>
      <c r="CH488" s="10"/>
      <c r="CI488" s="10"/>
      <c r="CJ488" s="10"/>
      <c r="CK488" s="10"/>
      <c r="CL488" s="10"/>
      <c r="CM488" s="10"/>
      <c r="CN488" s="10"/>
      <c r="CO488" s="10"/>
      <c r="CP488" s="10"/>
    </row>
    <row r="489" spans="1:94" ht="15" customHeight="1">
      <c r="A489" s="10"/>
      <c r="B489" s="10"/>
      <c r="C489" s="35" t="s">
        <v>723</v>
      </c>
      <c r="D489" s="10"/>
      <c r="E489" s="59"/>
      <c r="F489" s="3"/>
      <c r="G489" s="142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  <c r="BL489" s="10"/>
      <c r="BM489" s="10"/>
      <c r="BN489" s="10"/>
      <c r="B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  <c r="CD489" s="10"/>
      <c r="CE489" s="10"/>
      <c r="CF489" s="10"/>
      <c r="CG489" s="10"/>
      <c r="CH489" s="10"/>
      <c r="CI489" s="10"/>
      <c r="CJ489" s="10"/>
      <c r="CK489" s="10"/>
      <c r="CL489" s="10"/>
      <c r="CM489" s="10"/>
      <c r="CN489" s="10"/>
      <c r="CO489" s="10"/>
      <c r="CP489" s="10"/>
    </row>
    <row r="490" spans="1:94" ht="15" customHeight="1">
      <c r="A490" s="10"/>
      <c r="B490" s="10"/>
      <c r="C490" s="17" t="s">
        <v>720</v>
      </c>
      <c r="D490" s="10"/>
      <c r="E490" s="80">
        <v>0.15</v>
      </c>
      <c r="F490" s="3"/>
      <c r="G490" s="142" t="s">
        <v>28</v>
      </c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  <c r="BI490" s="10"/>
      <c r="BJ490" s="10"/>
      <c r="BK490" s="10"/>
      <c r="BL490" s="10"/>
      <c r="BM490" s="10"/>
      <c r="BN490" s="10"/>
      <c r="BO490" s="10"/>
      <c r="BP490" s="10"/>
      <c r="BQ490" s="10"/>
      <c r="BR490" s="10"/>
      <c r="BS490" s="10"/>
      <c r="BT490" s="10"/>
      <c r="BU490" s="10"/>
      <c r="BV490" s="10"/>
      <c r="BW490" s="10"/>
      <c r="BX490" s="10"/>
      <c r="BY490" s="10"/>
      <c r="BZ490" s="10"/>
      <c r="CA490" s="10"/>
      <c r="CB490" s="10"/>
      <c r="CC490" s="10"/>
      <c r="CD490" s="10"/>
      <c r="CE490" s="10"/>
      <c r="CF490" s="10"/>
      <c r="CG490" s="10"/>
      <c r="CH490" s="10"/>
      <c r="CI490" s="10"/>
      <c r="CJ490" s="10"/>
      <c r="CK490" s="10"/>
      <c r="CL490" s="10"/>
      <c r="CM490" s="10"/>
      <c r="CN490" s="10"/>
      <c r="CO490" s="10"/>
      <c r="CP490" s="10"/>
    </row>
    <row r="491" spans="1:94" ht="15" customHeight="1">
      <c r="A491" s="10"/>
      <c r="B491" s="10"/>
      <c r="C491" s="17" t="s">
        <v>721</v>
      </c>
      <c r="D491" s="10"/>
      <c r="E491" s="80">
        <f>'Штатное расписание'!G127/100</f>
        <v>0.22404342404371011</v>
      </c>
      <c r="F491" s="3"/>
      <c r="G491" s="142" t="s">
        <v>28</v>
      </c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  <c r="BI491" s="10"/>
      <c r="BJ491" s="10"/>
      <c r="BK491" s="10"/>
      <c r="BL491" s="10"/>
      <c r="BM491" s="10"/>
      <c r="BN491" s="10"/>
      <c r="BO491" s="10"/>
      <c r="BP491" s="10"/>
      <c r="BQ491" s="10"/>
      <c r="BR491" s="10"/>
      <c r="BS491" s="10"/>
      <c r="BT491" s="10"/>
      <c r="BU491" s="10"/>
      <c r="BV491" s="10"/>
      <c r="BW491" s="10"/>
      <c r="BX491" s="10"/>
      <c r="BY491" s="10"/>
      <c r="BZ491" s="10"/>
      <c r="CA491" s="10"/>
      <c r="CB491" s="10"/>
      <c r="CC491" s="10"/>
      <c r="CD491" s="10"/>
      <c r="CE491" s="10"/>
      <c r="CF491" s="10"/>
      <c r="CG491" s="10"/>
      <c r="CH491" s="10"/>
      <c r="CI491" s="10"/>
      <c r="CJ491" s="10"/>
      <c r="CK491" s="10"/>
      <c r="CL491" s="10"/>
      <c r="CM491" s="10"/>
      <c r="CN491" s="10"/>
      <c r="CO491" s="10"/>
      <c r="CP491" s="10"/>
    </row>
    <row r="492" spans="1:94" ht="15" customHeight="1">
      <c r="A492" s="10"/>
      <c r="B492" s="10"/>
      <c r="C492" s="10"/>
      <c r="D492" s="10"/>
      <c r="E492" s="59"/>
      <c r="F492" s="3"/>
      <c r="G492" s="14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  <c r="BL492" s="10"/>
      <c r="BM492" s="10"/>
      <c r="BN492" s="10"/>
      <c r="BO492" s="10"/>
      <c r="BP492" s="10"/>
      <c r="BQ492" s="10"/>
      <c r="BR492" s="10"/>
      <c r="BS492" s="10"/>
      <c r="BT492" s="10"/>
      <c r="BU492" s="10"/>
      <c r="BV492" s="10"/>
      <c r="BW492" s="10"/>
      <c r="BX492" s="10"/>
      <c r="BY492" s="10"/>
      <c r="BZ492" s="10"/>
      <c r="CA492" s="10"/>
      <c r="CB492" s="10"/>
      <c r="CC492" s="10"/>
      <c r="CD492" s="10"/>
      <c r="CE492" s="10"/>
      <c r="CF492" s="10"/>
      <c r="CG492" s="10"/>
      <c r="CH492" s="10"/>
      <c r="CI492" s="10"/>
      <c r="CJ492" s="10"/>
      <c r="CK492" s="10"/>
      <c r="CL492" s="10"/>
      <c r="CM492" s="10"/>
      <c r="CN492" s="10"/>
      <c r="CO492" s="10"/>
      <c r="CP492" s="10"/>
    </row>
    <row r="493" spans="1:94" ht="15" customHeight="1">
      <c r="A493" s="10"/>
      <c r="B493" s="10"/>
      <c r="C493" s="35" t="s">
        <v>724</v>
      </c>
      <c r="D493" s="10"/>
      <c r="E493" s="59"/>
      <c r="F493" s="3"/>
      <c r="G493" s="14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  <c r="CD493" s="10"/>
      <c r="CE493" s="10"/>
      <c r="CF493" s="10"/>
      <c r="CG493" s="10"/>
      <c r="CH493" s="10"/>
      <c r="CI493" s="10"/>
      <c r="CJ493" s="10"/>
      <c r="CK493" s="10"/>
      <c r="CL493" s="10"/>
      <c r="CM493" s="10"/>
      <c r="CN493" s="10"/>
      <c r="CO493" s="10"/>
      <c r="CP493" s="10"/>
    </row>
    <row r="494" spans="1:94" ht="15" customHeight="1">
      <c r="A494" s="10"/>
      <c r="B494" s="10"/>
      <c r="C494" s="17" t="s">
        <v>722</v>
      </c>
      <c r="D494" s="10"/>
      <c r="E494" s="80">
        <v>0.3</v>
      </c>
      <c r="F494" s="3"/>
      <c r="G494" s="142" t="s">
        <v>28</v>
      </c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  <c r="BL494" s="10"/>
      <c r="BM494" s="10"/>
      <c r="BN494" s="10"/>
      <c r="BO494" s="10"/>
      <c r="BP494" s="10"/>
      <c r="BQ494" s="10"/>
      <c r="BR494" s="10"/>
      <c r="BS494" s="10"/>
      <c r="BT494" s="10"/>
      <c r="BU494" s="10"/>
      <c r="BV494" s="10"/>
      <c r="BW494" s="10"/>
      <c r="BX494" s="10"/>
      <c r="BY494" s="10"/>
      <c r="BZ494" s="10"/>
      <c r="CA494" s="10"/>
      <c r="CB494" s="10"/>
      <c r="CC494" s="10"/>
      <c r="CD494" s="10"/>
      <c r="CE494" s="10"/>
      <c r="CF494" s="10"/>
      <c r="CG494" s="10"/>
      <c r="CH494" s="10"/>
      <c r="CI494" s="10"/>
      <c r="CJ494" s="10"/>
      <c r="CK494" s="10"/>
      <c r="CL494" s="10"/>
      <c r="CM494" s="10"/>
      <c r="CN494" s="10"/>
      <c r="CO494" s="10"/>
      <c r="CP494" s="10"/>
    </row>
    <row r="495" spans="1:94" ht="15" customHeight="1">
      <c r="A495" s="10"/>
      <c r="B495" s="10"/>
      <c r="C495" s="17" t="s">
        <v>720</v>
      </c>
      <c r="D495" s="10"/>
      <c r="E495" s="80">
        <v>0.15</v>
      </c>
      <c r="F495" s="3"/>
      <c r="G495" s="142" t="s">
        <v>28</v>
      </c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  <c r="BL495" s="10"/>
      <c r="BM495" s="10"/>
      <c r="BN495" s="10"/>
      <c r="BO495" s="10"/>
      <c r="BP495" s="10"/>
      <c r="BQ495" s="10"/>
      <c r="BR495" s="10"/>
      <c r="BS495" s="10"/>
      <c r="BT495" s="10"/>
      <c r="BU495" s="10"/>
      <c r="BV495" s="10"/>
      <c r="BW495" s="10"/>
      <c r="BX495" s="10"/>
      <c r="BY495" s="10"/>
      <c r="BZ495" s="10"/>
      <c r="CA495" s="10"/>
      <c r="CB495" s="10"/>
      <c r="CC495" s="10"/>
      <c r="CD495" s="10"/>
      <c r="CE495" s="10"/>
      <c r="CF495" s="10"/>
      <c r="CG495" s="10"/>
      <c r="CH495" s="10"/>
      <c r="CI495" s="10"/>
      <c r="CJ495" s="10"/>
      <c r="CK495" s="10"/>
      <c r="CL495" s="10"/>
      <c r="CM495" s="10"/>
      <c r="CN495" s="10"/>
      <c r="CO495" s="10"/>
      <c r="CP495" s="10"/>
    </row>
    <row r="496" spans="1:94" ht="15" customHeight="1">
      <c r="A496" s="10"/>
      <c r="B496" s="10"/>
      <c r="C496" s="17" t="s">
        <v>721</v>
      </c>
      <c r="D496" s="10"/>
      <c r="E496" s="80">
        <f>'Штатное расписание'!G128/100</f>
        <v>0.14827856991621452</v>
      </c>
      <c r="F496" s="3"/>
      <c r="G496" s="142" t="s">
        <v>28</v>
      </c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  <c r="BL496" s="10"/>
      <c r="BM496" s="10"/>
      <c r="BN496" s="10"/>
      <c r="BO496" s="10"/>
      <c r="BP496" s="10"/>
      <c r="BQ496" s="10"/>
      <c r="BR496" s="10"/>
      <c r="BS496" s="10"/>
      <c r="BT496" s="10"/>
      <c r="BU496" s="10"/>
      <c r="BV496" s="10"/>
      <c r="BW496" s="10"/>
      <c r="BX496" s="10"/>
      <c r="BY496" s="10"/>
      <c r="BZ496" s="10"/>
      <c r="CA496" s="10"/>
      <c r="CB496" s="10"/>
      <c r="CC496" s="10"/>
      <c r="CD496" s="10"/>
      <c r="CE496" s="10"/>
      <c r="CF496" s="10"/>
      <c r="CG496" s="10"/>
      <c r="CH496" s="10"/>
      <c r="CI496" s="10"/>
      <c r="CJ496" s="10"/>
      <c r="CK496" s="10"/>
      <c r="CL496" s="10"/>
      <c r="CM496" s="10"/>
      <c r="CN496" s="10"/>
      <c r="CO496" s="10"/>
      <c r="CP496" s="10"/>
    </row>
    <row r="497" spans="1:94" ht="15" customHeight="1">
      <c r="A497" s="10"/>
      <c r="B497" s="10"/>
      <c r="C497" s="10"/>
      <c r="D497" s="10"/>
      <c r="E497" s="59"/>
      <c r="F497" s="3"/>
      <c r="G497" s="14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  <c r="BL497" s="10"/>
      <c r="BM497" s="10"/>
      <c r="BN497" s="10"/>
      <c r="BO497" s="10"/>
      <c r="BP497" s="10"/>
      <c r="BQ497" s="10"/>
      <c r="BR497" s="10"/>
      <c r="BS497" s="10"/>
      <c r="BT497" s="10"/>
      <c r="BU497" s="10"/>
      <c r="BV497" s="10"/>
      <c r="BW497" s="10"/>
      <c r="BX497" s="10"/>
      <c r="BY497" s="10"/>
      <c r="BZ497" s="10"/>
      <c r="CA497" s="10"/>
      <c r="CB497" s="10"/>
      <c r="CC497" s="10"/>
      <c r="CD497" s="10"/>
      <c r="CE497" s="10"/>
      <c r="CF497" s="10"/>
      <c r="CG497" s="10"/>
      <c r="CH497" s="10"/>
      <c r="CI497" s="10"/>
      <c r="CJ497" s="10"/>
      <c r="CK497" s="10"/>
      <c r="CL497" s="10"/>
      <c r="CM497" s="10"/>
      <c r="CN497" s="10"/>
      <c r="CO497" s="10"/>
      <c r="CP497" s="10"/>
    </row>
    <row r="498" spans="1:94" ht="15" customHeight="1">
      <c r="A498" s="10"/>
      <c r="B498" s="10"/>
      <c r="C498" s="35" t="s">
        <v>725</v>
      </c>
      <c r="D498" s="10"/>
      <c r="E498" s="59"/>
      <c r="F498" s="3"/>
      <c r="G498" s="14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  <c r="CD498" s="10"/>
      <c r="CE498" s="10"/>
      <c r="CF498" s="10"/>
      <c r="CG498" s="10"/>
      <c r="CH498" s="10"/>
      <c r="CI498" s="10"/>
      <c r="CJ498" s="10"/>
      <c r="CK498" s="10"/>
      <c r="CL498" s="10"/>
      <c r="CM498" s="10"/>
      <c r="CN498" s="10"/>
      <c r="CO498" s="10"/>
      <c r="CP498" s="10"/>
    </row>
    <row r="499" spans="1:94" ht="15" customHeight="1">
      <c r="A499" s="10"/>
      <c r="B499" s="10"/>
      <c r="C499" s="17" t="s">
        <v>722</v>
      </c>
      <c r="D499" s="10"/>
      <c r="E499" s="80">
        <v>0.11</v>
      </c>
      <c r="F499" s="3"/>
      <c r="G499" s="142" t="s">
        <v>28</v>
      </c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  <c r="BL499" s="10"/>
      <c r="BM499" s="10"/>
      <c r="BN499" s="10"/>
      <c r="BO499" s="10"/>
      <c r="BP499" s="10"/>
      <c r="BQ499" s="10"/>
      <c r="BR499" s="10"/>
      <c r="BS499" s="10"/>
      <c r="BT499" s="10"/>
      <c r="BU499" s="10"/>
      <c r="BV499" s="10"/>
      <c r="BW499" s="10"/>
      <c r="BX499" s="10"/>
      <c r="BY499" s="10"/>
      <c r="BZ499" s="10"/>
      <c r="CA499" s="10"/>
      <c r="CB499" s="10"/>
      <c r="CC499" s="10"/>
      <c r="CD499" s="10"/>
      <c r="CE499" s="10"/>
      <c r="CF499" s="10"/>
      <c r="CG499" s="10"/>
      <c r="CH499" s="10"/>
      <c r="CI499" s="10"/>
      <c r="CJ499" s="10"/>
      <c r="CK499" s="10"/>
      <c r="CL499" s="10"/>
      <c r="CM499" s="10"/>
      <c r="CN499" s="10"/>
      <c r="CO499" s="10"/>
      <c r="CP499" s="10"/>
    </row>
    <row r="500" spans="1:94" ht="15" customHeight="1">
      <c r="A500" s="10"/>
      <c r="B500" s="10"/>
      <c r="C500" s="17" t="s">
        <v>721</v>
      </c>
      <c r="D500" s="10"/>
      <c r="E500" s="80">
        <f>'Штатное расписание'!G129/100</f>
        <v>0.10473674238071588</v>
      </c>
      <c r="F500" s="3"/>
      <c r="G500" s="142" t="s">
        <v>28</v>
      </c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  <c r="BL500" s="10"/>
      <c r="BM500" s="10"/>
      <c r="BN500" s="10"/>
      <c r="B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  <c r="CD500" s="10"/>
      <c r="CE500" s="10"/>
      <c r="CF500" s="10"/>
      <c r="CG500" s="10"/>
      <c r="CH500" s="10"/>
      <c r="CI500" s="10"/>
      <c r="CJ500" s="10"/>
      <c r="CK500" s="10"/>
      <c r="CL500" s="10"/>
      <c r="CM500" s="10"/>
      <c r="CN500" s="10"/>
      <c r="CO500" s="10"/>
      <c r="CP500" s="10"/>
    </row>
    <row r="501" spans="1:94" ht="15" customHeight="1">
      <c r="A501" s="10"/>
      <c r="B501" s="10"/>
      <c r="C501" s="10"/>
      <c r="D501" s="10"/>
      <c r="E501" s="59"/>
      <c r="F501" s="3"/>
      <c r="G501" s="14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  <c r="BL501" s="10"/>
      <c r="BM501" s="10"/>
      <c r="BN501" s="10"/>
      <c r="BO501" s="10"/>
      <c r="BP501" s="10"/>
      <c r="BQ501" s="10"/>
      <c r="BR501" s="10"/>
      <c r="BS501" s="10"/>
      <c r="BT501" s="10"/>
      <c r="BU501" s="10"/>
      <c r="BV501" s="10"/>
      <c r="BW501" s="10"/>
      <c r="BX501" s="10"/>
      <c r="BY501" s="10"/>
      <c r="BZ501" s="10"/>
      <c r="CA501" s="10"/>
      <c r="CB501" s="10"/>
      <c r="CC501" s="10"/>
      <c r="CD501" s="10"/>
      <c r="CE501" s="10"/>
      <c r="CF501" s="10"/>
      <c r="CG501" s="10"/>
      <c r="CH501" s="10"/>
      <c r="CI501" s="10"/>
      <c r="CJ501" s="10"/>
      <c r="CK501" s="10"/>
      <c r="CL501" s="10"/>
      <c r="CM501" s="10"/>
      <c r="CN501" s="10"/>
      <c r="CO501" s="10"/>
      <c r="CP501" s="10"/>
    </row>
    <row r="502" spans="1:94" ht="15" customHeight="1" thickBot="1">
      <c r="A502" s="10"/>
      <c r="B502" s="10"/>
      <c r="C502" s="12" t="s">
        <v>752</v>
      </c>
      <c r="D502" s="12"/>
      <c r="E502" s="12"/>
      <c r="F502" s="12"/>
      <c r="G502" s="12"/>
      <c r="H502" s="12"/>
      <c r="I502" s="12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  <c r="BL502" s="10"/>
      <c r="BM502" s="10"/>
      <c r="BN502" s="10"/>
      <c r="BO502" s="10"/>
      <c r="BP502" s="10"/>
      <c r="BQ502" s="10"/>
      <c r="BR502" s="10"/>
      <c r="BS502" s="10"/>
      <c r="BT502" s="10"/>
      <c r="BU502" s="10"/>
      <c r="BV502" s="10"/>
      <c r="BW502" s="10"/>
      <c r="BX502" s="10"/>
      <c r="BY502" s="10"/>
      <c r="BZ502" s="10"/>
      <c r="CA502" s="10"/>
      <c r="CB502" s="10"/>
      <c r="CC502" s="10"/>
      <c r="CD502" s="10"/>
      <c r="CE502" s="10"/>
      <c r="CF502" s="10"/>
      <c r="CG502" s="10"/>
      <c r="CH502" s="10"/>
      <c r="CI502" s="10"/>
      <c r="CJ502" s="10"/>
      <c r="CK502" s="10"/>
      <c r="CL502" s="10"/>
      <c r="CM502" s="10"/>
      <c r="CN502" s="10"/>
      <c r="CO502" s="10"/>
      <c r="CP502" s="10"/>
    </row>
    <row r="503" spans="1:94" ht="15" customHeight="1">
      <c r="A503" s="10"/>
      <c r="B503" s="10"/>
      <c r="C503" s="10"/>
      <c r="D503" s="10"/>
      <c r="E503" s="59"/>
      <c r="F503" s="3"/>
      <c r="G503" s="14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  <c r="CP503" s="10"/>
    </row>
    <row r="504" spans="1:94" ht="15" customHeight="1">
      <c r="A504" s="10"/>
      <c r="B504" s="10"/>
      <c r="C504" s="17" t="s">
        <v>726</v>
      </c>
      <c r="D504" s="10"/>
      <c r="E504" s="80">
        <v>0.05</v>
      </c>
      <c r="F504" s="3"/>
      <c r="G504" s="240" t="s">
        <v>738</v>
      </c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  <c r="BL504" s="10"/>
      <c r="BM504" s="10"/>
      <c r="BN504" s="10"/>
      <c r="BO504" s="10"/>
      <c r="BP504" s="10"/>
      <c r="BQ504" s="10"/>
      <c r="BR504" s="10"/>
      <c r="BS504" s="10"/>
      <c r="BT504" s="10"/>
      <c r="BU504" s="10"/>
      <c r="BV504" s="10"/>
      <c r="BW504" s="10"/>
      <c r="BX504" s="10"/>
      <c r="BY504" s="10"/>
      <c r="BZ504" s="10"/>
      <c r="CA504" s="10"/>
      <c r="CB504" s="10"/>
      <c r="CC504" s="10"/>
      <c r="CD504" s="10"/>
      <c r="CE504" s="10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</row>
    <row r="505" spans="1:94" ht="15" customHeight="1">
      <c r="A505" s="10"/>
      <c r="B505" s="10"/>
      <c r="C505" s="17" t="s">
        <v>727</v>
      </c>
      <c r="D505" s="10"/>
      <c r="E505" s="80">
        <v>5.0000000000000001E-3</v>
      </c>
      <c r="F505" s="3"/>
      <c r="G505" s="240" t="s">
        <v>738</v>
      </c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  <c r="BL505" s="10"/>
      <c r="BM505" s="10"/>
      <c r="BN505" s="10"/>
      <c r="BO505" s="10"/>
      <c r="BP505" s="10"/>
      <c r="BQ505" s="10"/>
      <c r="BR505" s="10"/>
      <c r="BS505" s="10"/>
      <c r="BT505" s="10"/>
      <c r="BU505" s="10"/>
      <c r="BV505" s="10"/>
      <c r="BW505" s="10"/>
      <c r="BX505" s="10"/>
      <c r="BY505" s="10"/>
      <c r="BZ505" s="10"/>
      <c r="CA505" s="10"/>
      <c r="CB505" s="10"/>
      <c r="CC505" s="10"/>
      <c r="CD505" s="10"/>
      <c r="CE505" s="10"/>
      <c r="CF505" s="10"/>
      <c r="CG505" s="10"/>
      <c r="CH505" s="10"/>
      <c r="CI505" s="10"/>
      <c r="CJ505" s="10"/>
      <c r="CK505" s="10"/>
      <c r="CL505" s="10"/>
      <c r="CM505" s="10"/>
      <c r="CN505" s="10"/>
      <c r="CO505" s="10"/>
      <c r="CP505" s="10"/>
    </row>
    <row r="506" spans="1:94" ht="15" customHeight="1">
      <c r="A506" s="10"/>
      <c r="B506" s="10"/>
      <c r="C506" s="17" t="s">
        <v>728</v>
      </c>
      <c r="D506" s="10"/>
      <c r="E506" s="80">
        <v>5.0000000000000001E-3</v>
      </c>
      <c r="F506" s="3"/>
      <c r="G506" s="240" t="s">
        <v>738</v>
      </c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  <c r="BL506" s="10"/>
      <c r="BM506" s="10"/>
      <c r="BN506" s="10"/>
      <c r="BO506" s="10"/>
      <c r="BP506" s="10"/>
      <c r="BQ506" s="10"/>
      <c r="BR506" s="10"/>
      <c r="BS506" s="10"/>
      <c r="BT506" s="10"/>
      <c r="BU506" s="10"/>
      <c r="BV506" s="10"/>
      <c r="BW506" s="10"/>
      <c r="BX506" s="10"/>
      <c r="BY506" s="10"/>
      <c r="BZ506" s="10"/>
      <c r="CA506" s="10"/>
      <c r="CB506" s="10"/>
      <c r="CC506" s="10"/>
      <c r="CD506" s="10"/>
      <c r="CE506" s="10"/>
      <c r="CF506" s="10"/>
      <c r="CG506" s="10"/>
      <c r="CH506" s="10"/>
      <c r="CI506" s="10"/>
      <c r="CJ506" s="10"/>
      <c r="CK506" s="10"/>
      <c r="CL506" s="10"/>
      <c r="CM506" s="10"/>
      <c r="CN506" s="10"/>
      <c r="CO506" s="10"/>
      <c r="CP506" s="10"/>
    </row>
    <row r="507" spans="1:94" ht="15" customHeight="1">
      <c r="A507" s="10"/>
      <c r="B507" s="10"/>
      <c r="C507" s="17" t="s">
        <v>729</v>
      </c>
      <c r="D507" s="10"/>
      <c r="E507" s="80">
        <v>0.04</v>
      </c>
      <c r="F507" s="3"/>
      <c r="G507" s="240" t="s">
        <v>738</v>
      </c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  <c r="CD507" s="10"/>
      <c r="CE507" s="10"/>
      <c r="CF507" s="10"/>
      <c r="CG507" s="10"/>
      <c r="CH507" s="10"/>
      <c r="CI507" s="10"/>
      <c r="CJ507" s="10"/>
      <c r="CK507" s="10"/>
      <c r="CL507" s="10"/>
      <c r="CM507" s="10"/>
      <c r="CN507" s="10"/>
      <c r="CO507" s="10"/>
      <c r="CP507" s="10"/>
    </row>
    <row r="508" spans="1:94" ht="15" customHeight="1">
      <c r="A508" s="10"/>
      <c r="B508" s="10"/>
      <c r="C508" s="17" t="s">
        <v>730</v>
      </c>
      <c r="D508" s="10"/>
      <c r="E508" s="80">
        <v>0.02</v>
      </c>
      <c r="F508" s="3"/>
      <c r="G508" s="240" t="s">
        <v>738</v>
      </c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  <c r="CD508" s="10"/>
      <c r="CE508" s="10"/>
      <c r="CF508" s="10"/>
      <c r="CG508" s="10"/>
      <c r="CH508" s="10"/>
      <c r="CI508" s="10"/>
      <c r="CJ508" s="10"/>
      <c r="CK508" s="10"/>
      <c r="CL508" s="10"/>
      <c r="CM508" s="10"/>
      <c r="CN508" s="10"/>
      <c r="CO508" s="10"/>
      <c r="CP508" s="10"/>
    </row>
    <row r="509" spans="1:94" ht="15" customHeight="1">
      <c r="A509" s="10"/>
      <c r="B509" s="10"/>
      <c r="C509" s="10"/>
      <c r="D509" s="10"/>
      <c r="E509" s="59"/>
      <c r="F509" s="3"/>
      <c r="G509" s="142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  <c r="CD509" s="10"/>
      <c r="CE509" s="10"/>
      <c r="CF509" s="10"/>
      <c r="CG509" s="10"/>
      <c r="CH509" s="10"/>
      <c r="CI509" s="10"/>
      <c r="CJ509" s="10"/>
      <c r="CK509" s="10"/>
      <c r="CL509" s="10"/>
      <c r="CM509" s="10"/>
      <c r="CN509" s="10"/>
      <c r="CO509" s="10"/>
      <c r="CP509" s="10"/>
    </row>
    <row r="510" spans="1:94" ht="15" customHeight="1" thickBot="1">
      <c r="A510" s="10"/>
      <c r="B510" s="10"/>
      <c r="C510" s="12" t="s">
        <v>759</v>
      </c>
      <c r="D510" s="12"/>
      <c r="E510" s="12"/>
      <c r="F510" s="12"/>
      <c r="G510" s="12"/>
      <c r="H510" s="12"/>
      <c r="I510" s="12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  <c r="CP510" s="10"/>
    </row>
    <row r="511" spans="1:94" ht="15" customHeight="1">
      <c r="A511" s="10"/>
      <c r="B511" s="10"/>
      <c r="C511" s="10"/>
      <c r="D511" s="10"/>
      <c r="E511" s="59"/>
      <c r="F511" s="3"/>
      <c r="G511" s="142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  <c r="CD511" s="10"/>
      <c r="CE511" s="10"/>
      <c r="CF511" s="10"/>
      <c r="CG511" s="10"/>
      <c r="CH511" s="10"/>
      <c r="CI511" s="10"/>
      <c r="CJ511" s="10"/>
      <c r="CK511" s="10"/>
      <c r="CL511" s="10"/>
      <c r="CM511" s="10"/>
      <c r="CN511" s="10"/>
      <c r="CO511" s="10"/>
      <c r="CP511" s="10"/>
    </row>
    <row r="512" spans="1:94" ht="15" customHeight="1">
      <c r="A512" s="10"/>
      <c r="B512" s="10"/>
      <c r="C512" s="17" t="s">
        <v>731</v>
      </c>
      <c r="D512" s="10"/>
      <c r="E512" s="80">
        <v>1.4999999999999999E-2</v>
      </c>
      <c r="F512" s="3"/>
      <c r="G512" s="240" t="s">
        <v>738</v>
      </c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  <c r="CP512" s="10"/>
    </row>
    <row r="513" spans="1:94" ht="15" customHeight="1">
      <c r="A513" s="10"/>
      <c r="B513" s="10"/>
      <c r="C513" s="17" t="s">
        <v>733</v>
      </c>
      <c r="D513" s="10"/>
      <c r="E513" s="80">
        <v>0.02</v>
      </c>
      <c r="F513" s="3"/>
      <c r="G513" s="240" t="s">
        <v>738</v>
      </c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  <c r="CD513" s="10"/>
      <c r="CE513" s="10"/>
      <c r="CF513" s="10"/>
      <c r="CG513" s="10"/>
      <c r="CH513" s="10"/>
      <c r="CI513" s="10"/>
      <c r="CJ513" s="10"/>
      <c r="CK513" s="10"/>
      <c r="CL513" s="10"/>
      <c r="CM513" s="10"/>
      <c r="CN513" s="10"/>
      <c r="CO513" s="10"/>
      <c r="CP513" s="10"/>
    </row>
    <row r="514" spans="1:94" ht="15" customHeight="1">
      <c r="A514" s="10"/>
      <c r="B514" s="10"/>
      <c r="C514" s="17" t="s">
        <v>732</v>
      </c>
      <c r="D514" s="10"/>
      <c r="E514" s="80">
        <v>0</v>
      </c>
      <c r="F514" s="3"/>
      <c r="G514" s="240" t="s">
        <v>739</v>
      </c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  <c r="CP514" s="10"/>
    </row>
    <row r="515" spans="1:94" ht="15" customHeight="1">
      <c r="A515" s="10"/>
      <c r="B515" s="10"/>
      <c r="C515" s="17" t="s">
        <v>735</v>
      </c>
      <c r="D515" s="10"/>
      <c r="E515" s="80">
        <v>0.02</v>
      </c>
      <c r="F515" s="3"/>
      <c r="G515" s="240" t="s">
        <v>739</v>
      </c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  <c r="BL515" s="10"/>
      <c r="BM515" s="10"/>
      <c r="BN515" s="10"/>
      <c r="BO515" s="10"/>
      <c r="BP515" s="10"/>
      <c r="BQ515" s="10"/>
      <c r="BR515" s="10"/>
      <c r="BS515" s="10"/>
      <c r="BT515" s="10"/>
      <c r="BU515" s="10"/>
      <c r="BV515" s="10"/>
      <c r="BW515" s="10"/>
      <c r="BX515" s="10"/>
      <c r="BY515" s="10"/>
      <c r="BZ515" s="10"/>
      <c r="CA515" s="10"/>
      <c r="CB515" s="10"/>
      <c r="CC515" s="10"/>
      <c r="CD515" s="10"/>
      <c r="CE515" s="10"/>
      <c r="CF515" s="10"/>
      <c r="CG515" s="10"/>
      <c r="CH515" s="10"/>
      <c r="CI515" s="10"/>
      <c r="CJ515" s="10"/>
      <c r="CK515" s="10"/>
      <c r="CL515" s="10"/>
      <c r="CM515" s="10"/>
      <c r="CN515" s="10"/>
      <c r="CO515" s="10"/>
      <c r="CP515" s="10"/>
    </row>
    <row r="516" spans="1:94" ht="15" customHeight="1">
      <c r="A516" s="10"/>
      <c r="B516" s="10"/>
      <c r="C516" s="17" t="s">
        <v>734</v>
      </c>
      <c r="D516" s="10"/>
      <c r="E516" s="80">
        <v>6.5000000000000002E-2</v>
      </c>
      <c r="F516" s="3"/>
      <c r="G516" s="240" t="s">
        <v>740</v>
      </c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  <c r="CD516" s="10"/>
      <c r="CE516" s="10"/>
      <c r="CF516" s="10"/>
      <c r="CG516" s="10"/>
      <c r="CH516" s="10"/>
      <c r="CI516" s="10"/>
      <c r="CJ516" s="10"/>
      <c r="CK516" s="10"/>
      <c r="CL516" s="10"/>
      <c r="CM516" s="10"/>
      <c r="CN516" s="10"/>
      <c r="CO516" s="10"/>
      <c r="CP516" s="10"/>
    </row>
    <row r="517" spans="1:94" ht="15" customHeight="1">
      <c r="A517" s="10"/>
      <c r="B517" s="10"/>
      <c r="C517" s="17" t="s">
        <v>1186</v>
      </c>
      <c r="D517" s="10"/>
      <c r="E517" s="14">
        <v>0</v>
      </c>
      <c r="F517" s="3"/>
      <c r="G517" s="142" t="s">
        <v>914</v>
      </c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  <c r="CD517" s="10"/>
      <c r="CE517" s="10"/>
      <c r="CF517" s="10"/>
      <c r="CG517" s="10"/>
      <c r="CH517" s="10"/>
      <c r="CI517" s="10"/>
      <c r="CJ517" s="10"/>
      <c r="CK517" s="10"/>
      <c r="CL517" s="10"/>
      <c r="CM517" s="10"/>
      <c r="CN517" s="10"/>
      <c r="CO517" s="10"/>
      <c r="CP517" s="10"/>
    </row>
    <row r="518" spans="1:94" ht="15" customHeight="1">
      <c r="A518" s="10"/>
      <c r="B518" s="10"/>
      <c r="C518" s="10"/>
      <c r="D518" s="10"/>
      <c r="E518" s="59"/>
      <c r="F518" s="3"/>
      <c r="G518" s="14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  <c r="BL518" s="10"/>
      <c r="BM518" s="10"/>
      <c r="BN518" s="10"/>
      <c r="BO518" s="10"/>
      <c r="BP518" s="10"/>
      <c r="BQ518" s="10"/>
      <c r="BR518" s="10"/>
      <c r="BS518" s="10"/>
      <c r="BT518" s="10"/>
      <c r="BU518" s="10"/>
      <c r="BV518" s="10"/>
      <c r="BW518" s="10"/>
      <c r="BX518" s="10"/>
      <c r="BY518" s="10"/>
      <c r="BZ518" s="10"/>
      <c r="CA518" s="10"/>
      <c r="CB518" s="10"/>
      <c r="CC518" s="10"/>
      <c r="CD518" s="10"/>
      <c r="CE518" s="10"/>
      <c r="CF518" s="10"/>
      <c r="CG518" s="10"/>
      <c r="CH518" s="10"/>
      <c r="CI518" s="10"/>
      <c r="CJ518" s="10"/>
      <c r="CK518" s="10"/>
      <c r="CL518" s="10"/>
      <c r="CM518" s="10"/>
      <c r="CN518" s="10"/>
      <c r="CO518" s="10"/>
      <c r="CP518" s="10"/>
    </row>
    <row r="519" spans="1:94" ht="15" customHeight="1">
      <c r="A519" s="10"/>
      <c r="B519" s="3"/>
      <c r="C519" s="384" t="str">
        <f>C303</f>
        <v>Сегмент 2: Развлекательный комплекс</v>
      </c>
      <c r="D519" s="273"/>
      <c r="E519" s="273"/>
      <c r="F519" s="273"/>
      <c r="G519" s="274"/>
      <c r="H519" s="273"/>
      <c r="I519" s="273"/>
      <c r="J519" s="273"/>
      <c r="K519" s="273"/>
      <c r="L519" s="273"/>
      <c r="M519" s="273"/>
      <c r="N519" s="273"/>
      <c r="O519" s="273"/>
      <c r="P519" s="273"/>
      <c r="Q519" s="273"/>
      <c r="R519" s="273"/>
      <c r="S519" s="273"/>
      <c r="T519" s="273"/>
      <c r="U519" s="273"/>
      <c r="V519" s="273"/>
      <c r="W519" s="273"/>
      <c r="X519" s="273"/>
      <c r="Y519" s="273"/>
      <c r="Z519" s="273"/>
      <c r="AA519" s="273"/>
      <c r="AB519" s="273"/>
      <c r="AC519" s="273"/>
      <c r="AD519" s="273"/>
      <c r="AE519" s="273"/>
      <c r="AF519" s="273"/>
      <c r="AG519" s="273"/>
      <c r="AH519" s="273"/>
      <c r="AI519" s="273"/>
      <c r="AJ519" s="273"/>
      <c r="AK519" s="273"/>
      <c r="AL519" s="273"/>
      <c r="AM519" s="273"/>
      <c r="AN519" s="273"/>
      <c r="AO519" s="273"/>
      <c r="AP519" s="273"/>
      <c r="AQ519" s="273"/>
      <c r="AR519" s="273"/>
      <c r="AS519" s="273"/>
      <c r="AT519" s="273"/>
      <c r="AU519" s="273"/>
      <c r="AV519" s="273"/>
      <c r="AW519" s="273"/>
      <c r="AX519" s="273"/>
      <c r="AY519" s="273"/>
      <c r="AZ519" s="273"/>
      <c r="BA519" s="273"/>
      <c r="BB519" s="273"/>
      <c r="BC519" s="273"/>
      <c r="BD519" s="273"/>
      <c r="BE519" s="273"/>
      <c r="BF519" s="273"/>
      <c r="BG519" s="273"/>
      <c r="BH519" s="273"/>
      <c r="BI519" s="273"/>
      <c r="BJ519" s="273"/>
      <c r="BK519" s="273"/>
      <c r="BL519" s="273"/>
      <c r="BM519" s="273"/>
      <c r="BN519" s="273"/>
      <c r="BO519" s="273"/>
      <c r="BP519" s="273"/>
      <c r="BQ519" s="273"/>
      <c r="BR519" s="273"/>
      <c r="BS519" s="273"/>
      <c r="BT519" s="273"/>
      <c r="BU519" s="273"/>
      <c r="BV519" s="273"/>
      <c r="BW519" s="273"/>
      <c r="BX519" s="273"/>
      <c r="BY519" s="273"/>
      <c r="BZ519" s="273"/>
      <c r="CA519" s="273"/>
      <c r="CB519" s="273"/>
      <c r="CC519" s="273"/>
      <c r="CD519" s="273"/>
      <c r="CE519" s="273"/>
      <c r="CF519" s="273"/>
      <c r="CG519" s="273"/>
      <c r="CH519" s="273"/>
      <c r="CI519" s="273"/>
      <c r="CJ519" s="273"/>
      <c r="CK519" s="273"/>
      <c r="CL519" s="273"/>
      <c r="CM519" s="273"/>
      <c r="CN519" s="273"/>
      <c r="CO519" s="273"/>
      <c r="CP519" s="10"/>
    </row>
    <row r="520" spans="1:94" ht="15" customHeight="1">
      <c r="A520" s="10"/>
      <c r="B520" s="10"/>
      <c r="C520" s="10"/>
      <c r="D520" s="10"/>
      <c r="E520" s="59"/>
      <c r="F520" s="3"/>
      <c r="G520" s="142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  <c r="BB520" s="10"/>
      <c r="BC520" s="10"/>
      <c r="BD520" s="10"/>
      <c r="BE520" s="10"/>
      <c r="BF520" s="10"/>
      <c r="BG520" s="10"/>
      <c r="BH520" s="10"/>
      <c r="BI520" s="10"/>
      <c r="BJ520" s="10"/>
      <c r="BK520" s="10"/>
      <c r="BL520" s="10"/>
      <c r="BM520" s="10"/>
      <c r="BN520" s="10"/>
      <c r="BO520" s="10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0"/>
      <c r="CE520" s="10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</row>
    <row r="521" spans="1:94" ht="15" hidden="1" customHeight="1" thickBot="1">
      <c r="A521" s="10"/>
      <c r="B521" s="10"/>
      <c r="C521" s="12" t="s">
        <v>915</v>
      </c>
      <c r="D521" s="12"/>
      <c r="E521" s="12"/>
      <c r="F521" s="12"/>
      <c r="G521" s="12"/>
      <c r="H521" s="12"/>
      <c r="I521" s="12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  <c r="BB521" s="10"/>
      <c r="BC521" s="10"/>
      <c r="BD521" s="10"/>
      <c r="BE521" s="10"/>
      <c r="BF521" s="10"/>
      <c r="BG521" s="10"/>
      <c r="BH521" s="10"/>
      <c r="BI521" s="10"/>
      <c r="BJ521" s="10"/>
      <c r="BK521" s="10"/>
      <c r="BL521" s="10"/>
      <c r="BM521" s="10"/>
      <c r="BN521" s="10"/>
      <c r="BO521" s="10"/>
      <c r="BP521" s="10"/>
      <c r="BQ521" s="10"/>
      <c r="BR521" s="10"/>
      <c r="BS521" s="10"/>
      <c r="BT521" s="10"/>
      <c r="BU521" s="10"/>
      <c r="BV521" s="10"/>
      <c r="BW521" s="10"/>
      <c r="BX521" s="10"/>
      <c r="BY521" s="10"/>
      <c r="BZ521" s="10"/>
      <c r="CA521" s="10"/>
      <c r="CB521" s="10"/>
      <c r="CC521" s="10"/>
      <c r="CD521" s="10"/>
      <c r="CE521" s="10"/>
      <c r="CF521" s="10"/>
      <c r="CG521" s="10"/>
      <c r="CH521" s="10"/>
      <c r="CI521" s="10"/>
      <c r="CJ521" s="10"/>
      <c r="CK521" s="10"/>
      <c r="CL521" s="10"/>
      <c r="CM521" s="10"/>
      <c r="CN521" s="10"/>
      <c r="CO521" s="10"/>
      <c r="CP521" s="10"/>
    </row>
    <row r="522" spans="1:94" ht="15" hidden="1" customHeight="1">
      <c r="A522" s="10"/>
      <c r="B522" s="10"/>
      <c r="C522" s="10"/>
      <c r="D522" s="10"/>
      <c r="E522" s="59"/>
      <c r="F522" s="3"/>
      <c r="G522" s="14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  <c r="BL522" s="10"/>
      <c r="BM522" s="10"/>
      <c r="BN522" s="10"/>
      <c r="BO522" s="10"/>
      <c r="BP522" s="10"/>
      <c r="BQ522" s="10"/>
      <c r="BR522" s="10"/>
      <c r="BS522" s="10"/>
      <c r="BT522" s="10"/>
      <c r="BU522" s="10"/>
      <c r="BV522" s="10"/>
      <c r="BW522" s="10"/>
      <c r="BX522" s="10"/>
      <c r="BY522" s="10"/>
      <c r="BZ522" s="10"/>
      <c r="CA522" s="10"/>
      <c r="CB522" s="10"/>
      <c r="CC522" s="10"/>
      <c r="CD522" s="10"/>
      <c r="CE522" s="10"/>
      <c r="CF522" s="10"/>
      <c r="CG522" s="10"/>
      <c r="CH522" s="10"/>
      <c r="CI522" s="10"/>
      <c r="CJ522" s="10"/>
      <c r="CK522" s="10"/>
      <c r="CL522" s="10"/>
      <c r="CM522" s="10"/>
      <c r="CN522" s="10"/>
      <c r="CO522" s="10"/>
      <c r="CP522" s="10"/>
    </row>
    <row r="523" spans="1:94" ht="15" hidden="1" customHeight="1">
      <c r="A523" s="10"/>
      <c r="B523" s="10"/>
      <c r="C523" s="35"/>
      <c r="D523" s="10"/>
      <c r="E523" s="59"/>
      <c r="F523" s="3"/>
      <c r="G523" s="14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  <c r="BL523" s="10"/>
      <c r="BM523" s="10"/>
      <c r="BN523" s="10"/>
      <c r="B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</row>
    <row r="524" spans="1:94" ht="15" hidden="1" customHeight="1">
      <c r="A524" s="10"/>
      <c r="B524" s="10"/>
      <c r="C524" s="17"/>
      <c r="D524" s="10"/>
      <c r="E524" s="14"/>
      <c r="F524" s="3"/>
      <c r="G524" s="142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  <c r="CD524" s="10"/>
      <c r="CE524" s="10"/>
      <c r="CF524" s="10"/>
      <c r="CG524" s="10"/>
      <c r="CH524" s="10"/>
      <c r="CI524" s="10"/>
      <c r="CJ524" s="10"/>
      <c r="CK524" s="10"/>
      <c r="CL524" s="10"/>
      <c r="CM524" s="10"/>
      <c r="CN524" s="10"/>
      <c r="CO524" s="10"/>
      <c r="CP524" s="10"/>
    </row>
    <row r="525" spans="1:94" ht="15" hidden="1" customHeight="1">
      <c r="A525" s="10"/>
      <c r="B525" s="10"/>
      <c r="C525" s="17"/>
      <c r="D525" s="10"/>
      <c r="E525" s="14"/>
      <c r="F525" s="3"/>
      <c r="G525" s="14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  <c r="BL525" s="10"/>
      <c r="BM525" s="10"/>
      <c r="BN525" s="10"/>
      <c r="BO525" s="10"/>
      <c r="BP525" s="10"/>
      <c r="BQ525" s="10"/>
      <c r="BR525" s="10"/>
      <c r="BS525" s="10"/>
      <c r="BT525" s="10"/>
      <c r="BU525" s="10"/>
      <c r="BV525" s="10"/>
      <c r="BW525" s="10"/>
      <c r="BX525" s="10"/>
      <c r="BY525" s="10"/>
      <c r="BZ525" s="10"/>
      <c r="CA525" s="10"/>
      <c r="CB525" s="10"/>
      <c r="CC525" s="10"/>
      <c r="CD525" s="10"/>
      <c r="CE525" s="10"/>
      <c r="CF525" s="10"/>
      <c r="CG525" s="10"/>
      <c r="CH525" s="10"/>
      <c r="CI525" s="10"/>
      <c r="CJ525" s="10"/>
      <c r="CK525" s="10"/>
      <c r="CL525" s="10"/>
      <c r="CM525" s="10"/>
      <c r="CN525" s="10"/>
      <c r="CO525" s="10"/>
      <c r="CP525" s="10"/>
    </row>
    <row r="526" spans="1:94" ht="15" hidden="1" customHeight="1">
      <c r="A526" s="10"/>
      <c r="B526" s="10"/>
      <c r="C526" s="17"/>
      <c r="D526" s="10"/>
      <c r="E526" s="14"/>
      <c r="F526" s="3"/>
      <c r="G526" s="14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  <c r="BL526" s="10"/>
      <c r="BM526" s="10"/>
      <c r="BN526" s="10"/>
      <c r="BO526" s="10"/>
      <c r="BP526" s="10"/>
      <c r="BQ526" s="10"/>
      <c r="BR526" s="10"/>
      <c r="BS526" s="10"/>
      <c r="BT526" s="10"/>
      <c r="BU526" s="10"/>
      <c r="BV526" s="10"/>
      <c r="BW526" s="10"/>
      <c r="BX526" s="10"/>
      <c r="BY526" s="10"/>
      <c r="BZ526" s="10"/>
      <c r="CA526" s="10"/>
      <c r="CB526" s="10"/>
      <c r="CC526" s="10"/>
      <c r="CD526" s="10"/>
      <c r="CE526" s="10"/>
      <c r="CF526" s="10"/>
      <c r="CG526" s="10"/>
      <c r="CH526" s="10"/>
      <c r="CI526" s="10"/>
      <c r="CJ526" s="10"/>
      <c r="CK526" s="10"/>
      <c r="CL526" s="10"/>
      <c r="CM526" s="10"/>
      <c r="CN526" s="10"/>
      <c r="CO526" s="10"/>
      <c r="CP526" s="10"/>
    </row>
    <row r="527" spans="1:94" ht="15" hidden="1" customHeight="1">
      <c r="A527" s="10"/>
      <c r="B527" s="10"/>
      <c r="C527" s="17"/>
      <c r="D527" s="10"/>
      <c r="E527" s="14"/>
      <c r="F527" s="3"/>
      <c r="G527" s="142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  <c r="BL527" s="10"/>
      <c r="BM527" s="10"/>
      <c r="BN527" s="10"/>
      <c r="BO527" s="10"/>
      <c r="BP527" s="10"/>
      <c r="BQ527" s="10"/>
      <c r="BR527" s="10"/>
      <c r="BS527" s="10"/>
      <c r="BT527" s="10"/>
      <c r="BU527" s="10"/>
      <c r="BV527" s="10"/>
      <c r="BW527" s="10"/>
      <c r="BX527" s="10"/>
      <c r="BY527" s="10"/>
      <c r="BZ527" s="10"/>
      <c r="CA527" s="10"/>
      <c r="CB527" s="10"/>
      <c r="CC527" s="10"/>
      <c r="CD527" s="10"/>
      <c r="CE527" s="10"/>
      <c r="CF527" s="10"/>
      <c r="CG527" s="10"/>
      <c r="CH527" s="10"/>
      <c r="CI527" s="10"/>
      <c r="CJ527" s="10"/>
      <c r="CK527" s="10"/>
      <c r="CL527" s="10"/>
      <c r="CM527" s="10"/>
      <c r="CN527" s="10"/>
      <c r="CO527" s="10"/>
      <c r="CP527" s="10"/>
    </row>
    <row r="528" spans="1:94" ht="15" hidden="1" customHeight="1">
      <c r="A528" s="10"/>
      <c r="B528" s="10"/>
      <c r="C528" s="10"/>
      <c r="D528" s="10"/>
      <c r="E528" s="59"/>
      <c r="F528" s="3"/>
      <c r="G528" s="142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  <c r="BL528" s="10"/>
      <c r="BM528" s="10"/>
      <c r="BN528" s="10"/>
      <c r="BO528" s="10"/>
      <c r="BP528" s="10"/>
      <c r="BQ528" s="10"/>
      <c r="BR528" s="10"/>
      <c r="BS528" s="10"/>
      <c r="BT528" s="10"/>
      <c r="BU528" s="10"/>
      <c r="BV528" s="10"/>
      <c r="BW528" s="10"/>
      <c r="BX528" s="10"/>
      <c r="BY528" s="10"/>
      <c r="BZ528" s="10"/>
      <c r="CA528" s="10"/>
      <c r="CB528" s="10"/>
      <c r="CC528" s="10"/>
      <c r="CD528" s="10"/>
      <c r="CE528" s="10"/>
      <c r="CF528" s="10"/>
      <c r="CG528" s="10"/>
      <c r="CH528" s="10"/>
      <c r="CI528" s="10"/>
      <c r="CJ528" s="10"/>
      <c r="CK528" s="10"/>
      <c r="CL528" s="10"/>
      <c r="CM528" s="10"/>
      <c r="CN528" s="10"/>
      <c r="CO528" s="10"/>
      <c r="CP528" s="10"/>
    </row>
    <row r="529" spans="1:94" ht="15" hidden="1" customHeight="1">
      <c r="A529" s="10"/>
      <c r="B529" s="10"/>
      <c r="C529" s="35"/>
      <c r="D529" s="10"/>
      <c r="E529" s="59"/>
      <c r="F529" s="3"/>
      <c r="G529" s="142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  <c r="BL529" s="10"/>
      <c r="BM529" s="10"/>
      <c r="BN529" s="10"/>
      <c r="BO529" s="10"/>
      <c r="BP529" s="10"/>
      <c r="BQ529" s="10"/>
      <c r="BR529" s="10"/>
      <c r="BS529" s="10"/>
      <c r="BT529" s="10"/>
      <c r="BU529" s="10"/>
      <c r="BV529" s="10"/>
      <c r="BW529" s="10"/>
      <c r="BX529" s="10"/>
      <c r="BY529" s="10"/>
      <c r="BZ529" s="10"/>
      <c r="CA529" s="10"/>
      <c r="CB529" s="10"/>
      <c r="CC529" s="10"/>
      <c r="CD529" s="10"/>
      <c r="CE529" s="10"/>
      <c r="CF529" s="10"/>
      <c r="CG529" s="10"/>
      <c r="CH529" s="10"/>
      <c r="CI529" s="10"/>
      <c r="CJ529" s="10"/>
      <c r="CK529" s="10"/>
      <c r="CL529" s="10"/>
      <c r="CM529" s="10"/>
      <c r="CN529" s="10"/>
      <c r="CO529" s="10"/>
      <c r="CP529" s="10"/>
    </row>
    <row r="530" spans="1:94" ht="15" hidden="1" customHeight="1">
      <c r="A530" s="10"/>
      <c r="B530" s="10"/>
      <c r="C530" s="17"/>
      <c r="D530" s="10"/>
      <c r="E530" s="14"/>
      <c r="F530" s="3"/>
      <c r="G530" s="142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  <c r="BL530" s="10"/>
      <c r="BM530" s="10"/>
      <c r="BN530" s="10"/>
      <c r="BO530" s="10"/>
      <c r="BP530" s="10"/>
      <c r="BQ530" s="10"/>
      <c r="BR530" s="10"/>
      <c r="BS530" s="10"/>
      <c r="BT530" s="10"/>
      <c r="BU530" s="10"/>
      <c r="BV530" s="10"/>
      <c r="BW530" s="10"/>
      <c r="BX530" s="10"/>
      <c r="BY530" s="10"/>
      <c r="BZ530" s="10"/>
      <c r="CA530" s="10"/>
      <c r="CB530" s="10"/>
      <c r="CC530" s="10"/>
      <c r="CD530" s="10"/>
      <c r="CE530" s="10"/>
      <c r="CF530" s="10"/>
      <c r="CG530" s="10"/>
      <c r="CH530" s="10"/>
      <c r="CI530" s="10"/>
      <c r="CJ530" s="10"/>
      <c r="CK530" s="10"/>
      <c r="CL530" s="10"/>
      <c r="CM530" s="10"/>
      <c r="CN530" s="10"/>
      <c r="CO530" s="10"/>
      <c r="CP530" s="10"/>
    </row>
    <row r="531" spans="1:94" ht="15" hidden="1" customHeight="1">
      <c r="A531" s="10"/>
      <c r="B531" s="10"/>
      <c r="C531" s="17"/>
      <c r="D531" s="10"/>
      <c r="E531" s="14"/>
      <c r="F531" s="3"/>
      <c r="G531" s="142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  <c r="CD531" s="10"/>
      <c r="CE531" s="10"/>
      <c r="CF531" s="10"/>
      <c r="CG531" s="10"/>
      <c r="CH531" s="10"/>
      <c r="CI531" s="10"/>
      <c r="CJ531" s="10"/>
      <c r="CK531" s="10"/>
      <c r="CL531" s="10"/>
      <c r="CM531" s="10"/>
      <c r="CN531" s="10"/>
      <c r="CO531" s="10"/>
      <c r="CP531" s="10"/>
    </row>
    <row r="532" spans="1:94" ht="15" hidden="1" customHeight="1">
      <c r="A532" s="10"/>
      <c r="B532" s="10"/>
      <c r="C532" s="17"/>
      <c r="D532" s="10"/>
      <c r="E532" s="14"/>
      <c r="F532" s="3"/>
      <c r="G532" s="142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  <c r="CD532" s="10"/>
      <c r="CE532" s="10"/>
      <c r="CF532" s="10"/>
      <c r="CG532" s="10"/>
      <c r="CH532" s="10"/>
      <c r="CI532" s="10"/>
      <c r="CJ532" s="10"/>
      <c r="CK532" s="10"/>
      <c r="CL532" s="10"/>
      <c r="CM532" s="10"/>
      <c r="CN532" s="10"/>
      <c r="CO532" s="10"/>
      <c r="CP532" s="10"/>
    </row>
    <row r="533" spans="1:94" ht="15" hidden="1" customHeight="1">
      <c r="A533" s="10"/>
      <c r="B533" s="10"/>
      <c r="C533" s="10"/>
      <c r="D533" s="10"/>
      <c r="E533" s="59"/>
      <c r="F533" s="3"/>
      <c r="G533" s="142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  <c r="BL533" s="10"/>
      <c r="BM533" s="10"/>
      <c r="BN533" s="10"/>
      <c r="BO533" s="10"/>
      <c r="BP533" s="10"/>
      <c r="BQ533" s="10"/>
      <c r="BR533" s="10"/>
      <c r="BS533" s="10"/>
      <c r="BT533" s="10"/>
      <c r="BU533" s="10"/>
      <c r="BV533" s="10"/>
      <c r="BW533" s="10"/>
      <c r="BX533" s="10"/>
      <c r="BY533" s="10"/>
      <c r="BZ533" s="10"/>
      <c r="CA533" s="10"/>
      <c r="CB533" s="10"/>
      <c r="CC533" s="10"/>
      <c r="CD533" s="10"/>
      <c r="CE533" s="10"/>
      <c r="CF533" s="10"/>
      <c r="CG533" s="10"/>
      <c r="CH533" s="10"/>
      <c r="CI533" s="10"/>
      <c r="CJ533" s="10"/>
      <c r="CK533" s="10"/>
      <c r="CL533" s="10"/>
      <c r="CM533" s="10"/>
      <c r="CN533" s="10"/>
      <c r="CO533" s="10"/>
      <c r="CP533" s="10"/>
    </row>
    <row r="534" spans="1:94" ht="15" hidden="1" customHeight="1">
      <c r="A534" s="10"/>
      <c r="B534" s="10"/>
      <c r="C534" s="35"/>
      <c r="D534" s="10"/>
      <c r="E534" s="59"/>
      <c r="F534" s="3"/>
      <c r="G534" s="142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  <c r="CP534" s="10"/>
    </row>
    <row r="535" spans="1:94" ht="15" hidden="1" customHeight="1">
      <c r="A535" s="10"/>
      <c r="B535" s="10"/>
      <c r="C535" s="17"/>
      <c r="D535" s="10"/>
      <c r="E535" s="14"/>
      <c r="F535" s="3"/>
      <c r="G535" s="142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  <c r="CD535" s="10"/>
      <c r="CE535" s="10"/>
      <c r="CF535" s="10"/>
      <c r="CG535" s="10"/>
      <c r="CH535" s="10"/>
      <c r="CI535" s="10"/>
      <c r="CJ535" s="10"/>
      <c r="CK535" s="10"/>
      <c r="CL535" s="10"/>
      <c r="CM535" s="10"/>
      <c r="CN535" s="10"/>
      <c r="CO535" s="10"/>
      <c r="CP535" s="10"/>
    </row>
    <row r="536" spans="1:94" ht="15" hidden="1" customHeight="1">
      <c r="A536" s="10"/>
      <c r="B536" s="10"/>
      <c r="C536" s="17"/>
      <c r="D536" s="10"/>
      <c r="E536" s="14"/>
      <c r="F536" s="3"/>
      <c r="G536" s="142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  <c r="CD536" s="10"/>
      <c r="CE536" s="10"/>
      <c r="CF536" s="10"/>
      <c r="CG536" s="10"/>
      <c r="CH536" s="10"/>
      <c r="CI536" s="10"/>
      <c r="CJ536" s="10"/>
      <c r="CK536" s="10"/>
      <c r="CL536" s="10"/>
      <c r="CM536" s="10"/>
      <c r="CN536" s="10"/>
      <c r="CO536" s="10"/>
      <c r="CP536" s="10"/>
    </row>
    <row r="537" spans="1:94" ht="15" hidden="1" customHeight="1">
      <c r="A537" s="10"/>
      <c r="B537" s="10"/>
      <c r="C537" s="17"/>
      <c r="D537" s="10"/>
      <c r="E537" s="14"/>
      <c r="F537" s="3"/>
      <c r="G537" s="142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</row>
    <row r="538" spans="1:94" ht="15" hidden="1" customHeight="1">
      <c r="A538" s="10"/>
      <c r="B538" s="10"/>
      <c r="C538" s="17"/>
      <c r="D538" s="10"/>
      <c r="E538" s="14"/>
      <c r="F538" s="3"/>
      <c r="G538" s="142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  <c r="CP538" s="10"/>
    </row>
    <row r="539" spans="1:94" ht="15" hidden="1" customHeight="1">
      <c r="A539" s="10"/>
      <c r="B539" s="10"/>
      <c r="C539" s="17"/>
      <c r="D539" s="10"/>
      <c r="E539" s="14"/>
      <c r="F539" s="3"/>
      <c r="G539" s="142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  <c r="CP539" s="10"/>
    </row>
    <row r="540" spans="1:94" ht="15" customHeight="1">
      <c r="A540" s="10"/>
      <c r="B540" s="10"/>
      <c r="C540" s="10"/>
      <c r="D540" s="10"/>
      <c r="E540" s="59"/>
      <c r="F540" s="3"/>
      <c r="G540" s="142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  <c r="BL540" s="10"/>
      <c r="BM540" s="10"/>
      <c r="BN540" s="10"/>
      <c r="BO540" s="10"/>
      <c r="BP540" s="10"/>
      <c r="BQ540" s="10"/>
      <c r="BR540" s="10"/>
      <c r="BS540" s="10"/>
      <c r="BT540" s="10"/>
      <c r="BU540" s="10"/>
      <c r="BV540" s="10"/>
      <c r="BW540" s="10"/>
      <c r="BX540" s="10"/>
      <c r="BY540" s="10"/>
      <c r="BZ540" s="10"/>
      <c r="CA540" s="10"/>
      <c r="CB540" s="10"/>
      <c r="CC540" s="10"/>
      <c r="CD540" s="10"/>
      <c r="CE540" s="10"/>
      <c r="CF540" s="10"/>
      <c r="CG540" s="10"/>
      <c r="CH540" s="10"/>
      <c r="CI540" s="10"/>
      <c r="CJ540" s="10"/>
      <c r="CK540" s="10"/>
      <c r="CL540" s="10"/>
      <c r="CM540" s="10"/>
      <c r="CN540" s="10"/>
      <c r="CO540" s="10"/>
      <c r="CP540" s="10"/>
    </row>
    <row r="541" spans="1:94" ht="15" customHeight="1">
      <c r="A541" s="10"/>
      <c r="B541" s="3"/>
      <c r="C541" s="384" t="str">
        <f>C333</f>
        <v>Сегмент 3: Крытый парк развлечений</v>
      </c>
      <c r="D541" s="273"/>
      <c r="E541" s="273"/>
      <c r="F541" s="273"/>
      <c r="G541" s="274"/>
      <c r="H541" s="273"/>
      <c r="I541" s="273"/>
      <c r="J541" s="273"/>
      <c r="K541" s="273"/>
      <c r="L541" s="273"/>
      <c r="M541" s="273"/>
      <c r="N541" s="273"/>
      <c r="O541" s="273"/>
      <c r="P541" s="273"/>
      <c r="Q541" s="273"/>
      <c r="R541" s="273"/>
      <c r="S541" s="273"/>
      <c r="T541" s="273"/>
      <c r="U541" s="273"/>
      <c r="V541" s="273"/>
      <c r="W541" s="273"/>
      <c r="X541" s="273"/>
      <c r="Y541" s="273"/>
      <c r="Z541" s="273"/>
      <c r="AA541" s="273"/>
      <c r="AB541" s="273"/>
      <c r="AC541" s="273"/>
      <c r="AD541" s="273"/>
      <c r="AE541" s="273"/>
      <c r="AF541" s="273"/>
      <c r="AG541" s="273"/>
      <c r="AH541" s="273"/>
      <c r="AI541" s="273"/>
      <c r="AJ541" s="273"/>
      <c r="AK541" s="273"/>
      <c r="AL541" s="273"/>
      <c r="AM541" s="273"/>
      <c r="AN541" s="273"/>
      <c r="AO541" s="273"/>
      <c r="AP541" s="273"/>
      <c r="AQ541" s="273"/>
      <c r="AR541" s="273"/>
      <c r="AS541" s="273"/>
      <c r="AT541" s="273"/>
      <c r="AU541" s="273"/>
      <c r="AV541" s="273"/>
      <c r="AW541" s="273"/>
      <c r="AX541" s="273"/>
      <c r="AY541" s="273"/>
      <c r="AZ541" s="273"/>
      <c r="BA541" s="273"/>
      <c r="BB541" s="273"/>
      <c r="BC541" s="273"/>
      <c r="BD541" s="273"/>
      <c r="BE541" s="273"/>
      <c r="BF541" s="273"/>
      <c r="BG541" s="273"/>
      <c r="BH541" s="273"/>
      <c r="BI541" s="273"/>
      <c r="BJ541" s="273"/>
      <c r="BK541" s="273"/>
      <c r="BL541" s="273"/>
      <c r="BM541" s="273"/>
      <c r="BN541" s="273"/>
      <c r="BO541" s="273"/>
      <c r="BP541" s="273"/>
      <c r="BQ541" s="273"/>
      <c r="BR541" s="273"/>
      <c r="BS541" s="273"/>
      <c r="BT541" s="273"/>
      <c r="BU541" s="273"/>
      <c r="BV541" s="273"/>
      <c r="BW541" s="273"/>
      <c r="BX541" s="273"/>
      <c r="BY541" s="273"/>
      <c r="BZ541" s="273"/>
      <c r="CA541" s="273"/>
      <c r="CB541" s="273"/>
      <c r="CC541" s="273"/>
      <c r="CD541" s="273"/>
      <c r="CE541" s="273"/>
      <c r="CF541" s="273"/>
      <c r="CG541" s="273"/>
      <c r="CH541" s="273"/>
      <c r="CI541" s="273"/>
      <c r="CJ541" s="273"/>
      <c r="CK541" s="273"/>
      <c r="CL541" s="273"/>
      <c r="CM541" s="273"/>
      <c r="CN541" s="273"/>
      <c r="CO541" s="273"/>
      <c r="CP541" s="10"/>
    </row>
    <row r="542" spans="1:94" ht="15" customHeight="1">
      <c r="A542" s="10"/>
      <c r="B542" s="10"/>
      <c r="C542" s="10"/>
      <c r="D542" s="10"/>
      <c r="E542" s="59"/>
      <c r="F542" s="3"/>
      <c r="G542" s="142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  <c r="BL542" s="10"/>
      <c r="BM542" s="10"/>
      <c r="BN542" s="10"/>
      <c r="BO542" s="10"/>
      <c r="BP542" s="10"/>
      <c r="BQ542" s="10"/>
      <c r="BR542" s="10"/>
      <c r="BS542" s="10"/>
      <c r="BT542" s="10"/>
      <c r="BU542" s="10"/>
      <c r="BV542" s="10"/>
      <c r="BW542" s="10"/>
      <c r="BX542" s="10"/>
      <c r="BY542" s="10"/>
      <c r="BZ542" s="10"/>
      <c r="CA542" s="10"/>
      <c r="CB542" s="10"/>
      <c r="CC542" s="10"/>
      <c r="CD542" s="10"/>
      <c r="CE542" s="10"/>
      <c r="CF542" s="10"/>
      <c r="CG542" s="10"/>
      <c r="CH542" s="10"/>
      <c r="CI542" s="10"/>
      <c r="CJ542" s="10"/>
      <c r="CK542" s="10"/>
      <c r="CL542" s="10"/>
      <c r="CM542" s="10"/>
      <c r="CN542" s="10"/>
      <c r="CO542" s="10"/>
      <c r="CP542" s="10"/>
    </row>
    <row r="543" spans="1:94" ht="15" customHeight="1" thickBot="1">
      <c r="A543" s="10"/>
      <c r="B543" s="10"/>
      <c r="C543" s="12" t="s">
        <v>915</v>
      </c>
      <c r="D543" s="12"/>
      <c r="E543" s="12"/>
      <c r="F543" s="12"/>
      <c r="G543" s="12"/>
      <c r="H543" s="12"/>
      <c r="I543" s="12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  <c r="BL543" s="10"/>
      <c r="BM543" s="10"/>
      <c r="BN543" s="10"/>
      <c r="BO543" s="10"/>
      <c r="BP543" s="10"/>
      <c r="BQ543" s="10"/>
      <c r="BR543" s="10"/>
      <c r="BS543" s="10"/>
      <c r="BT543" s="10"/>
      <c r="BU543" s="10"/>
      <c r="BV543" s="10"/>
      <c r="BW543" s="10"/>
      <c r="BX543" s="10"/>
      <c r="BY543" s="10"/>
      <c r="BZ543" s="10"/>
      <c r="CA543" s="10"/>
      <c r="CB543" s="10"/>
      <c r="CC543" s="10"/>
      <c r="CD543" s="10"/>
      <c r="CE543" s="10"/>
      <c r="CF543" s="10"/>
      <c r="CG543" s="10"/>
      <c r="CH543" s="10"/>
      <c r="CI543" s="10"/>
      <c r="CJ543" s="10"/>
      <c r="CK543" s="10"/>
      <c r="CL543" s="10"/>
      <c r="CM543" s="10"/>
      <c r="CN543" s="10"/>
      <c r="CO543" s="10"/>
      <c r="CP543" s="10"/>
    </row>
    <row r="544" spans="1:94" ht="15" customHeight="1">
      <c r="A544" s="10"/>
      <c r="B544" s="10"/>
      <c r="C544" s="10"/>
      <c r="D544" s="10"/>
      <c r="E544" s="59"/>
      <c r="F544" s="3"/>
      <c r="G544" s="142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  <c r="BL544" s="10"/>
      <c r="BM544" s="10"/>
      <c r="BN544" s="10"/>
      <c r="BO544" s="10"/>
      <c r="BP544" s="10"/>
      <c r="BQ544" s="10"/>
      <c r="BR544" s="10"/>
      <c r="BS544" s="10"/>
      <c r="BT544" s="10"/>
      <c r="BU544" s="10"/>
      <c r="BV544" s="10"/>
      <c r="BW544" s="10"/>
      <c r="BX544" s="10"/>
      <c r="BY544" s="10"/>
      <c r="BZ544" s="10"/>
      <c r="CA544" s="10"/>
      <c r="CB544" s="10"/>
      <c r="CC544" s="10"/>
      <c r="CD544" s="10"/>
      <c r="CE544" s="10"/>
      <c r="CF544" s="10"/>
      <c r="CG544" s="10"/>
      <c r="CH544" s="10"/>
      <c r="CI544" s="10"/>
      <c r="CJ544" s="10"/>
      <c r="CK544" s="10"/>
      <c r="CL544" s="10"/>
      <c r="CM544" s="10"/>
      <c r="CN544" s="10"/>
      <c r="CO544" s="10"/>
      <c r="CP544" s="10"/>
    </row>
    <row r="545" spans="1:94" ht="15" customHeight="1">
      <c r="A545" s="10"/>
      <c r="B545" s="10"/>
      <c r="C545" s="17" t="s">
        <v>923</v>
      </c>
      <c r="D545" s="10"/>
      <c r="E545" s="80">
        <v>0</v>
      </c>
      <c r="F545" s="3"/>
      <c r="G545" s="142" t="s">
        <v>28</v>
      </c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  <c r="BL545" s="10"/>
      <c r="BM545" s="10"/>
      <c r="BN545" s="10"/>
      <c r="BO545" s="10"/>
      <c r="BP545" s="10"/>
      <c r="BQ545" s="10"/>
      <c r="BR545" s="10"/>
      <c r="BS545" s="10"/>
      <c r="BT545" s="10"/>
      <c r="BU545" s="10"/>
      <c r="BV545" s="10"/>
      <c r="BW545" s="10"/>
      <c r="BX545" s="10"/>
      <c r="BY545" s="10"/>
      <c r="BZ545" s="10"/>
      <c r="CA545" s="10"/>
      <c r="CB545" s="10"/>
      <c r="CC545" s="10"/>
      <c r="CD545" s="10"/>
      <c r="CE545" s="10"/>
      <c r="CF545" s="10"/>
      <c r="CG545" s="10"/>
      <c r="CH545" s="10"/>
      <c r="CI545" s="10"/>
      <c r="CJ545" s="10"/>
      <c r="CK545" s="10"/>
      <c r="CL545" s="10"/>
      <c r="CM545" s="10"/>
      <c r="CN545" s="10"/>
      <c r="CO545" s="10"/>
      <c r="CP545" s="10"/>
    </row>
    <row r="546" spans="1:94" ht="15" customHeight="1">
      <c r="A546" s="10"/>
      <c r="B546" s="10"/>
      <c r="C546" s="10"/>
      <c r="D546" s="10"/>
      <c r="E546" s="59"/>
      <c r="F546" s="3"/>
      <c r="G546" s="142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  <c r="BL546" s="10"/>
      <c r="BM546" s="10"/>
      <c r="BN546" s="10"/>
      <c r="BO546" s="10"/>
      <c r="BP546" s="10"/>
      <c r="BQ546" s="10"/>
      <c r="BR546" s="10"/>
      <c r="BS546" s="10"/>
      <c r="BT546" s="10"/>
      <c r="BU546" s="10"/>
      <c r="BV546" s="10"/>
      <c r="BW546" s="10"/>
      <c r="BX546" s="10"/>
      <c r="BY546" s="10"/>
      <c r="BZ546" s="10"/>
      <c r="CA546" s="10"/>
      <c r="CB546" s="10"/>
      <c r="CC546" s="10"/>
      <c r="CD546" s="10"/>
      <c r="CE546" s="10"/>
      <c r="CF546" s="10"/>
      <c r="CG546" s="10"/>
      <c r="CH546" s="10"/>
      <c r="CI546" s="10"/>
      <c r="CJ546" s="10"/>
      <c r="CK546" s="10"/>
      <c r="CL546" s="10"/>
      <c r="CM546" s="10"/>
      <c r="CN546" s="10"/>
      <c r="CO546" s="10"/>
      <c r="CP546" s="10"/>
    </row>
    <row r="547" spans="1:94" ht="22.5" customHeight="1">
      <c r="A547" s="10"/>
      <c r="B547" s="5" t="s">
        <v>144</v>
      </c>
      <c r="C547" s="97"/>
      <c r="D547" s="111"/>
      <c r="E547" s="97"/>
      <c r="F547" s="111"/>
      <c r="G547" s="204"/>
      <c r="H547" s="111"/>
      <c r="I547" s="97"/>
      <c r="J547" s="97"/>
      <c r="K547" s="111"/>
      <c r="L547" s="111"/>
      <c r="M547" s="111"/>
      <c r="N547" s="111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111"/>
      <c r="AB547" s="111"/>
      <c r="AC547" s="111"/>
      <c r="AD547" s="111"/>
      <c r="AE547" s="111"/>
      <c r="AF547" s="111"/>
      <c r="AG547" s="111"/>
      <c r="AH547" s="111"/>
      <c r="AI547" s="111"/>
      <c r="AJ547" s="111"/>
      <c r="AK547" s="111"/>
      <c r="AL547" s="111"/>
      <c r="AM547" s="111"/>
      <c r="AN547" s="111"/>
      <c r="AO547" s="111"/>
      <c r="AP547" s="111"/>
      <c r="AQ547" s="111"/>
      <c r="AR547" s="111"/>
      <c r="AS547" s="111"/>
      <c r="AT547" s="111"/>
      <c r="AU547" s="111"/>
      <c r="AV547" s="111"/>
      <c r="AW547" s="111"/>
      <c r="AX547" s="111"/>
      <c r="AY547" s="111"/>
      <c r="AZ547" s="111"/>
      <c r="BA547" s="111"/>
      <c r="BB547" s="111"/>
      <c r="BC547" s="111"/>
      <c r="BD547" s="111"/>
      <c r="BE547" s="111"/>
      <c r="BF547" s="111"/>
      <c r="BG547" s="111"/>
      <c r="BH547" s="111"/>
      <c r="BI547" s="111"/>
      <c r="BJ547" s="111"/>
      <c r="BK547" s="111"/>
      <c r="BL547" s="111"/>
      <c r="BM547" s="111"/>
      <c r="BN547" s="111"/>
      <c r="BO547" s="111"/>
      <c r="BP547" s="111"/>
      <c r="BQ547" s="111"/>
      <c r="BR547" s="111"/>
      <c r="BS547" s="111"/>
      <c r="BT547" s="111"/>
      <c r="BU547" s="111"/>
      <c r="BV547" s="111"/>
      <c r="BW547" s="111"/>
      <c r="BX547" s="111"/>
      <c r="BY547" s="111"/>
      <c r="BZ547" s="111"/>
      <c r="CA547" s="111"/>
      <c r="CB547" s="111"/>
      <c r="CC547" s="111"/>
      <c r="CD547" s="111"/>
      <c r="CE547" s="111"/>
      <c r="CF547" s="111"/>
      <c r="CG547" s="111"/>
      <c r="CH547" s="111"/>
      <c r="CI547" s="111"/>
      <c r="CJ547" s="111"/>
      <c r="CK547" s="111"/>
      <c r="CL547" s="111"/>
      <c r="CM547" s="111"/>
      <c r="CN547" s="111"/>
      <c r="CO547" s="111"/>
      <c r="CP547" s="10"/>
    </row>
    <row r="548" spans="1:94" ht="15" customHeight="1">
      <c r="A548" s="10"/>
      <c r="B548" s="10"/>
      <c r="C548" s="10"/>
      <c r="D548" s="10"/>
      <c r="E548" s="59"/>
      <c r="F548" s="3"/>
      <c r="G548" s="142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  <c r="BL548" s="10"/>
      <c r="BM548" s="10"/>
      <c r="BN548" s="10"/>
      <c r="BO548" s="10"/>
      <c r="BP548" s="10"/>
      <c r="BQ548" s="10"/>
      <c r="BR548" s="10"/>
      <c r="BS548" s="10"/>
      <c r="BT548" s="10"/>
      <c r="BU548" s="10"/>
      <c r="BV548" s="10"/>
      <c r="BW548" s="10"/>
      <c r="BX548" s="10"/>
      <c r="BY548" s="10"/>
      <c r="BZ548" s="10"/>
      <c r="CA548" s="10"/>
      <c r="CB548" s="10"/>
      <c r="CC548" s="10"/>
      <c r="CD548" s="10"/>
      <c r="CE548" s="10"/>
      <c r="CF548" s="10"/>
      <c r="CG548" s="10"/>
      <c r="CH548" s="10"/>
      <c r="CI548" s="10"/>
      <c r="CJ548" s="10"/>
      <c r="CK548" s="10"/>
      <c r="CL548" s="10"/>
      <c r="CM548" s="10"/>
      <c r="CN548" s="10"/>
      <c r="CO548" s="10"/>
      <c r="CP548" s="10"/>
    </row>
    <row r="549" spans="1:94" ht="15" customHeight="1" thickBot="1">
      <c r="A549" s="10"/>
      <c r="B549" s="10"/>
      <c r="C549" s="12" t="s">
        <v>144</v>
      </c>
      <c r="D549" s="12"/>
      <c r="E549" s="12"/>
      <c r="F549" s="12"/>
      <c r="G549" s="12"/>
      <c r="H549" s="12"/>
      <c r="I549" s="12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  <c r="BL549" s="10"/>
      <c r="BM549" s="10"/>
      <c r="BN549" s="10"/>
      <c r="BO549" s="10"/>
      <c r="BP549" s="10"/>
      <c r="BQ549" s="10"/>
      <c r="BR549" s="10"/>
      <c r="BS549" s="10"/>
      <c r="BT549" s="10"/>
      <c r="BU549" s="10"/>
      <c r="BV549" s="10"/>
      <c r="BW549" s="10"/>
      <c r="BX549" s="10"/>
      <c r="BY549" s="10"/>
      <c r="BZ549" s="10"/>
      <c r="CA549" s="10"/>
      <c r="CB549" s="10"/>
      <c r="CC549" s="10"/>
      <c r="CD549" s="10"/>
      <c r="CE549" s="10"/>
      <c r="CF549" s="10"/>
      <c r="CG549" s="10"/>
      <c r="CH549" s="10"/>
      <c r="CI549" s="10"/>
      <c r="CJ549" s="10"/>
      <c r="CK549" s="10"/>
      <c r="CL549" s="10"/>
      <c r="CM549" s="10"/>
      <c r="CN549" s="10"/>
      <c r="CO549" s="10"/>
      <c r="CP549" s="10"/>
    </row>
    <row r="550" spans="1:94" ht="15" customHeight="1">
      <c r="A550" s="10"/>
      <c r="B550" s="10"/>
      <c r="C550" s="10"/>
      <c r="D550" s="10"/>
      <c r="E550" s="59"/>
      <c r="F550" s="3"/>
      <c r="G550" s="142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  <c r="BL550" s="10"/>
      <c r="BM550" s="10"/>
      <c r="BN550" s="10"/>
      <c r="BO550" s="10"/>
      <c r="BP550" s="10"/>
      <c r="BQ550" s="10"/>
      <c r="BR550" s="10"/>
      <c r="BS550" s="10"/>
      <c r="BT550" s="10"/>
      <c r="BU550" s="10"/>
      <c r="BV550" s="10"/>
      <c r="BW550" s="10"/>
      <c r="BX550" s="10"/>
      <c r="BY550" s="10"/>
      <c r="BZ550" s="10"/>
      <c r="CA550" s="10"/>
      <c r="CB550" s="10"/>
      <c r="CC550" s="10"/>
      <c r="CD550" s="10"/>
      <c r="CE550" s="10"/>
      <c r="CF550" s="10"/>
      <c r="CG550" s="10"/>
      <c r="CH550" s="10"/>
      <c r="CI550" s="10"/>
      <c r="CJ550" s="10"/>
      <c r="CK550" s="10"/>
      <c r="CL550" s="10"/>
      <c r="CM550" s="10"/>
      <c r="CN550" s="10"/>
      <c r="CO550" s="10"/>
      <c r="CP550" s="10"/>
    </row>
    <row r="551" spans="1:94" ht="15" customHeight="1">
      <c r="A551" s="10"/>
      <c r="B551" s="10"/>
      <c r="C551" s="17" t="s">
        <v>736</v>
      </c>
      <c r="D551" s="10"/>
      <c r="E551" s="80">
        <v>3.0000000000000001E-3</v>
      </c>
      <c r="F551" s="3"/>
      <c r="G551" s="240" t="s">
        <v>737</v>
      </c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  <c r="BL551" s="10"/>
      <c r="BM551" s="10"/>
      <c r="BN551" s="10"/>
      <c r="BO551" s="10"/>
      <c r="BP551" s="10"/>
      <c r="BQ551" s="10"/>
      <c r="BR551" s="10"/>
      <c r="BS551" s="10"/>
      <c r="BT551" s="10"/>
      <c r="BU551" s="10"/>
      <c r="BV551" s="10"/>
      <c r="BW551" s="10"/>
      <c r="BX551" s="10"/>
      <c r="BY551" s="10"/>
      <c r="BZ551" s="10"/>
      <c r="CA551" s="10"/>
      <c r="CB551" s="10"/>
      <c r="CC551" s="10"/>
      <c r="CD551" s="10"/>
      <c r="CE551" s="10"/>
      <c r="CF551" s="10"/>
      <c r="CG551" s="10"/>
      <c r="CH551" s="10"/>
      <c r="CI551" s="10"/>
      <c r="CJ551" s="10"/>
      <c r="CK551" s="10"/>
      <c r="CL551" s="10"/>
      <c r="CM551" s="10"/>
      <c r="CN551" s="10"/>
      <c r="CO551" s="10"/>
      <c r="CP551" s="10"/>
    </row>
    <row r="552" spans="1:94">
      <c r="A552" s="10"/>
      <c r="B552" s="3"/>
      <c r="C552" s="3"/>
      <c r="D552" s="3"/>
      <c r="E552" s="3"/>
      <c r="F552" s="3"/>
      <c r="G552" s="20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10"/>
    </row>
    <row r="553" spans="1:94" ht="22.5" customHeight="1">
      <c r="A553" s="10"/>
      <c r="B553" s="5" t="s">
        <v>98</v>
      </c>
      <c r="C553" s="5"/>
      <c r="D553" s="31"/>
      <c r="E553" s="5"/>
      <c r="F553" s="31"/>
      <c r="G553" s="6"/>
      <c r="H553" s="31"/>
      <c r="I553" s="5"/>
      <c r="J553" s="5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  <c r="BM553" s="31"/>
      <c r="BN553" s="31"/>
      <c r="BO553" s="31"/>
      <c r="BP553" s="31"/>
      <c r="BQ553" s="31"/>
      <c r="BR553" s="31"/>
      <c r="BS553" s="31"/>
      <c r="BT553" s="31"/>
      <c r="BU553" s="31"/>
      <c r="BV553" s="31"/>
      <c r="BW553" s="31"/>
      <c r="BX553" s="31"/>
      <c r="BY553" s="31"/>
      <c r="BZ553" s="31"/>
      <c r="CA553" s="31"/>
      <c r="CB553" s="31"/>
      <c r="CC553" s="31"/>
      <c r="CD553" s="31"/>
      <c r="CE553" s="31"/>
      <c r="CF553" s="31"/>
      <c r="CG553" s="31"/>
      <c r="CH553" s="31"/>
      <c r="CI553" s="31"/>
      <c r="CJ553" s="31"/>
      <c r="CK553" s="31"/>
      <c r="CL553" s="31"/>
      <c r="CM553" s="31"/>
      <c r="CN553" s="31"/>
      <c r="CO553" s="31"/>
      <c r="CP553" s="10"/>
    </row>
    <row r="554" spans="1:94" ht="15" customHeight="1">
      <c r="A554" s="10"/>
      <c r="B554" s="10"/>
      <c r="C554" s="10"/>
      <c r="D554" s="10"/>
      <c r="E554" s="10"/>
      <c r="F554" s="10"/>
      <c r="G554" s="142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  <c r="BL554" s="10"/>
      <c r="BM554" s="10"/>
      <c r="BN554" s="10"/>
      <c r="BO554" s="10"/>
      <c r="BP554" s="10"/>
      <c r="BQ554" s="10"/>
      <c r="BR554" s="10"/>
      <c r="BS554" s="10"/>
      <c r="BT554" s="10"/>
      <c r="BU554" s="10"/>
      <c r="BV554" s="10"/>
      <c r="BW554" s="10"/>
      <c r="BX554" s="10"/>
      <c r="BY554" s="10"/>
      <c r="BZ554" s="10"/>
      <c r="CA554" s="10"/>
      <c r="CB554" s="10"/>
      <c r="CC554" s="10"/>
      <c r="CD554" s="10"/>
      <c r="CE554" s="10"/>
      <c r="CF554" s="10"/>
      <c r="CG554" s="10"/>
      <c r="CH554" s="10"/>
      <c r="CI554" s="10"/>
      <c r="CJ554" s="10"/>
      <c r="CK554" s="10"/>
      <c r="CL554" s="10"/>
      <c r="CM554" s="10"/>
      <c r="CN554" s="10"/>
      <c r="CO554" s="10"/>
      <c r="CP554" s="10"/>
    </row>
    <row r="555" spans="1:94" ht="15" customHeight="1">
      <c r="A555" s="10"/>
      <c r="B555" s="10"/>
      <c r="C555" s="41" t="s">
        <v>1097</v>
      </c>
      <c r="D555" s="10"/>
      <c r="E555" s="10"/>
      <c r="F555" s="10"/>
      <c r="G555" s="142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  <c r="BL555" s="10"/>
      <c r="BM555" s="10"/>
      <c r="BN555" s="10"/>
      <c r="BO555" s="10"/>
      <c r="BP555" s="10"/>
      <c r="BQ555" s="10"/>
      <c r="BR555" s="10"/>
      <c r="BS555" s="10"/>
      <c r="BT555" s="10"/>
      <c r="BU555" s="10"/>
      <c r="BV555" s="10"/>
      <c r="BW555" s="10"/>
      <c r="BX555" s="10"/>
      <c r="BY555" s="10"/>
      <c r="BZ555" s="10"/>
      <c r="CA555" s="10"/>
      <c r="CB555" s="10"/>
      <c r="CC555" s="10"/>
      <c r="CD555" s="10"/>
      <c r="CE555" s="10"/>
      <c r="CF555" s="10"/>
      <c r="CG555" s="10"/>
      <c r="CH555" s="10"/>
      <c r="CI555" s="10"/>
      <c r="CJ555" s="10"/>
      <c r="CK555" s="10"/>
      <c r="CL555" s="10"/>
      <c r="CM555" s="10"/>
      <c r="CN555" s="10"/>
      <c r="CO555" s="10"/>
      <c r="CP555" s="10"/>
    </row>
    <row r="556" spans="1:94" ht="15" customHeight="1">
      <c r="A556" s="10"/>
      <c r="B556" s="10"/>
      <c r="C556" s="17" t="s">
        <v>1095</v>
      </c>
      <c r="D556" s="10"/>
      <c r="E556" s="2" t="s">
        <v>1064</v>
      </c>
      <c r="F556" s="10"/>
      <c r="G556" s="142" t="s">
        <v>1096</v>
      </c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  <c r="BL556" s="10"/>
      <c r="BM556" s="10"/>
      <c r="BN556" s="10"/>
      <c r="BO556" s="10"/>
      <c r="BP556" s="10"/>
      <c r="BQ556" s="10"/>
      <c r="BR556" s="10"/>
      <c r="BS556" s="10"/>
      <c r="BT556" s="10"/>
      <c r="BU556" s="10"/>
      <c r="BV556" s="10"/>
      <c r="BW556" s="10"/>
      <c r="BX556" s="10"/>
      <c r="BY556" s="10"/>
      <c r="BZ556" s="10"/>
      <c r="CA556" s="10"/>
      <c r="CB556" s="10"/>
      <c r="CC556" s="10"/>
      <c r="CD556" s="10"/>
      <c r="CE556" s="10"/>
      <c r="CF556" s="10"/>
      <c r="CG556" s="10"/>
      <c r="CH556" s="10"/>
      <c r="CI556" s="10"/>
      <c r="CJ556" s="10"/>
      <c r="CK556" s="10"/>
      <c r="CL556" s="10"/>
      <c r="CM556" s="10"/>
      <c r="CN556" s="10"/>
      <c r="CO556" s="10"/>
      <c r="CP556" s="10"/>
    </row>
    <row r="557" spans="1:94" ht="15" customHeight="1">
      <c r="A557" s="10"/>
      <c r="B557" s="10"/>
      <c r="C557" s="10"/>
      <c r="D557" s="10"/>
      <c r="E557" s="10"/>
      <c r="F557" s="10"/>
      <c r="G557" s="142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  <c r="BL557" s="10"/>
      <c r="BM557" s="10"/>
      <c r="BN557" s="10"/>
      <c r="BO557" s="10"/>
      <c r="BP557" s="10"/>
      <c r="BQ557" s="10"/>
      <c r="BR557" s="10"/>
      <c r="BS557" s="10"/>
      <c r="BT557" s="10"/>
      <c r="BU557" s="10"/>
      <c r="BV557" s="10"/>
      <c r="BW557" s="10"/>
      <c r="BX557" s="10"/>
      <c r="BY557" s="10"/>
      <c r="BZ557" s="10"/>
      <c r="CA557" s="10"/>
      <c r="CB557" s="10"/>
      <c r="CC557" s="10"/>
      <c r="CD557" s="10"/>
      <c r="CE557" s="10"/>
      <c r="CF557" s="10"/>
      <c r="CG557" s="10"/>
      <c r="CH557" s="10"/>
      <c r="CI557" s="10"/>
      <c r="CJ557" s="10"/>
      <c r="CK557" s="10"/>
      <c r="CL557" s="10"/>
      <c r="CM557" s="10"/>
      <c r="CN557" s="10"/>
      <c r="CO557" s="10"/>
      <c r="CP557" s="10"/>
    </row>
    <row r="558" spans="1:94" ht="15" customHeight="1">
      <c r="A558" s="10"/>
      <c r="B558" s="10"/>
      <c r="C558" s="41" t="s">
        <v>537</v>
      </c>
      <c r="D558" s="10"/>
      <c r="E558" s="10"/>
      <c r="F558" s="10"/>
      <c r="G558" s="142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  <c r="BL558" s="10"/>
      <c r="BM558" s="10"/>
      <c r="BN558" s="10"/>
      <c r="BO558" s="10"/>
      <c r="BP558" s="10"/>
      <c r="BQ558" s="10"/>
      <c r="BR558" s="10"/>
      <c r="BS558" s="10"/>
      <c r="BT558" s="10"/>
      <c r="BU558" s="10"/>
      <c r="BV558" s="10"/>
      <c r="BW558" s="10"/>
      <c r="BX558" s="10"/>
      <c r="BY558" s="10"/>
      <c r="BZ558" s="10"/>
      <c r="CA558" s="10"/>
      <c r="CB558" s="10"/>
      <c r="CC558" s="10"/>
      <c r="CD558" s="10"/>
      <c r="CE558" s="10"/>
      <c r="CF558" s="10"/>
      <c r="CG558" s="10"/>
      <c r="CH558" s="10"/>
      <c r="CI558" s="10"/>
      <c r="CJ558" s="10"/>
      <c r="CK558" s="10"/>
      <c r="CL558" s="10"/>
      <c r="CM558" s="10"/>
      <c r="CN558" s="10"/>
      <c r="CO558" s="10"/>
      <c r="CP558" s="10"/>
    </row>
    <row r="559" spans="1:94" ht="15.75" customHeight="1">
      <c r="A559" s="10"/>
      <c r="B559" s="10"/>
      <c r="C559" s="17" t="s">
        <v>306</v>
      </c>
      <c r="D559" s="10"/>
      <c r="E559" s="14">
        <v>30</v>
      </c>
      <c r="F559" s="10"/>
      <c r="G559" s="142" t="s">
        <v>99</v>
      </c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  <c r="BL559" s="10"/>
      <c r="BM559" s="10"/>
      <c r="BN559" s="10"/>
      <c r="BO559" s="10"/>
      <c r="BP559" s="10"/>
      <c r="BQ559" s="10"/>
      <c r="BR559" s="10"/>
      <c r="BS559" s="10"/>
      <c r="BT559" s="10"/>
      <c r="BU559" s="10"/>
      <c r="BV559" s="10"/>
      <c r="BW559" s="10"/>
      <c r="BX559" s="10"/>
      <c r="BY559" s="10"/>
      <c r="BZ559" s="10"/>
      <c r="CA559" s="10"/>
      <c r="CB559" s="10"/>
      <c r="CC559" s="10"/>
      <c r="CD559" s="10"/>
      <c r="CE559" s="10"/>
      <c r="CF559" s="10"/>
      <c r="CG559" s="10"/>
      <c r="CH559" s="10"/>
      <c r="CI559" s="10"/>
      <c r="CJ559" s="10"/>
      <c r="CK559" s="10"/>
      <c r="CL559" s="10"/>
      <c r="CM559" s="10"/>
      <c r="CN559" s="10"/>
      <c r="CO559" s="10"/>
      <c r="CP559" s="10"/>
    </row>
    <row r="560" spans="1:94" ht="15" customHeight="1">
      <c r="A560" s="10"/>
      <c r="B560" s="10"/>
      <c r="C560" s="17" t="s">
        <v>307</v>
      </c>
      <c r="D560" s="10"/>
      <c r="E560" s="14">
        <v>30</v>
      </c>
      <c r="F560" s="10"/>
      <c r="G560" s="142" t="s">
        <v>99</v>
      </c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  <c r="BL560" s="10"/>
      <c r="BM560" s="10"/>
      <c r="BN560" s="10"/>
      <c r="BO560" s="10"/>
      <c r="BP560" s="10"/>
      <c r="BQ560" s="10"/>
      <c r="BR560" s="10"/>
      <c r="BS560" s="10"/>
      <c r="BT560" s="10"/>
      <c r="BU560" s="10"/>
      <c r="BV560" s="10"/>
      <c r="BW560" s="10"/>
      <c r="BX560" s="10"/>
      <c r="BY560" s="10"/>
      <c r="BZ560" s="10"/>
      <c r="CA560" s="10"/>
      <c r="CB560" s="10"/>
      <c r="CC560" s="10"/>
      <c r="CD560" s="10"/>
      <c r="CE560" s="10"/>
      <c r="CF560" s="10"/>
      <c r="CG560" s="10"/>
      <c r="CH560" s="10"/>
      <c r="CI560" s="10"/>
      <c r="CJ560" s="10"/>
      <c r="CK560" s="10"/>
      <c r="CL560" s="10"/>
      <c r="CM560" s="10"/>
      <c r="CN560" s="10"/>
      <c r="CO560" s="10"/>
      <c r="CP560" s="10"/>
    </row>
    <row r="561" spans="1:94" ht="15" customHeight="1">
      <c r="A561" s="10"/>
      <c r="B561" s="10"/>
      <c r="C561" s="17" t="s">
        <v>308</v>
      </c>
      <c r="D561" s="10"/>
      <c r="E561" s="14">
        <v>45</v>
      </c>
      <c r="F561" s="10"/>
      <c r="G561" s="142" t="s">
        <v>99</v>
      </c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  <c r="BL561" s="10"/>
      <c r="BM561" s="10"/>
      <c r="BN561" s="10"/>
      <c r="BO561" s="10"/>
      <c r="BP561" s="10"/>
      <c r="BQ561" s="10"/>
      <c r="BR561" s="10"/>
      <c r="BS561" s="10"/>
      <c r="BT561" s="10"/>
      <c r="BU561" s="10"/>
      <c r="BV561" s="10"/>
      <c r="BW561" s="10"/>
      <c r="BX561" s="10"/>
      <c r="BY561" s="10"/>
      <c r="BZ561" s="10"/>
      <c r="CA561" s="10"/>
      <c r="CB561" s="10"/>
      <c r="CC561" s="10"/>
      <c r="CD561" s="10"/>
      <c r="CE561" s="10"/>
      <c r="CF561" s="10"/>
      <c r="CG561" s="10"/>
      <c r="CH561" s="10"/>
      <c r="CI561" s="10"/>
      <c r="CJ561" s="10"/>
      <c r="CK561" s="10"/>
      <c r="CL561" s="10"/>
      <c r="CM561" s="10"/>
      <c r="CN561" s="10"/>
      <c r="CO561" s="10"/>
      <c r="CP561" s="10"/>
    </row>
    <row r="562" spans="1:94" ht="15" customHeight="1">
      <c r="A562" s="10"/>
      <c r="B562" s="10"/>
      <c r="C562" s="10"/>
      <c r="D562" s="10"/>
      <c r="E562" s="10"/>
      <c r="F562" s="10"/>
      <c r="G562" s="11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  <c r="BL562" s="10"/>
      <c r="BM562" s="10"/>
      <c r="BN562" s="10"/>
      <c r="BO562" s="10"/>
      <c r="BP562" s="10"/>
      <c r="BQ562" s="10"/>
      <c r="BR562" s="10"/>
      <c r="BS562" s="10"/>
      <c r="BT562" s="10"/>
      <c r="BU562" s="10"/>
      <c r="BV562" s="10"/>
      <c r="BW562" s="10"/>
      <c r="BX562" s="10"/>
      <c r="BY562" s="10"/>
      <c r="BZ562" s="10"/>
      <c r="CA562" s="10"/>
      <c r="CB562" s="10"/>
      <c r="CC562" s="10"/>
      <c r="CD562" s="10"/>
      <c r="CE562" s="10"/>
      <c r="CF562" s="10"/>
      <c r="CG562" s="10"/>
      <c r="CH562" s="10"/>
      <c r="CI562" s="10"/>
      <c r="CJ562" s="10"/>
      <c r="CK562" s="10"/>
      <c r="CL562" s="10"/>
      <c r="CM562" s="10"/>
      <c r="CN562" s="10"/>
      <c r="CO562" s="10"/>
      <c r="CP562" s="10"/>
    </row>
    <row r="563" spans="1:94" ht="15" customHeight="1">
      <c r="A563" s="10"/>
      <c r="B563" s="10"/>
      <c r="C563" s="10" t="s">
        <v>1204</v>
      </c>
      <c r="D563" s="10"/>
      <c r="E563" s="10"/>
      <c r="F563" s="10"/>
      <c r="G563" s="142" t="str">
        <f>Monetary_Unit</f>
        <v>тыс. руб.</v>
      </c>
      <c r="H563" s="10"/>
      <c r="I563" s="10"/>
      <c r="J563" s="10"/>
      <c r="K563" s="10"/>
      <c r="L563" s="14">
        <v>0</v>
      </c>
      <c r="M563" s="14">
        <v>0</v>
      </c>
      <c r="N563" s="14">
        <v>0</v>
      </c>
      <c r="O563" s="14">
        <v>0</v>
      </c>
      <c r="P563" s="14">
        <v>0</v>
      </c>
      <c r="Q563" s="14">
        <v>0</v>
      </c>
      <c r="R563" s="14">
        <v>0</v>
      </c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  <c r="BL563" s="10"/>
      <c r="BM563" s="10"/>
      <c r="BN563" s="10"/>
      <c r="BO563" s="10"/>
      <c r="BP563" s="10"/>
      <c r="BQ563" s="10"/>
      <c r="BR563" s="10"/>
      <c r="BS563" s="10"/>
      <c r="BT563" s="10"/>
      <c r="BU563" s="10"/>
      <c r="BV563" s="10"/>
      <c r="BW563" s="10"/>
      <c r="BX563" s="10"/>
      <c r="BY563" s="10"/>
      <c r="BZ563" s="10"/>
      <c r="CA563" s="10"/>
      <c r="CB563" s="10"/>
      <c r="CC563" s="10"/>
      <c r="CD563" s="10"/>
      <c r="CE563" s="10"/>
      <c r="CF563" s="10"/>
      <c r="CG563" s="10"/>
      <c r="CH563" s="10"/>
      <c r="CI563" s="10"/>
      <c r="CJ563" s="10"/>
      <c r="CK563" s="10"/>
      <c r="CL563" s="10"/>
      <c r="CM563" s="10"/>
      <c r="CN563" s="10"/>
      <c r="CO563" s="10"/>
      <c r="CP563" s="10"/>
    </row>
    <row r="564" spans="1:94" ht="15" customHeight="1">
      <c r="A564" s="10"/>
      <c r="B564" s="10"/>
      <c r="C564" s="10"/>
      <c r="D564" s="10"/>
      <c r="E564" s="10"/>
      <c r="F564" s="10"/>
      <c r="G564" s="11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  <c r="BL564" s="10"/>
      <c r="BM564" s="10"/>
      <c r="BN564" s="10"/>
      <c r="BO564" s="10"/>
      <c r="BP564" s="10"/>
      <c r="BQ564" s="10"/>
      <c r="BR564" s="10"/>
      <c r="BS564" s="10"/>
      <c r="BT564" s="10"/>
      <c r="BU564" s="10"/>
      <c r="BV564" s="10"/>
      <c r="BW564" s="10"/>
      <c r="BX564" s="10"/>
      <c r="BY564" s="10"/>
      <c r="BZ564" s="10"/>
      <c r="CA564" s="10"/>
      <c r="CB564" s="10"/>
      <c r="CC564" s="10"/>
      <c r="CD564" s="10"/>
      <c r="CE564" s="10"/>
      <c r="CF564" s="10"/>
      <c r="CG564" s="10"/>
      <c r="CH564" s="10"/>
      <c r="CI564" s="10"/>
      <c r="CJ564" s="10"/>
      <c r="CK564" s="10"/>
      <c r="CL564" s="10"/>
      <c r="CM564" s="10"/>
      <c r="CN564" s="10"/>
      <c r="CO564" s="10"/>
      <c r="CP564" s="10"/>
    </row>
    <row r="565" spans="1:94" ht="22.5" customHeight="1">
      <c r="A565" s="10"/>
      <c r="B565" s="5" t="s">
        <v>178</v>
      </c>
      <c r="C565" s="5"/>
      <c r="D565" s="5"/>
      <c r="E565" s="5"/>
      <c r="F565" s="5"/>
      <c r="G565" s="6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  <c r="BM565" s="31"/>
      <c r="BN565" s="31"/>
      <c r="BO565" s="31"/>
      <c r="BP565" s="31"/>
      <c r="BQ565" s="31"/>
      <c r="BR565" s="31"/>
      <c r="BS565" s="31"/>
      <c r="BT565" s="31"/>
      <c r="BU565" s="31"/>
      <c r="BV565" s="31"/>
      <c r="BW565" s="31"/>
      <c r="BX565" s="31"/>
      <c r="BY565" s="31"/>
      <c r="BZ565" s="31"/>
      <c r="CA565" s="31"/>
      <c r="CB565" s="31"/>
      <c r="CC565" s="31"/>
      <c r="CD565" s="31"/>
      <c r="CE565" s="31"/>
      <c r="CF565" s="31"/>
      <c r="CG565" s="31"/>
      <c r="CH565" s="31"/>
      <c r="CI565" s="31"/>
      <c r="CJ565" s="31"/>
      <c r="CK565" s="31"/>
      <c r="CL565" s="31"/>
      <c r="CM565" s="31"/>
      <c r="CN565" s="31"/>
      <c r="CO565" s="31"/>
      <c r="CP565" s="10"/>
    </row>
    <row r="566" spans="1:94">
      <c r="A566" s="10"/>
      <c r="B566" s="10"/>
      <c r="C566" s="10"/>
      <c r="D566" s="10"/>
      <c r="E566" s="3"/>
      <c r="F566" s="3"/>
      <c r="G566" s="203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  <c r="BL566" s="10"/>
      <c r="BM566" s="10"/>
      <c r="BN566" s="10"/>
      <c r="BO566" s="10"/>
      <c r="BP566" s="10"/>
      <c r="BQ566" s="10"/>
      <c r="BR566" s="10"/>
      <c r="BS566" s="10"/>
      <c r="BT566" s="10"/>
      <c r="BU566" s="10"/>
      <c r="BV566" s="10"/>
      <c r="BW566" s="10"/>
      <c r="BX566" s="10"/>
      <c r="BY566" s="10"/>
      <c r="BZ566" s="10"/>
      <c r="CA566" s="10"/>
      <c r="CB566" s="10"/>
      <c r="CC566" s="10"/>
      <c r="CD566" s="10"/>
      <c r="CE566" s="10"/>
      <c r="CF566" s="10"/>
      <c r="CG566" s="10"/>
      <c r="CH566" s="10"/>
      <c r="CI566" s="10"/>
      <c r="CJ566" s="10"/>
      <c r="CK566" s="10"/>
      <c r="CL566" s="10"/>
      <c r="CM566" s="10"/>
      <c r="CN566" s="10"/>
      <c r="CO566" s="10"/>
      <c r="CP566" s="10"/>
    </row>
    <row r="567" spans="1:94" ht="16" thickBot="1">
      <c r="A567" s="10"/>
      <c r="B567" s="10"/>
      <c r="C567" s="12" t="s">
        <v>178</v>
      </c>
      <c r="D567" s="12"/>
      <c r="E567" s="12"/>
      <c r="F567" s="12"/>
      <c r="G567" s="12"/>
      <c r="H567" s="12"/>
      <c r="I567" s="12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  <c r="BL567" s="10"/>
      <c r="BM567" s="10"/>
      <c r="BN567" s="10"/>
      <c r="BO567" s="10"/>
      <c r="BP567" s="10"/>
      <c r="BQ567" s="10"/>
      <c r="BR567" s="10"/>
      <c r="BS567" s="10"/>
      <c r="BT567" s="10"/>
      <c r="BU567" s="10"/>
      <c r="BV567" s="10"/>
      <c r="BW567" s="10"/>
      <c r="BX567" s="10"/>
      <c r="BY567" s="10"/>
      <c r="BZ567" s="10"/>
      <c r="CA567" s="10"/>
      <c r="CB567" s="10"/>
      <c r="CC567" s="10"/>
      <c r="CD567" s="10"/>
      <c r="CE567" s="10"/>
      <c r="CF567" s="10"/>
      <c r="CG567" s="10"/>
      <c r="CH567" s="10"/>
      <c r="CI567" s="10"/>
      <c r="CJ567" s="10"/>
      <c r="CK567" s="10"/>
      <c r="CL567" s="10"/>
      <c r="CM567" s="10"/>
      <c r="CN567" s="10"/>
      <c r="CO567" s="10"/>
      <c r="CP567" s="10"/>
    </row>
    <row r="568" spans="1:94">
      <c r="A568" s="10"/>
      <c r="B568" s="10"/>
      <c r="C568" s="10"/>
      <c r="D568" s="10"/>
      <c r="E568" s="3"/>
      <c r="F568" s="3"/>
      <c r="G568" s="203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  <c r="BL568" s="10"/>
      <c r="BM568" s="10"/>
      <c r="BN568" s="10"/>
      <c r="BO568" s="10"/>
      <c r="BP568" s="10"/>
      <c r="BQ568" s="10"/>
      <c r="BR568" s="10"/>
      <c r="BS568" s="10"/>
      <c r="BT568" s="10"/>
      <c r="BU568" s="10"/>
      <c r="BV568" s="10"/>
      <c r="BW568" s="10"/>
      <c r="BX568" s="10"/>
      <c r="BY568" s="10"/>
      <c r="BZ568" s="10"/>
      <c r="CA568" s="10"/>
      <c r="CB568" s="10"/>
      <c r="CC568" s="10"/>
      <c r="CD568" s="10"/>
      <c r="CE568" s="10"/>
      <c r="CF568" s="10"/>
      <c r="CG568" s="10"/>
      <c r="CH568" s="10"/>
      <c r="CI568" s="10"/>
      <c r="CJ568" s="10"/>
      <c r="CK568" s="10"/>
      <c r="CL568" s="10"/>
      <c r="CM568" s="10"/>
      <c r="CN568" s="10"/>
      <c r="CO568" s="10"/>
      <c r="CP568" s="10"/>
    </row>
    <row r="569" spans="1:94">
      <c r="A569" s="10"/>
      <c r="B569" s="10"/>
      <c r="C569" s="21" t="s">
        <v>309</v>
      </c>
      <c r="D569" s="10"/>
      <c r="E569" s="216">
        <f xml:space="preserve"> Контр_панель!J115</f>
        <v>0.8</v>
      </c>
      <c r="F569" s="3"/>
      <c r="G569" s="142" t="s">
        <v>28</v>
      </c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  <c r="BL569" s="10"/>
      <c r="BM569" s="10"/>
      <c r="BN569" s="10"/>
      <c r="BO569" s="10"/>
      <c r="BP569" s="10"/>
      <c r="BQ569" s="10"/>
      <c r="BR569" s="10"/>
      <c r="BS569" s="10"/>
      <c r="BT569" s="10"/>
      <c r="BU569" s="10"/>
      <c r="BV569" s="10"/>
      <c r="BW569" s="10"/>
      <c r="BX569" s="10"/>
      <c r="BY569" s="10"/>
      <c r="BZ569" s="10"/>
      <c r="CA569" s="10"/>
      <c r="CB569" s="10"/>
      <c r="CC569" s="10"/>
      <c r="CD569" s="10"/>
      <c r="CE569" s="10"/>
      <c r="CF569" s="10"/>
      <c r="CG569" s="10"/>
      <c r="CH569" s="10"/>
      <c r="CI569" s="10"/>
      <c r="CJ569" s="10"/>
      <c r="CK569" s="10"/>
      <c r="CL569" s="10"/>
      <c r="CM569" s="10"/>
      <c r="CN569" s="10"/>
      <c r="CO569" s="10"/>
      <c r="CP569" s="10"/>
    </row>
    <row r="570" spans="1:94">
      <c r="A570" s="10"/>
      <c r="B570" s="10"/>
      <c r="C570" s="21"/>
      <c r="D570" s="21"/>
      <c r="E570" s="21"/>
      <c r="F570" s="21"/>
      <c r="G570" s="11"/>
      <c r="H570" s="21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  <c r="BL570" s="10"/>
      <c r="BM570" s="10"/>
      <c r="BN570" s="10"/>
      <c r="BO570" s="10"/>
      <c r="BP570" s="10"/>
      <c r="BQ570" s="10"/>
      <c r="BR570" s="10"/>
      <c r="BS570" s="10"/>
      <c r="BT570" s="10"/>
      <c r="BU570" s="10"/>
      <c r="BV570" s="10"/>
      <c r="BW570" s="10"/>
      <c r="BX570" s="10"/>
      <c r="BY570" s="10"/>
      <c r="BZ570" s="10"/>
      <c r="CA570" s="10"/>
      <c r="CB570" s="10"/>
      <c r="CC570" s="10"/>
      <c r="CD570" s="10"/>
      <c r="CE570" s="10"/>
      <c r="CF570" s="10"/>
      <c r="CG570" s="10"/>
      <c r="CH570" s="10"/>
      <c r="CI570" s="10"/>
      <c r="CJ570" s="10"/>
      <c r="CK570" s="10"/>
      <c r="CL570" s="10"/>
      <c r="CM570" s="10"/>
      <c r="CN570" s="10"/>
      <c r="CO570" s="10"/>
      <c r="CP570" s="10"/>
    </row>
    <row r="571" spans="1:94">
      <c r="A571" s="10"/>
      <c r="B571" s="10"/>
      <c r="C571" s="21" t="s">
        <v>1235</v>
      </c>
      <c r="D571" s="10"/>
      <c r="E571" s="11">
        <f>(C571=Контр_панель!$H$125)*1</f>
        <v>1</v>
      </c>
      <c r="F571" s="10"/>
      <c r="G571" s="11" t="s">
        <v>347</v>
      </c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  <c r="BL571" s="10"/>
      <c r="BM571" s="10"/>
      <c r="BN571" s="10"/>
      <c r="BO571" s="10"/>
      <c r="BP571" s="10"/>
      <c r="BQ571" s="10"/>
      <c r="BR571" s="10"/>
      <c r="BS571" s="10"/>
      <c r="BT571" s="10"/>
      <c r="BU571" s="10"/>
      <c r="BV571" s="10"/>
      <c r="BW571" s="10"/>
      <c r="BX571" s="10"/>
      <c r="BY571" s="10"/>
      <c r="BZ571" s="10"/>
      <c r="CA571" s="10"/>
      <c r="CB571" s="10"/>
      <c r="CC571" s="10"/>
      <c r="CD571" s="10"/>
      <c r="CE571" s="10"/>
      <c r="CF571" s="10"/>
      <c r="CG571" s="10"/>
      <c r="CH571" s="10"/>
      <c r="CI571" s="10"/>
      <c r="CJ571" s="10"/>
      <c r="CK571" s="10"/>
      <c r="CL571" s="10"/>
      <c r="CM571" s="10"/>
      <c r="CN571" s="10"/>
      <c r="CO571" s="10"/>
      <c r="CP571" s="10"/>
    </row>
    <row r="572" spans="1:94">
      <c r="A572" s="10"/>
      <c r="B572" s="10"/>
      <c r="C572" s="21" t="s">
        <v>503</v>
      </c>
      <c r="D572" s="10"/>
      <c r="E572" s="11">
        <f>(C572=Контр_панель!$H$125)*1</f>
        <v>0</v>
      </c>
      <c r="F572" s="10"/>
      <c r="G572" s="11" t="s">
        <v>347</v>
      </c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  <c r="BL572" s="10"/>
      <c r="BM572" s="10"/>
      <c r="BN572" s="10"/>
      <c r="BO572" s="10"/>
      <c r="BP572" s="10"/>
      <c r="BQ572" s="10"/>
      <c r="BR572" s="10"/>
      <c r="BS572" s="10"/>
      <c r="BT572" s="10"/>
      <c r="BU572" s="10"/>
      <c r="BV572" s="10"/>
      <c r="BW572" s="10"/>
      <c r="BX572" s="10"/>
      <c r="BY572" s="10"/>
      <c r="BZ572" s="10"/>
      <c r="CA572" s="10"/>
      <c r="CB572" s="10"/>
      <c r="CC572" s="10"/>
      <c r="CD572" s="10"/>
      <c r="CE572" s="10"/>
      <c r="CF572" s="10"/>
      <c r="CG572" s="10"/>
      <c r="CH572" s="10"/>
      <c r="CI572" s="10"/>
      <c r="CJ572" s="10"/>
      <c r="CK572" s="10"/>
      <c r="CL572" s="10"/>
      <c r="CM572" s="10"/>
      <c r="CN572" s="10"/>
      <c r="CO572" s="10"/>
      <c r="CP572" s="10"/>
    </row>
    <row r="573" spans="1:94">
      <c r="A573" s="10"/>
      <c r="B573" s="10"/>
      <c r="C573" s="21"/>
      <c r="D573" s="10"/>
      <c r="E573" s="11"/>
      <c r="F573" s="10"/>
      <c r="G573" s="11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  <c r="BI573" s="10"/>
      <c r="BJ573" s="10"/>
      <c r="BK573" s="10"/>
      <c r="BL573" s="10"/>
      <c r="BM573" s="10"/>
      <c r="BN573" s="10"/>
      <c r="BO573" s="10"/>
      <c r="BP573" s="10"/>
      <c r="BQ573" s="10"/>
      <c r="BR573" s="10"/>
      <c r="BS573" s="10"/>
      <c r="BT573" s="10"/>
      <c r="BU573" s="10"/>
      <c r="BV573" s="10"/>
      <c r="BW573" s="10"/>
      <c r="BX573" s="10"/>
      <c r="BY573" s="10"/>
      <c r="BZ573" s="10"/>
      <c r="CA573" s="10"/>
      <c r="CB573" s="10"/>
      <c r="CC573" s="10"/>
      <c r="CD573" s="10"/>
      <c r="CE573" s="10"/>
      <c r="CF573" s="10"/>
      <c r="CG573" s="10"/>
      <c r="CH573" s="10"/>
      <c r="CI573" s="10"/>
      <c r="CJ573" s="10"/>
      <c r="CK573" s="10"/>
      <c r="CL573" s="10"/>
      <c r="CM573" s="10"/>
      <c r="CN573" s="10"/>
      <c r="CO573" s="10"/>
      <c r="CP573" s="10"/>
    </row>
    <row r="574" spans="1:94">
      <c r="A574" s="10"/>
      <c r="B574" s="10"/>
      <c r="C574" s="21" t="s">
        <v>506</v>
      </c>
      <c r="D574" s="10"/>
      <c r="E574" s="65">
        <f>E571*1+E572*2</f>
        <v>1</v>
      </c>
      <c r="F574" s="10"/>
      <c r="G574" s="11" t="s">
        <v>504</v>
      </c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  <c r="BL574" s="10"/>
      <c r="BM574" s="10"/>
      <c r="BN574" s="10"/>
      <c r="BO574" s="10"/>
      <c r="BP574" s="10"/>
      <c r="BQ574" s="10"/>
      <c r="BR574" s="10"/>
      <c r="BS574" s="10"/>
      <c r="BT574" s="10"/>
      <c r="BU574" s="10"/>
      <c r="BV574" s="10"/>
      <c r="BW574" s="10"/>
      <c r="BX574" s="10"/>
      <c r="BY574" s="10"/>
      <c r="BZ574" s="10"/>
      <c r="CA574" s="10"/>
      <c r="CB574" s="10"/>
      <c r="CC574" s="10"/>
      <c r="CD574" s="10"/>
      <c r="CE574" s="10"/>
      <c r="CF574" s="10"/>
      <c r="CG574" s="10"/>
      <c r="CH574" s="10"/>
      <c r="CI574" s="10"/>
      <c r="CJ574" s="10"/>
      <c r="CK574" s="10"/>
      <c r="CL574" s="10"/>
      <c r="CM574" s="10"/>
      <c r="CN574" s="10"/>
      <c r="CO574" s="10"/>
      <c r="CP574" s="10"/>
    </row>
    <row r="575" spans="1:94">
      <c r="A575" s="10"/>
      <c r="B575" s="10"/>
      <c r="C575" s="21"/>
      <c r="D575" s="21"/>
      <c r="E575" s="21"/>
      <c r="F575" s="21"/>
      <c r="G575" s="11"/>
      <c r="H575" s="21"/>
      <c r="I575" s="21"/>
      <c r="J575" s="21"/>
      <c r="K575" s="21"/>
      <c r="L575" s="21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  <c r="BI575" s="10"/>
      <c r="BJ575" s="10"/>
      <c r="BK575" s="10"/>
      <c r="BL575" s="10"/>
      <c r="BM575" s="10"/>
      <c r="BN575" s="10"/>
      <c r="BO575" s="10"/>
      <c r="BP575" s="10"/>
      <c r="BQ575" s="10"/>
      <c r="BR575" s="10"/>
      <c r="BS575" s="10"/>
      <c r="BT575" s="10"/>
      <c r="BU575" s="10"/>
      <c r="BV575" s="10"/>
      <c r="BW575" s="10"/>
      <c r="BX575" s="10"/>
      <c r="BY575" s="10"/>
      <c r="BZ575" s="10"/>
      <c r="CA575" s="10"/>
      <c r="CB575" s="10"/>
      <c r="CC575" s="10"/>
      <c r="CD575" s="10"/>
      <c r="CE575" s="10"/>
      <c r="CF575" s="10"/>
      <c r="CG575" s="10"/>
      <c r="CH575" s="10"/>
      <c r="CI575" s="10"/>
      <c r="CJ575" s="10"/>
      <c r="CK575" s="10"/>
      <c r="CL575" s="10"/>
      <c r="CM575" s="10"/>
      <c r="CN575" s="10"/>
      <c r="CO575" s="10"/>
      <c r="CP575" s="10"/>
    </row>
    <row r="576" spans="1:94">
      <c r="A576" s="10"/>
      <c r="B576" s="10"/>
      <c r="C576" s="32" t="s">
        <v>515</v>
      </c>
      <c r="D576" s="21"/>
      <c r="E576" s="21"/>
      <c r="F576" s="21"/>
      <c r="G576" s="11"/>
      <c r="H576" s="21"/>
      <c r="I576" s="21"/>
      <c r="J576" s="21"/>
      <c r="K576" s="21"/>
      <c r="L576" s="21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  <c r="BI576" s="10"/>
      <c r="BJ576" s="10"/>
      <c r="BK576" s="10"/>
      <c r="BL576" s="10"/>
      <c r="BM576" s="10"/>
      <c r="BN576" s="10"/>
      <c r="BO576" s="10"/>
      <c r="BP576" s="10"/>
      <c r="BQ576" s="10"/>
      <c r="BR576" s="10"/>
      <c r="BS576" s="10"/>
      <c r="BT576" s="10"/>
      <c r="BU576" s="10"/>
      <c r="BV576" s="10"/>
      <c r="BW576" s="10"/>
      <c r="BX576" s="10"/>
      <c r="BY576" s="10"/>
      <c r="BZ576" s="10"/>
      <c r="CA576" s="10"/>
      <c r="CB576" s="10"/>
      <c r="CC576" s="10"/>
      <c r="CD576" s="10"/>
      <c r="CE576" s="10"/>
      <c r="CF576" s="10"/>
      <c r="CG576" s="10"/>
      <c r="CH576" s="10"/>
      <c r="CI576" s="10"/>
      <c r="CJ576" s="10"/>
      <c r="CK576" s="10"/>
      <c r="CL576" s="10"/>
      <c r="CM576" s="10"/>
      <c r="CN576" s="10"/>
      <c r="CO576" s="10"/>
      <c r="CP576" s="10"/>
    </row>
    <row r="577" spans="1:94">
      <c r="A577" s="10"/>
      <c r="B577" s="10"/>
      <c r="C577" s="21" t="s">
        <v>517</v>
      </c>
      <c r="D577" s="21"/>
      <c r="E577" s="11">
        <f>(C577=Контр_панель!$I$126)*1</f>
        <v>1</v>
      </c>
      <c r="F577" s="10"/>
      <c r="G577" s="11" t="s">
        <v>347</v>
      </c>
      <c r="H577" s="21"/>
      <c r="I577" s="21"/>
      <c r="J577" s="21"/>
      <c r="K577" s="21"/>
      <c r="L577" s="21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  <c r="BI577" s="10"/>
      <c r="BJ577" s="10"/>
      <c r="BK577" s="10"/>
      <c r="BL577" s="10"/>
      <c r="BM577" s="10"/>
      <c r="BN577" s="10"/>
      <c r="BO577" s="10"/>
      <c r="BP577" s="10"/>
      <c r="BQ577" s="10"/>
      <c r="BR577" s="10"/>
      <c r="BS577" s="10"/>
      <c r="BT577" s="10"/>
      <c r="BU577" s="10"/>
      <c r="BV577" s="10"/>
      <c r="BW577" s="10"/>
      <c r="BX577" s="10"/>
      <c r="BY577" s="10"/>
      <c r="BZ577" s="10"/>
      <c r="CA577" s="10"/>
      <c r="CB577" s="10"/>
      <c r="CC577" s="10"/>
      <c r="CD577" s="10"/>
      <c r="CE577" s="10"/>
      <c r="CF577" s="10"/>
      <c r="CG577" s="10"/>
      <c r="CH577" s="10"/>
      <c r="CI577" s="10"/>
      <c r="CJ577" s="10"/>
      <c r="CK577" s="10"/>
      <c r="CL577" s="10"/>
      <c r="CM577" s="10"/>
      <c r="CN577" s="10"/>
      <c r="CO577" s="10"/>
      <c r="CP577" s="10"/>
    </row>
    <row r="578" spans="1:94">
      <c r="A578" s="10"/>
      <c r="B578" s="10"/>
      <c r="C578" s="21" t="s">
        <v>518</v>
      </c>
      <c r="D578" s="21"/>
      <c r="E578" s="11">
        <f>(C578=Контр_панель!$I$126)*1</f>
        <v>0</v>
      </c>
      <c r="F578" s="10"/>
      <c r="G578" s="11" t="s">
        <v>347</v>
      </c>
      <c r="H578" s="21"/>
      <c r="I578" s="21"/>
      <c r="J578" s="21"/>
      <c r="K578" s="21"/>
      <c r="L578" s="21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  <c r="BI578" s="10"/>
      <c r="BJ578" s="10"/>
      <c r="BK578" s="10"/>
      <c r="BL578" s="10"/>
      <c r="BM578" s="10"/>
      <c r="BN578" s="10"/>
      <c r="BO578" s="10"/>
      <c r="BP578" s="10"/>
      <c r="BQ578" s="10"/>
      <c r="BR578" s="10"/>
      <c r="BS578" s="10"/>
      <c r="BT578" s="10"/>
      <c r="BU578" s="10"/>
      <c r="BV578" s="10"/>
      <c r="BW578" s="10"/>
      <c r="BX578" s="10"/>
      <c r="BY578" s="10"/>
      <c r="BZ578" s="10"/>
      <c r="CA578" s="10"/>
      <c r="CB578" s="10"/>
      <c r="CC578" s="10"/>
      <c r="CD578" s="10"/>
      <c r="CE578" s="10"/>
      <c r="CF578" s="10"/>
      <c r="CG578" s="10"/>
      <c r="CH578" s="10"/>
      <c r="CI578" s="10"/>
      <c r="CJ578" s="10"/>
      <c r="CK578" s="10"/>
      <c r="CL578" s="10"/>
      <c r="CM578" s="10"/>
      <c r="CN578" s="10"/>
      <c r="CO578" s="10"/>
      <c r="CP578" s="10"/>
    </row>
    <row r="579" spans="1:94">
      <c r="A579" s="10"/>
      <c r="B579" s="10"/>
      <c r="C579" s="21"/>
      <c r="D579" s="21"/>
      <c r="E579" s="11"/>
      <c r="F579" s="10"/>
      <c r="G579" s="11"/>
      <c r="H579" s="21"/>
      <c r="I579" s="21"/>
      <c r="J579" s="21"/>
      <c r="K579" s="21"/>
      <c r="L579" s="21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  <c r="BL579" s="10"/>
      <c r="BM579" s="10"/>
      <c r="BN579" s="10"/>
      <c r="BO579" s="10"/>
      <c r="BP579" s="10"/>
      <c r="BQ579" s="10"/>
      <c r="BR579" s="10"/>
      <c r="BS579" s="10"/>
      <c r="BT579" s="10"/>
      <c r="BU579" s="10"/>
      <c r="BV579" s="10"/>
      <c r="BW579" s="10"/>
      <c r="BX579" s="10"/>
      <c r="BY579" s="10"/>
      <c r="BZ579" s="10"/>
      <c r="CA579" s="10"/>
      <c r="CB579" s="10"/>
      <c r="CC579" s="10"/>
      <c r="CD579" s="10"/>
      <c r="CE579" s="10"/>
      <c r="CF579" s="10"/>
      <c r="CG579" s="10"/>
      <c r="CH579" s="10"/>
      <c r="CI579" s="10"/>
      <c r="CJ579" s="10"/>
      <c r="CK579" s="10"/>
      <c r="CL579" s="10"/>
      <c r="CM579" s="10"/>
      <c r="CN579" s="10"/>
      <c r="CO579" s="10"/>
      <c r="CP579" s="10"/>
    </row>
    <row r="580" spans="1:94">
      <c r="A580" s="10"/>
      <c r="B580" s="10"/>
      <c r="C580" s="21" t="s">
        <v>516</v>
      </c>
      <c r="D580" s="10"/>
      <c r="E580" s="65">
        <f>E577*1+E578*2</f>
        <v>1</v>
      </c>
      <c r="F580" s="10"/>
      <c r="G580" s="11" t="s">
        <v>504</v>
      </c>
      <c r="H580" s="21"/>
      <c r="I580" s="21"/>
      <c r="J580" s="21"/>
      <c r="K580" s="21"/>
      <c r="L580" s="21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  <c r="BI580" s="10"/>
      <c r="BJ580" s="10"/>
      <c r="BK580" s="10"/>
      <c r="BL580" s="10"/>
      <c r="BM580" s="10"/>
      <c r="BN580" s="10"/>
      <c r="BO580" s="10"/>
      <c r="BP580" s="10"/>
      <c r="BQ580" s="10"/>
      <c r="BR580" s="10"/>
      <c r="BS580" s="10"/>
      <c r="BT580" s="10"/>
      <c r="BU580" s="10"/>
      <c r="BV580" s="10"/>
      <c r="BW580" s="10"/>
      <c r="BX580" s="10"/>
      <c r="BY580" s="10"/>
      <c r="BZ580" s="10"/>
      <c r="CA580" s="10"/>
      <c r="CB580" s="10"/>
      <c r="CC580" s="10"/>
      <c r="CD580" s="10"/>
      <c r="CE580" s="10"/>
      <c r="CF580" s="10"/>
      <c r="CG580" s="10"/>
      <c r="CH580" s="10"/>
      <c r="CI580" s="10"/>
      <c r="CJ580" s="10"/>
      <c r="CK580" s="10"/>
      <c r="CL580" s="10"/>
      <c r="CM580" s="10"/>
      <c r="CN580" s="10"/>
      <c r="CO580" s="10"/>
      <c r="CP580" s="10"/>
    </row>
    <row r="581" spans="1:94">
      <c r="A581" s="10"/>
      <c r="B581" s="10"/>
      <c r="C581" s="10"/>
      <c r="D581" s="10"/>
      <c r="E581" s="3"/>
      <c r="F581" s="3"/>
      <c r="G581" s="203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  <c r="BI581" s="10"/>
      <c r="BJ581" s="10"/>
      <c r="BK581" s="10"/>
      <c r="BL581" s="10"/>
      <c r="BM581" s="10"/>
      <c r="BN581" s="10"/>
      <c r="BO581" s="10"/>
      <c r="BP581" s="10"/>
      <c r="BQ581" s="10"/>
      <c r="BR581" s="10"/>
      <c r="BS581" s="10"/>
      <c r="BT581" s="10"/>
      <c r="BU581" s="10"/>
      <c r="BV581" s="10"/>
      <c r="BW581" s="10"/>
      <c r="BX581" s="10"/>
      <c r="BY581" s="10"/>
      <c r="BZ581" s="10"/>
      <c r="CA581" s="10"/>
      <c r="CB581" s="10"/>
      <c r="CC581" s="10"/>
      <c r="CD581" s="10"/>
      <c r="CE581" s="10"/>
      <c r="CF581" s="10"/>
      <c r="CG581" s="10"/>
      <c r="CH581" s="10"/>
      <c r="CI581" s="10"/>
      <c r="CJ581" s="10"/>
      <c r="CK581" s="10"/>
      <c r="CL581" s="10"/>
      <c r="CM581" s="10"/>
      <c r="CN581" s="10"/>
      <c r="CO581" s="10"/>
      <c r="CP581" s="10"/>
    </row>
    <row r="582" spans="1:94" ht="15" customHeight="1" thickBot="1">
      <c r="A582" s="10"/>
      <c r="B582" s="10"/>
      <c r="C582" s="12" t="s">
        <v>162</v>
      </c>
      <c r="D582" s="12"/>
      <c r="E582" s="12"/>
      <c r="F582" s="12"/>
      <c r="G582" s="12"/>
      <c r="H582" s="12"/>
      <c r="I582" s="12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  <c r="BI582" s="10"/>
      <c r="BJ582" s="10"/>
      <c r="BK582" s="10"/>
      <c r="BL582" s="10"/>
      <c r="BM582" s="10"/>
      <c r="BN582" s="10"/>
      <c r="BO582" s="10"/>
      <c r="BP582" s="10"/>
      <c r="BQ582" s="10"/>
      <c r="BR582" s="10"/>
      <c r="BS582" s="10"/>
      <c r="BT582" s="10"/>
      <c r="BU582" s="10"/>
      <c r="BV582" s="10"/>
      <c r="BW582" s="10"/>
      <c r="BX582" s="10"/>
      <c r="BY582" s="10"/>
      <c r="BZ582" s="10"/>
      <c r="CA582" s="10"/>
      <c r="CB582" s="10"/>
      <c r="CC582" s="10"/>
      <c r="CD582" s="10"/>
      <c r="CE582" s="10"/>
      <c r="CF582" s="10"/>
      <c r="CG582" s="10"/>
      <c r="CH582" s="10"/>
      <c r="CI582" s="10"/>
      <c r="CJ582" s="10"/>
      <c r="CK582" s="10"/>
      <c r="CL582" s="10"/>
      <c r="CM582" s="10"/>
      <c r="CN582" s="10"/>
      <c r="CO582" s="10"/>
      <c r="CP582" s="10"/>
    </row>
    <row r="583" spans="1:94" ht="15" customHeight="1">
      <c r="A583" s="10"/>
      <c r="B583" s="10"/>
      <c r="C583" s="10"/>
      <c r="D583" s="10"/>
      <c r="E583" s="10"/>
      <c r="F583" s="3"/>
      <c r="G583" s="14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0"/>
      <c r="BP583" s="10"/>
      <c r="BQ583" s="10"/>
      <c r="BR583" s="10"/>
      <c r="BS583" s="10"/>
      <c r="BT583" s="10"/>
      <c r="BU583" s="10"/>
      <c r="BV583" s="10"/>
      <c r="BW583" s="10"/>
      <c r="BX583" s="10"/>
      <c r="BY583" s="10"/>
      <c r="BZ583" s="10"/>
      <c r="CA583" s="10"/>
      <c r="CB583" s="10"/>
      <c r="CC583" s="10"/>
      <c r="CD583" s="10"/>
      <c r="CE583" s="10"/>
      <c r="CF583" s="10"/>
      <c r="CG583" s="10"/>
      <c r="CH583" s="10"/>
      <c r="CI583" s="10"/>
      <c r="CJ583" s="10"/>
      <c r="CK583" s="10"/>
      <c r="CL583" s="10"/>
      <c r="CM583" s="10"/>
      <c r="CN583" s="10"/>
      <c r="CO583" s="10"/>
      <c r="CP583" s="10"/>
    </row>
    <row r="584" spans="1:94" ht="15" customHeight="1">
      <c r="A584" s="10"/>
      <c r="B584" s="10"/>
      <c r="C584" s="21" t="s">
        <v>186</v>
      </c>
      <c r="D584" s="10"/>
      <c r="E584" s="71">
        <f>Date_Construction_Start</f>
        <v>45658</v>
      </c>
      <c r="F584" s="3"/>
      <c r="G584" s="142" t="s">
        <v>31</v>
      </c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0"/>
      <c r="CA584" s="10"/>
      <c r="CB584" s="10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</row>
    <row r="585" spans="1:94" ht="15" customHeight="1">
      <c r="A585" s="10"/>
      <c r="B585" s="10"/>
      <c r="C585" s="21" t="s">
        <v>187</v>
      </c>
      <c r="D585" s="10"/>
      <c r="E585" s="14">
        <v>12</v>
      </c>
      <c r="F585" s="3"/>
      <c r="G585" s="142" t="s">
        <v>123</v>
      </c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  <c r="BI585" s="10"/>
      <c r="BJ585" s="10"/>
      <c r="BK585" s="10"/>
      <c r="BL585" s="10"/>
      <c r="BM585" s="10"/>
      <c r="BN585" s="10"/>
      <c r="BO585" s="10"/>
      <c r="BP585" s="10"/>
      <c r="BQ585" s="10"/>
      <c r="BR585" s="10"/>
      <c r="BS585" s="10"/>
      <c r="BT585" s="10"/>
      <c r="BU585" s="10"/>
      <c r="BV585" s="10"/>
      <c r="BW585" s="10"/>
      <c r="BX585" s="10"/>
      <c r="BY585" s="10"/>
      <c r="BZ585" s="10"/>
      <c r="CA585" s="10"/>
      <c r="CB585" s="10"/>
      <c r="CC585" s="10"/>
      <c r="CD585" s="10"/>
      <c r="CE585" s="10"/>
      <c r="CF585" s="10"/>
      <c r="CG585" s="10"/>
      <c r="CH585" s="10"/>
      <c r="CI585" s="10"/>
      <c r="CJ585" s="10"/>
      <c r="CK585" s="10"/>
      <c r="CL585" s="10"/>
      <c r="CM585" s="10"/>
      <c r="CN585" s="10"/>
      <c r="CO585" s="10"/>
      <c r="CP585" s="10"/>
    </row>
    <row r="586" spans="1:94" ht="15" customHeight="1">
      <c r="A586" s="10"/>
      <c r="B586" s="10"/>
      <c r="C586" s="21" t="s">
        <v>188</v>
      </c>
      <c r="D586" s="10"/>
      <c r="E586" s="481">
        <f>INT(DATEDIF(E584,Date_Construction_End,"M")/3)</f>
        <v>16</v>
      </c>
      <c r="F586" s="3"/>
      <c r="G586" s="142" t="s">
        <v>1180</v>
      </c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  <c r="BI586" s="10"/>
      <c r="BJ586" s="10"/>
      <c r="BK586" s="10"/>
      <c r="BL586" s="10"/>
      <c r="BM586" s="10"/>
      <c r="BN586" s="10"/>
      <c r="BO586" s="10"/>
      <c r="BP586" s="10"/>
      <c r="BQ586" s="10"/>
      <c r="BR586" s="10"/>
      <c r="BS586" s="10"/>
      <c r="BT586" s="10"/>
      <c r="BU586" s="10"/>
      <c r="BV586" s="10"/>
      <c r="BW586" s="10"/>
      <c r="BX586" s="10"/>
      <c r="BY586" s="10"/>
      <c r="BZ586" s="10"/>
      <c r="CA586" s="10"/>
      <c r="CB586" s="10"/>
      <c r="CC586" s="10"/>
      <c r="CD586" s="10"/>
      <c r="CE586" s="10"/>
      <c r="CF586" s="10"/>
      <c r="CG586" s="10"/>
      <c r="CH586" s="10"/>
      <c r="CI586" s="10"/>
      <c r="CJ586" s="10"/>
      <c r="CK586" s="10"/>
      <c r="CL586" s="10"/>
      <c r="CM586" s="10"/>
      <c r="CN586" s="10"/>
      <c r="CO586" s="10"/>
      <c r="CP586" s="10"/>
    </row>
    <row r="587" spans="1:94" ht="15" customHeight="1">
      <c r="A587" s="10"/>
      <c r="B587" s="10"/>
      <c r="C587" s="21" t="s">
        <v>189</v>
      </c>
      <c r="D587" s="10"/>
      <c r="E587" s="14">
        <v>0</v>
      </c>
      <c r="F587" s="3"/>
      <c r="G587" s="142" t="s">
        <v>1180</v>
      </c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  <c r="BI587" s="10"/>
      <c r="BJ587" s="10"/>
      <c r="BK587" s="10"/>
      <c r="BL587" s="10"/>
      <c r="BM587" s="10"/>
      <c r="BN587" s="10"/>
      <c r="BO587" s="10"/>
      <c r="BP587" s="10"/>
      <c r="BQ587" s="10"/>
      <c r="BR587" s="10"/>
      <c r="BS587" s="10"/>
      <c r="BT587" s="10"/>
      <c r="BU587" s="10"/>
      <c r="BV587" s="10"/>
      <c r="BW587" s="10"/>
      <c r="BX587" s="10"/>
      <c r="BY587" s="10"/>
      <c r="BZ587" s="10"/>
      <c r="CA587" s="10"/>
      <c r="CB587" s="10"/>
      <c r="CC587" s="10"/>
      <c r="CD587" s="10"/>
      <c r="CE587" s="10"/>
      <c r="CF587" s="10"/>
      <c r="CG587" s="10"/>
      <c r="CH587" s="10"/>
      <c r="CI587" s="10"/>
      <c r="CJ587" s="10"/>
      <c r="CK587" s="10"/>
      <c r="CL587" s="10"/>
      <c r="CM587" s="10"/>
      <c r="CN587" s="10"/>
      <c r="CO587" s="10"/>
      <c r="CP587" s="10"/>
    </row>
    <row r="588" spans="1:94" ht="15" customHeight="1">
      <c r="A588" s="10"/>
      <c r="B588" s="10"/>
      <c r="C588" s="21" t="s">
        <v>190</v>
      </c>
      <c r="D588" s="10"/>
      <c r="E588" s="71">
        <f>MAX(EOMONTH(E584,E586*3),Date_Operations_Start)</f>
        <v>47209</v>
      </c>
      <c r="F588" s="3"/>
      <c r="G588" s="142" t="s">
        <v>31</v>
      </c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  <c r="BI588" s="10"/>
      <c r="BJ588" s="10"/>
      <c r="BK588" s="10"/>
      <c r="BL588" s="10"/>
      <c r="BM588" s="10"/>
      <c r="BN588" s="10"/>
      <c r="BO588" s="10"/>
      <c r="BP588" s="10"/>
      <c r="BQ588" s="10"/>
      <c r="BR588" s="10"/>
      <c r="BS588" s="10"/>
      <c r="BT588" s="10"/>
      <c r="BU588" s="10"/>
      <c r="BV588" s="10"/>
      <c r="BW588" s="10"/>
      <c r="BX588" s="10"/>
      <c r="BY588" s="10"/>
      <c r="BZ588" s="10"/>
      <c r="CA588" s="10"/>
      <c r="CB588" s="10"/>
      <c r="CC588" s="10"/>
      <c r="CD588" s="10"/>
      <c r="CE588" s="10"/>
      <c r="CF588" s="10"/>
      <c r="CG588" s="10"/>
      <c r="CH588" s="10"/>
      <c r="CI588" s="10"/>
      <c r="CJ588" s="10"/>
      <c r="CK588" s="10"/>
      <c r="CL588" s="10"/>
      <c r="CM588" s="10"/>
      <c r="CN588" s="10"/>
      <c r="CO588" s="10"/>
      <c r="CP588" s="10"/>
    </row>
    <row r="589" spans="1:94" ht="15" customHeight="1">
      <c r="A589" s="10"/>
      <c r="B589" s="10"/>
      <c r="C589" s="21" t="s">
        <v>191</v>
      </c>
      <c r="D589" s="10"/>
      <c r="E589" s="71">
        <f>EOMONTH(E584,E587 * 3 - 1)+1</f>
        <v>45658</v>
      </c>
      <c r="F589" s="3"/>
      <c r="G589" s="142" t="s">
        <v>31</v>
      </c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  <c r="BL589" s="10"/>
      <c r="BM589" s="10"/>
      <c r="BN589" s="10"/>
      <c r="BO589" s="10"/>
      <c r="BP589" s="10"/>
      <c r="BQ589" s="10"/>
      <c r="BR589" s="10"/>
      <c r="BS589" s="10"/>
      <c r="BT589" s="10"/>
      <c r="BU589" s="10"/>
      <c r="BV589" s="10"/>
      <c r="BW589" s="10"/>
      <c r="BX589" s="10"/>
      <c r="BY589" s="10"/>
      <c r="BZ589" s="10"/>
      <c r="CA589" s="10"/>
      <c r="CB589" s="10"/>
      <c r="CC589" s="10"/>
      <c r="CD589" s="10"/>
      <c r="CE589" s="10"/>
      <c r="CF589" s="10"/>
      <c r="CG589" s="10"/>
      <c r="CH589" s="10"/>
      <c r="CI589" s="10"/>
      <c r="CJ589" s="10"/>
      <c r="CK589" s="10"/>
      <c r="CL589" s="10"/>
      <c r="CM589" s="10"/>
      <c r="CN589" s="10"/>
      <c r="CO589" s="10"/>
      <c r="CP589" s="10"/>
    </row>
    <row r="590" spans="1:94" ht="15" customHeight="1">
      <c r="A590" s="10"/>
      <c r="B590" s="10"/>
      <c r="C590" s="21" t="s">
        <v>192</v>
      </c>
      <c r="D590" s="10"/>
      <c r="E590" s="71">
        <f>EOMONTH(E584,E585 * Months_in_Year-1)</f>
        <v>50040</v>
      </c>
      <c r="F590" s="3"/>
      <c r="G590" s="142" t="s">
        <v>31</v>
      </c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  <c r="BI590" s="10"/>
      <c r="BJ590" s="10"/>
      <c r="BK590" s="10"/>
      <c r="BL590" s="10"/>
      <c r="BM590" s="10"/>
      <c r="BN590" s="10"/>
      <c r="BO590" s="10"/>
      <c r="BP590" s="10"/>
      <c r="BQ590" s="10"/>
      <c r="BR590" s="10"/>
      <c r="BS590" s="10"/>
      <c r="BT590" s="10"/>
      <c r="BU590" s="10"/>
      <c r="BV590" s="10"/>
      <c r="BW590" s="10"/>
      <c r="BX590" s="10"/>
      <c r="BY590" s="10"/>
      <c r="BZ590" s="10"/>
      <c r="CA590" s="10"/>
      <c r="CB590" s="10"/>
      <c r="CC590" s="10"/>
      <c r="CD590" s="10"/>
      <c r="CE590" s="10"/>
      <c r="CF590" s="10"/>
      <c r="CG590" s="10"/>
      <c r="CH590" s="10"/>
      <c r="CI590" s="10"/>
      <c r="CJ590" s="10"/>
      <c r="CK590" s="10"/>
      <c r="CL590" s="10"/>
      <c r="CM590" s="10"/>
      <c r="CN590" s="10"/>
      <c r="CO590" s="10"/>
      <c r="CP590" s="10"/>
    </row>
    <row r="591" spans="1:94">
      <c r="A591" s="10"/>
      <c r="B591" s="10"/>
      <c r="C591" s="45" t="s">
        <v>337</v>
      </c>
      <c r="D591" s="10"/>
      <c r="E591" s="216">
        <f xml:space="preserve"> Контр_панель!J127</f>
        <v>0.03</v>
      </c>
      <c r="F591" s="3"/>
      <c r="G591" s="142" t="s">
        <v>1012</v>
      </c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  <c r="BI591" s="10"/>
      <c r="BJ591" s="10"/>
      <c r="BK591" s="10"/>
      <c r="BL591" s="10"/>
      <c r="BM591" s="10"/>
      <c r="BN591" s="10"/>
      <c r="BO591" s="10"/>
      <c r="BP591" s="10"/>
      <c r="BQ591" s="10"/>
      <c r="BR591" s="10"/>
      <c r="BS591" s="10"/>
      <c r="BT591" s="10"/>
      <c r="BU591" s="10"/>
      <c r="BV591" s="10"/>
      <c r="BW591" s="10"/>
      <c r="BX591" s="10"/>
      <c r="BY591" s="10"/>
      <c r="BZ591" s="10"/>
      <c r="CA591" s="10"/>
      <c r="CB591" s="10"/>
      <c r="CC591" s="10"/>
      <c r="CD591" s="10"/>
      <c r="CE591" s="10"/>
      <c r="CF591" s="10"/>
      <c r="CG591" s="10"/>
      <c r="CH591" s="10"/>
      <c r="CI591" s="10"/>
      <c r="CJ591" s="10"/>
      <c r="CK591" s="10"/>
      <c r="CL591" s="10"/>
      <c r="CM591" s="10"/>
      <c r="CN591" s="10"/>
      <c r="CO591" s="10"/>
      <c r="CP591" s="10"/>
    </row>
    <row r="592" spans="1:94">
      <c r="A592" s="10"/>
      <c r="B592" s="10"/>
      <c r="C592" s="45" t="s">
        <v>1234</v>
      </c>
      <c r="D592" s="10"/>
      <c r="E592" s="216">
        <f>Контр_панель!J128</f>
        <v>0.3</v>
      </c>
      <c r="F592" s="3"/>
      <c r="G592" s="142" t="s">
        <v>28</v>
      </c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  <c r="BI592" s="10"/>
      <c r="BJ592" s="10"/>
      <c r="BK592" s="10"/>
      <c r="BL592" s="10"/>
      <c r="BM592" s="10"/>
      <c r="BN592" s="10"/>
      <c r="BO592" s="10"/>
      <c r="BP592" s="10"/>
      <c r="BQ592" s="10"/>
      <c r="BR592" s="10"/>
      <c r="BS592" s="10"/>
      <c r="BT592" s="10"/>
      <c r="BU592" s="10"/>
      <c r="BV592" s="10"/>
      <c r="BW592" s="10"/>
      <c r="BX592" s="10"/>
      <c r="BY592" s="10"/>
      <c r="BZ592" s="10"/>
      <c r="CA592" s="10"/>
      <c r="CB592" s="10"/>
      <c r="CC592" s="10"/>
      <c r="CD592" s="10"/>
      <c r="CE592" s="10"/>
      <c r="CF592" s="10"/>
      <c r="CG592" s="10"/>
      <c r="CH592" s="10"/>
      <c r="CI592" s="10"/>
      <c r="CJ592" s="10"/>
      <c r="CK592" s="10"/>
      <c r="CL592" s="10"/>
      <c r="CM592" s="10"/>
      <c r="CN592" s="10"/>
      <c r="CO592" s="10"/>
      <c r="CP592" s="10"/>
    </row>
    <row r="593" spans="1:94">
      <c r="A593" s="10"/>
      <c r="B593" s="10"/>
      <c r="C593" s="45" t="s">
        <v>502</v>
      </c>
      <c r="D593" s="10"/>
      <c r="E593" s="216">
        <f xml:space="preserve"> Контр_панель!J129</f>
        <v>0</v>
      </c>
      <c r="F593" s="3"/>
      <c r="G593" s="142" t="s">
        <v>1012</v>
      </c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  <c r="BI593" s="10"/>
      <c r="BJ593" s="10"/>
      <c r="BK593" s="10"/>
      <c r="BL593" s="10"/>
      <c r="BM593" s="10"/>
      <c r="BN593" s="10"/>
      <c r="BO593" s="10"/>
      <c r="BP593" s="10"/>
      <c r="BQ593" s="10"/>
      <c r="BR593" s="10"/>
      <c r="BS593" s="10"/>
      <c r="BT593" s="10"/>
      <c r="BU593" s="10"/>
      <c r="BV593" s="10"/>
      <c r="BW593" s="10"/>
      <c r="BX593" s="10"/>
      <c r="BY593" s="10"/>
      <c r="BZ593" s="10"/>
      <c r="CA593" s="10"/>
      <c r="CB593" s="10"/>
      <c r="CC593" s="10"/>
      <c r="CD593" s="10"/>
      <c r="CE593" s="10"/>
      <c r="CF593" s="10"/>
      <c r="CG593" s="10"/>
      <c r="CH593" s="10"/>
      <c r="CI593" s="10"/>
      <c r="CJ593" s="10"/>
      <c r="CK593" s="10"/>
      <c r="CL593" s="10"/>
      <c r="CM593" s="10"/>
      <c r="CN593" s="10"/>
      <c r="CO593" s="10"/>
      <c r="CP593" s="10"/>
    </row>
    <row r="594" spans="1:94" ht="15" customHeight="1">
      <c r="A594" s="10"/>
      <c r="B594" s="10"/>
      <c r="C594" s="21" t="s">
        <v>482</v>
      </c>
      <c r="D594" s="10"/>
      <c r="E594" s="80">
        <v>2E-3</v>
      </c>
      <c r="F594" s="3"/>
      <c r="G594" s="142" t="s">
        <v>28</v>
      </c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  <c r="BL594" s="10"/>
      <c r="BM594" s="10"/>
      <c r="BN594" s="10"/>
      <c r="B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  <c r="CD594" s="10"/>
      <c r="CE594" s="10"/>
      <c r="CF594" s="10"/>
      <c r="CG594" s="10"/>
      <c r="CH594" s="10"/>
      <c r="CI594" s="10"/>
      <c r="CJ594" s="10"/>
      <c r="CK594" s="10"/>
      <c r="CL594" s="10"/>
      <c r="CM594" s="10"/>
      <c r="CN594" s="10"/>
      <c r="CO594" s="10"/>
      <c r="CP594" s="10"/>
    </row>
    <row r="595" spans="1:94" ht="15" customHeight="1">
      <c r="A595" s="10"/>
      <c r="B595" s="10"/>
      <c r="C595" s="21" t="s">
        <v>341</v>
      </c>
      <c r="D595" s="10"/>
      <c r="E595" s="80">
        <v>3.0000000000000001E-3</v>
      </c>
      <c r="F595" s="3"/>
      <c r="G595" s="142" t="s">
        <v>1012</v>
      </c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  <c r="BB595" s="10"/>
      <c r="BC595" s="10"/>
      <c r="BD595" s="10"/>
      <c r="BE595" s="10"/>
      <c r="BF595" s="10"/>
      <c r="BG595" s="10"/>
      <c r="BH595" s="10"/>
      <c r="BI595" s="10"/>
      <c r="BJ595" s="10"/>
      <c r="BK595" s="10"/>
      <c r="BL595" s="10"/>
      <c r="BM595" s="10"/>
      <c r="BN595" s="10"/>
      <c r="BO595" s="10"/>
      <c r="BP595" s="10"/>
      <c r="BQ595" s="10"/>
      <c r="BR595" s="10"/>
      <c r="BS595" s="10"/>
      <c r="BT595" s="10"/>
      <c r="BU595" s="10"/>
      <c r="BV595" s="10"/>
      <c r="BW595" s="10"/>
      <c r="BX595" s="10"/>
      <c r="BY595" s="10"/>
      <c r="BZ595" s="10"/>
      <c r="CA595" s="10"/>
      <c r="CB595" s="10"/>
      <c r="CC595" s="10"/>
      <c r="CD595" s="10"/>
      <c r="CE595" s="10"/>
      <c r="CF595" s="10"/>
      <c r="CG595" s="10"/>
      <c r="CH595" s="10"/>
      <c r="CI595" s="10"/>
      <c r="CJ595" s="10"/>
      <c r="CK595" s="10"/>
      <c r="CL595" s="10"/>
      <c r="CM595" s="10"/>
      <c r="CN595" s="10"/>
      <c r="CO595" s="10"/>
      <c r="CP595" s="10"/>
    </row>
    <row r="596" spans="1:94" ht="15" customHeight="1">
      <c r="A596" s="10"/>
      <c r="B596" s="10"/>
      <c r="C596" s="21" t="s">
        <v>531</v>
      </c>
      <c r="D596" s="10"/>
      <c r="E596" s="63">
        <v>1.2</v>
      </c>
      <c r="F596" s="3"/>
      <c r="G596" s="142" t="s">
        <v>93</v>
      </c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0"/>
      <c r="CC596" s="10"/>
      <c r="CD596" s="10"/>
      <c r="CE596" s="10"/>
      <c r="CF596" s="10"/>
      <c r="CG596" s="10"/>
      <c r="CH596" s="10"/>
      <c r="CI596" s="10"/>
      <c r="CJ596" s="10"/>
      <c r="CK596" s="10"/>
      <c r="CL596" s="10"/>
      <c r="CM596" s="10"/>
      <c r="CN596" s="10"/>
      <c r="CO596" s="10"/>
      <c r="CP596" s="10"/>
    </row>
    <row r="597" spans="1:94" ht="30" customHeight="1">
      <c r="A597" s="10"/>
      <c r="B597" s="10"/>
      <c r="C597" s="45" t="s">
        <v>1144</v>
      </c>
      <c r="D597" s="10"/>
      <c r="E597" s="406" t="s">
        <v>873</v>
      </c>
      <c r="F597" s="3"/>
      <c r="G597" s="142" t="s">
        <v>1096</v>
      </c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  <c r="BI597" s="10"/>
      <c r="BJ597" s="10"/>
      <c r="BK597" s="10"/>
      <c r="BL597" s="10"/>
      <c r="BM597" s="10"/>
      <c r="BN597" s="10"/>
      <c r="BO597" s="10"/>
      <c r="BP597" s="10"/>
      <c r="BQ597" s="10"/>
      <c r="BR597" s="10"/>
      <c r="BS597" s="10"/>
      <c r="BT597" s="10"/>
      <c r="BU597" s="10"/>
      <c r="BV597" s="10"/>
      <c r="BW597" s="10"/>
      <c r="BX597" s="10"/>
      <c r="BY597" s="10"/>
      <c r="BZ597" s="10"/>
      <c r="CA597" s="10"/>
      <c r="CB597" s="10"/>
      <c r="CC597" s="10"/>
      <c r="CD597" s="10"/>
      <c r="CE597" s="10"/>
      <c r="CF597" s="10"/>
      <c r="CG597" s="10"/>
      <c r="CH597" s="10"/>
      <c r="CI597" s="10"/>
      <c r="CJ597" s="10"/>
      <c r="CK597" s="10"/>
      <c r="CL597" s="10"/>
      <c r="CM597" s="10"/>
      <c r="CN597" s="10"/>
      <c r="CO597" s="10"/>
      <c r="CP597" s="10"/>
    </row>
    <row r="598" spans="1:94">
      <c r="A598" s="10"/>
      <c r="B598" s="10"/>
      <c r="C598" s="21" t="s">
        <v>1145</v>
      </c>
      <c r="D598" s="10"/>
      <c r="E598" s="406" t="s">
        <v>873</v>
      </c>
      <c r="F598" s="3"/>
      <c r="G598" s="142" t="s">
        <v>1096</v>
      </c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  <c r="BI598" s="10"/>
      <c r="BJ598" s="10"/>
      <c r="BK598" s="10"/>
      <c r="BL598" s="10"/>
      <c r="BM598" s="10"/>
      <c r="BN598" s="10"/>
      <c r="BO598" s="10"/>
      <c r="BP598" s="10"/>
      <c r="BQ598" s="10"/>
      <c r="BR598" s="10"/>
      <c r="BS598" s="10"/>
      <c r="BT598" s="10"/>
      <c r="BU598" s="10"/>
      <c r="BV598" s="10"/>
      <c r="BW598" s="10"/>
      <c r="BX598" s="10"/>
      <c r="BY598" s="10"/>
      <c r="BZ598" s="10"/>
      <c r="CA598" s="10"/>
      <c r="CB598" s="10"/>
      <c r="CC598" s="10"/>
      <c r="CD598" s="10"/>
      <c r="CE598" s="10"/>
      <c r="CF598" s="10"/>
      <c r="CG598" s="10"/>
      <c r="CH598" s="10"/>
      <c r="CI598" s="10"/>
      <c r="CJ598" s="10"/>
      <c r="CK598" s="10"/>
      <c r="CL598" s="10"/>
      <c r="CM598" s="10"/>
      <c r="CN598" s="10"/>
      <c r="CO598" s="10"/>
      <c r="CP598" s="10"/>
    </row>
    <row r="599" spans="1:94">
      <c r="A599" s="10"/>
      <c r="B599" s="10"/>
      <c r="C599" s="21" t="s">
        <v>1199</v>
      </c>
      <c r="D599" s="10"/>
      <c r="E599" s="406" t="s">
        <v>873</v>
      </c>
      <c r="F599" s="3"/>
      <c r="G599" s="142" t="s">
        <v>1096</v>
      </c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  <c r="BL599" s="10"/>
      <c r="BM599" s="10"/>
      <c r="BN599" s="10"/>
      <c r="BO599" s="10"/>
      <c r="BP599" s="10"/>
      <c r="BQ599" s="10"/>
      <c r="BR599" s="10"/>
      <c r="BS599" s="10"/>
      <c r="BT599" s="10"/>
      <c r="BU599" s="10"/>
      <c r="BV599" s="10"/>
      <c r="BW599" s="10"/>
      <c r="BX599" s="10"/>
      <c r="BY599" s="10"/>
      <c r="BZ599" s="10"/>
      <c r="CA599" s="10"/>
      <c r="CB599" s="10"/>
      <c r="CC599" s="10"/>
      <c r="CD599" s="10"/>
      <c r="CE599" s="10"/>
      <c r="CF599" s="10"/>
      <c r="CG599" s="10"/>
      <c r="CH599" s="10"/>
      <c r="CI599" s="10"/>
      <c r="CJ599" s="10"/>
      <c r="CK599" s="10"/>
      <c r="CL599" s="10"/>
      <c r="CM599" s="10"/>
      <c r="CN599" s="10"/>
      <c r="CO599" s="10"/>
      <c r="CP599" s="10"/>
    </row>
    <row r="600" spans="1:94" ht="15" customHeight="1">
      <c r="A600" s="10"/>
      <c r="B600" s="10"/>
      <c r="C600" s="21"/>
      <c r="D600" s="10"/>
      <c r="E600" s="115"/>
      <c r="F600" s="3"/>
      <c r="G600" s="142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  <c r="BI600" s="10"/>
      <c r="BJ600" s="10"/>
      <c r="BK600" s="10"/>
      <c r="BL600" s="10"/>
      <c r="BM600" s="10"/>
      <c r="BN600" s="10"/>
      <c r="BO600" s="10"/>
      <c r="BP600" s="10"/>
      <c r="BQ600" s="10"/>
      <c r="BR600" s="10"/>
      <c r="BS600" s="10"/>
      <c r="BT600" s="10"/>
      <c r="BU600" s="10"/>
      <c r="BV600" s="10"/>
      <c r="BW600" s="10"/>
      <c r="BX600" s="10"/>
      <c r="BY600" s="10"/>
      <c r="BZ600" s="10"/>
      <c r="CA600" s="10"/>
      <c r="CB600" s="10"/>
      <c r="CC600" s="10"/>
      <c r="CD600" s="10"/>
      <c r="CE600" s="10"/>
      <c r="CF600" s="10"/>
      <c r="CG600" s="10"/>
      <c r="CH600" s="10"/>
      <c r="CI600" s="10"/>
      <c r="CJ600" s="10"/>
      <c r="CK600" s="10"/>
      <c r="CL600" s="10"/>
      <c r="CM600" s="10"/>
      <c r="CN600" s="10"/>
      <c r="CO600" s="10"/>
      <c r="CP600" s="10"/>
    </row>
    <row r="601" spans="1:94" ht="15" customHeight="1" thickBot="1">
      <c r="A601" s="10"/>
      <c r="B601" s="10"/>
      <c r="C601" s="12" t="s">
        <v>250</v>
      </c>
      <c r="D601" s="12"/>
      <c r="E601" s="12"/>
      <c r="F601" s="12"/>
      <c r="G601" s="12"/>
      <c r="H601" s="12"/>
      <c r="I601" s="12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  <c r="BI601" s="10"/>
      <c r="BJ601" s="10"/>
      <c r="BK601" s="10"/>
      <c r="BL601" s="10"/>
      <c r="BM601" s="10"/>
      <c r="BN601" s="10"/>
      <c r="BO601" s="10"/>
      <c r="BP601" s="10"/>
      <c r="BQ601" s="10"/>
      <c r="BR601" s="10"/>
      <c r="BS601" s="10"/>
      <c r="BT601" s="10"/>
      <c r="BU601" s="10"/>
      <c r="BV601" s="10"/>
      <c r="BW601" s="10"/>
      <c r="BX601" s="10"/>
      <c r="BY601" s="10"/>
      <c r="BZ601" s="10"/>
      <c r="CA601" s="10"/>
      <c r="CB601" s="10"/>
      <c r="CC601" s="10"/>
      <c r="CD601" s="10"/>
      <c r="CE601" s="10"/>
      <c r="CF601" s="10"/>
      <c r="CG601" s="10"/>
      <c r="CH601" s="10"/>
      <c r="CI601" s="10"/>
      <c r="CJ601" s="10"/>
      <c r="CK601" s="10"/>
      <c r="CL601" s="10"/>
      <c r="CM601" s="10"/>
      <c r="CN601" s="10"/>
      <c r="CO601" s="10"/>
      <c r="CP601" s="10"/>
    </row>
    <row r="602" spans="1:94" ht="15" customHeight="1">
      <c r="A602" s="10"/>
      <c r="B602" s="10"/>
      <c r="C602" s="10"/>
      <c r="D602" s="10"/>
      <c r="E602" s="10"/>
      <c r="F602" s="3"/>
      <c r="G602" s="142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  <c r="BI602" s="10"/>
      <c r="BJ602" s="10"/>
      <c r="BK602" s="10"/>
      <c r="BL602" s="10"/>
      <c r="BM602" s="10"/>
      <c r="BN602" s="10"/>
      <c r="BO602" s="10"/>
      <c r="BP602" s="10"/>
      <c r="BQ602" s="10"/>
      <c r="BR602" s="10"/>
      <c r="BS602" s="10"/>
      <c r="BT602" s="10"/>
      <c r="BU602" s="10"/>
      <c r="BV602" s="10"/>
      <c r="BW602" s="10"/>
      <c r="BX602" s="10"/>
      <c r="BY602" s="10"/>
      <c r="BZ602" s="10"/>
      <c r="CA602" s="10"/>
      <c r="CB602" s="10"/>
      <c r="CC602" s="10"/>
      <c r="CD602" s="10"/>
      <c r="CE602" s="10"/>
      <c r="CF602" s="10"/>
      <c r="CG602" s="10"/>
      <c r="CH602" s="10"/>
      <c r="CI602" s="10"/>
      <c r="CJ602" s="10"/>
      <c r="CK602" s="10"/>
      <c r="CL602" s="10"/>
      <c r="CM602" s="10"/>
      <c r="CN602" s="10"/>
      <c r="CO602" s="10"/>
      <c r="CP602" s="10"/>
    </row>
    <row r="603" spans="1:94" ht="15" customHeight="1">
      <c r="A603" s="10"/>
      <c r="B603" s="10"/>
      <c r="C603" s="32" t="s">
        <v>177</v>
      </c>
      <c r="D603" s="10"/>
      <c r="E603" s="10"/>
      <c r="F603" s="3"/>
      <c r="G603" s="14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  <c r="BI603" s="10"/>
      <c r="BJ603" s="10"/>
      <c r="BK603" s="10"/>
      <c r="BL603" s="10"/>
      <c r="BM603" s="10"/>
      <c r="BN603" s="10"/>
      <c r="BO603" s="10"/>
      <c r="BP603" s="10"/>
      <c r="BQ603" s="10"/>
      <c r="BR603" s="10"/>
      <c r="BS603" s="10"/>
      <c r="BT603" s="10"/>
      <c r="BU603" s="10"/>
      <c r="BV603" s="10"/>
      <c r="BW603" s="10"/>
      <c r="BX603" s="10"/>
      <c r="BY603" s="10"/>
      <c r="BZ603" s="10"/>
      <c r="CA603" s="10"/>
      <c r="CB603" s="10"/>
      <c r="CC603" s="10"/>
      <c r="CD603" s="10"/>
      <c r="CE603" s="10"/>
      <c r="CF603" s="10"/>
      <c r="CG603" s="10"/>
      <c r="CH603" s="10"/>
      <c r="CI603" s="10"/>
      <c r="CJ603" s="10"/>
      <c r="CK603" s="10"/>
      <c r="CL603" s="10"/>
      <c r="CM603" s="10"/>
      <c r="CN603" s="10"/>
      <c r="CO603" s="10"/>
      <c r="CP603" s="10"/>
    </row>
    <row r="604" spans="1:94" ht="15" customHeight="1">
      <c r="A604" s="10"/>
      <c r="B604" s="10"/>
      <c r="C604" s="21" t="s">
        <v>106</v>
      </c>
      <c r="D604" s="10"/>
      <c r="E604" s="216">
        <f>Контр_панель!J119</f>
        <v>1</v>
      </c>
      <c r="F604" s="3"/>
      <c r="G604" s="142" t="s">
        <v>28</v>
      </c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  <c r="BL604" s="10"/>
      <c r="BM604" s="10"/>
      <c r="BN604" s="10"/>
      <c r="B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  <c r="CP604" s="10"/>
    </row>
    <row r="605" spans="1:94" ht="15" customHeight="1">
      <c r="A605" s="10"/>
      <c r="B605" s="10"/>
      <c r="C605" s="21" t="s">
        <v>1516</v>
      </c>
      <c r="D605" s="10"/>
      <c r="E605" s="84">
        <f xml:space="preserve"> 1 - E604</f>
        <v>0</v>
      </c>
      <c r="F605" s="3"/>
      <c r="G605" s="142" t="s">
        <v>28</v>
      </c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  <c r="BI605" s="10"/>
      <c r="BJ605" s="10"/>
      <c r="BK605" s="10"/>
      <c r="BL605" s="10"/>
      <c r="BM605" s="10"/>
      <c r="BN605" s="10"/>
      <c r="BO605" s="10"/>
      <c r="BP605" s="10"/>
      <c r="BQ605" s="10"/>
      <c r="BR605" s="10"/>
      <c r="BS605" s="10"/>
      <c r="BT605" s="10"/>
      <c r="BU605" s="10"/>
      <c r="BV605" s="10"/>
      <c r="BW605" s="10"/>
      <c r="BX605" s="10"/>
      <c r="BY605" s="10"/>
      <c r="BZ605" s="10"/>
      <c r="CA605" s="10"/>
      <c r="CB605" s="10"/>
      <c r="CC605" s="10"/>
      <c r="CD605" s="10"/>
      <c r="CE605" s="10"/>
      <c r="CF605" s="10"/>
      <c r="CG605" s="10"/>
      <c r="CH605" s="10"/>
      <c r="CI605" s="10"/>
      <c r="CJ605" s="10"/>
      <c r="CK605" s="10"/>
      <c r="CL605" s="10"/>
      <c r="CM605" s="10"/>
      <c r="CN605" s="10"/>
      <c r="CO605" s="10"/>
      <c r="CP605" s="10"/>
    </row>
    <row r="606" spans="1:94" ht="15" customHeight="1">
      <c r="A606" s="10"/>
      <c r="B606" s="10"/>
      <c r="C606" s="21"/>
      <c r="D606" s="21"/>
      <c r="E606" s="21"/>
      <c r="F606" s="21"/>
      <c r="G606" s="11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  <c r="CD606" s="10"/>
      <c r="CE606" s="10"/>
      <c r="CF606" s="10"/>
      <c r="CG606" s="10"/>
      <c r="CH606" s="10"/>
      <c r="CI606" s="10"/>
      <c r="CJ606" s="10"/>
      <c r="CK606" s="10"/>
      <c r="CL606" s="10"/>
      <c r="CM606" s="10"/>
      <c r="CN606" s="10"/>
      <c r="CO606" s="10"/>
      <c r="CP606" s="10"/>
    </row>
    <row r="607" spans="1:94" ht="15" customHeight="1">
      <c r="A607" s="10"/>
      <c r="B607" s="10"/>
      <c r="C607" s="21"/>
      <c r="D607" s="21"/>
      <c r="E607" s="216"/>
      <c r="F607" s="21"/>
      <c r="G607" s="11" t="s">
        <v>28</v>
      </c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  <c r="BI607" s="10"/>
      <c r="BJ607" s="10"/>
      <c r="BK607" s="10"/>
      <c r="BL607" s="10"/>
      <c r="BM607" s="10"/>
      <c r="BN607" s="10"/>
      <c r="BO607" s="10"/>
      <c r="BP607" s="10"/>
      <c r="BQ607" s="10"/>
      <c r="BR607" s="10"/>
      <c r="BS607" s="10"/>
      <c r="BT607" s="10"/>
      <c r="BU607" s="10"/>
      <c r="BV607" s="10"/>
      <c r="BW607" s="10"/>
      <c r="BX607" s="10"/>
      <c r="BY607" s="10"/>
      <c r="BZ607" s="10"/>
      <c r="CA607" s="10"/>
      <c r="CB607" s="10"/>
      <c r="CC607" s="10"/>
      <c r="CD607" s="10"/>
      <c r="CE607" s="10"/>
      <c r="CF607" s="10"/>
      <c r="CG607" s="10"/>
      <c r="CH607" s="10"/>
      <c r="CI607" s="10"/>
      <c r="CJ607" s="10"/>
      <c r="CK607" s="10"/>
      <c r="CL607" s="10"/>
      <c r="CM607" s="10"/>
      <c r="CN607" s="10"/>
      <c r="CO607" s="10"/>
      <c r="CP607" s="10"/>
    </row>
    <row r="608" spans="1:94" ht="15" customHeight="1">
      <c r="A608" s="10"/>
      <c r="B608" s="10"/>
      <c r="C608" s="21"/>
      <c r="D608" s="21"/>
      <c r="E608" s="21"/>
      <c r="F608" s="21"/>
      <c r="G608" s="11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  <c r="BI608" s="10"/>
      <c r="BJ608" s="10"/>
      <c r="BK608" s="10"/>
      <c r="BL608" s="10"/>
      <c r="BM608" s="10"/>
      <c r="BN608" s="10"/>
      <c r="BO608" s="10"/>
      <c r="BP608" s="10"/>
      <c r="BQ608" s="10"/>
      <c r="BR608" s="10"/>
      <c r="BS608" s="10"/>
      <c r="BT608" s="10"/>
      <c r="BU608" s="10"/>
      <c r="BV608" s="10"/>
      <c r="BW608" s="10"/>
      <c r="BX608" s="10"/>
      <c r="BY608" s="10"/>
      <c r="BZ608" s="10"/>
      <c r="CA608" s="10"/>
      <c r="CB608" s="10"/>
      <c r="CC608" s="10"/>
      <c r="CD608" s="10"/>
      <c r="CE608" s="10"/>
      <c r="CF608" s="10"/>
      <c r="CG608" s="10"/>
      <c r="CH608" s="10"/>
      <c r="CI608" s="10"/>
      <c r="CJ608" s="10"/>
      <c r="CK608" s="10"/>
      <c r="CL608" s="10"/>
      <c r="CM608" s="10"/>
      <c r="CN608" s="10"/>
      <c r="CO608" s="10"/>
      <c r="CP608" s="10"/>
    </row>
    <row r="609" spans="1:94" ht="15" customHeight="1">
      <c r="A609" s="10"/>
      <c r="B609" s="10"/>
      <c r="C609" s="21" t="s">
        <v>1518</v>
      </c>
      <c r="D609" s="10"/>
      <c r="E609" s="116">
        <f>Контр_панель!J122</f>
        <v>0.05</v>
      </c>
      <c r="F609" s="3"/>
      <c r="G609" s="142" t="s">
        <v>28</v>
      </c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  <c r="BI609" s="10"/>
      <c r="BJ609" s="10"/>
      <c r="BK609" s="10"/>
      <c r="BL609" s="10"/>
      <c r="BM609" s="10"/>
      <c r="BN609" s="10"/>
      <c r="BO609" s="10"/>
      <c r="BP609" s="10"/>
      <c r="BQ609" s="10"/>
      <c r="BR609" s="10"/>
      <c r="BS609" s="10"/>
      <c r="BT609" s="10"/>
      <c r="BU609" s="10"/>
      <c r="BV609" s="10"/>
      <c r="BW609" s="10"/>
      <c r="BX609" s="10"/>
      <c r="BY609" s="10"/>
      <c r="BZ609" s="10"/>
      <c r="CA609" s="10"/>
      <c r="CB609" s="10"/>
      <c r="CC609" s="10"/>
      <c r="CD609" s="10"/>
      <c r="CE609" s="10"/>
      <c r="CF609" s="10"/>
      <c r="CG609" s="10"/>
      <c r="CH609" s="10"/>
      <c r="CI609" s="10"/>
      <c r="CJ609" s="10"/>
      <c r="CK609" s="10"/>
      <c r="CL609" s="10"/>
      <c r="CM609" s="10"/>
      <c r="CN609" s="10"/>
      <c r="CO609" s="10"/>
      <c r="CP609" s="10"/>
    </row>
    <row r="610" spans="1:94" ht="15" customHeight="1">
      <c r="A610" s="10"/>
      <c r="B610" s="10"/>
      <c r="C610" s="10"/>
      <c r="D610" s="10"/>
      <c r="E610" s="10"/>
      <c r="F610" s="10"/>
      <c r="G610" s="11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  <c r="BI610" s="10"/>
      <c r="BJ610" s="10"/>
      <c r="BK610" s="10"/>
      <c r="BL610" s="10"/>
      <c r="BM610" s="10"/>
      <c r="BN610" s="10"/>
      <c r="BO610" s="10"/>
      <c r="BP610" s="10"/>
      <c r="BQ610" s="10"/>
      <c r="BR610" s="10"/>
      <c r="BS610" s="10"/>
      <c r="BT610" s="10"/>
      <c r="BU610" s="10"/>
      <c r="BV610" s="10"/>
      <c r="BW610" s="10"/>
      <c r="BX610" s="10"/>
      <c r="BY610" s="10"/>
      <c r="BZ610" s="10"/>
      <c r="CA610" s="10"/>
      <c r="CB610" s="10"/>
      <c r="CC610" s="10"/>
      <c r="CD610" s="10"/>
      <c r="CE610" s="10"/>
      <c r="CF610" s="10"/>
      <c r="CG610" s="10"/>
      <c r="CH610" s="10"/>
      <c r="CI610" s="10"/>
      <c r="CJ610" s="10"/>
      <c r="CK610" s="10"/>
      <c r="CL610" s="10"/>
      <c r="CM610" s="10"/>
      <c r="CN610" s="10"/>
      <c r="CO610" s="10"/>
      <c r="CP610" s="10"/>
    </row>
    <row r="611" spans="1:94" ht="15" customHeight="1" thickBot="1">
      <c r="A611" s="10"/>
      <c r="B611" s="10"/>
      <c r="C611" s="12" t="s">
        <v>269</v>
      </c>
      <c r="D611" s="12"/>
      <c r="E611" s="12"/>
      <c r="F611" s="12"/>
      <c r="G611" s="12"/>
      <c r="H611" s="12"/>
      <c r="I611" s="12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  <c r="BI611" s="10"/>
      <c r="BJ611" s="10"/>
      <c r="BK611" s="10"/>
      <c r="BL611" s="10"/>
      <c r="BM611" s="10"/>
      <c r="BN611" s="10"/>
      <c r="BO611" s="10"/>
      <c r="BP611" s="10"/>
      <c r="BQ611" s="10"/>
      <c r="BR611" s="10"/>
      <c r="BS611" s="10"/>
      <c r="BT611" s="10"/>
      <c r="BU611" s="10"/>
      <c r="BV611" s="10"/>
      <c r="BW611" s="10"/>
      <c r="BX611" s="10"/>
      <c r="BY611" s="10"/>
      <c r="BZ611" s="10"/>
      <c r="CA611" s="10"/>
      <c r="CB611" s="10"/>
      <c r="CC611" s="10"/>
      <c r="CD611" s="10"/>
      <c r="CE611" s="10"/>
      <c r="CF611" s="10"/>
      <c r="CG611" s="10"/>
      <c r="CH611" s="10"/>
      <c r="CI611" s="10"/>
      <c r="CJ611" s="10"/>
      <c r="CK611" s="10"/>
      <c r="CL611" s="10"/>
      <c r="CM611" s="10"/>
      <c r="CN611" s="10"/>
      <c r="CO611" s="10"/>
      <c r="CP611" s="10"/>
    </row>
    <row r="612" spans="1:94" ht="15" customHeight="1">
      <c r="A612" s="10"/>
      <c r="B612" s="10"/>
      <c r="C612" s="10"/>
      <c r="D612" s="10"/>
      <c r="E612" s="10"/>
      <c r="F612" s="3"/>
      <c r="G612" s="142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  <c r="BI612" s="10"/>
      <c r="BJ612" s="10"/>
      <c r="BK612" s="10"/>
      <c r="BL612" s="10"/>
      <c r="BM612" s="10"/>
      <c r="BN612" s="10"/>
      <c r="BO612" s="10"/>
      <c r="BP612" s="10"/>
      <c r="BQ612" s="10"/>
      <c r="BR612" s="10"/>
      <c r="BS612" s="10"/>
      <c r="BT612" s="10"/>
      <c r="BU612" s="10"/>
      <c r="BV612" s="10"/>
      <c r="BW612" s="10"/>
      <c r="BX612" s="10"/>
      <c r="BY612" s="10"/>
      <c r="BZ612" s="10"/>
      <c r="CA612" s="10"/>
      <c r="CB612" s="10"/>
      <c r="CC612" s="10"/>
      <c r="CD612" s="10"/>
      <c r="CE612" s="10"/>
      <c r="CF612" s="10"/>
      <c r="CG612" s="10"/>
      <c r="CH612" s="10"/>
      <c r="CI612" s="10"/>
      <c r="CJ612" s="10"/>
      <c r="CK612" s="10"/>
      <c r="CL612" s="10"/>
      <c r="CM612" s="10"/>
      <c r="CN612" s="10"/>
      <c r="CO612" s="10"/>
      <c r="CP612" s="10"/>
    </row>
    <row r="613" spans="1:94" ht="15" customHeight="1">
      <c r="A613" s="10"/>
      <c r="B613" s="10"/>
      <c r="C613" s="17" t="s">
        <v>1099</v>
      </c>
      <c r="D613" s="10"/>
      <c r="E613" s="80">
        <v>3.9E-2</v>
      </c>
      <c r="F613" s="3"/>
      <c r="G613" s="142" t="s">
        <v>28</v>
      </c>
      <c r="H613" s="395" t="s">
        <v>290</v>
      </c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  <c r="BI613" s="10"/>
      <c r="BJ613" s="10"/>
      <c r="BK613" s="10"/>
      <c r="BL613" s="10"/>
      <c r="BM613" s="10"/>
      <c r="BN613" s="10"/>
      <c r="BO613" s="10"/>
      <c r="BP613" s="10"/>
      <c r="BQ613" s="10"/>
      <c r="BR613" s="10"/>
      <c r="BS613" s="10"/>
      <c r="BT613" s="10"/>
      <c r="BU613" s="10"/>
      <c r="BV613" s="10"/>
      <c r="BW613" s="10"/>
      <c r="BX613" s="10"/>
      <c r="BY613" s="10"/>
      <c r="BZ613" s="10"/>
      <c r="CA613" s="10"/>
      <c r="CB613" s="10"/>
      <c r="CC613" s="10"/>
      <c r="CD613" s="10"/>
      <c r="CE613" s="10"/>
      <c r="CF613" s="10"/>
      <c r="CG613" s="10"/>
      <c r="CH613" s="10"/>
      <c r="CI613" s="10"/>
      <c r="CJ613" s="10"/>
      <c r="CK613" s="10"/>
      <c r="CL613" s="10"/>
      <c r="CM613" s="10"/>
      <c r="CN613" s="10"/>
      <c r="CO613" s="10"/>
      <c r="CP613" s="10"/>
    </row>
    <row r="614" spans="1:94" ht="15" customHeight="1">
      <c r="A614" s="10"/>
      <c r="B614" s="10"/>
      <c r="C614" s="17" t="s">
        <v>1100</v>
      </c>
      <c r="D614" s="10"/>
      <c r="E614" s="80">
        <v>7.2300000000000003E-2</v>
      </c>
      <c r="F614" s="3"/>
      <c r="G614" s="142" t="s">
        <v>28</v>
      </c>
      <c r="H614" s="395" t="s">
        <v>289</v>
      </c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  <c r="BL614" s="10"/>
      <c r="BM614" s="10"/>
      <c r="BN614" s="10"/>
      <c r="BO614" s="10"/>
      <c r="BP614" s="10"/>
      <c r="BQ614" s="10"/>
      <c r="BR614" s="10"/>
      <c r="BS614" s="10"/>
      <c r="BT614" s="10"/>
      <c r="BU614" s="10"/>
      <c r="BV614" s="10"/>
      <c r="BW614" s="10"/>
      <c r="BX614" s="10"/>
      <c r="BY614" s="10"/>
      <c r="BZ614" s="10"/>
      <c r="CA614" s="10"/>
      <c r="CB614" s="10"/>
      <c r="CC614" s="10"/>
      <c r="CD614" s="10"/>
      <c r="CE614" s="10"/>
      <c r="CF614" s="10"/>
      <c r="CG614" s="10"/>
      <c r="CH614" s="10"/>
      <c r="CI614" s="10"/>
      <c r="CJ614" s="10"/>
      <c r="CK614" s="10"/>
      <c r="CL614" s="10"/>
      <c r="CM614" s="10"/>
      <c r="CN614" s="10"/>
      <c r="CO614" s="10"/>
      <c r="CP614" s="10"/>
    </row>
    <row r="615" spans="1:94" ht="15" customHeight="1">
      <c r="A615" s="10"/>
      <c r="B615" s="10"/>
      <c r="C615" s="17"/>
      <c r="D615" s="10"/>
      <c r="E615" s="10"/>
      <c r="F615" s="3"/>
      <c r="G615" s="142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  <c r="BI615" s="10"/>
      <c r="BJ615" s="10"/>
      <c r="BK615" s="10"/>
      <c r="BL615" s="10"/>
      <c r="BM615" s="10"/>
      <c r="BN615" s="10"/>
      <c r="BO615" s="10"/>
      <c r="BP615" s="10"/>
      <c r="BQ615" s="10"/>
      <c r="BR615" s="10"/>
      <c r="BS615" s="10"/>
      <c r="BT615" s="10"/>
      <c r="BU615" s="10"/>
      <c r="BV615" s="10"/>
      <c r="BW615" s="10"/>
      <c r="BX615" s="10"/>
      <c r="BY615" s="10"/>
      <c r="BZ615" s="10"/>
      <c r="CA615" s="10"/>
      <c r="CB615" s="10"/>
      <c r="CC615" s="10"/>
      <c r="CD615" s="10"/>
      <c r="CE615" s="10"/>
      <c r="CF615" s="10"/>
      <c r="CG615" s="10"/>
      <c r="CH615" s="10"/>
      <c r="CI615" s="10"/>
      <c r="CJ615" s="10"/>
      <c r="CK615" s="10"/>
      <c r="CL615" s="10"/>
      <c r="CM615" s="10"/>
      <c r="CN615" s="10"/>
      <c r="CO615" s="10"/>
      <c r="CP615" s="10"/>
    </row>
    <row r="616" spans="1:94" ht="15" customHeight="1">
      <c r="A616" s="10"/>
      <c r="B616" s="10"/>
      <c r="C616" s="17" t="s">
        <v>298</v>
      </c>
      <c r="D616" s="10"/>
      <c r="E616" s="63">
        <v>1.34</v>
      </c>
      <c r="F616" s="3"/>
      <c r="G616" s="142" t="s">
        <v>378</v>
      </c>
      <c r="H616" s="395" t="s">
        <v>286</v>
      </c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  <c r="BI616" s="10"/>
      <c r="BJ616" s="10"/>
      <c r="BK616" s="10"/>
      <c r="BL616" s="10"/>
      <c r="BM616" s="10"/>
      <c r="BN616" s="10"/>
      <c r="BO616" s="10"/>
      <c r="BP616" s="10"/>
      <c r="BQ616" s="10"/>
      <c r="BR616" s="10"/>
      <c r="BS616" s="10"/>
      <c r="BT616" s="10"/>
      <c r="BU616" s="10"/>
      <c r="BV616" s="10"/>
      <c r="BW616" s="10"/>
      <c r="BX616" s="10"/>
      <c r="BY616" s="10"/>
      <c r="BZ616" s="10"/>
      <c r="CA616" s="10"/>
      <c r="CB616" s="10"/>
      <c r="CC616" s="10"/>
      <c r="CD616" s="10"/>
      <c r="CE616" s="10"/>
      <c r="CF616" s="10"/>
      <c r="CG616" s="10"/>
      <c r="CH616" s="10"/>
      <c r="CI616" s="10"/>
      <c r="CJ616" s="10"/>
      <c r="CK616" s="10"/>
      <c r="CL616" s="10"/>
      <c r="CM616" s="10"/>
      <c r="CN616" s="10"/>
      <c r="CO616" s="10"/>
      <c r="CP616" s="10"/>
    </row>
    <row r="617" spans="1:94" ht="15" customHeight="1">
      <c r="A617" s="10"/>
      <c r="B617" s="10"/>
      <c r="C617" s="17"/>
      <c r="D617" s="10"/>
      <c r="E617" s="80">
        <v>0</v>
      </c>
      <c r="F617" s="3"/>
      <c r="G617" s="142"/>
      <c r="H617" s="395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  <c r="BI617" s="10"/>
      <c r="BJ617" s="10"/>
      <c r="BK617" s="10"/>
      <c r="BL617" s="10"/>
      <c r="BM617" s="10"/>
      <c r="BN617" s="10"/>
      <c r="BO617" s="10"/>
      <c r="BP617" s="10"/>
      <c r="BQ617" s="10"/>
      <c r="BR617" s="10"/>
      <c r="BS617" s="10"/>
      <c r="BT617" s="10"/>
      <c r="BU617" s="10"/>
      <c r="BV617" s="10"/>
      <c r="BW617" s="10"/>
      <c r="BX617" s="10"/>
      <c r="BY617" s="10"/>
      <c r="BZ617" s="10"/>
      <c r="CA617" s="10"/>
      <c r="CB617" s="10"/>
      <c r="CC617" s="10"/>
      <c r="CD617" s="10"/>
      <c r="CE617" s="10"/>
      <c r="CF617" s="10"/>
      <c r="CG617" s="10"/>
      <c r="CH617" s="10"/>
      <c r="CI617" s="10"/>
      <c r="CJ617" s="10"/>
      <c r="CK617" s="10"/>
      <c r="CL617" s="10"/>
      <c r="CM617" s="10"/>
      <c r="CN617" s="10"/>
      <c r="CO617" s="10"/>
      <c r="CP617" s="10"/>
    </row>
    <row r="618" spans="1:94" ht="15" customHeight="1">
      <c r="A618" s="10"/>
      <c r="B618" s="10"/>
      <c r="C618" s="17"/>
      <c r="D618" s="10"/>
      <c r="E618" s="10"/>
      <c r="F618" s="3"/>
      <c r="G618" s="142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  <c r="BI618" s="10"/>
      <c r="BJ618" s="10"/>
      <c r="BK618" s="10"/>
      <c r="BL618" s="10"/>
      <c r="BM618" s="10"/>
      <c r="BN618" s="10"/>
      <c r="BO618" s="10"/>
      <c r="BP618" s="10"/>
      <c r="BQ618" s="10"/>
      <c r="BR618" s="10"/>
      <c r="BS618" s="10"/>
      <c r="BT618" s="10"/>
      <c r="BU618" s="10"/>
      <c r="BV618" s="10"/>
      <c r="BW618" s="10"/>
      <c r="BX618" s="10"/>
      <c r="BY618" s="10"/>
      <c r="BZ618" s="10"/>
      <c r="CA618" s="10"/>
      <c r="CB618" s="10"/>
      <c r="CC618" s="10"/>
      <c r="CD618" s="10"/>
      <c r="CE618" s="10"/>
      <c r="CF618" s="10"/>
      <c r="CG618" s="10"/>
      <c r="CH618" s="10"/>
      <c r="CI618" s="10"/>
      <c r="CJ618" s="10"/>
      <c r="CK618" s="10"/>
      <c r="CL618" s="10"/>
      <c r="CM618" s="10"/>
      <c r="CN618" s="10"/>
      <c r="CO618" s="10"/>
      <c r="CP618" s="10"/>
    </row>
    <row r="619" spans="1:94" ht="15" customHeight="1">
      <c r="A619" s="10"/>
      <c r="B619" s="10"/>
      <c r="C619" s="17" t="s">
        <v>1128</v>
      </c>
      <c r="D619" s="10"/>
      <c r="E619" s="80">
        <v>8.5999999999999993E-2</v>
      </c>
      <c r="F619" s="3"/>
      <c r="G619" s="142" t="s">
        <v>28</v>
      </c>
      <c r="H619" s="395" t="s">
        <v>287</v>
      </c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  <c r="BI619" s="10"/>
      <c r="BJ619" s="10"/>
      <c r="BK619" s="10"/>
      <c r="BL619" s="10"/>
      <c r="BM619" s="10"/>
      <c r="BN619" s="10"/>
      <c r="BO619" s="10"/>
      <c r="BP619" s="10"/>
      <c r="BQ619" s="10"/>
      <c r="BR619" s="10"/>
      <c r="BS619" s="10"/>
      <c r="BT619" s="10"/>
      <c r="BU619" s="10"/>
      <c r="BV619" s="10"/>
      <c r="BW619" s="10"/>
      <c r="BX619" s="10"/>
      <c r="BY619" s="10"/>
      <c r="BZ619" s="10"/>
      <c r="CA619" s="10"/>
      <c r="CB619" s="10"/>
      <c r="CC619" s="10"/>
      <c r="CD619" s="10"/>
      <c r="CE619" s="10"/>
      <c r="CF619" s="10"/>
      <c r="CG619" s="10"/>
      <c r="CH619" s="10"/>
      <c r="CI619" s="10"/>
      <c r="CJ619" s="10"/>
      <c r="CK619" s="10"/>
      <c r="CL619" s="10"/>
      <c r="CM619" s="10"/>
      <c r="CN619" s="10"/>
      <c r="CO619" s="10"/>
      <c r="CP619" s="10"/>
    </row>
    <row r="620" spans="1:94" ht="15" customHeight="1">
      <c r="A620" s="10"/>
      <c r="B620" s="10"/>
      <c r="C620" s="17" t="s">
        <v>346</v>
      </c>
      <c r="D620" s="10"/>
      <c r="E620" s="80">
        <v>0.16200000000000001</v>
      </c>
      <c r="F620" s="21"/>
      <c r="G620" s="142" t="s">
        <v>28</v>
      </c>
      <c r="H620" s="395" t="s">
        <v>288</v>
      </c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  <c r="BI620" s="10"/>
      <c r="BJ620" s="10"/>
      <c r="BK620" s="10"/>
      <c r="BL620" s="10"/>
      <c r="BM620" s="10"/>
      <c r="BN620" s="10"/>
      <c r="BO620" s="10"/>
      <c r="BP620" s="10"/>
      <c r="BQ620" s="10"/>
      <c r="BR620" s="10"/>
      <c r="BS620" s="10"/>
      <c r="BT620" s="10"/>
      <c r="BU620" s="10"/>
      <c r="BV620" s="10"/>
      <c r="BW620" s="10"/>
      <c r="BX620" s="10"/>
      <c r="BY620" s="10"/>
      <c r="BZ620" s="10"/>
      <c r="CA620" s="10"/>
      <c r="CB620" s="10"/>
      <c r="CC620" s="10"/>
      <c r="CD620" s="10"/>
      <c r="CE620" s="10"/>
      <c r="CF620" s="10"/>
      <c r="CG620" s="10"/>
      <c r="CH620" s="10"/>
      <c r="CI620" s="10"/>
      <c r="CJ620" s="10"/>
      <c r="CK620" s="10"/>
      <c r="CL620" s="10"/>
      <c r="CM620" s="10"/>
      <c r="CN620" s="10"/>
      <c r="CO620" s="10"/>
      <c r="CP620" s="10"/>
    </row>
    <row r="621" spans="1:94" ht="15" customHeight="1">
      <c r="A621" s="10"/>
      <c r="B621" s="10"/>
      <c r="C621" s="17"/>
      <c r="D621" s="10"/>
      <c r="E621" s="10"/>
      <c r="F621" s="21"/>
      <c r="G621" s="142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  <c r="BI621" s="10"/>
      <c r="BJ621" s="10"/>
      <c r="BK621" s="10"/>
      <c r="BL621" s="10"/>
      <c r="BM621" s="10"/>
      <c r="BN621" s="10"/>
      <c r="BO621" s="10"/>
      <c r="BP621" s="10"/>
      <c r="BQ621" s="10"/>
      <c r="BR621" s="10"/>
      <c r="BS621" s="10"/>
      <c r="BT621" s="10"/>
      <c r="BU621" s="10"/>
      <c r="BV621" s="10"/>
      <c r="BW621" s="10"/>
      <c r="BX621" s="10"/>
      <c r="BY621" s="10"/>
      <c r="BZ621" s="10"/>
      <c r="CA621" s="10"/>
      <c r="CB621" s="10"/>
      <c r="CC621" s="10"/>
      <c r="CD621" s="10"/>
      <c r="CE621" s="10"/>
      <c r="CF621" s="10"/>
      <c r="CG621" s="10"/>
      <c r="CH621" s="10"/>
      <c r="CI621" s="10"/>
      <c r="CJ621" s="10"/>
      <c r="CK621" s="10"/>
      <c r="CL621" s="10"/>
      <c r="CM621" s="10"/>
      <c r="CN621" s="10"/>
      <c r="CO621" s="10"/>
      <c r="CP621" s="10"/>
    </row>
    <row r="622" spans="1:94" ht="15" customHeight="1">
      <c r="A622" s="10"/>
      <c r="B622" s="10"/>
      <c r="C622" s="17" t="s">
        <v>1146</v>
      </c>
      <c r="D622" s="10"/>
      <c r="E622" s="408">
        <v>2</v>
      </c>
      <c r="F622" s="21"/>
      <c r="G622" s="142" t="s">
        <v>504</v>
      </c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  <c r="BI622" s="10"/>
      <c r="BJ622" s="10"/>
      <c r="BK622" s="10"/>
      <c r="BL622" s="10"/>
      <c r="BM622" s="10"/>
      <c r="BN622" s="10"/>
      <c r="BO622" s="10"/>
      <c r="BP622" s="10"/>
      <c r="BQ622" s="10"/>
      <c r="BR622" s="10"/>
      <c r="BS622" s="10"/>
      <c r="BT622" s="10"/>
      <c r="BU622" s="10"/>
      <c r="BV622" s="10"/>
      <c r="BW622" s="10"/>
      <c r="BX622" s="10"/>
      <c r="BY622" s="10"/>
      <c r="BZ622" s="10"/>
      <c r="CA622" s="10"/>
      <c r="CB622" s="10"/>
      <c r="CC622" s="10"/>
      <c r="CD622" s="10"/>
      <c r="CE622" s="10"/>
      <c r="CF622" s="10"/>
      <c r="CG622" s="10"/>
      <c r="CH622" s="10"/>
      <c r="CI622" s="10"/>
      <c r="CJ622" s="10"/>
      <c r="CK622" s="10"/>
      <c r="CL622" s="10"/>
      <c r="CM622" s="10"/>
      <c r="CN622" s="10"/>
      <c r="CO622" s="10"/>
      <c r="CP622" s="10"/>
    </row>
    <row r="623" spans="1:94" ht="15" customHeight="1">
      <c r="A623" s="10"/>
      <c r="B623" s="10"/>
      <c r="C623" s="17"/>
      <c r="D623" s="10"/>
      <c r="E623" s="10"/>
      <c r="F623" s="21"/>
      <c r="G623" s="14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  <c r="BI623" s="10"/>
      <c r="BJ623" s="10"/>
      <c r="BK623" s="10"/>
      <c r="BL623" s="10"/>
      <c r="BM623" s="10"/>
      <c r="BN623" s="10"/>
      <c r="BO623" s="10"/>
      <c r="BP623" s="10"/>
      <c r="BQ623" s="10"/>
      <c r="BR623" s="10"/>
      <c r="BS623" s="10"/>
      <c r="BT623" s="10"/>
      <c r="BU623" s="10"/>
      <c r="BV623" s="10"/>
      <c r="BW623" s="10"/>
      <c r="BX623" s="10"/>
      <c r="BY623" s="10"/>
      <c r="BZ623" s="10"/>
      <c r="CA623" s="10"/>
      <c r="CB623" s="10"/>
      <c r="CC623" s="10"/>
      <c r="CD623" s="10"/>
      <c r="CE623" s="10"/>
      <c r="CF623" s="10"/>
      <c r="CG623" s="10"/>
      <c r="CH623" s="10"/>
      <c r="CI623" s="10"/>
      <c r="CJ623" s="10"/>
      <c r="CK623" s="10"/>
      <c r="CL623" s="10"/>
      <c r="CM623" s="10"/>
      <c r="CN623" s="10"/>
      <c r="CO623" s="10"/>
      <c r="CP623" s="10"/>
    </row>
    <row r="624" spans="1:94" ht="15" customHeight="1">
      <c r="A624" s="10"/>
      <c r="B624" s="10"/>
      <c r="C624" s="17" t="s">
        <v>1105</v>
      </c>
      <c r="D624" s="10"/>
      <c r="E624" s="63">
        <v>1</v>
      </c>
      <c r="F624" s="3"/>
      <c r="G624" s="142" t="s">
        <v>378</v>
      </c>
      <c r="H624" s="10" t="s">
        <v>500</v>
      </c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  <c r="BI624" s="10"/>
      <c r="BJ624" s="10"/>
      <c r="BK624" s="10"/>
      <c r="BL624" s="10"/>
      <c r="BM624" s="10"/>
      <c r="BN624" s="10"/>
      <c r="BO624" s="10"/>
      <c r="BP624" s="10"/>
      <c r="BQ624" s="10"/>
      <c r="BR624" s="10"/>
      <c r="BS624" s="10"/>
      <c r="BT624" s="10"/>
      <c r="BU624" s="10"/>
      <c r="BV624" s="10"/>
      <c r="BW624" s="10"/>
      <c r="BX624" s="10"/>
      <c r="BY624" s="10"/>
      <c r="BZ624" s="10"/>
      <c r="CA624" s="10"/>
      <c r="CB624" s="10"/>
      <c r="CC624" s="10"/>
      <c r="CD624" s="10"/>
      <c r="CE624" s="10"/>
      <c r="CF624" s="10"/>
      <c r="CG624" s="10"/>
      <c r="CH624" s="10"/>
      <c r="CI624" s="10"/>
      <c r="CJ624" s="10"/>
      <c r="CK624" s="10"/>
      <c r="CL624" s="10"/>
      <c r="CM624" s="10"/>
      <c r="CN624" s="10"/>
      <c r="CO624" s="10"/>
      <c r="CP624" s="10"/>
    </row>
    <row r="625" spans="1:94" ht="26.25" customHeight="1">
      <c r="A625" s="10"/>
      <c r="B625" s="10"/>
      <c r="C625" s="379" t="s">
        <v>1067</v>
      </c>
      <c r="D625" s="10"/>
      <c r="E625" s="380" t="s">
        <v>1064</v>
      </c>
      <c r="F625" s="21"/>
      <c r="G625" s="142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  <c r="BI625" s="10"/>
      <c r="BJ625" s="10"/>
      <c r="BK625" s="10"/>
      <c r="BL625" s="10"/>
      <c r="BM625" s="10"/>
      <c r="BN625" s="10"/>
      <c r="BO625" s="10"/>
      <c r="BP625" s="10"/>
      <c r="BQ625" s="10"/>
      <c r="BR625" s="10"/>
      <c r="BS625" s="10"/>
      <c r="BT625" s="10"/>
      <c r="BU625" s="10"/>
      <c r="BV625" s="10"/>
      <c r="BW625" s="10"/>
      <c r="BX625" s="10"/>
      <c r="BY625" s="10"/>
      <c r="BZ625" s="10"/>
      <c r="CA625" s="10"/>
      <c r="CB625" s="10"/>
      <c r="CC625" s="10"/>
      <c r="CD625" s="10"/>
      <c r="CE625" s="10"/>
      <c r="CF625" s="10"/>
      <c r="CG625" s="10"/>
      <c r="CH625" s="10"/>
      <c r="CI625" s="10"/>
      <c r="CJ625" s="10"/>
      <c r="CK625" s="10"/>
      <c r="CL625" s="10"/>
      <c r="CM625" s="10"/>
      <c r="CN625" s="10"/>
      <c r="CO625" s="10"/>
      <c r="CP625" s="10"/>
    </row>
    <row r="626" spans="1:94" ht="15" customHeight="1">
      <c r="A626" s="10"/>
      <c r="B626" s="10"/>
      <c r="C626" s="17"/>
      <c r="D626" s="10"/>
      <c r="E626" s="21"/>
      <c r="F626" s="21"/>
      <c r="G626" s="14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  <c r="BI626" s="10"/>
      <c r="BJ626" s="10"/>
      <c r="BK626" s="10"/>
      <c r="BL626" s="10"/>
      <c r="BM626" s="10"/>
      <c r="BN626" s="10"/>
      <c r="BO626" s="10"/>
      <c r="BP626" s="10"/>
      <c r="BQ626" s="10"/>
      <c r="BR626" s="10"/>
      <c r="BS626" s="10"/>
      <c r="BT626" s="10"/>
      <c r="BU626" s="10"/>
      <c r="BV626" s="10"/>
      <c r="BW626" s="10"/>
      <c r="BX626" s="10"/>
      <c r="BY626" s="10"/>
      <c r="BZ626" s="10"/>
      <c r="CA626" s="10"/>
      <c r="CB626" s="10"/>
      <c r="CC626" s="10"/>
      <c r="CD626" s="10"/>
      <c r="CE626" s="10"/>
      <c r="CF626" s="10"/>
      <c r="CG626" s="10"/>
      <c r="CH626" s="10"/>
      <c r="CI626" s="10"/>
      <c r="CJ626" s="10"/>
      <c r="CK626" s="10"/>
      <c r="CL626" s="10"/>
      <c r="CM626" s="10"/>
      <c r="CN626" s="10"/>
      <c r="CO626" s="10"/>
      <c r="CP626" s="10"/>
    </row>
    <row r="627" spans="1:94" ht="22.5" customHeight="1">
      <c r="A627" s="10"/>
      <c r="B627" s="5" t="s">
        <v>116</v>
      </c>
      <c r="C627" s="5"/>
      <c r="D627" s="31"/>
      <c r="E627" s="5"/>
      <c r="F627" s="5"/>
      <c r="G627" s="6"/>
      <c r="H627" s="31"/>
      <c r="I627" s="5"/>
      <c r="J627" s="5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  <c r="BM627" s="31"/>
      <c r="BN627" s="31"/>
      <c r="BO627" s="31"/>
      <c r="BP627" s="31"/>
      <c r="BQ627" s="31"/>
      <c r="BR627" s="31"/>
      <c r="BS627" s="31"/>
      <c r="BT627" s="31"/>
      <c r="BU627" s="31"/>
      <c r="BV627" s="31"/>
      <c r="BW627" s="31"/>
      <c r="BX627" s="31"/>
      <c r="BY627" s="31"/>
      <c r="BZ627" s="31"/>
      <c r="CA627" s="31"/>
      <c r="CB627" s="31"/>
      <c r="CC627" s="31"/>
      <c r="CD627" s="31"/>
      <c r="CE627" s="31"/>
      <c r="CF627" s="31"/>
      <c r="CG627" s="31"/>
      <c r="CH627" s="31"/>
      <c r="CI627" s="31"/>
      <c r="CJ627" s="31"/>
      <c r="CK627" s="31"/>
      <c r="CL627" s="31"/>
      <c r="CM627" s="31"/>
      <c r="CN627" s="31"/>
      <c r="CO627" s="31"/>
      <c r="CP627" s="10"/>
    </row>
    <row r="628" spans="1:94" ht="15" customHeight="1">
      <c r="A628" s="10"/>
      <c r="B628" s="10"/>
      <c r="C628" s="10"/>
      <c r="D628" s="10"/>
      <c r="E628" s="10"/>
      <c r="F628" s="68"/>
      <c r="G628" s="142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  <c r="BI628" s="10"/>
      <c r="BJ628" s="10"/>
      <c r="BK628" s="10"/>
      <c r="BL628" s="10"/>
      <c r="BM628" s="10"/>
      <c r="BN628" s="10"/>
      <c r="BO628" s="10"/>
      <c r="BP628" s="10"/>
      <c r="BQ628" s="10"/>
      <c r="BR628" s="10"/>
      <c r="BS628" s="10"/>
      <c r="BT628" s="10"/>
      <c r="BU628" s="10"/>
      <c r="BV628" s="10"/>
      <c r="BW628" s="10"/>
      <c r="BX628" s="10"/>
      <c r="BY628" s="10"/>
      <c r="BZ628" s="10"/>
      <c r="CA628" s="10"/>
      <c r="CB628" s="10"/>
      <c r="CC628" s="10"/>
      <c r="CD628" s="10"/>
      <c r="CE628" s="10"/>
      <c r="CF628" s="10"/>
      <c r="CG628" s="10"/>
      <c r="CH628" s="10"/>
      <c r="CI628" s="10"/>
      <c r="CJ628" s="10"/>
      <c r="CK628" s="10"/>
      <c r="CL628" s="10"/>
      <c r="CM628" s="10"/>
      <c r="CN628" s="10"/>
      <c r="CO628" s="10"/>
      <c r="CP628" s="10"/>
    </row>
    <row r="629" spans="1:94" ht="15" customHeight="1" thickBot="1">
      <c r="A629" s="10"/>
      <c r="B629" s="10"/>
      <c r="C629" s="12" t="s">
        <v>107</v>
      </c>
      <c r="D629" s="12"/>
      <c r="E629" s="12"/>
      <c r="F629" s="12"/>
      <c r="G629" s="12"/>
      <c r="H629" s="12"/>
      <c r="I629" s="12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  <c r="BI629" s="10"/>
      <c r="BJ629" s="10"/>
      <c r="BK629" s="10"/>
      <c r="BL629" s="10"/>
      <c r="BM629" s="10"/>
      <c r="BN629" s="10"/>
      <c r="BO629" s="10"/>
      <c r="BP629" s="10"/>
      <c r="BQ629" s="10"/>
      <c r="BR629" s="10"/>
      <c r="BS629" s="10"/>
      <c r="BT629" s="10"/>
      <c r="BU629" s="10"/>
      <c r="BV629" s="10"/>
      <c r="BW629" s="10"/>
      <c r="BX629" s="10"/>
      <c r="BY629" s="10"/>
      <c r="BZ629" s="10"/>
      <c r="CA629" s="10"/>
      <c r="CB629" s="10"/>
      <c r="CC629" s="10"/>
      <c r="CD629" s="10"/>
      <c r="CE629" s="10"/>
      <c r="CF629" s="10"/>
      <c r="CG629" s="10"/>
      <c r="CH629" s="10"/>
      <c r="CI629" s="10"/>
      <c r="CJ629" s="10"/>
      <c r="CK629" s="10"/>
      <c r="CL629" s="10"/>
      <c r="CM629" s="10"/>
      <c r="CN629" s="10"/>
      <c r="CO629" s="10"/>
      <c r="CP629" s="10"/>
    </row>
    <row r="630" spans="1:94" ht="15" customHeight="1">
      <c r="A630" s="10"/>
      <c r="B630" s="10"/>
      <c r="C630" s="10"/>
      <c r="D630" s="10"/>
      <c r="E630" s="10"/>
      <c r="F630" s="70"/>
      <c r="G630" s="11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  <c r="BI630" s="10"/>
      <c r="BJ630" s="10"/>
      <c r="BK630" s="10"/>
      <c r="BL630" s="10"/>
      <c r="BM630" s="10"/>
      <c r="BN630" s="10"/>
      <c r="BO630" s="10"/>
      <c r="BP630" s="10"/>
      <c r="BQ630" s="10"/>
      <c r="BR630" s="10"/>
      <c r="BS630" s="10"/>
      <c r="BT630" s="10"/>
      <c r="BU630" s="10"/>
      <c r="BV630" s="10"/>
      <c r="BW630" s="10"/>
      <c r="BX630" s="10"/>
      <c r="BY630" s="10"/>
      <c r="BZ630" s="10"/>
      <c r="CA630" s="10"/>
      <c r="CB630" s="10"/>
      <c r="CC630" s="10"/>
      <c r="CD630" s="10"/>
      <c r="CE630" s="10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</row>
    <row r="631" spans="1:94">
      <c r="A631" s="10"/>
      <c r="B631" s="10"/>
      <c r="C631" s="40" t="s">
        <v>1148</v>
      </c>
      <c r="D631" s="10"/>
      <c r="E631" s="80">
        <v>0.155</v>
      </c>
      <c r="F631" s="68"/>
      <c r="G631" s="142" t="s">
        <v>28</v>
      </c>
      <c r="H631" s="10" t="s">
        <v>117</v>
      </c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  <c r="BI631" s="10"/>
      <c r="BJ631" s="10"/>
      <c r="BK631" s="10"/>
      <c r="BL631" s="10"/>
      <c r="BM631" s="10"/>
      <c r="BN631" s="10"/>
      <c r="BO631" s="10"/>
      <c r="BP631" s="10"/>
      <c r="BQ631" s="10"/>
      <c r="BR631" s="10"/>
      <c r="BS631" s="10"/>
      <c r="BT631" s="10"/>
      <c r="BU631" s="10"/>
      <c r="BV631" s="10"/>
      <c r="BW631" s="10"/>
      <c r="BX631" s="10"/>
      <c r="BY631" s="10"/>
      <c r="BZ631" s="10"/>
      <c r="CA631" s="10"/>
      <c r="CB631" s="10"/>
      <c r="CC631" s="10"/>
      <c r="CD631" s="10"/>
      <c r="CE631" s="10"/>
      <c r="CF631" s="10"/>
      <c r="CG631" s="10"/>
      <c r="CH631" s="10"/>
      <c r="CI631" s="10"/>
      <c r="CJ631" s="10"/>
      <c r="CK631" s="10"/>
      <c r="CL631" s="10"/>
      <c r="CM631" s="10"/>
      <c r="CN631" s="10"/>
      <c r="CO631" s="10"/>
      <c r="CP631" s="10"/>
    </row>
    <row r="632" spans="1:94">
      <c r="A632" s="10"/>
      <c r="B632" s="10"/>
      <c r="C632" s="40" t="s">
        <v>1149</v>
      </c>
      <c r="D632" s="10"/>
      <c r="E632" s="80">
        <v>0.13</v>
      </c>
      <c r="F632" s="68"/>
      <c r="G632" s="142" t="s">
        <v>28</v>
      </c>
      <c r="H632" s="10" t="s">
        <v>117</v>
      </c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  <c r="BI632" s="10"/>
      <c r="BJ632" s="10"/>
      <c r="BK632" s="10"/>
      <c r="BL632" s="10"/>
      <c r="BM632" s="10"/>
      <c r="BN632" s="10"/>
      <c r="BO632" s="10"/>
      <c r="BP632" s="10"/>
      <c r="BQ632" s="10"/>
      <c r="BR632" s="10"/>
      <c r="BS632" s="10"/>
      <c r="BT632" s="10"/>
      <c r="BU632" s="10"/>
      <c r="BV632" s="10"/>
      <c r="BW632" s="10"/>
      <c r="BX632" s="10"/>
      <c r="BY632" s="10"/>
      <c r="BZ632" s="10"/>
      <c r="CA632" s="10"/>
      <c r="CB632" s="10"/>
      <c r="CC632" s="10"/>
      <c r="CD632" s="10"/>
      <c r="CE632" s="10"/>
      <c r="CF632" s="10"/>
      <c r="CG632" s="10"/>
      <c r="CH632" s="10"/>
      <c r="CI632" s="10"/>
      <c r="CJ632" s="10"/>
      <c r="CK632" s="10"/>
      <c r="CL632" s="10"/>
      <c r="CM632" s="10"/>
      <c r="CN632" s="10"/>
      <c r="CO632" s="10"/>
      <c r="CP632" s="10"/>
    </row>
    <row r="633" spans="1:94">
      <c r="A633" s="10"/>
      <c r="B633" s="10"/>
      <c r="C633" s="40" t="str">
        <f>"Максимально возможный объем зачета налоговых убытков (2017 - " &amp; E634-1 &amp; " гг.)"</f>
        <v>Максимально возможный объем зачета налоговых убытков (2017 - 2038 гг.)</v>
      </c>
      <c r="D633" s="10"/>
      <c r="E633" s="80">
        <v>0.5</v>
      </c>
      <c r="F633" s="68"/>
      <c r="G633" s="142" t="s">
        <v>28</v>
      </c>
      <c r="H633" s="10" t="s">
        <v>117</v>
      </c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  <c r="BI633" s="10"/>
      <c r="BJ633" s="10"/>
      <c r="BK633" s="10"/>
      <c r="BL633" s="10"/>
      <c r="BM633" s="10"/>
      <c r="BN633" s="10"/>
      <c r="BO633" s="10"/>
      <c r="BP633" s="10"/>
      <c r="BQ633" s="10"/>
      <c r="BR633" s="10"/>
      <c r="BS633" s="10"/>
      <c r="BT633" s="10"/>
      <c r="BU633" s="10"/>
      <c r="BV633" s="10"/>
      <c r="BW633" s="10"/>
      <c r="BX633" s="10"/>
      <c r="BY633" s="10"/>
      <c r="BZ633" s="10"/>
      <c r="CA633" s="10"/>
      <c r="CB633" s="10"/>
      <c r="CC633" s="10"/>
      <c r="CD633" s="10"/>
      <c r="CE633" s="10"/>
      <c r="CF633" s="10"/>
      <c r="CG633" s="10"/>
      <c r="CH633" s="10"/>
      <c r="CI633" s="10"/>
      <c r="CJ633" s="10"/>
      <c r="CK633" s="10"/>
      <c r="CL633" s="10"/>
      <c r="CM633" s="10"/>
      <c r="CN633" s="10"/>
      <c r="CO633" s="10"/>
      <c r="CP633" s="10"/>
    </row>
    <row r="634" spans="1:94" ht="26">
      <c r="A634" s="10"/>
      <c r="B634" s="10"/>
      <c r="C634" s="40" t="s">
        <v>1231</v>
      </c>
      <c r="D634" s="10"/>
      <c r="E634" s="396">
        <v>2039</v>
      </c>
      <c r="F634" s="68"/>
      <c r="G634" s="142" t="s">
        <v>45</v>
      </c>
      <c r="H634" s="10" t="s">
        <v>117</v>
      </c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  <c r="BI634" s="10"/>
      <c r="BJ634" s="10"/>
      <c r="BK634" s="10"/>
      <c r="BL634" s="10"/>
      <c r="BM634" s="10"/>
      <c r="BN634" s="10"/>
      <c r="BO634" s="10"/>
      <c r="BP634" s="10"/>
      <c r="BQ634" s="10"/>
      <c r="BR634" s="10"/>
      <c r="BS634" s="10"/>
      <c r="BT634" s="10"/>
      <c r="BU634" s="10"/>
      <c r="BV634" s="10"/>
      <c r="BW634" s="10"/>
      <c r="BX634" s="10"/>
      <c r="BY634" s="10"/>
      <c r="BZ634" s="10"/>
      <c r="CA634" s="10"/>
      <c r="CB634" s="10"/>
      <c r="CC634" s="10"/>
      <c r="CD634" s="10"/>
      <c r="CE634" s="10"/>
      <c r="CF634" s="10"/>
      <c r="CG634" s="10"/>
      <c r="CH634" s="10"/>
      <c r="CI634" s="10"/>
      <c r="CJ634" s="10"/>
      <c r="CK634" s="10"/>
      <c r="CL634" s="10"/>
      <c r="CM634" s="10"/>
      <c r="CN634" s="10"/>
      <c r="CO634" s="10"/>
      <c r="CP634" s="10"/>
    </row>
    <row r="635" spans="1:94" ht="15" customHeight="1">
      <c r="A635" s="10"/>
      <c r="B635" s="10"/>
      <c r="C635" s="17"/>
      <c r="D635" s="10"/>
      <c r="E635" s="10"/>
      <c r="F635" s="68"/>
      <c r="G635" s="142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  <c r="BI635" s="10"/>
      <c r="BJ635" s="10"/>
      <c r="BK635" s="10"/>
      <c r="BL635" s="10"/>
      <c r="BM635" s="10"/>
      <c r="BN635" s="10"/>
      <c r="BO635" s="10"/>
      <c r="BP635" s="10"/>
      <c r="BQ635" s="10"/>
      <c r="BR635" s="10"/>
      <c r="BS635" s="10"/>
      <c r="BT635" s="10"/>
      <c r="BU635" s="10"/>
      <c r="BV635" s="10"/>
      <c r="BW635" s="10"/>
      <c r="BX635" s="10"/>
      <c r="BY635" s="10"/>
      <c r="BZ635" s="10"/>
      <c r="CA635" s="10"/>
      <c r="CB635" s="10"/>
      <c r="CC635" s="10"/>
      <c r="CD635" s="10"/>
      <c r="CE635" s="10"/>
      <c r="CF635" s="10"/>
      <c r="CG635" s="10"/>
      <c r="CH635" s="10"/>
      <c r="CI635" s="10"/>
      <c r="CJ635" s="10"/>
      <c r="CK635" s="10"/>
      <c r="CL635" s="10"/>
      <c r="CM635" s="10"/>
      <c r="CN635" s="10"/>
      <c r="CO635" s="10"/>
      <c r="CP635" s="10"/>
    </row>
    <row r="636" spans="1:94" ht="15" customHeight="1" thickBot="1">
      <c r="A636" s="10"/>
      <c r="B636" s="10"/>
      <c r="C636" s="12" t="s">
        <v>120</v>
      </c>
      <c r="D636" s="12"/>
      <c r="E636" s="12"/>
      <c r="F636" s="12"/>
      <c r="G636" s="12"/>
      <c r="H636" s="12"/>
      <c r="I636" s="12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  <c r="BI636" s="10"/>
      <c r="BJ636" s="10"/>
      <c r="BK636" s="10"/>
      <c r="BL636" s="10"/>
      <c r="BM636" s="10"/>
      <c r="BN636" s="10"/>
      <c r="BO636" s="10"/>
      <c r="BP636" s="10"/>
      <c r="BQ636" s="10"/>
      <c r="BR636" s="10"/>
      <c r="BS636" s="10"/>
      <c r="BT636" s="10"/>
      <c r="BU636" s="10"/>
      <c r="BV636" s="10"/>
      <c r="BW636" s="10"/>
      <c r="BX636" s="10"/>
      <c r="BY636" s="10"/>
      <c r="BZ636" s="10"/>
      <c r="CA636" s="10"/>
      <c r="CB636" s="10"/>
      <c r="CC636" s="10"/>
      <c r="CD636" s="10"/>
      <c r="CE636" s="10"/>
      <c r="CF636" s="10"/>
      <c r="CG636" s="10"/>
      <c r="CH636" s="10"/>
      <c r="CI636" s="10"/>
      <c r="CJ636" s="10"/>
      <c r="CK636" s="10"/>
      <c r="CL636" s="10"/>
      <c r="CM636" s="10"/>
      <c r="CN636" s="10"/>
      <c r="CO636" s="10"/>
      <c r="CP636" s="10"/>
    </row>
    <row r="637" spans="1:94" ht="15" customHeight="1">
      <c r="A637" s="10"/>
      <c r="B637" s="10"/>
      <c r="C637" s="40"/>
      <c r="D637" s="10"/>
      <c r="E637" s="10"/>
      <c r="F637" s="68"/>
      <c r="G637" s="142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  <c r="BI637" s="10"/>
      <c r="BJ637" s="10"/>
      <c r="BK637" s="10"/>
      <c r="BL637" s="10"/>
      <c r="BM637" s="10"/>
      <c r="BN637" s="10"/>
      <c r="BO637" s="10"/>
      <c r="BP637" s="10"/>
      <c r="BQ637" s="10"/>
      <c r="BR637" s="10"/>
      <c r="BS637" s="10"/>
      <c r="BT637" s="10"/>
      <c r="BU637" s="10"/>
      <c r="BV637" s="10"/>
      <c r="BW637" s="10"/>
      <c r="BX637" s="10"/>
      <c r="BY637" s="10"/>
      <c r="BZ637" s="10"/>
      <c r="CA637" s="10"/>
      <c r="CB637" s="10"/>
      <c r="CC637" s="10"/>
      <c r="CD637" s="10"/>
      <c r="CE637" s="10"/>
      <c r="CF637" s="10"/>
      <c r="CG637" s="10"/>
      <c r="CH637" s="10"/>
      <c r="CI637" s="10"/>
      <c r="CJ637" s="10"/>
      <c r="CK637" s="10"/>
      <c r="CL637" s="10"/>
      <c r="CM637" s="10"/>
      <c r="CN637" s="10"/>
      <c r="CO637" s="10"/>
      <c r="CP637" s="10"/>
    </row>
    <row r="638" spans="1:94">
      <c r="A638" s="10"/>
      <c r="B638" s="10"/>
      <c r="C638" s="40" t="s">
        <v>121</v>
      </c>
      <c r="D638" s="10"/>
      <c r="E638" s="14">
        <v>2</v>
      </c>
      <c r="F638" s="68"/>
      <c r="G638" s="142" t="s">
        <v>650</v>
      </c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  <c r="BL638" s="10"/>
      <c r="BM638" s="10"/>
      <c r="BN638" s="10"/>
      <c r="BO638" s="10"/>
      <c r="BP638" s="10"/>
      <c r="BQ638" s="10"/>
      <c r="BR638" s="10"/>
      <c r="BS638" s="10"/>
      <c r="BT638" s="10"/>
      <c r="BU638" s="10"/>
      <c r="BV638" s="10"/>
      <c r="BW638" s="10"/>
      <c r="BX638" s="10"/>
      <c r="BY638" s="10"/>
      <c r="BZ638" s="10"/>
      <c r="CA638" s="10"/>
      <c r="CB638" s="10"/>
      <c r="CC638" s="10"/>
      <c r="CD638" s="10"/>
      <c r="CE638" s="10"/>
      <c r="CF638" s="10"/>
      <c r="CG638" s="10"/>
      <c r="CH638" s="10"/>
      <c r="CI638" s="10"/>
      <c r="CJ638" s="10"/>
      <c r="CK638" s="10"/>
      <c r="CL638" s="10"/>
      <c r="CM638" s="10"/>
      <c r="CN638" s="10"/>
      <c r="CO638" s="10"/>
      <c r="CP638" s="10"/>
    </row>
    <row r="639" spans="1:94">
      <c r="A639" s="10"/>
      <c r="B639" s="10"/>
      <c r="C639" s="40" t="s">
        <v>122</v>
      </c>
      <c r="D639" s="10"/>
      <c r="E639" s="14">
        <v>1</v>
      </c>
      <c r="F639" s="68"/>
      <c r="G639" s="142" t="s">
        <v>650</v>
      </c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  <c r="BI639" s="10"/>
      <c r="BJ639" s="10"/>
      <c r="BK639" s="10"/>
      <c r="BL639" s="10"/>
      <c r="BM639" s="10"/>
      <c r="BN639" s="10"/>
      <c r="BO639" s="10"/>
      <c r="BP639" s="10"/>
      <c r="BQ639" s="10"/>
      <c r="BR639" s="10"/>
      <c r="BS639" s="10"/>
      <c r="BT639" s="10"/>
      <c r="BU639" s="10"/>
      <c r="BV639" s="10"/>
      <c r="BW639" s="10"/>
      <c r="BX639" s="10"/>
      <c r="BY639" s="10"/>
      <c r="BZ639" s="10"/>
      <c r="CA639" s="10"/>
      <c r="CB639" s="10"/>
      <c r="CC639" s="10"/>
      <c r="CD639" s="10"/>
      <c r="CE639" s="10"/>
      <c r="CF639" s="10"/>
      <c r="CG639" s="10"/>
      <c r="CH639" s="10"/>
      <c r="CI639" s="10"/>
      <c r="CJ639" s="10"/>
      <c r="CK639" s="10"/>
      <c r="CL639" s="10"/>
      <c r="CM639" s="10"/>
      <c r="CN639" s="10"/>
      <c r="CO639" s="10"/>
      <c r="CP639" s="10"/>
    </row>
    <row r="640" spans="1:94">
      <c r="A640" s="10"/>
      <c r="B640" s="10"/>
      <c r="C640" s="40"/>
      <c r="D640" s="10"/>
      <c r="E640" s="10"/>
      <c r="F640" s="68"/>
      <c r="G640" s="142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10"/>
      <c r="BK640" s="10"/>
      <c r="BL640" s="10"/>
      <c r="BM640" s="10"/>
      <c r="BN640" s="10"/>
      <c r="BO640" s="10"/>
      <c r="BP640" s="10"/>
      <c r="BQ640" s="10"/>
      <c r="BR640" s="10"/>
      <c r="BS640" s="10"/>
      <c r="BT640" s="10"/>
      <c r="BU640" s="10"/>
      <c r="BV640" s="10"/>
      <c r="BW640" s="10"/>
      <c r="BX640" s="10"/>
      <c r="BY640" s="10"/>
      <c r="BZ640" s="10"/>
      <c r="CA640" s="10"/>
      <c r="CB640" s="10"/>
      <c r="CC640" s="10"/>
      <c r="CD640" s="10"/>
      <c r="CE640" s="10"/>
      <c r="CF640" s="10"/>
      <c r="CG640" s="10"/>
      <c r="CH640" s="10"/>
      <c r="CI640" s="10"/>
      <c r="CJ640" s="10"/>
      <c r="CK640" s="10"/>
      <c r="CL640" s="10"/>
      <c r="CM640" s="10"/>
      <c r="CN640" s="10"/>
      <c r="CO640" s="10"/>
      <c r="CP640" s="10"/>
    </row>
    <row r="641" spans="1:132">
      <c r="A641" s="10"/>
      <c r="B641" s="10"/>
      <c r="C641" s="40" t="s">
        <v>477</v>
      </c>
      <c r="D641" s="10"/>
      <c r="E641" s="80">
        <v>0.2</v>
      </c>
      <c r="F641" s="68"/>
      <c r="G641" s="142" t="s">
        <v>28</v>
      </c>
      <c r="H641" s="10" t="s">
        <v>117</v>
      </c>
      <c r="I641" s="10"/>
      <c r="J641" s="10"/>
      <c r="K641" s="10"/>
      <c r="L641" s="397">
        <f t="shared" ref="L641:AQ641" si="131">VAT_Rate</f>
        <v>0.2</v>
      </c>
      <c r="M641" s="397">
        <f t="shared" si="131"/>
        <v>0.2</v>
      </c>
      <c r="N641" s="397">
        <f t="shared" si="131"/>
        <v>0.2</v>
      </c>
      <c r="O641" s="397">
        <f t="shared" si="131"/>
        <v>0.2</v>
      </c>
      <c r="P641" s="397">
        <f t="shared" si="131"/>
        <v>0.2</v>
      </c>
      <c r="Q641" s="397">
        <f t="shared" si="131"/>
        <v>0.2</v>
      </c>
      <c r="R641" s="397">
        <f t="shared" si="131"/>
        <v>0.2</v>
      </c>
      <c r="S641" s="397">
        <f t="shared" si="131"/>
        <v>0.2</v>
      </c>
      <c r="T641" s="397">
        <f t="shared" si="131"/>
        <v>0.2</v>
      </c>
      <c r="U641" s="397">
        <f t="shared" si="131"/>
        <v>0.2</v>
      </c>
      <c r="V641" s="397">
        <f t="shared" si="131"/>
        <v>0.2</v>
      </c>
      <c r="W641" s="397">
        <f t="shared" si="131"/>
        <v>0.2</v>
      </c>
      <c r="X641" s="397">
        <f t="shared" si="131"/>
        <v>0.2</v>
      </c>
      <c r="Y641" s="397">
        <f t="shared" si="131"/>
        <v>0.2</v>
      </c>
      <c r="Z641" s="397">
        <f t="shared" si="131"/>
        <v>0.2</v>
      </c>
      <c r="AA641" s="397">
        <f t="shared" si="131"/>
        <v>0.2</v>
      </c>
      <c r="AB641" s="397">
        <f t="shared" si="131"/>
        <v>0.2</v>
      </c>
      <c r="AC641" s="397">
        <f t="shared" si="131"/>
        <v>0.2</v>
      </c>
      <c r="AD641" s="397">
        <f t="shared" si="131"/>
        <v>0.2</v>
      </c>
      <c r="AE641" s="397">
        <f t="shared" si="131"/>
        <v>0.2</v>
      </c>
      <c r="AF641" s="397">
        <f t="shared" si="131"/>
        <v>0.2</v>
      </c>
      <c r="AG641" s="397">
        <f t="shared" si="131"/>
        <v>0.2</v>
      </c>
      <c r="AH641" s="397">
        <f t="shared" si="131"/>
        <v>0.2</v>
      </c>
      <c r="AI641" s="397">
        <f t="shared" si="131"/>
        <v>0.2</v>
      </c>
      <c r="AJ641" s="397">
        <f t="shared" si="131"/>
        <v>0.2</v>
      </c>
      <c r="AK641" s="397">
        <f t="shared" si="131"/>
        <v>0.2</v>
      </c>
      <c r="AL641" s="397">
        <f t="shared" si="131"/>
        <v>0.2</v>
      </c>
      <c r="AM641" s="397">
        <f t="shared" si="131"/>
        <v>0.2</v>
      </c>
      <c r="AN641" s="397">
        <f t="shared" si="131"/>
        <v>0.2</v>
      </c>
      <c r="AO641" s="397">
        <f t="shared" si="131"/>
        <v>0.2</v>
      </c>
      <c r="AP641" s="397">
        <f t="shared" si="131"/>
        <v>0.2</v>
      </c>
      <c r="AQ641" s="397">
        <f t="shared" si="131"/>
        <v>0.2</v>
      </c>
      <c r="AR641" s="397">
        <f t="shared" ref="AR641:BW641" si="132">VAT_Rate</f>
        <v>0.2</v>
      </c>
      <c r="AS641" s="397">
        <f t="shared" si="132"/>
        <v>0.2</v>
      </c>
      <c r="AT641" s="397">
        <f t="shared" si="132"/>
        <v>0.2</v>
      </c>
      <c r="AU641" s="397">
        <f t="shared" si="132"/>
        <v>0.2</v>
      </c>
      <c r="AV641" s="397">
        <f t="shared" si="132"/>
        <v>0.2</v>
      </c>
      <c r="AW641" s="397">
        <f t="shared" si="132"/>
        <v>0.2</v>
      </c>
      <c r="AX641" s="397">
        <f t="shared" si="132"/>
        <v>0.2</v>
      </c>
      <c r="AY641" s="397">
        <f t="shared" si="132"/>
        <v>0.2</v>
      </c>
      <c r="AZ641" s="397">
        <f t="shared" si="132"/>
        <v>0.2</v>
      </c>
      <c r="BA641" s="397">
        <f t="shared" si="132"/>
        <v>0.2</v>
      </c>
      <c r="BB641" s="397">
        <f t="shared" si="132"/>
        <v>0.2</v>
      </c>
      <c r="BC641" s="397">
        <f t="shared" si="132"/>
        <v>0.2</v>
      </c>
      <c r="BD641" s="397">
        <f t="shared" si="132"/>
        <v>0.2</v>
      </c>
      <c r="BE641" s="397">
        <f t="shared" si="132"/>
        <v>0.2</v>
      </c>
      <c r="BF641" s="397">
        <f t="shared" si="132"/>
        <v>0.2</v>
      </c>
      <c r="BG641" s="397">
        <f t="shared" si="132"/>
        <v>0.2</v>
      </c>
      <c r="BH641" s="397">
        <f t="shared" si="132"/>
        <v>0.2</v>
      </c>
      <c r="BI641" s="397">
        <f t="shared" si="132"/>
        <v>0.2</v>
      </c>
      <c r="BJ641" s="397">
        <f t="shared" si="132"/>
        <v>0.2</v>
      </c>
      <c r="BK641" s="397">
        <f t="shared" si="132"/>
        <v>0.2</v>
      </c>
      <c r="BL641" s="397">
        <f t="shared" si="132"/>
        <v>0.2</v>
      </c>
      <c r="BM641" s="397">
        <f t="shared" si="132"/>
        <v>0.2</v>
      </c>
      <c r="BN641" s="397">
        <f t="shared" si="132"/>
        <v>0.2</v>
      </c>
      <c r="BO641" s="397">
        <f t="shared" si="132"/>
        <v>0.2</v>
      </c>
      <c r="BP641" s="397">
        <f t="shared" si="132"/>
        <v>0.2</v>
      </c>
      <c r="BQ641" s="397">
        <f t="shared" si="132"/>
        <v>0.2</v>
      </c>
      <c r="BR641" s="397">
        <f t="shared" si="132"/>
        <v>0.2</v>
      </c>
      <c r="BS641" s="397">
        <f t="shared" si="132"/>
        <v>0.2</v>
      </c>
      <c r="BT641" s="397">
        <f t="shared" si="132"/>
        <v>0.2</v>
      </c>
      <c r="BU641" s="397">
        <f t="shared" si="132"/>
        <v>0.2</v>
      </c>
      <c r="BV641" s="397">
        <f t="shared" si="132"/>
        <v>0.2</v>
      </c>
      <c r="BW641" s="397">
        <f t="shared" si="132"/>
        <v>0.2</v>
      </c>
      <c r="BX641" s="397">
        <f t="shared" ref="BX641:CO641" si="133">VAT_Rate</f>
        <v>0.2</v>
      </c>
      <c r="BY641" s="397">
        <f t="shared" si="133"/>
        <v>0.2</v>
      </c>
      <c r="BZ641" s="397">
        <f t="shared" si="133"/>
        <v>0.2</v>
      </c>
      <c r="CA641" s="397">
        <f t="shared" si="133"/>
        <v>0.2</v>
      </c>
      <c r="CB641" s="397">
        <f t="shared" si="133"/>
        <v>0.2</v>
      </c>
      <c r="CC641" s="397">
        <f t="shared" si="133"/>
        <v>0.2</v>
      </c>
      <c r="CD641" s="397">
        <f t="shared" si="133"/>
        <v>0.2</v>
      </c>
      <c r="CE641" s="397">
        <f t="shared" si="133"/>
        <v>0.2</v>
      </c>
      <c r="CF641" s="397">
        <f t="shared" si="133"/>
        <v>0.2</v>
      </c>
      <c r="CG641" s="397">
        <f t="shared" si="133"/>
        <v>0.2</v>
      </c>
      <c r="CH641" s="397">
        <f t="shared" si="133"/>
        <v>0.2</v>
      </c>
      <c r="CI641" s="397">
        <f t="shared" si="133"/>
        <v>0.2</v>
      </c>
      <c r="CJ641" s="397">
        <f t="shared" si="133"/>
        <v>0.2</v>
      </c>
      <c r="CK641" s="397">
        <f t="shared" si="133"/>
        <v>0.2</v>
      </c>
      <c r="CL641" s="397">
        <f t="shared" si="133"/>
        <v>0.2</v>
      </c>
      <c r="CM641" s="397">
        <f t="shared" si="133"/>
        <v>0.2</v>
      </c>
      <c r="CN641" s="397">
        <f t="shared" si="133"/>
        <v>0.2</v>
      </c>
      <c r="CO641" s="397">
        <f t="shared" si="133"/>
        <v>0.2</v>
      </c>
      <c r="CP641" s="10"/>
    </row>
    <row r="642" spans="1:132">
      <c r="A642" s="10"/>
      <c r="B642" s="10"/>
      <c r="C642" s="40" t="s">
        <v>476</v>
      </c>
      <c r="D642" s="10"/>
      <c r="E642" s="80">
        <v>0</v>
      </c>
      <c r="F642" s="68"/>
      <c r="G642" s="142" t="s">
        <v>28</v>
      </c>
      <c r="H642" s="10" t="s">
        <v>117</v>
      </c>
      <c r="I642" s="10"/>
      <c r="J642" s="10"/>
      <c r="K642" s="10"/>
      <c r="L642" s="397">
        <f t="shared" ref="L642:AQ642" si="134">IF(AND(Count_Operations_Periods&gt;0,Count_Operations_Periods&lt;=$E$643*Periods_in_Year),VAT_Rate_Zero,VAT_Rate)</f>
        <v>0.2</v>
      </c>
      <c r="M642" s="397">
        <f t="shared" si="134"/>
        <v>0.2</v>
      </c>
      <c r="N642" s="397">
        <f t="shared" si="134"/>
        <v>0.2</v>
      </c>
      <c r="O642" s="397">
        <f t="shared" si="134"/>
        <v>0.2</v>
      </c>
      <c r="P642" s="397">
        <f t="shared" si="134"/>
        <v>0.2</v>
      </c>
      <c r="Q642" s="397">
        <f t="shared" si="134"/>
        <v>0.2</v>
      </c>
      <c r="R642" s="397">
        <f t="shared" si="134"/>
        <v>0.2</v>
      </c>
      <c r="S642" s="397">
        <f t="shared" si="134"/>
        <v>0.2</v>
      </c>
      <c r="T642" s="397">
        <f t="shared" si="134"/>
        <v>0.2</v>
      </c>
      <c r="U642" s="397">
        <f t="shared" si="134"/>
        <v>0.2</v>
      </c>
      <c r="V642" s="397">
        <f t="shared" si="134"/>
        <v>0.2</v>
      </c>
      <c r="W642" s="397">
        <f t="shared" si="134"/>
        <v>0.2</v>
      </c>
      <c r="X642" s="397">
        <f t="shared" si="134"/>
        <v>0.2</v>
      </c>
      <c r="Y642" s="397">
        <f t="shared" si="134"/>
        <v>0.2</v>
      </c>
      <c r="Z642" s="397">
        <f t="shared" si="134"/>
        <v>0.2</v>
      </c>
      <c r="AA642" s="397">
        <f t="shared" si="134"/>
        <v>0.2</v>
      </c>
      <c r="AB642" s="397">
        <f t="shared" si="134"/>
        <v>0.2</v>
      </c>
      <c r="AC642" s="397">
        <f t="shared" si="134"/>
        <v>0</v>
      </c>
      <c r="AD642" s="397">
        <f t="shared" si="134"/>
        <v>0</v>
      </c>
      <c r="AE642" s="397">
        <f t="shared" si="134"/>
        <v>0</v>
      </c>
      <c r="AF642" s="397">
        <f t="shared" si="134"/>
        <v>0</v>
      </c>
      <c r="AG642" s="397">
        <f t="shared" si="134"/>
        <v>0</v>
      </c>
      <c r="AH642" s="397">
        <f t="shared" si="134"/>
        <v>0</v>
      </c>
      <c r="AI642" s="397">
        <f t="shared" si="134"/>
        <v>0</v>
      </c>
      <c r="AJ642" s="397">
        <f t="shared" si="134"/>
        <v>0</v>
      </c>
      <c r="AK642" s="397">
        <f t="shared" si="134"/>
        <v>0</v>
      </c>
      <c r="AL642" s="397">
        <f t="shared" si="134"/>
        <v>0</v>
      </c>
      <c r="AM642" s="397">
        <f t="shared" si="134"/>
        <v>0</v>
      </c>
      <c r="AN642" s="397">
        <f t="shared" si="134"/>
        <v>0</v>
      </c>
      <c r="AO642" s="397">
        <f t="shared" si="134"/>
        <v>0</v>
      </c>
      <c r="AP642" s="397">
        <f t="shared" si="134"/>
        <v>0</v>
      </c>
      <c r="AQ642" s="397">
        <f t="shared" si="134"/>
        <v>0</v>
      </c>
      <c r="AR642" s="397">
        <f t="shared" ref="AR642:BW642" si="135">IF(AND(Count_Operations_Periods&gt;0,Count_Operations_Periods&lt;=$E$643*Periods_in_Year),VAT_Rate_Zero,VAT_Rate)</f>
        <v>0</v>
      </c>
      <c r="AS642" s="397">
        <f t="shared" si="135"/>
        <v>0</v>
      </c>
      <c r="AT642" s="397">
        <f t="shared" si="135"/>
        <v>0</v>
      </c>
      <c r="AU642" s="397">
        <f t="shared" si="135"/>
        <v>0</v>
      </c>
      <c r="AV642" s="397">
        <f t="shared" si="135"/>
        <v>0</v>
      </c>
      <c r="AW642" s="397">
        <f t="shared" si="135"/>
        <v>0.2</v>
      </c>
      <c r="AX642" s="397">
        <f t="shared" si="135"/>
        <v>0.2</v>
      </c>
      <c r="AY642" s="397">
        <f t="shared" si="135"/>
        <v>0.2</v>
      </c>
      <c r="AZ642" s="397">
        <f t="shared" si="135"/>
        <v>0.2</v>
      </c>
      <c r="BA642" s="397">
        <f t="shared" si="135"/>
        <v>0.2</v>
      </c>
      <c r="BB642" s="397">
        <f t="shared" si="135"/>
        <v>0.2</v>
      </c>
      <c r="BC642" s="397">
        <f t="shared" si="135"/>
        <v>0.2</v>
      </c>
      <c r="BD642" s="397">
        <f t="shared" si="135"/>
        <v>0.2</v>
      </c>
      <c r="BE642" s="397">
        <f t="shared" si="135"/>
        <v>0.2</v>
      </c>
      <c r="BF642" s="397">
        <f t="shared" si="135"/>
        <v>0.2</v>
      </c>
      <c r="BG642" s="397">
        <f t="shared" si="135"/>
        <v>0.2</v>
      </c>
      <c r="BH642" s="397">
        <f t="shared" si="135"/>
        <v>0.2</v>
      </c>
      <c r="BI642" s="397">
        <f t="shared" si="135"/>
        <v>0.2</v>
      </c>
      <c r="BJ642" s="397">
        <f t="shared" si="135"/>
        <v>0.2</v>
      </c>
      <c r="BK642" s="397">
        <f t="shared" si="135"/>
        <v>0.2</v>
      </c>
      <c r="BL642" s="397">
        <f t="shared" si="135"/>
        <v>0.2</v>
      </c>
      <c r="BM642" s="397">
        <f t="shared" si="135"/>
        <v>0.2</v>
      </c>
      <c r="BN642" s="397">
        <f t="shared" si="135"/>
        <v>0.2</v>
      </c>
      <c r="BO642" s="397">
        <f t="shared" si="135"/>
        <v>0.2</v>
      </c>
      <c r="BP642" s="397">
        <f t="shared" si="135"/>
        <v>0.2</v>
      </c>
      <c r="BQ642" s="397">
        <f t="shared" si="135"/>
        <v>0.2</v>
      </c>
      <c r="BR642" s="397">
        <f t="shared" si="135"/>
        <v>0.2</v>
      </c>
      <c r="BS642" s="397">
        <f t="shared" si="135"/>
        <v>0.2</v>
      </c>
      <c r="BT642" s="397">
        <f t="shared" si="135"/>
        <v>0.2</v>
      </c>
      <c r="BU642" s="397">
        <f t="shared" si="135"/>
        <v>0.2</v>
      </c>
      <c r="BV642" s="397">
        <f t="shared" si="135"/>
        <v>0.2</v>
      </c>
      <c r="BW642" s="397">
        <f t="shared" si="135"/>
        <v>0.2</v>
      </c>
      <c r="BX642" s="397">
        <f t="shared" ref="BX642:CO642" si="136">IF(AND(Count_Operations_Periods&gt;0,Count_Operations_Periods&lt;=$E$643*Periods_in_Year),VAT_Rate_Zero,VAT_Rate)</f>
        <v>0.2</v>
      </c>
      <c r="BY642" s="397">
        <f t="shared" si="136"/>
        <v>0.2</v>
      </c>
      <c r="BZ642" s="397">
        <f t="shared" si="136"/>
        <v>0.2</v>
      </c>
      <c r="CA642" s="397">
        <f t="shared" si="136"/>
        <v>0.2</v>
      </c>
      <c r="CB642" s="397">
        <f t="shared" si="136"/>
        <v>0.2</v>
      </c>
      <c r="CC642" s="397">
        <f t="shared" si="136"/>
        <v>0.2</v>
      </c>
      <c r="CD642" s="397">
        <f t="shared" si="136"/>
        <v>0.2</v>
      </c>
      <c r="CE642" s="397">
        <f t="shared" si="136"/>
        <v>0.2</v>
      </c>
      <c r="CF642" s="397">
        <f t="shared" si="136"/>
        <v>0.2</v>
      </c>
      <c r="CG642" s="397">
        <f t="shared" si="136"/>
        <v>0.2</v>
      </c>
      <c r="CH642" s="397">
        <f t="shared" si="136"/>
        <v>0.2</v>
      </c>
      <c r="CI642" s="397">
        <f t="shared" si="136"/>
        <v>0.2</v>
      </c>
      <c r="CJ642" s="397">
        <f t="shared" si="136"/>
        <v>0.2</v>
      </c>
      <c r="CK642" s="397">
        <f t="shared" si="136"/>
        <v>0.2</v>
      </c>
      <c r="CL642" s="397">
        <f t="shared" si="136"/>
        <v>0.2</v>
      </c>
      <c r="CM642" s="397">
        <f t="shared" si="136"/>
        <v>0.2</v>
      </c>
      <c r="CN642" s="397">
        <f t="shared" si="136"/>
        <v>0.2</v>
      </c>
      <c r="CO642" s="397">
        <f t="shared" si="136"/>
        <v>0.2</v>
      </c>
      <c r="CP642" s="10"/>
    </row>
    <row r="643" spans="1:132">
      <c r="A643" s="10"/>
      <c r="B643" s="10"/>
      <c r="C643" s="40" t="s">
        <v>1108</v>
      </c>
      <c r="D643" s="10"/>
      <c r="E643" s="14">
        <v>5</v>
      </c>
      <c r="F643" s="10"/>
      <c r="G643" s="11" t="s">
        <v>123</v>
      </c>
      <c r="H643" s="10" t="s">
        <v>117</v>
      </c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  <c r="BI643" s="10"/>
      <c r="BJ643" s="10"/>
      <c r="BK643" s="10"/>
      <c r="BL643" s="10"/>
      <c r="BM643" s="10"/>
      <c r="BN643" s="10"/>
      <c r="BO643" s="10"/>
      <c r="BP643" s="10"/>
      <c r="BQ643" s="10"/>
      <c r="BR643" s="10"/>
      <c r="BS643" s="10"/>
      <c r="BT643" s="10"/>
      <c r="BU643" s="10"/>
      <c r="BV643" s="10"/>
      <c r="BW643" s="10"/>
      <c r="BX643" s="10"/>
      <c r="BY643" s="10"/>
      <c r="BZ643" s="10"/>
      <c r="CA643" s="10"/>
      <c r="CB643" s="10"/>
      <c r="CC643" s="10"/>
      <c r="CD643" s="10"/>
      <c r="CE643" s="10"/>
      <c r="CF643" s="10"/>
      <c r="CG643" s="10"/>
      <c r="CH643" s="10"/>
      <c r="CI643" s="10"/>
      <c r="CJ643" s="10"/>
      <c r="CK643" s="10"/>
      <c r="CL643" s="10"/>
      <c r="CM643" s="10"/>
      <c r="CN643" s="10"/>
      <c r="CO643" s="10"/>
      <c r="CP643" s="10"/>
    </row>
    <row r="644" spans="1:132">
      <c r="A644" s="10"/>
      <c r="B644" s="10"/>
      <c r="C644" s="40"/>
      <c r="D644" s="10"/>
      <c r="E644" s="14"/>
      <c r="F644" s="10"/>
      <c r="G644" s="11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  <c r="BB644" s="10"/>
      <c r="BC644" s="10"/>
      <c r="BD644" s="10"/>
      <c r="BE644" s="10"/>
      <c r="BF644" s="10"/>
      <c r="BG644" s="10"/>
      <c r="BH644" s="10"/>
      <c r="BI644" s="10"/>
      <c r="BJ644" s="10"/>
      <c r="BK644" s="10"/>
      <c r="BL644" s="10"/>
      <c r="BM644" s="10"/>
      <c r="BN644" s="10"/>
      <c r="BO644" s="10"/>
      <c r="BP644" s="10"/>
      <c r="BQ644" s="10"/>
      <c r="BR644" s="10"/>
      <c r="BS644" s="10"/>
      <c r="BT644" s="10"/>
      <c r="BU644" s="10"/>
      <c r="BV644" s="10"/>
      <c r="BW644" s="10"/>
      <c r="BX644" s="10"/>
      <c r="BY644" s="10"/>
      <c r="BZ644" s="10"/>
      <c r="CA644" s="10"/>
      <c r="CB644" s="10"/>
      <c r="CC644" s="10"/>
      <c r="CD644" s="10"/>
      <c r="CE644" s="10"/>
      <c r="CF644" s="10"/>
      <c r="CG644" s="10"/>
      <c r="CH644" s="10"/>
      <c r="CI644" s="10"/>
      <c r="CJ644" s="10"/>
      <c r="CK644" s="10"/>
      <c r="CL644" s="10"/>
      <c r="CM644" s="10"/>
      <c r="CN644" s="10"/>
      <c r="CO644" s="10"/>
      <c r="CP644" s="10"/>
    </row>
    <row r="645" spans="1:132">
      <c r="A645" s="10"/>
      <c r="B645" s="10"/>
      <c r="C645" s="32" t="s">
        <v>1362</v>
      </c>
      <c r="D645" s="40"/>
      <c r="E645" s="40"/>
      <c r="F645" s="40"/>
      <c r="G645" s="205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  <c r="BB645" s="10"/>
      <c r="BC645" s="10"/>
      <c r="BD645" s="10"/>
      <c r="BE645" s="10"/>
      <c r="BF645" s="10"/>
      <c r="BG645" s="10"/>
      <c r="BH645" s="10"/>
      <c r="BI645" s="10"/>
      <c r="BJ645" s="10"/>
      <c r="BK645" s="10"/>
      <c r="BL645" s="10"/>
      <c r="BM645" s="10"/>
      <c r="BN645" s="10"/>
      <c r="BO645" s="10"/>
      <c r="BP645" s="10"/>
      <c r="BQ645" s="10"/>
      <c r="BR645" s="10"/>
      <c r="BS645" s="10"/>
      <c r="BT645" s="10"/>
      <c r="BU645" s="10"/>
      <c r="BV645" s="10"/>
      <c r="BW645" s="10"/>
      <c r="BX645" s="10"/>
      <c r="BY645" s="10"/>
      <c r="BZ645" s="10"/>
      <c r="CA645" s="10"/>
      <c r="CB645" s="10"/>
      <c r="CC645" s="10"/>
      <c r="CD645" s="10"/>
      <c r="CE645" s="10"/>
      <c r="CF645" s="10"/>
      <c r="CG645" s="10"/>
      <c r="CH645" s="10"/>
      <c r="CI645" s="10"/>
      <c r="CJ645" s="10"/>
      <c r="CK645" s="10"/>
      <c r="CL645" s="10"/>
      <c r="CM645" s="10"/>
      <c r="CN645" s="10"/>
      <c r="CO645" s="10"/>
      <c r="CP645" s="10"/>
      <c r="CQ645" s="10"/>
      <c r="CR645" s="10"/>
      <c r="CS645" s="10"/>
      <c r="CT645" s="10"/>
      <c r="CU645" s="10"/>
      <c r="CV645" s="10"/>
      <c r="CW645" s="10"/>
      <c r="CX645" s="10"/>
      <c r="CY645" s="10"/>
      <c r="CZ645" s="10"/>
      <c r="DA645" s="10"/>
      <c r="DB645" s="10"/>
      <c r="DC645" s="10"/>
      <c r="DD645" s="10"/>
      <c r="DE645" s="10"/>
      <c r="DF645" s="10"/>
      <c r="DG645" s="10"/>
      <c r="DH645" s="10"/>
      <c r="DI645" s="10"/>
      <c r="DJ645" s="10"/>
      <c r="DK645" s="10"/>
      <c r="DL645" s="10"/>
      <c r="DM645" s="10"/>
      <c r="DN645" s="10"/>
      <c r="DO645" s="10"/>
      <c r="DP645" s="10"/>
      <c r="DQ645" s="10"/>
      <c r="DR645" s="10"/>
      <c r="DS645" s="10"/>
      <c r="DT645" s="10"/>
      <c r="DU645" s="10"/>
      <c r="DV645" s="10"/>
      <c r="DW645" s="10"/>
      <c r="DX645" s="10"/>
      <c r="DY645" s="10"/>
      <c r="DZ645" s="10"/>
      <c r="EA645" s="10"/>
      <c r="EB645" s="3"/>
    </row>
    <row r="646" spans="1:132" ht="26">
      <c r="A646" s="10"/>
      <c r="B646" s="10"/>
      <c r="C646" s="40" t="s">
        <v>1363</v>
      </c>
      <c r="D646" s="40"/>
      <c r="E646" s="406" t="s">
        <v>1364</v>
      </c>
      <c r="F646" s="40"/>
      <c r="G646" s="205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  <c r="BI646" s="10"/>
      <c r="BJ646" s="10"/>
      <c r="BK646" s="10"/>
      <c r="BL646" s="10"/>
      <c r="BM646" s="10"/>
      <c r="BN646" s="10"/>
      <c r="BO646" s="10"/>
      <c r="BP646" s="10"/>
      <c r="BQ646" s="10"/>
      <c r="BR646" s="10"/>
      <c r="BS646" s="10"/>
      <c r="BT646" s="10"/>
      <c r="BU646" s="10"/>
      <c r="BV646" s="10"/>
      <c r="BW646" s="10"/>
      <c r="BX646" s="10"/>
      <c r="BY646" s="10"/>
      <c r="BZ646" s="10"/>
      <c r="CA646" s="10"/>
      <c r="CB646" s="10"/>
      <c r="CC646" s="10"/>
      <c r="CD646" s="10"/>
      <c r="CE646" s="10"/>
      <c r="CF646" s="10"/>
      <c r="CG646" s="10"/>
      <c r="CH646" s="10"/>
      <c r="CI646" s="10"/>
      <c r="CJ646" s="10"/>
      <c r="CK646" s="10"/>
      <c r="CL646" s="10"/>
      <c r="CM646" s="10"/>
      <c r="CN646" s="10"/>
      <c r="CO646" s="10"/>
      <c r="CP646" s="10"/>
      <c r="CQ646" s="10"/>
      <c r="CR646" s="10"/>
      <c r="CS646" s="10"/>
      <c r="CT646" s="10"/>
      <c r="CU646" s="10"/>
      <c r="CV646" s="10"/>
      <c r="CW646" s="10"/>
      <c r="CX646" s="10"/>
      <c r="CY646" s="10"/>
      <c r="CZ646" s="10"/>
      <c r="DA646" s="10"/>
      <c r="DB646" s="10"/>
      <c r="DC646" s="10"/>
      <c r="DD646" s="10"/>
      <c r="DE646" s="10"/>
      <c r="DF646" s="10"/>
      <c r="DG646" s="10"/>
      <c r="DH646" s="10"/>
      <c r="DI646" s="10"/>
      <c r="DJ646" s="10"/>
      <c r="DK646" s="10"/>
      <c r="DL646" s="10"/>
      <c r="DM646" s="10"/>
      <c r="DN646" s="10"/>
      <c r="DO646" s="10"/>
      <c r="DP646" s="10"/>
      <c r="DQ646" s="10"/>
      <c r="DR646" s="10"/>
      <c r="DS646" s="10"/>
      <c r="DT646" s="10"/>
      <c r="DU646" s="10"/>
      <c r="DV646" s="10"/>
      <c r="DW646" s="10"/>
      <c r="DX646" s="10"/>
      <c r="DY646" s="10"/>
      <c r="DZ646" s="10"/>
      <c r="EA646" s="10"/>
      <c r="EB646" s="3"/>
    </row>
    <row r="647" spans="1:132">
      <c r="A647" s="10"/>
      <c r="B647" s="10"/>
      <c r="C647" s="40"/>
      <c r="D647" s="40"/>
      <c r="E647" s="40"/>
      <c r="F647" s="40"/>
      <c r="G647" s="205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  <c r="BI647" s="10"/>
      <c r="BJ647" s="10"/>
      <c r="BK647" s="10"/>
      <c r="BL647" s="10"/>
      <c r="BM647" s="10"/>
      <c r="BN647" s="10"/>
      <c r="BO647" s="10"/>
      <c r="BP647" s="10"/>
      <c r="BQ647" s="10"/>
      <c r="BR647" s="10"/>
      <c r="BS647" s="10"/>
      <c r="BT647" s="10"/>
      <c r="BU647" s="10"/>
      <c r="BV647" s="10"/>
      <c r="BW647" s="10"/>
      <c r="BX647" s="10"/>
      <c r="BY647" s="10"/>
      <c r="BZ647" s="10"/>
      <c r="CA647" s="10"/>
      <c r="CB647" s="10"/>
      <c r="CC647" s="10"/>
      <c r="CD647" s="10"/>
      <c r="CE647" s="10"/>
      <c r="CF647" s="10"/>
      <c r="CG647" s="10"/>
      <c r="CH647" s="10"/>
      <c r="CI647" s="10"/>
      <c r="CJ647" s="10"/>
      <c r="CK647" s="10"/>
      <c r="CL647" s="10"/>
      <c r="CM647" s="10"/>
      <c r="CN647" s="10"/>
      <c r="CO647" s="10"/>
      <c r="CP647" s="10"/>
      <c r="CQ647" s="10"/>
      <c r="CR647" s="10"/>
      <c r="CS647" s="10"/>
      <c r="CT647" s="10"/>
      <c r="CU647" s="10"/>
      <c r="CV647" s="10"/>
      <c r="CW647" s="10"/>
      <c r="CX647" s="10"/>
      <c r="CY647" s="10"/>
      <c r="CZ647" s="10"/>
      <c r="DA647" s="10"/>
      <c r="DB647" s="10"/>
      <c r="DC647" s="10"/>
      <c r="DD647" s="10"/>
      <c r="DE647" s="10"/>
      <c r="DF647" s="10"/>
      <c r="DG647" s="10"/>
      <c r="DH647" s="10"/>
      <c r="DI647" s="10"/>
      <c r="DJ647" s="10"/>
      <c r="DK647" s="10"/>
      <c r="DL647" s="10"/>
      <c r="DM647" s="10"/>
      <c r="DN647" s="10"/>
      <c r="DO647" s="10"/>
      <c r="DP647" s="10"/>
      <c r="DQ647" s="10"/>
      <c r="DR647" s="10"/>
      <c r="DS647" s="10"/>
      <c r="DT647" s="10"/>
      <c r="DU647" s="10"/>
      <c r="DV647" s="10"/>
      <c r="DW647" s="10"/>
      <c r="DX647" s="10"/>
      <c r="DY647" s="10"/>
      <c r="DZ647" s="10"/>
      <c r="EA647" s="10"/>
      <c r="EB647" s="3"/>
    </row>
    <row r="648" spans="1:132">
      <c r="A648" s="10"/>
      <c r="B648" s="10"/>
      <c r="C648" s="40" t="s">
        <v>1365</v>
      </c>
      <c r="D648" s="40"/>
      <c r="E648" s="11">
        <f>(C648=$E$646)*1</f>
        <v>0</v>
      </c>
      <c r="F648" s="10"/>
      <c r="G648" s="11" t="s">
        <v>347</v>
      </c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  <c r="BI648" s="10"/>
      <c r="BJ648" s="10"/>
      <c r="BK648" s="10"/>
      <c r="BL648" s="10"/>
      <c r="BM648" s="10"/>
      <c r="BN648" s="10"/>
      <c r="BO648" s="10"/>
      <c r="BP648" s="10"/>
      <c r="BQ648" s="10"/>
      <c r="BR648" s="10"/>
      <c r="BS648" s="10"/>
      <c r="BT648" s="10"/>
      <c r="BU648" s="10"/>
      <c r="BV648" s="10"/>
      <c r="BW648" s="10"/>
      <c r="BX648" s="10"/>
      <c r="BY648" s="10"/>
      <c r="BZ648" s="10"/>
      <c r="CA648" s="10"/>
      <c r="CB648" s="10"/>
      <c r="CC648" s="10"/>
      <c r="CD648" s="10"/>
      <c r="CE648" s="10"/>
      <c r="CF648" s="10"/>
      <c r="CG648" s="10"/>
      <c r="CH648" s="10"/>
      <c r="CI648" s="10"/>
      <c r="CJ648" s="10"/>
      <c r="CK648" s="10"/>
      <c r="CL648" s="10"/>
      <c r="CM648" s="10"/>
      <c r="CN648" s="10"/>
      <c r="CO648" s="10"/>
      <c r="CP648" s="10"/>
      <c r="CQ648" s="10"/>
      <c r="CR648" s="10"/>
      <c r="CS648" s="10"/>
      <c r="CT648" s="10"/>
      <c r="CU648" s="10"/>
      <c r="CV648" s="10"/>
      <c r="CW648" s="10"/>
      <c r="CX648" s="10"/>
      <c r="CY648" s="10"/>
      <c r="CZ648" s="10"/>
      <c r="DA648" s="10"/>
      <c r="DB648" s="10"/>
      <c r="DC648" s="10"/>
      <c r="DD648" s="10"/>
      <c r="DE648" s="10"/>
      <c r="DF648" s="10"/>
      <c r="DG648" s="10"/>
      <c r="DH648" s="10"/>
      <c r="DI648" s="10"/>
      <c r="DJ648" s="10"/>
      <c r="DK648" s="10"/>
      <c r="DL648" s="10"/>
      <c r="DM648" s="10"/>
      <c r="DN648" s="10"/>
      <c r="DO648" s="10"/>
      <c r="DP648" s="10"/>
      <c r="DQ648" s="10"/>
      <c r="DR648" s="10"/>
      <c r="DS648" s="10"/>
      <c r="DT648" s="10"/>
      <c r="DU648" s="10"/>
      <c r="DV648" s="10"/>
      <c r="DW648" s="10"/>
      <c r="DX648" s="10"/>
      <c r="DY648" s="10"/>
      <c r="DZ648" s="10"/>
      <c r="EA648" s="10"/>
      <c r="EB648" s="3"/>
    </row>
    <row r="649" spans="1:132">
      <c r="A649" s="10"/>
      <c r="B649" s="10"/>
      <c r="C649" s="40" t="s">
        <v>1364</v>
      </c>
      <c r="D649" s="40"/>
      <c r="E649" s="11">
        <f>(C649=$E$646)*1</f>
        <v>1</v>
      </c>
      <c r="F649" s="10"/>
      <c r="G649" s="11" t="s">
        <v>347</v>
      </c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  <c r="BI649" s="10"/>
      <c r="BJ649" s="10"/>
      <c r="BK649" s="10"/>
      <c r="BL649" s="10"/>
      <c r="BM649" s="10"/>
      <c r="BN649" s="10"/>
      <c r="BO649" s="10"/>
      <c r="BP649" s="10"/>
      <c r="BQ649" s="10"/>
      <c r="BR649" s="10"/>
      <c r="BS649" s="10"/>
      <c r="BT649" s="10"/>
      <c r="BU649" s="10"/>
      <c r="BV649" s="10"/>
      <c r="BW649" s="10"/>
      <c r="BX649" s="10"/>
      <c r="BY649" s="10"/>
      <c r="BZ649" s="10"/>
      <c r="CA649" s="10"/>
      <c r="CB649" s="10"/>
      <c r="CC649" s="10"/>
      <c r="CD649" s="10"/>
      <c r="CE649" s="10"/>
      <c r="CF649" s="10"/>
      <c r="CG649" s="10"/>
      <c r="CH649" s="10"/>
      <c r="CI649" s="10"/>
      <c r="CJ649" s="10"/>
      <c r="CK649" s="10"/>
      <c r="CL649" s="10"/>
      <c r="CM649" s="10"/>
      <c r="CN649" s="10"/>
      <c r="CO649" s="10"/>
      <c r="CP649" s="10"/>
      <c r="CQ649" s="10"/>
      <c r="CR649" s="10"/>
      <c r="CS649" s="10"/>
      <c r="CT649" s="10"/>
      <c r="CU649" s="10"/>
      <c r="CV649" s="10"/>
      <c r="CW649" s="10"/>
      <c r="CX649" s="10"/>
      <c r="CY649" s="10"/>
      <c r="CZ649" s="10"/>
      <c r="DA649" s="10"/>
      <c r="DB649" s="10"/>
      <c r="DC649" s="10"/>
      <c r="DD649" s="10"/>
      <c r="DE649" s="10"/>
      <c r="DF649" s="10"/>
      <c r="DG649" s="10"/>
      <c r="DH649" s="10"/>
      <c r="DI649" s="10"/>
      <c r="DJ649" s="10"/>
      <c r="DK649" s="10"/>
      <c r="DL649" s="10"/>
      <c r="DM649" s="10"/>
      <c r="DN649" s="10"/>
      <c r="DO649" s="10"/>
      <c r="DP649" s="10"/>
      <c r="DQ649" s="10"/>
      <c r="DR649" s="10"/>
      <c r="DS649" s="10"/>
      <c r="DT649" s="10"/>
      <c r="DU649" s="10"/>
      <c r="DV649" s="10"/>
      <c r="DW649" s="10"/>
      <c r="DX649" s="10"/>
      <c r="DY649" s="10"/>
      <c r="DZ649" s="10"/>
      <c r="EA649" s="10"/>
      <c r="EB649" s="3"/>
    </row>
    <row r="650" spans="1:132" ht="15" customHeight="1" thickBot="1">
      <c r="A650" s="10"/>
      <c r="B650" s="10"/>
      <c r="C650" s="12" t="s">
        <v>111</v>
      </c>
      <c r="D650" s="12"/>
      <c r="E650" s="12"/>
      <c r="F650" s="12"/>
      <c r="G650" s="12"/>
      <c r="H650" s="12"/>
      <c r="I650" s="12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  <c r="BI650" s="10"/>
      <c r="BJ650" s="10"/>
      <c r="BK650" s="10"/>
      <c r="BL650" s="10"/>
      <c r="BM650" s="10"/>
      <c r="BN650" s="10"/>
      <c r="BO650" s="10"/>
      <c r="BP650" s="10"/>
      <c r="BQ650" s="10"/>
      <c r="BR650" s="10"/>
      <c r="BS650" s="10"/>
      <c r="BT650" s="10"/>
      <c r="BU650" s="10"/>
      <c r="BV650" s="10"/>
      <c r="BW650" s="10"/>
      <c r="BX650" s="10"/>
      <c r="BY650" s="10"/>
      <c r="BZ650" s="10"/>
      <c r="CA650" s="10"/>
      <c r="CB650" s="10"/>
      <c r="CC650" s="10"/>
      <c r="CD650" s="10"/>
      <c r="CE650" s="10"/>
      <c r="CF650" s="10"/>
      <c r="CG650" s="10"/>
      <c r="CH650" s="10"/>
      <c r="CI650" s="10"/>
      <c r="CJ650" s="10"/>
      <c r="CK650" s="10"/>
      <c r="CL650" s="10"/>
      <c r="CM650" s="10"/>
      <c r="CN650" s="10"/>
      <c r="CO650" s="10"/>
      <c r="CP650" s="10"/>
    </row>
    <row r="651" spans="1:132" ht="15" customHeight="1">
      <c r="A651" s="10"/>
      <c r="B651" s="10"/>
      <c r="C651" s="10"/>
      <c r="D651" s="10"/>
      <c r="E651" s="10"/>
      <c r="F651" s="68"/>
      <c r="G651" s="142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  <c r="BI651" s="10"/>
      <c r="BJ651" s="10"/>
      <c r="BK651" s="10"/>
      <c r="BL651" s="10"/>
      <c r="BM651" s="10"/>
      <c r="BN651" s="10"/>
      <c r="BO651" s="10"/>
      <c r="BP651" s="10"/>
      <c r="BQ651" s="10"/>
      <c r="BR651" s="10"/>
      <c r="BS651" s="10"/>
      <c r="BT651" s="10"/>
      <c r="BU651" s="10"/>
      <c r="BV651" s="10"/>
      <c r="BW651" s="10"/>
      <c r="BX651" s="10"/>
      <c r="BY651" s="10"/>
      <c r="BZ651" s="10"/>
      <c r="CA651" s="10"/>
      <c r="CB651" s="10"/>
      <c r="CC651" s="10"/>
      <c r="CD651" s="10"/>
      <c r="CE651" s="10"/>
      <c r="CF651" s="10"/>
      <c r="CG651" s="10"/>
      <c r="CH651" s="10"/>
      <c r="CI651" s="10"/>
      <c r="CJ651" s="10"/>
      <c r="CK651" s="10"/>
      <c r="CL651" s="10"/>
      <c r="CM651" s="10"/>
      <c r="CN651" s="10"/>
      <c r="CO651" s="10"/>
      <c r="CP651" s="10"/>
    </row>
    <row r="652" spans="1:132" ht="15" customHeight="1">
      <c r="A652" s="10"/>
      <c r="B652" s="10"/>
      <c r="C652" s="17" t="s">
        <v>119</v>
      </c>
      <c r="D652" s="10"/>
      <c r="E652" s="80">
        <v>0</v>
      </c>
      <c r="F652" s="68"/>
      <c r="G652" s="142" t="s">
        <v>28</v>
      </c>
      <c r="H652" s="10" t="s">
        <v>1356</v>
      </c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  <c r="BI652" s="10"/>
      <c r="BJ652" s="10"/>
      <c r="BK652" s="10"/>
      <c r="BL652" s="10"/>
      <c r="BM652" s="10"/>
      <c r="BN652" s="10"/>
      <c r="BO652" s="10"/>
      <c r="BP652" s="10"/>
      <c r="BQ652" s="10"/>
      <c r="BR652" s="10"/>
      <c r="BS652" s="10"/>
      <c r="BT652" s="10"/>
      <c r="BU652" s="10"/>
      <c r="BV652" s="10"/>
      <c r="BW652" s="10"/>
      <c r="BX652" s="10"/>
      <c r="BY652" s="10"/>
      <c r="BZ652" s="10"/>
      <c r="CA652" s="10"/>
      <c r="CB652" s="10"/>
      <c r="CC652" s="10"/>
      <c r="CD652" s="10"/>
      <c r="CE652" s="10"/>
      <c r="CF652" s="10"/>
      <c r="CG652" s="10"/>
      <c r="CH652" s="10"/>
      <c r="CI652" s="10"/>
      <c r="CJ652" s="10"/>
      <c r="CK652" s="10"/>
      <c r="CL652" s="10"/>
      <c r="CM652" s="10"/>
      <c r="CN652" s="10"/>
      <c r="CO652" s="10"/>
      <c r="CP652" s="10"/>
    </row>
    <row r="653" spans="1:132" ht="15" customHeight="1">
      <c r="A653" s="10"/>
      <c r="B653" s="10"/>
      <c r="C653" s="10"/>
      <c r="D653" s="10"/>
      <c r="E653" s="10"/>
      <c r="F653" s="10"/>
      <c r="G653" s="11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  <c r="BI653" s="10"/>
      <c r="BJ653" s="10"/>
      <c r="BK653" s="10"/>
      <c r="BL653" s="10"/>
      <c r="BM653" s="10"/>
      <c r="BN653" s="10"/>
      <c r="BO653" s="10"/>
      <c r="BP653" s="10"/>
      <c r="BQ653" s="10"/>
      <c r="BR653" s="10"/>
      <c r="BS653" s="10"/>
      <c r="BT653" s="10"/>
      <c r="BU653" s="10"/>
      <c r="BV653" s="10"/>
      <c r="BW653" s="10"/>
      <c r="BX653" s="10"/>
      <c r="BY653" s="10"/>
      <c r="BZ653" s="10"/>
      <c r="CA653" s="10"/>
      <c r="CB653" s="10"/>
      <c r="CC653" s="10"/>
      <c r="CD653" s="10"/>
      <c r="CE653" s="10"/>
      <c r="CF653" s="10"/>
      <c r="CG653" s="10"/>
      <c r="CH653" s="10"/>
      <c r="CI653" s="10"/>
      <c r="CJ653" s="10"/>
      <c r="CK653" s="10"/>
      <c r="CL653" s="10"/>
      <c r="CM653" s="10"/>
      <c r="CN653" s="10"/>
      <c r="CO653" s="10"/>
      <c r="CP653" s="10"/>
    </row>
    <row r="654" spans="1:132" ht="15" customHeight="1" thickBot="1">
      <c r="A654" s="10"/>
      <c r="B654" s="10"/>
      <c r="C654" s="12" t="s">
        <v>455</v>
      </c>
      <c r="D654" s="12"/>
      <c r="E654" s="12"/>
      <c r="F654" s="12"/>
      <c r="G654" s="12"/>
      <c r="H654" s="12"/>
      <c r="I654" s="12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  <c r="BB654" s="10"/>
      <c r="BC654" s="10"/>
      <c r="BD654" s="10"/>
      <c r="BE654" s="10"/>
      <c r="BF654" s="10"/>
      <c r="BG654" s="10"/>
      <c r="BH654" s="10"/>
      <c r="BI654" s="10"/>
      <c r="BJ654" s="10"/>
      <c r="BK654" s="10"/>
      <c r="BL654" s="10"/>
      <c r="BM654" s="10"/>
      <c r="BN654" s="10"/>
      <c r="BO654" s="10"/>
      <c r="BP654" s="10"/>
      <c r="BQ654" s="10"/>
      <c r="BR654" s="10"/>
      <c r="BS654" s="10"/>
      <c r="BT654" s="10"/>
      <c r="BU654" s="10"/>
      <c r="BV654" s="10"/>
      <c r="BW654" s="10"/>
      <c r="BX654" s="10"/>
      <c r="BY654" s="10"/>
      <c r="BZ654" s="10"/>
      <c r="CA654" s="10"/>
      <c r="CB654" s="10"/>
      <c r="CC654" s="10"/>
      <c r="CD654" s="10"/>
      <c r="CE654" s="10"/>
      <c r="CF654" s="10"/>
      <c r="CG654" s="10"/>
      <c r="CH654" s="10"/>
      <c r="CI654" s="10"/>
      <c r="CJ654" s="10"/>
      <c r="CK654" s="10"/>
      <c r="CL654" s="10"/>
      <c r="CM654" s="10"/>
      <c r="CN654" s="10"/>
      <c r="CO654" s="10"/>
      <c r="CP654" s="10"/>
    </row>
    <row r="655" spans="1:132" ht="15" customHeight="1">
      <c r="A655" s="10"/>
      <c r="B655" s="10"/>
      <c r="C655" s="10"/>
      <c r="D655" s="10"/>
      <c r="E655" s="10"/>
      <c r="F655" s="68"/>
      <c r="G655" s="142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  <c r="BB655" s="10"/>
      <c r="BC655" s="10"/>
      <c r="BD655" s="10"/>
      <c r="BE655" s="10"/>
      <c r="BF655" s="10"/>
      <c r="BG655" s="10"/>
      <c r="BH655" s="10"/>
      <c r="BI655" s="10"/>
      <c r="BJ655" s="10"/>
      <c r="BK655" s="10"/>
      <c r="BL655" s="10"/>
      <c r="BM655" s="10"/>
      <c r="BN655" s="10"/>
      <c r="BO655" s="10"/>
      <c r="BP655" s="10"/>
      <c r="BQ655" s="10"/>
      <c r="BR655" s="10"/>
      <c r="BS655" s="10"/>
      <c r="BT655" s="10"/>
      <c r="BU655" s="10"/>
      <c r="BV655" s="10"/>
      <c r="BW655" s="10"/>
      <c r="BX655" s="10"/>
      <c r="BY655" s="10"/>
      <c r="BZ655" s="10"/>
      <c r="CA655" s="10"/>
      <c r="CB655" s="10"/>
      <c r="CC655" s="10"/>
      <c r="CD655" s="10"/>
      <c r="CE655" s="10"/>
      <c r="CF655" s="10"/>
      <c r="CG655" s="10"/>
      <c r="CH655" s="10"/>
      <c r="CI655" s="10"/>
      <c r="CJ655" s="10"/>
      <c r="CK655" s="10"/>
      <c r="CL655" s="10"/>
      <c r="CM655" s="10"/>
      <c r="CN655" s="10"/>
      <c r="CO655" s="10"/>
      <c r="CP655" s="10"/>
    </row>
    <row r="656" spans="1:132" ht="15" customHeight="1">
      <c r="A656" s="10"/>
      <c r="B656" s="10"/>
      <c r="C656" s="17" t="s">
        <v>1101</v>
      </c>
      <c r="D656" s="10"/>
      <c r="E656" s="14">
        <v>0</v>
      </c>
      <c r="F656" s="3"/>
      <c r="G656" s="142" t="str">
        <f xml:space="preserve"> Monetary_Unit</f>
        <v>тыс. руб.</v>
      </c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  <c r="BI656" s="10"/>
      <c r="BJ656" s="10"/>
      <c r="BK656" s="10"/>
      <c r="BL656" s="10"/>
      <c r="BM656" s="10"/>
      <c r="BN656" s="10"/>
      <c r="BO656" s="10"/>
      <c r="BP656" s="10"/>
      <c r="BQ656" s="10"/>
      <c r="BR656" s="10"/>
      <c r="BS656" s="10"/>
      <c r="BT656" s="10"/>
      <c r="BU656" s="10"/>
      <c r="BV656" s="10"/>
      <c r="BW656" s="10"/>
      <c r="BX656" s="10"/>
      <c r="BY656" s="10"/>
      <c r="BZ656" s="10"/>
      <c r="CA656" s="10"/>
      <c r="CB656" s="10"/>
      <c r="CC656" s="10"/>
      <c r="CD656" s="10"/>
      <c r="CE656" s="10"/>
      <c r="CF656" s="10"/>
      <c r="CG656" s="10"/>
      <c r="CH656" s="10"/>
      <c r="CI656" s="10"/>
      <c r="CJ656" s="10"/>
      <c r="CK656" s="10"/>
      <c r="CL656" s="10"/>
      <c r="CM656" s="10"/>
      <c r="CN656" s="10"/>
      <c r="CO656" s="10"/>
      <c r="CP656" s="10"/>
    </row>
    <row r="657" spans="1:130" ht="15" customHeight="1">
      <c r="A657" s="10"/>
      <c r="B657" s="10"/>
      <c r="C657" s="17" t="s">
        <v>474</v>
      </c>
      <c r="D657" s="10"/>
      <c r="E657" s="80">
        <v>0</v>
      </c>
      <c r="F657" s="68"/>
      <c r="G657" s="142" t="s">
        <v>28</v>
      </c>
      <c r="H657" s="10" t="s">
        <v>1356</v>
      </c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  <c r="BI657" s="10"/>
      <c r="BJ657" s="10"/>
      <c r="BK657" s="10"/>
      <c r="BL657" s="10"/>
      <c r="BM657" s="10"/>
      <c r="BN657" s="10"/>
      <c r="BO657" s="10"/>
      <c r="BP657" s="10"/>
      <c r="BQ657" s="10"/>
      <c r="BR657" s="10"/>
      <c r="BS657" s="10"/>
      <c r="BT657" s="10"/>
      <c r="BU657" s="10"/>
      <c r="BV657" s="10"/>
      <c r="BW657" s="10"/>
      <c r="BX657" s="10"/>
      <c r="BY657" s="10"/>
      <c r="BZ657" s="10"/>
      <c r="CA657" s="10"/>
      <c r="CB657" s="10"/>
      <c r="CC657" s="10"/>
      <c r="CD657" s="10"/>
      <c r="CE657" s="10"/>
      <c r="CF657" s="10"/>
      <c r="CG657" s="10"/>
      <c r="CH657" s="10"/>
      <c r="CI657" s="10"/>
      <c r="CJ657" s="10"/>
      <c r="CK657" s="10"/>
      <c r="CL657" s="10"/>
      <c r="CM657" s="10"/>
      <c r="CN657" s="10"/>
      <c r="CO657" s="10"/>
      <c r="CP657" s="10"/>
    </row>
    <row r="658" spans="1:130" ht="15" customHeight="1">
      <c r="A658" s="10"/>
      <c r="B658" s="10"/>
      <c r="C658" s="10"/>
      <c r="D658" s="10"/>
      <c r="E658" s="59"/>
      <c r="F658" s="3"/>
      <c r="G658" s="142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  <c r="CD658" s="10"/>
      <c r="CE658" s="10"/>
      <c r="CF658" s="10"/>
      <c r="CG658" s="10"/>
      <c r="CH658" s="10"/>
      <c r="CI658" s="10"/>
      <c r="CJ658" s="10"/>
      <c r="CK658" s="10"/>
      <c r="CL658" s="10"/>
      <c r="CM658" s="10"/>
      <c r="CN658" s="10"/>
      <c r="CO658" s="10"/>
      <c r="CP658" s="10"/>
      <c r="CQ658" s="10"/>
      <c r="CR658" s="10"/>
      <c r="CS658" s="10"/>
      <c r="CT658" s="10"/>
      <c r="CU658" s="10"/>
      <c r="CV658" s="10"/>
      <c r="CW658" s="10"/>
      <c r="CX658" s="10"/>
      <c r="CY658" s="10"/>
      <c r="CZ658" s="10"/>
      <c r="DA658" s="10"/>
      <c r="DB658" s="10"/>
      <c r="DC658" s="10"/>
      <c r="DD658" s="10"/>
      <c r="DE658" s="10"/>
      <c r="DF658" s="10"/>
      <c r="DG658" s="10"/>
      <c r="DH658" s="10"/>
      <c r="DI658" s="10"/>
      <c r="DJ658" s="10"/>
      <c r="DK658" s="10"/>
      <c r="DL658" s="10"/>
      <c r="DM658" s="10"/>
      <c r="DN658" s="10"/>
      <c r="DO658" s="10"/>
      <c r="DP658" s="10"/>
      <c r="DQ658" s="10"/>
      <c r="DR658" s="10"/>
      <c r="DS658" s="10"/>
      <c r="DT658" s="10"/>
      <c r="DU658" s="10"/>
      <c r="DV658" s="10"/>
      <c r="DW658" s="10"/>
      <c r="DX658" s="10"/>
      <c r="DY658" s="10"/>
      <c r="DZ658" s="10"/>
    </row>
    <row r="659" spans="1:130" ht="15" customHeight="1" thickBot="1">
      <c r="A659" s="10"/>
      <c r="B659" s="10"/>
      <c r="C659" s="12" t="s">
        <v>1061</v>
      </c>
      <c r="D659" s="12"/>
      <c r="E659" s="12"/>
      <c r="F659" s="12"/>
      <c r="G659" s="12"/>
      <c r="H659" s="12"/>
      <c r="I659" s="12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  <c r="BB659" s="10"/>
      <c r="BC659" s="10"/>
      <c r="BD659" s="10"/>
      <c r="BE659" s="10"/>
      <c r="BF659" s="10"/>
      <c r="BG659" s="10"/>
      <c r="BH659" s="10"/>
      <c r="BI659" s="10"/>
      <c r="BJ659" s="10"/>
      <c r="BK659" s="10"/>
      <c r="BL659" s="10"/>
      <c r="BM659" s="10"/>
      <c r="BN659" s="10"/>
      <c r="BO659" s="10"/>
      <c r="BP659" s="10"/>
      <c r="BQ659" s="10"/>
      <c r="BR659" s="10"/>
      <c r="BS659" s="10"/>
      <c r="BT659" s="10"/>
      <c r="BU659" s="10"/>
      <c r="BV659" s="10"/>
      <c r="BW659" s="10"/>
      <c r="BX659" s="10"/>
      <c r="BY659" s="10"/>
      <c r="BZ659" s="10"/>
      <c r="CA659" s="10"/>
      <c r="CB659" s="10"/>
      <c r="CC659" s="10"/>
      <c r="CD659" s="10"/>
      <c r="CE659" s="10"/>
      <c r="CF659" s="10"/>
      <c r="CG659" s="10"/>
      <c r="CH659" s="10"/>
      <c r="CI659" s="10"/>
      <c r="CJ659" s="10"/>
      <c r="CK659" s="10"/>
      <c r="CL659" s="10"/>
      <c r="CM659" s="10"/>
      <c r="CN659" s="10"/>
      <c r="CO659" s="10"/>
      <c r="CP659" s="10"/>
      <c r="CQ659" s="10"/>
      <c r="CR659" s="10"/>
      <c r="CS659" s="10"/>
      <c r="CT659" s="10"/>
      <c r="CU659" s="10"/>
      <c r="CV659" s="10"/>
      <c r="CW659" s="10"/>
      <c r="CX659" s="10"/>
      <c r="CY659" s="10"/>
      <c r="CZ659" s="10"/>
      <c r="DA659" s="10"/>
      <c r="DB659" s="10"/>
      <c r="DC659" s="10"/>
      <c r="DD659" s="10"/>
      <c r="DE659" s="10"/>
      <c r="DF659" s="10"/>
      <c r="DG659" s="10"/>
      <c r="DH659" s="10"/>
      <c r="DI659" s="10"/>
      <c r="DJ659" s="10"/>
      <c r="DK659" s="10"/>
      <c r="DL659" s="10"/>
      <c r="DM659" s="10"/>
      <c r="DN659" s="10"/>
      <c r="DO659" s="10"/>
      <c r="DP659" s="10"/>
      <c r="DQ659" s="10"/>
      <c r="DR659" s="10"/>
      <c r="DS659" s="10"/>
      <c r="DT659" s="10"/>
      <c r="DU659" s="10"/>
      <c r="DV659" s="10"/>
      <c r="DW659" s="10"/>
      <c r="DX659" s="10"/>
      <c r="DY659" s="10"/>
      <c r="DZ659" s="10"/>
    </row>
    <row r="660" spans="1:130" ht="15" customHeight="1">
      <c r="A660" s="10"/>
      <c r="B660" s="10"/>
      <c r="C660" s="17" t="s">
        <v>1184</v>
      </c>
      <c r="D660" s="10"/>
      <c r="E660" s="80">
        <v>0.13</v>
      </c>
      <c r="F660" s="3"/>
      <c r="G660" s="142" t="s">
        <v>28</v>
      </c>
      <c r="H660" s="10" t="s">
        <v>117</v>
      </c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  <c r="BB660" s="10"/>
      <c r="BC660" s="10"/>
      <c r="BD660" s="10"/>
      <c r="BE660" s="10"/>
      <c r="BF660" s="10"/>
      <c r="BG660" s="10"/>
      <c r="BH660" s="10"/>
      <c r="BI660" s="10"/>
      <c r="BJ660" s="10"/>
      <c r="BK660" s="10"/>
      <c r="BL660" s="10"/>
      <c r="BM660" s="10"/>
      <c r="BN660" s="10"/>
      <c r="BO660" s="10"/>
      <c r="BP660" s="10"/>
      <c r="BQ660" s="10"/>
      <c r="BR660" s="10"/>
      <c r="BS660" s="10"/>
      <c r="BT660" s="10"/>
      <c r="BU660" s="10"/>
      <c r="BV660" s="10"/>
      <c r="BW660" s="10"/>
      <c r="BX660" s="10"/>
      <c r="BY660" s="10"/>
      <c r="BZ660" s="10"/>
      <c r="CA660" s="10"/>
      <c r="CB660" s="10"/>
      <c r="CC660" s="10"/>
      <c r="CD660" s="10"/>
      <c r="CE660" s="10"/>
      <c r="CF660" s="10"/>
      <c r="CG660" s="10"/>
      <c r="CH660" s="10"/>
      <c r="CI660" s="10"/>
      <c r="CJ660" s="10"/>
      <c r="CK660" s="10"/>
      <c r="CL660" s="10"/>
      <c r="CM660" s="10"/>
      <c r="CN660" s="10"/>
      <c r="CO660" s="10"/>
      <c r="CP660" s="10"/>
      <c r="CQ660" s="10"/>
      <c r="CR660" s="10"/>
      <c r="CS660" s="10"/>
      <c r="CT660" s="10"/>
      <c r="CU660" s="10"/>
      <c r="CV660" s="10"/>
      <c r="CW660" s="10"/>
      <c r="CX660" s="10"/>
      <c r="CY660" s="10"/>
      <c r="CZ660" s="10"/>
      <c r="DA660" s="10"/>
      <c r="DB660" s="10"/>
      <c r="DC660" s="10"/>
      <c r="DD660" s="10"/>
      <c r="DE660" s="10"/>
      <c r="DF660" s="10"/>
      <c r="DG660" s="10"/>
      <c r="DH660" s="10"/>
      <c r="DI660" s="10"/>
      <c r="DJ660" s="10"/>
      <c r="DK660" s="10"/>
      <c r="DL660" s="10"/>
      <c r="DM660" s="10"/>
      <c r="DN660" s="10"/>
      <c r="DO660" s="10"/>
      <c r="DP660" s="10"/>
      <c r="DQ660" s="10"/>
      <c r="DR660" s="10"/>
      <c r="DS660" s="10"/>
      <c r="DT660" s="10"/>
      <c r="DU660" s="10"/>
      <c r="DV660" s="10"/>
      <c r="DW660" s="10"/>
      <c r="DX660" s="10"/>
      <c r="DY660" s="10"/>
      <c r="DZ660" s="10"/>
    </row>
    <row r="661" spans="1:130" ht="15" customHeight="1">
      <c r="A661" s="10"/>
      <c r="B661" s="10"/>
      <c r="C661" s="17" t="s">
        <v>1181</v>
      </c>
      <c r="D661" s="10"/>
      <c r="E661" s="80">
        <v>0.85</v>
      </c>
      <c r="F661" s="3"/>
      <c r="G661" s="142" t="s">
        <v>28</v>
      </c>
      <c r="H661" s="10" t="s">
        <v>117</v>
      </c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  <c r="BB661" s="10"/>
      <c r="BC661" s="10"/>
      <c r="BD661" s="10"/>
      <c r="BE661" s="10"/>
      <c r="BF661" s="10"/>
      <c r="BG661" s="10"/>
      <c r="BH661" s="10"/>
      <c r="BI661" s="10"/>
      <c r="BJ661" s="10"/>
      <c r="BK661" s="10"/>
      <c r="BL661" s="10"/>
      <c r="BM661" s="10"/>
      <c r="BN661" s="10"/>
      <c r="BO661" s="10"/>
      <c r="BP661" s="10"/>
      <c r="BQ661" s="10"/>
      <c r="BR661" s="10"/>
      <c r="BS661" s="10"/>
      <c r="BT661" s="10"/>
      <c r="BU661" s="10"/>
      <c r="BV661" s="10"/>
      <c r="BW661" s="10"/>
      <c r="BX661" s="10"/>
      <c r="BY661" s="10"/>
      <c r="BZ661" s="10"/>
      <c r="CA661" s="10"/>
      <c r="CB661" s="10"/>
      <c r="CC661" s="10"/>
      <c r="CD661" s="10"/>
      <c r="CE661" s="10"/>
      <c r="CF661" s="10"/>
      <c r="CG661" s="10"/>
      <c r="CH661" s="10"/>
      <c r="CI661" s="10"/>
      <c r="CJ661" s="10"/>
      <c r="CK661" s="10"/>
      <c r="CL661" s="10"/>
      <c r="CM661" s="10"/>
      <c r="CN661" s="10"/>
      <c r="CO661" s="10"/>
      <c r="CP661" s="10"/>
      <c r="CQ661" s="10"/>
      <c r="CR661" s="10"/>
      <c r="CS661" s="10"/>
      <c r="CT661" s="10"/>
      <c r="CU661" s="10"/>
      <c r="CV661" s="10"/>
      <c r="CW661" s="10"/>
      <c r="CX661" s="10"/>
      <c r="CY661" s="10"/>
      <c r="CZ661" s="10"/>
      <c r="DA661" s="10"/>
      <c r="DB661" s="10"/>
      <c r="DC661" s="10"/>
      <c r="DD661" s="10"/>
      <c r="DE661" s="10"/>
      <c r="DF661" s="10"/>
      <c r="DG661" s="10"/>
      <c r="DH661" s="10"/>
      <c r="DI661" s="10"/>
      <c r="DJ661" s="10"/>
      <c r="DK661" s="10"/>
      <c r="DL661" s="10"/>
      <c r="DM661" s="10"/>
      <c r="DN661" s="10"/>
      <c r="DO661" s="10"/>
      <c r="DP661" s="10"/>
      <c r="DQ661" s="10"/>
      <c r="DR661" s="10"/>
      <c r="DS661" s="10"/>
      <c r="DT661" s="10"/>
      <c r="DU661" s="10"/>
      <c r="DV661" s="10"/>
      <c r="DW661" s="10"/>
      <c r="DX661" s="10"/>
      <c r="DY661" s="10"/>
      <c r="DZ661" s="10"/>
    </row>
    <row r="662" spans="1:130" ht="15" customHeight="1">
      <c r="A662" s="10"/>
      <c r="B662" s="10"/>
      <c r="C662" s="17" t="s">
        <v>1182</v>
      </c>
      <c r="D662" s="10"/>
      <c r="E662" s="80">
        <v>0.05</v>
      </c>
      <c r="F662" s="3"/>
      <c r="G662" s="142" t="s">
        <v>28</v>
      </c>
      <c r="H662" s="10" t="s">
        <v>117</v>
      </c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  <c r="BB662" s="10"/>
      <c r="BC662" s="10"/>
      <c r="BD662" s="10"/>
      <c r="BE662" s="10"/>
      <c r="BF662" s="10"/>
      <c r="BG662" s="10"/>
      <c r="BH662" s="10"/>
      <c r="BI662" s="10"/>
      <c r="BJ662" s="10"/>
      <c r="BK662" s="10"/>
      <c r="BL662" s="10"/>
      <c r="BM662" s="10"/>
      <c r="BN662" s="10"/>
      <c r="BO662" s="10"/>
      <c r="BP662" s="10"/>
      <c r="BQ662" s="10"/>
      <c r="BR662" s="10"/>
      <c r="BS662" s="10"/>
      <c r="BT662" s="10"/>
      <c r="BU662" s="10"/>
      <c r="BV662" s="10"/>
      <c r="BW662" s="10"/>
      <c r="BX662" s="10"/>
      <c r="BY662" s="10"/>
      <c r="BZ662" s="10"/>
      <c r="CA662" s="10"/>
      <c r="CB662" s="10"/>
      <c r="CC662" s="10"/>
      <c r="CD662" s="10"/>
      <c r="CE662" s="10"/>
      <c r="CF662" s="10"/>
      <c r="CG662" s="10"/>
      <c r="CH662" s="10"/>
      <c r="CI662" s="10"/>
      <c r="CJ662" s="10"/>
      <c r="CK662" s="10"/>
      <c r="CL662" s="10"/>
      <c r="CM662" s="10"/>
      <c r="CN662" s="10"/>
      <c r="CO662" s="10"/>
      <c r="CP662" s="10"/>
      <c r="CQ662" s="10"/>
      <c r="CR662" s="10"/>
      <c r="CS662" s="10"/>
      <c r="CT662" s="10"/>
      <c r="CU662" s="10"/>
      <c r="CV662" s="10"/>
      <c r="CW662" s="10"/>
      <c r="CX662" s="10"/>
      <c r="CY662" s="10"/>
      <c r="CZ662" s="10"/>
      <c r="DA662" s="10"/>
      <c r="DB662" s="10"/>
      <c r="DC662" s="10"/>
      <c r="DD662" s="10"/>
      <c r="DE662" s="10"/>
      <c r="DF662" s="10"/>
      <c r="DG662" s="10"/>
      <c r="DH662" s="10"/>
      <c r="DI662" s="10"/>
      <c r="DJ662" s="10"/>
      <c r="DK662" s="10"/>
      <c r="DL662" s="10"/>
      <c r="DM662" s="10"/>
      <c r="DN662" s="10"/>
      <c r="DO662" s="10"/>
      <c r="DP662" s="10"/>
      <c r="DQ662" s="10"/>
      <c r="DR662" s="10"/>
      <c r="DS662" s="10"/>
      <c r="DT662" s="10"/>
      <c r="DU662" s="10"/>
      <c r="DV662" s="10"/>
      <c r="DW662" s="10"/>
      <c r="DX662" s="10"/>
      <c r="DY662" s="10"/>
      <c r="DZ662" s="10"/>
    </row>
    <row r="663" spans="1:130" ht="15" customHeight="1">
      <c r="A663" s="10"/>
      <c r="B663" s="10"/>
      <c r="C663" s="17" t="s">
        <v>1183</v>
      </c>
      <c r="D663" s="10"/>
      <c r="E663" s="80">
        <v>0.1</v>
      </c>
      <c r="F663" s="3"/>
      <c r="G663" s="142" t="s">
        <v>28</v>
      </c>
      <c r="H663" s="10" t="s">
        <v>117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  <c r="BB663" s="10"/>
      <c r="BC663" s="10"/>
      <c r="BD663" s="10"/>
      <c r="BE663" s="10"/>
      <c r="BF663" s="10"/>
      <c r="BG663" s="10"/>
      <c r="BH663" s="10"/>
      <c r="BI663" s="10"/>
      <c r="BJ663" s="10"/>
      <c r="BK663" s="10"/>
      <c r="BL663" s="10"/>
      <c r="BM663" s="10"/>
      <c r="BN663" s="10"/>
      <c r="BO663" s="10"/>
      <c r="BP663" s="10"/>
      <c r="BQ663" s="10"/>
      <c r="BR663" s="10"/>
      <c r="BS663" s="10"/>
      <c r="BT663" s="10"/>
      <c r="BU663" s="10"/>
      <c r="BV663" s="10"/>
      <c r="BW663" s="10"/>
      <c r="BX663" s="10"/>
      <c r="BY663" s="10"/>
      <c r="BZ663" s="10"/>
      <c r="CA663" s="10"/>
      <c r="CB663" s="10"/>
      <c r="CC663" s="10"/>
      <c r="CD663" s="10"/>
      <c r="CE663" s="10"/>
      <c r="CF663" s="10"/>
      <c r="CG663" s="10"/>
      <c r="CH663" s="10"/>
      <c r="CI663" s="10"/>
      <c r="CJ663" s="10"/>
      <c r="CK663" s="10"/>
      <c r="CL663" s="10"/>
      <c r="CM663" s="10"/>
      <c r="CN663" s="10"/>
      <c r="CO663" s="10"/>
      <c r="CP663" s="10"/>
      <c r="CQ663" s="10"/>
      <c r="CR663" s="10"/>
      <c r="CS663" s="10"/>
      <c r="CT663" s="10"/>
      <c r="CU663" s="10"/>
      <c r="CV663" s="10"/>
      <c r="CW663" s="10"/>
      <c r="CX663" s="10"/>
      <c r="CY663" s="10"/>
      <c r="CZ663" s="10"/>
      <c r="DA663" s="10"/>
      <c r="DB663" s="10"/>
      <c r="DC663" s="10"/>
      <c r="DD663" s="10"/>
      <c r="DE663" s="10"/>
      <c r="DF663" s="10"/>
      <c r="DG663" s="10"/>
      <c r="DH663" s="10"/>
      <c r="DI663" s="10"/>
      <c r="DJ663" s="10"/>
      <c r="DK663" s="10"/>
      <c r="DL663" s="10"/>
      <c r="DM663" s="10"/>
      <c r="DN663" s="10"/>
      <c r="DO663" s="10"/>
      <c r="DP663" s="10"/>
      <c r="DQ663" s="10"/>
      <c r="DR663" s="10"/>
      <c r="DS663" s="10"/>
      <c r="DT663" s="10"/>
      <c r="DU663" s="10"/>
      <c r="DV663" s="10"/>
      <c r="DW663" s="10"/>
      <c r="DX663" s="10"/>
      <c r="DY663" s="10"/>
      <c r="DZ663" s="10"/>
    </row>
    <row r="664" spans="1:130" ht="15" customHeight="1">
      <c r="A664" s="10"/>
      <c r="B664" s="10"/>
      <c r="C664" s="10"/>
      <c r="D664" s="10"/>
      <c r="E664" s="59"/>
      <c r="F664" s="3"/>
      <c r="G664" s="142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  <c r="BB664" s="10"/>
      <c r="BC664" s="10"/>
      <c r="BD664" s="10"/>
      <c r="BE664" s="10"/>
      <c r="BF664" s="10"/>
      <c r="BG664" s="10"/>
      <c r="BH664" s="10"/>
      <c r="BI664" s="10"/>
      <c r="BJ664" s="10"/>
      <c r="BK664" s="10"/>
      <c r="BL664" s="10"/>
      <c r="BM664" s="10"/>
      <c r="BN664" s="10"/>
      <c r="BO664" s="10"/>
      <c r="BP664" s="10"/>
      <c r="BQ664" s="10"/>
      <c r="BR664" s="10"/>
      <c r="BS664" s="10"/>
      <c r="BT664" s="10"/>
      <c r="BU664" s="10"/>
      <c r="BV664" s="10"/>
      <c r="BW664" s="10"/>
      <c r="BX664" s="10"/>
      <c r="BY664" s="10"/>
      <c r="BZ664" s="10"/>
      <c r="CA664" s="10"/>
      <c r="CB664" s="10"/>
      <c r="CC664" s="10"/>
      <c r="CD664" s="10"/>
      <c r="CE664" s="10"/>
      <c r="CF664" s="10"/>
      <c r="CG664" s="10"/>
      <c r="CH664" s="10"/>
      <c r="CI664" s="10"/>
      <c r="CJ664" s="10"/>
      <c r="CK664" s="10"/>
      <c r="CL664" s="10"/>
      <c r="CM664" s="10"/>
      <c r="CN664" s="10"/>
      <c r="CO664" s="10"/>
      <c r="CP664" s="10"/>
      <c r="CQ664" s="10"/>
      <c r="CR664" s="10"/>
      <c r="CS664" s="10"/>
      <c r="CT664" s="10"/>
      <c r="CU664" s="10"/>
      <c r="CV664" s="10"/>
      <c r="CW664" s="10"/>
      <c r="CX664" s="10"/>
      <c r="CY664" s="10"/>
      <c r="CZ664" s="10"/>
      <c r="DA664" s="10"/>
      <c r="DB664" s="10"/>
      <c r="DC664" s="10"/>
      <c r="DD664" s="10"/>
      <c r="DE664" s="10"/>
      <c r="DF664" s="10"/>
      <c r="DG664" s="10"/>
      <c r="DH664" s="10"/>
      <c r="DI664" s="10"/>
      <c r="DJ664" s="10"/>
      <c r="DK664" s="10"/>
      <c r="DL664" s="10"/>
      <c r="DM664" s="10"/>
      <c r="DN664" s="10"/>
      <c r="DO664" s="10"/>
      <c r="DP664" s="10"/>
      <c r="DQ664" s="10"/>
      <c r="DR664" s="10"/>
      <c r="DS664" s="10"/>
      <c r="DT664" s="10"/>
      <c r="DU664" s="10"/>
      <c r="DV664" s="10"/>
      <c r="DW664" s="10"/>
      <c r="DX664" s="10"/>
      <c r="DY664" s="10"/>
      <c r="DZ664" s="10"/>
    </row>
    <row r="665" spans="1:130" ht="15" customHeight="1" thickBot="1">
      <c r="A665" s="10"/>
      <c r="B665" s="10"/>
      <c r="C665" s="12" t="s">
        <v>1185</v>
      </c>
      <c r="D665" s="12"/>
      <c r="E665" s="12"/>
      <c r="F665" s="12"/>
      <c r="G665" s="12"/>
      <c r="H665" s="12"/>
      <c r="I665" s="12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  <c r="BB665" s="10"/>
      <c r="BC665" s="10"/>
      <c r="BD665" s="10"/>
      <c r="BE665" s="10"/>
      <c r="BF665" s="10"/>
      <c r="BG665" s="10"/>
      <c r="BH665" s="10"/>
      <c r="BI665" s="10"/>
      <c r="BJ665" s="10"/>
      <c r="BK665" s="10"/>
      <c r="BL665" s="10"/>
      <c r="BM665" s="10"/>
      <c r="BN665" s="10"/>
      <c r="BO665" s="10"/>
      <c r="BP665" s="10"/>
      <c r="BQ665" s="10"/>
      <c r="BR665" s="10"/>
      <c r="BS665" s="10"/>
      <c r="BT665" s="10"/>
      <c r="BU665" s="10"/>
      <c r="BV665" s="10"/>
      <c r="BW665" s="10"/>
      <c r="BX665" s="10"/>
      <c r="BY665" s="10"/>
      <c r="BZ665" s="10"/>
      <c r="CA665" s="10"/>
      <c r="CB665" s="10"/>
      <c r="CC665" s="10"/>
      <c r="CD665" s="10"/>
      <c r="CE665" s="10"/>
      <c r="CF665" s="10"/>
      <c r="CG665" s="10"/>
      <c r="CH665" s="10"/>
      <c r="CI665" s="10"/>
      <c r="CJ665" s="10"/>
      <c r="CK665" s="10"/>
      <c r="CL665" s="10"/>
      <c r="CM665" s="10"/>
      <c r="CN665" s="10"/>
      <c r="CO665" s="10"/>
      <c r="CP665" s="10"/>
      <c r="CQ665" s="10"/>
      <c r="CR665" s="10"/>
      <c r="CS665" s="10"/>
      <c r="CT665" s="10"/>
      <c r="CU665" s="10"/>
      <c r="CV665" s="10"/>
      <c r="CW665" s="10"/>
      <c r="CX665" s="10"/>
      <c r="CY665" s="10"/>
      <c r="CZ665" s="10"/>
      <c r="DA665" s="10"/>
      <c r="DB665" s="10"/>
      <c r="DC665" s="10"/>
      <c r="DD665" s="10"/>
      <c r="DE665" s="10"/>
      <c r="DF665" s="10"/>
      <c r="DG665" s="10"/>
      <c r="DH665" s="10"/>
      <c r="DI665" s="10"/>
      <c r="DJ665" s="10"/>
      <c r="DK665" s="10"/>
      <c r="DL665" s="10"/>
      <c r="DM665" s="10"/>
      <c r="DN665" s="10"/>
      <c r="DO665" s="10"/>
      <c r="DP665" s="10"/>
      <c r="DQ665" s="10"/>
      <c r="DR665" s="10"/>
      <c r="DS665" s="10"/>
      <c r="DT665" s="10"/>
      <c r="DU665" s="10"/>
      <c r="DV665" s="10"/>
      <c r="DW665" s="10"/>
      <c r="DX665" s="10"/>
      <c r="DY665" s="10"/>
      <c r="DZ665" s="10"/>
    </row>
    <row r="666" spans="1:130" ht="15" customHeight="1">
      <c r="A666" s="10"/>
      <c r="B666" s="10"/>
      <c r="C666" s="17" t="s">
        <v>1056</v>
      </c>
      <c r="D666" s="10"/>
      <c r="E666" s="80">
        <v>0.22</v>
      </c>
      <c r="F666" s="3"/>
      <c r="G666" s="142" t="s">
        <v>28</v>
      </c>
      <c r="H666" s="10" t="s">
        <v>117</v>
      </c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  <c r="BB666" s="10"/>
      <c r="BC666" s="10"/>
      <c r="BD666" s="10"/>
      <c r="BE666" s="10"/>
      <c r="BF666" s="10"/>
      <c r="BG666" s="10"/>
      <c r="BH666" s="10"/>
      <c r="BI666" s="10"/>
      <c r="BJ666" s="10"/>
      <c r="BK666" s="10"/>
      <c r="BL666" s="10"/>
      <c r="BM666" s="10"/>
      <c r="BN666" s="10"/>
      <c r="BO666" s="10"/>
      <c r="BP666" s="10"/>
      <c r="BQ666" s="10"/>
      <c r="BR666" s="10"/>
      <c r="BS666" s="10"/>
      <c r="BT666" s="10"/>
      <c r="BU666" s="10"/>
      <c r="BV666" s="10"/>
      <c r="BW666" s="10"/>
      <c r="BX666" s="10"/>
      <c r="BY666" s="10"/>
      <c r="BZ666" s="10"/>
      <c r="CA666" s="10"/>
      <c r="CB666" s="10"/>
      <c r="CC666" s="10"/>
      <c r="CD666" s="10"/>
      <c r="CE666" s="10"/>
      <c r="CF666" s="10"/>
      <c r="CG666" s="10"/>
      <c r="CH666" s="10"/>
      <c r="CI666" s="10"/>
      <c r="CJ666" s="10"/>
      <c r="CK666" s="10"/>
      <c r="CL666" s="10"/>
      <c r="CM666" s="10"/>
      <c r="CN666" s="10"/>
      <c r="CO666" s="10"/>
      <c r="CP666" s="10"/>
      <c r="CQ666" s="10"/>
      <c r="CR666" s="10"/>
      <c r="CS666" s="10"/>
      <c r="CT666" s="10"/>
      <c r="CU666" s="10"/>
      <c r="CV666" s="10"/>
      <c r="CW666" s="10"/>
      <c r="CX666" s="10"/>
      <c r="CY666" s="10"/>
      <c r="CZ666" s="10"/>
      <c r="DA666" s="10"/>
      <c r="DB666" s="10"/>
      <c r="DC666" s="10"/>
      <c r="DD666" s="10"/>
      <c r="DE666" s="10"/>
      <c r="DF666" s="10"/>
      <c r="DG666" s="10"/>
      <c r="DH666" s="10"/>
      <c r="DI666" s="10"/>
      <c r="DJ666" s="10"/>
      <c r="DK666" s="10"/>
      <c r="DL666" s="10"/>
      <c r="DM666" s="10"/>
      <c r="DN666" s="10"/>
      <c r="DO666" s="10"/>
      <c r="DP666" s="10"/>
      <c r="DQ666" s="10"/>
      <c r="DR666" s="10"/>
      <c r="DS666" s="10"/>
      <c r="DT666" s="10"/>
      <c r="DU666" s="10"/>
      <c r="DV666" s="10"/>
      <c r="DW666" s="10"/>
      <c r="DX666" s="10"/>
      <c r="DY666" s="10"/>
      <c r="DZ666" s="10"/>
    </row>
    <row r="667" spans="1:130" ht="15" customHeight="1">
      <c r="A667" s="10"/>
      <c r="B667" s="10"/>
      <c r="C667" s="17" t="s">
        <v>1057</v>
      </c>
      <c r="D667" s="10"/>
      <c r="E667" s="80">
        <v>2.9000000000000001E-2</v>
      </c>
      <c r="F667" s="3"/>
      <c r="G667" s="142" t="s">
        <v>28</v>
      </c>
      <c r="H667" s="10" t="s">
        <v>117</v>
      </c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  <c r="BB667" s="10"/>
      <c r="BC667" s="10"/>
      <c r="BD667" s="10"/>
      <c r="BE667" s="10"/>
      <c r="BF667" s="10"/>
      <c r="BG667" s="10"/>
      <c r="BH667" s="10"/>
      <c r="BI667" s="10"/>
      <c r="BJ667" s="10"/>
      <c r="BK667" s="10"/>
      <c r="BL667" s="10"/>
      <c r="BM667" s="10"/>
      <c r="BN667" s="10"/>
      <c r="BO667" s="10"/>
      <c r="BP667" s="10"/>
      <c r="BQ667" s="10"/>
      <c r="BR667" s="10"/>
      <c r="BS667" s="10"/>
      <c r="BT667" s="10"/>
      <c r="BU667" s="10"/>
      <c r="BV667" s="10"/>
      <c r="BW667" s="10"/>
      <c r="BX667" s="10"/>
      <c r="BY667" s="10"/>
      <c r="BZ667" s="10"/>
      <c r="CA667" s="10"/>
      <c r="CB667" s="10"/>
      <c r="CC667" s="10"/>
      <c r="CD667" s="10"/>
      <c r="CE667" s="10"/>
      <c r="CF667" s="10"/>
      <c r="CG667" s="10"/>
      <c r="CH667" s="10"/>
      <c r="CI667" s="10"/>
      <c r="CJ667" s="10"/>
      <c r="CK667" s="10"/>
      <c r="CL667" s="10"/>
      <c r="CM667" s="10"/>
      <c r="CN667" s="10"/>
      <c r="CO667" s="10"/>
      <c r="CP667" s="10"/>
      <c r="CQ667" s="10"/>
      <c r="CR667" s="10"/>
      <c r="CS667" s="10"/>
      <c r="CT667" s="10"/>
      <c r="CU667" s="10"/>
      <c r="CV667" s="10"/>
      <c r="CW667" s="10"/>
      <c r="CX667" s="10"/>
      <c r="CY667" s="10"/>
      <c r="CZ667" s="10"/>
      <c r="DA667" s="10"/>
      <c r="DB667" s="10"/>
      <c r="DC667" s="10"/>
      <c r="DD667" s="10"/>
      <c r="DE667" s="10"/>
      <c r="DF667" s="10"/>
      <c r="DG667" s="10"/>
      <c r="DH667" s="10"/>
      <c r="DI667" s="10"/>
      <c r="DJ667" s="10"/>
      <c r="DK667" s="10"/>
      <c r="DL667" s="10"/>
      <c r="DM667" s="10"/>
      <c r="DN667" s="10"/>
      <c r="DO667" s="10"/>
      <c r="DP667" s="10"/>
      <c r="DQ667" s="10"/>
      <c r="DR667" s="10"/>
      <c r="DS667" s="10"/>
      <c r="DT667" s="10"/>
      <c r="DU667" s="10"/>
      <c r="DV667" s="10"/>
      <c r="DW667" s="10"/>
      <c r="DX667" s="10"/>
      <c r="DY667" s="10"/>
      <c r="DZ667" s="10"/>
    </row>
    <row r="668" spans="1:130" ht="15" customHeight="1">
      <c r="A668" s="10"/>
      <c r="B668" s="10"/>
      <c r="C668" s="17" t="s">
        <v>1058</v>
      </c>
      <c r="D668" s="10"/>
      <c r="E668" s="80">
        <v>5.0999999999999997E-2</v>
      </c>
      <c r="F668" s="3"/>
      <c r="G668" s="142" t="s">
        <v>28</v>
      </c>
      <c r="H668" s="10" t="s">
        <v>117</v>
      </c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  <c r="BB668" s="10"/>
      <c r="BC668" s="10"/>
      <c r="BD668" s="10"/>
      <c r="BE668" s="10"/>
      <c r="BF668" s="10"/>
      <c r="BG668" s="10"/>
      <c r="BH668" s="10"/>
      <c r="BI668" s="10"/>
      <c r="BJ668" s="10"/>
      <c r="BK668" s="10"/>
      <c r="BL668" s="10"/>
      <c r="BM668" s="10"/>
      <c r="BN668" s="10"/>
      <c r="BO668" s="10"/>
      <c r="BP668" s="10"/>
      <c r="BQ668" s="10"/>
      <c r="BR668" s="10"/>
      <c r="BS668" s="10"/>
      <c r="BT668" s="10"/>
      <c r="BU668" s="10"/>
      <c r="BV668" s="10"/>
      <c r="BW668" s="10"/>
      <c r="BX668" s="10"/>
      <c r="BY668" s="10"/>
      <c r="BZ668" s="10"/>
      <c r="CA668" s="10"/>
      <c r="CB668" s="10"/>
      <c r="CC668" s="10"/>
      <c r="CD668" s="10"/>
      <c r="CE668" s="10"/>
      <c r="CF668" s="10"/>
      <c r="CG668" s="10"/>
      <c r="CH668" s="10"/>
      <c r="CI668" s="10"/>
      <c r="CJ668" s="10"/>
      <c r="CK668" s="10"/>
      <c r="CL668" s="10"/>
      <c r="CM668" s="10"/>
      <c r="CN668" s="10"/>
      <c r="CO668" s="10"/>
      <c r="CP668" s="10"/>
      <c r="CQ668" s="10"/>
      <c r="CR668" s="10"/>
      <c r="CS668" s="10"/>
      <c r="CT668" s="10"/>
      <c r="CU668" s="10"/>
      <c r="CV668" s="10"/>
      <c r="CW668" s="10"/>
      <c r="CX668" s="10"/>
      <c r="CY668" s="10"/>
      <c r="CZ668" s="10"/>
      <c r="DA668" s="10"/>
      <c r="DB668" s="10"/>
      <c r="DC668" s="10"/>
      <c r="DD668" s="10"/>
      <c r="DE668" s="10"/>
      <c r="DF668" s="10"/>
      <c r="DG668" s="10"/>
      <c r="DH668" s="10"/>
      <c r="DI668" s="10"/>
      <c r="DJ668" s="10"/>
      <c r="DK668" s="10"/>
      <c r="DL668" s="10"/>
      <c r="DM668" s="10"/>
      <c r="DN668" s="10"/>
      <c r="DO668" s="10"/>
      <c r="DP668" s="10"/>
      <c r="DQ668" s="10"/>
      <c r="DR668" s="10"/>
      <c r="DS668" s="10"/>
      <c r="DT668" s="10"/>
      <c r="DU668" s="10"/>
      <c r="DV668" s="10"/>
      <c r="DW668" s="10"/>
      <c r="DX668" s="10"/>
      <c r="DY668" s="10"/>
      <c r="DZ668" s="10"/>
    </row>
    <row r="669" spans="1:130" ht="15" customHeight="1">
      <c r="A669" s="10"/>
      <c r="B669" s="10"/>
      <c r="C669" s="17" t="s">
        <v>1059</v>
      </c>
      <c r="D669" s="10"/>
      <c r="E669" s="80">
        <v>2E-3</v>
      </c>
      <c r="F669" s="3"/>
      <c r="G669" s="142" t="s">
        <v>28</v>
      </c>
      <c r="H669" s="10" t="s">
        <v>117</v>
      </c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  <c r="BB669" s="10"/>
      <c r="BC669" s="10"/>
      <c r="BD669" s="10"/>
      <c r="BE669" s="10"/>
      <c r="BF669" s="10"/>
      <c r="BG669" s="10"/>
      <c r="BH669" s="10"/>
      <c r="BI669" s="10"/>
      <c r="BJ669" s="10"/>
      <c r="BK669" s="10"/>
      <c r="BL669" s="10"/>
      <c r="BM669" s="10"/>
      <c r="BN669" s="10"/>
      <c r="BO669" s="10"/>
      <c r="BP669" s="10"/>
      <c r="BQ669" s="10"/>
      <c r="BR669" s="10"/>
      <c r="BS669" s="10"/>
      <c r="BT669" s="10"/>
      <c r="BU669" s="10"/>
      <c r="BV669" s="10"/>
      <c r="BW669" s="10"/>
      <c r="BX669" s="10"/>
      <c r="BY669" s="10"/>
      <c r="BZ669" s="10"/>
      <c r="CA669" s="10"/>
      <c r="CB669" s="10"/>
      <c r="CC669" s="10"/>
      <c r="CD669" s="10"/>
      <c r="CE669" s="10"/>
      <c r="CF669" s="10"/>
      <c r="CG669" s="10"/>
      <c r="CH669" s="10"/>
      <c r="CI669" s="10"/>
      <c r="CJ669" s="10"/>
      <c r="CK669" s="10"/>
      <c r="CL669" s="10"/>
      <c r="CM669" s="10"/>
      <c r="CN669" s="10"/>
      <c r="CO669" s="10"/>
      <c r="CP669" s="10"/>
      <c r="CQ669" s="10"/>
      <c r="CR669" s="10"/>
      <c r="CS669" s="10"/>
      <c r="CT669" s="10"/>
      <c r="CU669" s="10"/>
      <c r="CV669" s="10"/>
      <c r="CW669" s="10"/>
      <c r="CX669" s="10"/>
      <c r="CY669" s="10"/>
      <c r="CZ669" s="10"/>
      <c r="DA669" s="10"/>
      <c r="DB669" s="10"/>
      <c r="DC669" s="10"/>
      <c r="DD669" s="10"/>
      <c r="DE669" s="10"/>
      <c r="DF669" s="10"/>
      <c r="DG669" s="10"/>
      <c r="DH669" s="10"/>
      <c r="DI669" s="10"/>
      <c r="DJ669" s="10"/>
      <c r="DK669" s="10"/>
      <c r="DL669" s="10"/>
      <c r="DM669" s="10"/>
      <c r="DN669" s="10"/>
      <c r="DO669" s="10"/>
      <c r="DP669" s="10"/>
      <c r="DQ669" s="10"/>
      <c r="DR669" s="10"/>
      <c r="DS669" s="10"/>
      <c r="DT669" s="10"/>
      <c r="DU669" s="10"/>
      <c r="DV669" s="10"/>
      <c r="DW669" s="10"/>
      <c r="DX669" s="10"/>
      <c r="DY669" s="10"/>
      <c r="DZ669" s="10"/>
    </row>
    <row r="670" spans="1:130" ht="15" customHeight="1">
      <c r="A670" s="10"/>
      <c r="B670" s="10"/>
      <c r="C670" s="17"/>
      <c r="D670" s="10"/>
      <c r="E670" s="17"/>
      <c r="F670" s="68"/>
      <c r="G670" s="142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  <c r="BB670" s="10"/>
      <c r="BC670" s="10"/>
      <c r="BD670" s="10"/>
      <c r="BE670" s="10"/>
      <c r="BF670" s="10"/>
      <c r="BG670" s="10"/>
      <c r="BH670" s="10"/>
      <c r="BI670" s="10"/>
      <c r="BJ670" s="10"/>
      <c r="BK670" s="10"/>
      <c r="BL670" s="10"/>
      <c r="BM670" s="10"/>
      <c r="BN670" s="10"/>
      <c r="BO670" s="10"/>
      <c r="BP670" s="10"/>
      <c r="BQ670" s="10"/>
      <c r="BR670" s="10"/>
      <c r="BS670" s="10"/>
      <c r="BT670" s="10"/>
      <c r="BU670" s="10"/>
      <c r="BV670" s="10"/>
      <c r="BW670" s="10"/>
      <c r="BX670" s="10"/>
      <c r="BY670" s="10"/>
      <c r="BZ670" s="10"/>
      <c r="CA670" s="10"/>
      <c r="CB670" s="10"/>
      <c r="CC670" s="10"/>
      <c r="CD670" s="10"/>
      <c r="CE670" s="10"/>
      <c r="CF670" s="10"/>
      <c r="CG670" s="10"/>
      <c r="CH670" s="10"/>
      <c r="CI670" s="10"/>
      <c r="CJ670" s="10"/>
      <c r="CK670" s="10"/>
      <c r="CL670" s="10"/>
      <c r="CM670" s="10"/>
      <c r="CN670" s="10"/>
      <c r="CO670" s="10"/>
      <c r="CP670" s="10"/>
    </row>
    <row r="671" spans="1:130" s="320" customFormat="1" ht="19.149999999999999" customHeight="1">
      <c r="A671" s="316"/>
      <c r="B671" s="317" t="s">
        <v>578</v>
      </c>
      <c r="C671" s="317"/>
      <c r="D671" s="318"/>
      <c r="E671" s="317"/>
      <c r="F671" s="317"/>
      <c r="G671" s="319"/>
      <c r="H671" s="318"/>
      <c r="I671" s="317"/>
      <c r="J671" s="317"/>
      <c r="K671" s="318"/>
      <c r="L671" s="318"/>
      <c r="M671" s="318"/>
      <c r="N671" s="318"/>
      <c r="O671" s="318"/>
      <c r="P671" s="318"/>
      <c r="Q671" s="318"/>
      <c r="R671" s="318"/>
      <c r="S671" s="318"/>
      <c r="T671" s="318"/>
      <c r="U671" s="318"/>
      <c r="V671" s="318"/>
      <c r="W671" s="318"/>
      <c r="X671" s="318"/>
      <c r="Y671" s="318"/>
      <c r="Z671" s="318"/>
      <c r="AA671" s="318"/>
      <c r="AB671" s="318"/>
      <c r="AC671" s="318"/>
      <c r="AD671" s="318"/>
      <c r="AE671" s="318"/>
      <c r="AF671" s="318"/>
      <c r="AG671" s="318"/>
      <c r="AH671" s="318"/>
      <c r="AI671" s="318"/>
      <c r="AJ671" s="318"/>
      <c r="AK671" s="318"/>
      <c r="AL671" s="318"/>
      <c r="AM671" s="318"/>
      <c r="AN671" s="318"/>
      <c r="AO671" s="318"/>
      <c r="AP671" s="318"/>
      <c r="AQ671" s="318"/>
      <c r="AR671" s="318"/>
      <c r="AS671" s="318"/>
      <c r="AT671" s="318"/>
      <c r="AU671" s="318"/>
      <c r="AV671" s="318"/>
      <c r="AW671" s="318"/>
      <c r="AX671" s="318"/>
      <c r="AY671" s="318"/>
      <c r="AZ671" s="318"/>
      <c r="BA671" s="318"/>
      <c r="BB671" s="318"/>
      <c r="BC671" s="318"/>
      <c r="BD671" s="318"/>
      <c r="BE671" s="318"/>
      <c r="BF671" s="318"/>
      <c r="BG671" s="318"/>
      <c r="BH671" s="318"/>
      <c r="BI671" s="318"/>
      <c r="BJ671" s="318"/>
      <c r="BK671" s="318"/>
      <c r="BL671" s="318"/>
      <c r="BM671" s="318"/>
      <c r="BN671" s="318"/>
      <c r="BO671" s="318"/>
      <c r="BP671" s="318"/>
      <c r="BQ671" s="318"/>
      <c r="BR671" s="318"/>
      <c r="BS671" s="318"/>
      <c r="BT671" s="318"/>
      <c r="BU671" s="318"/>
      <c r="BV671" s="318"/>
      <c r="BW671" s="318"/>
      <c r="BX671" s="318"/>
      <c r="BY671" s="318"/>
      <c r="BZ671" s="318"/>
      <c r="CA671" s="318"/>
      <c r="CB671" s="318"/>
      <c r="CC671" s="318"/>
      <c r="CD671" s="318"/>
      <c r="CE671" s="318"/>
      <c r="CF671" s="318"/>
      <c r="CG671" s="318"/>
      <c r="CH671" s="318"/>
      <c r="CI671" s="318"/>
      <c r="CJ671" s="318"/>
      <c r="CK671" s="318"/>
      <c r="CL671" s="318"/>
      <c r="CM671" s="318"/>
      <c r="CN671" s="318"/>
      <c r="CO671" s="318"/>
      <c r="CP671" s="316"/>
    </row>
    <row r="672" spans="1:130" hidden="1">
      <c r="A672"/>
      <c r="G672" s="207"/>
      <c r="CP672"/>
    </row>
    <row r="673" spans="1:94" hidden="1">
      <c r="A673"/>
      <c r="G673" s="207"/>
      <c r="CP673"/>
    </row>
    <row r="674" spans="1:94" hidden="1">
      <c r="A674"/>
      <c r="G674" s="207"/>
      <c r="CP674"/>
    </row>
    <row r="675" spans="1:94" hidden="1">
      <c r="A675"/>
      <c r="G675" s="207"/>
      <c r="CP675"/>
    </row>
    <row r="676" spans="1:94" hidden="1">
      <c r="A676"/>
      <c r="G676" s="207"/>
      <c r="CP676"/>
    </row>
    <row r="677" spans="1:94" hidden="1">
      <c r="A677"/>
      <c r="G677" s="207"/>
      <c r="CP677"/>
    </row>
    <row r="678" spans="1:94" hidden="1">
      <c r="A678"/>
      <c r="G678" s="207"/>
      <c r="CP678"/>
    </row>
    <row r="679" spans="1:94" hidden="1">
      <c r="A679"/>
      <c r="G679" s="207"/>
      <c r="CP679"/>
    </row>
    <row r="680" spans="1:94" hidden="1">
      <c r="A680"/>
      <c r="G680" s="207"/>
      <c r="CP680"/>
    </row>
    <row r="681" spans="1:94" hidden="1">
      <c r="A681"/>
      <c r="G681" s="207"/>
      <c r="CP681"/>
    </row>
    <row r="682" spans="1:94" hidden="1">
      <c r="A682"/>
      <c r="G682" s="207"/>
      <c r="CP682"/>
    </row>
    <row r="683" spans="1:94" hidden="1">
      <c r="A683"/>
      <c r="G683" s="207"/>
      <c r="CP683"/>
    </row>
    <row r="684" spans="1:94" hidden="1">
      <c r="A684"/>
      <c r="G684" s="207"/>
      <c r="CP684"/>
    </row>
    <row r="685" spans="1:94" hidden="1">
      <c r="A685"/>
      <c r="G685" s="207"/>
      <c r="CP685"/>
    </row>
    <row r="686" spans="1:94" hidden="1">
      <c r="A686"/>
      <c r="G686" s="207"/>
      <c r="CP686"/>
    </row>
    <row r="687" spans="1:94" hidden="1">
      <c r="A687"/>
      <c r="G687" s="207"/>
      <c r="CP687"/>
    </row>
    <row r="688" spans="1:94" hidden="1">
      <c r="A688"/>
      <c r="G688" s="207"/>
      <c r="CP688"/>
    </row>
    <row r="689" spans="1:94" hidden="1">
      <c r="A689"/>
      <c r="G689" s="207"/>
      <c r="CP689"/>
    </row>
    <row r="690" spans="1:94" hidden="1">
      <c r="A690"/>
      <c r="G690" s="207"/>
      <c r="CP690"/>
    </row>
    <row r="691" spans="1:94" hidden="1">
      <c r="A691"/>
      <c r="G691" s="207"/>
      <c r="CP691"/>
    </row>
    <row r="692" spans="1:94" hidden="1">
      <c r="A692"/>
      <c r="G692" s="207"/>
      <c r="CP692"/>
    </row>
    <row r="693" spans="1:94" hidden="1">
      <c r="A693"/>
      <c r="G693" s="207"/>
      <c r="CP693"/>
    </row>
    <row r="694" spans="1:94" hidden="1">
      <c r="A694"/>
      <c r="G694" s="207"/>
      <c r="CP694"/>
    </row>
    <row r="695" spans="1:94" hidden="1">
      <c r="A695"/>
      <c r="G695" s="207"/>
      <c r="CP695"/>
    </row>
    <row r="696" spans="1:94" hidden="1">
      <c r="A696"/>
      <c r="G696" s="207"/>
      <c r="CP696"/>
    </row>
    <row r="697" spans="1:94" hidden="1">
      <c r="A697"/>
      <c r="G697" s="207"/>
      <c r="CP697"/>
    </row>
    <row r="698" spans="1:94" hidden="1">
      <c r="A698"/>
      <c r="G698" s="207"/>
      <c r="CP698"/>
    </row>
    <row r="699" spans="1:94" hidden="1">
      <c r="A699"/>
      <c r="G699" s="207"/>
      <c r="CP699"/>
    </row>
    <row r="700" spans="1:94" hidden="1">
      <c r="A700"/>
      <c r="G700" s="207"/>
      <c r="CP700"/>
    </row>
    <row r="701" spans="1:94" hidden="1">
      <c r="A701"/>
      <c r="G701" s="207"/>
      <c r="CP701"/>
    </row>
    <row r="702" spans="1:94" hidden="1">
      <c r="A702"/>
      <c r="G702" s="207"/>
      <c r="CP702"/>
    </row>
    <row r="703" spans="1:94" hidden="1">
      <c r="A703"/>
      <c r="G703" s="207"/>
      <c r="CP703"/>
    </row>
    <row r="704" spans="1:94" hidden="1">
      <c r="A704"/>
      <c r="G704" s="207"/>
      <c r="CP704"/>
    </row>
    <row r="705" spans="1:94" hidden="1">
      <c r="A705"/>
      <c r="G705" s="207"/>
      <c r="CP705"/>
    </row>
    <row r="706" spans="1:94" hidden="1">
      <c r="A706"/>
      <c r="G706" s="207"/>
      <c r="CP706"/>
    </row>
    <row r="707" spans="1:94" hidden="1">
      <c r="A707"/>
      <c r="G707" s="207"/>
      <c r="CP707"/>
    </row>
    <row r="708" spans="1:94" hidden="1">
      <c r="A708"/>
      <c r="G708" s="207"/>
      <c r="CP708"/>
    </row>
    <row r="709" spans="1:94" hidden="1">
      <c r="A709"/>
      <c r="G709" s="207"/>
      <c r="CP709"/>
    </row>
    <row r="710" spans="1:94" hidden="1">
      <c r="A710"/>
      <c r="G710" s="207"/>
      <c r="CP710"/>
    </row>
    <row r="711" spans="1:94" hidden="1">
      <c r="A711"/>
      <c r="G711" s="207"/>
      <c r="CP711"/>
    </row>
    <row r="712" spans="1:94" hidden="1">
      <c r="A712"/>
      <c r="G712" s="207"/>
      <c r="CP712"/>
    </row>
    <row r="713" spans="1:94" hidden="1">
      <c r="A713"/>
      <c r="G713" s="207"/>
      <c r="CP713"/>
    </row>
    <row r="714" spans="1:94" hidden="1">
      <c r="A714"/>
      <c r="G714" s="207"/>
      <c r="CP714"/>
    </row>
    <row r="715" spans="1:94" hidden="1">
      <c r="A715"/>
      <c r="G715" s="207"/>
      <c r="CP715"/>
    </row>
    <row r="716" spans="1:94" hidden="1">
      <c r="A716"/>
      <c r="G716" s="207"/>
      <c r="CP716"/>
    </row>
    <row r="717" spans="1:94" hidden="1">
      <c r="A717"/>
      <c r="G717" s="207"/>
      <c r="CP717"/>
    </row>
    <row r="718" spans="1:94" hidden="1">
      <c r="A718"/>
      <c r="G718" s="207"/>
      <c r="CP718"/>
    </row>
    <row r="719" spans="1:94" hidden="1">
      <c r="A719"/>
      <c r="G719" s="207"/>
      <c r="CP719"/>
    </row>
    <row r="720" spans="1:94" hidden="1">
      <c r="A720"/>
      <c r="G720" s="207"/>
      <c r="CP720"/>
    </row>
    <row r="721" spans="1:94" hidden="1">
      <c r="A721"/>
      <c r="G721" s="207"/>
      <c r="CP721"/>
    </row>
    <row r="722" spans="1:94" hidden="1">
      <c r="A722"/>
      <c r="G722" s="207"/>
      <c r="CP722"/>
    </row>
    <row r="723" spans="1:94" hidden="1">
      <c r="A723"/>
      <c r="G723" s="207"/>
      <c r="CP723"/>
    </row>
    <row r="724" spans="1:94" hidden="1">
      <c r="A724"/>
      <c r="G724" s="207"/>
      <c r="CP724"/>
    </row>
    <row r="725" spans="1:94" hidden="1">
      <c r="A725"/>
      <c r="G725" s="207"/>
      <c r="CP725"/>
    </row>
    <row r="726" spans="1:94" hidden="1">
      <c r="A726"/>
      <c r="G726" s="207"/>
      <c r="CP726"/>
    </row>
    <row r="727" spans="1:94" hidden="1">
      <c r="A727"/>
      <c r="G727" s="207"/>
      <c r="CP727"/>
    </row>
    <row r="728" spans="1:94" hidden="1">
      <c r="A728"/>
      <c r="G728" s="207"/>
      <c r="CP728"/>
    </row>
    <row r="729" spans="1:94" hidden="1">
      <c r="A729"/>
      <c r="G729" s="207"/>
      <c r="CP729"/>
    </row>
    <row r="730" spans="1:94" hidden="1">
      <c r="A730"/>
      <c r="G730" s="207"/>
      <c r="CP730"/>
    </row>
    <row r="731" spans="1:94" hidden="1">
      <c r="A731"/>
      <c r="G731" s="207"/>
      <c r="CP731"/>
    </row>
    <row r="732" spans="1:94" hidden="1">
      <c r="A732"/>
      <c r="G732" s="207"/>
      <c r="CP732"/>
    </row>
    <row r="733" spans="1:94" hidden="1">
      <c r="A733"/>
      <c r="G733" s="207"/>
      <c r="CP733"/>
    </row>
    <row r="734" spans="1:94" hidden="1">
      <c r="A734"/>
      <c r="G734" s="207"/>
      <c r="CP734"/>
    </row>
    <row r="735" spans="1:94" hidden="1">
      <c r="A735"/>
      <c r="G735" s="207"/>
      <c r="CP735"/>
    </row>
    <row r="736" spans="1:94" hidden="1">
      <c r="A736"/>
      <c r="G736" s="207"/>
      <c r="CP736"/>
    </row>
    <row r="737" spans="1:94" hidden="1">
      <c r="A737"/>
      <c r="G737" s="207"/>
      <c r="CP737"/>
    </row>
    <row r="738" spans="1:94" hidden="1">
      <c r="A738"/>
      <c r="G738" s="207"/>
      <c r="CP738"/>
    </row>
    <row r="739" spans="1:94" hidden="1">
      <c r="A739"/>
      <c r="G739" s="207"/>
      <c r="CP739"/>
    </row>
    <row r="740" spans="1:94" hidden="1">
      <c r="A740"/>
      <c r="G740" s="207"/>
      <c r="CP740"/>
    </row>
    <row r="741" spans="1:94" hidden="1">
      <c r="A741"/>
      <c r="G741" s="207"/>
      <c r="CP741"/>
    </row>
    <row r="742" spans="1:94" hidden="1">
      <c r="A742"/>
      <c r="G742" s="207"/>
      <c r="CP742"/>
    </row>
    <row r="743" spans="1:94" hidden="1">
      <c r="A743"/>
      <c r="G743" s="207"/>
      <c r="CP743"/>
    </row>
    <row r="744" spans="1:94" hidden="1">
      <c r="A744"/>
      <c r="G744" s="207"/>
      <c r="CP744"/>
    </row>
    <row r="745" spans="1:94" hidden="1">
      <c r="A745"/>
      <c r="G745" s="207"/>
      <c r="CP745"/>
    </row>
    <row r="746" spans="1:94" hidden="1">
      <c r="A746"/>
      <c r="G746" s="207"/>
      <c r="CP746"/>
    </row>
    <row r="747" spans="1:94" hidden="1">
      <c r="A747"/>
      <c r="G747" s="207"/>
      <c r="CP747"/>
    </row>
    <row r="748" spans="1:94" hidden="1">
      <c r="A748"/>
      <c r="G748" s="207"/>
      <c r="CP748"/>
    </row>
    <row r="749" spans="1:94" hidden="1">
      <c r="A749"/>
      <c r="G749" s="207"/>
      <c r="CP749"/>
    </row>
    <row r="750" spans="1:94" hidden="1">
      <c r="A750"/>
      <c r="G750" s="207"/>
      <c r="CP750"/>
    </row>
    <row r="751" spans="1:94" hidden="1">
      <c r="A751"/>
      <c r="G751" s="207"/>
      <c r="CP751"/>
    </row>
    <row r="752" spans="1:94" hidden="1">
      <c r="A752"/>
      <c r="G752" s="207"/>
      <c r="CP752"/>
    </row>
    <row r="753" spans="1:94" hidden="1">
      <c r="A753"/>
      <c r="G753" s="207"/>
      <c r="CP753"/>
    </row>
    <row r="754" spans="1:94" hidden="1">
      <c r="A754"/>
      <c r="G754" s="207"/>
      <c r="CP754"/>
    </row>
    <row r="755" spans="1:94" hidden="1">
      <c r="A755"/>
      <c r="G755" s="207"/>
      <c r="CP755"/>
    </row>
    <row r="756" spans="1:94" hidden="1">
      <c r="A756"/>
      <c r="G756" s="207"/>
      <c r="CP756"/>
    </row>
    <row r="757" spans="1:94" hidden="1">
      <c r="A757"/>
      <c r="G757" s="207"/>
      <c r="CP757"/>
    </row>
    <row r="758" spans="1:94" hidden="1">
      <c r="A758"/>
      <c r="G758" s="207"/>
      <c r="CP758"/>
    </row>
    <row r="759" spans="1:94" hidden="1">
      <c r="A759"/>
      <c r="G759" s="207"/>
      <c r="CP759"/>
    </row>
    <row r="760" spans="1:94" hidden="1">
      <c r="A760"/>
      <c r="G760" s="207"/>
      <c r="CP760"/>
    </row>
    <row r="761" spans="1:94" hidden="1">
      <c r="A761"/>
      <c r="G761" s="207"/>
      <c r="CP761"/>
    </row>
    <row r="762" spans="1:94" hidden="1">
      <c r="A762"/>
      <c r="G762" s="207"/>
      <c r="CP762"/>
    </row>
    <row r="763" spans="1:94" hidden="1">
      <c r="A763"/>
      <c r="G763" s="207"/>
      <c r="CP763"/>
    </row>
    <row r="764" spans="1:94" hidden="1">
      <c r="A764"/>
      <c r="G764" s="207"/>
      <c r="CP764"/>
    </row>
    <row r="765" spans="1:94" hidden="1">
      <c r="A765"/>
      <c r="G765" s="207"/>
      <c r="CP765"/>
    </row>
    <row r="766" spans="1:94" hidden="1">
      <c r="A766"/>
      <c r="G766" s="207"/>
      <c r="CP766"/>
    </row>
    <row r="767" spans="1:94" hidden="1">
      <c r="A767"/>
      <c r="G767" s="207"/>
      <c r="CP767"/>
    </row>
    <row r="768" spans="1:94" hidden="1">
      <c r="A768"/>
      <c r="G768" s="207"/>
      <c r="CP768"/>
    </row>
    <row r="769" spans="1:94" hidden="1">
      <c r="A769"/>
      <c r="G769" s="207"/>
      <c r="CP769"/>
    </row>
    <row r="770" spans="1:94" hidden="1">
      <c r="A770"/>
      <c r="G770" s="207"/>
      <c r="CP770"/>
    </row>
    <row r="771" spans="1:94" hidden="1">
      <c r="A771"/>
      <c r="G771" s="207"/>
      <c r="CP771"/>
    </row>
    <row r="772" spans="1:94" hidden="1">
      <c r="A772"/>
      <c r="G772" s="207"/>
      <c r="CP772"/>
    </row>
    <row r="773" spans="1:94" hidden="1">
      <c r="A773"/>
      <c r="G773" s="207"/>
      <c r="CP773"/>
    </row>
    <row r="774" spans="1:94" hidden="1">
      <c r="A774"/>
      <c r="G774" s="207"/>
      <c r="CP774"/>
    </row>
    <row r="775" spans="1:94" hidden="1">
      <c r="A775"/>
      <c r="G775" s="207"/>
      <c r="CP775"/>
    </row>
    <row r="776" spans="1:94" hidden="1">
      <c r="A776"/>
      <c r="G776" s="207"/>
      <c r="CP776"/>
    </row>
    <row r="777" spans="1:94" hidden="1">
      <c r="A777"/>
      <c r="G777" s="207"/>
      <c r="CP777"/>
    </row>
    <row r="778" spans="1:94" hidden="1">
      <c r="A778"/>
      <c r="G778" s="207"/>
      <c r="CP778"/>
    </row>
    <row r="779" spans="1:94" hidden="1">
      <c r="A779"/>
      <c r="G779" s="207"/>
      <c r="CP779"/>
    </row>
    <row r="780" spans="1:94" hidden="1">
      <c r="A780"/>
      <c r="G780" s="207"/>
      <c r="CP780"/>
    </row>
    <row r="781" spans="1:94" hidden="1">
      <c r="A781"/>
      <c r="G781" s="207"/>
      <c r="CP781"/>
    </row>
    <row r="782" spans="1:94" hidden="1">
      <c r="A782"/>
      <c r="G782" s="207"/>
      <c r="CP782"/>
    </row>
    <row r="783" spans="1:94" hidden="1">
      <c r="A783"/>
      <c r="G783" s="207"/>
      <c r="CP783"/>
    </row>
    <row r="784" spans="1:94" hidden="1">
      <c r="A784"/>
      <c r="G784" s="207"/>
      <c r="CP784"/>
    </row>
    <row r="785" spans="1:94" hidden="1">
      <c r="A785"/>
      <c r="G785" s="207"/>
      <c r="CP785"/>
    </row>
    <row r="786" spans="1:94" hidden="1">
      <c r="A786"/>
      <c r="G786" s="207"/>
      <c r="CP786"/>
    </row>
    <row r="787" spans="1:94" hidden="1">
      <c r="A787"/>
      <c r="G787" s="207"/>
      <c r="CP787"/>
    </row>
    <row r="788" spans="1:94" hidden="1">
      <c r="A788"/>
      <c r="G788" s="207"/>
      <c r="CP788"/>
    </row>
    <row r="789" spans="1:94" hidden="1">
      <c r="A789"/>
      <c r="G789" s="207"/>
      <c r="CP789"/>
    </row>
    <row r="790" spans="1:94" hidden="1">
      <c r="A790"/>
      <c r="G790" s="207"/>
      <c r="CP790"/>
    </row>
    <row r="791" spans="1:94" hidden="1">
      <c r="A791"/>
      <c r="G791" s="207"/>
      <c r="CP791"/>
    </row>
    <row r="792" spans="1:94" hidden="1">
      <c r="A792"/>
      <c r="G792" s="207"/>
      <c r="CP792"/>
    </row>
    <row r="793" spans="1:94" hidden="1">
      <c r="A793"/>
      <c r="G793" s="207"/>
      <c r="CP793"/>
    </row>
    <row r="794" spans="1:94" hidden="1">
      <c r="A794"/>
      <c r="G794" s="207"/>
      <c r="CP794"/>
    </row>
    <row r="795" spans="1:94" hidden="1">
      <c r="A795"/>
      <c r="G795" s="207"/>
      <c r="CP795"/>
    </row>
    <row r="796" spans="1:94" hidden="1">
      <c r="A796"/>
      <c r="G796" s="207"/>
      <c r="CP796"/>
    </row>
    <row r="797" spans="1:94" hidden="1">
      <c r="A797"/>
      <c r="G797" s="207"/>
      <c r="CP797"/>
    </row>
    <row r="798" spans="1:94" hidden="1">
      <c r="A798"/>
      <c r="G798" s="207"/>
      <c r="CP798"/>
    </row>
    <row r="799" spans="1:94" hidden="1">
      <c r="A799"/>
      <c r="G799" s="207"/>
      <c r="CP799"/>
    </row>
    <row r="800" spans="1:94" hidden="1">
      <c r="A800"/>
      <c r="G800" s="207"/>
      <c r="CP800"/>
    </row>
    <row r="801" spans="1:94" hidden="1">
      <c r="A801"/>
      <c r="G801" s="207"/>
      <c r="CP801"/>
    </row>
    <row r="802" spans="1:94" hidden="1">
      <c r="A802"/>
      <c r="G802" s="207"/>
      <c r="CP802"/>
    </row>
    <row r="803" spans="1:94" hidden="1">
      <c r="A803"/>
      <c r="G803" s="207"/>
      <c r="CP803"/>
    </row>
    <row r="804" spans="1:94" hidden="1">
      <c r="A804"/>
      <c r="G804" s="207"/>
      <c r="CP804"/>
    </row>
    <row r="805" spans="1:94" hidden="1">
      <c r="A805"/>
      <c r="G805" s="207"/>
      <c r="CP805"/>
    </row>
    <row r="806" spans="1:94" hidden="1">
      <c r="A806"/>
      <c r="G806" s="207"/>
      <c r="CP806"/>
    </row>
    <row r="807" spans="1:94" hidden="1">
      <c r="A807"/>
      <c r="G807" s="207"/>
      <c r="CP807"/>
    </row>
    <row r="808" spans="1:94" hidden="1">
      <c r="A808"/>
      <c r="G808" s="207"/>
      <c r="CP808"/>
    </row>
    <row r="809" spans="1:94" hidden="1">
      <c r="A809"/>
      <c r="G809" s="207"/>
      <c r="CP809"/>
    </row>
    <row r="810" spans="1:94" hidden="1">
      <c r="A810"/>
      <c r="G810" s="207"/>
      <c r="CP810"/>
    </row>
    <row r="811" spans="1:94" hidden="1">
      <c r="A811"/>
      <c r="G811" s="207"/>
      <c r="CP811"/>
    </row>
    <row r="812" spans="1:94" hidden="1">
      <c r="A812"/>
      <c r="G812" s="207"/>
      <c r="CP812"/>
    </row>
    <row r="813" spans="1:94" hidden="1">
      <c r="A813"/>
      <c r="G813" s="207"/>
      <c r="CP813"/>
    </row>
    <row r="814" spans="1:94" hidden="1">
      <c r="A814"/>
      <c r="G814" s="207"/>
      <c r="CP814"/>
    </row>
    <row r="815" spans="1:94" hidden="1">
      <c r="A815"/>
      <c r="G815" s="207"/>
      <c r="CP815"/>
    </row>
    <row r="816" spans="1:94" hidden="1">
      <c r="A816"/>
      <c r="G816" s="207"/>
      <c r="CP816"/>
    </row>
    <row r="817" spans="1:94" hidden="1">
      <c r="A817"/>
      <c r="G817" s="207"/>
      <c r="CP817"/>
    </row>
    <row r="818" spans="1:94" hidden="1">
      <c r="A818"/>
      <c r="G818" s="207"/>
      <c r="CP818"/>
    </row>
    <row r="819" spans="1:94" hidden="1">
      <c r="A819"/>
      <c r="G819" s="207"/>
      <c r="CP819"/>
    </row>
    <row r="820" spans="1:94" hidden="1">
      <c r="A820"/>
      <c r="G820" s="207"/>
      <c r="CP820"/>
    </row>
    <row r="821" spans="1:94" hidden="1">
      <c r="A821"/>
      <c r="G821" s="207"/>
      <c r="CP821"/>
    </row>
    <row r="822" spans="1:94" hidden="1">
      <c r="A822"/>
      <c r="G822" s="207"/>
      <c r="CP822"/>
    </row>
    <row r="823" spans="1:94" hidden="1">
      <c r="A823"/>
      <c r="G823" s="207"/>
      <c r="CP823"/>
    </row>
    <row r="824" spans="1:94" hidden="1">
      <c r="A824"/>
      <c r="G824" s="207"/>
      <c r="CP824"/>
    </row>
    <row r="825" spans="1:94" hidden="1">
      <c r="A825"/>
      <c r="G825" s="207"/>
      <c r="CP825"/>
    </row>
    <row r="826" spans="1:94" hidden="1">
      <c r="A826"/>
      <c r="G826" s="207"/>
      <c r="CP826"/>
    </row>
    <row r="827" spans="1:94" hidden="1">
      <c r="A827"/>
      <c r="G827" s="207"/>
      <c r="CP827"/>
    </row>
    <row r="828" spans="1:94" hidden="1">
      <c r="A828"/>
      <c r="G828" s="207"/>
      <c r="CP828"/>
    </row>
    <row r="829" spans="1:94" hidden="1">
      <c r="A829"/>
      <c r="G829" s="207"/>
      <c r="CP829"/>
    </row>
    <row r="830" spans="1:94" hidden="1">
      <c r="A830"/>
      <c r="G830" s="207"/>
      <c r="CP830"/>
    </row>
    <row r="831" spans="1:94" hidden="1">
      <c r="A831"/>
      <c r="G831" s="207"/>
      <c r="CP831"/>
    </row>
    <row r="832" spans="1:94" hidden="1">
      <c r="A832"/>
      <c r="G832" s="207"/>
      <c r="CP832"/>
    </row>
    <row r="833" spans="1:94" hidden="1">
      <c r="A833"/>
      <c r="G833" s="207"/>
      <c r="CP833"/>
    </row>
    <row r="834" spans="1:94" hidden="1">
      <c r="A834"/>
      <c r="G834" s="207"/>
      <c r="CP834"/>
    </row>
    <row r="835" spans="1:94" hidden="1">
      <c r="A835"/>
      <c r="G835" s="207"/>
      <c r="CP835"/>
    </row>
    <row r="836" spans="1:94" hidden="1">
      <c r="A836"/>
      <c r="G836" s="207"/>
      <c r="CP836"/>
    </row>
    <row r="837" spans="1:94" hidden="1">
      <c r="A837"/>
      <c r="G837" s="207"/>
      <c r="CP837"/>
    </row>
    <row r="838" spans="1:94" hidden="1">
      <c r="A838"/>
      <c r="G838" s="207"/>
      <c r="CP838"/>
    </row>
    <row r="839" spans="1:94" hidden="1">
      <c r="A839"/>
      <c r="G839" s="207"/>
      <c r="CP839"/>
    </row>
    <row r="840" spans="1:94" hidden="1">
      <c r="A840"/>
      <c r="G840" s="207"/>
      <c r="CP840"/>
    </row>
    <row r="841" spans="1:94" hidden="1">
      <c r="A841"/>
      <c r="G841" s="207"/>
      <c r="CP841"/>
    </row>
    <row r="842" spans="1:94" hidden="1">
      <c r="A842"/>
      <c r="G842" s="207"/>
      <c r="CP842"/>
    </row>
    <row r="843" spans="1:94" hidden="1">
      <c r="A843"/>
      <c r="G843" s="207"/>
      <c r="CP843"/>
    </row>
    <row r="844" spans="1:94" hidden="1">
      <c r="A844"/>
      <c r="G844" s="207"/>
      <c r="CP844"/>
    </row>
    <row r="845" spans="1:94" hidden="1">
      <c r="A845"/>
      <c r="G845" s="207"/>
      <c r="CP845"/>
    </row>
    <row r="846" spans="1:94" hidden="1">
      <c r="A846"/>
      <c r="G846" s="207"/>
      <c r="CP846"/>
    </row>
    <row r="847" spans="1:94" hidden="1">
      <c r="A847"/>
      <c r="G847" s="207"/>
      <c r="CP847"/>
    </row>
    <row r="848" spans="1:94" hidden="1">
      <c r="A848"/>
      <c r="G848" s="207"/>
      <c r="CP848"/>
    </row>
    <row r="849" spans="1:94" hidden="1">
      <c r="A849"/>
      <c r="G849" s="207"/>
      <c r="CP849"/>
    </row>
    <row r="850" spans="1:94" hidden="1">
      <c r="A850"/>
      <c r="G850" s="207"/>
      <c r="CP850"/>
    </row>
    <row r="851" spans="1:94" hidden="1">
      <c r="A851"/>
      <c r="G851" s="207"/>
      <c r="CP851"/>
    </row>
    <row r="852" spans="1:94" hidden="1">
      <c r="A852"/>
      <c r="G852" s="207"/>
      <c r="CP852"/>
    </row>
    <row r="853" spans="1:94" hidden="1">
      <c r="A853"/>
      <c r="G853" s="207"/>
      <c r="CP853"/>
    </row>
    <row r="854" spans="1:94" hidden="1">
      <c r="A854"/>
      <c r="G854" s="207"/>
      <c r="CP854"/>
    </row>
    <row r="855" spans="1:94" hidden="1">
      <c r="A855"/>
      <c r="G855" s="207"/>
      <c r="CP855"/>
    </row>
    <row r="856" spans="1:94" hidden="1">
      <c r="A856"/>
      <c r="G856" s="207"/>
      <c r="CP856"/>
    </row>
    <row r="857" spans="1:94" hidden="1">
      <c r="A857"/>
      <c r="G857" s="207"/>
      <c r="CP857"/>
    </row>
    <row r="858" spans="1:94" hidden="1">
      <c r="A858"/>
      <c r="G858" s="207"/>
      <c r="CP858"/>
    </row>
    <row r="859" spans="1:94" hidden="1">
      <c r="A859"/>
      <c r="G859" s="207"/>
      <c r="CP859"/>
    </row>
    <row r="860" spans="1:94" hidden="1">
      <c r="A860"/>
      <c r="G860" s="207"/>
      <c r="CP860"/>
    </row>
    <row r="861" spans="1:94" hidden="1">
      <c r="A861"/>
      <c r="G861" s="207"/>
      <c r="CP861"/>
    </row>
    <row r="862" spans="1:94" hidden="1">
      <c r="A862"/>
      <c r="G862" s="207"/>
      <c r="CP862"/>
    </row>
    <row r="863" spans="1:94" hidden="1">
      <c r="A863"/>
      <c r="G863" s="207"/>
      <c r="CP863"/>
    </row>
    <row r="864" spans="1:94" hidden="1">
      <c r="A864"/>
      <c r="G864" s="207"/>
      <c r="CP864"/>
    </row>
    <row r="865" spans="1:94" hidden="1">
      <c r="A865"/>
      <c r="G865" s="207"/>
      <c r="CP865"/>
    </row>
    <row r="866" spans="1:94" hidden="1">
      <c r="A866"/>
      <c r="G866" s="207"/>
      <c r="CP866"/>
    </row>
    <row r="867" spans="1:94" hidden="1">
      <c r="A867"/>
      <c r="G867" s="207"/>
      <c r="CP867"/>
    </row>
    <row r="868" spans="1:94" hidden="1">
      <c r="A868"/>
      <c r="G868" s="207"/>
      <c r="CP868"/>
    </row>
    <row r="869" spans="1:94" hidden="1">
      <c r="A869"/>
      <c r="G869" s="207"/>
      <c r="CP869"/>
    </row>
    <row r="870" spans="1:94" hidden="1">
      <c r="A870"/>
      <c r="G870" s="207"/>
      <c r="CP870"/>
    </row>
    <row r="871" spans="1:94" hidden="1">
      <c r="A871"/>
      <c r="G871" s="207"/>
      <c r="CP871"/>
    </row>
    <row r="872" spans="1:94" hidden="1">
      <c r="A872"/>
      <c r="G872" s="207"/>
      <c r="CP872"/>
    </row>
    <row r="873" spans="1:94" hidden="1">
      <c r="A873"/>
      <c r="G873" s="207"/>
      <c r="CP873"/>
    </row>
    <row r="874" spans="1:94" hidden="1">
      <c r="A874"/>
      <c r="G874" s="207"/>
      <c r="CP874"/>
    </row>
    <row r="875" spans="1:94" hidden="1">
      <c r="A875"/>
      <c r="G875" s="207"/>
      <c r="CP875"/>
    </row>
    <row r="876" spans="1:94" hidden="1">
      <c r="A876"/>
      <c r="G876" s="207"/>
      <c r="CP876"/>
    </row>
    <row r="877" spans="1:94" hidden="1">
      <c r="A877"/>
      <c r="G877" s="207"/>
      <c r="CP877"/>
    </row>
    <row r="878" spans="1:94" hidden="1">
      <c r="A878"/>
      <c r="G878" s="207"/>
      <c r="CP878"/>
    </row>
    <row r="879" spans="1:94" hidden="1">
      <c r="A879"/>
      <c r="G879" s="207"/>
      <c r="CP879"/>
    </row>
    <row r="880" spans="1:94" hidden="1">
      <c r="A880"/>
      <c r="G880" s="207"/>
      <c r="CP880"/>
    </row>
    <row r="881" spans="1:94" hidden="1">
      <c r="A881"/>
      <c r="G881" s="207"/>
      <c r="CP881"/>
    </row>
    <row r="882" spans="1:94" hidden="1">
      <c r="A882"/>
      <c r="G882" s="207"/>
      <c r="CP882"/>
    </row>
    <row r="883" spans="1:94" hidden="1">
      <c r="A883"/>
      <c r="G883" s="207"/>
      <c r="CP883"/>
    </row>
    <row r="884" spans="1:94" hidden="1">
      <c r="A884"/>
      <c r="G884" s="207"/>
      <c r="CP884"/>
    </row>
    <row r="885" spans="1:94" hidden="1">
      <c r="A885"/>
      <c r="G885" s="207"/>
      <c r="CP885"/>
    </row>
    <row r="886" spans="1:94" hidden="1">
      <c r="A886"/>
      <c r="G886" s="207"/>
      <c r="CP886"/>
    </row>
    <row r="887" spans="1:94" hidden="1">
      <c r="A887"/>
      <c r="G887" s="207"/>
      <c r="CP887"/>
    </row>
    <row r="888" spans="1:94" hidden="1">
      <c r="A888"/>
      <c r="G888" s="207"/>
      <c r="CP888"/>
    </row>
    <row r="889" spans="1:94" hidden="1">
      <c r="A889"/>
      <c r="G889" s="207"/>
      <c r="CP889"/>
    </row>
    <row r="890" spans="1:94" hidden="1">
      <c r="A890"/>
      <c r="G890" s="207"/>
      <c r="CP890"/>
    </row>
    <row r="891" spans="1:94" hidden="1">
      <c r="A891"/>
      <c r="G891" s="207"/>
      <c r="CP891"/>
    </row>
    <row r="892" spans="1:94" hidden="1">
      <c r="A892"/>
      <c r="G892" s="207"/>
      <c r="CP892"/>
    </row>
    <row r="893" spans="1:94" hidden="1">
      <c r="A893"/>
      <c r="G893" s="207"/>
      <c r="CP893"/>
    </row>
    <row r="894" spans="1:94" hidden="1">
      <c r="A894"/>
      <c r="G894" s="207"/>
      <c r="CP894"/>
    </row>
    <row r="895" spans="1:94" hidden="1">
      <c r="A895"/>
      <c r="G895" s="207"/>
      <c r="CP895"/>
    </row>
    <row r="896" spans="1:94" hidden="1">
      <c r="A896"/>
      <c r="G896" s="207"/>
      <c r="CP896"/>
    </row>
    <row r="897" spans="1:94" hidden="1">
      <c r="A897"/>
      <c r="G897" s="207"/>
      <c r="CP897"/>
    </row>
    <row r="898" spans="1:94" hidden="1">
      <c r="A898"/>
      <c r="G898" s="207"/>
      <c r="CP898"/>
    </row>
    <row r="899" spans="1:94" hidden="1">
      <c r="A899"/>
      <c r="G899" s="207"/>
      <c r="CP899"/>
    </row>
    <row r="900" spans="1:94" hidden="1">
      <c r="A900"/>
      <c r="G900" s="207"/>
      <c r="CP900"/>
    </row>
    <row r="901" spans="1:94" hidden="1">
      <c r="A901"/>
      <c r="G901" s="207"/>
      <c r="CP901"/>
    </row>
    <row r="902" spans="1:94" hidden="1">
      <c r="A902"/>
      <c r="G902" s="207"/>
      <c r="CP902"/>
    </row>
    <row r="903" spans="1:94" hidden="1">
      <c r="A903"/>
      <c r="G903" s="207"/>
      <c r="CP903"/>
    </row>
    <row r="904" spans="1:94" hidden="1">
      <c r="A904"/>
      <c r="G904" s="207"/>
      <c r="CP904"/>
    </row>
    <row r="905" spans="1:94" hidden="1">
      <c r="A905"/>
      <c r="G905" s="207"/>
      <c r="CP905"/>
    </row>
    <row r="906" spans="1:94" hidden="1">
      <c r="A906"/>
      <c r="G906" s="207"/>
      <c r="CP906"/>
    </row>
    <row r="907" spans="1:94" hidden="1">
      <c r="A907"/>
      <c r="G907" s="207"/>
      <c r="CP907"/>
    </row>
    <row r="908" spans="1:94" hidden="1">
      <c r="A908"/>
      <c r="G908" s="207"/>
      <c r="CP908"/>
    </row>
    <row r="909" spans="1:94" hidden="1">
      <c r="A909"/>
      <c r="G909" s="207"/>
      <c r="CP909"/>
    </row>
    <row r="910" spans="1:94" hidden="1">
      <c r="A910"/>
      <c r="G910" s="207"/>
      <c r="CP910"/>
    </row>
    <row r="911" spans="1:94" hidden="1">
      <c r="A911"/>
      <c r="G911" s="207"/>
      <c r="CP911"/>
    </row>
    <row r="912" spans="1:94" hidden="1">
      <c r="A912"/>
      <c r="G912" s="207"/>
      <c r="CP912"/>
    </row>
    <row r="913" spans="1:94" hidden="1">
      <c r="A913"/>
      <c r="G913" s="207"/>
      <c r="CP913"/>
    </row>
    <row r="914" spans="1:94" hidden="1">
      <c r="A914"/>
      <c r="G914" s="207"/>
      <c r="CP914"/>
    </row>
    <row r="915" spans="1:94" hidden="1">
      <c r="A915"/>
      <c r="G915" s="207"/>
      <c r="CP915"/>
    </row>
    <row r="916" spans="1:94" hidden="1">
      <c r="A916"/>
      <c r="G916" s="207"/>
      <c r="CP916"/>
    </row>
    <row r="917" spans="1:94" hidden="1">
      <c r="A917"/>
      <c r="G917" s="207"/>
      <c r="CP917"/>
    </row>
    <row r="918" spans="1:94" hidden="1">
      <c r="A918"/>
      <c r="G918" s="207"/>
      <c r="CP918"/>
    </row>
    <row r="919" spans="1:94" hidden="1">
      <c r="A919"/>
      <c r="G919" s="207"/>
      <c r="CP919"/>
    </row>
    <row r="920" spans="1:94" hidden="1">
      <c r="A920"/>
      <c r="G920" s="207"/>
      <c r="CP920"/>
    </row>
    <row r="921" spans="1:94" hidden="1">
      <c r="A921"/>
      <c r="G921" s="207"/>
      <c r="CP921"/>
    </row>
    <row r="922" spans="1:94" hidden="1">
      <c r="A922"/>
      <c r="G922" s="207"/>
      <c r="CP922"/>
    </row>
    <row r="923" spans="1:94" hidden="1">
      <c r="A923"/>
      <c r="G923" s="207"/>
      <c r="CP923"/>
    </row>
    <row r="924" spans="1:94" hidden="1">
      <c r="A924"/>
      <c r="G924" s="207"/>
      <c r="CP924"/>
    </row>
    <row r="925" spans="1:94" hidden="1">
      <c r="A925"/>
      <c r="G925" s="207"/>
      <c r="CP925"/>
    </row>
    <row r="926" spans="1:94" hidden="1">
      <c r="A926"/>
      <c r="G926" s="207"/>
      <c r="CP926"/>
    </row>
    <row r="927" spans="1:94" hidden="1">
      <c r="A927"/>
      <c r="G927" s="207"/>
      <c r="CP927"/>
    </row>
    <row r="928" spans="1:94" hidden="1">
      <c r="A928"/>
      <c r="G928" s="207"/>
      <c r="CP928"/>
    </row>
    <row r="929" spans="1:94" hidden="1">
      <c r="A929"/>
      <c r="G929" s="207"/>
      <c r="CP929"/>
    </row>
    <row r="930" spans="1:94" hidden="1">
      <c r="A930"/>
      <c r="G930" s="207"/>
      <c r="CP930"/>
    </row>
    <row r="931" spans="1:94" hidden="1">
      <c r="A931"/>
      <c r="G931" s="207"/>
      <c r="CP931"/>
    </row>
    <row r="932" spans="1:94" hidden="1">
      <c r="A932"/>
      <c r="G932" s="207"/>
      <c r="CP932"/>
    </row>
    <row r="933" spans="1:94" hidden="1">
      <c r="A933"/>
      <c r="G933" s="207"/>
      <c r="CP933"/>
    </row>
    <row r="934" spans="1:94" hidden="1">
      <c r="A934"/>
      <c r="G934" s="207"/>
      <c r="CP934"/>
    </row>
    <row r="935" spans="1:94" hidden="1">
      <c r="A935"/>
      <c r="G935" s="207"/>
      <c r="CP935"/>
    </row>
    <row r="936" spans="1:94" hidden="1">
      <c r="A936"/>
      <c r="G936" s="207"/>
      <c r="CP936"/>
    </row>
    <row r="937" spans="1:94" hidden="1">
      <c r="A937"/>
      <c r="G937" s="207"/>
      <c r="CP937"/>
    </row>
    <row r="938" spans="1:94" hidden="1">
      <c r="A938"/>
      <c r="G938" s="207"/>
      <c r="CP938"/>
    </row>
    <row r="939" spans="1:94" hidden="1">
      <c r="A939"/>
      <c r="G939" s="207"/>
      <c r="CP939"/>
    </row>
    <row r="940" spans="1:94" hidden="1">
      <c r="A940"/>
      <c r="G940" s="207"/>
      <c r="CP940"/>
    </row>
    <row r="941" spans="1:94" hidden="1">
      <c r="A941"/>
      <c r="G941" s="207"/>
      <c r="CP941"/>
    </row>
    <row r="942" spans="1:94" hidden="1">
      <c r="A942"/>
      <c r="G942" s="207"/>
      <c r="CP942"/>
    </row>
    <row r="943" spans="1:94" hidden="1">
      <c r="A943"/>
      <c r="G943" s="207"/>
      <c r="CP943"/>
    </row>
    <row r="944" spans="1:94" hidden="1">
      <c r="A944"/>
      <c r="G944" s="207"/>
      <c r="CP944"/>
    </row>
    <row r="945" spans="1:94" hidden="1">
      <c r="A945"/>
      <c r="G945" s="207"/>
      <c r="CP945"/>
    </row>
    <row r="946" spans="1:94" hidden="1">
      <c r="A946"/>
      <c r="G946" s="207"/>
      <c r="CP946"/>
    </row>
    <row r="947" spans="1:94" hidden="1">
      <c r="A947"/>
      <c r="G947" s="207"/>
      <c r="CP947"/>
    </row>
    <row r="948" spans="1:94" hidden="1">
      <c r="A948"/>
      <c r="G948" s="207"/>
      <c r="CP948"/>
    </row>
    <row r="949" spans="1:94" hidden="1">
      <c r="A949"/>
      <c r="G949" s="207"/>
      <c r="CP949"/>
    </row>
    <row r="950" spans="1:94" hidden="1">
      <c r="A950"/>
      <c r="G950" s="207"/>
      <c r="CP950"/>
    </row>
    <row r="951" spans="1:94" hidden="1">
      <c r="A951"/>
      <c r="G951" s="207"/>
      <c r="CP951"/>
    </row>
    <row r="952" spans="1:94" hidden="1">
      <c r="A952"/>
      <c r="G952" s="207"/>
      <c r="CP952"/>
    </row>
    <row r="953" spans="1:94" hidden="1">
      <c r="A953"/>
      <c r="G953" s="207"/>
      <c r="CP953"/>
    </row>
    <row r="954" spans="1:94" hidden="1">
      <c r="A954"/>
      <c r="G954" s="207"/>
      <c r="CP954"/>
    </row>
    <row r="955" spans="1:94" hidden="1">
      <c r="A955"/>
      <c r="G955" s="207"/>
      <c r="CP955"/>
    </row>
    <row r="956" spans="1:94" hidden="1">
      <c r="A956"/>
      <c r="G956" s="207"/>
      <c r="CP956"/>
    </row>
    <row r="957" spans="1:94" hidden="1">
      <c r="A957"/>
      <c r="G957" s="207"/>
      <c r="CP957"/>
    </row>
    <row r="958" spans="1:94" hidden="1">
      <c r="A958"/>
      <c r="G958" s="207"/>
      <c r="CP958"/>
    </row>
    <row r="959" spans="1:94" hidden="1">
      <c r="A959"/>
      <c r="G959" s="207"/>
      <c r="CP959"/>
    </row>
    <row r="960" spans="1:94" hidden="1">
      <c r="A960"/>
      <c r="G960" s="207"/>
      <c r="CP960"/>
    </row>
    <row r="961" spans="1:94" hidden="1">
      <c r="A961"/>
      <c r="G961" s="207"/>
      <c r="CP961"/>
    </row>
    <row r="962" spans="1:94" hidden="1">
      <c r="A962"/>
      <c r="G962" s="207"/>
      <c r="CP962"/>
    </row>
    <row r="963" spans="1:94" hidden="1">
      <c r="A963"/>
      <c r="G963" s="207"/>
      <c r="CP963"/>
    </row>
    <row r="964" spans="1:94" hidden="1">
      <c r="A964"/>
      <c r="G964" s="207"/>
      <c r="CP964"/>
    </row>
    <row r="965" spans="1:94" hidden="1">
      <c r="A965"/>
      <c r="G965" s="207"/>
      <c r="CP965"/>
    </row>
    <row r="966" spans="1:94" hidden="1">
      <c r="A966"/>
      <c r="G966" s="207"/>
      <c r="CP966"/>
    </row>
    <row r="967" spans="1:94" hidden="1">
      <c r="A967"/>
      <c r="G967" s="207"/>
      <c r="CP967"/>
    </row>
    <row r="968" spans="1:94" hidden="1">
      <c r="A968"/>
      <c r="G968" s="207"/>
      <c r="CP968"/>
    </row>
    <row r="969" spans="1:94" hidden="1">
      <c r="A969"/>
      <c r="G969" s="207"/>
      <c r="CP969"/>
    </row>
    <row r="970" spans="1:94" hidden="1">
      <c r="A970"/>
      <c r="G970" s="207"/>
      <c r="CP970"/>
    </row>
    <row r="971" spans="1:94" hidden="1">
      <c r="A971"/>
      <c r="G971" s="207"/>
      <c r="CP971"/>
    </row>
    <row r="972" spans="1:94" hidden="1">
      <c r="A972"/>
      <c r="G972" s="207"/>
      <c r="CP972"/>
    </row>
    <row r="973" spans="1:94" hidden="1">
      <c r="A973"/>
      <c r="G973" s="207"/>
      <c r="CP973"/>
    </row>
    <row r="974" spans="1:94" hidden="1">
      <c r="A974"/>
      <c r="G974" s="207"/>
      <c r="CP974"/>
    </row>
    <row r="975" spans="1:94" hidden="1">
      <c r="A975"/>
      <c r="G975" s="207"/>
      <c r="CP975"/>
    </row>
    <row r="976" spans="1:94" hidden="1">
      <c r="A976"/>
      <c r="G976" s="207"/>
      <c r="CP976"/>
    </row>
    <row r="977" spans="1:94" hidden="1">
      <c r="A977"/>
      <c r="G977" s="207"/>
      <c r="CP977"/>
    </row>
    <row r="978" spans="1:94" hidden="1">
      <c r="A978"/>
      <c r="G978" s="207"/>
      <c r="CP978"/>
    </row>
    <row r="979" spans="1:94" hidden="1">
      <c r="A979"/>
      <c r="G979" s="207"/>
      <c r="CP979"/>
    </row>
    <row r="980" spans="1:94" hidden="1">
      <c r="A980"/>
      <c r="G980" s="207"/>
      <c r="CP980"/>
    </row>
    <row r="981" spans="1:94" hidden="1">
      <c r="A981"/>
      <c r="G981" s="207"/>
      <c r="CP981"/>
    </row>
    <row r="982" spans="1:94" hidden="1">
      <c r="A982"/>
      <c r="G982" s="207"/>
      <c r="CP982"/>
    </row>
    <row r="983" spans="1:94" hidden="1">
      <c r="A983"/>
      <c r="G983" s="207"/>
      <c r="CP983"/>
    </row>
    <row r="984" spans="1:94" hidden="1">
      <c r="A984"/>
      <c r="G984" s="207"/>
      <c r="CP984"/>
    </row>
    <row r="985" spans="1:94" hidden="1">
      <c r="A985"/>
      <c r="G985" s="207"/>
      <c r="CP985"/>
    </row>
    <row r="986" spans="1:94" hidden="1">
      <c r="A986"/>
      <c r="G986" s="207"/>
      <c r="CP986"/>
    </row>
    <row r="987" spans="1:94" hidden="1">
      <c r="A987"/>
      <c r="G987" s="207"/>
      <c r="CP987"/>
    </row>
    <row r="988" spans="1:94" hidden="1">
      <c r="A988"/>
      <c r="G988" s="207"/>
      <c r="CP988"/>
    </row>
    <row r="989" spans="1:94" hidden="1">
      <c r="A989"/>
      <c r="G989" s="207"/>
      <c r="CP989"/>
    </row>
    <row r="990" spans="1:94" hidden="1">
      <c r="A990"/>
      <c r="G990" s="207"/>
      <c r="CP990"/>
    </row>
    <row r="991" spans="1:94" hidden="1">
      <c r="A991"/>
      <c r="G991" s="207"/>
      <c r="CP991"/>
    </row>
    <row r="992" spans="1:94" hidden="1">
      <c r="A992"/>
      <c r="G992" s="207"/>
      <c r="CP992"/>
    </row>
    <row r="993" spans="1:94" hidden="1">
      <c r="A993"/>
      <c r="G993" s="207"/>
      <c r="CP993"/>
    </row>
    <row r="994" spans="1:94" hidden="1">
      <c r="A994"/>
      <c r="G994" s="207"/>
      <c r="CP994"/>
    </row>
    <row r="995" spans="1:94" hidden="1">
      <c r="A995"/>
      <c r="G995" s="207"/>
      <c r="CP995"/>
    </row>
    <row r="996" spans="1:94" hidden="1">
      <c r="A996"/>
      <c r="G996" s="207"/>
      <c r="CP996"/>
    </row>
    <row r="997" spans="1:94" hidden="1">
      <c r="A997"/>
      <c r="G997" s="207"/>
      <c r="CP997"/>
    </row>
    <row r="998" spans="1:94" hidden="1">
      <c r="A998"/>
      <c r="G998" s="207"/>
      <c r="CP998"/>
    </row>
    <row r="999" spans="1:94" hidden="1">
      <c r="A999"/>
      <c r="G999" s="207"/>
      <c r="CP999"/>
    </row>
    <row r="1000" spans="1:94" hidden="1">
      <c r="A1000"/>
      <c r="G1000" s="207"/>
      <c r="CP1000"/>
    </row>
    <row r="1001" spans="1:94" hidden="1">
      <c r="A1001"/>
      <c r="G1001" s="207"/>
      <c r="CP1001"/>
    </row>
    <row r="1002" spans="1:94" hidden="1">
      <c r="A1002"/>
      <c r="G1002" s="207"/>
      <c r="CP1002"/>
    </row>
    <row r="1003" spans="1:94" hidden="1">
      <c r="A1003"/>
      <c r="G1003" s="207"/>
      <c r="CP1003"/>
    </row>
    <row r="1004" spans="1:94" hidden="1">
      <c r="A1004"/>
      <c r="G1004" s="207"/>
      <c r="CP1004"/>
    </row>
    <row r="1005" spans="1:94" hidden="1">
      <c r="A1005"/>
      <c r="G1005" s="207"/>
      <c r="CP1005"/>
    </row>
    <row r="1006" spans="1:94" hidden="1">
      <c r="A1006"/>
      <c r="G1006" s="207"/>
      <c r="CP1006"/>
    </row>
    <row r="1007" spans="1:94" hidden="1">
      <c r="A1007"/>
      <c r="G1007" s="207"/>
      <c r="CP1007"/>
    </row>
    <row r="1008" spans="1:94" hidden="1">
      <c r="A1008"/>
      <c r="G1008" s="207"/>
      <c r="CP1008"/>
    </row>
    <row r="1009" spans="1:94" hidden="1">
      <c r="A1009"/>
      <c r="G1009" s="207"/>
      <c r="CP1009"/>
    </row>
    <row r="1010" spans="1:94" hidden="1">
      <c r="A1010"/>
      <c r="G1010" s="207"/>
      <c r="CP1010"/>
    </row>
    <row r="1011" spans="1:94" hidden="1">
      <c r="A1011"/>
      <c r="G1011" s="207"/>
      <c r="CP1011"/>
    </row>
    <row r="1012" spans="1:94" hidden="1">
      <c r="A1012"/>
      <c r="G1012" s="207"/>
      <c r="CP1012"/>
    </row>
    <row r="1013" spans="1:94" hidden="1">
      <c r="A1013"/>
      <c r="G1013" s="207"/>
      <c r="CP1013"/>
    </row>
    <row r="1014" spans="1:94" hidden="1">
      <c r="A1014"/>
      <c r="G1014" s="207"/>
      <c r="CP1014"/>
    </row>
    <row r="1015" spans="1:94" hidden="1">
      <c r="A1015"/>
      <c r="G1015" s="207"/>
      <c r="CP1015"/>
    </row>
    <row r="1016" spans="1:94" hidden="1">
      <c r="A1016"/>
      <c r="G1016" s="207"/>
      <c r="CP1016"/>
    </row>
    <row r="1017" spans="1:94" hidden="1">
      <c r="A1017"/>
      <c r="G1017" s="207"/>
      <c r="CP1017"/>
    </row>
    <row r="1018" spans="1:94" hidden="1">
      <c r="A1018"/>
      <c r="G1018" s="207"/>
      <c r="CP1018"/>
    </row>
    <row r="1019" spans="1:94" hidden="1">
      <c r="A1019"/>
      <c r="G1019" s="207"/>
      <c r="CP1019"/>
    </row>
    <row r="1020" spans="1:94" hidden="1">
      <c r="A1020"/>
      <c r="G1020" s="207"/>
      <c r="CP1020"/>
    </row>
    <row r="1021" spans="1:94" hidden="1">
      <c r="A1021"/>
      <c r="G1021" s="207"/>
      <c r="CP1021"/>
    </row>
    <row r="1022" spans="1:94" hidden="1">
      <c r="A1022"/>
      <c r="G1022" s="207"/>
      <c r="CP1022"/>
    </row>
    <row r="1023" spans="1:94" hidden="1">
      <c r="A1023"/>
      <c r="G1023" s="207"/>
      <c r="CP1023"/>
    </row>
    <row r="1024" spans="1:94" hidden="1">
      <c r="A1024"/>
      <c r="G1024" s="207"/>
      <c r="CP1024"/>
    </row>
    <row r="1025" spans="1:94" hidden="1">
      <c r="A1025"/>
      <c r="G1025" s="207"/>
      <c r="CP1025"/>
    </row>
    <row r="1026" spans="1:94" hidden="1">
      <c r="A1026"/>
      <c r="G1026" s="207"/>
      <c r="CP1026"/>
    </row>
    <row r="1027" spans="1:94" hidden="1">
      <c r="A1027"/>
      <c r="G1027" s="207"/>
      <c r="CP1027"/>
    </row>
    <row r="1028" spans="1:94" hidden="1">
      <c r="A1028"/>
      <c r="G1028" s="207"/>
      <c r="CP1028"/>
    </row>
    <row r="1029" spans="1:94" hidden="1">
      <c r="A1029"/>
      <c r="G1029" s="207"/>
      <c r="CP1029"/>
    </row>
    <row r="1030" spans="1:94" hidden="1">
      <c r="A1030"/>
      <c r="G1030" s="207"/>
      <c r="CP1030"/>
    </row>
    <row r="1031" spans="1:94" hidden="1">
      <c r="A1031"/>
      <c r="G1031" s="207"/>
      <c r="CP1031"/>
    </row>
    <row r="1032" spans="1:94" hidden="1">
      <c r="A1032"/>
      <c r="G1032" s="207"/>
      <c r="CP1032"/>
    </row>
    <row r="1033" spans="1:94" hidden="1">
      <c r="A1033"/>
      <c r="G1033" s="207"/>
      <c r="CP1033"/>
    </row>
    <row r="1034" spans="1:94" hidden="1">
      <c r="A1034"/>
      <c r="G1034" s="207"/>
      <c r="CP1034"/>
    </row>
    <row r="1035" spans="1:94" hidden="1">
      <c r="A1035"/>
      <c r="G1035" s="207"/>
      <c r="CP1035"/>
    </row>
    <row r="1036" spans="1:94" hidden="1">
      <c r="A1036"/>
      <c r="G1036" s="207"/>
      <c r="CP1036"/>
    </row>
    <row r="1037" spans="1:94" hidden="1">
      <c r="A1037"/>
      <c r="G1037" s="207"/>
      <c r="CP1037"/>
    </row>
    <row r="1038" spans="1:94" hidden="1">
      <c r="A1038"/>
      <c r="G1038" s="207"/>
      <c r="CP1038"/>
    </row>
    <row r="1039" spans="1:94" hidden="1">
      <c r="A1039"/>
      <c r="G1039" s="207"/>
      <c r="CP1039"/>
    </row>
    <row r="1040" spans="1:94" hidden="1">
      <c r="A1040"/>
      <c r="G1040" s="207"/>
      <c r="CP1040"/>
    </row>
    <row r="1041" spans="1:94" hidden="1">
      <c r="A1041"/>
      <c r="G1041" s="207"/>
      <c r="CP1041"/>
    </row>
    <row r="1042" spans="1:94" hidden="1">
      <c r="A1042"/>
      <c r="G1042" s="207"/>
      <c r="CP1042"/>
    </row>
    <row r="1043" spans="1:94" hidden="1">
      <c r="A1043"/>
      <c r="G1043" s="207"/>
      <c r="CP1043"/>
    </row>
    <row r="1044" spans="1:94" hidden="1">
      <c r="A1044"/>
      <c r="G1044" s="207"/>
      <c r="CP1044"/>
    </row>
    <row r="1045" spans="1:94" hidden="1">
      <c r="A1045"/>
      <c r="G1045" s="207"/>
      <c r="CP1045"/>
    </row>
    <row r="1046" spans="1:94" hidden="1">
      <c r="A1046"/>
      <c r="G1046" s="207"/>
      <c r="CP1046"/>
    </row>
    <row r="1047" spans="1:94" hidden="1">
      <c r="A1047"/>
      <c r="G1047" s="207"/>
      <c r="CP1047"/>
    </row>
    <row r="1048" spans="1:94" hidden="1">
      <c r="A1048"/>
      <c r="G1048" s="207"/>
      <c r="CP1048"/>
    </row>
    <row r="1049" spans="1:94" hidden="1">
      <c r="A1049"/>
      <c r="G1049" s="207"/>
      <c r="CP1049"/>
    </row>
    <row r="1050" spans="1:94" hidden="1">
      <c r="A1050"/>
      <c r="G1050" s="207"/>
      <c r="CP1050"/>
    </row>
    <row r="1051" spans="1:94" hidden="1">
      <c r="A1051"/>
      <c r="G1051" s="207"/>
      <c r="CP1051"/>
    </row>
    <row r="1052" spans="1:94" hidden="1">
      <c r="A1052"/>
      <c r="G1052" s="207"/>
      <c r="CP1052"/>
    </row>
    <row r="1053" spans="1:94" hidden="1">
      <c r="A1053"/>
      <c r="G1053" s="207"/>
      <c r="CP1053"/>
    </row>
    <row r="1054" spans="1:94" hidden="1">
      <c r="A1054"/>
      <c r="G1054" s="207"/>
      <c r="CP1054"/>
    </row>
    <row r="1055" spans="1:94" hidden="1">
      <c r="A1055"/>
      <c r="G1055" s="207"/>
      <c r="CP1055"/>
    </row>
    <row r="1056" spans="1:94" hidden="1">
      <c r="A1056"/>
      <c r="G1056" s="207"/>
      <c r="CP1056"/>
    </row>
    <row r="1057" spans="1:94" hidden="1">
      <c r="A1057"/>
      <c r="G1057" s="207"/>
      <c r="CP1057"/>
    </row>
    <row r="1058" spans="1:94" hidden="1">
      <c r="A1058"/>
      <c r="G1058" s="207"/>
      <c r="CP1058"/>
    </row>
    <row r="1059" spans="1:94" hidden="1">
      <c r="A1059"/>
      <c r="G1059" s="207"/>
      <c r="CP1059"/>
    </row>
    <row r="1060" spans="1:94" hidden="1">
      <c r="A1060"/>
      <c r="G1060" s="207"/>
      <c r="CP1060"/>
    </row>
    <row r="1061" spans="1:94" hidden="1">
      <c r="A1061"/>
      <c r="G1061" s="207"/>
      <c r="CP1061"/>
    </row>
    <row r="1062" spans="1:94" hidden="1">
      <c r="A1062"/>
      <c r="G1062" s="207"/>
      <c r="CP1062"/>
    </row>
    <row r="1063" spans="1:94" hidden="1">
      <c r="A1063"/>
      <c r="G1063" s="207"/>
      <c r="CP1063"/>
    </row>
    <row r="1064" spans="1:94" hidden="1">
      <c r="A1064"/>
      <c r="G1064" s="207"/>
      <c r="CP1064"/>
    </row>
    <row r="1065" spans="1:94" hidden="1">
      <c r="A1065"/>
      <c r="G1065" s="207"/>
      <c r="CP1065"/>
    </row>
    <row r="1066" spans="1:94" hidden="1">
      <c r="A1066"/>
      <c r="G1066" s="207"/>
      <c r="CP1066"/>
    </row>
    <row r="1067" spans="1:94" hidden="1">
      <c r="A1067"/>
      <c r="G1067" s="207"/>
      <c r="CP1067"/>
    </row>
    <row r="1068" spans="1:94" hidden="1">
      <c r="A1068"/>
      <c r="G1068" s="207"/>
      <c r="CP1068"/>
    </row>
    <row r="1069" spans="1:94" hidden="1">
      <c r="A1069"/>
      <c r="G1069" s="207"/>
      <c r="CP1069"/>
    </row>
    <row r="1070" spans="1:94" hidden="1">
      <c r="A1070"/>
      <c r="G1070" s="207"/>
      <c r="CP1070"/>
    </row>
    <row r="1071" spans="1:94" hidden="1">
      <c r="A1071"/>
      <c r="G1071" s="207"/>
      <c r="CP1071"/>
    </row>
    <row r="1072" spans="1:94" hidden="1">
      <c r="A1072"/>
      <c r="G1072" s="207"/>
      <c r="CP1072"/>
    </row>
    <row r="1073" spans="1:94" hidden="1">
      <c r="A1073"/>
      <c r="G1073" s="207"/>
      <c r="CP1073"/>
    </row>
    <row r="1074" spans="1:94" hidden="1">
      <c r="A1074"/>
      <c r="G1074" s="207"/>
      <c r="CP1074"/>
    </row>
    <row r="1075" spans="1:94" hidden="1">
      <c r="A1075"/>
      <c r="G1075" s="207"/>
      <c r="CP1075"/>
    </row>
    <row r="1076" spans="1:94" hidden="1">
      <c r="A1076"/>
      <c r="G1076" s="207"/>
      <c r="CP1076"/>
    </row>
    <row r="1077" spans="1:94" hidden="1">
      <c r="A1077"/>
      <c r="G1077" s="207"/>
      <c r="CP1077"/>
    </row>
    <row r="1078" spans="1:94" hidden="1">
      <c r="A1078"/>
      <c r="G1078" s="207"/>
      <c r="CP1078"/>
    </row>
    <row r="1079" spans="1:94" hidden="1">
      <c r="A1079"/>
      <c r="G1079" s="207"/>
      <c r="CP1079"/>
    </row>
    <row r="1080" spans="1:94" hidden="1">
      <c r="A1080"/>
      <c r="G1080" s="207"/>
      <c r="CP1080"/>
    </row>
    <row r="1081" spans="1:94" hidden="1">
      <c r="A1081"/>
      <c r="G1081" s="207"/>
      <c r="CP1081"/>
    </row>
    <row r="1082" spans="1:94" hidden="1">
      <c r="A1082"/>
      <c r="G1082" s="207"/>
      <c r="CP1082"/>
    </row>
    <row r="1083" spans="1:94" hidden="1">
      <c r="A1083"/>
      <c r="G1083" s="207"/>
      <c r="CP1083"/>
    </row>
    <row r="1084" spans="1:94" hidden="1">
      <c r="A1084"/>
      <c r="G1084" s="207"/>
      <c r="CP1084"/>
    </row>
    <row r="1085" spans="1:94" hidden="1">
      <c r="A1085"/>
      <c r="G1085" s="207"/>
      <c r="CP1085"/>
    </row>
    <row r="1086" spans="1:94" hidden="1">
      <c r="A1086"/>
      <c r="G1086" s="207"/>
      <c r="CP1086"/>
    </row>
    <row r="1087" spans="1:94" hidden="1">
      <c r="A1087"/>
      <c r="G1087" s="207"/>
      <c r="CP1087"/>
    </row>
    <row r="1088" spans="1:94" hidden="1">
      <c r="A1088"/>
      <c r="G1088" s="207"/>
      <c r="CP1088"/>
    </row>
    <row r="1089" spans="1:94" hidden="1">
      <c r="A1089"/>
      <c r="G1089" s="207"/>
      <c r="CP1089"/>
    </row>
    <row r="1090" spans="1:94" hidden="1">
      <c r="A1090"/>
      <c r="G1090" s="207"/>
      <c r="CP1090"/>
    </row>
    <row r="1091" spans="1:94" hidden="1">
      <c r="A1091"/>
      <c r="G1091" s="207"/>
      <c r="CP1091"/>
    </row>
    <row r="1092" spans="1:94" hidden="1">
      <c r="A1092"/>
      <c r="G1092" s="207"/>
      <c r="CP1092"/>
    </row>
    <row r="1093" spans="1:94" hidden="1">
      <c r="A1093"/>
      <c r="G1093" s="207"/>
      <c r="CP1093"/>
    </row>
    <row r="1094" spans="1:94" hidden="1">
      <c r="A1094"/>
      <c r="G1094" s="207"/>
      <c r="CP1094"/>
    </row>
    <row r="1095" spans="1:94" hidden="1">
      <c r="A1095"/>
      <c r="G1095" s="207"/>
      <c r="CP1095"/>
    </row>
    <row r="1096" spans="1:94" hidden="1">
      <c r="A1096"/>
      <c r="G1096" s="207"/>
      <c r="CP1096"/>
    </row>
    <row r="1097" spans="1:94" hidden="1">
      <c r="A1097"/>
      <c r="G1097" s="207"/>
      <c r="CP1097"/>
    </row>
    <row r="1098" spans="1:94" hidden="1">
      <c r="A1098"/>
      <c r="G1098" s="207"/>
      <c r="CP1098"/>
    </row>
    <row r="1099" spans="1:94" hidden="1">
      <c r="A1099"/>
      <c r="G1099" s="207"/>
      <c r="CP1099"/>
    </row>
    <row r="1100" spans="1:94" hidden="1">
      <c r="A1100"/>
      <c r="G1100" s="207"/>
      <c r="CP1100"/>
    </row>
    <row r="1101" spans="1:94" hidden="1">
      <c r="A1101"/>
      <c r="G1101" s="207"/>
      <c r="CP1101"/>
    </row>
    <row r="1102" spans="1:94" hidden="1">
      <c r="A1102"/>
      <c r="G1102" s="207"/>
      <c r="CP1102"/>
    </row>
    <row r="1103" spans="1:94" hidden="1">
      <c r="A1103"/>
      <c r="G1103" s="207"/>
      <c r="CP1103"/>
    </row>
    <row r="1104" spans="1:94" hidden="1">
      <c r="A1104"/>
      <c r="G1104" s="207"/>
      <c r="CP1104"/>
    </row>
    <row r="1105" spans="1:94" hidden="1">
      <c r="A1105"/>
      <c r="G1105" s="207"/>
      <c r="CP1105"/>
    </row>
    <row r="1106" spans="1:94" hidden="1">
      <c r="A1106"/>
      <c r="G1106" s="207"/>
      <c r="CP1106"/>
    </row>
    <row r="1107" spans="1:94" hidden="1">
      <c r="A1107"/>
      <c r="G1107" s="207"/>
      <c r="CP1107"/>
    </row>
    <row r="1108" spans="1:94" hidden="1">
      <c r="A1108"/>
      <c r="G1108" s="207"/>
      <c r="CP1108"/>
    </row>
    <row r="1109" spans="1:94" hidden="1">
      <c r="A1109"/>
      <c r="G1109" s="207"/>
      <c r="CP1109"/>
    </row>
    <row r="1110" spans="1:94" hidden="1">
      <c r="A1110"/>
      <c r="G1110" s="207"/>
      <c r="CP1110"/>
    </row>
    <row r="1111" spans="1:94" hidden="1">
      <c r="A1111"/>
      <c r="G1111" s="207"/>
      <c r="CP1111"/>
    </row>
    <row r="1112" spans="1:94" hidden="1">
      <c r="A1112"/>
      <c r="G1112" s="207"/>
      <c r="CP1112"/>
    </row>
    <row r="1113" spans="1:94" hidden="1">
      <c r="A1113"/>
      <c r="G1113" s="207"/>
      <c r="CP1113"/>
    </row>
    <row r="1114" spans="1:94" hidden="1">
      <c r="A1114"/>
      <c r="G1114" s="207"/>
      <c r="CP1114"/>
    </row>
    <row r="1115" spans="1:94" hidden="1">
      <c r="A1115"/>
      <c r="G1115" s="207"/>
      <c r="CP1115"/>
    </row>
    <row r="1116" spans="1:94" hidden="1">
      <c r="A1116"/>
      <c r="G1116" s="207"/>
      <c r="CP1116"/>
    </row>
    <row r="1117" spans="1:94" hidden="1">
      <c r="A1117"/>
      <c r="G1117" s="207"/>
      <c r="CP1117"/>
    </row>
    <row r="1118" spans="1:94" hidden="1">
      <c r="A1118"/>
      <c r="G1118" s="207"/>
      <c r="CP1118"/>
    </row>
    <row r="1119" spans="1:94" hidden="1">
      <c r="A1119"/>
      <c r="G1119" s="207"/>
      <c r="CP1119"/>
    </row>
    <row r="1120" spans="1:94" hidden="1">
      <c r="A1120"/>
      <c r="G1120" s="207"/>
      <c r="CP1120"/>
    </row>
    <row r="1121" spans="1:94" hidden="1">
      <c r="A1121"/>
      <c r="G1121" s="207"/>
      <c r="CP1121"/>
    </row>
    <row r="1122" spans="1:94" hidden="1">
      <c r="A1122"/>
      <c r="G1122" s="207"/>
      <c r="CP1122"/>
    </row>
    <row r="1123" spans="1:94" hidden="1">
      <c r="A1123"/>
      <c r="G1123" s="207"/>
      <c r="CP1123"/>
    </row>
    <row r="1124" spans="1:94" hidden="1">
      <c r="A1124"/>
      <c r="G1124" s="207"/>
      <c r="CP1124"/>
    </row>
    <row r="1125" spans="1:94" hidden="1">
      <c r="A1125"/>
      <c r="G1125" s="207"/>
      <c r="CP1125"/>
    </row>
    <row r="1126" spans="1:94" hidden="1">
      <c r="A1126"/>
      <c r="G1126" s="207"/>
      <c r="CP1126"/>
    </row>
    <row r="1127" spans="1:94" hidden="1">
      <c r="A1127"/>
      <c r="G1127" s="207"/>
      <c r="CP1127"/>
    </row>
    <row r="1128" spans="1:94" hidden="1">
      <c r="A1128"/>
      <c r="G1128" s="207"/>
      <c r="CP1128"/>
    </row>
    <row r="1129" spans="1:94" hidden="1">
      <c r="A1129"/>
      <c r="G1129" s="207"/>
      <c r="CP1129"/>
    </row>
    <row r="1130" spans="1:94" hidden="1">
      <c r="A1130"/>
      <c r="G1130" s="207"/>
      <c r="CP1130"/>
    </row>
    <row r="1131" spans="1:94" hidden="1">
      <c r="A1131"/>
      <c r="G1131" s="207"/>
      <c r="CP1131"/>
    </row>
    <row r="1132" spans="1:94" hidden="1">
      <c r="A1132"/>
      <c r="G1132" s="207"/>
      <c r="CP1132"/>
    </row>
    <row r="1133" spans="1:94" hidden="1">
      <c r="A1133"/>
      <c r="G1133" s="207"/>
      <c r="CP1133"/>
    </row>
    <row r="1134" spans="1:94" hidden="1">
      <c r="A1134"/>
      <c r="G1134" s="207"/>
      <c r="CP1134"/>
    </row>
    <row r="1135" spans="1:94" hidden="1">
      <c r="A1135"/>
      <c r="G1135" s="207"/>
      <c r="CP1135"/>
    </row>
    <row r="1136" spans="1:94" hidden="1">
      <c r="A1136"/>
      <c r="G1136" s="207"/>
      <c r="CP1136"/>
    </row>
    <row r="1137" spans="1:94" hidden="1">
      <c r="A1137"/>
      <c r="G1137" s="207"/>
      <c r="CP1137"/>
    </row>
    <row r="1138" spans="1:94" hidden="1">
      <c r="A1138"/>
      <c r="G1138" s="207"/>
      <c r="CP1138"/>
    </row>
    <row r="1139" spans="1:94" hidden="1">
      <c r="A1139"/>
      <c r="G1139" s="207"/>
      <c r="CP1139"/>
    </row>
    <row r="1140" spans="1:94" hidden="1">
      <c r="A1140"/>
      <c r="G1140" s="207"/>
      <c r="CP1140"/>
    </row>
    <row r="1141" spans="1:94" hidden="1">
      <c r="A1141"/>
      <c r="G1141" s="207"/>
      <c r="CP1141"/>
    </row>
    <row r="1142" spans="1:94" hidden="1">
      <c r="A1142"/>
      <c r="G1142" s="207"/>
      <c r="CP1142"/>
    </row>
    <row r="1143" spans="1:94" hidden="1">
      <c r="A1143"/>
      <c r="G1143" s="207"/>
      <c r="CP1143"/>
    </row>
    <row r="1144" spans="1:94" hidden="1">
      <c r="A1144"/>
      <c r="G1144" s="207"/>
      <c r="CP1144"/>
    </row>
    <row r="1145" spans="1:94" hidden="1">
      <c r="A1145"/>
      <c r="G1145" s="207"/>
      <c r="CP1145"/>
    </row>
    <row r="1146" spans="1:94" hidden="1">
      <c r="A1146"/>
      <c r="G1146" s="207"/>
      <c r="CP1146"/>
    </row>
    <row r="1147" spans="1:94" hidden="1">
      <c r="A1147"/>
      <c r="G1147" s="207"/>
      <c r="CP1147"/>
    </row>
    <row r="1148" spans="1:94" hidden="1">
      <c r="A1148"/>
      <c r="G1148" s="207"/>
      <c r="CP1148"/>
    </row>
    <row r="1149" spans="1:94" hidden="1">
      <c r="A1149"/>
      <c r="G1149" s="207"/>
      <c r="CP1149"/>
    </row>
    <row r="1150" spans="1:94" hidden="1">
      <c r="A1150"/>
      <c r="G1150" s="207"/>
      <c r="CP1150"/>
    </row>
    <row r="1151" spans="1:94" hidden="1">
      <c r="A1151"/>
      <c r="G1151" s="207"/>
      <c r="CP1151"/>
    </row>
    <row r="1152" spans="1:94" hidden="1">
      <c r="A1152"/>
      <c r="G1152" s="207"/>
      <c r="CP1152"/>
    </row>
    <row r="1153" spans="1:94" hidden="1">
      <c r="A1153"/>
      <c r="G1153" s="207"/>
      <c r="CP1153"/>
    </row>
    <row r="1154" spans="1:94" hidden="1">
      <c r="A1154"/>
      <c r="G1154" s="207"/>
      <c r="CP1154"/>
    </row>
    <row r="1155" spans="1:94" hidden="1">
      <c r="A1155"/>
      <c r="G1155" s="207"/>
      <c r="CP1155"/>
    </row>
    <row r="1156" spans="1:94" hidden="1">
      <c r="A1156"/>
      <c r="G1156" s="207"/>
      <c r="CP1156"/>
    </row>
    <row r="1157" spans="1:94" hidden="1">
      <c r="A1157"/>
      <c r="G1157" s="207"/>
      <c r="CP1157"/>
    </row>
    <row r="1158" spans="1:94" hidden="1">
      <c r="A1158"/>
      <c r="G1158" s="207"/>
      <c r="CP1158"/>
    </row>
    <row r="1159" spans="1:94" hidden="1">
      <c r="A1159"/>
      <c r="G1159" s="207"/>
      <c r="CP1159"/>
    </row>
    <row r="1160" spans="1:94" hidden="1">
      <c r="A1160"/>
      <c r="G1160" s="207"/>
      <c r="CP1160"/>
    </row>
    <row r="1161" spans="1:94" hidden="1">
      <c r="A1161"/>
      <c r="G1161" s="207"/>
      <c r="CP1161"/>
    </row>
    <row r="1162" spans="1:94" hidden="1">
      <c r="A1162"/>
      <c r="G1162" s="207"/>
      <c r="CP1162"/>
    </row>
    <row r="1163" spans="1:94" hidden="1">
      <c r="A1163"/>
      <c r="G1163" s="207"/>
      <c r="CP1163"/>
    </row>
    <row r="1164" spans="1:94" hidden="1">
      <c r="A1164"/>
      <c r="G1164" s="207"/>
      <c r="CP1164"/>
    </row>
    <row r="1165" spans="1:94" hidden="1">
      <c r="A1165"/>
      <c r="G1165" s="207"/>
      <c r="CP1165"/>
    </row>
    <row r="1166" spans="1:94" hidden="1">
      <c r="A1166"/>
      <c r="G1166" s="207"/>
      <c r="CP1166"/>
    </row>
    <row r="1167" spans="1:94" hidden="1">
      <c r="A1167"/>
      <c r="G1167" s="207"/>
      <c r="CP1167"/>
    </row>
    <row r="1168" spans="1:94" hidden="1">
      <c r="A1168"/>
      <c r="G1168" s="207"/>
      <c r="CP1168"/>
    </row>
    <row r="1169" spans="1:94" hidden="1">
      <c r="A1169"/>
      <c r="G1169" s="207"/>
      <c r="CP1169"/>
    </row>
    <row r="1170" spans="1:94" hidden="1">
      <c r="A1170"/>
      <c r="G1170" s="207"/>
      <c r="CP1170"/>
    </row>
    <row r="1171" spans="1:94" hidden="1">
      <c r="A1171"/>
      <c r="G1171" s="207"/>
      <c r="CP1171"/>
    </row>
    <row r="1172" spans="1:94" hidden="1">
      <c r="A1172"/>
      <c r="G1172" s="207"/>
      <c r="CP1172"/>
    </row>
    <row r="1173" spans="1:94" hidden="1">
      <c r="A1173"/>
      <c r="G1173" s="207"/>
      <c r="CP1173"/>
    </row>
    <row r="1174" spans="1:94" hidden="1">
      <c r="A1174"/>
      <c r="G1174" s="207"/>
      <c r="CP1174"/>
    </row>
    <row r="1175" spans="1:94" hidden="1">
      <c r="A1175"/>
      <c r="G1175" s="207"/>
      <c r="CP1175"/>
    </row>
    <row r="1176" spans="1:94" hidden="1">
      <c r="A1176"/>
      <c r="G1176" s="207"/>
      <c r="CP1176"/>
    </row>
    <row r="1177" spans="1:94" hidden="1">
      <c r="A1177"/>
      <c r="G1177" s="207"/>
      <c r="CP1177"/>
    </row>
    <row r="1178" spans="1:94" hidden="1">
      <c r="A1178"/>
      <c r="G1178" s="207"/>
      <c r="CP1178"/>
    </row>
    <row r="1179" spans="1:94" hidden="1">
      <c r="A1179"/>
      <c r="G1179" s="207"/>
      <c r="CP1179"/>
    </row>
    <row r="1180" spans="1:94" hidden="1">
      <c r="A1180"/>
      <c r="G1180" s="207"/>
      <c r="CP1180"/>
    </row>
    <row r="1181" spans="1:94" hidden="1">
      <c r="A1181"/>
      <c r="G1181" s="207"/>
      <c r="CP1181"/>
    </row>
    <row r="1182" spans="1:94" hidden="1">
      <c r="A1182"/>
      <c r="G1182" s="207"/>
      <c r="CP1182"/>
    </row>
    <row r="1183" spans="1:94" hidden="1">
      <c r="A1183"/>
      <c r="G1183" s="207"/>
      <c r="CP1183"/>
    </row>
    <row r="1184" spans="1:94" hidden="1">
      <c r="A1184"/>
      <c r="G1184" s="207"/>
      <c r="CP1184"/>
    </row>
    <row r="1185" spans="1:94" hidden="1">
      <c r="A1185"/>
      <c r="G1185" s="207"/>
      <c r="CP1185"/>
    </row>
    <row r="1186" spans="1:94" hidden="1">
      <c r="A1186"/>
      <c r="G1186" s="207"/>
      <c r="CP1186"/>
    </row>
    <row r="1187" spans="1:94" hidden="1">
      <c r="A1187"/>
      <c r="G1187" s="207"/>
      <c r="CP1187"/>
    </row>
    <row r="1188" spans="1:94" hidden="1">
      <c r="A1188"/>
      <c r="G1188" s="207"/>
      <c r="CP1188"/>
    </row>
    <row r="1189" spans="1:94" hidden="1">
      <c r="A1189"/>
      <c r="G1189" s="207"/>
      <c r="CP1189"/>
    </row>
    <row r="1190" spans="1:94" hidden="1">
      <c r="A1190"/>
      <c r="G1190" s="207"/>
      <c r="CP1190"/>
    </row>
    <row r="1191" spans="1:94" hidden="1">
      <c r="A1191"/>
      <c r="G1191" s="207"/>
      <c r="CP1191"/>
    </row>
    <row r="1192" spans="1:94" hidden="1">
      <c r="A1192"/>
      <c r="G1192" s="207"/>
      <c r="CP1192"/>
    </row>
    <row r="1193" spans="1:94" hidden="1">
      <c r="A1193"/>
      <c r="G1193" s="207"/>
      <c r="CP1193"/>
    </row>
    <row r="1194" spans="1:94" hidden="1">
      <c r="A1194"/>
      <c r="G1194" s="207"/>
      <c r="CP1194"/>
    </row>
    <row r="1195" spans="1:94" hidden="1">
      <c r="A1195"/>
      <c r="G1195" s="207"/>
      <c r="CP1195"/>
    </row>
    <row r="1196" spans="1:94" hidden="1">
      <c r="A1196"/>
      <c r="G1196" s="207"/>
      <c r="CP1196"/>
    </row>
    <row r="1197" spans="1:94" hidden="1">
      <c r="A1197"/>
      <c r="G1197" s="207"/>
      <c r="CP1197"/>
    </row>
    <row r="1198" spans="1:94" hidden="1">
      <c r="A1198"/>
      <c r="G1198" s="207"/>
      <c r="CP1198"/>
    </row>
    <row r="1199" spans="1:94" hidden="1">
      <c r="A1199"/>
      <c r="G1199" s="207"/>
      <c r="CP1199"/>
    </row>
    <row r="1200" spans="1:94" hidden="1">
      <c r="A1200"/>
      <c r="G1200" s="207"/>
      <c r="CP1200"/>
    </row>
    <row r="1201" spans="1:94" hidden="1">
      <c r="A1201"/>
      <c r="G1201" s="207"/>
      <c r="CP1201"/>
    </row>
    <row r="1202" spans="1:94" hidden="1">
      <c r="A1202"/>
      <c r="G1202" s="207"/>
      <c r="CP1202"/>
    </row>
    <row r="1203" spans="1:94" hidden="1">
      <c r="A1203"/>
      <c r="G1203" s="207"/>
      <c r="CP1203"/>
    </row>
    <row r="1204" spans="1:94" hidden="1">
      <c r="A1204"/>
      <c r="G1204" s="207"/>
      <c r="CP1204"/>
    </row>
    <row r="1205" spans="1:94" hidden="1">
      <c r="A1205"/>
      <c r="G1205" s="207"/>
      <c r="CP1205"/>
    </row>
    <row r="1206" spans="1:94" hidden="1">
      <c r="A1206"/>
      <c r="G1206" s="207"/>
      <c r="CP1206"/>
    </row>
    <row r="1207" spans="1:94" hidden="1">
      <c r="A1207"/>
      <c r="G1207" s="207"/>
      <c r="CP1207"/>
    </row>
    <row r="1208" spans="1:94" hidden="1">
      <c r="A1208"/>
      <c r="G1208" s="207"/>
      <c r="CP1208"/>
    </row>
    <row r="1209" spans="1:94" hidden="1">
      <c r="A1209"/>
      <c r="G1209" s="207"/>
      <c r="CP1209"/>
    </row>
    <row r="1210" spans="1:94" hidden="1">
      <c r="A1210"/>
      <c r="G1210" s="207"/>
      <c r="CP1210"/>
    </row>
    <row r="1211" spans="1:94" hidden="1">
      <c r="A1211"/>
      <c r="G1211" s="207"/>
      <c r="CP1211"/>
    </row>
    <row r="1212" spans="1:94" hidden="1">
      <c r="A1212"/>
      <c r="G1212" s="207"/>
      <c r="CP1212"/>
    </row>
    <row r="1213" spans="1:94" hidden="1">
      <c r="A1213"/>
      <c r="G1213" s="207"/>
      <c r="CP1213"/>
    </row>
    <row r="1214" spans="1:94" hidden="1">
      <c r="A1214"/>
      <c r="G1214" s="207"/>
      <c r="CP1214"/>
    </row>
    <row r="1215" spans="1:94" hidden="1">
      <c r="A1215"/>
      <c r="G1215" s="207"/>
      <c r="CP1215"/>
    </row>
    <row r="1216" spans="1:94" hidden="1">
      <c r="A1216"/>
      <c r="G1216" s="207"/>
      <c r="CP1216"/>
    </row>
    <row r="1217" spans="1:94" hidden="1">
      <c r="A1217"/>
      <c r="G1217" s="207"/>
      <c r="CP1217"/>
    </row>
    <row r="1218" spans="1:94" hidden="1">
      <c r="A1218"/>
      <c r="G1218" s="207"/>
      <c r="CP1218"/>
    </row>
    <row r="1219" spans="1:94" hidden="1">
      <c r="A1219"/>
      <c r="G1219" s="207"/>
      <c r="CP1219"/>
    </row>
    <row r="1220" spans="1:94" hidden="1">
      <c r="A1220"/>
      <c r="G1220" s="207"/>
      <c r="CP1220"/>
    </row>
    <row r="1221" spans="1:94" hidden="1">
      <c r="A1221"/>
      <c r="G1221" s="207"/>
      <c r="CP1221"/>
    </row>
    <row r="1222" spans="1:94" hidden="1">
      <c r="A1222"/>
      <c r="G1222" s="207"/>
      <c r="CP1222"/>
    </row>
    <row r="1223" spans="1:94" hidden="1">
      <c r="A1223"/>
      <c r="G1223" s="207"/>
      <c r="CP1223"/>
    </row>
    <row r="1224" spans="1:94" hidden="1">
      <c r="A1224"/>
      <c r="G1224" s="207"/>
      <c r="CP1224"/>
    </row>
    <row r="1225" spans="1:94" hidden="1">
      <c r="A1225"/>
      <c r="G1225" s="207"/>
      <c r="CP1225"/>
    </row>
    <row r="1226" spans="1:94" hidden="1">
      <c r="A1226"/>
      <c r="G1226" s="207"/>
      <c r="CP1226"/>
    </row>
    <row r="1227" spans="1:94" hidden="1">
      <c r="A1227"/>
      <c r="G1227" s="207"/>
      <c r="CP1227"/>
    </row>
    <row r="1228" spans="1:94" hidden="1">
      <c r="A1228"/>
      <c r="G1228" s="207"/>
      <c r="CP1228"/>
    </row>
    <row r="1229" spans="1:94" hidden="1">
      <c r="A1229"/>
      <c r="G1229" s="207"/>
      <c r="CP1229"/>
    </row>
    <row r="1230" spans="1:94" hidden="1">
      <c r="A1230"/>
      <c r="G1230" s="207"/>
      <c r="CP1230"/>
    </row>
    <row r="1231" spans="1:94" hidden="1">
      <c r="A1231"/>
      <c r="G1231" s="207"/>
      <c r="CP1231"/>
    </row>
    <row r="1232" spans="1:94" hidden="1">
      <c r="A1232"/>
      <c r="G1232" s="207"/>
      <c r="CP1232"/>
    </row>
    <row r="1233" spans="1:94" hidden="1">
      <c r="A1233"/>
      <c r="G1233" s="207"/>
      <c r="CP1233"/>
    </row>
    <row r="1234" spans="1:94" hidden="1">
      <c r="A1234"/>
      <c r="G1234" s="207"/>
      <c r="CP1234"/>
    </row>
    <row r="1235" spans="1:94" hidden="1">
      <c r="A1235"/>
      <c r="G1235" s="207"/>
      <c r="CP1235"/>
    </row>
    <row r="1236" spans="1:94" hidden="1">
      <c r="A1236"/>
      <c r="G1236" s="207"/>
      <c r="CP1236"/>
    </row>
    <row r="1237" spans="1:94" hidden="1">
      <c r="A1237"/>
      <c r="G1237" s="207"/>
      <c r="CP1237"/>
    </row>
    <row r="1238" spans="1:94" hidden="1">
      <c r="A1238"/>
      <c r="G1238" s="207"/>
      <c r="CP1238"/>
    </row>
    <row r="1239" spans="1:94" hidden="1">
      <c r="A1239"/>
      <c r="G1239" s="207"/>
      <c r="CP1239"/>
    </row>
    <row r="1240" spans="1:94" hidden="1">
      <c r="A1240"/>
      <c r="G1240" s="207"/>
      <c r="CP1240"/>
    </row>
    <row r="1241" spans="1:94" hidden="1">
      <c r="A1241"/>
      <c r="G1241" s="207"/>
      <c r="CP1241"/>
    </row>
    <row r="1242" spans="1:94" hidden="1">
      <c r="A1242"/>
      <c r="G1242" s="207"/>
      <c r="CP1242"/>
    </row>
    <row r="1243" spans="1:94" hidden="1">
      <c r="A1243"/>
      <c r="G1243" s="207"/>
      <c r="CP1243"/>
    </row>
    <row r="1244" spans="1:94" hidden="1">
      <c r="A1244"/>
      <c r="G1244" s="207"/>
      <c r="CP1244"/>
    </row>
    <row r="1245" spans="1:94" hidden="1">
      <c r="A1245"/>
      <c r="G1245" s="207"/>
      <c r="CP1245"/>
    </row>
    <row r="1246" spans="1:94" hidden="1">
      <c r="A1246"/>
      <c r="G1246" s="207"/>
      <c r="CP1246"/>
    </row>
    <row r="1247" spans="1:94" hidden="1">
      <c r="A1247"/>
      <c r="G1247" s="207"/>
      <c r="CP1247"/>
    </row>
    <row r="1248" spans="1:94" hidden="1">
      <c r="A1248"/>
      <c r="G1248" s="207"/>
      <c r="CP1248"/>
    </row>
    <row r="1249" spans="1:94" hidden="1">
      <c r="A1249"/>
      <c r="G1249" s="207"/>
      <c r="CP1249"/>
    </row>
    <row r="1250" spans="1:94" hidden="1">
      <c r="A1250"/>
      <c r="G1250" s="207"/>
      <c r="CP1250"/>
    </row>
    <row r="1251" spans="1:94" hidden="1">
      <c r="A1251"/>
      <c r="G1251" s="207"/>
      <c r="CP1251"/>
    </row>
    <row r="1252" spans="1:94" hidden="1">
      <c r="A1252"/>
      <c r="G1252" s="207"/>
      <c r="CP1252"/>
    </row>
    <row r="1253" spans="1:94" hidden="1">
      <c r="A1253"/>
      <c r="G1253" s="207"/>
      <c r="CP1253"/>
    </row>
    <row r="1254" spans="1:94" hidden="1">
      <c r="A1254"/>
      <c r="G1254" s="207"/>
      <c r="CP1254"/>
    </row>
    <row r="1255" spans="1:94" hidden="1">
      <c r="A1255"/>
      <c r="G1255" s="207"/>
      <c r="CP1255"/>
    </row>
    <row r="1256" spans="1:94" hidden="1">
      <c r="A1256"/>
      <c r="G1256" s="207"/>
      <c r="CP1256"/>
    </row>
    <row r="1257" spans="1:94" hidden="1">
      <c r="A1257"/>
      <c r="G1257" s="207"/>
      <c r="CP1257"/>
    </row>
    <row r="1258" spans="1:94" hidden="1">
      <c r="A1258"/>
      <c r="G1258" s="207"/>
      <c r="CP1258"/>
    </row>
    <row r="1259" spans="1:94" hidden="1">
      <c r="A1259"/>
      <c r="G1259" s="207"/>
      <c r="CP1259"/>
    </row>
    <row r="1260" spans="1:94" hidden="1">
      <c r="A1260"/>
      <c r="G1260" s="207"/>
      <c r="CP1260"/>
    </row>
    <row r="1261" spans="1:94" hidden="1">
      <c r="A1261"/>
      <c r="G1261" s="207"/>
      <c r="CP1261"/>
    </row>
    <row r="1262" spans="1:94" hidden="1">
      <c r="A1262"/>
      <c r="G1262" s="207"/>
      <c r="CP1262"/>
    </row>
    <row r="1263" spans="1:94" hidden="1">
      <c r="A1263"/>
      <c r="G1263" s="207"/>
      <c r="CP1263"/>
    </row>
    <row r="1264" spans="1:94" hidden="1">
      <c r="A1264"/>
      <c r="G1264" s="207"/>
      <c r="CP1264"/>
    </row>
    <row r="1265" spans="1:94" hidden="1">
      <c r="A1265"/>
      <c r="G1265" s="207"/>
      <c r="CP1265"/>
    </row>
    <row r="1266" spans="1:94" hidden="1">
      <c r="A1266"/>
      <c r="G1266" s="207"/>
      <c r="CP1266"/>
    </row>
    <row r="1267" spans="1:94" hidden="1">
      <c r="A1267"/>
      <c r="G1267" s="207"/>
      <c r="CP1267"/>
    </row>
    <row r="1268" spans="1:94" hidden="1">
      <c r="A1268"/>
      <c r="G1268" s="207"/>
      <c r="CP1268"/>
    </row>
    <row r="1269" spans="1:94" hidden="1">
      <c r="A1269"/>
      <c r="G1269" s="207"/>
      <c r="CP1269"/>
    </row>
    <row r="1270" spans="1:94" hidden="1">
      <c r="A1270"/>
      <c r="G1270" s="207"/>
      <c r="CP1270"/>
    </row>
    <row r="1271" spans="1:94" hidden="1">
      <c r="A1271"/>
      <c r="G1271" s="207"/>
      <c r="CP1271"/>
    </row>
    <row r="1272" spans="1:94" hidden="1">
      <c r="A1272"/>
      <c r="G1272" s="207"/>
      <c r="CP1272"/>
    </row>
    <row r="1273" spans="1:94" hidden="1">
      <c r="A1273"/>
      <c r="G1273" s="207"/>
      <c r="CP1273"/>
    </row>
    <row r="1274" spans="1:94" hidden="1">
      <c r="A1274"/>
      <c r="G1274" s="207"/>
      <c r="CP1274"/>
    </row>
    <row r="1275" spans="1:94" hidden="1">
      <c r="A1275"/>
      <c r="G1275" s="207"/>
      <c r="CP1275"/>
    </row>
    <row r="1276" spans="1:94" hidden="1">
      <c r="A1276"/>
      <c r="G1276" s="207"/>
      <c r="CP1276"/>
    </row>
    <row r="1277" spans="1:94" hidden="1">
      <c r="A1277"/>
      <c r="G1277" s="207"/>
      <c r="CP1277"/>
    </row>
    <row r="1278" spans="1:94" hidden="1">
      <c r="A1278"/>
      <c r="G1278" s="207"/>
      <c r="CP1278"/>
    </row>
    <row r="1279" spans="1:94" hidden="1">
      <c r="A1279"/>
      <c r="G1279" s="207"/>
      <c r="CP1279"/>
    </row>
    <row r="1280" spans="1:94" hidden="1">
      <c r="A1280"/>
      <c r="G1280" s="207"/>
      <c r="CP1280"/>
    </row>
    <row r="1281" spans="1:94" hidden="1">
      <c r="A1281"/>
      <c r="G1281" s="207"/>
      <c r="CP1281"/>
    </row>
    <row r="1282" spans="1:94" hidden="1">
      <c r="A1282"/>
      <c r="G1282" s="207"/>
      <c r="CP1282"/>
    </row>
    <row r="1283" spans="1:94" hidden="1">
      <c r="A1283"/>
      <c r="G1283" s="207"/>
      <c r="CP1283"/>
    </row>
    <row r="1284" spans="1:94" hidden="1">
      <c r="A1284"/>
      <c r="G1284" s="207"/>
      <c r="CP1284"/>
    </row>
    <row r="1285" spans="1:94" hidden="1">
      <c r="A1285"/>
      <c r="G1285" s="207"/>
      <c r="CP1285"/>
    </row>
    <row r="1286" spans="1:94" hidden="1">
      <c r="A1286"/>
      <c r="G1286" s="207"/>
      <c r="CP1286"/>
    </row>
    <row r="1287" spans="1:94" hidden="1">
      <c r="A1287"/>
      <c r="G1287" s="207"/>
      <c r="CP1287"/>
    </row>
    <row r="1288" spans="1:94" hidden="1">
      <c r="A1288"/>
      <c r="G1288" s="207"/>
      <c r="CP1288"/>
    </row>
    <row r="1289" spans="1:94" hidden="1">
      <c r="A1289"/>
      <c r="G1289" s="207"/>
      <c r="CP1289"/>
    </row>
    <row r="1290" spans="1:94" hidden="1">
      <c r="A1290"/>
      <c r="G1290" s="207"/>
      <c r="CP1290"/>
    </row>
    <row r="1291" spans="1:94" hidden="1">
      <c r="A1291"/>
      <c r="G1291" s="207"/>
      <c r="CP1291"/>
    </row>
    <row r="1292" spans="1:94" hidden="1">
      <c r="A1292"/>
      <c r="G1292" s="207"/>
      <c r="CP1292"/>
    </row>
    <row r="1293" spans="1:94" hidden="1">
      <c r="A1293"/>
      <c r="G1293" s="207"/>
      <c r="CP1293"/>
    </row>
    <row r="1294" spans="1:94" hidden="1">
      <c r="A1294"/>
      <c r="G1294" s="207"/>
      <c r="CP1294"/>
    </row>
    <row r="1295" spans="1:94" hidden="1">
      <c r="A1295"/>
      <c r="G1295" s="207"/>
      <c r="CP1295"/>
    </row>
    <row r="1296" spans="1:94" hidden="1">
      <c r="A1296"/>
      <c r="G1296" s="207"/>
      <c r="CP1296"/>
    </row>
    <row r="1297" spans="1:94" hidden="1">
      <c r="A1297"/>
      <c r="G1297" s="207"/>
      <c r="CP1297"/>
    </row>
    <row r="1298" spans="1:94" hidden="1">
      <c r="A1298"/>
      <c r="G1298" s="207"/>
      <c r="CP1298"/>
    </row>
    <row r="1299" spans="1:94" hidden="1">
      <c r="A1299"/>
      <c r="G1299" s="207"/>
      <c r="CP1299"/>
    </row>
    <row r="1300" spans="1:94" hidden="1">
      <c r="A1300"/>
      <c r="G1300" s="207"/>
      <c r="CP1300"/>
    </row>
    <row r="1301" spans="1:94" hidden="1">
      <c r="A1301"/>
      <c r="G1301" s="207"/>
      <c r="CP1301"/>
    </row>
    <row r="1302" spans="1:94" hidden="1">
      <c r="A1302"/>
      <c r="G1302" s="207"/>
      <c r="CP1302"/>
    </row>
    <row r="1303" spans="1:94" hidden="1">
      <c r="A1303"/>
      <c r="G1303" s="207"/>
      <c r="CP1303"/>
    </row>
    <row r="1304" spans="1:94" hidden="1">
      <c r="A1304"/>
      <c r="G1304" s="207"/>
      <c r="CP1304"/>
    </row>
    <row r="1305" spans="1:94" hidden="1">
      <c r="A1305"/>
      <c r="G1305" s="207"/>
      <c r="CP1305"/>
    </row>
    <row r="1306" spans="1:94" hidden="1">
      <c r="A1306"/>
      <c r="G1306" s="207"/>
      <c r="CP1306"/>
    </row>
    <row r="1307" spans="1:94" hidden="1">
      <c r="A1307"/>
      <c r="G1307" s="207"/>
      <c r="CP1307"/>
    </row>
    <row r="1308" spans="1:94" hidden="1">
      <c r="A1308"/>
      <c r="G1308" s="207"/>
      <c r="CP1308"/>
    </row>
    <row r="1309" spans="1:94" hidden="1">
      <c r="A1309"/>
      <c r="G1309" s="207"/>
      <c r="CP1309"/>
    </row>
    <row r="1310" spans="1:94" hidden="1">
      <c r="A1310"/>
      <c r="G1310" s="207"/>
      <c r="CP1310"/>
    </row>
    <row r="1311" spans="1:94" hidden="1">
      <c r="A1311"/>
      <c r="G1311" s="207"/>
      <c r="CP1311"/>
    </row>
    <row r="1312" spans="1:94" hidden="1">
      <c r="A1312"/>
      <c r="G1312" s="207"/>
      <c r="CP1312"/>
    </row>
    <row r="1313" spans="1:94" hidden="1">
      <c r="A1313"/>
      <c r="G1313" s="207"/>
      <c r="CP1313"/>
    </row>
    <row r="1314" spans="1:94" hidden="1">
      <c r="A1314"/>
      <c r="G1314" s="207"/>
      <c r="CP1314"/>
    </row>
    <row r="1315" spans="1:94" hidden="1">
      <c r="A1315"/>
      <c r="G1315" s="207"/>
      <c r="CP1315"/>
    </row>
    <row r="1316" spans="1:94" hidden="1">
      <c r="A1316"/>
      <c r="G1316" s="207"/>
      <c r="CP1316"/>
    </row>
    <row r="1317" spans="1:94" hidden="1">
      <c r="A1317"/>
      <c r="G1317" s="207"/>
      <c r="CP1317"/>
    </row>
    <row r="1318" spans="1:94" hidden="1">
      <c r="A1318"/>
      <c r="G1318" s="207"/>
      <c r="CP1318"/>
    </row>
    <row r="1319" spans="1:94" hidden="1">
      <c r="A1319"/>
      <c r="G1319" s="207"/>
      <c r="CP1319"/>
    </row>
    <row r="1320" spans="1:94" hidden="1">
      <c r="A1320"/>
      <c r="G1320" s="207"/>
      <c r="CP1320"/>
    </row>
    <row r="1321" spans="1:94" hidden="1">
      <c r="A1321"/>
      <c r="G1321" s="207"/>
      <c r="CP1321"/>
    </row>
    <row r="1322" spans="1:94" hidden="1">
      <c r="A1322"/>
      <c r="G1322" s="207"/>
      <c r="CP1322"/>
    </row>
    <row r="1323" spans="1:94" hidden="1">
      <c r="A1323"/>
      <c r="G1323" s="207"/>
      <c r="CP1323"/>
    </row>
    <row r="1324" spans="1:94" hidden="1">
      <c r="A1324"/>
      <c r="G1324" s="207"/>
      <c r="CP1324"/>
    </row>
    <row r="1325" spans="1:94" hidden="1">
      <c r="A1325"/>
      <c r="G1325" s="207"/>
      <c r="CP1325"/>
    </row>
    <row r="1326" spans="1:94" hidden="1">
      <c r="A1326"/>
      <c r="G1326" s="207"/>
      <c r="CP1326"/>
    </row>
    <row r="1327" spans="1:94" hidden="1">
      <c r="A1327"/>
      <c r="G1327" s="207"/>
      <c r="CP1327"/>
    </row>
    <row r="1328" spans="1:94" hidden="1">
      <c r="A1328"/>
      <c r="G1328" s="207"/>
      <c r="CP1328"/>
    </row>
    <row r="1329" spans="1:94" hidden="1">
      <c r="A1329"/>
      <c r="G1329" s="207"/>
      <c r="CP1329"/>
    </row>
    <row r="1330" spans="1:94" hidden="1">
      <c r="A1330"/>
      <c r="G1330" s="207"/>
      <c r="CP1330"/>
    </row>
    <row r="1331" spans="1:94" hidden="1">
      <c r="A1331"/>
      <c r="G1331" s="207"/>
      <c r="CP1331"/>
    </row>
    <row r="1332" spans="1:94" hidden="1">
      <c r="A1332"/>
      <c r="G1332" s="207"/>
      <c r="CP1332"/>
    </row>
    <row r="1333" spans="1:94" hidden="1">
      <c r="A1333"/>
      <c r="G1333" s="207"/>
      <c r="CP1333"/>
    </row>
    <row r="1334" spans="1:94" hidden="1">
      <c r="A1334"/>
      <c r="G1334" s="207"/>
      <c r="CP1334"/>
    </row>
    <row r="1335" spans="1:94" hidden="1">
      <c r="A1335"/>
      <c r="G1335" s="207"/>
      <c r="CP1335"/>
    </row>
    <row r="1336" spans="1:94" hidden="1">
      <c r="A1336"/>
      <c r="G1336" s="207"/>
      <c r="CP1336"/>
    </row>
    <row r="1337" spans="1:94" hidden="1">
      <c r="A1337"/>
      <c r="G1337" s="207"/>
      <c r="CP1337"/>
    </row>
    <row r="1338" spans="1:94" hidden="1">
      <c r="A1338"/>
      <c r="G1338" s="207"/>
      <c r="CP1338"/>
    </row>
    <row r="1339" spans="1:94" hidden="1">
      <c r="A1339"/>
      <c r="G1339" s="207"/>
      <c r="CP1339"/>
    </row>
    <row r="1340" spans="1:94" hidden="1">
      <c r="A1340"/>
      <c r="G1340" s="207"/>
      <c r="CP1340"/>
    </row>
    <row r="1341" spans="1:94" hidden="1">
      <c r="A1341"/>
      <c r="G1341" s="207"/>
      <c r="CP1341"/>
    </row>
    <row r="1342" spans="1:94" hidden="1">
      <c r="A1342"/>
      <c r="G1342" s="207"/>
      <c r="CP1342"/>
    </row>
    <row r="1343" spans="1:94" hidden="1">
      <c r="A1343"/>
      <c r="G1343" s="207"/>
      <c r="CP1343"/>
    </row>
    <row r="1344" spans="1:94" hidden="1">
      <c r="A1344"/>
      <c r="G1344" s="207"/>
      <c r="CP1344"/>
    </row>
    <row r="1345" spans="1:94" hidden="1">
      <c r="A1345"/>
      <c r="G1345" s="207"/>
      <c r="CP1345"/>
    </row>
    <row r="1346" spans="1:94" hidden="1">
      <c r="A1346"/>
      <c r="G1346" s="207"/>
      <c r="CP1346"/>
    </row>
    <row r="1347" spans="1:94" hidden="1">
      <c r="A1347"/>
      <c r="G1347" s="207"/>
      <c r="CP1347"/>
    </row>
    <row r="1348" spans="1:94" hidden="1">
      <c r="A1348"/>
      <c r="G1348" s="207"/>
      <c r="CP1348"/>
    </row>
    <row r="1349" spans="1:94" hidden="1">
      <c r="A1349"/>
      <c r="G1349" s="207"/>
      <c r="CP1349"/>
    </row>
    <row r="1350" spans="1:94" hidden="1">
      <c r="A1350"/>
      <c r="G1350" s="207"/>
      <c r="CP1350"/>
    </row>
    <row r="1351" spans="1:94" hidden="1">
      <c r="A1351"/>
      <c r="G1351" s="207"/>
      <c r="CP1351"/>
    </row>
    <row r="1352" spans="1:94" hidden="1">
      <c r="A1352"/>
      <c r="G1352" s="207"/>
      <c r="CP1352"/>
    </row>
    <row r="1353" spans="1:94" hidden="1">
      <c r="A1353"/>
      <c r="G1353" s="207"/>
      <c r="CP1353"/>
    </row>
    <row r="1354" spans="1:94" hidden="1">
      <c r="A1354"/>
      <c r="G1354" s="207"/>
      <c r="CP1354"/>
    </row>
    <row r="1355" spans="1:94" hidden="1">
      <c r="A1355"/>
      <c r="G1355" s="207"/>
      <c r="CP1355"/>
    </row>
    <row r="1356" spans="1:94" hidden="1">
      <c r="A1356"/>
      <c r="G1356" s="207"/>
      <c r="CP1356"/>
    </row>
    <row r="1357" spans="1:94" hidden="1">
      <c r="A1357"/>
      <c r="G1357" s="207"/>
      <c r="CP1357"/>
    </row>
    <row r="1358" spans="1:94" hidden="1">
      <c r="A1358"/>
      <c r="G1358" s="207"/>
      <c r="CP1358"/>
    </row>
    <row r="1359" spans="1:94" hidden="1">
      <c r="A1359"/>
      <c r="G1359" s="207"/>
      <c r="CP1359"/>
    </row>
    <row r="1360" spans="1:94" hidden="1">
      <c r="A1360"/>
      <c r="G1360" s="207"/>
      <c r="CP1360"/>
    </row>
    <row r="1361" spans="1:94" hidden="1">
      <c r="A1361"/>
      <c r="G1361" s="207"/>
      <c r="CP1361"/>
    </row>
    <row r="1362" spans="1:94" hidden="1">
      <c r="A1362"/>
      <c r="G1362" s="207"/>
      <c r="CP1362"/>
    </row>
    <row r="1363" spans="1:94" hidden="1">
      <c r="A1363"/>
      <c r="G1363" s="207"/>
      <c r="CP1363"/>
    </row>
    <row r="1364" spans="1:94" hidden="1">
      <c r="A1364"/>
      <c r="G1364" s="207"/>
      <c r="CP1364"/>
    </row>
    <row r="1365" spans="1:94" hidden="1">
      <c r="A1365"/>
      <c r="G1365" s="207"/>
      <c r="CP1365"/>
    </row>
    <row r="1366" spans="1:94" hidden="1">
      <c r="A1366"/>
      <c r="G1366" s="207"/>
      <c r="CP1366"/>
    </row>
    <row r="1367" spans="1:94" hidden="1">
      <c r="A1367"/>
      <c r="G1367" s="207"/>
      <c r="CP1367"/>
    </row>
    <row r="1368" spans="1:94" hidden="1">
      <c r="A1368"/>
      <c r="G1368" s="207"/>
      <c r="CP1368"/>
    </row>
    <row r="1369" spans="1:94" hidden="1">
      <c r="A1369"/>
      <c r="G1369" s="207"/>
      <c r="CP1369"/>
    </row>
    <row r="1370" spans="1:94" hidden="1">
      <c r="A1370"/>
      <c r="G1370" s="207"/>
      <c r="CP1370"/>
    </row>
    <row r="1371" spans="1:94" hidden="1">
      <c r="A1371"/>
      <c r="G1371" s="207"/>
      <c r="CP1371"/>
    </row>
    <row r="1372" spans="1:94" hidden="1">
      <c r="A1372"/>
      <c r="G1372" s="207"/>
      <c r="CP1372"/>
    </row>
    <row r="1373" spans="1:94" hidden="1">
      <c r="A1373"/>
      <c r="G1373" s="207"/>
      <c r="CP1373"/>
    </row>
    <row r="1374" spans="1:94" hidden="1">
      <c r="A1374"/>
      <c r="G1374" s="207"/>
      <c r="CP1374"/>
    </row>
    <row r="1375" spans="1:94" hidden="1">
      <c r="A1375"/>
      <c r="G1375" s="207"/>
      <c r="CP1375"/>
    </row>
    <row r="1376" spans="1:94" hidden="1">
      <c r="A1376"/>
      <c r="G1376" s="207"/>
      <c r="CP1376"/>
    </row>
    <row r="1377" spans="1:94" hidden="1">
      <c r="A1377"/>
      <c r="G1377" s="207"/>
      <c r="CP1377"/>
    </row>
    <row r="1378" spans="1:94" hidden="1">
      <c r="A1378"/>
      <c r="G1378" s="207"/>
      <c r="CP1378"/>
    </row>
    <row r="1379" spans="1:94" hidden="1">
      <c r="A1379"/>
      <c r="G1379" s="207"/>
      <c r="CP1379"/>
    </row>
    <row r="1380" spans="1:94" hidden="1">
      <c r="A1380"/>
      <c r="G1380" s="207"/>
      <c r="CP1380"/>
    </row>
    <row r="1381" spans="1:94" hidden="1">
      <c r="A1381"/>
      <c r="G1381" s="207"/>
      <c r="CP1381"/>
    </row>
    <row r="1382" spans="1:94" hidden="1">
      <c r="A1382"/>
      <c r="G1382" s="207"/>
      <c r="CP1382"/>
    </row>
    <row r="1383" spans="1:94" hidden="1">
      <c r="A1383"/>
      <c r="G1383" s="207"/>
      <c r="CP1383"/>
    </row>
    <row r="1384" spans="1:94" hidden="1">
      <c r="A1384"/>
      <c r="G1384" s="207"/>
      <c r="CP1384"/>
    </row>
    <row r="1385" spans="1:94" hidden="1">
      <c r="A1385"/>
      <c r="G1385" s="207"/>
      <c r="CP1385"/>
    </row>
    <row r="1386" spans="1:94" hidden="1">
      <c r="A1386"/>
      <c r="G1386" s="207"/>
      <c r="CP1386"/>
    </row>
    <row r="1387" spans="1:94" hidden="1">
      <c r="A1387"/>
      <c r="G1387" s="207"/>
      <c r="CP1387"/>
    </row>
    <row r="1388" spans="1:94" hidden="1">
      <c r="A1388"/>
      <c r="G1388" s="207"/>
      <c r="CP1388"/>
    </row>
    <row r="1389" spans="1:94" hidden="1">
      <c r="A1389"/>
      <c r="G1389" s="207"/>
      <c r="CP1389"/>
    </row>
    <row r="1390" spans="1:94" hidden="1">
      <c r="A1390"/>
      <c r="G1390" s="207"/>
      <c r="CP1390"/>
    </row>
    <row r="1391" spans="1:94" hidden="1">
      <c r="A1391"/>
      <c r="G1391" s="207"/>
      <c r="CP1391"/>
    </row>
    <row r="1392" spans="1:94" hidden="1">
      <c r="A1392"/>
      <c r="G1392" s="207"/>
      <c r="CP1392"/>
    </row>
    <row r="1393" spans="1:94" hidden="1">
      <c r="A1393"/>
      <c r="G1393" s="207"/>
      <c r="CP1393"/>
    </row>
    <row r="1394" spans="1:94" hidden="1">
      <c r="A1394"/>
      <c r="G1394" s="207"/>
      <c r="CP1394"/>
    </row>
    <row r="1395" spans="1:94" hidden="1">
      <c r="A1395"/>
      <c r="G1395" s="207"/>
      <c r="CP1395"/>
    </row>
    <row r="1396" spans="1:94" hidden="1">
      <c r="A1396"/>
      <c r="G1396" s="207"/>
      <c r="CP1396"/>
    </row>
    <row r="1397" spans="1:94" hidden="1">
      <c r="A1397"/>
      <c r="G1397" s="207"/>
      <c r="CP1397"/>
    </row>
    <row r="1398" spans="1:94" hidden="1">
      <c r="A1398"/>
      <c r="G1398" s="207"/>
      <c r="CP1398"/>
    </row>
    <row r="1399" spans="1:94" hidden="1">
      <c r="A1399"/>
      <c r="G1399" s="207"/>
      <c r="CP1399"/>
    </row>
    <row r="1400" spans="1:94" hidden="1">
      <c r="A1400"/>
      <c r="G1400" s="207"/>
      <c r="CP1400"/>
    </row>
    <row r="1401" spans="1:94" hidden="1">
      <c r="A1401"/>
      <c r="G1401" s="207"/>
      <c r="CP1401"/>
    </row>
    <row r="1402" spans="1:94" hidden="1">
      <c r="A1402"/>
      <c r="G1402" s="207"/>
      <c r="CP1402"/>
    </row>
    <row r="1403" spans="1:94" hidden="1">
      <c r="A1403"/>
      <c r="G1403" s="207"/>
      <c r="CP1403"/>
    </row>
    <row r="1404" spans="1:94" hidden="1">
      <c r="A1404"/>
      <c r="G1404" s="207"/>
      <c r="CP1404"/>
    </row>
    <row r="1405" spans="1:94" hidden="1">
      <c r="A1405"/>
      <c r="G1405" s="207"/>
      <c r="CP1405"/>
    </row>
    <row r="1406" spans="1:94" hidden="1">
      <c r="A1406"/>
      <c r="G1406" s="207"/>
      <c r="CP1406"/>
    </row>
    <row r="1407" spans="1:94" hidden="1">
      <c r="A1407"/>
      <c r="G1407" s="207"/>
      <c r="CP1407"/>
    </row>
    <row r="1408" spans="1:94" hidden="1">
      <c r="A1408"/>
      <c r="G1408" s="207"/>
      <c r="CP1408"/>
    </row>
    <row r="1409" spans="1:94" hidden="1">
      <c r="A1409"/>
      <c r="G1409" s="207"/>
      <c r="CP1409"/>
    </row>
    <row r="1410" spans="1:94" hidden="1">
      <c r="A1410"/>
      <c r="G1410" s="207"/>
      <c r="CP1410"/>
    </row>
    <row r="1411" spans="1:94" hidden="1">
      <c r="A1411"/>
      <c r="G1411" s="207"/>
      <c r="CP1411"/>
    </row>
    <row r="1412" spans="1:94" hidden="1">
      <c r="A1412"/>
      <c r="G1412" s="207"/>
      <c r="CP1412"/>
    </row>
    <row r="1413" spans="1:94" hidden="1">
      <c r="A1413"/>
      <c r="G1413" s="207"/>
      <c r="CP1413"/>
    </row>
    <row r="1414" spans="1:94" hidden="1">
      <c r="A1414"/>
      <c r="G1414" s="207"/>
      <c r="CP1414"/>
    </row>
    <row r="1415" spans="1:94" hidden="1">
      <c r="A1415"/>
      <c r="G1415" s="207"/>
      <c r="CP1415"/>
    </row>
    <row r="1416" spans="1:94" hidden="1">
      <c r="A1416"/>
      <c r="G1416" s="207"/>
      <c r="CP1416"/>
    </row>
    <row r="1417" spans="1:94" hidden="1">
      <c r="A1417"/>
      <c r="G1417" s="207"/>
      <c r="CP1417"/>
    </row>
    <row r="1418" spans="1:94" hidden="1">
      <c r="A1418"/>
      <c r="G1418" s="207"/>
      <c r="CP1418"/>
    </row>
    <row r="1419" spans="1:94" hidden="1">
      <c r="A1419"/>
      <c r="G1419" s="207"/>
      <c r="CP1419"/>
    </row>
    <row r="1420" spans="1:94" hidden="1">
      <c r="A1420"/>
      <c r="G1420" s="207"/>
      <c r="CP1420"/>
    </row>
    <row r="1421" spans="1:94" hidden="1">
      <c r="A1421"/>
      <c r="G1421" s="207"/>
      <c r="CP1421"/>
    </row>
    <row r="1422" spans="1:94" hidden="1">
      <c r="A1422"/>
      <c r="G1422" s="207"/>
      <c r="CP1422"/>
    </row>
    <row r="1423" spans="1:94" hidden="1">
      <c r="A1423"/>
      <c r="G1423" s="207"/>
      <c r="CP1423"/>
    </row>
    <row r="1424" spans="1:94" hidden="1">
      <c r="A1424"/>
      <c r="G1424" s="207"/>
      <c r="CP1424"/>
    </row>
    <row r="1425" spans="1:94" hidden="1">
      <c r="A1425"/>
      <c r="G1425" s="207"/>
      <c r="CP1425"/>
    </row>
    <row r="1426" spans="1:94" hidden="1">
      <c r="A1426"/>
      <c r="G1426" s="207"/>
      <c r="CP1426"/>
    </row>
    <row r="1427" spans="1:94" hidden="1">
      <c r="A1427"/>
      <c r="G1427" s="207"/>
      <c r="CP1427"/>
    </row>
    <row r="1428" spans="1:94" hidden="1">
      <c r="A1428"/>
      <c r="G1428" s="207"/>
      <c r="CP1428"/>
    </row>
    <row r="1429" spans="1:94" hidden="1">
      <c r="A1429"/>
      <c r="G1429" s="207"/>
      <c r="CP1429"/>
    </row>
    <row r="1430" spans="1:94" hidden="1">
      <c r="A1430"/>
      <c r="G1430" s="207"/>
      <c r="CP1430"/>
    </row>
    <row r="1431" spans="1:94" hidden="1">
      <c r="A1431"/>
      <c r="G1431" s="207"/>
      <c r="CP1431"/>
    </row>
    <row r="1432" spans="1:94" hidden="1">
      <c r="A1432"/>
      <c r="G1432" s="207"/>
      <c r="CP1432"/>
    </row>
    <row r="1433" spans="1:94" hidden="1">
      <c r="A1433"/>
      <c r="G1433" s="207"/>
      <c r="CP1433"/>
    </row>
    <row r="1434" spans="1:94" hidden="1">
      <c r="A1434"/>
      <c r="G1434" s="207"/>
      <c r="CP1434"/>
    </row>
    <row r="1435" spans="1:94" hidden="1">
      <c r="A1435"/>
      <c r="G1435" s="207"/>
      <c r="CP1435"/>
    </row>
    <row r="1436" spans="1:94" hidden="1">
      <c r="A1436"/>
      <c r="G1436" s="207"/>
      <c r="CP1436"/>
    </row>
    <row r="1437" spans="1:94" hidden="1">
      <c r="A1437"/>
      <c r="G1437" s="207"/>
      <c r="CP1437"/>
    </row>
    <row r="1438" spans="1:94" hidden="1">
      <c r="A1438"/>
      <c r="G1438" s="207"/>
      <c r="CP1438"/>
    </row>
    <row r="1439" spans="1:94" hidden="1">
      <c r="A1439"/>
      <c r="G1439" s="207"/>
      <c r="CP1439"/>
    </row>
    <row r="1440" spans="1:94" hidden="1">
      <c r="A1440"/>
      <c r="G1440" s="207"/>
      <c r="CP1440"/>
    </row>
    <row r="1441" spans="1:94" hidden="1">
      <c r="A1441"/>
      <c r="G1441" s="207"/>
      <c r="CP1441"/>
    </row>
    <row r="1442" spans="1:94" hidden="1">
      <c r="A1442"/>
      <c r="G1442" s="207"/>
      <c r="CP1442"/>
    </row>
    <row r="1443" spans="1:94" hidden="1">
      <c r="A1443"/>
      <c r="G1443" s="207"/>
      <c r="CP1443"/>
    </row>
    <row r="1444" spans="1:94" hidden="1">
      <c r="A1444"/>
      <c r="G1444" s="207"/>
      <c r="CP1444"/>
    </row>
    <row r="1445" spans="1:94" hidden="1">
      <c r="A1445"/>
      <c r="G1445" s="207"/>
      <c r="CP1445"/>
    </row>
    <row r="1446" spans="1:94" hidden="1">
      <c r="A1446"/>
      <c r="G1446" s="207"/>
      <c r="CP1446"/>
    </row>
    <row r="1447" spans="1:94" hidden="1">
      <c r="A1447"/>
      <c r="G1447" s="207"/>
      <c r="CP1447"/>
    </row>
    <row r="1448" spans="1:94" hidden="1">
      <c r="A1448"/>
      <c r="G1448" s="207"/>
      <c r="CP1448"/>
    </row>
    <row r="1449" spans="1:94" hidden="1">
      <c r="A1449"/>
      <c r="G1449" s="207"/>
      <c r="CP1449"/>
    </row>
    <row r="1450" spans="1:94" hidden="1">
      <c r="A1450"/>
      <c r="G1450" s="207"/>
      <c r="CP1450"/>
    </row>
    <row r="1451" spans="1:94" hidden="1">
      <c r="A1451"/>
      <c r="G1451" s="207"/>
      <c r="CP1451"/>
    </row>
    <row r="1452" spans="1:94" hidden="1">
      <c r="A1452"/>
      <c r="G1452" s="207"/>
      <c r="CP1452"/>
    </row>
    <row r="1453" spans="1:94" hidden="1">
      <c r="A1453"/>
      <c r="G1453" s="207"/>
      <c r="CP1453"/>
    </row>
    <row r="1454" spans="1:94" hidden="1">
      <c r="A1454"/>
      <c r="G1454" s="207"/>
      <c r="CP1454"/>
    </row>
    <row r="1455" spans="1:94" hidden="1">
      <c r="A1455"/>
      <c r="G1455" s="207"/>
      <c r="CP1455"/>
    </row>
    <row r="1456" spans="1:94" hidden="1">
      <c r="A1456"/>
      <c r="G1456" s="207"/>
      <c r="CP1456"/>
    </row>
    <row r="1457" spans="1:94" hidden="1">
      <c r="A1457"/>
      <c r="G1457" s="207"/>
      <c r="CP1457"/>
    </row>
    <row r="1458" spans="1:94" hidden="1">
      <c r="A1458"/>
      <c r="G1458" s="207"/>
      <c r="CP1458"/>
    </row>
    <row r="1459" spans="1:94" hidden="1">
      <c r="A1459"/>
      <c r="G1459" s="207"/>
      <c r="CP1459"/>
    </row>
    <row r="1460" spans="1:94" hidden="1">
      <c r="A1460"/>
      <c r="G1460" s="207"/>
      <c r="CP1460"/>
    </row>
    <row r="1461" spans="1:94" hidden="1">
      <c r="A1461"/>
      <c r="G1461" s="207"/>
      <c r="CP1461"/>
    </row>
    <row r="1462" spans="1:94" hidden="1">
      <c r="A1462"/>
      <c r="G1462" s="207"/>
      <c r="CP1462"/>
    </row>
    <row r="1463" spans="1:94" hidden="1">
      <c r="A1463"/>
      <c r="G1463" s="207"/>
      <c r="CP1463"/>
    </row>
    <row r="1464" spans="1:94" hidden="1">
      <c r="A1464"/>
      <c r="G1464" s="207"/>
      <c r="CP1464"/>
    </row>
    <row r="1465" spans="1:94" hidden="1">
      <c r="A1465"/>
      <c r="G1465" s="207"/>
      <c r="CP1465"/>
    </row>
    <row r="1466" spans="1:94" hidden="1">
      <c r="A1466"/>
      <c r="G1466" s="207"/>
      <c r="CP1466"/>
    </row>
    <row r="1467" spans="1:94" hidden="1">
      <c r="A1467"/>
      <c r="G1467" s="207"/>
      <c r="CP1467"/>
    </row>
    <row r="1468" spans="1:94" hidden="1">
      <c r="A1468"/>
      <c r="G1468" s="207"/>
      <c r="CP1468"/>
    </row>
    <row r="1469" spans="1:94" hidden="1">
      <c r="A1469"/>
      <c r="G1469" s="207"/>
      <c r="CP1469"/>
    </row>
    <row r="1470" spans="1:94" hidden="1">
      <c r="A1470"/>
      <c r="G1470" s="207"/>
      <c r="CP1470"/>
    </row>
    <row r="1471" spans="1:94" hidden="1">
      <c r="A1471"/>
      <c r="G1471" s="207"/>
      <c r="CP1471"/>
    </row>
    <row r="1472" spans="1:94" hidden="1">
      <c r="A1472"/>
      <c r="G1472" s="207"/>
      <c r="CP1472"/>
    </row>
    <row r="1473" spans="1:94" hidden="1">
      <c r="A1473"/>
      <c r="G1473" s="207"/>
      <c r="CP1473"/>
    </row>
    <row r="1474" spans="1:94" hidden="1">
      <c r="A1474"/>
      <c r="G1474" s="207"/>
      <c r="CP1474"/>
    </row>
    <row r="1475" spans="1:94" hidden="1">
      <c r="A1475"/>
      <c r="G1475" s="207"/>
      <c r="CP1475"/>
    </row>
    <row r="1476" spans="1:94" hidden="1">
      <c r="A1476"/>
      <c r="G1476" s="207"/>
      <c r="CP1476"/>
    </row>
    <row r="1477" spans="1:94" hidden="1">
      <c r="A1477"/>
      <c r="G1477" s="207"/>
      <c r="CP1477"/>
    </row>
    <row r="1478" spans="1:94" hidden="1">
      <c r="A1478"/>
      <c r="G1478" s="207"/>
      <c r="CP1478"/>
    </row>
    <row r="1479" spans="1:94" hidden="1">
      <c r="A1479"/>
      <c r="G1479" s="207"/>
      <c r="CP1479"/>
    </row>
    <row r="1480" spans="1:94" hidden="1">
      <c r="A1480"/>
      <c r="G1480" s="207"/>
      <c r="CP1480"/>
    </row>
    <row r="1481" spans="1:94" hidden="1">
      <c r="A1481"/>
      <c r="G1481" s="207"/>
      <c r="CP1481"/>
    </row>
    <row r="1482" spans="1:94" hidden="1">
      <c r="A1482"/>
      <c r="G1482" s="207"/>
      <c r="CP1482"/>
    </row>
    <row r="1483" spans="1:94" hidden="1">
      <c r="A1483"/>
      <c r="G1483" s="207"/>
      <c r="CP1483"/>
    </row>
    <row r="1484" spans="1:94" hidden="1">
      <c r="A1484"/>
      <c r="G1484" s="207"/>
      <c r="CP1484"/>
    </row>
    <row r="1485" spans="1:94" hidden="1">
      <c r="A1485"/>
      <c r="G1485" s="207"/>
      <c r="CP1485"/>
    </row>
    <row r="1486" spans="1:94" hidden="1">
      <c r="A1486"/>
      <c r="G1486" s="207"/>
      <c r="CP1486"/>
    </row>
    <row r="1487" spans="1:94" hidden="1">
      <c r="A1487"/>
      <c r="G1487" s="207"/>
      <c r="CP1487"/>
    </row>
    <row r="1488" spans="1:94" hidden="1">
      <c r="A1488"/>
      <c r="G1488" s="207"/>
      <c r="CP1488"/>
    </row>
    <row r="1489" spans="1:94" hidden="1">
      <c r="A1489"/>
      <c r="G1489" s="207"/>
      <c r="CP1489"/>
    </row>
    <row r="1490" spans="1:94" hidden="1">
      <c r="A1490"/>
      <c r="G1490" s="207"/>
      <c r="CP1490"/>
    </row>
    <row r="1491" spans="1:94" hidden="1">
      <c r="A1491"/>
      <c r="G1491" s="207"/>
      <c r="CP1491"/>
    </row>
    <row r="1492" spans="1:94" hidden="1">
      <c r="A1492"/>
      <c r="G1492" s="207"/>
      <c r="CP1492"/>
    </row>
    <row r="1493" spans="1:94" hidden="1">
      <c r="A1493"/>
      <c r="G1493" s="207"/>
      <c r="CP1493"/>
    </row>
    <row r="1494" spans="1:94" hidden="1">
      <c r="A1494"/>
      <c r="G1494" s="207"/>
      <c r="CP1494"/>
    </row>
    <row r="1495" spans="1:94" hidden="1">
      <c r="A1495"/>
      <c r="G1495" s="207"/>
      <c r="CP1495"/>
    </row>
    <row r="1496" spans="1:94" hidden="1">
      <c r="A1496"/>
      <c r="G1496" s="207"/>
      <c r="CP1496"/>
    </row>
    <row r="1497" spans="1:94" hidden="1">
      <c r="A1497"/>
      <c r="G1497" s="207"/>
      <c r="CP1497"/>
    </row>
    <row r="1498" spans="1:94" hidden="1">
      <c r="A1498"/>
      <c r="G1498" s="207"/>
      <c r="CP1498"/>
    </row>
    <row r="1499" spans="1:94" hidden="1">
      <c r="A1499"/>
      <c r="G1499" s="207"/>
      <c r="CP1499"/>
    </row>
    <row r="1500" spans="1:94" hidden="1">
      <c r="A1500"/>
      <c r="G1500" s="207"/>
      <c r="CP1500"/>
    </row>
    <row r="1501" spans="1:94" hidden="1">
      <c r="A1501"/>
      <c r="G1501" s="207"/>
      <c r="CP1501"/>
    </row>
    <row r="1502" spans="1:94" hidden="1">
      <c r="A1502"/>
      <c r="G1502" s="207"/>
      <c r="CP1502"/>
    </row>
    <row r="1503" spans="1:94" hidden="1">
      <c r="A1503"/>
      <c r="G1503" s="207"/>
      <c r="CP1503"/>
    </row>
    <row r="1504" spans="1:94" hidden="1">
      <c r="A1504"/>
      <c r="G1504" s="207"/>
      <c r="CP1504"/>
    </row>
    <row r="1505" spans="1:94" hidden="1">
      <c r="A1505"/>
      <c r="G1505" s="207"/>
      <c r="CP1505"/>
    </row>
    <row r="1506" spans="1:94" hidden="1">
      <c r="A1506"/>
      <c r="G1506" s="207"/>
      <c r="CP1506"/>
    </row>
    <row r="1507" spans="1:94" hidden="1">
      <c r="A1507"/>
      <c r="G1507" s="207"/>
      <c r="CP1507"/>
    </row>
    <row r="1508" spans="1:94" hidden="1">
      <c r="A1508"/>
      <c r="G1508" s="207"/>
      <c r="CP1508"/>
    </row>
    <row r="1509" spans="1:94" hidden="1">
      <c r="A1509"/>
      <c r="G1509" s="207"/>
      <c r="CP1509"/>
    </row>
    <row r="1510" spans="1:94" hidden="1">
      <c r="A1510"/>
      <c r="G1510" s="207"/>
      <c r="CP1510"/>
    </row>
    <row r="1511" spans="1:94" hidden="1">
      <c r="A1511"/>
      <c r="G1511" s="207"/>
      <c r="CP1511"/>
    </row>
    <row r="1512" spans="1:94" hidden="1">
      <c r="A1512"/>
      <c r="G1512" s="207"/>
      <c r="CP1512"/>
    </row>
    <row r="1513" spans="1:94" hidden="1">
      <c r="A1513"/>
      <c r="G1513" s="207"/>
      <c r="CP1513"/>
    </row>
    <row r="1514" spans="1:94" hidden="1">
      <c r="A1514"/>
      <c r="G1514" s="207"/>
      <c r="CP1514"/>
    </row>
    <row r="1515" spans="1:94" hidden="1">
      <c r="A1515"/>
      <c r="G1515" s="207"/>
      <c r="CP1515"/>
    </row>
    <row r="1516" spans="1:94" hidden="1">
      <c r="A1516"/>
      <c r="G1516" s="207"/>
      <c r="CP1516"/>
    </row>
    <row r="1517" spans="1:94" hidden="1">
      <c r="A1517"/>
      <c r="G1517" s="207"/>
      <c r="CP1517"/>
    </row>
    <row r="1518" spans="1:94" hidden="1">
      <c r="A1518"/>
      <c r="G1518" s="207"/>
      <c r="CP1518"/>
    </row>
    <row r="1519" spans="1:94" hidden="1">
      <c r="A1519"/>
      <c r="G1519" s="207"/>
      <c r="CP1519"/>
    </row>
    <row r="1520" spans="1:94" hidden="1">
      <c r="A1520"/>
      <c r="G1520" s="207"/>
      <c r="CP1520"/>
    </row>
    <row r="1521" spans="1:94" hidden="1">
      <c r="A1521"/>
      <c r="G1521" s="207"/>
      <c r="CP1521"/>
    </row>
    <row r="1522" spans="1:94" hidden="1">
      <c r="A1522"/>
      <c r="G1522" s="207"/>
      <c r="CP1522"/>
    </row>
    <row r="1523" spans="1:94" hidden="1">
      <c r="A1523"/>
      <c r="G1523" s="207"/>
      <c r="CP1523"/>
    </row>
    <row r="1524" spans="1:94" hidden="1">
      <c r="A1524"/>
      <c r="G1524" s="207"/>
      <c r="CP1524"/>
    </row>
    <row r="1525" spans="1:94" hidden="1">
      <c r="A1525"/>
      <c r="G1525" s="207"/>
      <c r="CP1525"/>
    </row>
    <row r="1526" spans="1:94" hidden="1">
      <c r="A1526"/>
      <c r="G1526" s="207"/>
      <c r="CP1526"/>
    </row>
    <row r="1527" spans="1:94" hidden="1">
      <c r="A1527"/>
      <c r="G1527" s="207"/>
      <c r="CP1527"/>
    </row>
    <row r="1528" spans="1:94" hidden="1">
      <c r="A1528"/>
      <c r="G1528" s="207"/>
      <c r="CP1528"/>
    </row>
    <row r="1529" spans="1:94" hidden="1">
      <c r="A1529"/>
      <c r="G1529" s="207"/>
      <c r="CP1529"/>
    </row>
    <row r="1530" spans="1:94" hidden="1">
      <c r="A1530"/>
      <c r="G1530" s="207"/>
      <c r="CP1530"/>
    </row>
    <row r="1531" spans="1:94" hidden="1">
      <c r="A1531"/>
      <c r="G1531" s="207"/>
      <c r="CP1531"/>
    </row>
    <row r="1532" spans="1:94" hidden="1">
      <c r="A1532"/>
      <c r="G1532" s="207"/>
      <c r="CP1532"/>
    </row>
    <row r="1533" spans="1:94" hidden="1">
      <c r="A1533"/>
      <c r="G1533" s="207"/>
      <c r="CP1533"/>
    </row>
    <row r="1534" spans="1:94" hidden="1">
      <c r="A1534"/>
      <c r="G1534" s="207"/>
      <c r="CP1534"/>
    </row>
    <row r="1535" spans="1:94" hidden="1">
      <c r="A1535"/>
      <c r="G1535" s="207"/>
      <c r="CP1535"/>
    </row>
    <row r="1536" spans="1:94" hidden="1">
      <c r="A1536"/>
      <c r="G1536" s="207"/>
      <c r="CP1536"/>
    </row>
    <row r="1537" spans="1:94" hidden="1">
      <c r="A1537"/>
      <c r="G1537" s="207"/>
      <c r="CP1537"/>
    </row>
    <row r="1538" spans="1:94" hidden="1">
      <c r="A1538"/>
      <c r="G1538" s="207"/>
      <c r="CP1538"/>
    </row>
    <row r="1539" spans="1:94" hidden="1">
      <c r="A1539"/>
      <c r="G1539" s="207"/>
      <c r="CP1539"/>
    </row>
    <row r="1540" spans="1:94" hidden="1">
      <c r="A1540"/>
      <c r="G1540" s="207"/>
      <c r="CP1540"/>
    </row>
    <row r="1541" spans="1:94" hidden="1">
      <c r="A1541"/>
      <c r="G1541" s="207"/>
      <c r="CP1541"/>
    </row>
    <row r="1542" spans="1:94" hidden="1">
      <c r="A1542"/>
      <c r="G1542" s="207"/>
      <c r="CP1542"/>
    </row>
    <row r="1543" spans="1:94" hidden="1">
      <c r="A1543"/>
      <c r="G1543" s="207"/>
      <c r="CP1543"/>
    </row>
    <row r="1544" spans="1:94" hidden="1">
      <c r="A1544"/>
      <c r="G1544" s="207"/>
      <c r="CP1544"/>
    </row>
    <row r="1545" spans="1:94" hidden="1">
      <c r="A1545"/>
      <c r="G1545" s="207"/>
      <c r="CP1545"/>
    </row>
    <row r="1546" spans="1:94" hidden="1">
      <c r="A1546"/>
      <c r="G1546" s="207"/>
      <c r="CP1546"/>
    </row>
    <row r="1547" spans="1:94" hidden="1">
      <c r="A1547"/>
      <c r="G1547" s="207"/>
      <c r="CP1547"/>
    </row>
    <row r="1548" spans="1:94" hidden="1">
      <c r="A1548"/>
      <c r="G1548" s="207"/>
      <c r="CP1548"/>
    </row>
    <row r="1549" spans="1:94" hidden="1">
      <c r="A1549"/>
      <c r="G1549" s="207"/>
      <c r="CP1549"/>
    </row>
    <row r="1550" spans="1:94" hidden="1">
      <c r="A1550"/>
      <c r="G1550" s="207"/>
      <c r="CP1550"/>
    </row>
    <row r="1551" spans="1:94" hidden="1">
      <c r="A1551"/>
      <c r="G1551" s="207"/>
      <c r="CP1551"/>
    </row>
    <row r="1552" spans="1:94" hidden="1">
      <c r="A1552"/>
      <c r="G1552" s="207"/>
      <c r="CP1552"/>
    </row>
    <row r="1553" spans="1:94" hidden="1">
      <c r="A1553"/>
      <c r="G1553" s="207"/>
      <c r="CP1553"/>
    </row>
    <row r="1554" spans="1:94" hidden="1">
      <c r="A1554"/>
      <c r="G1554" s="207"/>
      <c r="CP1554"/>
    </row>
    <row r="1555" spans="1:94" hidden="1">
      <c r="A1555"/>
      <c r="G1555" s="207"/>
      <c r="CP1555"/>
    </row>
    <row r="1556" spans="1:94" hidden="1">
      <c r="A1556"/>
      <c r="G1556" s="207"/>
      <c r="CP1556"/>
    </row>
    <row r="1557" spans="1:94" hidden="1">
      <c r="A1557"/>
      <c r="G1557" s="207"/>
      <c r="CP1557"/>
    </row>
    <row r="1558" spans="1:94" hidden="1">
      <c r="A1558"/>
      <c r="G1558" s="207"/>
      <c r="CP1558"/>
    </row>
    <row r="1559" spans="1:94" hidden="1">
      <c r="A1559"/>
      <c r="G1559" s="207"/>
      <c r="CP1559"/>
    </row>
    <row r="1560" spans="1:94" hidden="1">
      <c r="A1560"/>
      <c r="G1560" s="207"/>
      <c r="CP1560"/>
    </row>
    <row r="1561" spans="1:94" hidden="1">
      <c r="A1561"/>
      <c r="G1561" s="207"/>
      <c r="CP1561"/>
    </row>
    <row r="1562" spans="1:94" hidden="1">
      <c r="A1562"/>
      <c r="G1562" s="207"/>
      <c r="CP1562"/>
    </row>
    <row r="1563" spans="1:94" hidden="1">
      <c r="A1563"/>
      <c r="G1563" s="207"/>
      <c r="CP1563"/>
    </row>
    <row r="1564" spans="1:94" hidden="1">
      <c r="A1564"/>
      <c r="G1564" s="207"/>
      <c r="CP1564"/>
    </row>
    <row r="1565" spans="1:94" hidden="1">
      <c r="A1565"/>
      <c r="G1565" s="207"/>
      <c r="CP1565"/>
    </row>
    <row r="1566" spans="1:94" hidden="1">
      <c r="A1566"/>
      <c r="G1566" s="207"/>
      <c r="CP1566"/>
    </row>
    <row r="1567" spans="1:94" hidden="1">
      <c r="A1567"/>
      <c r="G1567" s="207"/>
      <c r="CP1567"/>
    </row>
    <row r="1568" spans="1:94" hidden="1">
      <c r="A1568"/>
      <c r="G1568" s="207"/>
      <c r="CP1568"/>
    </row>
    <row r="1569" spans="1:94" hidden="1">
      <c r="A1569"/>
      <c r="G1569" s="207"/>
      <c r="CP1569"/>
    </row>
    <row r="1570" spans="1:94" hidden="1">
      <c r="A1570"/>
      <c r="G1570" s="207"/>
      <c r="CP1570"/>
    </row>
    <row r="1571" spans="1:94" hidden="1">
      <c r="A1571"/>
      <c r="G1571" s="207"/>
      <c r="CP1571"/>
    </row>
    <row r="1572" spans="1:94" hidden="1">
      <c r="A1572"/>
      <c r="G1572" s="207"/>
      <c r="CP1572"/>
    </row>
    <row r="1573" spans="1:94" hidden="1">
      <c r="A1573"/>
      <c r="G1573" s="207"/>
      <c r="CP1573"/>
    </row>
    <row r="1574" spans="1:94" hidden="1">
      <c r="A1574"/>
      <c r="G1574" s="207"/>
      <c r="CP1574"/>
    </row>
    <row r="1575" spans="1:94" hidden="1">
      <c r="A1575"/>
      <c r="G1575" s="207"/>
      <c r="CP1575"/>
    </row>
    <row r="1576" spans="1:94" hidden="1">
      <c r="A1576"/>
      <c r="G1576" s="207"/>
      <c r="CP1576"/>
    </row>
    <row r="1577" spans="1:94" hidden="1">
      <c r="A1577"/>
      <c r="G1577" s="207"/>
      <c r="CP1577"/>
    </row>
    <row r="1578" spans="1:94" hidden="1">
      <c r="A1578"/>
      <c r="G1578" s="207"/>
      <c r="CP1578"/>
    </row>
    <row r="1579" spans="1:94" hidden="1">
      <c r="A1579"/>
      <c r="G1579" s="207"/>
      <c r="CP1579"/>
    </row>
    <row r="1580" spans="1:94" hidden="1">
      <c r="A1580"/>
      <c r="G1580" s="207"/>
      <c r="CP1580"/>
    </row>
    <row r="1581" spans="1:94" hidden="1">
      <c r="A1581"/>
      <c r="G1581" s="207"/>
      <c r="CP1581"/>
    </row>
    <row r="1582" spans="1:94" hidden="1">
      <c r="A1582"/>
      <c r="G1582" s="207"/>
      <c r="CP1582"/>
    </row>
    <row r="1583" spans="1:94" hidden="1">
      <c r="A1583"/>
      <c r="G1583" s="207"/>
      <c r="CP1583"/>
    </row>
    <row r="1584" spans="1:94" hidden="1">
      <c r="A1584"/>
      <c r="G1584" s="207"/>
      <c r="CP1584"/>
    </row>
    <row r="1585" spans="1:94" hidden="1">
      <c r="A1585"/>
      <c r="G1585" s="207"/>
      <c r="CP1585"/>
    </row>
    <row r="1586" spans="1:94" hidden="1">
      <c r="A1586"/>
      <c r="G1586" s="207"/>
      <c r="CP1586"/>
    </row>
    <row r="1587" spans="1:94" hidden="1">
      <c r="A1587"/>
      <c r="G1587" s="207"/>
      <c r="CP1587"/>
    </row>
    <row r="1588" spans="1:94" hidden="1">
      <c r="A1588"/>
      <c r="G1588" s="207"/>
      <c r="CP1588"/>
    </row>
    <row r="1589" spans="1:94" hidden="1">
      <c r="A1589"/>
      <c r="G1589" s="207"/>
      <c r="CP1589"/>
    </row>
    <row r="1590" spans="1:94" hidden="1">
      <c r="A1590"/>
      <c r="G1590" s="207"/>
      <c r="CP1590"/>
    </row>
    <row r="1591" spans="1:94" hidden="1">
      <c r="A1591"/>
      <c r="G1591" s="207"/>
      <c r="CP1591"/>
    </row>
    <row r="1592" spans="1:94" hidden="1">
      <c r="A1592"/>
      <c r="G1592" s="207"/>
      <c r="CP1592"/>
    </row>
    <row r="1593" spans="1:94" hidden="1">
      <c r="A1593"/>
      <c r="G1593" s="207"/>
      <c r="CP1593"/>
    </row>
    <row r="1594" spans="1:94" hidden="1">
      <c r="A1594"/>
      <c r="G1594" s="207"/>
      <c r="CP1594"/>
    </row>
    <row r="1595" spans="1:94" hidden="1">
      <c r="A1595"/>
      <c r="G1595" s="207"/>
      <c r="CP1595"/>
    </row>
    <row r="1596" spans="1:94" hidden="1">
      <c r="A1596"/>
      <c r="G1596" s="207"/>
      <c r="CP1596"/>
    </row>
    <row r="1597" spans="1:94" hidden="1">
      <c r="A1597"/>
      <c r="G1597" s="207"/>
      <c r="CP1597"/>
    </row>
    <row r="1598" spans="1:94" hidden="1">
      <c r="A1598"/>
      <c r="G1598" s="207"/>
      <c r="CP1598"/>
    </row>
    <row r="1599" spans="1:94" hidden="1">
      <c r="A1599"/>
      <c r="G1599" s="207"/>
      <c r="CP1599"/>
    </row>
    <row r="1600" spans="1:94" hidden="1">
      <c r="A1600"/>
      <c r="G1600" s="207"/>
      <c r="CP1600"/>
    </row>
    <row r="1601" spans="1:94" hidden="1">
      <c r="A1601"/>
      <c r="G1601" s="207"/>
      <c r="CP1601"/>
    </row>
    <row r="1602" spans="1:94" hidden="1">
      <c r="A1602"/>
      <c r="G1602" s="207"/>
      <c r="CP1602"/>
    </row>
    <row r="1603" spans="1:94" hidden="1">
      <c r="A1603"/>
      <c r="G1603" s="207"/>
      <c r="CP1603"/>
    </row>
    <row r="1604" spans="1:94" hidden="1">
      <c r="A1604"/>
      <c r="G1604" s="207"/>
      <c r="CP1604"/>
    </row>
    <row r="1605" spans="1:94" hidden="1">
      <c r="A1605"/>
      <c r="G1605" s="207"/>
      <c r="CP1605"/>
    </row>
    <row r="1606" spans="1:94" hidden="1">
      <c r="A1606"/>
      <c r="G1606" s="207"/>
      <c r="CP1606"/>
    </row>
    <row r="1607" spans="1:94" hidden="1">
      <c r="A1607"/>
      <c r="G1607" s="207"/>
      <c r="CP1607"/>
    </row>
    <row r="1608" spans="1:94" hidden="1">
      <c r="A1608"/>
      <c r="G1608" s="207"/>
      <c r="CP1608"/>
    </row>
    <row r="1609" spans="1:94" hidden="1">
      <c r="A1609"/>
      <c r="G1609" s="207"/>
      <c r="CP1609"/>
    </row>
    <row r="1610" spans="1:94" hidden="1">
      <c r="A1610"/>
      <c r="G1610" s="207"/>
      <c r="CP1610"/>
    </row>
    <row r="1611" spans="1:94" hidden="1">
      <c r="A1611"/>
      <c r="G1611" s="207"/>
      <c r="CP1611"/>
    </row>
    <row r="1612" spans="1:94" hidden="1">
      <c r="A1612"/>
      <c r="G1612" s="207"/>
      <c r="CP1612"/>
    </row>
    <row r="1613" spans="1:94" hidden="1">
      <c r="A1613"/>
      <c r="G1613" s="207"/>
      <c r="CP1613"/>
    </row>
    <row r="1614" spans="1:94" hidden="1">
      <c r="A1614"/>
      <c r="G1614" s="207"/>
      <c r="CP1614"/>
    </row>
    <row r="1615" spans="1:94" hidden="1">
      <c r="A1615"/>
      <c r="G1615" s="207"/>
      <c r="CP1615"/>
    </row>
    <row r="1616" spans="1:94" hidden="1">
      <c r="A1616"/>
      <c r="G1616" s="207"/>
      <c r="CP1616"/>
    </row>
    <row r="1617" spans="1:94" hidden="1">
      <c r="A1617"/>
      <c r="G1617" s="207"/>
      <c r="CP1617"/>
    </row>
    <row r="1618" spans="1:94" hidden="1">
      <c r="A1618"/>
      <c r="G1618" s="207"/>
      <c r="CP1618"/>
    </row>
    <row r="1619" spans="1:94" hidden="1">
      <c r="A1619"/>
      <c r="G1619" s="207"/>
      <c r="CP1619"/>
    </row>
    <row r="1620" spans="1:94" hidden="1">
      <c r="A1620"/>
      <c r="G1620" s="207"/>
      <c r="CP1620"/>
    </row>
    <row r="1621" spans="1:94" hidden="1">
      <c r="A1621"/>
      <c r="G1621" s="207"/>
      <c r="CP1621"/>
    </row>
    <row r="1622" spans="1:94" hidden="1">
      <c r="A1622"/>
      <c r="G1622" s="207"/>
      <c r="CP1622"/>
    </row>
    <row r="1623" spans="1:94" hidden="1">
      <c r="A1623"/>
      <c r="G1623" s="207"/>
      <c r="CP1623"/>
    </row>
    <row r="1624" spans="1:94" hidden="1">
      <c r="A1624"/>
      <c r="G1624" s="207"/>
      <c r="CP1624"/>
    </row>
    <row r="1625" spans="1:94" hidden="1">
      <c r="A1625"/>
      <c r="G1625" s="207"/>
      <c r="CP1625"/>
    </row>
    <row r="1626" spans="1:94" hidden="1">
      <c r="A1626"/>
      <c r="G1626" s="207"/>
      <c r="CP1626"/>
    </row>
    <row r="1627" spans="1:94" hidden="1">
      <c r="A1627"/>
      <c r="G1627" s="207"/>
      <c r="CP1627"/>
    </row>
    <row r="1628" spans="1:94" hidden="1">
      <c r="A1628"/>
      <c r="G1628" s="207"/>
      <c r="CP1628"/>
    </row>
    <row r="1629" spans="1:94" hidden="1">
      <c r="A1629"/>
      <c r="G1629" s="207"/>
      <c r="CP1629"/>
    </row>
    <row r="1630" spans="1:94" hidden="1">
      <c r="A1630"/>
      <c r="G1630" s="207"/>
      <c r="CP1630"/>
    </row>
    <row r="1631" spans="1:94" hidden="1">
      <c r="A1631"/>
      <c r="G1631" s="207"/>
      <c r="CP1631"/>
    </row>
    <row r="1632" spans="1:94" hidden="1">
      <c r="A1632"/>
      <c r="G1632" s="207"/>
      <c r="CP1632"/>
    </row>
    <row r="1633" spans="1:94" hidden="1">
      <c r="A1633"/>
      <c r="G1633" s="207"/>
      <c r="CP1633"/>
    </row>
    <row r="1634" spans="1:94" hidden="1">
      <c r="A1634"/>
      <c r="G1634" s="207"/>
      <c r="CP1634"/>
    </row>
    <row r="1635" spans="1:94" hidden="1">
      <c r="A1635"/>
      <c r="G1635" s="207"/>
      <c r="CP1635"/>
    </row>
    <row r="1636" spans="1:94" hidden="1">
      <c r="A1636"/>
      <c r="G1636" s="207"/>
      <c r="CP1636"/>
    </row>
    <row r="1637" spans="1:94" hidden="1">
      <c r="A1637"/>
      <c r="G1637" s="207"/>
      <c r="CP1637"/>
    </row>
    <row r="1638" spans="1:94" hidden="1">
      <c r="A1638"/>
      <c r="G1638" s="207"/>
      <c r="CP1638"/>
    </row>
    <row r="1639" spans="1:94" hidden="1">
      <c r="A1639"/>
      <c r="G1639" s="207"/>
      <c r="CP1639"/>
    </row>
    <row r="1640" spans="1:94" hidden="1">
      <c r="A1640"/>
      <c r="G1640" s="207"/>
      <c r="CP1640"/>
    </row>
    <row r="1641" spans="1:94" hidden="1">
      <c r="A1641"/>
      <c r="G1641" s="207"/>
      <c r="CP1641"/>
    </row>
    <row r="1642" spans="1:94" hidden="1">
      <c r="A1642"/>
      <c r="G1642" s="207"/>
      <c r="CP1642"/>
    </row>
    <row r="1643" spans="1:94" hidden="1">
      <c r="A1643"/>
      <c r="G1643" s="207"/>
      <c r="CP1643"/>
    </row>
    <row r="1644" spans="1:94" hidden="1">
      <c r="A1644"/>
      <c r="G1644" s="207"/>
      <c r="CP1644"/>
    </row>
    <row r="1645" spans="1:94" hidden="1">
      <c r="A1645"/>
      <c r="G1645" s="207"/>
      <c r="CP1645"/>
    </row>
    <row r="1646" spans="1:94" hidden="1">
      <c r="A1646"/>
      <c r="G1646" s="207"/>
      <c r="CP1646"/>
    </row>
    <row r="1647" spans="1:94" hidden="1">
      <c r="A1647"/>
      <c r="G1647" s="207"/>
      <c r="CP1647"/>
    </row>
    <row r="1648" spans="1:94" hidden="1">
      <c r="A1648"/>
      <c r="G1648" s="207"/>
      <c r="CP1648"/>
    </row>
    <row r="1649" spans="1:94" hidden="1">
      <c r="A1649"/>
      <c r="G1649" s="207"/>
      <c r="CP1649"/>
    </row>
    <row r="1650" spans="1:94" hidden="1">
      <c r="A1650"/>
      <c r="G1650" s="207"/>
      <c r="CP1650"/>
    </row>
    <row r="1651" spans="1:94" hidden="1">
      <c r="A1651"/>
      <c r="G1651" s="207"/>
      <c r="CP1651"/>
    </row>
    <row r="1652" spans="1:94" hidden="1">
      <c r="A1652"/>
      <c r="G1652" s="207"/>
      <c r="CP1652"/>
    </row>
    <row r="1653" spans="1:94" hidden="1">
      <c r="A1653"/>
      <c r="G1653" s="207"/>
      <c r="CP1653"/>
    </row>
    <row r="1654" spans="1:94" hidden="1">
      <c r="A1654"/>
      <c r="G1654" s="207"/>
      <c r="CP1654"/>
    </row>
    <row r="1655" spans="1:94" hidden="1">
      <c r="A1655"/>
      <c r="G1655" s="207"/>
      <c r="CP1655"/>
    </row>
    <row r="1656" spans="1:94" hidden="1">
      <c r="A1656"/>
      <c r="G1656" s="207"/>
      <c r="CP1656"/>
    </row>
    <row r="1657" spans="1:94" hidden="1">
      <c r="A1657"/>
      <c r="G1657" s="207"/>
      <c r="CP1657"/>
    </row>
    <row r="1658" spans="1:94" hidden="1">
      <c r="A1658"/>
      <c r="G1658" s="207"/>
      <c r="CP1658"/>
    </row>
    <row r="1659" spans="1:94" hidden="1">
      <c r="A1659"/>
      <c r="G1659" s="207"/>
      <c r="CP1659"/>
    </row>
    <row r="1660" spans="1:94" hidden="1">
      <c r="A1660"/>
      <c r="G1660" s="207"/>
      <c r="CP1660"/>
    </row>
    <row r="1661" spans="1:94" hidden="1">
      <c r="A1661"/>
      <c r="G1661" s="207"/>
      <c r="CP1661"/>
    </row>
    <row r="1662" spans="1:94" hidden="1">
      <c r="A1662"/>
      <c r="G1662" s="207"/>
      <c r="CP1662"/>
    </row>
    <row r="1663" spans="1:94" hidden="1">
      <c r="A1663"/>
      <c r="G1663" s="207"/>
      <c r="CP1663"/>
    </row>
    <row r="1664" spans="1:94" hidden="1">
      <c r="A1664"/>
      <c r="G1664" s="207"/>
      <c r="CP1664"/>
    </row>
    <row r="1665" spans="1:94" hidden="1">
      <c r="A1665"/>
      <c r="G1665" s="207"/>
      <c r="CP1665"/>
    </row>
    <row r="1666" spans="1:94" hidden="1">
      <c r="A1666"/>
      <c r="G1666" s="207"/>
      <c r="CP1666"/>
    </row>
    <row r="1667" spans="1:94" hidden="1">
      <c r="A1667"/>
      <c r="G1667" s="207"/>
      <c r="CP1667"/>
    </row>
    <row r="1668" spans="1:94" hidden="1">
      <c r="A1668"/>
      <c r="G1668" s="207"/>
      <c r="CP1668"/>
    </row>
    <row r="1669" spans="1:94" hidden="1">
      <c r="A1669"/>
      <c r="G1669" s="207"/>
      <c r="CP1669"/>
    </row>
    <row r="1670" spans="1:94" hidden="1">
      <c r="A1670"/>
      <c r="G1670" s="207"/>
      <c r="CP1670"/>
    </row>
    <row r="1671" spans="1:94" hidden="1">
      <c r="A1671"/>
      <c r="G1671" s="207"/>
      <c r="CP1671"/>
    </row>
    <row r="1672" spans="1:94" hidden="1">
      <c r="A1672"/>
      <c r="G1672" s="207"/>
      <c r="CP1672"/>
    </row>
    <row r="1673" spans="1:94" hidden="1">
      <c r="A1673"/>
      <c r="G1673" s="207"/>
      <c r="CP1673"/>
    </row>
    <row r="1674" spans="1:94" hidden="1">
      <c r="A1674"/>
      <c r="G1674" s="207"/>
      <c r="CP1674"/>
    </row>
    <row r="1675" spans="1:94" hidden="1">
      <c r="A1675"/>
      <c r="G1675" s="207"/>
      <c r="CP1675"/>
    </row>
    <row r="1676" spans="1:94" hidden="1">
      <c r="A1676"/>
      <c r="G1676" s="207"/>
      <c r="CP1676"/>
    </row>
    <row r="1677" spans="1:94" hidden="1">
      <c r="A1677"/>
      <c r="G1677" s="207"/>
      <c r="CP1677"/>
    </row>
    <row r="1678" spans="1:94" hidden="1">
      <c r="A1678"/>
      <c r="G1678" s="207"/>
      <c r="CP1678"/>
    </row>
    <row r="1679" spans="1:94" hidden="1">
      <c r="A1679"/>
      <c r="G1679" s="207"/>
      <c r="CP1679"/>
    </row>
    <row r="1680" spans="1:94" hidden="1">
      <c r="A1680"/>
      <c r="G1680" s="207"/>
      <c r="CP1680"/>
    </row>
    <row r="1681" spans="1:94" hidden="1">
      <c r="A1681"/>
      <c r="G1681" s="207"/>
      <c r="CP1681"/>
    </row>
    <row r="1682" spans="1:94" hidden="1">
      <c r="A1682"/>
      <c r="G1682" s="207"/>
      <c r="CP1682"/>
    </row>
    <row r="1683" spans="1:94" hidden="1">
      <c r="A1683"/>
      <c r="G1683" s="207"/>
      <c r="CP1683"/>
    </row>
    <row r="1684" spans="1:94" hidden="1">
      <c r="A1684"/>
      <c r="G1684" s="207"/>
      <c r="CP1684"/>
    </row>
    <row r="1685" spans="1:94" hidden="1">
      <c r="A1685"/>
      <c r="G1685" s="207"/>
      <c r="CP1685"/>
    </row>
    <row r="1686" spans="1:94" hidden="1">
      <c r="A1686"/>
      <c r="G1686" s="207"/>
      <c r="CP1686"/>
    </row>
    <row r="1687" spans="1:94" hidden="1">
      <c r="A1687"/>
      <c r="G1687" s="207"/>
      <c r="CP1687"/>
    </row>
    <row r="1688" spans="1:94" hidden="1">
      <c r="A1688"/>
      <c r="G1688" s="207"/>
      <c r="CP1688"/>
    </row>
    <row r="1689" spans="1:94" hidden="1">
      <c r="A1689"/>
      <c r="G1689" s="207"/>
      <c r="CP1689"/>
    </row>
    <row r="1690" spans="1:94" hidden="1">
      <c r="A1690"/>
      <c r="G1690" s="207"/>
      <c r="CP1690"/>
    </row>
    <row r="1691" spans="1:94" hidden="1">
      <c r="A1691"/>
      <c r="G1691" s="207"/>
      <c r="CP1691"/>
    </row>
    <row r="1692" spans="1:94" hidden="1">
      <c r="A1692"/>
      <c r="G1692" s="207"/>
      <c r="CP1692"/>
    </row>
    <row r="1693" spans="1:94" hidden="1">
      <c r="A1693"/>
      <c r="G1693" s="207"/>
      <c r="CP1693"/>
    </row>
    <row r="1694" spans="1:94" hidden="1">
      <c r="A1694"/>
      <c r="G1694" s="207"/>
      <c r="CP1694"/>
    </row>
    <row r="1695" spans="1:94" hidden="1">
      <c r="A1695"/>
      <c r="G1695" s="207"/>
      <c r="CP1695"/>
    </row>
    <row r="1696" spans="1:94" hidden="1">
      <c r="A1696"/>
      <c r="G1696" s="207"/>
      <c r="CP1696"/>
    </row>
    <row r="1697" spans="1:94" hidden="1">
      <c r="A1697"/>
      <c r="G1697" s="207"/>
      <c r="CP1697"/>
    </row>
    <row r="1698" spans="1:94" hidden="1">
      <c r="A1698"/>
      <c r="G1698" s="207"/>
      <c r="CP1698"/>
    </row>
    <row r="1699" spans="1:94" hidden="1">
      <c r="A1699"/>
      <c r="G1699" s="207"/>
      <c r="CP1699"/>
    </row>
    <row r="1700" spans="1:94" hidden="1">
      <c r="A1700"/>
      <c r="G1700" s="207"/>
      <c r="CP1700"/>
    </row>
    <row r="1701" spans="1:94" hidden="1">
      <c r="A1701"/>
      <c r="G1701" s="207"/>
      <c r="CP1701"/>
    </row>
    <row r="1702" spans="1:94" hidden="1">
      <c r="A1702"/>
      <c r="G1702" s="207"/>
      <c r="CP1702"/>
    </row>
    <row r="1703" spans="1:94" hidden="1">
      <c r="A1703"/>
      <c r="G1703" s="207"/>
      <c r="CP1703"/>
    </row>
    <row r="1704" spans="1:94" hidden="1">
      <c r="A1704"/>
      <c r="G1704" s="207"/>
      <c r="CP1704"/>
    </row>
    <row r="1705" spans="1:94" hidden="1">
      <c r="A1705"/>
      <c r="G1705" s="207"/>
      <c r="CP1705"/>
    </row>
    <row r="1706" spans="1:94" hidden="1">
      <c r="A1706"/>
      <c r="G1706" s="207"/>
      <c r="CP1706"/>
    </row>
    <row r="1707" spans="1:94" hidden="1">
      <c r="A1707"/>
      <c r="G1707" s="207"/>
      <c r="CP1707"/>
    </row>
    <row r="1708" spans="1:94" hidden="1">
      <c r="A1708"/>
      <c r="G1708" s="207"/>
      <c r="CP1708"/>
    </row>
    <row r="1709" spans="1:94" hidden="1">
      <c r="A1709"/>
      <c r="G1709" s="207"/>
      <c r="CP1709"/>
    </row>
    <row r="1710" spans="1:94" hidden="1">
      <c r="A1710"/>
      <c r="G1710" s="207"/>
      <c r="CP1710"/>
    </row>
    <row r="1711" spans="1:94" hidden="1">
      <c r="A1711"/>
      <c r="G1711" s="207"/>
      <c r="CP1711"/>
    </row>
    <row r="1712" spans="1:94" hidden="1">
      <c r="A1712"/>
      <c r="G1712" s="207"/>
      <c r="CP1712"/>
    </row>
    <row r="1713" spans="1:94" hidden="1">
      <c r="A1713"/>
      <c r="G1713" s="207"/>
      <c r="CP1713"/>
    </row>
    <row r="1714" spans="1:94" hidden="1">
      <c r="A1714"/>
      <c r="G1714" s="207"/>
      <c r="CP1714"/>
    </row>
    <row r="1715" spans="1:94" hidden="1">
      <c r="A1715"/>
      <c r="G1715" s="207"/>
      <c r="CP1715"/>
    </row>
    <row r="1716" spans="1:94" hidden="1">
      <c r="A1716"/>
      <c r="G1716" s="207"/>
      <c r="CP1716"/>
    </row>
    <row r="1717" spans="1:94" hidden="1">
      <c r="A1717"/>
      <c r="G1717" s="207"/>
      <c r="CP1717"/>
    </row>
    <row r="1718" spans="1:94" hidden="1">
      <c r="A1718"/>
      <c r="G1718" s="207"/>
      <c r="CP1718"/>
    </row>
    <row r="1719" spans="1:94" hidden="1">
      <c r="A1719"/>
      <c r="G1719" s="207"/>
      <c r="CP1719"/>
    </row>
    <row r="1720" spans="1:94" hidden="1">
      <c r="A1720"/>
      <c r="G1720" s="207"/>
      <c r="CP1720"/>
    </row>
    <row r="1721" spans="1:94" hidden="1">
      <c r="A1721"/>
      <c r="G1721" s="207"/>
      <c r="CP1721"/>
    </row>
    <row r="1722" spans="1:94" hidden="1">
      <c r="A1722"/>
      <c r="G1722" s="207"/>
      <c r="CP1722"/>
    </row>
    <row r="1723" spans="1:94" hidden="1">
      <c r="A1723"/>
      <c r="G1723" s="207"/>
      <c r="CP1723"/>
    </row>
    <row r="1724" spans="1:94" hidden="1">
      <c r="A1724"/>
      <c r="G1724" s="207"/>
      <c r="CP1724"/>
    </row>
    <row r="1725" spans="1:94" hidden="1">
      <c r="A1725"/>
      <c r="G1725" s="207"/>
      <c r="CP1725"/>
    </row>
    <row r="1726" spans="1:94" hidden="1">
      <c r="A1726"/>
      <c r="G1726" s="207"/>
      <c r="CP1726"/>
    </row>
    <row r="1727" spans="1:94" hidden="1">
      <c r="A1727"/>
      <c r="G1727" s="207"/>
      <c r="CP1727"/>
    </row>
    <row r="1728" spans="1:94" hidden="1">
      <c r="A1728"/>
      <c r="G1728" s="207"/>
      <c r="CP1728"/>
    </row>
    <row r="1729" spans="1:94" hidden="1">
      <c r="A1729"/>
      <c r="G1729" s="207"/>
      <c r="CP1729"/>
    </row>
    <row r="1730" spans="1:94" hidden="1">
      <c r="A1730"/>
      <c r="G1730" s="207"/>
      <c r="CP1730"/>
    </row>
    <row r="1731" spans="1:94" hidden="1">
      <c r="A1731"/>
      <c r="G1731" s="207"/>
      <c r="CP1731"/>
    </row>
    <row r="1732" spans="1:94" hidden="1">
      <c r="A1732"/>
      <c r="G1732" s="207"/>
      <c r="CP1732"/>
    </row>
    <row r="1733" spans="1:94" hidden="1">
      <c r="A1733"/>
      <c r="G1733" s="207"/>
      <c r="CP1733"/>
    </row>
    <row r="1734" spans="1:94" hidden="1">
      <c r="A1734"/>
      <c r="G1734" s="207"/>
      <c r="CP1734"/>
    </row>
    <row r="1735" spans="1:94" hidden="1">
      <c r="A1735"/>
      <c r="G1735" s="207"/>
      <c r="CP1735"/>
    </row>
    <row r="1736" spans="1:94" hidden="1">
      <c r="A1736"/>
      <c r="G1736" s="207"/>
      <c r="CP1736"/>
    </row>
    <row r="1737" spans="1:94" hidden="1">
      <c r="A1737"/>
      <c r="G1737" s="207"/>
      <c r="CP1737"/>
    </row>
    <row r="1738" spans="1:94" hidden="1">
      <c r="A1738"/>
      <c r="G1738" s="207"/>
      <c r="CP1738"/>
    </row>
    <row r="1739" spans="1:94" hidden="1">
      <c r="A1739"/>
      <c r="G1739" s="207"/>
      <c r="CP1739"/>
    </row>
    <row r="1740" spans="1:94" hidden="1">
      <c r="A1740"/>
      <c r="G1740" s="207"/>
      <c r="CP1740"/>
    </row>
    <row r="1741" spans="1:94" hidden="1">
      <c r="A1741"/>
      <c r="G1741" s="207"/>
      <c r="CP1741"/>
    </row>
    <row r="1742" spans="1:94" hidden="1">
      <c r="A1742"/>
      <c r="G1742" s="207"/>
      <c r="CP1742"/>
    </row>
    <row r="1743" spans="1:94" hidden="1">
      <c r="A1743"/>
      <c r="G1743" s="207"/>
      <c r="CP1743"/>
    </row>
    <row r="1744" spans="1:94" hidden="1">
      <c r="A1744"/>
      <c r="G1744" s="207"/>
      <c r="CP1744"/>
    </row>
    <row r="1745" spans="1:94" hidden="1">
      <c r="A1745"/>
      <c r="G1745" s="207"/>
      <c r="CP1745"/>
    </row>
    <row r="1746" spans="1:94" hidden="1">
      <c r="A1746"/>
      <c r="G1746" s="207"/>
      <c r="CP1746"/>
    </row>
    <row r="1747" spans="1:94" hidden="1">
      <c r="A1747"/>
      <c r="G1747" s="207"/>
      <c r="CP1747"/>
    </row>
    <row r="1748" spans="1:94" hidden="1">
      <c r="A1748"/>
      <c r="G1748" s="207"/>
      <c r="CP1748"/>
    </row>
    <row r="1749" spans="1:94" hidden="1">
      <c r="A1749"/>
      <c r="G1749" s="207"/>
      <c r="CP1749"/>
    </row>
    <row r="1750" spans="1:94" hidden="1">
      <c r="A1750"/>
      <c r="G1750" s="207"/>
      <c r="CP1750"/>
    </row>
    <row r="1751" spans="1:94" hidden="1">
      <c r="A1751"/>
      <c r="G1751" s="207"/>
      <c r="CP1751"/>
    </row>
    <row r="1752" spans="1:94" hidden="1">
      <c r="A1752"/>
      <c r="G1752" s="207"/>
      <c r="CP1752"/>
    </row>
    <row r="1753" spans="1:94" hidden="1">
      <c r="A1753"/>
      <c r="G1753" s="207"/>
      <c r="CP1753"/>
    </row>
    <row r="1754" spans="1:94" hidden="1">
      <c r="A1754"/>
      <c r="G1754" s="207"/>
      <c r="CP1754"/>
    </row>
    <row r="1755" spans="1:94" hidden="1">
      <c r="A1755"/>
      <c r="G1755" s="207"/>
      <c r="CP1755"/>
    </row>
    <row r="1756" spans="1:94" hidden="1">
      <c r="A1756"/>
      <c r="G1756" s="207"/>
      <c r="CP1756"/>
    </row>
    <row r="1757" spans="1:94" hidden="1">
      <c r="A1757"/>
      <c r="G1757" s="207"/>
      <c r="CP1757"/>
    </row>
    <row r="1758" spans="1:94" hidden="1">
      <c r="A1758"/>
      <c r="G1758" s="207"/>
      <c r="CP1758"/>
    </row>
    <row r="1759" spans="1:94" hidden="1">
      <c r="A1759"/>
      <c r="G1759" s="207"/>
      <c r="CP1759"/>
    </row>
    <row r="1760" spans="1:94" hidden="1">
      <c r="A1760"/>
      <c r="G1760" s="207"/>
      <c r="CP1760"/>
    </row>
    <row r="1761" spans="1:94" hidden="1">
      <c r="A1761"/>
      <c r="G1761" s="207"/>
      <c r="CP1761"/>
    </row>
    <row r="1762" spans="1:94" hidden="1">
      <c r="A1762"/>
      <c r="G1762" s="207"/>
      <c r="CP1762"/>
    </row>
    <row r="1763" spans="1:94" hidden="1">
      <c r="A1763"/>
      <c r="G1763" s="207"/>
      <c r="CP1763"/>
    </row>
    <row r="1764" spans="1:94" hidden="1">
      <c r="A1764"/>
      <c r="G1764" s="207"/>
      <c r="CP1764"/>
    </row>
    <row r="1765" spans="1:94" hidden="1">
      <c r="A1765"/>
      <c r="G1765" s="207"/>
      <c r="CP1765"/>
    </row>
    <row r="1766" spans="1:94" hidden="1">
      <c r="A1766"/>
      <c r="G1766" s="207"/>
      <c r="CP1766"/>
    </row>
    <row r="1767" spans="1:94" hidden="1">
      <c r="A1767"/>
      <c r="G1767" s="207"/>
      <c r="CP1767"/>
    </row>
    <row r="1768" spans="1:94" hidden="1">
      <c r="A1768"/>
      <c r="G1768" s="207"/>
      <c r="CP1768"/>
    </row>
    <row r="1769" spans="1:94" hidden="1">
      <c r="A1769"/>
      <c r="G1769" s="207"/>
      <c r="CP1769"/>
    </row>
    <row r="1770" spans="1:94" hidden="1">
      <c r="A1770"/>
      <c r="G1770" s="207"/>
      <c r="CP1770"/>
    </row>
    <row r="1771" spans="1:94" hidden="1">
      <c r="A1771"/>
      <c r="G1771" s="207"/>
      <c r="CP1771"/>
    </row>
    <row r="1772" spans="1:94" hidden="1">
      <c r="A1772"/>
      <c r="G1772" s="207"/>
      <c r="CP1772"/>
    </row>
    <row r="1773" spans="1:94" hidden="1">
      <c r="A1773"/>
      <c r="G1773" s="207"/>
      <c r="CP1773"/>
    </row>
    <row r="1774" spans="1:94" hidden="1">
      <c r="A1774"/>
      <c r="G1774" s="207"/>
      <c r="CP1774"/>
    </row>
    <row r="1775" spans="1:94" hidden="1">
      <c r="A1775"/>
      <c r="G1775" s="207"/>
      <c r="CP1775"/>
    </row>
    <row r="1776" spans="1:94" hidden="1">
      <c r="A1776"/>
      <c r="G1776" s="207"/>
      <c r="CP1776"/>
    </row>
    <row r="1777" spans="1:94" hidden="1">
      <c r="A1777"/>
      <c r="G1777" s="207"/>
      <c r="CP1777"/>
    </row>
    <row r="1778" spans="1:94" hidden="1">
      <c r="A1778"/>
      <c r="G1778" s="207"/>
      <c r="CP1778"/>
    </row>
    <row r="1779" spans="1:94" hidden="1">
      <c r="A1779"/>
      <c r="G1779" s="207"/>
      <c r="CP1779"/>
    </row>
    <row r="1780" spans="1:94" hidden="1">
      <c r="A1780"/>
      <c r="G1780" s="207"/>
      <c r="CP1780"/>
    </row>
    <row r="1781" spans="1:94" hidden="1">
      <c r="A1781"/>
      <c r="G1781" s="207"/>
      <c r="CP1781"/>
    </row>
    <row r="1782" spans="1:94" hidden="1">
      <c r="A1782"/>
      <c r="G1782" s="207"/>
      <c r="CP1782"/>
    </row>
    <row r="1783" spans="1:94" hidden="1">
      <c r="A1783"/>
      <c r="G1783" s="207"/>
      <c r="CP1783"/>
    </row>
    <row r="1784" spans="1:94" hidden="1">
      <c r="A1784"/>
      <c r="G1784" s="207"/>
      <c r="CP1784"/>
    </row>
    <row r="1785" spans="1:94" hidden="1">
      <c r="A1785"/>
      <c r="G1785" s="207"/>
      <c r="CP1785"/>
    </row>
    <row r="1786" spans="1:94" hidden="1">
      <c r="A1786"/>
      <c r="G1786" s="207"/>
      <c r="CP1786"/>
    </row>
    <row r="1787" spans="1:94" hidden="1">
      <c r="A1787"/>
      <c r="G1787" s="207"/>
      <c r="CP1787"/>
    </row>
    <row r="1788" spans="1:94" hidden="1">
      <c r="A1788"/>
      <c r="G1788" s="207"/>
      <c r="CP1788"/>
    </row>
    <row r="1789" spans="1:94" hidden="1">
      <c r="A1789"/>
      <c r="G1789" s="207"/>
      <c r="CP1789"/>
    </row>
    <row r="1790" spans="1:94" hidden="1">
      <c r="A1790"/>
      <c r="G1790" s="207"/>
      <c r="CP1790"/>
    </row>
    <row r="1791" spans="1:94" hidden="1">
      <c r="A1791"/>
      <c r="G1791" s="207"/>
      <c r="CP1791"/>
    </row>
    <row r="1792" spans="1:94" hidden="1">
      <c r="A1792"/>
      <c r="G1792" s="207"/>
      <c r="CP1792"/>
    </row>
    <row r="1793" spans="1:94" hidden="1">
      <c r="A1793"/>
      <c r="G1793" s="207"/>
      <c r="CP1793"/>
    </row>
    <row r="1794" spans="1:94" hidden="1">
      <c r="A1794"/>
      <c r="G1794" s="207"/>
      <c r="CP1794"/>
    </row>
    <row r="1795" spans="1:94" hidden="1">
      <c r="A1795"/>
      <c r="G1795" s="207"/>
      <c r="CP1795"/>
    </row>
    <row r="1796" spans="1:94" hidden="1">
      <c r="A1796"/>
      <c r="G1796" s="207"/>
      <c r="CP1796"/>
    </row>
    <row r="1797" spans="1:94" hidden="1">
      <c r="A1797"/>
      <c r="G1797" s="207"/>
      <c r="CP1797"/>
    </row>
    <row r="1798" spans="1:94" hidden="1">
      <c r="A1798"/>
      <c r="G1798" s="207"/>
      <c r="CP1798"/>
    </row>
    <row r="1799" spans="1:94" hidden="1">
      <c r="A1799"/>
      <c r="G1799" s="207"/>
      <c r="CP1799"/>
    </row>
    <row r="1800" spans="1:94" hidden="1">
      <c r="A1800"/>
      <c r="G1800" s="207"/>
      <c r="CP1800"/>
    </row>
    <row r="1801" spans="1:94" hidden="1">
      <c r="A1801"/>
      <c r="G1801" s="207"/>
      <c r="CP1801"/>
    </row>
    <row r="1802" spans="1:94" hidden="1">
      <c r="A1802"/>
      <c r="G1802" s="207"/>
      <c r="CP1802"/>
    </row>
    <row r="1803" spans="1:94" hidden="1">
      <c r="A1803"/>
      <c r="G1803" s="207"/>
      <c r="CP1803"/>
    </row>
    <row r="1804" spans="1:94" hidden="1">
      <c r="A1804"/>
      <c r="G1804" s="207"/>
      <c r="CP1804"/>
    </row>
    <row r="1805" spans="1:94" hidden="1">
      <c r="A1805"/>
      <c r="G1805" s="207"/>
      <c r="CP1805"/>
    </row>
    <row r="1806" spans="1:94" hidden="1">
      <c r="A1806"/>
      <c r="G1806" s="207"/>
      <c r="CP1806"/>
    </row>
    <row r="1807" spans="1:94" hidden="1">
      <c r="A1807"/>
      <c r="G1807" s="207"/>
      <c r="CP1807"/>
    </row>
    <row r="1808" spans="1:94" hidden="1">
      <c r="A1808"/>
      <c r="G1808" s="207"/>
      <c r="CP1808"/>
    </row>
    <row r="1809" spans="1:94" hidden="1">
      <c r="A1809"/>
      <c r="G1809" s="207"/>
      <c r="CP1809"/>
    </row>
    <row r="1810" spans="1:94" hidden="1">
      <c r="A1810"/>
      <c r="G1810" s="207"/>
      <c r="CP1810"/>
    </row>
    <row r="1811" spans="1:94" hidden="1">
      <c r="A1811"/>
      <c r="G1811" s="207"/>
      <c r="CP1811"/>
    </row>
    <row r="1812" spans="1:94" hidden="1">
      <c r="A1812"/>
      <c r="G1812" s="207"/>
      <c r="CP1812"/>
    </row>
    <row r="1813" spans="1:94" hidden="1">
      <c r="A1813"/>
      <c r="G1813" s="207"/>
      <c r="CP1813"/>
    </row>
    <row r="1814" spans="1:94" hidden="1">
      <c r="A1814"/>
      <c r="G1814" s="207"/>
      <c r="CP1814"/>
    </row>
    <row r="1815" spans="1:94" hidden="1">
      <c r="A1815"/>
      <c r="G1815" s="207"/>
      <c r="CP1815"/>
    </row>
    <row r="1816" spans="1:94" hidden="1">
      <c r="A1816"/>
      <c r="G1816" s="207"/>
      <c r="CP1816"/>
    </row>
    <row r="1817" spans="1:94" hidden="1">
      <c r="A1817"/>
      <c r="G1817" s="207"/>
      <c r="CP1817"/>
    </row>
    <row r="1818" spans="1:94" hidden="1">
      <c r="A1818"/>
      <c r="G1818" s="207"/>
      <c r="CP1818"/>
    </row>
    <row r="1819" spans="1:94" hidden="1">
      <c r="A1819"/>
      <c r="G1819" s="207"/>
      <c r="CP1819"/>
    </row>
    <row r="1820" spans="1:94" hidden="1">
      <c r="A1820"/>
      <c r="G1820" s="207"/>
      <c r="CP1820"/>
    </row>
    <row r="1821" spans="1:94" hidden="1">
      <c r="A1821"/>
      <c r="G1821" s="207"/>
      <c r="CP1821"/>
    </row>
    <row r="1822" spans="1:94" hidden="1">
      <c r="A1822"/>
      <c r="G1822" s="207"/>
      <c r="CP1822"/>
    </row>
    <row r="1823" spans="1:94" hidden="1">
      <c r="A1823"/>
      <c r="G1823" s="207"/>
      <c r="CP1823"/>
    </row>
    <row r="1824" spans="1:94" hidden="1">
      <c r="A1824"/>
      <c r="G1824" s="207"/>
      <c r="CP1824"/>
    </row>
    <row r="1825" spans="1:94" hidden="1">
      <c r="A1825"/>
      <c r="G1825" s="207"/>
      <c r="CP1825"/>
    </row>
    <row r="1826" spans="1:94" hidden="1">
      <c r="A1826"/>
      <c r="G1826" s="207"/>
      <c r="CP1826"/>
    </row>
    <row r="1827" spans="1:94" hidden="1">
      <c r="A1827"/>
      <c r="G1827" s="207"/>
      <c r="CP1827"/>
    </row>
    <row r="1828" spans="1:94" hidden="1">
      <c r="A1828"/>
      <c r="G1828" s="207"/>
      <c r="CP1828"/>
    </row>
    <row r="1829" spans="1:94" hidden="1">
      <c r="A1829"/>
      <c r="G1829" s="207"/>
      <c r="CP1829"/>
    </row>
    <row r="1830" spans="1:94" hidden="1">
      <c r="A1830"/>
      <c r="G1830" s="207"/>
      <c r="CP1830"/>
    </row>
    <row r="1831" spans="1:94" hidden="1">
      <c r="A1831"/>
      <c r="G1831" s="207"/>
      <c r="CP1831"/>
    </row>
    <row r="1832" spans="1:94" hidden="1">
      <c r="A1832"/>
      <c r="G1832" s="207"/>
      <c r="CP1832"/>
    </row>
    <row r="1833" spans="1:94" hidden="1">
      <c r="A1833"/>
      <c r="G1833" s="207"/>
      <c r="CP1833"/>
    </row>
    <row r="1834" spans="1:94" hidden="1">
      <c r="A1834"/>
      <c r="G1834" s="207"/>
      <c r="CP1834"/>
    </row>
    <row r="1835" spans="1:94" hidden="1">
      <c r="A1835"/>
      <c r="G1835" s="207"/>
      <c r="CP1835"/>
    </row>
    <row r="1836" spans="1:94" hidden="1">
      <c r="A1836"/>
      <c r="G1836" s="207"/>
      <c r="CP1836"/>
    </row>
    <row r="1837" spans="1:94" hidden="1">
      <c r="A1837"/>
      <c r="G1837" s="207"/>
      <c r="CP1837"/>
    </row>
    <row r="1838" spans="1:94" hidden="1">
      <c r="A1838"/>
      <c r="G1838" s="207"/>
      <c r="CP1838"/>
    </row>
    <row r="1839" spans="1:94" hidden="1">
      <c r="A1839"/>
      <c r="G1839" s="207"/>
      <c r="CP1839"/>
    </row>
    <row r="1840" spans="1:94" hidden="1">
      <c r="A1840"/>
      <c r="G1840" s="207"/>
      <c r="CP1840"/>
    </row>
    <row r="1841" spans="1:94" hidden="1">
      <c r="A1841"/>
      <c r="G1841" s="207"/>
      <c r="CP1841"/>
    </row>
    <row r="1842" spans="1:94" hidden="1">
      <c r="A1842"/>
      <c r="G1842" s="207"/>
      <c r="CP1842"/>
    </row>
    <row r="1843" spans="1:94" hidden="1">
      <c r="A1843"/>
      <c r="G1843" s="207"/>
      <c r="CP1843"/>
    </row>
    <row r="1844" spans="1:94" hidden="1">
      <c r="A1844"/>
      <c r="G1844" s="207"/>
      <c r="CP1844"/>
    </row>
    <row r="1845" spans="1:94" hidden="1">
      <c r="A1845"/>
      <c r="G1845" s="207"/>
      <c r="CP1845"/>
    </row>
    <row r="1846" spans="1:94" hidden="1">
      <c r="A1846"/>
      <c r="G1846" s="207"/>
      <c r="CP1846"/>
    </row>
    <row r="1847" spans="1:94" hidden="1">
      <c r="A1847"/>
      <c r="G1847" s="207"/>
      <c r="CP1847"/>
    </row>
    <row r="1848" spans="1:94" hidden="1">
      <c r="A1848"/>
      <c r="G1848" s="207"/>
      <c r="CP1848"/>
    </row>
    <row r="1849" spans="1:94" hidden="1">
      <c r="A1849"/>
      <c r="G1849" s="207"/>
      <c r="CP1849"/>
    </row>
    <row r="1850" spans="1:94" hidden="1">
      <c r="A1850"/>
      <c r="G1850" s="207"/>
      <c r="CP1850"/>
    </row>
    <row r="1851" spans="1:94" hidden="1">
      <c r="A1851"/>
      <c r="G1851" s="207"/>
      <c r="CP1851"/>
    </row>
    <row r="1852" spans="1:94" hidden="1">
      <c r="A1852"/>
      <c r="G1852" s="207"/>
      <c r="CP1852"/>
    </row>
    <row r="1853" spans="1:94" hidden="1">
      <c r="A1853"/>
      <c r="G1853" s="207"/>
      <c r="CP1853"/>
    </row>
    <row r="1854" spans="1:94" hidden="1">
      <c r="A1854"/>
      <c r="G1854" s="207"/>
      <c r="CP1854"/>
    </row>
    <row r="1855" spans="1:94" hidden="1">
      <c r="A1855"/>
      <c r="G1855" s="207"/>
      <c r="CP1855"/>
    </row>
    <row r="1856" spans="1:94" hidden="1">
      <c r="A1856"/>
      <c r="G1856" s="207"/>
      <c r="CP1856"/>
    </row>
    <row r="1857" spans="1:94" hidden="1">
      <c r="A1857"/>
      <c r="G1857" s="207"/>
      <c r="CP1857"/>
    </row>
    <row r="1858" spans="1:94" hidden="1">
      <c r="A1858"/>
      <c r="G1858" s="207"/>
      <c r="CP1858"/>
    </row>
    <row r="1859" spans="1:94" hidden="1">
      <c r="A1859"/>
      <c r="G1859" s="207"/>
      <c r="CP1859"/>
    </row>
    <row r="1860" spans="1:94" hidden="1">
      <c r="A1860"/>
      <c r="G1860" s="207"/>
      <c r="CP1860"/>
    </row>
    <row r="1861" spans="1:94" hidden="1">
      <c r="A1861"/>
      <c r="G1861" s="207"/>
      <c r="CP1861"/>
    </row>
    <row r="1862" spans="1:94" hidden="1">
      <c r="A1862"/>
      <c r="G1862" s="207"/>
      <c r="CP1862"/>
    </row>
    <row r="1863" spans="1:94" hidden="1">
      <c r="A1863"/>
      <c r="G1863" s="207"/>
      <c r="CP1863"/>
    </row>
    <row r="1864" spans="1:94" hidden="1">
      <c r="A1864"/>
      <c r="G1864" s="207"/>
      <c r="CP1864"/>
    </row>
    <row r="1865" spans="1:94" hidden="1">
      <c r="A1865"/>
      <c r="G1865" s="207"/>
      <c r="CP1865"/>
    </row>
    <row r="1866" spans="1:94" hidden="1">
      <c r="A1866"/>
      <c r="G1866" s="207"/>
      <c r="CP1866"/>
    </row>
    <row r="1867" spans="1:94" hidden="1">
      <c r="A1867"/>
      <c r="G1867" s="207"/>
      <c r="CP1867"/>
    </row>
    <row r="1868" spans="1:94" hidden="1">
      <c r="A1868"/>
      <c r="G1868" s="207"/>
      <c r="CP1868"/>
    </row>
    <row r="1869" spans="1:94" hidden="1">
      <c r="A1869"/>
      <c r="G1869" s="207"/>
      <c r="CP1869"/>
    </row>
    <row r="1870" spans="1:94" hidden="1">
      <c r="A1870"/>
      <c r="G1870" s="207"/>
      <c r="CP1870"/>
    </row>
    <row r="1871" spans="1:94" hidden="1">
      <c r="A1871"/>
      <c r="G1871" s="207"/>
      <c r="CP1871"/>
    </row>
    <row r="1872" spans="1:94" hidden="1">
      <c r="A1872"/>
      <c r="G1872" s="207"/>
      <c r="CP1872"/>
    </row>
    <row r="1873" spans="1:94" hidden="1">
      <c r="A1873"/>
      <c r="G1873" s="207"/>
      <c r="CP1873"/>
    </row>
    <row r="1874" spans="1:94" hidden="1">
      <c r="A1874"/>
      <c r="G1874" s="207"/>
      <c r="CP1874"/>
    </row>
    <row r="1875" spans="1:94" hidden="1">
      <c r="A1875"/>
      <c r="G1875" s="207"/>
      <c r="CP1875"/>
    </row>
    <row r="1876" spans="1:94" hidden="1">
      <c r="A1876"/>
      <c r="G1876" s="207"/>
      <c r="CP1876"/>
    </row>
    <row r="1877" spans="1:94" hidden="1">
      <c r="A1877"/>
      <c r="G1877" s="207"/>
      <c r="CP1877"/>
    </row>
    <row r="1878" spans="1:94" hidden="1">
      <c r="A1878"/>
      <c r="G1878" s="207"/>
      <c r="CP1878"/>
    </row>
    <row r="1879" spans="1:94" hidden="1">
      <c r="A1879"/>
      <c r="G1879" s="207"/>
      <c r="CP1879"/>
    </row>
    <row r="1880" spans="1:94" hidden="1">
      <c r="A1880"/>
      <c r="G1880" s="207"/>
      <c r="CP1880"/>
    </row>
    <row r="1881" spans="1:94" hidden="1">
      <c r="A1881"/>
      <c r="G1881" s="207"/>
      <c r="CP1881"/>
    </row>
    <row r="1882" spans="1:94" hidden="1">
      <c r="A1882"/>
      <c r="G1882" s="207"/>
      <c r="CP1882"/>
    </row>
    <row r="1883" spans="1:94" hidden="1">
      <c r="A1883"/>
      <c r="G1883" s="207"/>
      <c r="CP1883"/>
    </row>
    <row r="1884" spans="1:94" hidden="1">
      <c r="A1884"/>
      <c r="G1884" s="207"/>
      <c r="CP1884"/>
    </row>
    <row r="1885" spans="1:94" hidden="1">
      <c r="A1885"/>
      <c r="G1885" s="207"/>
      <c r="CP1885"/>
    </row>
    <row r="1886" spans="1:94" hidden="1">
      <c r="A1886"/>
      <c r="G1886" s="207"/>
      <c r="CP1886"/>
    </row>
    <row r="1887" spans="1:94" hidden="1">
      <c r="A1887"/>
      <c r="G1887" s="207"/>
      <c r="CP1887"/>
    </row>
    <row r="1888" spans="1:94" hidden="1">
      <c r="A1888"/>
      <c r="G1888" s="207"/>
      <c r="CP1888"/>
    </row>
    <row r="1889" spans="1:94" hidden="1">
      <c r="A1889"/>
      <c r="G1889" s="207"/>
      <c r="CP1889"/>
    </row>
    <row r="1890" spans="1:94" hidden="1">
      <c r="A1890"/>
      <c r="G1890" s="207"/>
      <c r="CP1890"/>
    </row>
    <row r="1891" spans="1:94" hidden="1">
      <c r="A1891"/>
      <c r="G1891" s="207"/>
      <c r="CP1891"/>
    </row>
    <row r="1892" spans="1:94" hidden="1">
      <c r="A1892"/>
      <c r="G1892" s="207"/>
      <c r="CP1892"/>
    </row>
    <row r="1893" spans="1:94" hidden="1">
      <c r="A1893"/>
      <c r="G1893" s="207"/>
      <c r="CP1893"/>
    </row>
    <row r="1894" spans="1:94" hidden="1">
      <c r="A1894"/>
      <c r="G1894" s="207"/>
      <c r="CP1894"/>
    </row>
    <row r="1895" spans="1:94" hidden="1">
      <c r="A1895"/>
      <c r="G1895" s="207"/>
      <c r="CP1895"/>
    </row>
    <row r="1896" spans="1:94" hidden="1">
      <c r="A1896"/>
      <c r="G1896" s="207"/>
      <c r="CP1896"/>
    </row>
    <row r="1897" spans="1:94" hidden="1">
      <c r="A1897"/>
      <c r="G1897" s="207"/>
      <c r="CP1897"/>
    </row>
    <row r="1898" spans="1:94" hidden="1">
      <c r="A1898"/>
      <c r="G1898" s="207"/>
      <c r="CP1898"/>
    </row>
    <row r="1899" spans="1:94" hidden="1">
      <c r="A1899"/>
      <c r="G1899" s="207"/>
      <c r="CP1899"/>
    </row>
    <row r="1900" spans="1:94" hidden="1">
      <c r="A1900"/>
      <c r="G1900" s="207"/>
      <c r="CP1900"/>
    </row>
    <row r="1901" spans="1:94" hidden="1">
      <c r="A1901"/>
      <c r="G1901" s="207"/>
      <c r="CP1901"/>
    </row>
    <row r="1902" spans="1:94" hidden="1">
      <c r="A1902"/>
      <c r="G1902" s="207"/>
      <c r="CP1902"/>
    </row>
    <row r="1903" spans="1:94" hidden="1">
      <c r="A1903"/>
      <c r="G1903" s="207"/>
      <c r="CP1903"/>
    </row>
    <row r="1904" spans="1:94" hidden="1">
      <c r="A1904"/>
      <c r="G1904" s="207"/>
      <c r="CP1904"/>
    </row>
    <row r="1905" spans="1:94" hidden="1">
      <c r="A1905"/>
      <c r="G1905" s="207"/>
      <c r="CP1905"/>
    </row>
    <row r="1906" spans="1:94" hidden="1">
      <c r="A1906"/>
      <c r="G1906" s="207"/>
      <c r="CP1906"/>
    </row>
    <row r="1907" spans="1:94" hidden="1">
      <c r="A1907"/>
      <c r="G1907" s="207"/>
      <c r="CP1907"/>
    </row>
    <row r="1908" spans="1:94" hidden="1">
      <c r="A1908"/>
      <c r="G1908" s="207"/>
      <c r="CP1908"/>
    </row>
    <row r="1909" spans="1:94" hidden="1">
      <c r="A1909"/>
      <c r="G1909" s="207"/>
      <c r="CP1909"/>
    </row>
    <row r="1910" spans="1:94" hidden="1">
      <c r="A1910"/>
      <c r="G1910" s="207"/>
      <c r="CP1910"/>
    </row>
    <row r="1911" spans="1:94" hidden="1">
      <c r="A1911"/>
      <c r="G1911" s="207"/>
      <c r="CP1911"/>
    </row>
    <row r="1912" spans="1:94" hidden="1">
      <c r="A1912"/>
      <c r="G1912" s="207"/>
      <c r="CP1912"/>
    </row>
    <row r="1913" spans="1:94" hidden="1">
      <c r="A1913"/>
      <c r="G1913" s="207"/>
      <c r="CP1913"/>
    </row>
    <row r="1914" spans="1:94" hidden="1">
      <c r="A1914"/>
      <c r="G1914" s="207"/>
      <c r="CP1914"/>
    </row>
    <row r="1915" spans="1:94" hidden="1">
      <c r="A1915"/>
      <c r="G1915" s="207"/>
      <c r="CP1915"/>
    </row>
    <row r="1916" spans="1:94" hidden="1">
      <c r="A1916"/>
      <c r="G1916" s="207"/>
      <c r="CP1916"/>
    </row>
    <row r="1917" spans="1:94" hidden="1">
      <c r="A1917"/>
      <c r="G1917" s="207"/>
      <c r="CP1917"/>
    </row>
    <row r="1918" spans="1:94" hidden="1">
      <c r="A1918"/>
      <c r="G1918" s="207"/>
      <c r="CP1918"/>
    </row>
    <row r="1919" spans="1:94" hidden="1">
      <c r="A1919"/>
      <c r="G1919" s="207"/>
      <c r="CP1919"/>
    </row>
    <row r="1920" spans="1:94" hidden="1">
      <c r="A1920"/>
      <c r="G1920" s="207"/>
      <c r="CP1920"/>
    </row>
    <row r="1921" spans="1:94" hidden="1">
      <c r="A1921"/>
      <c r="G1921" s="207"/>
      <c r="CP1921"/>
    </row>
    <row r="1922" spans="1:94" hidden="1">
      <c r="A1922"/>
      <c r="G1922" s="207"/>
      <c r="CP1922"/>
    </row>
    <row r="1923" spans="1:94" hidden="1">
      <c r="A1923"/>
      <c r="G1923" s="207"/>
      <c r="CP1923"/>
    </row>
    <row r="1924" spans="1:94" hidden="1">
      <c r="A1924"/>
      <c r="G1924" s="207"/>
      <c r="CP1924"/>
    </row>
    <row r="1925" spans="1:94" hidden="1">
      <c r="A1925"/>
      <c r="G1925" s="207"/>
      <c r="CP1925"/>
    </row>
    <row r="1926" spans="1:94" hidden="1">
      <c r="A1926"/>
      <c r="G1926" s="207"/>
      <c r="CP1926"/>
    </row>
    <row r="1927" spans="1:94" hidden="1">
      <c r="A1927"/>
      <c r="G1927" s="207"/>
      <c r="CP1927"/>
    </row>
    <row r="1928" spans="1:94" hidden="1">
      <c r="A1928"/>
      <c r="G1928" s="207"/>
      <c r="CP1928"/>
    </row>
    <row r="1929" spans="1:94" hidden="1">
      <c r="A1929"/>
      <c r="G1929" s="207"/>
      <c r="CP1929"/>
    </row>
    <row r="1930" spans="1:94" hidden="1">
      <c r="A1930"/>
      <c r="G1930" s="207"/>
      <c r="CP1930"/>
    </row>
    <row r="1931" spans="1:94" hidden="1">
      <c r="A1931"/>
      <c r="G1931" s="207"/>
      <c r="CP1931"/>
    </row>
    <row r="1932" spans="1:94" hidden="1">
      <c r="A1932"/>
      <c r="G1932" s="207"/>
      <c r="CP1932"/>
    </row>
    <row r="1933" spans="1:94" hidden="1">
      <c r="A1933"/>
      <c r="G1933" s="207"/>
      <c r="CP1933"/>
    </row>
    <row r="1934" spans="1:94" hidden="1">
      <c r="A1934"/>
      <c r="G1934" s="207"/>
      <c r="CP1934"/>
    </row>
    <row r="1935" spans="1:94" hidden="1">
      <c r="A1935"/>
      <c r="G1935" s="207"/>
      <c r="CP1935"/>
    </row>
    <row r="1936" spans="1:94" hidden="1">
      <c r="A1936"/>
      <c r="G1936" s="207"/>
      <c r="CP1936"/>
    </row>
    <row r="1937" spans="1:94" hidden="1">
      <c r="A1937"/>
      <c r="G1937" s="207"/>
      <c r="CP1937"/>
    </row>
    <row r="1938" spans="1:94" hidden="1">
      <c r="A1938"/>
      <c r="G1938" s="207"/>
      <c r="CP1938"/>
    </row>
    <row r="1939" spans="1:94" hidden="1">
      <c r="A1939"/>
      <c r="G1939" s="207"/>
      <c r="CP1939"/>
    </row>
    <row r="1940" spans="1:94" hidden="1">
      <c r="A1940"/>
      <c r="G1940" s="207"/>
      <c r="CP1940"/>
    </row>
    <row r="1941" spans="1:94" hidden="1">
      <c r="A1941"/>
      <c r="G1941" s="207"/>
      <c r="CP1941"/>
    </row>
    <row r="1942" spans="1:94" hidden="1">
      <c r="A1942"/>
      <c r="G1942" s="207"/>
      <c r="CP1942"/>
    </row>
    <row r="1943" spans="1:94" hidden="1">
      <c r="A1943"/>
      <c r="G1943" s="207"/>
      <c r="CP1943"/>
    </row>
    <row r="1944" spans="1:94" hidden="1">
      <c r="A1944"/>
      <c r="G1944" s="207"/>
      <c r="CP1944"/>
    </row>
    <row r="1945" spans="1:94" hidden="1">
      <c r="A1945"/>
      <c r="G1945" s="207"/>
      <c r="CP1945"/>
    </row>
    <row r="1946" spans="1:94" hidden="1">
      <c r="A1946"/>
      <c r="G1946" s="207"/>
      <c r="CP1946"/>
    </row>
    <row r="1947" spans="1:94" hidden="1">
      <c r="A1947"/>
      <c r="G1947" s="207"/>
      <c r="CP1947"/>
    </row>
    <row r="1948" spans="1:94" hidden="1">
      <c r="A1948"/>
      <c r="G1948" s="207"/>
      <c r="CP1948"/>
    </row>
    <row r="1949" spans="1:94" hidden="1">
      <c r="A1949"/>
      <c r="G1949" s="207"/>
      <c r="CP1949"/>
    </row>
    <row r="1950" spans="1:94" hidden="1">
      <c r="A1950"/>
      <c r="G1950" s="207"/>
      <c r="CP1950"/>
    </row>
    <row r="1951" spans="1:94" hidden="1">
      <c r="A1951"/>
      <c r="G1951" s="207"/>
      <c r="CP1951"/>
    </row>
    <row r="1952" spans="1:94" hidden="1">
      <c r="A1952"/>
      <c r="G1952" s="207"/>
      <c r="CP1952"/>
    </row>
    <row r="1953" spans="1:94" hidden="1">
      <c r="A1953"/>
      <c r="G1953" s="207"/>
      <c r="CP1953"/>
    </row>
    <row r="1954" spans="1:94" hidden="1">
      <c r="A1954"/>
      <c r="G1954" s="207"/>
      <c r="CP1954"/>
    </row>
    <row r="1955" spans="1:94" hidden="1">
      <c r="A1955"/>
      <c r="G1955" s="207"/>
      <c r="CP1955"/>
    </row>
    <row r="1956" spans="1:94" hidden="1">
      <c r="A1956"/>
      <c r="G1956" s="207"/>
      <c r="CP1956"/>
    </row>
    <row r="1957" spans="1:94" hidden="1">
      <c r="A1957"/>
      <c r="G1957" s="207"/>
      <c r="CP1957"/>
    </row>
    <row r="1958" spans="1:94" hidden="1">
      <c r="A1958"/>
      <c r="G1958" s="207"/>
      <c r="CP1958"/>
    </row>
    <row r="1959" spans="1:94" hidden="1">
      <c r="A1959"/>
      <c r="G1959" s="207"/>
      <c r="CP1959"/>
    </row>
    <row r="1960" spans="1:94" hidden="1">
      <c r="A1960"/>
      <c r="G1960" s="207"/>
      <c r="CP1960"/>
    </row>
    <row r="1961" spans="1:94" hidden="1">
      <c r="A1961"/>
      <c r="G1961" s="207"/>
      <c r="CP1961"/>
    </row>
    <row r="1962" spans="1:94" hidden="1">
      <c r="A1962"/>
      <c r="G1962" s="207"/>
      <c r="CP1962"/>
    </row>
    <row r="1963" spans="1:94" hidden="1">
      <c r="A1963"/>
      <c r="G1963" s="207"/>
      <c r="CP1963"/>
    </row>
    <row r="1964" spans="1:94" hidden="1">
      <c r="A1964"/>
      <c r="G1964" s="207"/>
      <c r="CP1964"/>
    </row>
    <row r="1965" spans="1:94" hidden="1">
      <c r="A1965"/>
      <c r="G1965" s="207"/>
      <c r="CP1965"/>
    </row>
    <row r="1966" spans="1:94" hidden="1">
      <c r="A1966"/>
      <c r="G1966" s="207"/>
      <c r="CP1966"/>
    </row>
    <row r="1967" spans="1:94" hidden="1">
      <c r="A1967"/>
      <c r="G1967" s="207"/>
      <c r="CP1967"/>
    </row>
    <row r="1968" spans="1:94" hidden="1">
      <c r="A1968"/>
      <c r="G1968" s="207"/>
      <c r="CP1968"/>
    </row>
    <row r="1969" spans="1:94" hidden="1">
      <c r="A1969"/>
      <c r="G1969" s="207"/>
      <c r="CP1969"/>
    </row>
    <row r="1970" spans="1:94" hidden="1">
      <c r="A1970"/>
      <c r="G1970" s="207"/>
      <c r="CP1970"/>
    </row>
    <row r="1971" spans="1:94" hidden="1">
      <c r="A1971"/>
      <c r="G1971" s="207"/>
      <c r="CP1971"/>
    </row>
    <row r="1972" spans="1:94" hidden="1">
      <c r="A1972"/>
      <c r="G1972" s="207"/>
      <c r="CP1972"/>
    </row>
    <row r="1973" spans="1:94" hidden="1">
      <c r="A1973"/>
      <c r="G1973" s="207"/>
      <c r="CP1973"/>
    </row>
    <row r="1974" spans="1:94" hidden="1">
      <c r="A1974"/>
      <c r="G1974" s="207"/>
      <c r="CP1974"/>
    </row>
    <row r="1975" spans="1:94" hidden="1">
      <c r="A1975"/>
      <c r="G1975" s="207"/>
      <c r="CP1975"/>
    </row>
    <row r="1976" spans="1:94" hidden="1">
      <c r="A1976"/>
      <c r="G1976" s="207"/>
      <c r="CP1976"/>
    </row>
    <row r="1977" spans="1:94" hidden="1">
      <c r="A1977"/>
      <c r="G1977" s="207"/>
      <c r="CP1977"/>
    </row>
    <row r="1978" spans="1:94" hidden="1">
      <c r="A1978"/>
      <c r="G1978" s="207"/>
      <c r="CP1978"/>
    </row>
    <row r="1979" spans="1:94" hidden="1">
      <c r="A1979"/>
      <c r="G1979" s="207"/>
      <c r="CP1979"/>
    </row>
    <row r="1980" spans="1:94" hidden="1">
      <c r="A1980"/>
      <c r="G1980" s="207"/>
      <c r="CP1980"/>
    </row>
    <row r="1981" spans="1:94" hidden="1">
      <c r="A1981"/>
      <c r="G1981" s="207"/>
      <c r="CP1981"/>
    </row>
    <row r="1982" spans="1:94" hidden="1">
      <c r="A1982"/>
      <c r="G1982" s="207"/>
      <c r="CP1982"/>
    </row>
    <row r="1983" spans="1:94" hidden="1">
      <c r="A1983"/>
      <c r="G1983" s="207"/>
      <c r="CP1983"/>
    </row>
    <row r="1984" spans="1:94" hidden="1">
      <c r="A1984"/>
      <c r="G1984" s="207"/>
      <c r="CP1984"/>
    </row>
    <row r="1985" spans="1:94" hidden="1">
      <c r="A1985"/>
      <c r="G1985" s="207"/>
      <c r="CP1985"/>
    </row>
    <row r="1986" spans="1:94" hidden="1">
      <c r="A1986"/>
      <c r="G1986" s="207"/>
      <c r="CP1986"/>
    </row>
    <row r="1987" spans="1:94" hidden="1">
      <c r="A1987"/>
      <c r="G1987" s="207"/>
      <c r="CP1987"/>
    </row>
    <row r="1988" spans="1:94" hidden="1">
      <c r="A1988"/>
      <c r="G1988" s="207"/>
      <c r="CP1988"/>
    </row>
    <row r="1989" spans="1:94" hidden="1">
      <c r="A1989"/>
      <c r="G1989" s="207"/>
      <c r="CP1989"/>
    </row>
    <row r="1990" spans="1:94" hidden="1">
      <c r="A1990"/>
      <c r="G1990" s="207"/>
      <c r="CP1990"/>
    </row>
    <row r="1991" spans="1:94" hidden="1">
      <c r="A1991"/>
      <c r="G1991" s="207"/>
      <c r="CP1991"/>
    </row>
    <row r="1992" spans="1:94" hidden="1">
      <c r="A1992"/>
      <c r="G1992" s="207"/>
      <c r="CP1992"/>
    </row>
    <row r="1993" spans="1:94" hidden="1">
      <c r="A1993"/>
      <c r="G1993" s="207"/>
      <c r="CP1993"/>
    </row>
    <row r="1994" spans="1:94" hidden="1">
      <c r="A1994"/>
      <c r="G1994" s="207"/>
      <c r="CP1994"/>
    </row>
    <row r="1995" spans="1:94" hidden="1">
      <c r="A1995"/>
      <c r="G1995" s="207"/>
      <c r="CP1995"/>
    </row>
    <row r="1996" spans="1:94" hidden="1">
      <c r="A1996"/>
      <c r="G1996" s="207"/>
      <c r="CP1996"/>
    </row>
    <row r="1997" spans="1:94" hidden="1">
      <c r="A1997"/>
      <c r="G1997" s="207"/>
      <c r="CP1997"/>
    </row>
    <row r="1998" spans="1:94" hidden="1">
      <c r="A1998"/>
      <c r="G1998" s="207"/>
      <c r="CP1998"/>
    </row>
    <row r="1999" spans="1:94" hidden="1">
      <c r="A1999"/>
      <c r="G1999" s="207"/>
      <c r="CP1999"/>
    </row>
    <row r="2000" spans="1:94" hidden="1">
      <c r="A2000"/>
      <c r="G2000" s="207"/>
      <c r="CP2000"/>
    </row>
    <row r="2001" spans="1:94" hidden="1">
      <c r="A2001"/>
      <c r="G2001" s="207"/>
      <c r="CP2001"/>
    </row>
    <row r="2002" spans="1:94" hidden="1">
      <c r="A2002"/>
      <c r="G2002" s="207"/>
      <c r="CP2002"/>
    </row>
    <row r="2003" spans="1:94" hidden="1">
      <c r="A2003"/>
      <c r="G2003" s="207"/>
      <c r="CP2003"/>
    </row>
    <row r="2004" spans="1:94" hidden="1">
      <c r="A2004"/>
      <c r="G2004" s="207"/>
      <c r="CP2004"/>
    </row>
    <row r="2005" spans="1:94" hidden="1">
      <c r="A2005"/>
      <c r="G2005" s="207"/>
      <c r="CP2005"/>
    </row>
    <row r="2006" spans="1:94" hidden="1">
      <c r="A2006"/>
      <c r="G2006" s="207"/>
      <c r="CP2006"/>
    </row>
    <row r="2007" spans="1:94" hidden="1">
      <c r="A2007"/>
      <c r="G2007" s="207"/>
      <c r="CP2007"/>
    </row>
    <row r="2008" spans="1:94" hidden="1">
      <c r="A2008"/>
      <c r="G2008" s="207"/>
      <c r="CP2008"/>
    </row>
    <row r="2009" spans="1:94" hidden="1">
      <c r="A2009"/>
      <c r="G2009" s="207"/>
      <c r="CP2009"/>
    </row>
    <row r="2010" spans="1:94" hidden="1">
      <c r="A2010"/>
      <c r="G2010" s="207"/>
      <c r="CP2010"/>
    </row>
    <row r="2011" spans="1:94" hidden="1">
      <c r="A2011"/>
      <c r="G2011" s="207"/>
      <c r="CP2011"/>
    </row>
    <row r="2012" spans="1:94" hidden="1">
      <c r="A2012"/>
      <c r="G2012" s="207"/>
      <c r="CP2012"/>
    </row>
    <row r="2013" spans="1:94" hidden="1">
      <c r="A2013"/>
      <c r="G2013" s="207"/>
      <c r="CP2013"/>
    </row>
    <row r="2014" spans="1:94" hidden="1">
      <c r="A2014"/>
      <c r="G2014" s="207"/>
      <c r="CP2014"/>
    </row>
    <row r="2015" spans="1:94" hidden="1">
      <c r="A2015"/>
      <c r="G2015" s="207"/>
      <c r="CP2015"/>
    </row>
    <row r="2016" spans="1:94" hidden="1">
      <c r="A2016"/>
      <c r="G2016" s="207"/>
      <c r="CP2016"/>
    </row>
    <row r="2017" spans="1:94" hidden="1">
      <c r="A2017"/>
      <c r="G2017" s="207"/>
      <c r="CP2017"/>
    </row>
    <row r="2018" spans="1:94" hidden="1">
      <c r="A2018"/>
      <c r="G2018" s="207"/>
      <c r="CP2018"/>
    </row>
    <row r="2019" spans="1:94" hidden="1">
      <c r="A2019"/>
      <c r="G2019" s="207"/>
      <c r="CP2019"/>
    </row>
    <row r="2020" spans="1:94" hidden="1">
      <c r="A2020"/>
      <c r="G2020" s="207"/>
      <c r="CP2020"/>
    </row>
    <row r="2021" spans="1:94" hidden="1">
      <c r="A2021"/>
      <c r="G2021" s="207"/>
      <c r="CP2021"/>
    </row>
    <row r="2022" spans="1:94" hidden="1">
      <c r="A2022"/>
      <c r="G2022" s="207"/>
      <c r="CP2022"/>
    </row>
    <row r="2023" spans="1:94" hidden="1">
      <c r="A2023"/>
      <c r="G2023" s="207"/>
      <c r="CP2023"/>
    </row>
    <row r="2024" spans="1:94" hidden="1">
      <c r="A2024"/>
      <c r="G2024" s="207"/>
      <c r="CP2024"/>
    </row>
    <row r="2025" spans="1:94" hidden="1">
      <c r="A2025"/>
      <c r="G2025" s="207"/>
      <c r="CP2025"/>
    </row>
    <row r="2026" spans="1:94" hidden="1">
      <c r="A2026"/>
      <c r="G2026" s="207"/>
      <c r="CP2026"/>
    </row>
    <row r="2027" spans="1:94" hidden="1">
      <c r="A2027"/>
      <c r="G2027" s="207"/>
      <c r="CP2027"/>
    </row>
    <row r="2028" spans="1:94" hidden="1">
      <c r="A2028"/>
      <c r="G2028" s="207"/>
      <c r="CP2028"/>
    </row>
    <row r="2029" spans="1:94" hidden="1">
      <c r="A2029"/>
      <c r="G2029" s="207"/>
      <c r="CP2029"/>
    </row>
    <row r="2030" spans="1:94" hidden="1">
      <c r="A2030"/>
      <c r="G2030" s="207"/>
      <c r="CP2030"/>
    </row>
    <row r="2031" spans="1:94" hidden="1">
      <c r="A2031"/>
      <c r="G2031" s="207"/>
      <c r="CP2031"/>
    </row>
    <row r="2032" spans="1:94" hidden="1">
      <c r="A2032"/>
      <c r="G2032" s="207"/>
      <c r="CP2032"/>
    </row>
    <row r="2033" spans="1:94" hidden="1">
      <c r="A2033"/>
      <c r="G2033" s="207"/>
      <c r="CP2033"/>
    </row>
    <row r="2034" spans="1:94" hidden="1">
      <c r="A2034"/>
      <c r="G2034" s="207"/>
      <c r="CP2034"/>
    </row>
    <row r="2035" spans="1:94" hidden="1">
      <c r="A2035"/>
      <c r="G2035" s="207"/>
      <c r="CP2035"/>
    </row>
    <row r="2036" spans="1:94" hidden="1">
      <c r="A2036"/>
      <c r="G2036" s="207"/>
      <c r="CP2036"/>
    </row>
    <row r="2037" spans="1:94" hidden="1">
      <c r="A2037"/>
      <c r="G2037" s="207"/>
      <c r="CP2037"/>
    </row>
    <row r="2038" spans="1:94" hidden="1">
      <c r="A2038"/>
      <c r="G2038" s="207"/>
      <c r="CP2038"/>
    </row>
    <row r="2039" spans="1:94" hidden="1">
      <c r="A2039"/>
      <c r="G2039" s="207"/>
      <c r="CP2039"/>
    </row>
    <row r="2040" spans="1:94" hidden="1">
      <c r="A2040"/>
      <c r="G2040" s="207"/>
      <c r="CP2040"/>
    </row>
    <row r="2041" spans="1:94" hidden="1">
      <c r="A2041"/>
      <c r="G2041" s="207"/>
      <c r="CP2041"/>
    </row>
    <row r="2042" spans="1:94" hidden="1">
      <c r="A2042"/>
      <c r="G2042" s="207"/>
      <c r="CP2042"/>
    </row>
    <row r="2043" spans="1:94" hidden="1">
      <c r="A2043"/>
      <c r="G2043" s="207"/>
      <c r="CP2043"/>
    </row>
    <row r="2044" spans="1:94" hidden="1">
      <c r="A2044"/>
      <c r="G2044" s="207"/>
      <c r="CP2044"/>
    </row>
    <row r="2045" spans="1:94" hidden="1">
      <c r="A2045"/>
      <c r="G2045" s="207"/>
      <c r="CP2045"/>
    </row>
    <row r="2046" spans="1:94" hidden="1">
      <c r="A2046"/>
      <c r="G2046" s="207"/>
      <c r="CP2046"/>
    </row>
    <row r="2047" spans="1:94" hidden="1">
      <c r="A2047"/>
      <c r="G2047" s="207"/>
      <c r="CP2047"/>
    </row>
    <row r="2048" spans="1:94" hidden="1">
      <c r="A2048"/>
      <c r="G2048" s="207"/>
      <c r="CP2048"/>
    </row>
    <row r="2049" spans="1:94" hidden="1">
      <c r="A2049"/>
      <c r="G2049" s="207"/>
      <c r="CP2049"/>
    </row>
    <row r="2050" spans="1:94" hidden="1">
      <c r="A2050"/>
      <c r="G2050" s="207"/>
      <c r="CP2050"/>
    </row>
    <row r="2051" spans="1:94" hidden="1">
      <c r="A2051"/>
      <c r="G2051" s="207"/>
      <c r="CP2051"/>
    </row>
    <row r="2052" spans="1:94" hidden="1">
      <c r="A2052"/>
      <c r="G2052" s="207"/>
      <c r="CP2052"/>
    </row>
    <row r="2053" spans="1:94" hidden="1">
      <c r="A2053"/>
      <c r="G2053" s="207"/>
      <c r="CP2053"/>
    </row>
    <row r="2054" spans="1:94" hidden="1">
      <c r="A2054"/>
      <c r="G2054" s="207"/>
      <c r="CP2054"/>
    </row>
    <row r="2055" spans="1:94" hidden="1">
      <c r="A2055"/>
      <c r="G2055" s="207"/>
      <c r="CP2055"/>
    </row>
    <row r="2056" spans="1:94" hidden="1">
      <c r="A2056"/>
      <c r="G2056" s="207"/>
      <c r="CP2056"/>
    </row>
    <row r="2057" spans="1:94" hidden="1">
      <c r="A2057"/>
      <c r="G2057" s="207"/>
      <c r="CP2057"/>
    </row>
    <row r="2058" spans="1:94" hidden="1">
      <c r="A2058"/>
      <c r="G2058" s="207"/>
      <c r="CP2058"/>
    </row>
    <row r="2059" spans="1:94" hidden="1">
      <c r="A2059"/>
      <c r="G2059" s="207"/>
      <c r="CP2059"/>
    </row>
    <row r="2060" spans="1:94" hidden="1">
      <c r="A2060"/>
      <c r="G2060" s="207"/>
      <c r="CP2060"/>
    </row>
    <row r="2061" spans="1:94" hidden="1">
      <c r="A2061"/>
      <c r="G2061" s="207"/>
      <c r="CP2061"/>
    </row>
    <row r="2062" spans="1:94" hidden="1">
      <c r="A2062"/>
      <c r="G2062" s="207"/>
      <c r="CP2062"/>
    </row>
    <row r="2063" spans="1:94" hidden="1">
      <c r="A2063"/>
      <c r="G2063" s="207"/>
      <c r="CP2063"/>
    </row>
    <row r="2064" spans="1:94" hidden="1">
      <c r="A2064"/>
      <c r="G2064" s="207"/>
      <c r="CP2064"/>
    </row>
    <row r="2065" spans="1:94" hidden="1">
      <c r="A2065"/>
      <c r="G2065" s="207"/>
      <c r="CP2065"/>
    </row>
    <row r="2066" spans="1:94" hidden="1">
      <c r="A2066"/>
      <c r="G2066" s="207"/>
      <c r="CP2066"/>
    </row>
    <row r="2067" spans="1:94" hidden="1">
      <c r="A2067"/>
      <c r="G2067" s="207"/>
      <c r="CP2067"/>
    </row>
    <row r="2068" spans="1:94" hidden="1">
      <c r="A2068"/>
      <c r="G2068" s="207"/>
      <c r="CP2068"/>
    </row>
    <row r="2069" spans="1:94" hidden="1">
      <c r="A2069"/>
      <c r="G2069" s="207"/>
      <c r="CP2069"/>
    </row>
    <row r="2070" spans="1:94" hidden="1">
      <c r="A2070"/>
      <c r="G2070" s="207"/>
      <c r="CP2070"/>
    </row>
    <row r="2071" spans="1:94" hidden="1">
      <c r="A2071"/>
      <c r="G2071" s="207"/>
      <c r="CP2071"/>
    </row>
    <row r="2072" spans="1:94" hidden="1">
      <c r="A2072"/>
      <c r="G2072" s="207"/>
      <c r="CP2072"/>
    </row>
    <row r="2073" spans="1:94" hidden="1">
      <c r="A2073"/>
      <c r="G2073" s="207"/>
      <c r="CP2073"/>
    </row>
    <row r="2074" spans="1:94" hidden="1">
      <c r="A2074"/>
      <c r="G2074" s="207"/>
      <c r="CP2074"/>
    </row>
    <row r="2075" spans="1:94" hidden="1">
      <c r="A2075"/>
      <c r="G2075" s="207"/>
      <c r="CP2075"/>
    </row>
    <row r="2076" spans="1:94" hidden="1">
      <c r="A2076"/>
      <c r="G2076" s="207"/>
      <c r="CP2076"/>
    </row>
    <row r="2077" spans="1:94" hidden="1">
      <c r="A2077"/>
      <c r="G2077" s="207"/>
      <c r="CP2077"/>
    </row>
    <row r="2078" spans="1:94" hidden="1">
      <c r="A2078"/>
      <c r="G2078" s="207"/>
      <c r="CP2078"/>
    </row>
    <row r="2079" spans="1:94" hidden="1">
      <c r="A2079"/>
      <c r="G2079" s="207"/>
      <c r="CP2079"/>
    </row>
    <row r="2080" spans="1:94" hidden="1">
      <c r="A2080"/>
      <c r="G2080" s="207"/>
      <c r="CP2080"/>
    </row>
    <row r="2081" spans="1:94" hidden="1">
      <c r="A2081"/>
      <c r="G2081" s="207"/>
      <c r="CP2081"/>
    </row>
    <row r="2082" spans="1:94" hidden="1">
      <c r="A2082"/>
      <c r="G2082" s="207"/>
      <c r="CP2082"/>
    </row>
    <row r="2083" spans="1:94" hidden="1">
      <c r="A2083"/>
      <c r="G2083" s="207"/>
      <c r="CP2083"/>
    </row>
    <row r="2084" spans="1:94" hidden="1">
      <c r="A2084"/>
      <c r="G2084" s="207"/>
      <c r="CP2084"/>
    </row>
    <row r="2085" spans="1:94" hidden="1">
      <c r="A2085"/>
      <c r="G2085" s="207"/>
      <c r="CP2085"/>
    </row>
    <row r="2086" spans="1:94" hidden="1">
      <c r="A2086"/>
      <c r="G2086" s="207"/>
      <c r="CP2086"/>
    </row>
    <row r="2087" spans="1:94" hidden="1">
      <c r="A2087"/>
      <c r="G2087" s="207"/>
      <c r="CP2087"/>
    </row>
    <row r="2088" spans="1:94" hidden="1">
      <c r="A2088"/>
      <c r="G2088" s="207"/>
      <c r="CP2088"/>
    </row>
    <row r="2089" spans="1:94" hidden="1">
      <c r="A2089"/>
      <c r="G2089" s="207"/>
      <c r="CP2089"/>
    </row>
    <row r="2090" spans="1:94" hidden="1">
      <c r="A2090"/>
      <c r="G2090" s="207"/>
      <c r="CP2090"/>
    </row>
    <row r="2091" spans="1:94" hidden="1">
      <c r="A2091"/>
      <c r="G2091" s="207"/>
      <c r="CP2091"/>
    </row>
    <row r="2092" spans="1:94" hidden="1">
      <c r="A2092"/>
      <c r="G2092" s="207"/>
      <c r="CP2092"/>
    </row>
    <row r="2093" spans="1:94" hidden="1">
      <c r="A2093"/>
      <c r="G2093" s="207"/>
      <c r="CP2093"/>
    </row>
    <row r="2094" spans="1:94" hidden="1">
      <c r="A2094"/>
      <c r="G2094" s="207"/>
      <c r="CP2094"/>
    </row>
    <row r="2095" spans="1:94" hidden="1">
      <c r="A2095"/>
      <c r="G2095" s="207"/>
      <c r="CP2095"/>
    </row>
    <row r="2096" spans="1:94" hidden="1">
      <c r="A2096"/>
      <c r="G2096" s="207"/>
      <c r="CP2096"/>
    </row>
    <row r="2097" spans="1:94" hidden="1">
      <c r="A2097"/>
      <c r="G2097" s="207"/>
      <c r="CP2097"/>
    </row>
    <row r="2098" spans="1:94" hidden="1">
      <c r="A2098"/>
      <c r="G2098" s="207"/>
      <c r="CP2098"/>
    </row>
    <row r="2099" spans="1:94" hidden="1">
      <c r="A2099"/>
      <c r="G2099" s="207"/>
      <c r="CP2099"/>
    </row>
    <row r="2100" spans="1:94" hidden="1">
      <c r="A2100"/>
      <c r="G2100" s="207"/>
      <c r="CP2100"/>
    </row>
    <row r="2101" spans="1:94" hidden="1">
      <c r="A2101"/>
      <c r="G2101" s="207"/>
      <c r="CP2101"/>
    </row>
    <row r="2102" spans="1:94" hidden="1">
      <c r="A2102"/>
      <c r="G2102" s="207"/>
      <c r="CP2102"/>
    </row>
    <row r="2103" spans="1:94" hidden="1">
      <c r="A2103"/>
      <c r="G2103" s="207"/>
      <c r="CP2103"/>
    </row>
    <row r="2104" spans="1:94" hidden="1">
      <c r="A2104"/>
      <c r="G2104" s="207"/>
      <c r="CP2104"/>
    </row>
    <row r="2105" spans="1:94" hidden="1">
      <c r="A2105"/>
      <c r="G2105" s="207"/>
      <c r="CP2105"/>
    </row>
    <row r="2106" spans="1:94" hidden="1">
      <c r="A2106"/>
      <c r="G2106" s="207"/>
      <c r="CP2106"/>
    </row>
    <row r="2107" spans="1:94" hidden="1">
      <c r="A2107"/>
      <c r="G2107" s="207"/>
      <c r="CP2107"/>
    </row>
    <row r="2108" spans="1:94" hidden="1">
      <c r="A2108"/>
      <c r="G2108" s="207"/>
      <c r="CP2108"/>
    </row>
    <row r="2109" spans="1:94" hidden="1">
      <c r="A2109"/>
      <c r="G2109" s="207"/>
      <c r="CP2109"/>
    </row>
    <row r="2110" spans="1:94" hidden="1">
      <c r="A2110"/>
      <c r="G2110" s="207"/>
      <c r="CP2110"/>
    </row>
    <row r="2111" spans="1:94" hidden="1">
      <c r="A2111"/>
      <c r="G2111" s="207"/>
      <c r="CP2111"/>
    </row>
    <row r="2112" spans="1:94" hidden="1">
      <c r="A2112"/>
      <c r="G2112" s="207"/>
      <c r="CP2112"/>
    </row>
    <row r="2113" spans="1:94" hidden="1">
      <c r="A2113"/>
      <c r="G2113" s="207"/>
      <c r="CP2113"/>
    </row>
    <row r="2114" spans="1:94" hidden="1">
      <c r="A2114"/>
      <c r="G2114" s="207"/>
      <c r="CP2114"/>
    </row>
    <row r="2115" spans="1:94" hidden="1">
      <c r="A2115"/>
      <c r="G2115" s="207"/>
      <c r="CP2115"/>
    </row>
    <row r="2116" spans="1:94" hidden="1">
      <c r="A2116"/>
      <c r="G2116" s="207"/>
      <c r="CP2116"/>
    </row>
    <row r="2117" spans="1:94" hidden="1">
      <c r="A2117"/>
      <c r="G2117" s="207"/>
      <c r="CP2117"/>
    </row>
    <row r="2118" spans="1:94" hidden="1">
      <c r="A2118"/>
      <c r="G2118" s="207"/>
      <c r="CP2118"/>
    </row>
    <row r="2119" spans="1:94" hidden="1">
      <c r="A2119"/>
      <c r="G2119" s="207"/>
      <c r="CP2119"/>
    </row>
    <row r="2120" spans="1:94" hidden="1">
      <c r="A2120"/>
      <c r="G2120" s="207"/>
      <c r="CP2120"/>
    </row>
    <row r="2121" spans="1:94" hidden="1">
      <c r="A2121"/>
      <c r="G2121" s="207"/>
      <c r="CP2121"/>
    </row>
    <row r="2122" spans="1:94" hidden="1">
      <c r="A2122"/>
      <c r="G2122" s="207"/>
      <c r="CP2122"/>
    </row>
    <row r="2123" spans="1:94" hidden="1">
      <c r="A2123"/>
      <c r="G2123" s="207"/>
      <c r="CP2123"/>
    </row>
    <row r="2124" spans="1:94" hidden="1">
      <c r="A2124"/>
      <c r="G2124" s="207"/>
      <c r="CP2124"/>
    </row>
    <row r="2125" spans="1:94" hidden="1">
      <c r="A2125"/>
      <c r="G2125" s="207"/>
      <c r="CP2125"/>
    </row>
    <row r="2126" spans="1:94" hidden="1">
      <c r="A2126"/>
      <c r="G2126" s="207"/>
      <c r="CP2126"/>
    </row>
    <row r="2127" spans="1:94" hidden="1">
      <c r="A2127"/>
      <c r="G2127" s="207"/>
      <c r="CP2127"/>
    </row>
    <row r="2128" spans="1:94" hidden="1">
      <c r="A2128"/>
      <c r="G2128" s="207"/>
      <c r="CP2128"/>
    </row>
    <row r="2129" spans="1:94" hidden="1">
      <c r="A2129"/>
      <c r="G2129" s="207"/>
      <c r="CP2129"/>
    </row>
    <row r="2130" spans="1:94" hidden="1">
      <c r="A2130"/>
      <c r="G2130" s="207"/>
      <c r="CP2130"/>
    </row>
    <row r="2131" spans="1:94" hidden="1">
      <c r="A2131"/>
      <c r="G2131" s="207"/>
      <c r="CP2131"/>
    </row>
    <row r="2132" spans="1:94" hidden="1">
      <c r="A2132"/>
      <c r="G2132" s="207"/>
      <c r="CP2132"/>
    </row>
    <row r="2133" spans="1:94" hidden="1">
      <c r="A2133"/>
      <c r="G2133" s="207"/>
      <c r="CP2133"/>
    </row>
    <row r="2134" spans="1:94" hidden="1">
      <c r="A2134"/>
      <c r="G2134" s="207"/>
      <c r="CP2134"/>
    </row>
    <row r="2135" spans="1:94" hidden="1">
      <c r="A2135"/>
      <c r="G2135" s="207"/>
      <c r="CP2135"/>
    </row>
    <row r="2136" spans="1:94" hidden="1">
      <c r="A2136"/>
      <c r="G2136" s="207"/>
      <c r="CP2136"/>
    </row>
    <row r="2137" spans="1:94" hidden="1">
      <c r="A2137"/>
      <c r="G2137" s="207"/>
      <c r="CP2137"/>
    </row>
    <row r="2138" spans="1:94" hidden="1">
      <c r="A2138"/>
      <c r="G2138" s="207"/>
      <c r="CP2138"/>
    </row>
    <row r="2139" spans="1:94" hidden="1">
      <c r="A2139"/>
      <c r="G2139" s="207"/>
      <c r="CP2139"/>
    </row>
    <row r="2140" spans="1:94" hidden="1">
      <c r="A2140"/>
      <c r="G2140" s="207"/>
      <c r="CP2140"/>
    </row>
    <row r="2141" spans="1:94" hidden="1">
      <c r="A2141"/>
      <c r="G2141" s="207"/>
      <c r="CP2141"/>
    </row>
    <row r="2142" spans="1:94" hidden="1">
      <c r="A2142"/>
      <c r="G2142" s="207"/>
      <c r="CP2142"/>
    </row>
    <row r="2143" spans="1:94" hidden="1">
      <c r="A2143"/>
      <c r="G2143" s="207"/>
      <c r="CP2143"/>
    </row>
    <row r="2144" spans="1:94" hidden="1">
      <c r="A2144"/>
      <c r="G2144" s="207"/>
      <c r="CP2144"/>
    </row>
    <row r="2145" spans="1:94" hidden="1">
      <c r="A2145"/>
      <c r="G2145" s="207"/>
      <c r="CP2145"/>
    </row>
    <row r="2146" spans="1:94" hidden="1">
      <c r="A2146"/>
      <c r="G2146" s="207"/>
      <c r="CP2146"/>
    </row>
    <row r="2147" spans="1:94" hidden="1">
      <c r="A2147"/>
      <c r="G2147" s="207"/>
      <c r="CP2147"/>
    </row>
    <row r="2148" spans="1:94" hidden="1">
      <c r="A2148"/>
      <c r="G2148" s="207"/>
      <c r="CP2148"/>
    </row>
    <row r="2149" spans="1:94" hidden="1">
      <c r="A2149"/>
      <c r="G2149" s="207"/>
      <c r="CP2149"/>
    </row>
    <row r="2150" spans="1:94" hidden="1">
      <c r="A2150"/>
      <c r="G2150" s="207"/>
      <c r="CP2150"/>
    </row>
    <row r="2151" spans="1:94" hidden="1">
      <c r="A2151"/>
      <c r="G2151" s="207"/>
      <c r="CP2151"/>
    </row>
    <row r="2152" spans="1:94" hidden="1">
      <c r="A2152"/>
      <c r="G2152" s="207"/>
      <c r="CP2152"/>
    </row>
    <row r="2153" spans="1:94" hidden="1">
      <c r="A2153"/>
      <c r="G2153" s="207"/>
      <c r="CP2153"/>
    </row>
    <row r="2154" spans="1:94" hidden="1">
      <c r="A2154"/>
      <c r="G2154" s="207"/>
      <c r="CP2154"/>
    </row>
    <row r="2155" spans="1:94" hidden="1">
      <c r="A2155"/>
      <c r="G2155" s="207"/>
      <c r="CP2155"/>
    </row>
    <row r="2156" spans="1:94" hidden="1">
      <c r="A2156"/>
      <c r="G2156" s="207"/>
      <c r="CP2156"/>
    </row>
    <row r="2157" spans="1:94" hidden="1">
      <c r="A2157"/>
      <c r="G2157" s="207"/>
      <c r="CP2157"/>
    </row>
    <row r="2158" spans="1:94" hidden="1">
      <c r="A2158"/>
      <c r="G2158" s="207"/>
      <c r="CP2158"/>
    </row>
    <row r="2159" spans="1:94" hidden="1">
      <c r="A2159"/>
      <c r="G2159" s="207"/>
      <c r="CP2159"/>
    </row>
    <row r="2160" spans="1:94" hidden="1">
      <c r="A2160"/>
      <c r="G2160" s="207"/>
      <c r="CP2160"/>
    </row>
    <row r="2161" spans="1:94" hidden="1">
      <c r="A2161"/>
      <c r="G2161" s="207"/>
      <c r="CP2161"/>
    </row>
    <row r="2162" spans="1:94" hidden="1">
      <c r="A2162"/>
      <c r="G2162" s="207"/>
      <c r="CP2162"/>
    </row>
    <row r="2163" spans="1:94" hidden="1">
      <c r="A2163"/>
      <c r="G2163" s="207"/>
      <c r="CP2163"/>
    </row>
    <row r="2164" spans="1:94" hidden="1">
      <c r="A2164"/>
      <c r="G2164" s="207"/>
      <c r="CP2164"/>
    </row>
    <row r="2165" spans="1:94" hidden="1">
      <c r="A2165"/>
      <c r="G2165" s="207"/>
      <c r="CP2165"/>
    </row>
    <row r="2166" spans="1:94" hidden="1">
      <c r="A2166"/>
      <c r="G2166" s="207"/>
      <c r="CP2166"/>
    </row>
    <row r="2167" spans="1:94" hidden="1">
      <c r="A2167"/>
      <c r="G2167" s="207"/>
      <c r="CP2167"/>
    </row>
    <row r="2168" spans="1:94" hidden="1">
      <c r="A2168"/>
      <c r="G2168" s="207"/>
      <c r="CP2168"/>
    </row>
    <row r="2169" spans="1:94" hidden="1">
      <c r="A2169"/>
      <c r="G2169" s="207"/>
      <c r="CP2169"/>
    </row>
    <row r="2170" spans="1:94" hidden="1">
      <c r="A2170"/>
      <c r="G2170" s="207"/>
      <c r="CP2170"/>
    </row>
    <row r="2171" spans="1:94" hidden="1">
      <c r="A2171"/>
      <c r="G2171" s="207"/>
      <c r="CP2171"/>
    </row>
    <row r="2172" spans="1:94" hidden="1">
      <c r="A2172"/>
      <c r="G2172" s="207"/>
      <c r="CP2172"/>
    </row>
    <row r="2173" spans="1:94" hidden="1">
      <c r="A2173"/>
      <c r="G2173" s="207"/>
      <c r="CP2173"/>
    </row>
    <row r="2174" spans="1:94" hidden="1">
      <c r="A2174"/>
      <c r="G2174" s="207"/>
      <c r="CP2174"/>
    </row>
    <row r="2175" spans="1:94" hidden="1">
      <c r="A2175"/>
      <c r="G2175" s="207"/>
      <c r="CP2175"/>
    </row>
    <row r="2176" spans="1:94" hidden="1">
      <c r="A2176"/>
      <c r="G2176" s="207"/>
      <c r="CP2176"/>
    </row>
    <row r="2177" spans="1:94" hidden="1">
      <c r="A2177"/>
      <c r="G2177" s="207"/>
      <c r="CP2177"/>
    </row>
    <row r="2178" spans="1:94" hidden="1">
      <c r="A2178"/>
      <c r="G2178" s="207"/>
      <c r="CP2178"/>
    </row>
    <row r="2179" spans="1:94" hidden="1">
      <c r="A2179"/>
      <c r="G2179" s="207"/>
      <c r="CP2179"/>
    </row>
    <row r="2180" spans="1:94" hidden="1">
      <c r="A2180"/>
      <c r="G2180" s="207"/>
      <c r="CP2180"/>
    </row>
    <row r="2181" spans="1:94" hidden="1">
      <c r="A2181"/>
      <c r="G2181" s="207"/>
      <c r="CP2181"/>
    </row>
    <row r="2182" spans="1:94" hidden="1">
      <c r="A2182"/>
      <c r="G2182" s="207"/>
      <c r="CP2182"/>
    </row>
    <row r="2183" spans="1:94" hidden="1">
      <c r="A2183"/>
      <c r="G2183" s="207"/>
      <c r="CP2183"/>
    </row>
    <row r="2184" spans="1:94" hidden="1">
      <c r="A2184"/>
      <c r="G2184" s="207"/>
      <c r="CP2184"/>
    </row>
    <row r="2185" spans="1:94" hidden="1">
      <c r="A2185"/>
      <c r="G2185" s="207"/>
      <c r="CP2185"/>
    </row>
    <row r="2186" spans="1:94" hidden="1">
      <c r="A2186"/>
      <c r="G2186" s="207"/>
      <c r="CP2186"/>
    </row>
    <row r="2187" spans="1:94" hidden="1">
      <c r="A2187"/>
      <c r="G2187" s="207"/>
      <c r="CP2187"/>
    </row>
    <row r="2188" spans="1:94" hidden="1">
      <c r="A2188"/>
      <c r="G2188" s="207"/>
      <c r="CP2188"/>
    </row>
    <row r="2189" spans="1:94" hidden="1">
      <c r="A2189"/>
      <c r="G2189" s="207"/>
      <c r="CP2189"/>
    </row>
    <row r="2190" spans="1:94" hidden="1">
      <c r="A2190"/>
      <c r="G2190" s="207"/>
      <c r="CP2190"/>
    </row>
    <row r="2191" spans="1:94" hidden="1">
      <c r="A2191"/>
      <c r="G2191" s="207"/>
      <c r="CP2191"/>
    </row>
    <row r="2192" spans="1:94" hidden="1">
      <c r="A2192"/>
      <c r="G2192" s="207"/>
      <c r="CP2192"/>
    </row>
    <row r="2193" spans="1:94" hidden="1">
      <c r="A2193"/>
      <c r="G2193" s="207"/>
      <c r="CP2193"/>
    </row>
    <row r="2194" spans="1:94" hidden="1">
      <c r="A2194"/>
      <c r="G2194" s="207"/>
      <c r="CP2194"/>
    </row>
    <row r="2195" spans="1:94" hidden="1">
      <c r="A2195"/>
      <c r="G2195" s="207"/>
      <c r="CP2195"/>
    </row>
    <row r="2196" spans="1:94" hidden="1">
      <c r="A2196"/>
      <c r="G2196" s="207"/>
      <c r="CP2196"/>
    </row>
    <row r="2197" spans="1:94" hidden="1">
      <c r="A2197"/>
      <c r="G2197" s="207"/>
      <c r="CP2197"/>
    </row>
    <row r="2198" spans="1:94" hidden="1">
      <c r="A2198"/>
      <c r="G2198" s="207"/>
      <c r="CP2198"/>
    </row>
    <row r="2199" spans="1:94" hidden="1">
      <c r="A2199"/>
      <c r="G2199" s="207"/>
      <c r="CP2199"/>
    </row>
    <row r="2200" spans="1:94" hidden="1">
      <c r="A2200"/>
      <c r="G2200" s="207"/>
      <c r="CP2200"/>
    </row>
    <row r="2201" spans="1:94" hidden="1">
      <c r="A2201"/>
      <c r="G2201" s="207"/>
      <c r="CP2201"/>
    </row>
    <row r="2202" spans="1:94" hidden="1">
      <c r="A2202"/>
      <c r="G2202" s="207"/>
      <c r="CP2202"/>
    </row>
    <row r="2203" spans="1:94" hidden="1">
      <c r="A2203"/>
      <c r="G2203" s="207"/>
      <c r="CP2203"/>
    </row>
    <row r="2204" spans="1:94" hidden="1">
      <c r="A2204"/>
      <c r="G2204" s="207"/>
      <c r="CP2204"/>
    </row>
    <row r="2205" spans="1:94" hidden="1">
      <c r="A2205"/>
      <c r="G2205" s="207"/>
      <c r="CP2205"/>
    </row>
    <row r="2206" spans="1:94" hidden="1">
      <c r="A2206"/>
      <c r="G2206" s="207"/>
      <c r="CP2206"/>
    </row>
    <row r="2207" spans="1:94" hidden="1">
      <c r="A2207"/>
      <c r="G2207" s="207"/>
      <c r="CP2207"/>
    </row>
    <row r="2208" spans="1:94" hidden="1">
      <c r="A2208"/>
      <c r="G2208" s="207"/>
      <c r="CP2208"/>
    </row>
    <row r="2209" spans="1:94" hidden="1">
      <c r="A2209"/>
      <c r="G2209" s="207"/>
      <c r="CP2209"/>
    </row>
    <row r="2210" spans="1:94" hidden="1">
      <c r="A2210"/>
      <c r="G2210" s="207"/>
      <c r="CP2210"/>
    </row>
    <row r="2211" spans="1:94" hidden="1">
      <c r="A2211"/>
      <c r="G2211" s="207"/>
      <c r="CP2211"/>
    </row>
    <row r="2212" spans="1:94" hidden="1">
      <c r="A2212"/>
      <c r="G2212" s="207"/>
      <c r="CP2212"/>
    </row>
    <row r="2213" spans="1:94" hidden="1">
      <c r="A2213"/>
      <c r="G2213" s="207"/>
      <c r="CP2213"/>
    </row>
    <row r="2214" spans="1:94" hidden="1">
      <c r="A2214"/>
      <c r="G2214" s="207"/>
      <c r="CP2214"/>
    </row>
    <row r="2215" spans="1:94" hidden="1">
      <c r="A2215"/>
      <c r="G2215" s="207"/>
      <c r="CP2215"/>
    </row>
    <row r="2216" spans="1:94" hidden="1">
      <c r="A2216"/>
      <c r="G2216" s="207"/>
      <c r="CP2216"/>
    </row>
    <row r="2217" spans="1:94" hidden="1">
      <c r="A2217"/>
      <c r="G2217" s="207"/>
      <c r="CP2217"/>
    </row>
    <row r="2218" spans="1:94" hidden="1">
      <c r="A2218"/>
      <c r="G2218" s="207"/>
      <c r="CP2218"/>
    </row>
    <row r="2219" spans="1:94" hidden="1">
      <c r="A2219"/>
      <c r="G2219" s="207"/>
      <c r="CP2219"/>
    </row>
    <row r="2220" spans="1:94" hidden="1">
      <c r="A2220"/>
      <c r="G2220" s="207"/>
      <c r="CP2220"/>
    </row>
    <row r="2221" spans="1:94" hidden="1">
      <c r="A2221"/>
      <c r="G2221" s="207"/>
      <c r="CP2221"/>
    </row>
    <row r="2222" spans="1:94" hidden="1">
      <c r="A2222"/>
      <c r="G2222" s="207"/>
      <c r="CP2222"/>
    </row>
    <row r="2223" spans="1:94" hidden="1">
      <c r="A2223"/>
      <c r="G2223" s="207"/>
      <c r="CP2223"/>
    </row>
    <row r="2224" spans="1:94" hidden="1">
      <c r="A2224"/>
      <c r="G2224" s="207"/>
      <c r="CP2224"/>
    </row>
    <row r="2225" spans="1:94" hidden="1">
      <c r="A2225"/>
      <c r="G2225" s="207"/>
      <c r="CP2225"/>
    </row>
    <row r="2226" spans="1:94" hidden="1">
      <c r="A2226"/>
      <c r="G2226" s="207"/>
      <c r="CP2226"/>
    </row>
    <row r="2227" spans="1:94" hidden="1">
      <c r="A2227"/>
      <c r="G2227" s="207"/>
      <c r="CP2227"/>
    </row>
    <row r="2228" spans="1:94" hidden="1">
      <c r="A2228"/>
      <c r="G2228" s="207"/>
      <c r="CP2228"/>
    </row>
    <row r="2229" spans="1:94" hidden="1">
      <c r="A2229"/>
      <c r="G2229" s="207"/>
      <c r="CP2229"/>
    </row>
    <row r="2230" spans="1:94" hidden="1">
      <c r="A2230"/>
      <c r="G2230" s="207"/>
      <c r="CP2230"/>
    </row>
    <row r="2231" spans="1:94" hidden="1">
      <c r="A2231"/>
      <c r="G2231" s="207"/>
      <c r="CP2231"/>
    </row>
    <row r="2232" spans="1:94" hidden="1">
      <c r="A2232"/>
      <c r="G2232" s="207"/>
      <c r="CP2232"/>
    </row>
    <row r="2233" spans="1:94" hidden="1">
      <c r="A2233"/>
      <c r="G2233" s="207"/>
      <c r="CP2233"/>
    </row>
    <row r="2234" spans="1:94" hidden="1">
      <c r="A2234"/>
      <c r="G2234" s="207"/>
      <c r="CP2234"/>
    </row>
    <row r="2235" spans="1:94" hidden="1">
      <c r="A2235"/>
      <c r="G2235" s="207"/>
      <c r="CP2235"/>
    </row>
    <row r="2236" spans="1:94" hidden="1">
      <c r="A2236"/>
      <c r="G2236" s="207"/>
      <c r="CP2236"/>
    </row>
    <row r="2237" spans="1:94" hidden="1">
      <c r="A2237"/>
      <c r="G2237" s="207"/>
      <c r="CP2237"/>
    </row>
    <row r="2238" spans="1:94" hidden="1">
      <c r="A2238"/>
      <c r="G2238" s="207"/>
      <c r="CP2238"/>
    </row>
    <row r="2239" spans="1:94" hidden="1">
      <c r="A2239"/>
      <c r="G2239" s="207"/>
      <c r="CP2239"/>
    </row>
    <row r="2240" spans="1:94" hidden="1">
      <c r="A2240"/>
      <c r="G2240" s="207"/>
      <c r="CP2240"/>
    </row>
    <row r="2241" spans="1:94" hidden="1">
      <c r="A2241"/>
      <c r="G2241" s="207"/>
      <c r="CP2241"/>
    </row>
    <row r="2242" spans="1:94" hidden="1">
      <c r="A2242"/>
      <c r="G2242" s="207"/>
      <c r="CP2242"/>
    </row>
    <row r="2243" spans="1:94" hidden="1">
      <c r="A2243"/>
      <c r="G2243" s="207"/>
      <c r="CP2243"/>
    </row>
    <row r="2244" spans="1:94" hidden="1">
      <c r="A2244"/>
      <c r="G2244" s="207"/>
      <c r="CP2244"/>
    </row>
    <row r="2245" spans="1:94" hidden="1">
      <c r="A2245"/>
      <c r="G2245" s="207"/>
      <c r="CP2245"/>
    </row>
    <row r="2246" spans="1:94" hidden="1">
      <c r="A2246"/>
      <c r="G2246" s="207"/>
      <c r="CP2246"/>
    </row>
    <row r="2247" spans="1:94" hidden="1">
      <c r="A2247"/>
      <c r="G2247" s="207"/>
      <c r="CP2247"/>
    </row>
    <row r="2248" spans="1:94" hidden="1">
      <c r="A2248"/>
      <c r="G2248" s="207"/>
      <c r="CP2248"/>
    </row>
    <row r="2249" spans="1:94" hidden="1">
      <c r="A2249"/>
      <c r="G2249" s="207"/>
      <c r="CP2249"/>
    </row>
    <row r="2250" spans="1:94" hidden="1">
      <c r="A2250"/>
      <c r="G2250" s="207"/>
      <c r="CP2250"/>
    </row>
    <row r="2251" spans="1:94" hidden="1">
      <c r="A2251"/>
      <c r="G2251" s="207"/>
      <c r="CP2251"/>
    </row>
    <row r="2252" spans="1:94" hidden="1">
      <c r="A2252"/>
      <c r="G2252" s="207"/>
      <c r="CP2252"/>
    </row>
    <row r="2253" spans="1:94" hidden="1">
      <c r="A2253"/>
      <c r="G2253" s="207"/>
      <c r="CP2253"/>
    </row>
    <row r="2254" spans="1:94" hidden="1">
      <c r="A2254"/>
      <c r="G2254" s="207"/>
      <c r="CP2254"/>
    </row>
    <row r="2255" spans="1:94" hidden="1">
      <c r="A2255"/>
      <c r="G2255" s="207"/>
      <c r="CP2255"/>
    </row>
    <row r="2256" spans="1:94" hidden="1">
      <c r="A2256"/>
      <c r="G2256" s="207"/>
      <c r="CP2256"/>
    </row>
    <row r="2257" spans="1:94" hidden="1">
      <c r="A2257"/>
      <c r="G2257" s="207"/>
      <c r="CP2257"/>
    </row>
    <row r="2258" spans="1:94" hidden="1">
      <c r="A2258"/>
      <c r="G2258" s="207"/>
      <c r="CP2258"/>
    </row>
    <row r="2259" spans="1:94" hidden="1">
      <c r="A2259"/>
      <c r="G2259" s="207"/>
      <c r="CP2259"/>
    </row>
    <row r="2260" spans="1:94" hidden="1">
      <c r="A2260"/>
      <c r="G2260" s="207"/>
      <c r="CP2260"/>
    </row>
    <row r="2261" spans="1:94" hidden="1">
      <c r="A2261"/>
      <c r="G2261" s="207"/>
      <c r="CP2261"/>
    </row>
    <row r="2262" spans="1:94" hidden="1">
      <c r="A2262"/>
      <c r="G2262" s="207"/>
      <c r="CP2262"/>
    </row>
    <row r="2263" spans="1:94" hidden="1">
      <c r="A2263"/>
      <c r="G2263" s="207"/>
      <c r="CP2263"/>
    </row>
    <row r="2264" spans="1:94" hidden="1">
      <c r="A2264"/>
      <c r="G2264" s="207"/>
      <c r="CP2264"/>
    </row>
    <row r="2265" spans="1:94" hidden="1">
      <c r="A2265"/>
      <c r="G2265" s="207"/>
      <c r="CP2265"/>
    </row>
    <row r="2266" spans="1:94" hidden="1">
      <c r="A2266"/>
      <c r="G2266" s="207"/>
      <c r="CP2266"/>
    </row>
    <row r="2267" spans="1:94" hidden="1">
      <c r="A2267"/>
      <c r="G2267" s="207"/>
      <c r="CP2267"/>
    </row>
    <row r="2268" spans="1:94" hidden="1">
      <c r="A2268"/>
      <c r="G2268" s="207"/>
      <c r="CP2268"/>
    </row>
    <row r="2269" spans="1:94" hidden="1">
      <c r="A2269"/>
      <c r="G2269" s="207"/>
      <c r="CP2269"/>
    </row>
    <row r="2270" spans="1:94" hidden="1">
      <c r="A2270"/>
      <c r="G2270" s="207"/>
      <c r="CP2270"/>
    </row>
    <row r="2271" spans="1:94" hidden="1">
      <c r="A2271"/>
      <c r="G2271" s="207"/>
      <c r="CP2271"/>
    </row>
    <row r="2272" spans="1:94" hidden="1">
      <c r="A2272"/>
      <c r="G2272" s="207"/>
      <c r="CP2272"/>
    </row>
    <row r="2273" spans="1:94" hidden="1">
      <c r="A2273"/>
      <c r="G2273" s="207"/>
      <c r="CP2273"/>
    </row>
    <row r="2274" spans="1:94" hidden="1">
      <c r="A2274"/>
      <c r="G2274" s="207"/>
      <c r="CP2274"/>
    </row>
    <row r="2275" spans="1:94" hidden="1">
      <c r="A2275"/>
      <c r="G2275" s="207"/>
      <c r="CP2275"/>
    </row>
    <row r="2276" spans="1:94" hidden="1">
      <c r="A2276"/>
      <c r="G2276" s="207"/>
      <c r="CP2276"/>
    </row>
    <row r="2277" spans="1:94" hidden="1">
      <c r="A2277"/>
      <c r="G2277" s="207"/>
      <c r="CP2277"/>
    </row>
    <row r="2278" spans="1:94" hidden="1">
      <c r="A2278"/>
      <c r="G2278" s="207"/>
      <c r="CP2278"/>
    </row>
    <row r="2279" spans="1:94" hidden="1">
      <c r="A2279"/>
      <c r="G2279" s="207"/>
      <c r="CP2279"/>
    </row>
    <row r="2280" spans="1:94" hidden="1">
      <c r="A2280"/>
      <c r="G2280" s="207"/>
      <c r="CP2280"/>
    </row>
    <row r="2281" spans="1:94" hidden="1">
      <c r="A2281"/>
      <c r="G2281" s="207"/>
      <c r="CP2281"/>
    </row>
    <row r="2282" spans="1:94" hidden="1">
      <c r="A2282"/>
      <c r="G2282" s="207"/>
      <c r="CP2282"/>
    </row>
    <row r="2283" spans="1:94" hidden="1">
      <c r="A2283"/>
      <c r="G2283" s="207"/>
      <c r="CP2283"/>
    </row>
    <row r="2284" spans="1:94" hidden="1">
      <c r="A2284"/>
      <c r="G2284" s="207"/>
      <c r="CP2284"/>
    </row>
    <row r="2285" spans="1:94" hidden="1">
      <c r="A2285"/>
      <c r="G2285" s="207"/>
      <c r="CP2285"/>
    </row>
    <row r="2286" spans="1:94" hidden="1">
      <c r="A2286"/>
      <c r="G2286" s="207"/>
      <c r="CP2286"/>
    </row>
    <row r="2287" spans="1:94" hidden="1">
      <c r="A2287"/>
      <c r="G2287" s="207"/>
      <c r="CP2287"/>
    </row>
    <row r="2288" spans="1:94" hidden="1">
      <c r="A2288"/>
      <c r="G2288" s="207"/>
      <c r="CP2288"/>
    </row>
    <row r="2289" spans="1:94" hidden="1">
      <c r="A2289"/>
      <c r="G2289" s="207"/>
      <c r="CP2289"/>
    </row>
    <row r="2290" spans="1:94" hidden="1">
      <c r="A2290"/>
      <c r="G2290" s="207"/>
      <c r="CP2290"/>
    </row>
    <row r="2291" spans="1:94" hidden="1">
      <c r="A2291"/>
      <c r="G2291" s="207"/>
      <c r="CP2291"/>
    </row>
    <row r="2292" spans="1:94" hidden="1">
      <c r="A2292"/>
      <c r="G2292" s="207"/>
      <c r="CP2292"/>
    </row>
    <row r="2293" spans="1:94" hidden="1">
      <c r="A2293"/>
      <c r="G2293" s="207"/>
      <c r="CP2293"/>
    </row>
    <row r="2294" spans="1:94" hidden="1">
      <c r="A2294"/>
      <c r="G2294" s="207"/>
      <c r="CP2294"/>
    </row>
    <row r="2295" spans="1:94" hidden="1">
      <c r="A2295"/>
      <c r="G2295" s="207"/>
      <c r="CP2295"/>
    </row>
    <row r="2296" spans="1:94" hidden="1">
      <c r="A2296"/>
      <c r="G2296" s="207"/>
      <c r="CP2296"/>
    </row>
    <row r="2297" spans="1:94" hidden="1">
      <c r="A2297"/>
      <c r="G2297" s="207"/>
      <c r="CP2297"/>
    </row>
    <row r="2298" spans="1:94" hidden="1">
      <c r="A2298"/>
      <c r="G2298" s="207"/>
      <c r="CP2298"/>
    </row>
    <row r="2299" spans="1:94" hidden="1">
      <c r="A2299"/>
      <c r="G2299" s="207"/>
      <c r="CP2299"/>
    </row>
    <row r="2300" spans="1:94" hidden="1">
      <c r="A2300"/>
      <c r="G2300" s="207"/>
      <c r="CP2300"/>
    </row>
    <row r="2301" spans="1:94" hidden="1">
      <c r="A2301"/>
      <c r="G2301" s="207"/>
      <c r="CP2301"/>
    </row>
    <row r="2302" spans="1:94" hidden="1">
      <c r="A2302"/>
      <c r="G2302" s="207"/>
      <c r="CP2302"/>
    </row>
    <row r="2303" spans="1:94" hidden="1">
      <c r="A2303"/>
      <c r="G2303" s="207"/>
      <c r="CP2303"/>
    </row>
    <row r="2304" spans="1:94" hidden="1">
      <c r="A2304"/>
      <c r="G2304" s="207"/>
      <c r="CP2304"/>
    </row>
    <row r="2305" spans="1:94" hidden="1">
      <c r="A2305"/>
      <c r="G2305" s="207"/>
      <c r="CP2305"/>
    </row>
    <row r="2306" spans="1:94" hidden="1">
      <c r="A2306"/>
      <c r="G2306" s="207"/>
      <c r="CP2306"/>
    </row>
    <row r="2307" spans="1:94" hidden="1">
      <c r="A2307"/>
      <c r="G2307" s="207"/>
      <c r="CP2307"/>
    </row>
    <row r="2308" spans="1:94" hidden="1">
      <c r="A2308"/>
      <c r="G2308" s="207"/>
      <c r="CP2308"/>
    </row>
    <row r="2309" spans="1:94" hidden="1">
      <c r="A2309"/>
      <c r="G2309" s="207"/>
      <c r="CP2309"/>
    </row>
    <row r="2310" spans="1:94" hidden="1">
      <c r="A2310"/>
      <c r="G2310" s="207"/>
      <c r="CP2310"/>
    </row>
    <row r="2311" spans="1:94" hidden="1">
      <c r="A2311"/>
      <c r="G2311" s="207"/>
      <c r="CP2311"/>
    </row>
    <row r="2312" spans="1:94" hidden="1">
      <c r="A2312"/>
      <c r="G2312" s="207"/>
      <c r="CP2312"/>
    </row>
    <row r="2313" spans="1:94" hidden="1">
      <c r="A2313"/>
      <c r="G2313" s="207"/>
      <c r="CP2313"/>
    </row>
    <row r="2314" spans="1:94" hidden="1">
      <c r="A2314"/>
      <c r="G2314" s="207"/>
      <c r="CP2314"/>
    </row>
    <row r="2315" spans="1:94" hidden="1">
      <c r="A2315"/>
      <c r="G2315" s="207"/>
      <c r="CP2315"/>
    </row>
    <row r="2316" spans="1:94" hidden="1">
      <c r="A2316"/>
      <c r="G2316" s="207"/>
      <c r="CP2316"/>
    </row>
    <row r="2317" spans="1:94" hidden="1">
      <c r="A2317"/>
      <c r="G2317" s="207"/>
      <c r="CP2317"/>
    </row>
    <row r="2318" spans="1:94" hidden="1">
      <c r="A2318"/>
      <c r="G2318" s="207"/>
      <c r="CP2318"/>
    </row>
    <row r="2319" spans="1:94" hidden="1">
      <c r="A2319"/>
      <c r="G2319" s="207"/>
      <c r="CP2319"/>
    </row>
    <row r="2320" spans="1:94" hidden="1">
      <c r="A2320"/>
      <c r="G2320" s="207"/>
      <c r="CP2320"/>
    </row>
    <row r="2321" spans="1:94" hidden="1">
      <c r="A2321"/>
      <c r="G2321" s="207"/>
      <c r="CP2321"/>
    </row>
    <row r="2322" spans="1:94" hidden="1">
      <c r="A2322"/>
      <c r="G2322" s="207"/>
      <c r="CP2322"/>
    </row>
    <row r="2323" spans="1:94" hidden="1">
      <c r="A2323"/>
      <c r="G2323" s="207"/>
      <c r="CP2323"/>
    </row>
    <row r="2324" spans="1:94" hidden="1">
      <c r="A2324"/>
      <c r="G2324" s="207"/>
      <c r="CP2324"/>
    </row>
    <row r="2325" spans="1:94" hidden="1">
      <c r="A2325"/>
      <c r="G2325" s="207"/>
      <c r="CP2325"/>
    </row>
    <row r="2326" spans="1:94" hidden="1">
      <c r="A2326"/>
      <c r="G2326" s="207"/>
      <c r="CP2326"/>
    </row>
    <row r="2327" spans="1:94" hidden="1">
      <c r="A2327"/>
      <c r="G2327" s="207"/>
      <c r="CP2327"/>
    </row>
    <row r="2328" spans="1:94" hidden="1">
      <c r="A2328"/>
      <c r="G2328" s="207"/>
      <c r="CP2328"/>
    </row>
    <row r="2329" spans="1:94" hidden="1">
      <c r="A2329"/>
      <c r="G2329" s="207"/>
      <c r="CP2329"/>
    </row>
    <row r="2330" spans="1:94" hidden="1">
      <c r="A2330"/>
      <c r="G2330" s="207"/>
      <c r="CP2330"/>
    </row>
    <row r="2331" spans="1:94" hidden="1">
      <c r="A2331"/>
      <c r="G2331" s="207"/>
      <c r="CP2331"/>
    </row>
    <row r="2332" spans="1:94" hidden="1">
      <c r="A2332"/>
      <c r="G2332" s="207"/>
      <c r="CP2332"/>
    </row>
    <row r="2333" spans="1:94" hidden="1">
      <c r="A2333"/>
      <c r="G2333" s="207"/>
      <c r="CP2333"/>
    </row>
    <row r="2334" spans="1:94" hidden="1">
      <c r="A2334"/>
      <c r="G2334" s="207"/>
      <c r="CP2334"/>
    </row>
    <row r="2335" spans="1:94" hidden="1">
      <c r="A2335"/>
      <c r="G2335" s="207"/>
      <c r="CP2335"/>
    </row>
    <row r="2336" spans="1:94" hidden="1">
      <c r="A2336"/>
      <c r="G2336" s="207"/>
      <c r="CP2336"/>
    </row>
    <row r="2337" spans="1:94" hidden="1">
      <c r="A2337"/>
      <c r="G2337" s="207"/>
      <c r="CP2337"/>
    </row>
    <row r="2338" spans="1:94" hidden="1">
      <c r="A2338"/>
      <c r="G2338" s="207"/>
      <c r="CP2338"/>
    </row>
    <row r="2339" spans="1:94" hidden="1">
      <c r="A2339"/>
      <c r="G2339" s="207"/>
      <c r="CP2339"/>
    </row>
    <row r="2340" spans="1:94" hidden="1">
      <c r="A2340"/>
      <c r="G2340" s="207"/>
      <c r="CP2340"/>
    </row>
    <row r="2341" spans="1:94" hidden="1">
      <c r="A2341"/>
      <c r="G2341" s="207"/>
      <c r="CP2341"/>
    </row>
    <row r="2342" spans="1:94" hidden="1">
      <c r="A2342"/>
      <c r="G2342" s="207"/>
      <c r="CP2342"/>
    </row>
    <row r="2343" spans="1:94" hidden="1">
      <c r="A2343"/>
      <c r="G2343" s="207"/>
      <c r="CP2343"/>
    </row>
    <row r="2344" spans="1:94" hidden="1">
      <c r="A2344"/>
      <c r="G2344" s="207"/>
      <c r="CP2344"/>
    </row>
    <row r="2345" spans="1:94" hidden="1">
      <c r="A2345"/>
      <c r="G2345" s="207"/>
      <c r="CP2345"/>
    </row>
    <row r="2346" spans="1:94" hidden="1">
      <c r="A2346"/>
      <c r="G2346" s="207"/>
      <c r="CP2346"/>
    </row>
    <row r="2347" spans="1:94" hidden="1">
      <c r="A2347"/>
      <c r="G2347" s="207"/>
      <c r="CP2347"/>
    </row>
    <row r="2348" spans="1:94" hidden="1">
      <c r="A2348"/>
      <c r="G2348" s="207"/>
      <c r="CP2348"/>
    </row>
    <row r="2349" spans="1:94" hidden="1">
      <c r="A2349"/>
      <c r="G2349" s="207"/>
      <c r="CP2349"/>
    </row>
    <row r="2350" spans="1:94" hidden="1">
      <c r="A2350"/>
      <c r="G2350" s="207"/>
      <c r="CP2350"/>
    </row>
    <row r="2351" spans="1:94" hidden="1">
      <c r="A2351"/>
      <c r="G2351" s="207"/>
      <c r="CP2351"/>
    </row>
    <row r="2352" spans="1:94" hidden="1">
      <c r="A2352"/>
      <c r="G2352" s="207"/>
      <c r="CP2352"/>
    </row>
    <row r="2353" spans="1:94" hidden="1">
      <c r="A2353"/>
      <c r="G2353" s="207"/>
      <c r="CP2353"/>
    </row>
    <row r="2354" spans="1:94" hidden="1">
      <c r="A2354"/>
      <c r="G2354" s="207"/>
      <c r="CP2354"/>
    </row>
    <row r="2355" spans="1:94" hidden="1">
      <c r="A2355"/>
      <c r="G2355" s="207"/>
      <c r="CP2355"/>
    </row>
    <row r="2356" spans="1:94" hidden="1">
      <c r="A2356"/>
      <c r="G2356" s="207"/>
      <c r="CP2356"/>
    </row>
    <row r="2357" spans="1:94" hidden="1">
      <c r="A2357"/>
      <c r="G2357" s="207"/>
      <c r="CP2357"/>
    </row>
    <row r="2358" spans="1:94" hidden="1">
      <c r="A2358"/>
      <c r="G2358" s="207"/>
      <c r="CP2358"/>
    </row>
    <row r="2359" spans="1:94" hidden="1">
      <c r="A2359"/>
      <c r="G2359" s="207"/>
      <c r="CP2359"/>
    </row>
    <row r="2360" spans="1:94" hidden="1">
      <c r="A2360"/>
      <c r="G2360" s="207"/>
      <c r="CP2360"/>
    </row>
    <row r="2361" spans="1:94" hidden="1">
      <c r="A2361"/>
      <c r="G2361" s="207"/>
      <c r="CP2361"/>
    </row>
    <row r="2362" spans="1:94" hidden="1">
      <c r="A2362"/>
      <c r="G2362" s="207"/>
      <c r="CP2362"/>
    </row>
    <row r="2363" spans="1:94" hidden="1">
      <c r="A2363"/>
      <c r="G2363" s="207"/>
      <c r="CP2363"/>
    </row>
    <row r="2364" spans="1:94" hidden="1">
      <c r="A2364"/>
      <c r="G2364" s="207"/>
      <c r="CP2364"/>
    </row>
    <row r="2365" spans="1:94" hidden="1">
      <c r="A2365"/>
      <c r="G2365" s="207"/>
      <c r="CP2365"/>
    </row>
    <row r="2366" spans="1:94" hidden="1">
      <c r="A2366"/>
      <c r="G2366" s="207"/>
      <c r="CP2366"/>
    </row>
    <row r="2367" spans="1:94" hidden="1">
      <c r="A2367"/>
      <c r="G2367" s="207"/>
      <c r="CP2367"/>
    </row>
    <row r="2368" spans="1:94" hidden="1">
      <c r="A2368"/>
      <c r="G2368" s="207"/>
      <c r="CP2368"/>
    </row>
    <row r="2369" spans="1:94" hidden="1">
      <c r="A2369"/>
      <c r="G2369" s="207"/>
      <c r="CP2369"/>
    </row>
    <row r="2370" spans="1:94" hidden="1">
      <c r="A2370"/>
      <c r="G2370" s="207"/>
      <c r="CP2370"/>
    </row>
    <row r="2371" spans="1:94" hidden="1">
      <c r="A2371"/>
      <c r="G2371" s="207"/>
      <c r="CP2371"/>
    </row>
    <row r="2372" spans="1:94" hidden="1">
      <c r="A2372"/>
      <c r="G2372" s="207"/>
      <c r="CP2372"/>
    </row>
    <row r="2373" spans="1:94" hidden="1">
      <c r="A2373"/>
      <c r="G2373" s="207"/>
      <c r="CP2373"/>
    </row>
    <row r="2374" spans="1:94" hidden="1">
      <c r="A2374"/>
      <c r="G2374" s="207"/>
      <c r="CP2374"/>
    </row>
    <row r="2375" spans="1:94" hidden="1">
      <c r="A2375"/>
      <c r="G2375" s="207"/>
      <c r="CP2375"/>
    </row>
    <row r="2376" spans="1:94" hidden="1">
      <c r="A2376"/>
      <c r="G2376" s="207"/>
      <c r="CP2376"/>
    </row>
    <row r="2377" spans="1:94" hidden="1">
      <c r="A2377"/>
      <c r="G2377" s="207"/>
      <c r="CP2377"/>
    </row>
    <row r="2378" spans="1:94" hidden="1">
      <c r="A2378"/>
      <c r="G2378" s="207"/>
      <c r="CP2378"/>
    </row>
    <row r="2379" spans="1:94" hidden="1">
      <c r="A2379"/>
      <c r="G2379" s="207"/>
      <c r="CP2379"/>
    </row>
    <row r="2380" spans="1:94" hidden="1">
      <c r="A2380"/>
      <c r="G2380" s="207"/>
      <c r="CP2380"/>
    </row>
    <row r="2381" spans="1:94" hidden="1">
      <c r="A2381"/>
      <c r="G2381" s="207"/>
      <c r="CP2381"/>
    </row>
    <row r="2382" spans="1:94" hidden="1">
      <c r="A2382"/>
      <c r="G2382" s="207"/>
      <c r="CP2382"/>
    </row>
    <row r="2383" spans="1:94" hidden="1">
      <c r="A2383"/>
      <c r="G2383" s="207"/>
      <c r="CP2383"/>
    </row>
    <row r="2384" spans="1:94" hidden="1">
      <c r="A2384"/>
      <c r="G2384" s="207"/>
      <c r="CP2384"/>
    </row>
    <row r="2385" spans="1:94" hidden="1">
      <c r="A2385"/>
      <c r="G2385" s="207"/>
      <c r="CP2385"/>
    </row>
    <row r="2386" spans="1:94" hidden="1">
      <c r="A2386"/>
      <c r="G2386" s="207"/>
      <c r="CP2386"/>
    </row>
    <row r="2387" spans="1:94" hidden="1">
      <c r="A2387"/>
      <c r="G2387" s="207"/>
      <c r="CP2387"/>
    </row>
    <row r="2388" spans="1:94" hidden="1">
      <c r="A2388"/>
      <c r="G2388" s="207"/>
      <c r="CP2388"/>
    </row>
    <row r="2389" spans="1:94" hidden="1">
      <c r="A2389"/>
      <c r="G2389" s="207"/>
      <c r="CP2389"/>
    </row>
    <row r="2390" spans="1:94" hidden="1">
      <c r="A2390"/>
      <c r="G2390" s="207"/>
      <c r="CP2390"/>
    </row>
    <row r="2391" spans="1:94" hidden="1">
      <c r="A2391"/>
      <c r="G2391" s="207"/>
      <c r="CP2391"/>
    </row>
    <row r="2392" spans="1:94" hidden="1">
      <c r="A2392"/>
      <c r="G2392" s="207"/>
      <c r="CP2392"/>
    </row>
    <row r="2393" spans="1:94" hidden="1">
      <c r="A2393"/>
      <c r="G2393" s="207"/>
      <c r="CP2393"/>
    </row>
    <row r="2394" spans="1:94" hidden="1">
      <c r="A2394"/>
      <c r="G2394" s="207"/>
      <c r="CP2394"/>
    </row>
    <row r="2395" spans="1:94" hidden="1">
      <c r="A2395"/>
      <c r="G2395" s="207"/>
      <c r="CP2395"/>
    </row>
    <row r="2396" spans="1:94" hidden="1">
      <c r="A2396"/>
      <c r="G2396" s="207"/>
      <c r="CP2396"/>
    </row>
    <row r="2397" spans="1:94" hidden="1">
      <c r="A2397"/>
      <c r="G2397" s="207"/>
      <c r="CP2397"/>
    </row>
    <row r="2398" spans="1:94" hidden="1">
      <c r="A2398"/>
      <c r="G2398" s="207"/>
      <c r="CP2398"/>
    </row>
    <row r="2399" spans="1:94" hidden="1">
      <c r="A2399"/>
      <c r="G2399" s="207"/>
      <c r="CP2399"/>
    </row>
    <row r="2400" spans="1:94" hidden="1">
      <c r="A2400"/>
      <c r="G2400" s="207"/>
      <c r="CP2400"/>
    </row>
    <row r="2401" spans="1:94" hidden="1">
      <c r="A2401"/>
      <c r="G2401" s="207"/>
      <c r="CP2401"/>
    </row>
    <row r="2402" spans="1:94" hidden="1">
      <c r="A2402"/>
      <c r="G2402" s="207"/>
      <c r="CP2402"/>
    </row>
    <row r="2403" spans="1:94" hidden="1">
      <c r="A2403"/>
      <c r="G2403" s="207"/>
      <c r="CP2403"/>
    </row>
    <row r="2404" spans="1:94" hidden="1">
      <c r="A2404"/>
      <c r="G2404" s="207"/>
      <c r="CP2404"/>
    </row>
    <row r="2405" spans="1:94" hidden="1">
      <c r="A2405"/>
      <c r="G2405" s="207"/>
      <c r="CP2405"/>
    </row>
    <row r="2406" spans="1:94" hidden="1">
      <c r="A2406"/>
      <c r="G2406" s="207"/>
      <c r="CP2406"/>
    </row>
    <row r="2407" spans="1:94" hidden="1">
      <c r="A2407"/>
      <c r="G2407" s="207"/>
      <c r="CP2407"/>
    </row>
    <row r="2408" spans="1:94" hidden="1">
      <c r="A2408"/>
      <c r="G2408" s="207"/>
      <c r="CP2408"/>
    </row>
    <row r="2409" spans="1:94" hidden="1">
      <c r="A2409"/>
      <c r="G2409" s="207"/>
      <c r="CP2409"/>
    </row>
    <row r="2410" spans="1:94" hidden="1">
      <c r="A2410"/>
      <c r="G2410" s="207"/>
      <c r="CP2410"/>
    </row>
    <row r="2411" spans="1:94" hidden="1">
      <c r="A2411"/>
      <c r="G2411" s="207"/>
      <c r="CP2411"/>
    </row>
    <row r="2412" spans="1:94" hidden="1">
      <c r="A2412"/>
      <c r="G2412" s="207"/>
      <c r="CP2412"/>
    </row>
    <row r="2413" spans="1:94" hidden="1">
      <c r="A2413"/>
      <c r="G2413" s="207"/>
      <c r="CP2413"/>
    </row>
    <row r="2414" spans="1:94" hidden="1">
      <c r="A2414"/>
      <c r="G2414" s="207"/>
      <c r="CP2414"/>
    </row>
    <row r="2415" spans="1:94" hidden="1">
      <c r="A2415"/>
      <c r="G2415" s="207"/>
      <c r="CP2415"/>
    </row>
    <row r="2416" spans="1:94" hidden="1">
      <c r="A2416"/>
      <c r="G2416" s="207"/>
      <c r="CP2416"/>
    </row>
    <row r="2417" spans="1:94" hidden="1">
      <c r="A2417"/>
      <c r="G2417" s="207"/>
      <c r="CP2417"/>
    </row>
    <row r="2418" spans="1:94" hidden="1">
      <c r="A2418"/>
      <c r="G2418" s="207"/>
      <c r="CP2418"/>
    </row>
    <row r="2419" spans="1:94" hidden="1">
      <c r="A2419"/>
      <c r="G2419" s="207"/>
      <c r="CP2419"/>
    </row>
    <row r="2420" spans="1:94" hidden="1">
      <c r="A2420"/>
      <c r="G2420" s="207"/>
      <c r="CP2420"/>
    </row>
    <row r="2421" spans="1:94" hidden="1">
      <c r="A2421"/>
      <c r="G2421" s="207"/>
      <c r="CP2421"/>
    </row>
    <row r="2422" spans="1:94" hidden="1">
      <c r="A2422"/>
      <c r="G2422" s="207"/>
      <c r="CP2422"/>
    </row>
    <row r="2423" spans="1:94" hidden="1">
      <c r="A2423"/>
      <c r="G2423" s="207"/>
      <c r="CP2423"/>
    </row>
    <row r="2424" spans="1:94" hidden="1">
      <c r="A2424"/>
      <c r="G2424" s="207"/>
      <c r="CP2424"/>
    </row>
    <row r="2425" spans="1:94" hidden="1">
      <c r="A2425"/>
      <c r="G2425" s="207"/>
      <c r="CP2425"/>
    </row>
    <row r="2426" spans="1:94" hidden="1">
      <c r="A2426"/>
      <c r="G2426" s="207"/>
      <c r="CP2426"/>
    </row>
    <row r="2427" spans="1:94" hidden="1">
      <c r="A2427"/>
      <c r="G2427" s="207"/>
      <c r="CP2427"/>
    </row>
    <row r="2428" spans="1:94" hidden="1">
      <c r="A2428"/>
      <c r="G2428" s="207"/>
      <c r="CP2428"/>
    </row>
    <row r="2429" spans="1:94" hidden="1">
      <c r="A2429"/>
      <c r="G2429" s="207"/>
      <c r="CP2429"/>
    </row>
    <row r="2430" spans="1:94" hidden="1">
      <c r="A2430"/>
      <c r="G2430" s="207"/>
      <c r="CP2430"/>
    </row>
    <row r="2431" spans="1:94" hidden="1">
      <c r="A2431"/>
      <c r="G2431" s="207"/>
      <c r="CP2431"/>
    </row>
    <row r="2432" spans="1:94" hidden="1">
      <c r="A2432"/>
      <c r="G2432" s="207"/>
      <c r="CP2432"/>
    </row>
    <row r="2433" spans="1:94" hidden="1">
      <c r="A2433"/>
      <c r="G2433" s="207"/>
      <c r="CP2433"/>
    </row>
    <row r="2434" spans="1:94" hidden="1">
      <c r="A2434"/>
      <c r="G2434" s="207"/>
      <c r="CP2434"/>
    </row>
    <row r="2435" spans="1:94" hidden="1">
      <c r="A2435"/>
      <c r="G2435" s="207"/>
      <c r="CP2435"/>
    </row>
    <row r="2436" spans="1:94" hidden="1">
      <c r="A2436"/>
      <c r="G2436" s="207"/>
      <c r="CP2436"/>
    </row>
    <row r="2437" spans="1:94" hidden="1">
      <c r="A2437"/>
      <c r="G2437" s="207"/>
      <c r="CP2437"/>
    </row>
    <row r="2438" spans="1:94" hidden="1">
      <c r="A2438"/>
      <c r="G2438" s="207"/>
      <c r="CP2438"/>
    </row>
    <row r="2439" spans="1:94" hidden="1">
      <c r="A2439"/>
      <c r="G2439" s="207"/>
      <c r="CP2439"/>
    </row>
    <row r="2440" spans="1:94" hidden="1">
      <c r="A2440"/>
      <c r="G2440" s="207"/>
      <c r="CP2440"/>
    </row>
    <row r="2441" spans="1:94" hidden="1">
      <c r="A2441"/>
      <c r="G2441" s="207"/>
      <c r="CP2441"/>
    </row>
    <row r="2442" spans="1:94" hidden="1">
      <c r="A2442"/>
      <c r="G2442" s="207"/>
      <c r="CP2442"/>
    </row>
    <row r="2443" spans="1:94" hidden="1">
      <c r="A2443"/>
      <c r="G2443" s="207"/>
      <c r="CP2443"/>
    </row>
    <row r="2444" spans="1:94" hidden="1">
      <c r="A2444"/>
      <c r="G2444" s="207"/>
      <c r="CP2444"/>
    </row>
    <row r="2445" spans="1:94" hidden="1">
      <c r="A2445"/>
      <c r="G2445" s="207"/>
      <c r="CP2445"/>
    </row>
    <row r="2446" spans="1:94" hidden="1">
      <c r="A2446"/>
      <c r="G2446" s="207"/>
      <c r="CP2446"/>
    </row>
    <row r="2447" spans="1:94" hidden="1">
      <c r="A2447"/>
      <c r="G2447" s="207"/>
      <c r="CP2447"/>
    </row>
    <row r="2448" spans="1:94" hidden="1">
      <c r="A2448"/>
      <c r="G2448" s="207"/>
      <c r="CP2448"/>
    </row>
    <row r="2449" spans="1:94" hidden="1">
      <c r="A2449"/>
      <c r="G2449" s="207"/>
      <c r="CP2449"/>
    </row>
    <row r="2450" spans="1:94" hidden="1">
      <c r="A2450"/>
      <c r="G2450" s="207"/>
      <c r="CP2450"/>
    </row>
    <row r="2451" spans="1:94" hidden="1">
      <c r="A2451"/>
      <c r="G2451" s="207"/>
      <c r="CP2451"/>
    </row>
    <row r="2452" spans="1:94" hidden="1">
      <c r="A2452"/>
      <c r="G2452" s="207"/>
      <c r="CP2452"/>
    </row>
    <row r="2453" spans="1:94" hidden="1">
      <c r="A2453"/>
      <c r="G2453" s="207"/>
      <c r="CP2453"/>
    </row>
    <row r="2454" spans="1:94" hidden="1">
      <c r="A2454"/>
      <c r="G2454" s="207"/>
      <c r="CP2454"/>
    </row>
    <row r="2455" spans="1:94" hidden="1">
      <c r="A2455"/>
      <c r="G2455" s="207"/>
      <c r="CP2455"/>
    </row>
    <row r="2456" spans="1:94" hidden="1">
      <c r="A2456"/>
      <c r="G2456" s="207"/>
      <c r="CP2456"/>
    </row>
    <row r="2457" spans="1:94" hidden="1">
      <c r="A2457"/>
      <c r="G2457" s="207"/>
      <c r="CP2457"/>
    </row>
    <row r="2458" spans="1:94" hidden="1">
      <c r="A2458"/>
      <c r="G2458" s="207"/>
      <c r="CP2458"/>
    </row>
    <row r="2459" spans="1:94" hidden="1">
      <c r="A2459"/>
      <c r="G2459" s="207"/>
      <c r="CP2459"/>
    </row>
    <row r="2460" spans="1:94" hidden="1">
      <c r="A2460"/>
      <c r="G2460" s="207"/>
      <c r="CP2460"/>
    </row>
    <row r="2461" spans="1:94" hidden="1">
      <c r="A2461"/>
      <c r="G2461" s="207"/>
      <c r="CP2461"/>
    </row>
    <row r="2462" spans="1:94" hidden="1">
      <c r="A2462"/>
      <c r="G2462" s="207"/>
      <c r="CP2462"/>
    </row>
    <row r="2463" spans="1:94" hidden="1">
      <c r="A2463"/>
      <c r="G2463" s="207"/>
      <c r="CP2463"/>
    </row>
    <row r="2464" spans="1:94" hidden="1">
      <c r="A2464"/>
      <c r="G2464" s="207"/>
      <c r="CP2464"/>
    </row>
    <row r="2465" spans="1:94" hidden="1">
      <c r="A2465"/>
      <c r="G2465" s="207"/>
      <c r="CP2465"/>
    </row>
    <row r="2466" spans="1:94" hidden="1">
      <c r="A2466"/>
      <c r="G2466" s="207"/>
      <c r="CP2466"/>
    </row>
    <row r="2467" spans="1:94" hidden="1">
      <c r="A2467"/>
      <c r="G2467" s="207"/>
      <c r="CP2467"/>
    </row>
    <row r="2468" spans="1:94" hidden="1">
      <c r="A2468"/>
      <c r="G2468" s="207"/>
      <c r="CP2468"/>
    </row>
    <row r="2469" spans="1:94" hidden="1">
      <c r="A2469"/>
      <c r="G2469" s="207"/>
      <c r="CP2469"/>
    </row>
    <row r="2470" spans="1:94" hidden="1">
      <c r="A2470"/>
      <c r="G2470" s="207"/>
      <c r="CP2470"/>
    </row>
    <row r="2471" spans="1:94" hidden="1">
      <c r="A2471"/>
      <c r="G2471" s="207"/>
      <c r="CP2471"/>
    </row>
    <row r="2472" spans="1:94" hidden="1">
      <c r="A2472"/>
      <c r="G2472" s="207"/>
      <c r="CP2472"/>
    </row>
    <row r="2473" spans="1:94" hidden="1">
      <c r="A2473"/>
      <c r="G2473" s="207"/>
      <c r="CP2473"/>
    </row>
    <row r="2474" spans="1:94" hidden="1">
      <c r="A2474"/>
      <c r="G2474" s="207"/>
      <c r="CP2474"/>
    </row>
    <row r="2475" spans="1:94" hidden="1">
      <c r="A2475"/>
      <c r="G2475" s="207"/>
      <c r="CP2475"/>
    </row>
    <row r="2476" spans="1:94" hidden="1">
      <c r="A2476"/>
      <c r="G2476" s="207"/>
      <c r="CP2476"/>
    </row>
    <row r="2477" spans="1:94" hidden="1">
      <c r="A2477"/>
      <c r="G2477" s="207"/>
      <c r="CP2477"/>
    </row>
    <row r="2478" spans="1:94" hidden="1">
      <c r="A2478"/>
      <c r="G2478" s="207"/>
      <c r="CP2478"/>
    </row>
    <row r="2479" spans="1:94" hidden="1">
      <c r="A2479"/>
      <c r="G2479" s="207"/>
      <c r="CP2479"/>
    </row>
    <row r="2480" spans="1:94" hidden="1">
      <c r="A2480"/>
      <c r="G2480" s="207"/>
      <c r="CP2480"/>
    </row>
    <row r="2481" spans="1:94" hidden="1">
      <c r="A2481"/>
      <c r="G2481" s="207"/>
      <c r="CP2481"/>
    </row>
    <row r="2482" spans="1:94" hidden="1">
      <c r="A2482"/>
      <c r="G2482" s="207"/>
      <c r="CP2482"/>
    </row>
    <row r="2483" spans="1:94" hidden="1">
      <c r="A2483"/>
      <c r="G2483" s="207"/>
      <c r="CP2483"/>
    </row>
    <row r="2484" spans="1:94" hidden="1">
      <c r="A2484"/>
      <c r="G2484" s="207"/>
      <c r="CP2484"/>
    </row>
    <row r="2485" spans="1:94" hidden="1">
      <c r="A2485"/>
      <c r="G2485" s="207"/>
      <c r="CP2485"/>
    </row>
    <row r="2486" spans="1:94" hidden="1">
      <c r="A2486"/>
      <c r="G2486" s="207"/>
      <c r="CP2486"/>
    </row>
    <row r="2487" spans="1:94" hidden="1">
      <c r="A2487"/>
      <c r="G2487" s="207"/>
      <c r="CP2487"/>
    </row>
    <row r="2488" spans="1:94" hidden="1">
      <c r="A2488"/>
      <c r="G2488" s="207"/>
      <c r="CP2488"/>
    </row>
    <row r="2489" spans="1:94" hidden="1">
      <c r="A2489"/>
      <c r="G2489" s="207"/>
      <c r="CP2489"/>
    </row>
    <row r="2490" spans="1:94" hidden="1">
      <c r="A2490"/>
      <c r="G2490" s="207"/>
      <c r="CP2490"/>
    </row>
    <row r="2491" spans="1:94" hidden="1">
      <c r="A2491"/>
      <c r="G2491" s="207"/>
      <c r="CP2491"/>
    </row>
    <row r="2492" spans="1:94" hidden="1">
      <c r="A2492"/>
      <c r="G2492" s="207"/>
      <c r="CP2492"/>
    </row>
    <row r="2493" spans="1:94" hidden="1">
      <c r="A2493"/>
      <c r="G2493" s="207"/>
      <c r="CP2493"/>
    </row>
    <row r="2494" spans="1:94" hidden="1">
      <c r="A2494"/>
      <c r="G2494" s="207"/>
      <c r="CP2494"/>
    </row>
    <row r="2495" spans="1:94" hidden="1">
      <c r="A2495"/>
      <c r="G2495" s="207"/>
      <c r="CP2495"/>
    </row>
    <row r="2496" spans="1:94" hidden="1">
      <c r="A2496"/>
      <c r="G2496" s="207"/>
      <c r="CP2496"/>
    </row>
    <row r="2497" spans="1:94" hidden="1">
      <c r="A2497"/>
      <c r="G2497" s="207"/>
      <c r="CP2497"/>
    </row>
    <row r="2498" spans="1:94" hidden="1">
      <c r="A2498"/>
      <c r="G2498" s="207"/>
      <c r="CP2498"/>
    </row>
    <row r="2499" spans="1:94" hidden="1">
      <c r="A2499"/>
      <c r="G2499" s="207"/>
      <c r="CP2499"/>
    </row>
    <row r="2500" spans="1:94" hidden="1">
      <c r="A2500"/>
      <c r="G2500" s="207"/>
      <c r="CP2500"/>
    </row>
    <row r="2501" spans="1:94" hidden="1">
      <c r="A2501"/>
      <c r="G2501" s="207"/>
      <c r="CP2501"/>
    </row>
    <row r="2502" spans="1:94" hidden="1">
      <c r="A2502"/>
      <c r="G2502" s="207"/>
      <c r="CP2502"/>
    </row>
    <row r="2503" spans="1:94" hidden="1">
      <c r="A2503"/>
      <c r="G2503" s="207"/>
      <c r="CP2503"/>
    </row>
    <row r="2504" spans="1:94" hidden="1">
      <c r="A2504"/>
      <c r="G2504" s="207"/>
      <c r="CP2504"/>
    </row>
    <row r="2505" spans="1:94" hidden="1">
      <c r="A2505"/>
      <c r="G2505" s="207"/>
      <c r="CP2505"/>
    </row>
    <row r="2506" spans="1:94" hidden="1">
      <c r="A2506"/>
      <c r="G2506" s="207"/>
      <c r="CP2506"/>
    </row>
    <row r="2507" spans="1:94" hidden="1">
      <c r="A2507"/>
      <c r="G2507" s="207"/>
      <c r="CP2507"/>
    </row>
    <row r="2508" spans="1:94" hidden="1">
      <c r="A2508"/>
      <c r="G2508" s="207"/>
      <c r="CP2508"/>
    </row>
    <row r="2509" spans="1:94" hidden="1">
      <c r="A2509"/>
      <c r="G2509" s="207"/>
      <c r="CP2509"/>
    </row>
    <row r="2510" spans="1:94" hidden="1">
      <c r="A2510"/>
      <c r="G2510" s="207"/>
      <c r="CP2510"/>
    </row>
    <row r="2511" spans="1:94" hidden="1">
      <c r="A2511"/>
      <c r="G2511" s="207"/>
      <c r="CP2511"/>
    </row>
    <row r="2512" spans="1:94" hidden="1">
      <c r="A2512"/>
      <c r="G2512" s="207"/>
      <c r="CP2512"/>
    </row>
    <row r="2513" spans="1:94" hidden="1">
      <c r="A2513"/>
      <c r="G2513" s="207"/>
      <c r="CP2513"/>
    </row>
    <row r="2514" spans="1:94" hidden="1">
      <c r="A2514"/>
      <c r="G2514" s="207"/>
      <c r="CP2514"/>
    </row>
    <row r="2515" spans="1:94" hidden="1">
      <c r="A2515"/>
      <c r="G2515" s="207"/>
      <c r="CP2515"/>
    </row>
    <row r="2516" spans="1:94" hidden="1">
      <c r="A2516"/>
      <c r="G2516" s="207"/>
      <c r="CP2516"/>
    </row>
    <row r="2517" spans="1:94" hidden="1">
      <c r="A2517"/>
      <c r="G2517" s="207"/>
      <c r="CP2517"/>
    </row>
    <row r="2518" spans="1:94" hidden="1">
      <c r="A2518"/>
      <c r="G2518" s="207"/>
      <c r="CP2518"/>
    </row>
    <row r="2519" spans="1:94" hidden="1">
      <c r="A2519"/>
      <c r="G2519" s="207"/>
      <c r="CP2519"/>
    </row>
    <row r="2520" spans="1:94" hidden="1">
      <c r="A2520"/>
      <c r="G2520" s="207"/>
      <c r="CP2520"/>
    </row>
    <row r="2521" spans="1:94" hidden="1">
      <c r="A2521"/>
      <c r="G2521" s="207"/>
      <c r="CP2521"/>
    </row>
    <row r="2522" spans="1:94" hidden="1">
      <c r="A2522"/>
      <c r="G2522" s="207"/>
      <c r="CP2522"/>
    </row>
    <row r="2523" spans="1:94" hidden="1">
      <c r="A2523"/>
      <c r="G2523" s="207"/>
      <c r="CP2523"/>
    </row>
    <row r="2524" spans="1:94" hidden="1">
      <c r="A2524"/>
      <c r="G2524" s="207"/>
      <c r="CP2524"/>
    </row>
    <row r="2525" spans="1:94" hidden="1">
      <c r="A2525"/>
      <c r="G2525" s="207"/>
      <c r="CP2525"/>
    </row>
    <row r="2526" spans="1:94" hidden="1">
      <c r="A2526"/>
      <c r="G2526" s="207"/>
      <c r="CP2526"/>
    </row>
    <row r="2527" spans="1:94" hidden="1">
      <c r="A2527"/>
      <c r="G2527" s="207"/>
      <c r="CP2527"/>
    </row>
    <row r="2528" spans="1:94" hidden="1">
      <c r="A2528"/>
      <c r="G2528" s="207"/>
      <c r="CP2528"/>
    </row>
    <row r="2529" spans="1:94" hidden="1">
      <c r="A2529"/>
      <c r="G2529" s="207"/>
      <c r="CP2529"/>
    </row>
    <row r="2530" spans="1:94" hidden="1">
      <c r="A2530"/>
      <c r="G2530" s="207"/>
      <c r="CP2530"/>
    </row>
    <row r="2531" spans="1:94" hidden="1">
      <c r="A2531"/>
      <c r="G2531" s="207"/>
      <c r="CP2531"/>
    </row>
    <row r="2532" spans="1:94" hidden="1">
      <c r="A2532"/>
      <c r="G2532" s="207"/>
      <c r="CP2532"/>
    </row>
    <row r="2533" spans="1:94" hidden="1">
      <c r="A2533"/>
      <c r="G2533" s="207"/>
      <c r="CP2533"/>
    </row>
    <row r="2534" spans="1:94" hidden="1">
      <c r="A2534"/>
      <c r="G2534" s="207"/>
      <c r="CP2534"/>
    </row>
    <row r="2535" spans="1:94" hidden="1">
      <c r="A2535"/>
      <c r="G2535" s="207"/>
      <c r="CP2535"/>
    </row>
    <row r="2536" spans="1:94" hidden="1">
      <c r="A2536"/>
      <c r="G2536" s="207"/>
      <c r="CP2536"/>
    </row>
    <row r="2537" spans="1:94" hidden="1">
      <c r="A2537"/>
      <c r="G2537" s="207"/>
      <c r="CP2537"/>
    </row>
    <row r="2538" spans="1:94" hidden="1">
      <c r="A2538"/>
      <c r="G2538" s="207"/>
      <c r="CP2538"/>
    </row>
    <row r="2539" spans="1:94" hidden="1">
      <c r="A2539"/>
      <c r="G2539" s="207"/>
      <c r="CP2539"/>
    </row>
    <row r="2540" spans="1:94" hidden="1">
      <c r="A2540"/>
      <c r="G2540" s="207"/>
      <c r="CP2540"/>
    </row>
    <row r="2541" spans="1:94" hidden="1">
      <c r="A2541"/>
      <c r="G2541" s="207"/>
      <c r="CP2541"/>
    </row>
    <row r="2542" spans="1:94" hidden="1">
      <c r="A2542"/>
      <c r="G2542" s="207"/>
      <c r="CP2542"/>
    </row>
    <row r="2543" spans="1:94" hidden="1">
      <c r="A2543"/>
      <c r="G2543" s="207"/>
      <c r="CP2543"/>
    </row>
    <row r="2544" spans="1:94" hidden="1">
      <c r="A2544"/>
      <c r="G2544" s="207"/>
      <c r="CP2544"/>
    </row>
    <row r="2545" spans="1:94" hidden="1">
      <c r="A2545"/>
      <c r="G2545" s="207"/>
      <c r="CP2545"/>
    </row>
    <row r="2546" spans="1:94" hidden="1">
      <c r="A2546"/>
      <c r="G2546" s="207"/>
      <c r="CP2546"/>
    </row>
    <row r="2547" spans="1:94" hidden="1">
      <c r="A2547"/>
      <c r="G2547" s="207"/>
      <c r="CP2547"/>
    </row>
    <row r="2548" spans="1:94" hidden="1">
      <c r="A2548"/>
      <c r="G2548" s="207"/>
      <c r="CP2548"/>
    </row>
    <row r="2549" spans="1:94" hidden="1">
      <c r="A2549"/>
      <c r="G2549" s="207"/>
      <c r="CP2549"/>
    </row>
    <row r="2550" spans="1:94" hidden="1">
      <c r="A2550"/>
      <c r="G2550" s="207"/>
      <c r="CP2550"/>
    </row>
    <row r="2551" spans="1:94" hidden="1">
      <c r="A2551"/>
      <c r="G2551" s="207"/>
      <c r="CP2551"/>
    </row>
    <row r="2552" spans="1:94" hidden="1">
      <c r="A2552"/>
      <c r="G2552" s="207"/>
      <c r="CP2552"/>
    </row>
    <row r="2553" spans="1:94" hidden="1">
      <c r="A2553"/>
      <c r="G2553" s="207"/>
      <c r="CP2553"/>
    </row>
    <row r="2554" spans="1:94" hidden="1">
      <c r="A2554"/>
      <c r="G2554" s="207"/>
      <c r="CP2554"/>
    </row>
    <row r="2555" spans="1:94" hidden="1">
      <c r="A2555"/>
      <c r="G2555" s="207"/>
      <c r="CP2555"/>
    </row>
    <row r="2556" spans="1:94" hidden="1">
      <c r="A2556"/>
      <c r="G2556" s="207"/>
      <c r="CP2556"/>
    </row>
    <row r="2557" spans="1:94" hidden="1">
      <c r="A2557"/>
      <c r="G2557" s="207"/>
      <c r="CP2557"/>
    </row>
    <row r="2558" spans="1:94" hidden="1">
      <c r="A2558"/>
      <c r="G2558" s="207"/>
      <c r="CP2558"/>
    </row>
    <row r="2559" spans="1:94" hidden="1">
      <c r="A2559"/>
      <c r="G2559" s="207"/>
      <c r="CP2559"/>
    </row>
    <row r="2560" spans="1:94" hidden="1">
      <c r="A2560"/>
      <c r="G2560" s="207"/>
      <c r="CP2560"/>
    </row>
    <row r="2561" spans="1:94" hidden="1">
      <c r="A2561"/>
      <c r="G2561" s="207"/>
      <c r="CP2561"/>
    </row>
    <row r="2562" spans="1:94" hidden="1">
      <c r="A2562"/>
      <c r="G2562" s="207"/>
      <c r="CP2562"/>
    </row>
    <row r="2563" spans="1:94" hidden="1">
      <c r="A2563"/>
      <c r="G2563" s="207"/>
      <c r="CP2563"/>
    </row>
    <row r="2564" spans="1:94" hidden="1">
      <c r="A2564"/>
      <c r="G2564" s="207"/>
      <c r="CP2564"/>
    </row>
    <row r="2565" spans="1:94" hidden="1">
      <c r="A2565"/>
      <c r="G2565" s="207"/>
      <c r="CP2565"/>
    </row>
    <row r="2566" spans="1:94" hidden="1">
      <c r="A2566"/>
      <c r="G2566" s="207"/>
      <c r="CP2566"/>
    </row>
    <row r="2567" spans="1:94" hidden="1">
      <c r="A2567"/>
      <c r="G2567" s="207"/>
      <c r="CP2567"/>
    </row>
    <row r="2568" spans="1:94" hidden="1">
      <c r="A2568"/>
      <c r="G2568" s="207"/>
      <c r="CP2568"/>
    </row>
    <row r="2569" spans="1:94" hidden="1">
      <c r="A2569"/>
      <c r="G2569" s="207"/>
      <c r="CP2569"/>
    </row>
    <row r="2570" spans="1:94" hidden="1">
      <c r="A2570"/>
      <c r="G2570" s="207"/>
      <c r="CP2570"/>
    </row>
    <row r="2571" spans="1:94" hidden="1">
      <c r="A2571"/>
      <c r="G2571" s="207"/>
      <c r="CP2571"/>
    </row>
    <row r="2572" spans="1:94" hidden="1">
      <c r="A2572"/>
      <c r="G2572" s="207"/>
      <c r="CP2572"/>
    </row>
    <row r="2573" spans="1:94" hidden="1">
      <c r="A2573"/>
      <c r="G2573" s="207"/>
      <c r="CP2573"/>
    </row>
    <row r="2574" spans="1:94" hidden="1">
      <c r="A2574"/>
      <c r="G2574" s="207"/>
      <c r="CP2574"/>
    </row>
    <row r="2575" spans="1:94" hidden="1">
      <c r="A2575"/>
      <c r="G2575" s="207"/>
      <c r="CP2575"/>
    </row>
    <row r="2576" spans="1:94" hidden="1">
      <c r="A2576"/>
      <c r="G2576" s="207"/>
      <c r="CP2576"/>
    </row>
    <row r="2577" spans="1:94" hidden="1">
      <c r="A2577"/>
      <c r="G2577" s="207"/>
      <c r="CP2577"/>
    </row>
    <row r="2578" spans="1:94" hidden="1">
      <c r="A2578"/>
      <c r="G2578" s="207"/>
      <c r="CP2578"/>
    </row>
    <row r="2579" spans="1:94" hidden="1">
      <c r="A2579"/>
      <c r="G2579" s="207"/>
      <c r="CP2579"/>
    </row>
    <row r="2580" spans="1:94" hidden="1">
      <c r="A2580"/>
      <c r="G2580" s="207"/>
      <c r="CP2580"/>
    </row>
    <row r="2581" spans="1:94" hidden="1">
      <c r="A2581"/>
      <c r="G2581" s="207"/>
      <c r="CP2581"/>
    </row>
    <row r="2582" spans="1:94" hidden="1">
      <c r="A2582"/>
      <c r="G2582" s="207"/>
      <c r="CP2582"/>
    </row>
    <row r="2583" spans="1:94" hidden="1">
      <c r="A2583"/>
      <c r="G2583" s="207"/>
      <c r="CP2583"/>
    </row>
    <row r="2584" spans="1:94" hidden="1">
      <c r="A2584"/>
      <c r="G2584" s="207"/>
      <c r="CP2584"/>
    </row>
    <row r="2585" spans="1:94" hidden="1">
      <c r="A2585"/>
      <c r="G2585" s="207"/>
      <c r="CP2585"/>
    </row>
    <row r="2586" spans="1:94" hidden="1">
      <c r="A2586"/>
      <c r="G2586" s="207"/>
      <c r="CP2586"/>
    </row>
    <row r="2587" spans="1:94" hidden="1">
      <c r="A2587"/>
      <c r="G2587" s="207"/>
      <c r="CP2587"/>
    </row>
    <row r="2588" spans="1:94" hidden="1">
      <c r="A2588"/>
      <c r="G2588" s="207"/>
      <c r="CP2588"/>
    </row>
    <row r="2589" spans="1:94" hidden="1">
      <c r="A2589"/>
      <c r="G2589" s="207"/>
      <c r="CP2589"/>
    </row>
    <row r="2590" spans="1:94" hidden="1">
      <c r="A2590"/>
      <c r="G2590" s="207"/>
      <c r="CP2590"/>
    </row>
    <row r="2591" spans="1:94" hidden="1">
      <c r="A2591"/>
      <c r="G2591" s="207"/>
      <c r="CP2591"/>
    </row>
    <row r="2592" spans="1:94" hidden="1">
      <c r="A2592"/>
      <c r="G2592" s="207"/>
      <c r="CP2592"/>
    </row>
    <row r="2593" spans="1:94" hidden="1">
      <c r="A2593"/>
      <c r="G2593" s="207"/>
      <c r="CP2593"/>
    </row>
    <row r="2594" spans="1:94" hidden="1">
      <c r="A2594"/>
      <c r="G2594" s="207"/>
      <c r="CP2594"/>
    </row>
    <row r="2595" spans="1:94" hidden="1">
      <c r="A2595"/>
      <c r="G2595" s="207"/>
      <c r="CP2595"/>
    </row>
    <row r="2596" spans="1:94" hidden="1">
      <c r="A2596"/>
      <c r="G2596" s="207"/>
      <c r="CP2596"/>
    </row>
    <row r="2597" spans="1:94" hidden="1">
      <c r="A2597"/>
      <c r="G2597" s="207"/>
      <c r="CP2597"/>
    </row>
    <row r="2598" spans="1:94" hidden="1">
      <c r="A2598"/>
      <c r="G2598" s="207"/>
      <c r="CP2598"/>
    </row>
    <row r="2599" spans="1:94" hidden="1">
      <c r="A2599"/>
      <c r="G2599" s="207"/>
      <c r="CP2599"/>
    </row>
    <row r="2600" spans="1:94" hidden="1">
      <c r="A2600"/>
      <c r="G2600" s="207"/>
      <c r="CP2600"/>
    </row>
    <row r="2601" spans="1:94" hidden="1">
      <c r="A2601"/>
      <c r="G2601" s="207"/>
      <c r="CP2601"/>
    </row>
    <row r="2602" spans="1:94" hidden="1">
      <c r="A2602"/>
      <c r="G2602" s="207"/>
      <c r="CP2602"/>
    </row>
    <row r="2603" spans="1:94" hidden="1">
      <c r="A2603"/>
      <c r="G2603" s="207"/>
      <c r="CP2603"/>
    </row>
    <row r="2604" spans="1:94" hidden="1">
      <c r="A2604"/>
      <c r="G2604" s="207"/>
      <c r="CP2604"/>
    </row>
    <row r="2605" spans="1:94" hidden="1">
      <c r="A2605"/>
      <c r="G2605" s="207"/>
      <c r="CP2605"/>
    </row>
    <row r="2606" spans="1:94" hidden="1">
      <c r="A2606"/>
      <c r="G2606" s="207"/>
      <c r="CP2606"/>
    </row>
    <row r="2607" spans="1:94" hidden="1">
      <c r="A2607"/>
      <c r="G2607" s="207"/>
      <c r="CP2607"/>
    </row>
    <row r="2608" spans="1:94" hidden="1">
      <c r="A2608"/>
      <c r="G2608" s="207"/>
      <c r="CP2608"/>
    </row>
    <row r="2609" spans="1:94" hidden="1">
      <c r="A2609"/>
      <c r="G2609" s="207"/>
      <c r="CP2609"/>
    </row>
    <row r="2610" spans="1:94" hidden="1">
      <c r="A2610"/>
      <c r="G2610" s="207"/>
      <c r="CP2610"/>
    </row>
    <row r="2611" spans="1:94" hidden="1">
      <c r="A2611"/>
      <c r="G2611" s="207"/>
      <c r="CP2611"/>
    </row>
    <row r="2612" spans="1:94" hidden="1">
      <c r="A2612"/>
      <c r="G2612" s="207"/>
      <c r="CP2612"/>
    </row>
    <row r="2613" spans="1:94" hidden="1">
      <c r="A2613"/>
      <c r="G2613" s="207"/>
      <c r="CP2613"/>
    </row>
    <row r="2614" spans="1:94" hidden="1">
      <c r="A2614"/>
      <c r="G2614" s="207"/>
      <c r="CP2614"/>
    </row>
    <row r="2615" spans="1:94" hidden="1">
      <c r="A2615"/>
      <c r="G2615" s="207"/>
      <c r="CP2615"/>
    </row>
    <row r="2616" spans="1:94" hidden="1">
      <c r="A2616"/>
      <c r="G2616" s="207"/>
      <c r="CP2616"/>
    </row>
    <row r="2617" spans="1:94" hidden="1">
      <c r="A2617"/>
      <c r="G2617" s="207"/>
      <c r="CP2617"/>
    </row>
    <row r="2618" spans="1:94" hidden="1">
      <c r="A2618"/>
      <c r="G2618" s="207"/>
      <c r="CP2618"/>
    </row>
    <row r="2619" spans="1:94" hidden="1">
      <c r="A2619"/>
      <c r="G2619" s="207"/>
      <c r="CP2619"/>
    </row>
    <row r="2620" spans="1:94" hidden="1">
      <c r="A2620"/>
      <c r="G2620" s="207"/>
      <c r="CP2620"/>
    </row>
    <row r="2621" spans="1:94" hidden="1">
      <c r="A2621"/>
      <c r="G2621" s="207"/>
      <c r="CP2621"/>
    </row>
    <row r="2622" spans="1:94" hidden="1">
      <c r="A2622"/>
      <c r="G2622" s="207"/>
      <c r="CP2622"/>
    </row>
    <row r="2623" spans="1:94" hidden="1">
      <c r="A2623"/>
      <c r="G2623" s="207"/>
      <c r="CP2623"/>
    </row>
    <row r="2624" spans="1:94" hidden="1">
      <c r="A2624"/>
      <c r="G2624" s="207"/>
      <c r="CP2624"/>
    </row>
    <row r="2625" spans="1:94" hidden="1">
      <c r="A2625"/>
      <c r="G2625" s="207"/>
      <c r="CP2625"/>
    </row>
    <row r="2626" spans="1:94" hidden="1">
      <c r="A2626"/>
      <c r="G2626" s="207"/>
      <c r="CP2626"/>
    </row>
    <row r="2627" spans="1:94" hidden="1">
      <c r="A2627"/>
      <c r="G2627" s="207"/>
      <c r="CP2627"/>
    </row>
    <row r="2628" spans="1:94" hidden="1">
      <c r="A2628"/>
      <c r="G2628" s="207"/>
      <c r="CP2628"/>
    </row>
    <row r="2629" spans="1:94" hidden="1">
      <c r="A2629"/>
      <c r="G2629" s="207"/>
      <c r="CP2629"/>
    </row>
    <row r="2630" spans="1:94" hidden="1">
      <c r="A2630"/>
      <c r="G2630" s="207"/>
      <c r="CP2630"/>
    </row>
    <row r="2631" spans="1:94" hidden="1">
      <c r="A2631"/>
      <c r="G2631" s="207"/>
      <c r="CP2631"/>
    </row>
    <row r="2632" spans="1:94" hidden="1">
      <c r="A2632"/>
      <c r="G2632" s="207"/>
      <c r="CP2632"/>
    </row>
    <row r="2633" spans="1:94" hidden="1">
      <c r="A2633"/>
      <c r="G2633" s="207"/>
      <c r="CP2633"/>
    </row>
    <row r="2634" spans="1:94" hidden="1">
      <c r="A2634"/>
      <c r="G2634" s="207"/>
      <c r="CP2634"/>
    </row>
    <row r="2635" spans="1:94" hidden="1">
      <c r="A2635"/>
      <c r="G2635" s="207"/>
      <c r="CP2635"/>
    </row>
    <row r="2636" spans="1:94" hidden="1">
      <c r="A2636"/>
      <c r="G2636" s="207"/>
      <c r="CP2636"/>
    </row>
    <row r="2637" spans="1:94" hidden="1">
      <c r="A2637"/>
      <c r="G2637" s="207"/>
      <c r="CP2637"/>
    </row>
    <row r="2638" spans="1:94" hidden="1">
      <c r="A2638"/>
      <c r="G2638" s="207"/>
      <c r="CP2638"/>
    </row>
    <row r="2639" spans="1:94" hidden="1">
      <c r="A2639"/>
      <c r="G2639" s="207"/>
      <c r="CP2639"/>
    </row>
    <row r="2640" spans="1:94" hidden="1">
      <c r="A2640"/>
      <c r="G2640" s="207"/>
      <c r="CP2640"/>
    </row>
    <row r="2641" spans="1:94" hidden="1">
      <c r="A2641"/>
      <c r="G2641" s="207"/>
      <c r="CP2641"/>
    </row>
    <row r="2642" spans="1:94" hidden="1">
      <c r="A2642"/>
      <c r="G2642" s="207"/>
      <c r="CP2642"/>
    </row>
    <row r="2643" spans="1:94" hidden="1">
      <c r="A2643"/>
      <c r="G2643" s="207"/>
      <c r="CP2643"/>
    </row>
    <row r="2644" spans="1:94" hidden="1">
      <c r="A2644"/>
      <c r="G2644" s="207"/>
      <c r="CP2644"/>
    </row>
    <row r="2645" spans="1:94" hidden="1">
      <c r="A2645"/>
      <c r="G2645" s="207"/>
      <c r="CP2645"/>
    </row>
    <row r="2646" spans="1:94" hidden="1">
      <c r="A2646"/>
      <c r="G2646" s="207"/>
      <c r="CP2646"/>
    </row>
    <row r="2647" spans="1:94" hidden="1">
      <c r="A2647"/>
      <c r="G2647" s="207"/>
      <c r="CP2647"/>
    </row>
    <row r="2648" spans="1:94" hidden="1">
      <c r="A2648"/>
      <c r="G2648" s="207"/>
      <c r="CP2648"/>
    </row>
    <row r="2649" spans="1:94" hidden="1">
      <c r="A2649"/>
      <c r="G2649" s="207"/>
      <c r="CP2649"/>
    </row>
    <row r="2650" spans="1:94" hidden="1">
      <c r="A2650"/>
      <c r="G2650" s="207"/>
      <c r="CP2650"/>
    </row>
    <row r="2651" spans="1:94" hidden="1">
      <c r="A2651"/>
      <c r="G2651" s="207"/>
      <c r="CP2651"/>
    </row>
    <row r="2652" spans="1:94" hidden="1">
      <c r="A2652"/>
      <c r="G2652" s="207"/>
      <c r="CP2652"/>
    </row>
    <row r="2653" spans="1:94" hidden="1">
      <c r="A2653"/>
      <c r="G2653" s="207"/>
      <c r="CP2653"/>
    </row>
    <row r="2654" spans="1:94" hidden="1">
      <c r="A2654"/>
      <c r="G2654" s="207"/>
      <c r="CP2654"/>
    </row>
    <row r="2655" spans="1:94" hidden="1">
      <c r="A2655"/>
      <c r="G2655" s="207"/>
      <c r="CP2655"/>
    </row>
    <row r="2656" spans="1:94" hidden="1">
      <c r="A2656"/>
      <c r="G2656" s="207"/>
      <c r="CP2656"/>
    </row>
    <row r="2657" spans="1:94" hidden="1">
      <c r="A2657"/>
      <c r="G2657" s="207"/>
      <c r="CP2657"/>
    </row>
    <row r="2658" spans="1:94" hidden="1">
      <c r="A2658"/>
      <c r="G2658" s="207"/>
      <c r="CP2658"/>
    </row>
    <row r="2659" spans="1:94" hidden="1">
      <c r="A2659"/>
      <c r="G2659" s="207"/>
      <c r="CP2659"/>
    </row>
    <row r="2660" spans="1:94" hidden="1">
      <c r="A2660"/>
      <c r="G2660" s="207"/>
      <c r="CP2660"/>
    </row>
    <row r="2661" spans="1:94" hidden="1">
      <c r="A2661"/>
      <c r="G2661" s="207"/>
      <c r="CP2661"/>
    </row>
    <row r="2662" spans="1:94" hidden="1">
      <c r="A2662"/>
      <c r="G2662" s="207"/>
      <c r="CP2662"/>
    </row>
    <row r="2663" spans="1:94" hidden="1">
      <c r="A2663"/>
      <c r="G2663" s="207"/>
      <c r="CP2663"/>
    </row>
    <row r="2664" spans="1:94" hidden="1">
      <c r="A2664"/>
      <c r="G2664" s="207"/>
      <c r="CP2664"/>
    </row>
    <row r="2665" spans="1:94" hidden="1">
      <c r="A2665"/>
      <c r="G2665" s="207"/>
      <c r="CP2665"/>
    </row>
    <row r="2666" spans="1:94" hidden="1">
      <c r="A2666"/>
      <c r="G2666" s="207"/>
      <c r="CP2666"/>
    </row>
    <row r="2667" spans="1:94" hidden="1">
      <c r="A2667"/>
      <c r="G2667" s="207"/>
      <c r="CP2667"/>
    </row>
    <row r="2668" spans="1:94" hidden="1">
      <c r="A2668"/>
      <c r="G2668" s="207"/>
      <c r="CP2668"/>
    </row>
    <row r="2669" spans="1:94" hidden="1">
      <c r="A2669"/>
      <c r="G2669" s="207"/>
      <c r="CP2669"/>
    </row>
    <row r="2670" spans="1:94" hidden="1">
      <c r="A2670"/>
      <c r="G2670" s="207"/>
      <c r="CP2670"/>
    </row>
    <row r="2671" spans="1:94" hidden="1">
      <c r="A2671"/>
      <c r="G2671" s="207"/>
      <c r="CP2671"/>
    </row>
    <row r="2672" spans="1:94" hidden="1">
      <c r="A2672"/>
      <c r="G2672" s="207"/>
      <c r="CP2672"/>
    </row>
    <row r="2673" spans="1:94" hidden="1">
      <c r="A2673"/>
      <c r="G2673" s="207"/>
      <c r="CP2673"/>
    </row>
    <row r="2674" spans="1:94" hidden="1">
      <c r="A2674"/>
      <c r="G2674" s="207"/>
      <c r="CP2674"/>
    </row>
    <row r="2675" spans="1:94" hidden="1">
      <c r="A2675"/>
      <c r="G2675" s="207"/>
      <c r="CP2675"/>
    </row>
    <row r="2676" spans="1:94" hidden="1">
      <c r="A2676"/>
      <c r="G2676" s="207"/>
      <c r="CP2676"/>
    </row>
    <row r="2677" spans="1:94" hidden="1">
      <c r="A2677"/>
      <c r="G2677" s="207"/>
      <c r="CP2677"/>
    </row>
    <row r="2678" spans="1:94" hidden="1">
      <c r="A2678"/>
      <c r="G2678" s="207"/>
      <c r="CP2678"/>
    </row>
    <row r="2679" spans="1:94" hidden="1">
      <c r="A2679"/>
      <c r="G2679" s="207"/>
      <c r="CP2679"/>
    </row>
    <row r="2680" spans="1:94" hidden="1">
      <c r="A2680"/>
      <c r="G2680" s="207"/>
      <c r="CP2680"/>
    </row>
    <row r="2681" spans="1:94" hidden="1">
      <c r="A2681"/>
      <c r="G2681" s="207"/>
      <c r="CP2681"/>
    </row>
    <row r="2682" spans="1:94" hidden="1">
      <c r="A2682"/>
      <c r="G2682" s="207"/>
      <c r="CP2682"/>
    </row>
    <row r="2683" spans="1:94" hidden="1">
      <c r="A2683"/>
      <c r="G2683" s="207"/>
      <c r="CP2683"/>
    </row>
    <row r="2684" spans="1:94" hidden="1">
      <c r="A2684"/>
      <c r="G2684" s="207"/>
      <c r="CP2684"/>
    </row>
    <row r="2685" spans="1:94" hidden="1">
      <c r="A2685"/>
      <c r="G2685" s="207"/>
      <c r="CP2685"/>
    </row>
    <row r="2686" spans="1:94" hidden="1">
      <c r="A2686"/>
      <c r="G2686" s="207"/>
      <c r="CP2686"/>
    </row>
    <row r="2687" spans="1:94" hidden="1">
      <c r="A2687"/>
      <c r="G2687" s="207"/>
      <c r="CP2687"/>
    </row>
    <row r="2688" spans="1:94" hidden="1">
      <c r="A2688"/>
      <c r="G2688" s="207"/>
      <c r="CP2688"/>
    </row>
    <row r="2689" spans="1:94" hidden="1">
      <c r="A2689"/>
      <c r="G2689" s="207"/>
      <c r="CP2689"/>
    </row>
    <row r="2690" spans="1:94" hidden="1">
      <c r="A2690"/>
      <c r="G2690" s="207"/>
      <c r="CP2690"/>
    </row>
    <row r="2691" spans="1:94" hidden="1">
      <c r="A2691"/>
      <c r="G2691" s="207"/>
      <c r="CP2691"/>
    </row>
    <row r="2692" spans="1:94" hidden="1">
      <c r="A2692"/>
      <c r="G2692" s="207"/>
      <c r="CP2692"/>
    </row>
    <row r="2693" spans="1:94" hidden="1">
      <c r="A2693"/>
      <c r="G2693" s="207"/>
      <c r="CP2693"/>
    </row>
    <row r="2694" spans="1:94" hidden="1">
      <c r="A2694"/>
      <c r="G2694" s="207"/>
      <c r="CP2694"/>
    </row>
    <row r="2695" spans="1:94" hidden="1">
      <c r="A2695"/>
      <c r="G2695" s="207"/>
      <c r="CP2695"/>
    </row>
    <row r="2696" spans="1:94" hidden="1">
      <c r="A2696"/>
      <c r="G2696" s="207"/>
      <c r="CP2696"/>
    </row>
    <row r="2697" spans="1:94" hidden="1">
      <c r="A2697"/>
      <c r="G2697" s="207"/>
      <c r="CP2697"/>
    </row>
    <row r="2698" spans="1:94" hidden="1">
      <c r="A2698"/>
      <c r="G2698" s="207"/>
      <c r="CP2698"/>
    </row>
    <row r="2699" spans="1:94" hidden="1">
      <c r="A2699"/>
      <c r="G2699" s="207"/>
      <c r="CP2699"/>
    </row>
    <row r="2700" spans="1:94" hidden="1">
      <c r="A2700"/>
      <c r="G2700" s="207"/>
      <c r="CP2700"/>
    </row>
    <row r="2701" spans="1:94" hidden="1">
      <c r="A2701"/>
      <c r="G2701" s="207"/>
      <c r="CP2701"/>
    </row>
    <row r="2702" spans="1:94" hidden="1">
      <c r="A2702"/>
      <c r="G2702" s="207"/>
      <c r="CP2702"/>
    </row>
    <row r="2703" spans="1:94" hidden="1">
      <c r="A2703"/>
      <c r="G2703" s="207"/>
      <c r="CP2703"/>
    </row>
    <row r="2704" spans="1:94" hidden="1">
      <c r="A2704"/>
      <c r="G2704" s="207"/>
      <c r="CP2704"/>
    </row>
    <row r="2705" spans="1:94" hidden="1">
      <c r="A2705"/>
      <c r="G2705" s="207"/>
      <c r="CP2705"/>
    </row>
    <row r="2706" spans="1:94" hidden="1">
      <c r="A2706"/>
      <c r="G2706" s="207"/>
      <c r="CP2706"/>
    </row>
    <row r="2707" spans="1:94" hidden="1">
      <c r="A2707"/>
      <c r="G2707" s="207"/>
      <c r="CP2707"/>
    </row>
    <row r="2708" spans="1:94" hidden="1">
      <c r="A2708"/>
      <c r="G2708" s="207"/>
      <c r="CP2708"/>
    </row>
    <row r="2709" spans="1:94" hidden="1">
      <c r="A2709"/>
      <c r="G2709" s="207"/>
      <c r="CP2709"/>
    </row>
    <row r="2710" spans="1:94" hidden="1">
      <c r="A2710"/>
      <c r="G2710" s="207"/>
      <c r="CP2710"/>
    </row>
    <row r="2711" spans="1:94" hidden="1">
      <c r="A2711"/>
      <c r="G2711" s="207"/>
      <c r="CP2711"/>
    </row>
    <row r="2712" spans="1:94" hidden="1">
      <c r="A2712"/>
      <c r="G2712" s="207"/>
      <c r="CP2712"/>
    </row>
    <row r="2713" spans="1:94" hidden="1">
      <c r="A2713"/>
      <c r="G2713" s="207"/>
      <c r="CP2713"/>
    </row>
    <row r="2714" spans="1:94" hidden="1">
      <c r="A2714"/>
      <c r="G2714" s="207"/>
      <c r="CP2714"/>
    </row>
    <row r="2715" spans="1:94" hidden="1">
      <c r="A2715"/>
      <c r="G2715" s="207"/>
      <c r="CP2715"/>
    </row>
    <row r="2716" spans="1:94" hidden="1">
      <c r="A2716"/>
      <c r="G2716" s="207"/>
      <c r="CP2716"/>
    </row>
    <row r="2717" spans="1:94" hidden="1">
      <c r="A2717"/>
      <c r="G2717" s="207"/>
      <c r="CP2717"/>
    </row>
    <row r="2718" spans="1:94" hidden="1">
      <c r="A2718"/>
      <c r="G2718" s="207"/>
      <c r="CP2718"/>
    </row>
    <row r="2719" spans="1:94" hidden="1">
      <c r="A2719"/>
      <c r="G2719" s="207"/>
      <c r="CP2719"/>
    </row>
    <row r="2720" spans="1:94" hidden="1">
      <c r="A2720"/>
      <c r="G2720" s="207"/>
      <c r="CP2720"/>
    </row>
    <row r="2721" spans="1:94" hidden="1">
      <c r="A2721"/>
      <c r="G2721" s="207"/>
      <c r="CP2721"/>
    </row>
    <row r="2722" spans="1:94" hidden="1">
      <c r="A2722"/>
      <c r="G2722" s="207"/>
      <c r="CP2722"/>
    </row>
    <row r="2723" spans="1:94" hidden="1">
      <c r="A2723"/>
      <c r="G2723" s="207"/>
      <c r="CP2723"/>
    </row>
    <row r="2724" spans="1:94" hidden="1">
      <c r="A2724"/>
      <c r="G2724" s="207"/>
      <c r="CP2724"/>
    </row>
    <row r="2725" spans="1:94" hidden="1">
      <c r="A2725"/>
      <c r="G2725" s="207"/>
      <c r="CP2725"/>
    </row>
    <row r="2726" spans="1:94" hidden="1">
      <c r="A2726"/>
      <c r="G2726" s="207"/>
      <c r="CP2726"/>
    </row>
    <row r="2727" spans="1:94" hidden="1">
      <c r="A2727"/>
      <c r="G2727" s="207"/>
      <c r="CP2727"/>
    </row>
    <row r="2728" spans="1:94" hidden="1">
      <c r="A2728"/>
      <c r="G2728" s="207"/>
      <c r="CP2728"/>
    </row>
    <row r="2729" spans="1:94" hidden="1">
      <c r="A2729"/>
      <c r="G2729" s="207"/>
      <c r="CP2729"/>
    </row>
    <row r="2730" spans="1:94" hidden="1">
      <c r="A2730"/>
      <c r="G2730" s="207"/>
      <c r="CP2730"/>
    </row>
    <row r="2731" spans="1:94" hidden="1">
      <c r="A2731"/>
      <c r="G2731" s="207"/>
      <c r="CP2731"/>
    </row>
    <row r="2732" spans="1:94" hidden="1">
      <c r="A2732"/>
      <c r="G2732" s="207"/>
      <c r="CP2732"/>
    </row>
    <row r="2733" spans="1:94" hidden="1">
      <c r="A2733"/>
      <c r="G2733" s="207"/>
      <c r="CP2733"/>
    </row>
    <row r="2734" spans="1:94" hidden="1">
      <c r="A2734"/>
      <c r="G2734" s="207"/>
      <c r="CP2734"/>
    </row>
    <row r="2735" spans="1:94" hidden="1">
      <c r="A2735"/>
      <c r="G2735" s="207"/>
      <c r="CP2735"/>
    </row>
    <row r="2736" spans="1:94" hidden="1">
      <c r="A2736"/>
      <c r="G2736" s="207"/>
      <c r="CP2736"/>
    </row>
    <row r="2737" spans="1:94" hidden="1">
      <c r="A2737"/>
      <c r="G2737" s="207"/>
      <c r="CP2737"/>
    </row>
    <row r="2738" spans="1:94" hidden="1">
      <c r="A2738"/>
      <c r="G2738" s="207"/>
      <c r="CP2738"/>
    </row>
    <row r="2739" spans="1:94" hidden="1">
      <c r="A2739"/>
      <c r="G2739" s="207"/>
      <c r="CP2739"/>
    </row>
    <row r="2740" spans="1:94" hidden="1">
      <c r="A2740"/>
      <c r="G2740" s="207"/>
      <c r="CP2740"/>
    </row>
    <row r="2741" spans="1:94" hidden="1">
      <c r="A2741"/>
      <c r="G2741" s="207"/>
      <c r="CP2741"/>
    </row>
    <row r="2742" spans="1:94" hidden="1">
      <c r="A2742"/>
      <c r="G2742" s="207"/>
      <c r="CP2742"/>
    </row>
    <row r="2743" spans="1:94" hidden="1">
      <c r="A2743"/>
      <c r="G2743" s="207"/>
      <c r="CP2743"/>
    </row>
    <row r="2744" spans="1:94" hidden="1">
      <c r="A2744"/>
      <c r="G2744" s="207"/>
      <c r="CP2744"/>
    </row>
    <row r="2745" spans="1:94" hidden="1">
      <c r="A2745"/>
      <c r="G2745" s="207"/>
      <c r="CP2745"/>
    </row>
    <row r="2746" spans="1:94" hidden="1">
      <c r="A2746"/>
      <c r="G2746" s="207"/>
      <c r="CP2746"/>
    </row>
    <row r="2747" spans="1:94" hidden="1">
      <c r="A2747"/>
      <c r="G2747" s="207"/>
      <c r="CP2747"/>
    </row>
    <row r="2748" spans="1:94" hidden="1">
      <c r="A2748"/>
      <c r="G2748" s="207"/>
      <c r="CP2748"/>
    </row>
    <row r="2749" spans="1:94" hidden="1">
      <c r="A2749"/>
      <c r="G2749" s="207"/>
      <c r="CP2749"/>
    </row>
    <row r="2750" spans="1:94" hidden="1">
      <c r="A2750"/>
      <c r="G2750" s="207"/>
      <c r="CP2750"/>
    </row>
    <row r="2751" spans="1:94" hidden="1">
      <c r="A2751"/>
      <c r="G2751" s="207"/>
      <c r="CP2751"/>
    </row>
    <row r="2752" spans="1:94" hidden="1">
      <c r="A2752"/>
      <c r="G2752" s="207"/>
      <c r="CP2752"/>
    </row>
    <row r="2753" spans="1:94" hidden="1">
      <c r="A2753"/>
      <c r="G2753" s="207"/>
      <c r="CP2753"/>
    </row>
    <row r="2754" spans="1:94" hidden="1">
      <c r="A2754"/>
      <c r="G2754" s="207"/>
      <c r="CP2754"/>
    </row>
    <row r="2755" spans="1:94" hidden="1">
      <c r="A2755"/>
      <c r="G2755" s="207"/>
      <c r="CP2755"/>
    </row>
    <row r="2756" spans="1:94" hidden="1">
      <c r="A2756"/>
      <c r="G2756" s="207"/>
      <c r="CP2756"/>
    </row>
    <row r="2757" spans="1:94" hidden="1">
      <c r="A2757"/>
      <c r="G2757" s="207"/>
      <c r="CP2757"/>
    </row>
    <row r="2758" spans="1:94" hidden="1">
      <c r="A2758"/>
      <c r="G2758" s="207"/>
      <c r="CP2758"/>
    </row>
    <row r="2759" spans="1:94" hidden="1">
      <c r="A2759"/>
      <c r="G2759" s="207"/>
      <c r="CP2759"/>
    </row>
    <row r="2760" spans="1:94" hidden="1">
      <c r="A2760"/>
      <c r="G2760" s="207"/>
      <c r="CP2760"/>
    </row>
    <row r="2761" spans="1:94" hidden="1">
      <c r="A2761"/>
      <c r="G2761" s="207"/>
      <c r="CP2761"/>
    </row>
    <row r="2762" spans="1:94" hidden="1">
      <c r="A2762"/>
      <c r="G2762" s="207"/>
      <c r="CP2762"/>
    </row>
    <row r="2763" spans="1:94" hidden="1">
      <c r="A2763"/>
      <c r="G2763" s="207"/>
      <c r="CP2763"/>
    </row>
    <row r="2764" spans="1:94" hidden="1">
      <c r="A2764"/>
      <c r="G2764" s="207"/>
      <c r="CP2764"/>
    </row>
    <row r="2765" spans="1:94" hidden="1">
      <c r="A2765"/>
      <c r="G2765" s="207"/>
      <c r="CP2765"/>
    </row>
    <row r="2766" spans="1:94" hidden="1">
      <c r="A2766"/>
      <c r="G2766" s="207"/>
      <c r="CP2766"/>
    </row>
    <row r="2767" spans="1:94" hidden="1">
      <c r="A2767"/>
      <c r="G2767" s="207"/>
      <c r="CP2767"/>
    </row>
    <row r="2768" spans="1:94" hidden="1">
      <c r="A2768"/>
      <c r="G2768" s="207"/>
      <c r="CP2768"/>
    </row>
    <row r="2769" spans="1:94" hidden="1">
      <c r="A2769"/>
      <c r="G2769" s="207"/>
      <c r="CP2769"/>
    </row>
    <row r="2770" spans="1:94" hidden="1">
      <c r="A2770"/>
      <c r="G2770" s="207"/>
      <c r="CP2770"/>
    </row>
    <row r="2771" spans="1:94" hidden="1">
      <c r="A2771"/>
      <c r="G2771" s="207"/>
      <c r="CP2771"/>
    </row>
    <row r="2772" spans="1:94" hidden="1">
      <c r="A2772"/>
      <c r="G2772" s="207"/>
      <c r="CP2772"/>
    </row>
    <row r="2773" spans="1:94" hidden="1">
      <c r="A2773"/>
      <c r="G2773" s="207"/>
      <c r="CP2773"/>
    </row>
    <row r="2774" spans="1:94" hidden="1">
      <c r="A2774"/>
      <c r="G2774" s="207"/>
      <c r="CP2774"/>
    </row>
    <row r="2775" spans="1:94" hidden="1">
      <c r="A2775"/>
      <c r="G2775" s="207"/>
      <c r="CP2775"/>
    </row>
    <row r="2776" spans="1:94" hidden="1">
      <c r="A2776"/>
      <c r="G2776" s="207"/>
      <c r="CP2776"/>
    </row>
    <row r="2777" spans="1:94" hidden="1">
      <c r="A2777"/>
      <c r="G2777" s="207"/>
      <c r="CP2777"/>
    </row>
    <row r="2778" spans="1:94" hidden="1">
      <c r="A2778"/>
      <c r="G2778" s="207"/>
      <c r="CP2778"/>
    </row>
    <row r="2779" spans="1:94" hidden="1">
      <c r="A2779"/>
      <c r="G2779" s="207"/>
      <c r="CP2779"/>
    </row>
    <row r="2780" spans="1:94" hidden="1">
      <c r="A2780"/>
      <c r="G2780" s="207"/>
      <c r="CP2780"/>
    </row>
    <row r="2781" spans="1:94" hidden="1">
      <c r="A2781"/>
      <c r="G2781" s="207"/>
      <c r="CP2781"/>
    </row>
    <row r="2782" spans="1:94" hidden="1">
      <c r="A2782"/>
      <c r="G2782" s="207"/>
      <c r="CP2782"/>
    </row>
    <row r="2783" spans="1:94" hidden="1">
      <c r="A2783"/>
      <c r="G2783" s="207"/>
      <c r="CP2783"/>
    </row>
    <row r="2784" spans="1:94" hidden="1">
      <c r="A2784"/>
      <c r="G2784" s="207"/>
      <c r="CP2784"/>
    </row>
    <row r="2785" spans="1:94" hidden="1">
      <c r="A2785"/>
      <c r="G2785" s="207"/>
      <c r="CP2785"/>
    </row>
    <row r="2786" spans="1:94" hidden="1">
      <c r="A2786"/>
      <c r="G2786" s="207"/>
      <c r="CP2786"/>
    </row>
    <row r="2787" spans="1:94" hidden="1">
      <c r="A2787"/>
      <c r="G2787" s="207"/>
      <c r="CP2787"/>
    </row>
    <row r="2788" spans="1:94" hidden="1">
      <c r="A2788"/>
      <c r="G2788" s="207"/>
      <c r="CP2788"/>
    </row>
    <row r="2789" spans="1:94" hidden="1">
      <c r="A2789"/>
      <c r="G2789" s="207"/>
      <c r="CP2789"/>
    </row>
    <row r="2790" spans="1:94" hidden="1">
      <c r="A2790"/>
      <c r="G2790" s="207"/>
      <c r="CP2790"/>
    </row>
    <row r="2791" spans="1:94" hidden="1">
      <c r="A2791"/>
      <c r="G2791" s="207"/>
      <c r="CP2791"/>
    </row>
    <row r="2792" spans="1:94" hidden="1">
      <c r="A2792"/>
      <c r="G2792" s="207"/>
      <c r="CP2792"/>
    </row>
    <row r="2793" spans="1:94" hidden="1">
      <c r="A2793"/>
      <c r="G2793" s="207"/>
      <c r="CP2793"/>
    </row>
    <row r="2794" spans="1:94" hidden="1">
      <c r="A2794"/>
      <c r="G2794" s="207"/>
      <c r="CP2794"/>
    </row>
    <row r="2795" spans="1:94" hidden="1">
      <c r="A2795"/>
      <c r="G2795" s="207"/>
      <c r="CP2795"/>
    </row>
    <row r="2796" spans="1:94" hidden="1">
      <c r="A2796"/>
      <c r="G2796" s="207"/>
      <c r="CP2796"/>
    </row>
    <row r="2797" spans="1:94" hidden="1">
      <c r="A2797"/>
      <c r="G2797" s="207"/>
      <c r="CP2797"/>
    </row>
    <row r="2798" spans="1:94" hidden="1">
      <c r="A2798"/>
      <c r="G2798" s="207"/>
      <c r="CP2798"/>
    </row>
    <row r="2799" spans="1:94" hidden="1">
      <c r="A2799"/>
      <c r="G2799" s="207"/>
      <c r="CP2799"/>
    </row>
    <row r="2800" spans="1:94" hidden="1">
      <c r="A2800"/>
      <c r="G2800" s="207"/>
      <c r="CP2800"/>
    </row>
    <row r="2801" spans="1:94" hidden="1">
      <c r="A2801"/>
      <c r="G2801" s="207"/>
      <c r="CP2801"/>
    </row>
    <row r="2802" spans="1:94" hidden="1">
      <c r="A2802"/>
      <c r="G2802" s="207"/>
      <c r="CP2802"/>
    </row>
    <row r="2803" spans="1:94" hidden="1">
      <c r="A2803"/>
      <c r="G2803" s="207"/>
      <c r="CP2803"/>
    </row>
    <row r="2804" spans="1:94" hidden="1">
      <c r="A2804"/>
      <c r="G2804" s="207"/>
      <c r="CP2804"/>
    </row>
    <row r="2805" spans="1:94" hidden="1">
      <c r="A2805"/>
      <c r="G2805" s="207"/>
      <c r="CP2805"/>
    </row>
    <row r="2806" spans="1:94" hidden="1">
      <c r="A2806"/>
      <c r="G2806" s="207"/>
      <c r="CP2806"/>
    </row>
    <row r="2807" spans="1:94" hidden="1">
      <c r="A2807"/>
      <c r="G2807" s="207"/>
      <c r="CP2807"/>
    </row>
    <row r="2808" spans="1:94" hidden="1">
      <c r="A2808"/>
      <c r="G2808" s="207"/>
      <c r="CP2808"/>
    </row>
    <row r="2809" spans="1:94" hidden="1">
      <c r="A2809"/>
      <c r="G2809" s="207"/>
      <c r="CP2809"/>
    </row>
    <row r="2810" spans="1:94" hidden="1">
      <c r="A2810"/>
      <c r="G2810" s="207"/>
      <c r="CP2810"/>
    </row>
    <row r="2811" spans="1:94" hidden="1">
      <c r="A2811"/>
      <c r="G2811" s="207"/>
      <c r="CP2811"/>
    </row>
    <row r="2812" spans="1:94" hidden="1">
      <c r="A2812"/>
      <c r="G2812" s="207"/>
      <c r="CP2812"/>
    </row>
    <row r="2813" spans="1:94" hidden="1">
      <c r="A2813"/>
      <c r="G2813" s="207"/>
      <c r="CP2813"/>
    </row>
    <row r="2814" spans="1:94" hidden="1">
      <c r="A2814"/>
      <c r="G2814" s="207"/>
      <c r="CP2814"/>
    </row>
    <row r="2815" spans="1:94" hidden="1">
      <c r="A2815"/>
      <c r="G2815" s="207"/>
      <c r="CP2815"/>
    </row>
    <row r="2816" spans="1:94" hidden="1">
      <c r="A2816"/>
      <c r="G2816" s="207"/>
      <c r="CP2816"/>
    </row>
    <row r="2817" spans="1:94" hidden="1">
      <c r="A2817"/>
      <c r="G2817" s="207"/>
      <c r="CP2817"/>
    </row>
    <row r="2818" spans="1:94" hidden="1">
      <c r="A2818"/>
      <c r="G2818" s="207"/>
      <c r="CP2818"/>
    </row>
    <row r="2819" spans="1:94" hidden="1">
      <c r="A2819"/>
      <c r="G2819" s="207"/>
      <c r="CP2819"/>
    </row>
    <row r="2820" spans="1:94" hidden="1">
      <c r="A2820"/>
      <c r="G2820" s="207"/>
      <c r="CP2820"/>
    </row>
    <row r="2821" spans="1:94" hidden="1">
      <c r="A2821"/>
      <c r="G2821" s="207"/>
      <c r="CP2821"/>
    </row>
    <row r="2822" spans="1:94" hidden="1">
      <c r="A2822"/>
      <c r="G2822" s="207"/>
      <c r="CP2822"/>
    </row>
    <row r="2823" spans="1:94" hidden="1">
      <c r="A2823"/>
      <c r="G2823" s="207"/>
      <c r="CP2823"/>
    </row>
    <row r="2824" spans="1:94" hidden="1">
      <c r="A2824"/>
      <c r="G2824" s="207"/>
      <c r="CP2824"/>
    </row>
    <row r="2825" spans="1:94" hidden="1">
      <c r="A2825"/>
      <c r="G2825" s="207"/>
      <c r="CP2825"/>
    </row>
    <row r="2826" spans="1:94" hidden="1">
      <c r="A2826"/>
      <c r="G2826" s="207"/>
      <c r="CP2826"/>
    </row>
    <row r="2827" spans="1:94" hidden="1">
      <c r="A2827"/>
      <c r="G2827" s="207"/>
      <c r="CP2827"/>
    </row>
    <row r="2828" spans="1:94" hidden="1">
      <c r="A2828"/>
      <c r="G2828" s="207"/>
      <c r="CP2828"/>
    </row>
    <row r="2829" spans="1:94" hidden="1">
      <c r="A2829"/>
      <c r="G2829" s="207"/>
      <c r="CP2829"/>
    </row>
    <row r="2830" spans="1:94" hidden="1">
      <c r="A2830"/>
      <c r="G2830" s="207"/>
      <c r="CP2830"/>
    </row>
    <row r="2831" spans="1:94" hidden="1">
      <c r="A2831"/>
      <c r="G2831" s="207"/>
      <c r="CP2831"/>
    </row>
    <row r="2832" spans="1:94" hidden="1">
      <c r="A2832"/>
      <c r="G2832" s="207"/>
      <c r="CP2832"/>
    </row>
    <row r="2833" spans="1:94" hidden="1">
      <c r="A2833"/>
      <c r="G2833" s="207"/>
      <c r="CP2833"/>
    </row>
    <row r="2834" spans="1:94" hidden="1">
      <c r="A2834"/>
      <c r="G2834" s="207"/>
      <c r="CP2834"/>
    </row>
    <row r="2835" spans="1:94" hidden="1">
      <c r="A2835"/>
      <c r="G2835" s="207"/>
      <c r="CP2835"/>
    </row>
    <row r="2836" spans="1:94" hidden="1">
      <c r="A2836"/>
      <c r="G2836" s="207"/>
      <c r="CP2836"/>
    </row>
    <row r="2837" spans="1:94" hidden="1">
      <c r="A2837"/>
      <c r="G2837" s="207"/>
      <c r="CP2837"/>
    </row>
    <row r="2838" spans="1:94" hidden="1">
      <c r="A2838"/>
      <c r="G2838" s="207"/>
      <c r="CP2838"/>
    </row>
    <row r="2839" spans="1:94" hidden="1">
      <c r="A2839"/>
      <c r="G2839" s="207"/>
      <c r="CP2839"/>
    </row>
    <row r="2840" spans="1:94" hidden="1">
      <c r="A2840"/>
      <c r="G2840" s="207"/>
      <c r="CP2840"/>
    </row>
    <row r="2841" spans="1:94" hidden="1">
      <c r="A2841"/>
      <c r="G2841" s="207"/>
      <c r="CP2841"/>
    </row>
    <row r="2842" spans="1:94" hidden="1">
      <c r="A2842"/>
      <c r="G2842" s="207"/>
      <c r="CP2842"/>
    </row>
    <row r="2843" spans="1:94" hidden="1">
      <c r="A2843"/>
      <c r="G2843" s="207"/>
      <c r="CP2843"/>
    </row>
    <row r="2844" spans="1:94" hidden="1">
      <c r="A2844"/>
      <c r="G2844" s="207"/>
      <c r="CP2844"/>
    </row>
    <row r="2845" spans="1:94" hidden="1">
      <c r="A2845"/>
      <c r="G2845" s="207"/>
      <c r="CP2845"/>
    </row>
    <row r="2846" spans="1:94" hidden="1">
      <c r="A2846"/>
      <c r="G2846" s="207"/>
      <c r="CP2846"/>
    </row>
    <row r="2847" spans="1:94" hidden="1">
      <c r="A2847"/>
      <c r="G2847" s="207"/>
      <c r="CP2847"/>
    </row>
    <row r="2848" spans="1:94" hidden="1">
      <c r="A2848"/>
      <c r="G2848" s="207"/>
      <c r="CP2848"/>
    </row>
    <row r="2849" spans="1:94" hidden="1">
      <c r="A2849"/>
      <c r="G2849" s="207"/>
      <c r="CP2849"/>
    </row>
    <row r="2850" spans="1:94" hidden="1">
      <c r="A2850"/>
      <c r="G2850" s="207"/>
      <c r="CP2850"/>
    </row>
    <row r="2851" spans="1:94" hidden="1">
      <c r="A2851"/>
      <c r="G2851" s="207"/>
      <c r="CP2851"/>
    </row>
    <row r="2852" spans="1:94" hidden="1">
      <c r="A2852"/>
      <c r="G2852" s="207"/>
      <c r="CP2852"/>
    </row>
    <row r="2853" spans="1:94" hidden="1">
      <c r="A2853"/>
      <c r="G2853" s="207"/>
      <c r="CP2853"/>
    </row>
    <row r="2854" spans="1:94" hidden="1">
      <c r="A2854"/>
      <c r="G2854" s="207"/>
      <c r="CP2854"/>
    </row>
    <row r="2855" spans="1:94" hidden="1">
      <c r="A2855"/>
      <c r="G2855" s="207"/>
      <c r="CP2855"/>
    </row>
    <row r="2856" spans="1:94" hidden="1">
      <c r="A2856"/>
      <c r="G2856" s="207"/>
      <c r="CP2856"/>
    </row>
    <row r="2857" spans="1:94" hidden="1">
      <c r="A2857"/>
      <c r="G2857" s="207"/>
      <c r="CP2857"/>
    </row>
    <row r="2858" spans="1:94" hidden="1">
      <c r="A2858"/>
      <c r="G2858" s="207"/>
      <c r="CP2858"/>
    </row>
    <row r="2859" spans="1:94" hidden="1">
      <c r="A2859"/>
      <c r="G2859" s="207"/>
      <c r="CP2859"/>
    </row>
    <row r="2860" spans="1:94" hidden="1">
      <c r="A2860"/>
      <c r="G2860" s="207"/>
      <c r="CP2860"/>
    </row>
    <row r="2861" spans="1:94" hidden="1">
      <c r="A2861"/>
      <c r="G2861" s="207"/>
      <c r="CP2861"/>
    </row>
    <row r="2862" spans="1:94" hidden="1">
      <c r="A2862"/>
      <c r="G2862" s="207"/>
      <c r="CP2862"/>
    </row>
    <row r="2863" spans="1:94" hidden="1">
      <c r="A2863"/>
      <c r="G2863" s="207"/>
      <c r="CP2863"/>
    </row>
    <row r="2864" spans="1:94" hidden="1">
      <c r="A2864"/>
      <c r="G2864" s="207"/>
      <c r="CP2864"/>
    </row>
    <row r="2865" spans="1:94" hidden="1">
      <c r="A2865"/>
      <c r="G2865" s="207"/>
      <c r="CP2865"/>
    </row>
    <row r="2866" spans="1:94" hidden="1">
      <c r="A2866"/>
      <c r="G2866" s="207"/>
      <c r="CP2866"/>
    </row>
    <row r="2867" spans="1:94" hidden="1">
      <c r="A2867"/>
      <c r="G2867" s="207"/>
      <c r="CP2867"/>
    </row>
    <row r="2868" spans="1:94" hidden="1">
      <c r="A2868"/>
      <c r="G2868" s="207"/>
      <c r="CP2868"/>
    </row>
    <row r="2869" spans="1:94" hidden="1">
      <c r="A2869"/>
      <c r="G2869" s="207"/>
      <c r="CP2869"/>
    </row>
    <row r="2870" spans="1:94" hidden="1">
      <c r="A2870"/>
      <c r="G2870" s="207"/>
      <c r="CP2870"/>
    </row>
    <row r="2871" spans="1:94" hidden="1">
      <c r="A2871"/>
      <c r="G2871" s="207"/>
      <c r="CP2871"/>
    </row>
    <row r="2872" spans="1:94" hidden="1">
      <c r="A2872"/>
      <c r="G2872" s="207"/>
      <c r="CP2872"/>
    </row>
    <row r="2873" spans="1:94" hidden="1">
      <c r="A2873"/>
      <c r="G2873" s="207"/>
      <c r="CP2873"/>
    </row>
    <row r="2874" spans="1:94" hidden="1">
      <c r="A2874"/>
      <c r="G2874" s="207"/>
      <c r="CP2874"/>
    </row>
    <row r="2875" spans="1:94" hidden="1">
      <c r="A2875"/>
      <c r="G2875" s="207"/>
      <c r="CP2875"/>
    </row>
    <row r="2876" spans="1:94" hidden="1">
      <c r="A2876"/>
      <c r="G2876" s="207"/>
      <c r="CP2876"/>
    </row>
    <row r="2877" spans="1:94" hidden="1">
      <c r="A2877"/>
      <c r="G2877" s="207"/>
      <c r="CP2877"/>
    </row>
    <row r="2878" spans="1:94" hidden="1">
      <c r="A2878"/>
      <c r="G2878" s="207"/>
      <c r="CP2878"/>
    </row>
    <row r="2879" spans="1:94" hidden="1">
      <c r="A2879"/>
      <c r="G2879" s="207"/>
      <c r="CP2879"/>
    </row>
    <row r="2880" spans="1:94" hidden="1">
      <c r="A2880"/>
      <c r="G2880" s="207"/>
      <c r="CP2880"/>
    </row>
    <row r="2881" spans="1:94" hidden="1">
      <c r="A2881"/>
      <c r="G2881" s="207"/>
      <c r="CP2881"/>
    </row>
    <row r="2882" spans="1:94" hidden="1">
      <c r="A2882"/>
      <c r="G2882" s="207"/>
      <c r="CP2882"/>
    </row>
    <row r="2883" spans="1:94" hidden="1">
      <c r="A2883"/>
      <c r="G2883" s="207"/>
      <c r="CP2883"/>
    </row>
    <row r="2884" spans="1:94" hidden="1">
      <c r="A2884"/>
      <c r="G2884" s="207"/>
      <c r="CP2884"/>
    </row>
    <row r="2885" spans="1:94" hidden="1">
      <c r="A2885"/>
      <c r="G2885" s="207"/>
      <c r="CP2885"/>
    </row>
    <row r="2886" spans="1:94" hidden="1">
      <c r="A2886"/>
      <c r="G2886" s="207"/>
      <c r="CP2886"/>
    </row>
    <row r="2887" spans="1:94" hidden="1">
      <c r="A2887"/>
      <c r="G2887" s="207"/>
      <c r="CP2887"/>
    </row>
    <row r="2888" spans="1:94" hidden="1">
      <c r="A2888"/>
      <c r="G2888" s="207"/>
      <c r="CP2888"/>
    </row>
    <row r="2889" spans="1:94" hidden="1">
      <c r="A2889"/>
      <c r="G2889" s="207"/>
      <c r="CP2889"/>
    </row>
    <row r="2890" spans="1:94" hidden="1">
      <c r="A2890"/>
      <c r="G2890" s="207"/>
      <c r="CP2890"/>
    </row>
    <row r="2891" spans="1:94" hidden="1">
      <c r="A2891"/>
      <c r="G2891" s="207"/>
      <c r="CP2891"/>
    </row>
    <row r="2892" spans="1:94" hidden="1">
      <c r="A2892"/>
      <c r="G2892" s="207"/>
      <c r="CP2892"/>
    </row>
    <row r="2893" spans="1:94" hidden="1">
      <c r="A2893"/>
      <c r="G2893" s="207"/>
      <c r="CP2893"/>
    </row>
    <row r="2894" spans="1:94" hidden="1">
      <c r="A2894"/>
      <c r="G2894" s="207"/>
      <c r="CP2894"/>
    </row>
    <row r="2895" spans="1:94" hidden="1">
      <c r="A2895"/>
      <c r="G2895" s="207"/>
      <c r="CP2895"/>
    </row>
    <row r="2896" spans="1:94" hidden="1">
      <c r="A2896"/>
      <c r="G2896" s="207"/>
      <c r="CP2896"/>
    </row>
    <row r="2897" spans="1:94" hidden="1">
      <c r="A2897"/>
      <c r="G2897" s="207"/>
      <c r="CP2897"/>
    </row>
    <row r="2898" spans="1:94" hidden="1">
      <c r="A2898"/>
      <c r="G2898" s="207"/>
      <c r="CP2898"/>
    </row>
    <row r="2899" spans="1:94" hidden="1">
      <c r="A2899"/>
      <c r="G2899" s="207"/>
      <c r="CP2899"/>
    </row>
    <row r="2900" spans="1:94" hidden="1">
      <c r="A2900"/>
      <c r="G2900" s="207"/>
      <c r="CP2900"/>
    </row>
    <row r="2901" spans="1:94" hidden="1">
      <c r="A2901"/>
      <c r="G2901" s="207"/>
      <c r="CP2901"/>
    </row>
    <row r="2902" spans="1:94" hidden="1">
      <c r="A2902"/>
      <c r="G2902" s="207"/>
      <c r="CP2902"/>
    </row>
    <row r="2903" spans="1:94" hidden="1">
      <c r="A2903"/>
      <c r="G2903" s="207"/>
      <c r="CP2903"/>
    </row>
    <row r="2904" spans="1:94" hidden="1">
      <c r="A2904"/>
      <c r="G2904" s="207"/>
      <c r="CP2904"/>
    </row>
    <row r="2905" spans="1:94" hidden="1">
      <c r="A2905"/>
      <c r="G2905" s="207"/>
      <c r="CP2905"/>
    </row>
    <row r="2906" spans="1:94" hidden="1">
      <c r="A2906"/>
      <c r="G2906" s="207"/>
      <c r="CP2906"/>
    </row>
    <row r="2907" spans="1:94" hidden="1">
      <c r="A2907"/>
      <c r="G2907" s="207"/>
      <c r="CP2907"/>
    </row>
    <row r="2908" spans="1:94" hidden="1">
      <c r="A2908"/>
      <c r="G2908" s="207"/>
      <c r="CP2908"/>
    </row>
    <row r="2909" spans="1:94" hidden="1">
      <c r="A2909"/>
      <c r="G2909" s="207"/>
      <c r="CP2909"/>
    </row>
    <row r="2910" spans="1:94" hidden="1">
      <c r="A2910"/>
      <c r="G2910" s="207"/>
      <c r="CP2910"/>
    </row>
    <row r="2911" spans="1:94" hidden="1">
      <c r="A2911"/>
      <c r="G2911" s="207"/>
      <c r="CP2911"/>
    </row>
    <row r="2912" spans="1:94" hidden="1">
      <c r="A2912"/>
      <c r="G2912" s="207"/>
      <c r="CP2912"/>
    </row>
    <row r="2913" spans="1:94" hidden="1">
      <c r="A2913"/>
      <c r="G2913" s="207"/>
      <c r="CP2913"/>
    </row>
    <row r="2914" spans="1:94" hidden="1">
      <c r="A2914"/>
      <c r="G2914" s="207"/>
      <c r="CP2914"/>
    </row>
    <row r="2915" spans="1:94" hidden="1">
      <c r="A2915"/>
      <c r="G2915" s="207"/>
      <c r="CP2915"/>
    </row>
    <row r="2916" spans="1:94" hidden="1">
      <c r="A2916"/>
      <c r="G2916" s="207"/>
      <c r="CP2916"/>
    </row>
    <row r="2917" spans="1:94" hidden="1">
      <c r="A2917"/>
      <c r="G2917" s="207"/>
      <c r="CP2917"/>
    </row>
    <row r="2918" spans="1:94" hidden="1">
      <c r="A2918"/>
      <c r="G2918" s="207"/>
      <c r="CP2918"/>
    </row>
    <row r="2919" spans="1:94" hidden="1">
      <c r="A2919"/>
      <c r="G2919" s="207"/>
      <c r="CP2919"/>
    </row>
    <row r="2920" spans="1:94" hidden="1">
      <c r="A2920"/>
      <c r="G2920" s="207"/>
      <c r="CP2920"/>
    </row>
    <row r="2921" spans="1:94" hidden="1">
      <c r="A2921"/>
      <c r="G2921" s="207"/>
      <c r="CP2921"/>
    </row>
    <row r="2922" spans="1:94" hidden="1">
      <c r="A2922"/>
      <c r="G2922" s="207"/>
      <c r="CP2922"/>
    </row>
    <row r="2923" spans="1:94" hidden="1">
      <c r="A2923"/>
      <c r="G2923" s="207"/>
      <c r="CP2923"/>
    </row>
    <row r="2924" spans="1:94" hidden="1">
      <c r="A2924"/>
      <c r="G2924" s="207"/>
      <c r="CP2924"/>
    </row>
    <row r="2925" spans="1:94" hidden="1">
      <c r="A2925"/>
      <c r="G2925" s="207"/>
      <c r="CP2925"/>
    </row>
    <row r="2926" spans="1:94" hidden="1">
      <c r="A2926"/>
      <c r="G2926" s="207"/>
      <c r="CP2926"/>
    </row>
    <row r="2927" spans="1:94" hidden="1">
      <c r="A2927"/>
      <c r="G2927" s="207"/>
      <c r="CP2927"/>
    </row>
    <row r="2928" spans="1:94" hidden="1">
      <c r="A2928"/>
      <c r="G2928" s="207"/>
      <c r="CP2928"/>
    </row>
    <row r="2929" spans="1:94" hidden="1">
      <c r="A2929"/>
      <c r="G2929" s="207"/>
      <c r="CP2929"/>
    </row>
    <row r="2930" spans="1:94" hidden="1">
      <c r="A2930"/>
      <c r="G2930" s="207"/>
      <c r="CP2930"/>
    </row>
    <row r="2931" spans="1:94" hidden="1">
      <c r="A2931"/>
      <c r="G2931" s="207"/>
      <c r="CP2931"/>
    </row>
    <row r="2932" spans="1:94" hidden="1">
      <c r="A2932"/>
      <c r="G2932" s="207"/>
      <c r="CP2932"/>
    </row>
    <row r="2933" spans="1:94" hidden="1">
      <c r="A2933"/>
      <c r="G2933" s="207"/>
      <c r="CP2933"/>
    </row>
    <row r="2934" spans="1:94" hidden="1">
      <c r="A2934"/>
      <c r="G2934" s="207"/>
      <c r="CP2934"/>
    </row>
    <row r="2935" spans="1:94" hidden="1">
      <c r="A2935"/>
      <c r="G2935" s="207"/>
      <c r="CP2935"/>
    </row>
    <row r="2936" spans="1:94" hidden="1">
      <c r="A2936"/>
      <c r="G2936" s="207"/>
      <c r="CP2936"/>
    </row>
    <row r="2937" spans="1:94" hidden="1">
      <c r="A2937"/>
      <c r="G2937" s="207"/>
      <c r="CP2937"/>
    </row>
    <row r="2938" spans="1:94" hidden="1">
      <c r="A2938"/>
      <c r="G2938" s="207"/>
      <c r="CP2938"/>
    </row>
    <row r="2939" spans="1:94" hidden="1">
      <c r="A2939"/>
      <c r="G2939" s="207"/>
      <c r="CP2939"/>
    </row>
    <row r="2940" spans="1:94" hidden="1">
      <c r="A2940"/>
      <c r="G2940" s="207"/>
      <c r="CP2940"/>
    </row>
    <row r="2941" spans="1:94" hidden="1">
      <c r="A2941"/>
      <c r="G2941" s="207"/>
      <c r="CP2941"/>
    </row>
    <row r="2942" spans="1:94" hidden="1">
      <c r="A2942"/>
      <c r="G2942" s="207"/>
      <c r="CP2942"/>
    </row>
    <row r="2943" spans="1:94" hidden="1">
      <c r="A2943"/>
      <c r="G2943" s="207"/>
      <c r="CP2943"/>
    </row>
    <row r="2944" spans="1:94" hidden="1">
      <c r="A2944"/>
      <c r="G2944" s="207"/>
      <c r="CP2944"/>
    </row>
    <row r="2945" spans="1:94" hidden="1">
      <c r="A2945"/>
      <c r="G2945" s="207"/>
      <c r="CP2945"/>
    </row>
    <row r="2946" spans="1:94" hidden="1">
      <c r="A2946"/>
      <c r="G2946" s="207"/>
      <c r="CP2946"/>
    </row>
    <row r="2947" spans="1:94" hidden="1">
      <c r="A2947"/>
      <c r="G2947" s="207"/>
      <c r="CP2947"/>
    </row>
    <row r="2948" spans="1:94" hidden="1">
      <c r="A2948"/>
      <c r="G2948" s="207"/>
      <c r="CP2948"/>
    </row>
    <row r="2949" spans="1:94" hidden="1">
      <c r="A2949"/>
      <c r="G2949" s="207"/>
      <c r="CP2949"/>
    </row>
    <row r="2950" spans="1:94" hidden="1">
      <c r="A2950"/>
      <c r="G2950" s="207"/>
      <c r="CP2950"/>
    </row>
    <row r="2951" spans="1:94" hidden="1">
      <c r="A2951"/>
      <c r="G2951" s="207"/>
      <c r="CP2951"/>
    </row>
    <row r="2952" spans="1:94" hidden="1">
      <c r="A2952"/>
      <c r="G2952" s="207"/>
      <c r="CP2952"/>
    </row>
    <row r="2953" spans="1:94" hidden="1">
      <c r="A2953"/>
      <c r="G2953" s="207"/>
      <c r="CP2953"/>
    </row>
    <row r="2954" spans="1:94" hidden="1">
      <c r="A2954"/>
      <c r="G2954" s="207"/>
      <c r="CP2954"/>
    </row>
    <row r="2955" spans="1:94" hidden="1">
      <c r="A2955"/>
      <c r="G2955" s="207"/>
      <c r="CP2955"/>
    </row>
    <row r="2956" spans="1:94" hidden="1">
      <c r="A2956"/>
      <c r="G2956" s="207"/>
      <c r="CP2956"/>
    </row>
    <row r="2957" spans="1:94" hidden="1">
      <c r="A2957"/>
      <c r="G2957" s="207"/>
      <c r="CP2957"/>
    </row>
    <row r="2958" spans="1:94" hidden="1">
      <c r="A2958"/>
      <c r="G2958" s="207"/>
      <c r="CP2958"/>
    </row>
    <row r="2959" spans="1:94" hidden="1">
      <c r="A2959"/>
      <c r="G2959" s="207"/>
      <c r="CP2959"/>
    </row>
    <row r="2960" spans="1:94" hidden="1">
      <c r="A2960"/>
      <c r="G2960" s="207"/>
      <c r="CP2960"/>
    </row>
    <row r="2961" spans="1:94" hidden="1">
      <c r="A2961"/>
      <c r="G2961" s="207"/>
      <c r="CP2961"/>
    </row>
    <row r="2962" spans="1:94" hidden="1">
      <c r="A2962"/>
      <c r="G2962" s="207"/>
      <c r="CP2962"/>
    </row>
    <row r="2963" spans="1:94" hidden="1">
      <c r="A2963"/>
      <c r="G2963" s="207"/>
      <c r="CP2963"/>
    </row>
    <row r="2964" spans="1:94" hidden="1">
      <c r="A2964"/>
      <c r="G2964" s="207"/>
      <c r="CP2964"/>
    </row>
    <row r="2965" spans="1:94" hidden="1">
      <c r="A2965"/>
      <c r="G2965" s="207"/>
      <c r="CP2965"/>
    </row>
    <row r="2966" spans="1:94" hidden="1">
      <c r="A2966"/>
      <c r="G2966" s="207"/>
      <c r="CP2966"/>
    </row>
    <row r="2967" spans="1:94" hidden="1">
      <c r="A2967"/>
      <c r="G2967" s="207"/>
      <c r="CP2967"/>
    </row>
    <row r="2968" spans="1:94" hidden="1">
      <c r="A2968"/>
      <c r="G2968" s="207"/>
      <c r="CP2968"/>
    </row>
    <row r="2969" spans="1:94" hidden="1">
      <c r="A2969"/>
      <c r="G2969" s="207"/>
      <c r="CP2969"/>
    </row>
    <row r="2970" spans="1:94" hidden="1">
      <c r="A2970"/>
      <c r="G2970" s="207"/>
      <c r="CP2970"/>
    </row>
    <row r="2971" spans="1:94" hidden="1">
      <c r="A2971"/>
      <c r="G2971" s="207"/>
      <c r="CP2971"/>
    </row>
    <row r="2972" spans="1:94" hidden="1">
      <c r="A2972"/>
      <c r="G2972" s="207"/>
      <c r="CP2972"/>
    </row>
    <row r="2973" spans="1:94" hidden="1">
      <c r="A2973"/>
      <c r="G2973" s="207"/>
      <c r="CP2973"/>
    </row>
    <row r="2974" spans="1:94" hidden="1">
      <c r="A2974"/>
      <c r="G2974" s="207"/>
      <c r="CP2974"/>
    </row>
    <row r="2975" spans="1:94" hidden="1">
      <c r="A2975"/>
      <c r="G2975" s="207"/>
      <c r="CP2975"/>
    </row>
    <row r="2976" spans="1:94" hidden="1">
      <c r="A2976"/>
      <c r="G2976" s="207"/>
      <c r="CP2976"/>
    </row>
    <row r="2977" spans="1:94" hidden="1">
      <c r="A2977"/>
      <c r="G2977" s="207"/>
      <c r="CP2977"/>
    </row>
    <row r="2978" spans="1:94" hidden="1">
      <c r="A2978"/>
      <c r="G2978" s="207"/>
      <c r="CP2978"/>
    </row>
    <row r="2979" spans="1:94" hidden="1">
      <c r="A2979"/>
      <c r="G2979" s="207"/>
      <c r="CP2979"/>
    </row>
    <row r="2980" spans="1:94" hidden="1">
      <c r="A2980"/>
      <c r="G2980" s="207"/>
      <c r="CP2980"/>
    </row>
    <row r="2981" spans="1:94" hidden="1">
      <c r="A2981"/>
      <c r="G2981" s="207"/>
      <c r="CP2981"/>
    </row>
    <row r="2982" spans="1:94" hidden="1">
      <c r="A2982"/>
      <c r="G2982" s="207"/>
      <c r="CP2982"/>
    </row>
    <row r="2983" spans="1:94" hidden="1">
      <c r="A2983"/>
      <c r="G2983" s="207"/>
      <c r="CP2983"/>
    </row>
    <row r="2984" spans="1:94" hidden="1">
      <c r="A2984"/>
      <c r="G2984" s="207"/>
      <c r="CP2984"/>
    </row>
    <row r="2985" spans="1:94" hidden="1">
      <c r="A2985"/>
      <c r="G2985" s="207"/>
      <c r="CP2985"/>
    </row>
    <row r="2986" spans="1:94" hidden="1">
      <c r="A2986"/>
      <c r="G2986" s="207"/>
      <c r="CP2986"/>
    </row>
    <row r="2987" spans="1:94" hidden="1">
      <c r="A2987"/>
      <c r="G2987" s="207"/>
      <c r="CP2987"/>
    </row>
    <row r="2988" spans="1:94" hidden="1">
      <c r="A2988"/>
      <c r="G2988" s="207"/>
      <c r="CP2988"/>
    </row>
    <row r="2989" spans="1:94" hidden="1">
      <c r="A2989"/>
      <c r="G2989" s="207"/>
      <c r="CP2989"/>
    </row>
    <row r="2990" spans="1:94" hidden="1">
      <c r="A2990"/>
      <c r="G2990" s="207"/>
      <c r="CP2990"/>
    </row>
    <row r="2991" spans="1:94" hidden="1">
      <c r="A2991"/>
      <c r="G2991" s="207"/>
      <c r="CP2991"/>
    </row>
    <row r="2992" spans="1:94" hidden="1">
      <c r="A2992"/>
      <c r="G2992" s="207"/>
      <c r="CP2992"/>
    </row>
    <row r="2993" spans="1:94" hidden="1">
      <c r="A2993"/>
      <c r="G2993" s="207"/>
      <c r="CP2993"/>
    </row>
    <row r="2994" spans="1:94" hidden="1">
      <c r="A2994"/>
      <c r="G2994" s="207"/>
      <c r="CP2994"/>
    </row>
    <row r="2995" spans="1:94" hidden="1">
      <c r="A2995"/>
      <c r="G2995" s="207"/>
      <c r="CP2995"/>
    </row>
    <row r="2996" spans="1:94" hidden="1">
      <c r="A2996"/>
      <c r="G2996" s="207"/>
      <c r="CP2996"/>
    </row>
    <row r="2997" spans="1:94" hidden="1">
      <c r="A2997"/>
      <c r="G2997" s="207"/>
      <c r="CP2997"/>
    </row>
    <row r="2998" spans="1:94" hidden="1">
      <c r="A2998"/>
      <c r="G2998" s="207"/>
      <c r="CP2998"/>
    </row>
    <row r="2999" spans="1:94" hidden="1">
      <c r="A2999"/>
      <c r="G2999" s="207"/>
      <c r="CP2999"/>
    </row>
    <row r="3000" spans="1:94" hidden="1">
      <c r="A3000"/>
      <c r="G3000" s="207"/>
      <c r="CP3000"/>
    </row>
    <row r="3001" spans="1:94" hidden="1">
      <c r="A3001"/>
      <c r="G3001" s="207"/>
      <c r="CP3001"/>
    </row>
    <row r="3002" spans="1:94" hidden="1">
      <c r="A3002"/>
      <c r="G3002" s="207"/>
      <c r="CP3002"/>
    </row>
    <row r="3003" spans="1:94" hidden="1">
      <c r="A3003"/>
      <c r="G3003" s="207"/>
      <c r="CP3003"/>
    </row>
    <row r="3004" spans="1:94" hidden="1">
      <c r="A3004"/>
      <c r="G3004" s="207"/>
      <c r="CP3004"/>
    </row>
    <row r="3005" spans="1:94" hidden="1">
      <c r="A3005"/>
      <c r="G3005" s="207"/>
      <c r="CP3005"/>
    </row>
    <row r="3006" spans="1:94" hidden="1">
      <c r="A3006"/>
      <c r="G3006" s="207"/>
      <c r="CP3006"/>
    </row>
    <row r="3007" spans="1:94" hidden="1">
      <c r="A3007"/>
      <c r="G3007" s="207"/>
      <c r="CP3007"/>
    </row>
    <row r="3008" spans="1:94" hidden="1">
      <c r="A3008"/>
      <c r="G3008" s="207"/>
      <c r="CP3008"/>
    </row>
    <row r="3009" spans="1:94" hidden="1">
      <c r="A3009"/>
      <c r="G3009" s="207"/>
      <c r="CP3009"/>
    </row>
    <row r="3010" spans="1:94" hidden="1">
      <c r="A3010"/>
      <c r="G3010" s="207"/>
      <c r="CP3010"/>
    </row>
    <row r="3011" spans="1:94" hidden="1">
      <c r="A3011"/>
      <c r="G3011" s="207"/>
      <c r="CP3011"/>
    </row>
    <row r="3012" spans="1:94" hidden="1">
      <c r="A3012"/>
      <c r="G3012" s="207"/>
      <c r="CP3012"/>
    </row>
    <row r="3013" spans="1:94" hidden="1">
      <c r="A3013"/>
      <c r="G3013" s="207"/>
      <c r="CP3013"/>
    </row>
    <row r="3014" spans="1:94" hidden="1">
      <c r="A3014"/>
      <c r="G3014" s="207"/>
      <c r="CP3014"/>
    </row>
    <row r="3015" spans="1:94" hidden="1">
      <c r="A3015"/>
      <c r="G3015" s="207"/>
      <c r="CP3015"/>
    </row>
    <row r="3016" spans="1:94" hidden="1">
      <c r="A3016"/>
      <c r="G3016" s="207"/>
      <c r="CP3016"/>
    </row>
    <row r="3017" spans="1:94" hidden="1">
      <c r="A3017"/>
      <c r="G3017" s="207"/>
      <c r="CP3017"/>
    </row>
    <row r="3018" spans="1:94" hidden="1">
      <c r="A3018"/>
      <c r="G3018" s="207"/>
      <c r="CP3018"/>
    </row>
    <row r="3019" spans="1:94" hidden="1">
      <c r="A3019"/>
      <c r="G3019" s="207"/>
      <c r="CP3019"/>
    </row>
    <row r="3020" spans="1:94" hidden="1">
      <c r="A3020"/>
      <c r="G3020" s="207"/>
      <c r="CP3020"/>
    </row>
    <row r="3021" spans="1:94" hidden="1">
      <c r="A3021"/>
      <c r="G3021" s="207"/>
      <c r="CP3021"/>
    </row>
    <row r="3022" spans="1:94" hidden="1">
      <c r="A3022"/>
      <c r="G3022" s="207"/>
      <c r="CP3022"/>
    </row>
    <row r="3023" spans="1:94" hidden="1">
      <c r="A3023"/>
      <c r="G3023" s="207"/>
      <c r="CP3023"/>
    </row>
    <row r="3024" spans="1:94" hidden="1">
      <c r="A3024"/>
      <c r="G3024" s="207"/>
      <c r="CP3024"/>
    </row>
    <row r="3025" spans="1:94" hidden="1">
      <c r="A3025"/>
      <c r="G3025" s="207"/>
      <c r="CP3025"/>
    </row>
    <row r="3026" spans="1:94" hidden="1">
      <c r="A3026"/>
      <c r="G3026" s="207"/>
      <c r="CP3026"/>
    </row>
    <row r="3027" spans="1:94" hidden="1">
      <c r="A3027"/>
      <c r="G3027" s="207"/>
      <c r="CP3027"/>
    </row>
    <row r="3028" spans="1:94" hidden="1">
      <c r="A3028"/>
      <c r="G3028" s="207"/>
      <c r="CP3028"/>
    </row>
    <row r="3029" spans="1:94" hidden="1">
      <c r="A3029"/>
      <c r="G3029" s="207"/>
      <c r="CP3029"/>
    </row>
    <row r="3030" spans="1:94" hidden="1">
      <c r="A3030"/>
      <c r="G3030" s="207"/>
      <c r="CP3030"/>
    </row>
    <row r="3031" spans="1:94" hidden="1">
      <c r="A3031"/>
      <c r="G3031" s="207"/>
      <c r="CP3031"/>
    </row>
    <row r="3032" spans="1:94" hidden="1">
      <c r="A3032"/>
      <c r="G3032" s="207"/>
      <c r="CP3032"/>
    </row>
    <row r="3033" spans="1:94" hidden="1">
      <c r="A3033"/>
      <c r="G3033" s="207"/>
      <c r="CP3033"/>
    </row>
    <row r="3034" spans="1:94" hidden="1">
      <c r="A3034"/>
      <c r="G3034" s="207"/>
      <c r="CP3034"/>
    </row>
    <row r="3035" spans="1:94" hidden="1">
      <c r="A3035"/>
      <c r="G3035" s="207"/>
      <c r="CP3035"/>
    </row>
    <row r="3036" spans="1:94" hidden="1">
      <c r="A3036"/>
      <c r="G3036" s="207"/>
      <c r="CP3036"/>
    </row>
    <row r="3037" spans="1:94" hidden="1">
      <c r="A3037"/>
      <c r="G3037" s="207"/>
      <c r="CP3037"/>
    </row>
    <row r="3038" spans="1:94" hidden="1">
      <c r="A3038"/>
      <c r="G3038" s="207"/>
      <c r="CP3038"/>
    </row>
    <row r="3039" spans="1:94" hidden="1">
      <c r="A3039"/>
      <c r="G3039" s="207"/>
      <c r="CP3039"/>
    </row>
    <row r="3040" spans="1:94" hidden="1">
      <c r="A3040"/>
      <c r="G3040" s="207"/>
      <c r="CP3040"/>
    </row>
    <row r="3041" spans="1:94" hidden="1">
      <c r="A3041"/>
      <c r="G3041" s="207"/>
      <c r="CP3041"/>
    </row>
    <row r="3042" spans="1:94" hidden="1">
      <c r="A3042"/>
      <c r="G3042" s="207"/>
      <c r="CP3042"/>
    </row>
    <row r="3043" spans="1:94" hidden="1">
      <c r="A3043"/>
      <c r="G3043" s="207"/>
      <c r="CP3043"/>
    </row>
    <row r="3044" spans="1:94" hidden="1">
      <c r="A3044"/>
      <c r="G3044" s="207"/>
      <c r="CP3044"/>
    </row>
    <row r="3045" spans="1:94" hidden="1">
      <c r="A3045"/>
      <c r="G3045" s="207"/>
      <c r="CP3045"/>
    </row>
    <row r="3046" spans="1:94" hidden="1">
      <c r="A3046"/>
      <c r="G3046" s="207"/>
      <c r="CP3046"/>
    </row>
    <row r="3047" spans="1:94" hidden="1">
      <c r="A3047"/>
      <c r="G3047" s="207"/>
      <c r="CP3047"/>
    </row>
    <row r="3048" spans="1:94" hidden="1">
      <c r="A3048"/>
      <c r="G3048" s="207"/>
      <c r="CP3048"/>
    </row>
    <row r="3049" spans="1:94" hidden="1">
      <c r="A3049"/>
      <c r="G3049" s="207"/>
      <c r="CP3049"/>
    </row>
    <row r="3050" spans="1:94" hidden="1">
      <c r="A3050"/>
      <c r="G3050" s="207"/>
      <c r="CP3050"/>
    </row>
    <row r="3051" spans="1:94" hidden="1">
      <c r="A3051"/>
      <c r="G3051" s="207"/>
      <c r="CP3051"/>
    </row>
    <row r="3052" spans="1:94" hidden="1">
      <c r="A3052"/>
      <c r="G3052" s="207"/>
      <c r="CP3052"/>
    </row>
    <row r="3053" spans="1:94" hidden="1">
      <c r="A3053"/>
      <c r="G3053" s="207"/>
      <c r="CP3053"/>
    </row>
    <row r="3054" spans="1:94" hidden="1">
      <c r="A3054"/>
      <c r="G3054" s="207"/>
      <c r="CP3054"/>
    </row>
    <row r="3055" spans="1:94" hidden="1">
      <c r="A3055"/>
      <c r="G3055" s="207"/>
      <c r="CP3055"/>
    </row>
    <row r="3056" spans="1:94" hidden="1">
      <c r="A3056"/>
      <c r="G3056" s="207"/>
      <c r="CP3056"/>
    </row>
    <row r="3057" spans="1:94" hidden="1">
      <c r="A3057"/>
      <c r="G3057" s="207"/>
      <c r="CP3057"/>
    </row>
    <row r="3058" spans="1:94" hidden="1">
      <c r="A3058"/>
      <c r="G3058" s="207"/>
      <c r="CP3058"/>
    </row>
    <row r="3059" spans="1:94" hidden="1">
      <c r="A3059"/>
      <c r="G3059" s="207"/>
      <c r="CP3059"/>
    </row>
    <row r="3060" spans="1:94" hidden="1">
      <c r="A3060"/>
      <c r="G3060" s="207"/>
      <c r="CP3060"/>
    </row>
    <row r="3061" spans="1:94" hidden="1">
      <c r="A3061"/>
      <c r="G3061" s="207"/>
      <c r="CP3061"/>
    </row>
    <row r="3062" spans="1:94" hidden="1">
      <c r="A3062"/>
      <c r="G3062" s="207"/>
      <c r="CP3062"/>
    </row>
    <row r="3063" spans="1:94" hidden="1">
      <c r="A3063"/>
      <c r="G3063" s="207"/>
      <c r="CP3063"/>
    </row>
    <row r="3064" spans="1:94" hidden="1">
      <c r="A3064"/>
      <c r="G3064" s="207"/>
      <c r="CP3064"/>
    </row>
    <row r="3065" spans="1:94" hidden="1">
      <c r="A3065"/>
      <c r="G3065" s="207"/>
      <c r="CP3065"/>
    </row>
    <row r="3066" spans="1:94" hidden="1">
      <c r="A3066"/>
      <c r="G3066" s="207"/>
      <c r="CP3066"/>
    </row>
    <row r="3067" spans="1:94" hidden="1">
      <c r="A3067"/>
      <c r="G3067" s="207"/>
      <c r="CP3067"/>
    </row>
    <row r="3068" spans="1:94" hidden="1">
      <c r="A3068"/>
      <c r="G3068" s="207"/>
      <c r="CP3068"/>
    </row>
    <row r="3069" spans="1:94" hidden="1">
      <c r="A3069"/>
      <c r="G3069" s="207"/>
      <c r="CP3069"/>
    </row>
    <row r="3070" spans="1:94" hidden="1">
      <c r="A3070"/>
      <c r="G3070" s="207"/>
      <c r="CP3070"/>
    </row>
    <row r="3071" spans="1:94" hidden="1">
      <c r="A3071"/>
      <c r="G3071" s="207"/>
      <c r="CP3071"/>
    </row>
    <row r="3072" spans="1:94" hidden="1">
      <c r="A3072"/>
      <c r="G3072" s="207"/>
      <c r="CP3072"/>
    </row>
    <row r="3073" spans="1:94" hidden="1">
      <c r="A3073"/>
      <c r="G3073" s="207"/>
      <c r="CP3073"/>
    </row>
    <row r="3074" spans="1:94" hidden="1">
      <c r="A3074"/>
      <c r="G3074" s="207"/>
      <c r="CP3074"/>
    </row>
    <row r="3075" spans="1:94" hidden="1">
      <c r="A3075"/>
      <c r="G3075" s="207"/>
      <c r="CP3075"/>
    </row>
    <row r="3076" spans="1:94" hidden="1">
      <c r="A3076"/>
      <c r="G3076" s="207"/>
      <c r="CP3076"/>
    </row>
    <row r="3077" spans="1:94" hidden="1">
      <c r="A3077"/>
      <c r="G3077" s="207"/>
      <c r="CP3077"/>
    </row>
    <row r="3078" spans="1:94" hidden="1">
      <c r="A3078"/>
      <c r="G3078" s="207"/>
      <c r="CP3078"/>
    </row>
    <row r="3079" spans="1:94" hidden="1">
      <c r="A3079"/>
      <c r="G3079" s="207"/>
      <c r="CP3079"/>
    </row>
    <row r="3080" spans="1:94" hidden="1">
      <c r="A3080"/>
      <c r="G3080" s="207"/>
      <c r="CP3080"/>
    </row>
    <row r="3081" spans="1:94" hidden="1">
      <c r="A3081"/>
      <c r="G3081" s="207"/>
      <c r="CP3081"/>
    </row>
    <row r="3082" spans="1:94" hidden="1">
      <c r="A3082"/>
      <c r="G3082" s="207"/>
      <c r="CP3082"/>
    </row>
    <row r="3083" spans="1:94" hidden="1">
      <c r="A3083"/>
      <c r="G3083" s="207"/>
      <c r="CP3083"/>
    </row>
    <row r="3084" spans="1:94" hidden="1">
      <c r="A3084"/>
      <c r="G3084" s="207"/>
      <c r="CP3084"/>
    </row>
    <row r="3085" spans="1:94" hidden="1">
      <c r="A3085"/>
      <c r="G3085" s="207"/>
      <c r="CP3085"/>
    </row>
    <row r="3086" spans="1:94" hidden="1">
      <c r="A3086"/>
      <c r="G3086" s="207"/>
      <c r="CP3086"/>
    </row>
    <row r="3087" spans="1:94" hidden="1">
      <c r="A3087"/>
      <c r="G3087" s="207"/>
      <c r="CP3087"/>
    </row>
    <row r="3088" spans="1:94" hidden="1">
      <c r="A3088"/>
      <c r="G3088" s="207"/>
      <c r="CP3088"/>
    </row>
    <row r="3089" spans="1:94" hidden="1">
      <c r="A3089"/>
      <c r="G3089" s="207"/>
      <c r="CP3089"/>
    </row>
    <row r="3090" spans="1:94" hidden="1">
      <c r="A3090"/>
      <c r="G3090" s="207"/>
      <c r="CP3090"/>
    </row>
    <row r="3091" spans="1:94" hidden="1">
      <c r="A3091"/>
      <c r="G3091" s="207"/>
      <c r="CP3091"/>
    </row>
    <row r="3092" spans="1:94" hidden="1">
      <c r="A3092"/>
      <c r="G3092" s="207"/>
      <c r="CP3092"/>
    </row>
    <row r="3093" spans="1:94" hidden="1">
      <c r="A3093"/>
      <c r="G3093" s="207"/>
      <c r="CP3093"/>
    </row>
    <row r="3094" spans="1:94" hidden="1">
      <c r="A3094"/>
      <c r="G3094" s="207"/>
      <c r="CP3094"/>
    </row>
    <row r="3095" spans="1:94" hidden="1">
      <c r="A3095"/>
      <c r="G3095" s="207"/>
      <c r="CP3095"/>
    </row>
    <row r="3096" spans="1:94" hidden="1">
      <c r="A3096"/>
      <c r="G3096" s="207"/>
      <c r="CP3096"/>
    </row>
    <row r="3097" spans="1:94" hidden="1">
      <c r="A3097"/>
      <c r="G3097" s="207"/>
      <c r="CP3097"/>
    </row>
    <row r="3098" spans="1:94" hidden="1">
      <c r="A3098"/>
      <c r="G3098" s="207"/>
      <c r="CP3098"/>
    </row>
    <row r="3099" spans="1:94" hidden="1">
      <c r="A3099"/>
      <c r="G3099" s="207"/>
      <c r="CP3099"/>
    </row>
    <row r="3100" spans="1:94" hidden="1">
      <c r="A3100"/>
      <c r="G3100" s="207"/>
      <c r="CP3100"/>
    </row>
    <row r="3101" spans="1:94" hidden="1">
      <c r="A3101"/>
      <c r="G3101" s="207"/>
      <c r="CP3101"/>
    </row>
    <row r="3102" spans="1:94" hidden="1">
      <c r="A3102"/>
      <c r="G3102" s="207"/>
      <c r="CP3102"/>
    </row>
    <row r="3103" spans="1:94" hidden="1">
      <c r="A3103"/>
      <c r="G3103" s="207"/>
      <c r="CP3103"/>
    </row>
    <row r="3104" spans="1:94" hidden="1">
      <c r="A3104"/>
      <c r="G3104" s="207"/>
      <c r="CP3104"/>
    </row>
    <row r="3105" spans="1:94" hidden="1">
      <c r="A3105"/>
      <c r="G3105" s="207"/>
      <c r="CP3105"/>
    </row>
    <row r="3106" spans="1:94" hidden="1">
      <c r="A3106"/>
      <c r="G3106" s="207"/>
      <c r="CP3106"/>
    </row>
    <row r="3107" spans="1:94" hidden="1">
      <c r="A3107"/>
      <c r="G3107" s="207"/>
      <c r="CP3107"/>
    </row>
    <row r="3108" spans="1:94" hidden="1">
      <c r="A3108"/>
      <c r="G3108" s="207"/>
      <c r="CP3108"/>
    </row>
    <row r="3109" spans="1:94" hidden="1">
      <c r="A3109"/>
      <c r="G3109" s="207"/>
      <c r="CP3109"/>
    </row>
    <row r="3110" spans="1:94" hidden="1">
      <c r="A3110"/>
      <c r="G3110" s="207"/>
      <c r="CP3110"/>
    </row>
    <row r="3111" spans="1:94" hidden="1">
      <c r="A3111"/>
      <c r="G3111" s="207"/>
      <c r="CP3111"/>
    </row>
    <row r="3112" spans="1:94" hidden="1">
      <c r="A3112"/>
      <c r="G3112" s="207"/>
      <c r="CP3112"/>
    </row>
    <row r="3113" spans="1:94" hidden="1">
      <c r="A3113"/>
      <c r="G3113" s="207"/>
      <c r="CP3113"/>
    </row>
    <row r="3114" spans="1:94" hidden="1">
      <c r="A3114"/>
      <c r="G3114" s="207"/>
      <c r="CP3114"/>
    </row>
    <row r="3115" spans="1:94" hidden="1">
      <c r="A3115"/>
      <c r="G3115" s="207"/>
      <c r="CP3115"/>
    </row>
    <row r="3116" spans="1:94" hidden="1">
      <c r="A3116"/>
      <c r="G3116" s="207"/>
      <c r="CP3116"/>
    </row>
    <row r="3117" spans="1:94" hidden="1">
      <c r="A3117"/>
      <c r="G3117" s="207"/>
      <c r="CP3117"/>
    </row>
    <row r="3118" spans="1:94" hidden="1">
      <c r="A3118"/>
      <c r="G3118" s="207"/>
      <c r="CP3118"/>
    </row>
    <row r="3119" spans="1:94" hidden="1">
      <c r="A3119"/>
      <c r="G3119" s="207"/>
      <c r="CP3119"/>
    </row>
    <row r="3120" spans="1:94" hidden="1">
      <c r="A3120"/>
      <c r="G3120" s="207"/>
      <c r="CP3120"/>
    </row>
    <row r="3121" spans="1:94" hidden="1">
      <c r="A3121"/>
      <c r="G3121" s="207"/>
      <c r="CP3121"/>
    </row>
    <row r="3122" spans="1:94" hidden="1">
      <c r="A3122"/>
      <c r="G3122" s="207"/>
      <c r="CP3122"/>
    </row>
    <row r="3123" spans="1:94" hidden="1">
      <c r="A3123"/>
      <c r="G3123" s="207"/>
      <c r="CP3123"/>
    </row>
    <row r="3124" spans="1:94" hidden="1">
      <c r="A3124"/>
      <c r="G3124" s="207"/>
      <c r="CP3124"/>
    </row>
    <row r="3125" spans="1:94" hidden="1">
      <c r="A3125"/>
      <c r="G3125" s="207"/>
      <c r="CP3125"/>
    </row>
    <row r="3126" spans="1:94" hidden="1">
      <c r="A3126"/>
      <c r="G3126" s="207"/>
      <c r="CP3126"/>
    </row>
    <row r="3127" spans="1:94" hidden="1">
      <c r="A3127"/>
      <c r="G3127" s="207"/>
      <c r="CP3127"/>
    </row>
    <row r="3128" spans="1:94" hidden="1">
      <c r="A3128"/>
      <c r="G3128" s="207"/>
      <c r="CP3128"/>
    </row>
    <row r="3129" spans="1:94" hidden="1">
      <c r="A3129"/>
      <c r="G3129" s="207"/>
      <c r="CP3129"/>
    </row>
    <row r="3130" spans="1:94" hidden="1">
      <c r="A3130"/>
      <c r="G3130" s="207"/>
      <c r="CP3130"/>
    </row>
    <row r="3131" spans="1:94" hidden="1">
      <c r="A3131"/>
      <c r="G3131" s="207"/>
      <c r="CP3131"/>
    </row>
    <row r="3132" spans="1:94" hidden="1">
      <c r="A3132"/>
      <c r="G3132" s="207"/>
      <c r="CP3132"/>
    </row>
    <row r="3133" spans="1:94" hidden="1">
      <c r="A3133"/>
      <c r="G3133" s="207"/>
      <c r="CP3133"/>
    </row>
    <row r="3134" spans="1:94" hidden="1">
      <c r="A3134"/>
      <c r="G3134" s="207"/>
      <c r="CP3134"/>
    </row>
    <row r="3135" spans="1:94" hidden="1">
      <c r="A3135"/>
      <c r="G3135" s="207"/>
      <c r="CP3135"/>
    </row>
    <row r="3136" spans="1:94" hidden="1">
      <c r="A3136"/>
      <c r="G3136" s="207"/>
      <c r="CP3136"/>
    </row>
    <row r="3137" spans="1:94" hidden="1">
      <c r="A3137"/>
      <c r="G3137" s="207"/>
      <c r="CP3137"/>
    </row>
    <row r="3138" spans="1:94" hidden="1">
      <c r="A3138"/>
      <c r="G3138" s="207"/>
      <c r="CP3138"/>
    </row>
    <row r="3139" spans="1:94" hidden="1">
      <c r="A3139"/>
      <c r="G3139" s="207"/>
      <c r="CP3139"/>
    </row>
    <row r="3140" spans="1:94" hidden="1">
      <c r="A3140"/>
      <c r="G3140" s="207"/>
      <c r="CP3140"/>
    </row>
    <row r="3141" spans="1:94" hidden="1">
      <c r="A3141"/>
      <c r="G3141" s="207"/>
      <c r="CP3141"/>
    </row>
    <row r="3142" spans="1:94" hidden="1">
      <c r="A3142"/>
      <c r="G3142" s="207"/>
      <c r="CP3142"/>
    </row>
    <row r="3143" spans="1:94" hidden="1">
      <c r="A3143"/>
      <c r="G3143" s="207"/>
      <c r="CP3143"/>
    </row>
    <row r="3144" spans="1:94" hidden="1">
      <c r="A3144"/>
      <c r="G3144" s="207"/>
      <c r="CP3144"/>
    </row>
    <row r="3145" spans="1:94" hidden="1">
      <c r="A3145"/>
      <c r="G3145" s="207"/>
      <c r="CP3145"/>
    </row>
    <row r="3146" spans="1:94" hidden="1">
      <c r="A3146"/>
      <c r="G3146" s="207"/>
      <c r="CP3146"/>
    </row>
    <row r="3147" spans="1:94" hidden="1">
      <c r="A3147"/>
      <c r="G3147" s="207"/>
      <c r="CP3147"/>
    </row>
    <row r="3148" spans="1:94" hidden="1">
      <c r="A3148"/>
      <c r="G3148" s="207"/>
      <c r="CP3148"/>
    </row>
    <row r="3149" spans="1:94" hidden="1">
      <c r="A3149"/>
      <c r="G3149" s="207"/>
      <c r="CP3149"/>
    </row>
    <row r="3150" spans="1:94" hidden="1">
      <c r="A3150"/>
      <c r="G3150" s="207"/>
      <c r="CP3150"/>
    </row>
    <row r="3151" spans="1:94" hidden="1">
      <c r="A3151"/>
      <c r="G3151" s="207"/>
      <c r="CP3151"/>
    </row>
    <row r="3152" spans="1:94" hidden="1">
      <c r="A3152"/>
      <c r="G3152" s="207"/>
      <c r="CP3152"/>
    </row>
    <row r="3153" spans="1:94" hidden="1">
      <c r="A3153"/>
      <c r="G3153" s="207"/>
      <c r="CP3153"/>
    </row>
    <row r="3154" spans="1:94" hidden="1">
      <c r="A3154"/>
      <c r="G3154" s="207"/>
      <c r="CP3154"/>
    </row>
    <row r="3155" spans="1:94" hidden="1">
      <c r="A3155"/>
      <c r="G3155" s="207"/>
      <c r="CP3155"/>
    </row>
    <row r="3156" spans="1:94" hidden="1">
      <c r="A3156"/>
      <c r="G3156" s="207"/>
      <c r="CP3156"/>
    </row>
    <row r="3157" spans="1:94" hidden="1">
      <c r="A3157"/>
      <c r="G3157" s="207"/>
      <c r="CP3157"/>
    </row>
    <row r="3158" spans="1:94" hidden="1">
      <c r="A3158"/>
      <c r="G3158" s="207"/>
      <c r="CP3158"/>
    </row>
    <row r="3159" spans="1:94" hidden="1">
      <c r="A3159"/>
      <c r="G3159" s="207"/>
      <c r="CP3159"/>
    </row>
    <row r="3160" spans="1:94" hidden="1">
      <c r="A3160"/>
      <c r="G3160" s="207"/>
      <c r="CP3160"/>
    </row>
    <row r="3161" spans="1:94" hidden="1">
      <c r="A3161"/>
      <c r="G3161" s="207"/>
      <c r="CP3161"/>
    </row>
    <row r="3162" spans="1:94" hidden="1">
      <c r="A3162"/>
      <c r="G3162" s="207"/>
      <c r="CP3162"/>
    </row>
    <row r="3163" spans="1:94" hidden="1">
      <c r="A3163"/>
      <c r="G3163" s="207"/>
      <c r="CP3163"/>
    </row>
    <row r="3164" spans="1:94" hidden="1">
      <c r="A3164"/>
      <c r="G3164" s="207"/>
      <c r="CP3164"/>
    </row>
    <row r="3165" spans="1:94" hidden="1">
      <c r="A3165"/>
      <c r="G3165" s="207"/>
      <c r="CP3165"/>
    </row>
    <row r="3166" spans="1:94" hidden="1">
      <c r="A3166"/>
      <c r="G3166" s="207"/>
      <c r="CP3166"/>
    </row>
    <row r="3167" spans="1:94" hidden="1">
      <c r="A3167"/>
      <c r="G3167" s="207"/>
      <c r="CP3167"/>
    </row>
    <row r="3168" spans="1:94" hidden="1">
      <c r="A3168"/>
      <c r="G3168" s="207"/>
      <c r="CP3168"/>
    </row>
    <row r="3169" spans="1:94" hidden="1">
      <c r="A3169"/>
      <c r="G3169" s="207"/>
      <c r="CP3169"/>
    </row>
    <row r="3170" spans="1:94" hidden="1">
      <c r="A3170"/>
      <c r="G3170" s="207"/>
      <c r="CP3170"/>
    </row>
    <row r="3171" spans="1:94" hidden="1">
      <c r="A3171"/>
      <c r="G3171" s="207"/>
      <c r="CP3171"/>
    </row>
    <row r="3172" spans="1:94" hidden="1">
      <c r="A3172"/>
      <c r="G3172" s="207"/>
      <c r="CP3172"/>
    </row>
    <row r="3173" spans="1:94" hidden="1">
      <c r="A3173"/>
      <c r="G3173" s="207"/>
      <c r="CP3173"/>
    </row>
    <row r="3174" spans="1:94" hidden="1">
      <c r="A3174"/>
      <c r="G3174" s="207"/>
      <c r="CP3174"/>
    </row>
    <row r="3175" spans="1:94" hidden="1">
      <c r="A3175"/>
      <c r="G3175" s="207"/>
      <c r="CP3175"/>
    </row>
    <row r="3176" spans="1:94" hidden="1">
      <c r="A3176"/>
      <c r="G3176" s="207"/>
      <c r="CP3176"/>
    </row>
    <row r="3177" spans="1:94" hidden="1">
      <c r="A3177"/>
      <c r="G3177" s="207"/>
      <c r="CP3177"/>
    </row>
    <row r="3178" spans="1:94" hidden="1">
      <c r="A3178"/>
      <c r="G3178" s="207"/>
      <c r="CP3178"/>
    </row>
    <row r="3179" spans="1:94" hidden="1">
      <c r="A3179"/>
      <c r="G3179" s="207"/>
      <c r="CP3179"/>
    </row>
    <row r="3180" spans="1:94" hidden="1">
      <c r="A3180"/>
      <c r="G3180" s="207"/>
      <c r="CP3180"/>
    </row>
    <row r="3181" spans="1:94" hidden="1">
      <c r="A3181"/>
      <c r="G3181" s="207"/>
      <c r="CP3181"/>
    </row>
    <row r="3182" spans="1:94" hidden="1">
      <c r="A3182"/>
      <c r="G3182" s="207"/>
      <c r="CP3182"/>
    </row>
    <row r="3183" spans="1:94" hidden="1">
      <c r="A3183"/>
      <c r="G3183" s="207"/>
      <c r="CP3183"/>
    </row>
    <row r="3184" spans="1:94" hidden="1">
      <c r="A3184"/>
      <c r="G3184" s="207"/>
      <c r="CP3184"/>
    </row>
    <row r="3185" spans="1:94" hidden="1">
      <c r="A3185"/>
      <c r="G3185" s="207"/>
      <c r="CP3185"/>
    </row>
    <row r="3186" spans="1:94" hidden="1">
      <c r="A3186"/>
      <c r="G3186" s="207"/>
      <c r="CP3186"/>
    </row>
    <row r="3187" spans="1:94" hidden="1">
      <c r="A3187"/>
      <c r="G3187" s="207"/>
      <c r="CP3187"/>
    </row>
    <row r="3188" spans="1:94" hidden="1">
      <c r="A3188"/>
      <c r="G3188" s="207"/>
      <c r="CP3188"/>
    </row>
    <row r="3189" spans="1:94" hidden="1">
      <c r="A3189"/>
      <c r="G3189" s="207"/>
      <c r="CP3189"/>
    </row>
    <row r="3190" spans="1:94" hidden="1">
      <c r="A3190"/>
      <c r="G3190" s="207"/>
      <c r="CP3190"/>
    </row>
    <row r="3191" spans="1:94" hidden="1">
      <c r="A3191"/>
      <c r="G3191" s="207"/>
      <c r="CP3191"/>
    </row>
    <row r="3192" spans="1:94" hidden="1">
      <c r="A3192"/>
      <c r="G3192" s="207"/>
      <c r="CP3192"/>
    </row>
    <row r="3193" spans="1:94" hidden="1">
      <c r="A3193"/>
      <c r="G3193" s="207"/>
      <c r="CP3193"/>
    </row>
    <row r="3194" spans="1:94" hidden="1">
      <c r="A3194"/>
      <c r="G3194" s="207"/>
      <c r="CP3194"/>
    </row>
    <row r="3195" spans="1:94" hidden="1">
      <c r="A3195"/>
      <c r="G3195" s="207"/>
      <c r="CP3195"/>
    </row>
    <row r="3196" spans="1:94" hidden="1">
      <c r="A3196"/>
      <c r="G3196" s="207"/>
      <c r="CP3196"/>
    </row>
    <row r="3197" spans="1:94" hidden="1">
      <c r="A3197"/>
      <c r="G3197" s="207"/>
      <c r="CP3197"/>
    </row>
    <row r="3198" spans="1:94" hidden="1">
      <c r="A3198"/>
      <c r="G3198" s="207"/>
      <c r="CP3198"/>
    </row>
    <row r="3199" spans="1:94" hidden="1">
      <c r="A3199"/>
      <c r="G3199" s="207"/>
      <c r="CP3199"/>
    </row>
    <row r="3200" spans="1:94" hidden="1">
      <c r="A3200"/>
      <c r="G3200" s="207"/>
      <c r="CP3200"/>
    </row>
    <row r="3201" spans="1:94" hidden="1">
      <c r="A3201"/>
      <c r="G3201" s="207"/>
      <c r="CP3201"/>
    </row>
    <row r="3202" spans="1:94" hidden="1">
      <c r="A3202"/>
      <c r="G3202" s="207"/>
      <c r="CP3202"/>
    </row>
    <row r="3203" spans="1:94" hidden="1">
      <c r="A3203"/>
      <c r="G3203" s="207"/>
      <c r="CP3203"/>
    </row>
    <row r="3204" spans="1:94" hidden="1">
      <c r="A3204"/>
      <c r="G3204" s="207"/>
      <c r="CP3204"/>
    </row>
    <row r="3205" spans="1:94" hidden="1">
      <c r="A3205"/>
      <c r="G3205" s="207"/>
      <c r="CP3205"/>
    </row>
    <row r="3206" spans="1:94" hidden="1">
      <c r="A3206"/>
      <c r="G3206" s="207"/>
      <c r="CP3206"/>
    </row>
    <row r="3207" spans="1:94" hidden="1">
      <c r="A3207"/>
      <c r="G3207" s="207"/>
      <c r="CP3207"/>
    </row>
    <row r="3208" spans="1:94" hidden="1">
      <c r="A3208"/>
      <c r="G3208" s="207"/>
      <c r="CP3208"/>
    </row>
    <row r="3209" spans="1:94" hidden="1">
      <c r="A3209"/>
      <c r="G3209" s="207"/>
      <c r="CP3209"/>
    </row>
    <row r="3210" spans="1:94" hidden="1">
      <c r="A3210"/>
      <c r="G3210" s="207"/>
      <c r="CP3210"/>
    </row>
    <row r="3211" spans="1:94" hidden="1">
      <c r="A3211"/>
      <c r="G3211" s="207"/>
      <c r="CP3211"/>
    </row>
    <row r="3212" spans="1:94" hidden="1">
      <c r="A3212"/>
      <c r="G3212" s="207"/>
      <c r="CP3212"/>
    </row>
    <row r="3213" spans="1:94" hidden="1">
      <c r="A3213"/>
      <c r="G3213" s="207"/>
      <c r="CP3213"/>
    </row>
    <row r="3214" spans="1:94" hidden="1">
      <c r="A3214"/>
      <c r="G3214" s="207"/>
      <c r="CP3214"/>
    </row>
    <row r="3215" spans="1:94" hidden="1">
      <c r="A3215"/>
      <c r="G3215" s="207"/>
      <c r="CP3215"/>
    </row>
    <row r="3216" spans="1:94" hidden="1">
      <c r="A3216"/>
      <c r="G3216" s="207"/>
      <c r="CP3216"/>
    </row>
    <row r="3217" spans="1:94" hidden="1">
      <c r="A3217"/>
      <c r="G3217" s="207"/>
      <c r="CP3217"/>
    </row>
    <row r="3218" spans="1:94" hidden="1">
      <c r="A3218"/>
      <c r="G3218" s="207"/>
      <c r="CP3218"/>
    </row>
    <row r="3219" spans="1:94" hidden="1">
      <c r="A3219"/>
      <c r="G3219" s="207"/>
      <c r="CP3219"/>
    </row>
    <row r="3220" spans="1:94" hidden="1">
      <c r="A3220"/>
      <c r="G3220" s="207"/>
      <c r="CP3220"/>
    </row>
    <row r="3221" spans="1:94" hidden="1">
      <c r="A3221"/>
      <c r="G3221" s="207"/>
      <c r="CP3221"/>
    </row>
    <row r="3222" spans="1:94" hidden="1">
      <c r="A3222"/>
      <c r="G3222" s="207"/>
      <c r="CP3222"/>
    </row>
    <row r="3223" spans="1:94" hidden="1">
      <c r="A3223"/>
      <c r="G3223" s="207"/>
      <c r="CP3223"/>
    </row>
    <row r="3224" spans="1:94" hidden="1">
      <c r="A3224"/>
      <c r="G3224" s="207"/>
      <c r="CP3224"/>
    </row>
    <row r="3225" spans="1:94" hidden="1">
      <c r="A3225"/>
      <c r="G3225" s="207"/>
      <c r="CP3225"/>
    </row>
    <row r="3226" spans="1:94" hidden="1">
      <c r="A3226"/>
      <c r="G3226" s="207"/>
      <c r="CP3226"/>
    </row>
    <row r="3227" spans="1:94" hidden="1">
      <c r="A3227"/>
      <c r="G3227" s="207"/>
      <c r="CP3227"/>
    </row>
    <row r="3228" spans="1:94" hidden="1">
      <c r="A3228"/>
      <c r="G3228" s="207"/>
      <c r="CP3228"/>
    </row>
    <row r="3229" spans="1:94" hidden="1">
      <c r="A3229"/>
      <c r="G3229" s="207"/>
      <c r="CP3229"/>
    </row>
    <row r="3230" spans="1:94" hidden="1">
      <c r="A3230"/>
      <c r="G3230" s="207"/>
      <c r="CP3230"/>
    </row>
    <row r="3231" spans="1:94" hidden="1">
      <c r="A3231"/>
      <c r="G3231" s="207"/>
      <c r="CP3231"/>
    </row>
    <row r="3232" spans="1:94" hidden="1">
      <c r="A3232"/>
      <c r="G3232" s="207"/>
      <c r="CP3232"/>
    </row>
    <row r="3233" spans="1:94" hidden="1">
      <c r="A3233"/>
      <c r="G3233" s="207"/>
      <c r="CP3233"/>
    </row>
    <row r="3234" spans="1:94" hidden="1">
      <c r="A3234"/>
      <c r="G3234" s="207"/>
      <c r="CP3234"/>
    </row>
    <row r="3235" spans="1:94" hidden="1">
      <c r="A3235"/>
      <c r="G3235" s="207"/>
      <c r="CP3235"/>
    </row>
    <row r="3236" spans="1:94" hidden="1">
      <c r="A3236"/>
      <c r="G3236" s="207"/>
      <c r="CP3236"/>
    </row>
    <row r="3237" spans="1:94" hidden="1">
      <c r="A3237"/>
      <c r="G3237" s="207"/>
      <c r="CP3237"/>
    </row>
    <row r="3238" spans="1:94" hidden="1">
      <c r="A3238"/>
      <c r="G3238" s="207"/>
      <c r="CP3238"/>
    </row>
    <row r="3239" spans="1:94" hidden="1">
      <c r="A3239"/>
      <c r="G3239" s="207"/>
      <c r="CP3239"/>
    </row>
    <row r="3240" spans="1:94" hidden="1">
      <c r="A3240"/>
      <c r="G3240" s="207"/>
      <c r="CP3240"/>
    </row>
    <row r="3241" spans="1:94" hidden="1">
      <c r="A3241"/>
      <c r="G3241" s="207"/>
      <c r="CP3241"/>
    </row>
    <row r="3242" spans="1:94" hidden="1">
      <c r="A3242"/>
      <c r="G3242" s="207"/>
      <c r="CP3242"/>
    </row>
    <row r="3243" spans="1:94" hidden="1">
      <c r="A3243"/>
      <c r="G3243" s="207"/>
      <c r="CP3243"/>
    </row>
    <row r="3244" spans="1:94" hidden="1">
      <c r="A3244"/>
      <c r="G3244" s="207"/>
      <c r="CP3244"/>
    </row>
    <row r="3245" spans="1:94" hidden="1">
      <c r="A3245"/>
      <c r="G3245" s="207"/>
      <c r="CP3245"/>
    </row>
    <row r="3246" spans="1:94" hidden="1">
      <c r="A3246"/>
      <c r="G3246" s="207"/>
      <c r="CP3246"/>
    </row>
    <row r="3247" spans="1:94" hidden="1">
      <c r="A3247"/>
      <c r="G3247" s="207"/>
      <c r="CP3247"/>
    </row>
    <row r="3248" spans="1:94" hidden="1">
      <c r="A3248"/>
      <c r="G3248" s="207"/>
      <c r="CP3248"/>
    </row>
    <row r="3249" spans="1:94" hidden="1">
      <c r="A3249"/>
      <c r="G3249" s="207"/>
      <c r="CP3249"/>
    </row>
    <row r="3250" spans="1:94" hidden="1">
      <c r="A3250"/>
      <c r="G3250" s="207"/>
      <c r="CP3250"/>
    </row>
    <row r="3251" spans="1:94" hidden="1">
      <c r="A3251"/>
      <c r="G3251" s="207"/>
      <c r="CP3251"/>
    </row>
    <row r="3252" spans="1:94" hidden="1">
      <c r="A3252"/>
      <c r="G3252" s="207"/>
      <c r="CP3252"/>
    </row>
    <row r="3253" spans="1:94" hidden="1">
      <c r="A3253"/>
      <c r="G3253" s="207"/>
      <c r="CP3253"/>
    </row>
    <row r="3254" spans="1:94" hidden="1">
      <c r="A3254"/>
      <c r="G3254" s="207"/>
      <c r="CP3254"/>
    </row>
    <row r="3255" spans="1:94" hidden="1">
      <c r="A3255"/>
      <c r="G3255" s="207"/>
      <c r="CP3255"/>
    </row>
    <row r="3256" spans="1:94" hidden="1">
      <c r="A3256"/>
      <c r="G3256" s="207"/>
      <c r="CP3256"/>
    </row>
    <row r="3257" spans="1:94" hidden="1">
      <c r="A3257"/>
      <c r="G3257" s="207"/>
      <c r="CP3257"/>
    </row>
    <row r="3258" spans="1:94" hidden="1">
      <c r="A3258"/>
      <c r="G3258" s="207"/>
      <c r="CP3258"/>
    </row>
    <row r="3259" spans="1:94" hidden="1">
      <c r="A3259"/>
      <c r="G3259" s="207"/>
      <c r="CP3259"/>
    </row>
    <row r="3260" spans="1:94" hidden="1">
      <c r="A3260"/>
      <c r="G3260" s="207"/>
      <c r="CP3260"/>
    </row>
    <row r="3261" spans="1:94" hidden="1">
      <c r="A3261"/>
      <c r="G3261" s="207"/>
      <c r="CP3261"/>
    </row>
    <row r="3262" spans="1:94" hidden="1">
      <c r="A3262"/>
      <c r="G3262" s="207"/>
      <c r="CP3262"/>
    </row>
    <row r="3263" spans="1:94" hidden="1">
      <c r="A3263"/>
      <c r="G3263" s="207"/>
      <c r="CP3263"/>
    </row>
    <row r="3264" spans="1:94" hidden="1">
      <c r="A3264"/>
      <c r="G3264" s="207"/>
      <c r="CP3264"/>
    </row>
    <row r="3265" spans="1:94" hidden="1">
      <c r="A3265"/>
      <c r="G3265" s="207"/>
      <c r="CP3265"/>
    </row>
    <row r="3266" spans="1:94" hidden="1">
      <c r="A3266"/>
      <c r="G3266" s="207"/>
      <c r="CP3266"/>
    </row>
    <row r="3267" spans="1:94" hidden="1">
      <c r="A3267"/>
      <c r="G3267" s="207"/>
      <c r="CP3267"/>
    </row>
    <row r="3268" spans="1:94" hidden="1">
      <c r="A3268"/>
      <c r="G3268" s="207"/>
      <c r="CP3268"/>
    </row>
    <row r="3269" spans="1:94" hidden="1">
      <c r="A3269"/>
      <c r="G3269" s="207"/>
      <c r="CP3269"/>
    </row>
    <row r="3270" spans="1:94" hidden="1">
      <c r="A3270"/>
      <c r="G3270" s="207"/>
      <c r="CP3270"/>
    </row>
    <row r="3271" spans="1:94" hidden="1">
      <c r="A3271"/>
      <c r="G3271" s="207"/>
      <c r="CP3271"/>
    </row>
    <row r="3272" spans="1:94" hidden="1">
      <c r="A3272"/>
      <c r="G3272" s="207"/>
      <c r="CP3272"/>
    </row>
    <row r="3273" spans="1:94" hidden="1">
      <c r="A3273"/>
      <c r="G3273" s="207"/>
      <c r="CP3273"/>
    </row>
    <row r="3274" spans="1:94" hidden="1">
      <c r="A3274"/>
      <c r="G3274" s="207"/>
      <c r="CP3274"/>
    </row>
    <row r="3275" spans="1:94" hidden="1">
      <c r="A3275"/>
      <c r="G3275" s="207"/>
      <c r="CP3275"/>
    </row>
    <row r="3276" spans="1:94" hidden="1">
      <c r="A3276"/>
      <c r="G3276" s="207"/>
      <c r="CP3276"/>
    </row>
    <row r="3277" spans="1:94" hidden="1">
      <c r="A3277"/>
      <c r="G3277" s="207"/>
      <c r="CP3277"/>
    </row>
    <row r="3278" spans="1:94" hidden="1">
      <c r="A3278"/>
      <c r="G3278" s="207"/>
      <c r="CP3278"/>
    </row>
    <row r="3279" spans="1:94" hidden="1">
      <c r="A3279"/>
      <c r="G3279" s="207"/>
      <c r="CP3279"/>
    </row>
    <row r="3280" spans="1:94" hidden="1">
      <c r="A3280"/>
      <c r="G3280" s="207"/>
      <c r="CP3280"/>
    </row>
    <row r="3281" spans="1:94" hidden="1">
      <c r="A3281"/>
      <c r="G3281" s="207"/>
      <c r="CP3281"/>
    </row>
    <row r="3282" spans="1:94" hidden="1">
      <c r="A3282"/>
      <c r="G3282" s="207"/>
      <c r="CP3282"/>
    </row>
    <row r="3283" spans="1:94" hidden="1">
      <c r="A3283"/>
      <c r="G3283" s="207"/>
      <c r="CP3283"/>
    </row>
    <row r="3284" spans="1:94" hidden="1">
      <c r="A3284"/>
      <c r="G3284" s="207"/>
      <c r="CP3284"/>
    </row>
    <row r="3285" spans="1:94" hidden="1">
      <c r="A3285"/>
      <c r="G3285" s="207"/>
      <c r="CP3285"/>
    </row>
    <row r="3286" spans="1:94" hidden="1">
      <c r="A3286"/>
      <c r="G3286" s="207"/>
      <c r="CP3286"/>
    </row>
    <row r="3287" spans="1:94" hidden="1">
      <c r="A3287"/>
      <c r="G3287" s="207"/>
      <c r="CP3287"/>
    </row>
    <row r="3288" spans="1:94" hidden="1">
      <c r="A3288"/>
      <c r="G3288" s="207"/>
      <c r="CP3288"/>
    </row>
    <row r="3289" spans="1:94" hidden="1">
      <c r="A3289"/>
      <c r="G3289" s="207"/>
      <c r="CP3289"/>
    </row>
    <row r="3290" spans="1:94" hidden="1">
      <c r="A3290"/>
      <c r="G3290" s="207"/>
      <c r="CP3290"/>
    </row>
    <row r="3291" spans="1:94" hidden="1">
      <c r="A3291"/>
      <c r="G3291" s="207"/>
      <c r="CP3291"/>
    </row>
    <row r="3292" spans="1:94" hidden="1">
      <c r="A3292"/>
      <c r="G3292" s="207"/>
      <c r="CP3292"/>
    </row>
    <row r="3293" spans="1:94" hidden="1">
      <c r="A3293"/>
      <c r="G3293" s="207"/>
      <c r="CP3293"/>
    </row>
    <row r="3294" spans="1:94" hidden="1">
      <c r="A3294"/>
      <c r="G3294" s="207"/>
      <c r="CP3294"/>
    </row>
    <row r="3295" spans="1:94" hidden="1">
      <c r="A3295"/>
      <c r="G3295" s="207"/>
      <c r="CP3295"/>
    </row>
    <row r="3296" spans="1:94" hidden="1">
      <c r="A3296"/>
      <c r="G3296" s="207"/>
      <c r="CP3296"/>
    </row>
    <row r="3297" spans="1:94" hidden="1">
      <c r="A3297"/>
      <c r="G3297" s="207"/>
      <c r="CP3297"/>
    </row>
    <row r="3298" spans="1:94" hidden="1">
      <c r="A3298"/>
      <c r="G3298" s="207"/>
      <c r="CP3298"/>
    </row>
    <row r="3299" spans="1:94" hidden="1">
      <c r="A3299"/>
      <c r="G3299" s="207"/>
      <c r="CP3299"/>
    </row>
    <row r="3300" spans="1:94" hidden="1">
      <c r="A3300"/>
      <c r="G3300" s="207"/>
      <c r="CP3300"/>
    </row>
    <row r="3301" spans="1:94" hidden="1">
      <c r="A3301"/>
      <c r="G3301" s="207"/>
      <c r="CP3301"/>
    </row>
    <row r="3302" spans="1:94" hidden="1">
      <c r="A3302"/>
      <c r="G3302" s="207"/>
      <c r="CP3302"/>
    </row>
    <row r="3303" spans="1:94" hidden="1">
      <c r="A3303"/>
      <c r="G3303" s="207"/>
      <c r="CP3303"/>
    </row>
    <row r="3304" spans="1:94" hidden="1">
      <c r="A3304"/>
      <c r="G3304" s="207"/>
      <c r="CP3304"/>
    </row>
    <row r="3305" spans="1:94" hidden="1">
      <c r="A3305"/>
      <c r="G3305" s="207"/>
      <c r="CP3305"/>
    </row>
    <row r="3306" spans="1:94" hidden="1">
      <c r="A3306"/>
      <c r="G3306" s="207"/>
      <c r="CP3306"/>
    </row>
    <row r="3307" spans="1:94" hidden="1">
      <c r="A3307"/>
      <c r="G3307" s="207"/>
      <c r="CP3307"/>
    </row>
    <row r="3308" spans="1:94" hidden="1">
      <c r="A3308"/>
      <c r="G3308" s="207"/>
      <c r="CP3308"/>
    </row>
    <row r="3309" spans="1:94" hidden="1">
      <c r="A3309"/>
      <c r="G3309" s="207"/>
      <c r="CP3309"/>
    </row>
    <row r="3310" spans="1:94" hidden="1">
      <c r="A3310"/>
      <c r="G3310" s="207"/>
      <c r="CP3310"/>
    </row>
    <row r="3311" spans="1:94" hidden="1">
      <c r="A3311"/>
      <c r="G3311" s="207"/>
      <c r="CP3311"/>
    </row>
    <row r="3312" spans="1:94" hidden="1">
      <c r="A3312"/>
      <c r="G3312" s="207"/>
      <c r="CP3312"/>
    </row>
    <row r="3313" spans="1:94" hidden="1">
      <c r="A3313"/>
      <c r="G3313" s="207"/>
      <c r="CP3313"/>
    </row>
    <row r="3314" spans="1:94" hidden="1">
      <c r="A3314"/>
      <c r="G3314" s="207"/>
      <c r="CP3314"/>
    </row>
    <row r="3315" spans="1:94" hidden="1">
      <c r="A3315"/>
      <c r="G3315" s="207"/>
      <c r="CP3315"/>
    </row>
    <row r="3316" spans="1:94" hidden="1">
      <c r="A3316"/>
      <c r="G3316" s="207"/>
      <c r="CP3316"/>
    </row>
    <row r="3317" spans="1:94" hidden="1">
      <c r="A3317"/>
      <c r="G3317" s="207"/>
      <c r="CP3317"/>
    </row>
    <row r="3318" spans="1:94" hidden="1">
      <c r="A3318"/>
      <c r="G3318" s="207"/>
      <c r="CP3318"/>
    </row>
    <row r="3319" spans="1:94" hidden="1">
      <c r="A3319"/>
      <c r="G3319" s="207"/>
      <c r="CP3319"/>
    </row>
    <row r="3320" spans="1:94" hidden="1">
      <c r="A3320"/>
      <c r="G3320" s="207"/>
      <c r="CP3320"/>
    </row>
    <row r="3321" spans="1:94" hidden="1">
      <c r="A3321"/>
      <c r="G3321" s="207"/>
      <c r="CP3321"/>
    </row>
    <row r="3322" spans="1:94" hidden="1">
      <c r="A3322"/>
      <c r="G3322" s="207"/>
      <c r="CP3322"/>
    </row>
    <row r="3323" spans="1:94" hidden="1">
      <c r="A3323"/>
      <c r="G3323" s="207"/>
      <c r="CP3323"/>
    </row>
    <row r="3324" spans="1:94" hidden="1">
      <c r="A3324"/>
      <c r="G3324" s="207"/>
      <c r="CP3324"/>
    </row>
    <row r="3325" spans="1:94" hidden="1">
      <c r="A3325"/>
      <c r="G3325" s="207"/>
      <c r="CP3325"/>
    </row>
    <row r="3326" spans="1:94" hidden="1">
      <c r="A3326"/>
      <c r="G3326" s="207"/>
      <c r="CP3326"/>
    </row>
    <row r="3327" spans="1:94" hidden="1">
      <c r="A3327"/>
      <c r="G3327" s="207"/>
      <c r="CP3327"/>
    </row>
    <row r="3328" spans="1:94" hidden="1">
      <c r="A3328"/>
      <c r="G3328" s="207"/>
      <c r="CP3328"/>
    </row>
    <row r="3329" spans="1:94" hidden="1">
      <c r="A3329"/>
      <c r="G3329" s="207"/>
      <c r="CP3329"/>
    </row>
    <row r="3330" spans="1:94" hidden="1">
      <c r="A3330"/>
      <c r="G3330" s="207"/>
      <c r="CP3330"/>
    </row>
    <row r="3331" spans="1:94" hidden="1">
      <c r="A3331"/>
      <c r="G3331" s="207"/>
      <c r="CP3331"/>
    </row>
    <row r="3332" spans="1:94" hidden="1">
      <c r="A3332"/>
      <c r="G3332" s="207"/>
      <c r="CP3332"/>
    </row>
    <row r="3333" spans="1:94" hidden="1">
      <c r="A3333"/>
      <c r="G3333" s="207"/>
      <c r="CP3333"/>
    </row>
    <row r="3334" spans="1:94" hidden="1">
      <c r="A3334"/>
      <c r="G3334" s="207"/>
      <c r="CP3334"/>
    </row>
    <row r="3335" spans="1:94" hidden="1">
      <c r="A3335"/>
      <c r="G3335" s="207"/>
      <c r="CP3335"/>
    </row>
    <row r="3336" spans="1:94" hidden="1">
      <c r="A3336"/>
      <c r="G3336" s="207"/>
      <c r="CP3336"/>
    </row>
    <row r="3337" spans="1:94" hidden="1">
      <c r="A3337"/>
      <c r="G3337" s="207"/>
      <c r="CP3337"/>
    </row>
    <row r="3338" spans="1:94" hidden="1">
      <c r="A3338"/>
      <c r="G3338" s="207"/>
      <c r="CP3338"/>
    </row>
    <row r="3339" spans="1:94" hidden="1">
      <c r="A3339"/>
      <c r="G3339" s="207"/>
      <c r="CP3339"/>
    </row>
    <row r="3340" spans="1:94" hidden="1">
      <c r="A3340"/>
      <c r="G3340" s="207"/>
      <c r="CP3340"/>
    </row>
    <row r="3341" spans="1:94" hidden="1">
      <c r="A3341"/>
      <c r="G3341" s="207"/>
      <c r="CP3341"/>
    </row>
    <row r="3342" spans="1:94" hidden="1">
      <c r="A3342"/>
      <c r="G3342" s="207"/>
      <c r="CP3342"/>
    </row>
    <row r="3343" spans="1:94" hidden="1">
      <c r="A3343"/>
      <c r="G3343" s="207"/>
      <c r="CP3343"/>
    </row>
    <row r="3344" spans="1:94" hidden="1">
      <c r="A3344"/>
      <c r="G3344" s="207"/>
      <c r="CP3344"/>
    </row>
    <row r="3345" spans="1:94" hidden="1">
      <c r="A3345"/>
      <c r="G3345" s="207"/>
      <c r="CP3345"/>
    </row>
    <row r="3346" spans="1:94" hidden="1">
      <c r="A3346"/>
      <c r="G3346" s="207"/>
      <c r="CP3346"/>
    </row>
    <row r="3347" spans="1:94" hidden="1">
      <c r="A3347"/>
      <c r="G3347" s="207"/>
      <c r="CP3347"/>
    </row>
    <row r="3348" spans="1:94" hidden="1">
      <c r="A3348"/>
      <c r="G3348" s="207"/>
      <c r="CP3348"/>
    </row>
    <row r="3349" spans="1:94" hidden="1">
      <c r="A3349"/>
      <c r="G3349" s="207"/>
      <c r="CP3349"/>
    </row>
    <row r="3350" spans="1:94" hidden="1">
      <c r="A3350"/>
      <c r="G3350" s="207"/>
      <c r="CP3350"/>
    </row>
    <row r="3351" spans="1:94" hidden="1">
      <c r="A3351"/>
      <c r="G3351" s="207"/>
      <c r="CP3351"/>
    </row>
    <row r="3352" spans="1:94" hidden="1">
      <c r="A3352"/>
      <c r="G3352" s="207"/>
      <c r="CP3352"/>
    </row>
    <row r="3353" spans="1:94" hidden="1">
      <c r="A3353"/>
      <c r="G3353" s="207"/>
      <c r="CP3353"/>
    </row>
    <row r="3354" spans="1:94" hidden="1">
      <c r="A3354"/>
      <c r="G3354" s="207"/>
      <c r="CP3354"/>
    </row>
    <row r="3355" spans="1:94" hidden="1">
      <c r="A3355"/>
      <c r="G3355" s="207"/>
      <c r="CP3355"/>
    </row>
    <row r="3356" spans="1:94" hidden="1">
      <c r="A3356"/>
      <c r="G3356" s="207"/>
      <c r="CP3356"/>
    </row>
    <row r="3357" spans="1:94" hidden="1">
      <c r="A3357"/>
      <c r="G3357" s="207"/>
      <c r="CP3357"/>
    </row>
    <row r="3358" spans="1:94" hidden="1">
      <c r="A3358"/>
      <c r="G3358" s="207"/>
      <c r="CP3358"/>
    </row>
    <row r="3359" spans="1:94" hidden="1">
      <c r="A3359"/>
      <c r="G3359" s="207"/>
      <c r="CP3359"/>
    </row>
    <row r="3360" spans="1:94" hidden="1">
      <c r="A3360"/>
      <c r="G3360" s="207"/>
      <c r="CP3360"/>
    </row>
    <row r="3361" spans="1:94" hidden="1">
      <c r="A3361"/>
      <c r="G3361" s="207"/>
      <c r="CP3361"/>
    </row>
    <row r="3362" spans="1:94" hidden="1">
      <c r="A3362"/>
      <c r="G3362" s="207"/>
      <c r="CP3362"/>
    </row>
    <row r="3363" spans="1:94" hidden="1">
      <c r="A3363"/>
      <c r="G3363" s="207"/>
      <c r="CP3363"/>
    </row>
    <row r="3364" spans="1:94" hidden="1">
      <c r="A3364"/>
      <c r="G3364" s="207"/>
      <c r="CP3364"/>
    </row>
    <row r="3365" spans="1:94" hidden="1">
      <c r="A3365"/>
      <c r="G3365" s="207"/>
      <c r="CP3365"/>
    </row>
    <row r="3366" spans="1:94" hidden="1">
      <c r="A3366"/>
      <c r="G3366" s="207"/>
      <c r="CP3366"/>
    </row>
    <row r="3367" spans="1:94" hidden="1">
      <c r="A3367"/>
      <c r="G3367" s="207"/>
      <c r="CP3367"/>
    </row>
    <row r="3368" spans="1:94" hidden="1">
      <c r="A3368"/>
      <c r="G3368" s="207"/>
      <c r="CP3368"/>
    </row>
    <row r="3369" spans="1:94" hidden="1">
      <c r="A3369"/>
      <c r="G3369" s="207"/>
      <c r="CP3369"/>
    </row>
    <row r="3370" spans="1:94" hidden="1">
      <c r="A3370"/>
      <c r="G3370" s="207"/>
      <c r="CP3370"/>
    </row>
    <row r="3371" spans="1:94" hidden="1">
      <c r="A3371"/>
      <c r="G3371" s="207"/>
      <c r="CP3371"/>
    </row>
    <row r="3372" spans="1:94" hidden="1">
      <c r="A3372"/>
      <c r="G3372" s="207"/>
      <c r="CP3372"/>
    </row>
    <row r="3373" spans="1:94" hidden="1">
      <c r="A3373"/>
      <c r="G3373" s="207"/>
      <c r="CP3373"/>
    </row>
    <row r="3374" spans="1:94" hidden="1">
      <c r="A3374"/>
      <c r="G3374" s="207"/>
      <c r="CP3374"/>
    </row>
    <row r="3375" spans="1:94" hidden="1">
      <c r="A3375"/>
      <c r="G3375" s="207"/>
      <c r="CP3375"/>
    </row>
    <row r="3376" spans="1:94" hidden="1">
      <c r="A3376"/>
      <c r="G3376" s="207"/>
      <c r="CP3376"/>
    </row>
    <row r="3377" spans="1:94" hidden="1">
      <c r="A3377"/>
      <c r="G3377" s="207"/>
      <c r="CP3377"/>
    </row>
    <row r="3378" spans="1:94" hidden="1">
      <c r="A3378"/>
      <c r="G3378" s="207"/>
      <c r="CP3378"/>
    </row>
    <row r="3379" spans="1:94" hidden="1">
      <c r="A3379"/>
      <c r="G3379" s="207"/>
      <c r="CP3379"/>
    </row>
    <row r="3380" spans="1:94" hidden="1">
      <c r="A3380"/>
      <c r="G3380" s="207"/>
      <c r="CP3380"/>
    </row>
    <row r="3381" spans="1:94" hidden="1">
      <c r="A3381"/>
      <c r="G3381" s="207"/>
      <c r="CP3381"/>
    </row>
    <row r="3382" spans="1:94" hidden="1">
      <c r="A3382"/>
      <c r="G3382" s="207"/>
      <c r="CP3382"/>
    </row>
    <row r="3383" spans="1:94" hidden="1">
      <c r="A3383"/>
      <c r="G3383" s="207"/>
      <c r="CP3383"/>
    </row>
    <row r="3384" spans="1:94" hidden="1">
      <c r="A3384"/>
      <c r="G3384" s="207"/>
      <c r="CP3384"/>
    </row>
    <row r="3385" spans="1:94" hidden="1">
      <c r="A3385"/>
      <c r="G3385" s="207"/>
      <c r="CP3385"/>
    </row>
    <row r="3386" spans="1:94" hidden="1">
      <c r="A3386"/>
      <c r="G3386" s="207"/>
      <c r="CP3386"/>
    </row>
    <row r="3387" spans="1:94" hidden="1">
      <c r="A3387"/>
      <c r="G3387" s="207"/>
      <c r="CP3387"/>
    </row>
    <row r="3388" spans="1:94" hidden="1">
      <c r="A3388"/>
      <c r="G3388" s="207"/>
      <c r="CP3388"/>
    </row>
    <row r="3389" spans="1:94" hidden="1">
      <c r="A3389"/>
      <c r="G3389" s="207"/>
      <c r="CP3389"/>
    </row>
    <row r="3390" spans="1:94" hidden="1">
      <c r="A3390"/>
      <c r="G3390" s="207"/>
      <c r="CP3390"/>
    </row>
    <row r="3391" spans="1:94" hidden="1">
      <c r="A3391"/>
      <c r="G3391" s="207"/>
      <c r="CP3391"/>
    </row>
    <row r="3392" spans="1:94" hidden="1">
      <c r="A3392"/>
      <c r="G3392" s="207"/>
      <c r="CP3392"/>
    </row>
    <row r="3393" spans="1:94" hidden="1">
      <c r="A3393"/>
      <c r="G3393" s="207"/>
      <c r="CP3393"/>
    </row>
    <row r="3394" spans="1:94" hidden="1">
      <c r="A3394"/>
      <c r="G3394" s="207"/>
      <c r="CP3394"/>
    </row>
    <row r="3395" spans="1:94" hidden="1">
      <c r="A3395"/>
      <c r="G3395" s="207"/>
      <c r="CP3395"/>
    </row>
    <row r="3396" spans="1:94" hidden="1">
      <c r="A3396"/>
      <c r="G3396" s="207"/>
      <c r="CP3396"/>
    </row>
    <row r="3397" spans="1:94" hidden="1">
      <c r="A3397"/>
      <c r="G3397" s="207"/>
      <c r="CP3397"/>
    </row>
    <row r="3398" spans="1:94" hidden="1">
      <c r="A3398"/>
      <c r="G3398" s="207"/>
      <c r="CP3398"/>
    </row>
    <row r="3399" spans="1:94" hidden="1">
      <c r="A3399"/>
      <c r="G3399" s="207"/>
      <c r="CP3399"/>
    </row>
    <row r="3400" spans="1:94" hidden="1">
      <c r="A3400"/>
      <c r="G3400" s="207"/>
      <c r="CP3400"/>
    </row>
    <row r="3401" spans="1:94" hidden="1">
      <c r="A3401"/>
      <c r="G3401" s="207"/>
      <c r="CP3401"/>
    </row>
    <row r="3402" spans="1:94" hidden="1">
      <c r="A3402"/>
      <c r="G3402" s="207"/>
      <c r="CP3402"/>
    </row>
    <row r="3403" spans="1:94" hidden="1">
      <c r="A3403"/>
      <c r="G3403" s="207"/>
      <c r="CP3403"/>
    </row>
    <row r="3404" spans="1:94" hidden="1">
      <c r="A3404"/>
      <c r="G3404" s="207"/>
      <c r="CP3404"/>
    </row>
    <row r="3405" spans="1:94" hidden="1">
      <c r="A3405"/>
      <c r="G3405" s="207"/>
      <c r="CP3405"/>
    </row>
    <row r="3406" spans="1:94" hidden="1">
      <c r="A3406"/>
      <c r="G3406" s="207"/>
      <c r="CP3406"/>
    </row>
    <row r="3407" spans="1:94" hidden="1">
      <c r="A3407"/>
      <c r="G3407" s="207"/>
      <c r="CP3407"/>
    </row>
    <row r="3408" spans="1:94" hidden="1">
      <c r="A3408"/>
      <c r="G3408" s="207"/>
      <c r="CP3408"/>
    </row>
    <row r="3409" spans="1:94" hidden="1">
      <c r="A3409"/>
      <c r="G3409" s="207"/>
      <c r="CP3409"/>
    </row>
    <row r="3410" spans="1:94" hidden="1">
      <c r="A3410"/>
      <c r="G3410" s="207"/>
      <c r="CP3410"/>
    </row>
    <row r="3411" spans="1:94" hidden="1">
      <c r="A3411"/>
      <c r="G3411" s="207"/>
      <c r="CP3411"/>
    </row>
    <row r="3412" spans="1:94" hidden="1">
      <c r="A3412"/>
      <c r="G3412" s="207"/>
      <c r="CP3412"/>
    </row>
    <row r="3413" spans="1:94" hidden="1">
      <c r="A3413"/>
      <c r="G3413" s="207"/>
      <c r="CP3413"/>
    </row>
    <row r="3414" spans="1:94" hidden="1">
      <c r="A3414"/>
      <c r="G3414" s="207"/>
      <c r="CP3414"/>
    </row>
    <row r="3415" spans="1:94" hidden="1">
      <c r="A3415"/>
      <c r="G3415" s="207"/>
      <c r="CP3415"/>
    </row>
    <row r="3416" spans="1:94" hidden="1">
      <c r="A3416"/>
      <c r="G3416" s="207"/>
      <c r="CP3416"/>
    </row>
    <row r="3417" spans="1:94" hidden="1">
      <c r="A3417"/>
      <c r="G3417" s="207"/>
      <c r="CP3417"/>
    </row>
    <row r="3418" spans="1:94" hidden="1">
      <c r="A3418"/>
      <c r="G3418" s="207"/>
      <c r="CP3418"/>
    </row>
    <row r="3419" spans="1:94" hidden="1">
      <c r="A3419"/>
      <c r="G3419" s="207"/>
      <c r="CP3419"/>
    </row>
    <row r="3420" spans="1:94" hidden="1">
      <c r="A3420"/>
      <c r="G3420" s="207"/>
      <c r="CP3420"/>
    </row>
    <row r="3421" spans="1:94" hidden="1">
      <c r="A3421"/>
      <c r="G3421" s="207"/>
      <c r="CP3421"/>
    </row>
    <row r="3422" spans="1:94" hidden="1">
      <c r="A3422"/>
      <c r="G3422" s="207"/>
      <c r="CP3422"/>
    </row>
    <row r="3423" spans="1:94" hidden="1">
      <c r="A3423"/>
      <c r="G3423" s="207"/>
      <c r="CP3423"/>
    </row>
    <row r="3424" spans="1:94" hidden="1">
      <c r="A3424"/>
      <c r="G3424" s="207"/>
      <c r="CP3424"/>
    </row>
    <row r="3425" spans="1:94" hidden="1">
      <c r="A3425"/>
      <c r="G3425" s="207"/>
      <c r="CP3425"/>
    </row>
    <row r="3426" spans="1:94" hidden="1">
      <c r="A3426"/>
      <c r="G3426" s="207"/>
      <c r="CP3426"/>
    </row>
    <row r="3427" spans="1:94" hidden="1">
      <c r="A3427"/>
      <c r="G3427" s="207"/>
      <c r="CP3427"/>
    </row>
    <row r="3428" spans="1:94" hidden="1">
      <c r="A3428"/>
      <c r="G3428" s="207"/>
      <c r="CP3428"/>
    </row>
    <row r="3429" spans="1:94" hidden="1">
      <c r="A3429"/>
      <c r="G3429" s="207"/>
      <c r="CP3429"/>
    </row>
    <row r="3430" spans="1:94" hidden="1">
      <c r="A3430"/>
      <c r="G3430" s="207"/>
      <c r="CP3430"/>
    </row>
    <row r="3431" spans="1:94" hidden="1">
      <c r="A3431"/>
      <c r="G3431" s="207"/>
      <c r="CP3431"/>
    </row>
    <row r="3432" spans="1:94" hidden="1">
      <c r="A3432"/>
      <c r="G3432" s="207"/>
      <c r="CP3432"/>
    </row>
    <row r="3433" spans="1:94" hidden="1">
      <c r="A3433"/>
      <c r="G3433" s="207"/>
      <c r="CP3433"/>
    </row>
    <row r="3434" spans="1:94" hidden="1">
      <c r="A3434"/>
      <c r="G3434" s="207"/>
      <c r="CP3434"/>
    </row>
    <row r="3435" spans="1:94" hidden="1">
      <c r="A3435"/>
      <c r="G3435" s="207"/>
      <c r="CP3435"/>
    </row>
    <row r="3436" spans="1:94" hidden="1">
      <c r="A3436"/>
      <c r="G3436" s="207"/>
      <c r="CP3436"/>
    </row>
    <row r="3437" spans="1:94" hidden="1">
      <c r="A3437"/>
      <c r="G3437" s="207"/>
      <c r="CP3437"/>
    </row>
    <row r="3438" spans="1:94" hidden="1">
      <c r="A3438"/>
      <c r="G3438" s="207"/>
      <c r="CP3438"/>
    </row>
    <row r="3439" spans="1:94" hidden="1">
      <c r="A3439"/>
      <c r="G3439" s="207"/>
      <c r="CP3439"/>
    </row>
    <row r="3440" spans="1:94" hidden="1">
      <c r="A3440"/>
      <c r="G3440" s="207"/>
      <c r="CP3440"/>
    </row>
    <row r="3441" spans="1:94" hidden="1">
      <c r="A3441"/>
      <c r="G3441" s="207"/>
      <c r="CP3441"/>
    </row>
    <row r="3442" spans="1:94" hidden="1">
      <c r="A3442"/>
      <c r="G3442" s="207"/>
      <c r="CP3442"/>
    </row>
    <row r="3443" spans="1:94" hidden="1">
      <c r="A3443"/>
      <c r="G3443" s="207"/>
      <c r="CP3443"/>
    </row>
    <row r="3444" spans="1:94" hidden="1">
      <c r="A3444"/>
      <c r="G3444" s="207"/>
      <c r="CP3444"/>
    </row>
    <row r="3445" spans="1:94" hidden="1">
      <c r="A3445"/>
      <c r="G3445" s="207"/>
      <c r="CP3445"/>
    </row>
    <row r="3446" spans="1:94" hidden="1">
      <c r="A3446"/>
      <c r="G3446" s="207"/>
      <c r="CP3446"/>
    </row>
    <row r="3447" spans="1:94" hidden="1">
      <c r="A3447"/>
      <c r="G3447" s="207"/>
      <c r="CP3447"/>
    </row>
    <row r="3448" spans="1:94" hidden="1">
      <c r="A3448"/>
      <c r="G3448" s="207"/>
      <c r="CP3448"/>
    </row>
    <row r="3449" spans="1:94" hidden="1">
      <c r="A3449"/>
      <c r="G3449" s="207"/>
      <c r="CP3449"/>
    </row>
    <row r="3450" spans="1:94" hidden="1">
      <c r="A3450"/>
      <c r="G3450" s="207"/>
      <c r="CP3450"/>
    </row>
    <row r="3451" spans="1:94" hidden="1">
      <c r="A3451"/>
      <c r="G3451" s="207"/>
      <c r="CP3451"/>
    </row>
    <row r="3452" spans="1:94" hidden="1">
      <c r="A3452"/>
      <c r="G3452" s="207"/>
      <c r="CP3452"/>
    </row>
    <row r="3453" spans="1:94" hidden="1">
      <c r="A3453"/>
      <c r="G3453" s="207"/>
      <c r="CP3453"/>
    </row>
    <row r="3454" spans="1:94" hidden="1">
      <c r="A3454"/>
      <c r="G3454" s="207"/>
      <c r="CP3454"/>
    </row>
    <row r="3455" spans="1:94" hidden="1">
      <c r="A3455"/>
      <c r="G3455" s="207"/>
      <c r="CP3455"/>
    </row>
    <row r="3456" spans="1:94" hidden="1">
      <c r="A3456"/>
      <c r="G3456" s="207"/>
      <c r="CP3456"/>
    </row>
    <row r="3457" spans="1:94" hidden="1">
      <c r="A3457"/>
      <c r="G3457" s="207"/>
      <c r="CP3457"/>
    </row>
    <row r="3458" spans="1:94" hidden="1">
      <c r="A3458"/>
      <c r="G3458" s="207"/>
      <c r="CP3458"/>
    </row>
    <row r="3459" spans="1:94" hidden="1">
      <c r="A3459"/>
      <c r="G3459" s="207"/>
      <c r="CP3459"/>
    </row>
    <row r="3460" spans="1:94" hidden="1">
      <c r="A3460"/>
      <c r="G3460" s="207"/>
      <c r="CP3460"/>
    </row>
    <row r="3461" spans="1:94" hidden="1">
      <c r="A3461"/>
      <c r="G3461" s="207"/>
      <c r="CP3461"/>
    </row>
    <row r="3462" spans="1:94" hidden="1">
      <c r="A3462"/>
      <c r="G3462" s="207"/>
      <c r="CP3462"/>
    </row>
    <row r="3463" spans="1:94" hidden="1">
      <c r="A3463"/>
      <c r="G3463" s="207"/>
      <c r="CP3463"/>
    </row>
    <row r="3464" spans="1:94" hidden="1">
      <c r="A3464"/>
      <c r="G3464" s="207"/>
      <c r="CP3464"/>
    </row>
    <row r="3465" spans="1:94" hidden="1">
      <c r="A3465"/>
      <c r="G3465" s="207"/>
      <c r="CP3465"/>
    </row>
    <row r="3466" spans="1:94" hidden="1">
      <c r="A3466"/>
      <c r="G3466" s="207"/>
      <c r="CP3466"/>
    </row>
    <row r="3467" spans="1:94" hidden="1">
      <c r="A3467"/>
      <c r="G3467" s="207"/>
      <c r="CP3467"/>
    </row>
    <row r="3468" spans="1:94" hidden="1">
      <c r="A3468"/>
      <c r="G3468" s="207"/>
      <c r="CP3468"/>
    </row>
    <row r="3469" spans="1:94" hidden="1">
      <c r="A3469"/>
      <c r="G3469" s="207"/>
      <c r="CP3469"/>
    </row>
    <row r="3470" spans="1:94" hidden="1">
      <c r="A3470"/>
      <c r="G3470" s="207"/>
      <c r="CP3470"/>
    </row>
    <row r="3471" spans="1:94" hidden="1">
      <c r="A3471"/>
      <c r="G3471" s="207"/>
      <c r="CP3471"/>
    </row>
    <row r="3472" spans="1:94" hidden="1">
      <c r="A3472"/>
      <c r="G3472" s="207"/>
      <c r="CP3472"/>
    </row>
    <row r="3473" spans="1:94" hidden="1">
      <c r="A3473"/>
      <c r="G3473" s="207"/>
      <c r="CP3473"/>
    </row>
    <row r="3474" spans="1:94" hidden="1">
      <c r="A3474"/>
      <c r="G3474" s="207"/>
      <c r="CP3474"/>
    </row>
    <row r="3475" spans="1:94" hidden="1">
      <c r="A3475"/>
      <c r="G3475" s="207"/>
      <c r="CP3475"/>
    </row>
    <row r="3476" spans="1:94" hidden="1">
      <c r="A3476"/>
      <c r="G3476" s="207"/>
      <c r="CP3476"/>
    </row>
    <row r="3477" spans="1:94" hidden="1">
      <c r="A3477"/>
      <c r="G3477" s="207"/>
      <c r="CP3477"/>
    </row>
    <row r="3478" spans="1:94" hidden="1">
      <c r="A3478"/>
      <c r="G3478" s="207"/>
      <c r="CP3478"/>
    </row>
    <row r="3479" spans="1:94" hidden="1">
      <c r="A3479"/>
      <c r="G3479" s="207"/>
      <c r="CP3479"/>
    </row>
    <row r="3480" spans="1:94" hidden="1">
      <c r="A3480"/>
      <c r="G3480" s="207"/>
      <c r="CP3480"/>
    </row>
    <row r="3481" spans="1:94" hidden="1">
      <c r="A3481"/>
      <c r="G3481" s="207"/>
      <c r="CP3481"/>
    </row>
    <row r="3482" spans="1:94" hidden="1">
      <c r="A3482"/>
      <c r="G3482" s="207"/>
      <c r="CP3482"/>
    </row>
    <row r="3483" spans="1:94" hidden="1">
      <c r="A3483"/>
      <c r="G3483" s="207"/>
      <c r="CP3483"/>
    </row>
    <row r="3484" spans="1:94" hidden="1">
      <c r="A3484"/>
      <c r="G3484" s="207"/>
      <c r="CP3484"/>
    </row>
    <row r="3485" spans="1:94" hidden="1">
      <c r="A3485"/>
      <c r="G3485" s="207"/>
      <c r="CP3485"/>
    </row>
    <row r="3486" spans="1:94" hidden="1">
      <c r="A3486"/>
      <c r="G3486" s="207"/>
      <c r="CP3486"/>
    </row>
    <row r="3487" spans="1:94" hidden="1">
      <c r="A3487"/>
      <c r="G3487" s="207"/>
      <c r="CP3487"/>
    </row>
    <row r="3488" spans="1:94" hidden="1">
      <c r="A3488"/>
      <c r="G3488" s="207"/>
      <c r="CP3488"/>
    </row>
    <row r="3489" spans="1:94" hidden="1">
      <c r="A3489"/>
      <c r="G3489" s="207"/>
      <c r="CP3489"/>
    </row>
    <row r="3490" spans="1:94" hidden="1">
      <c r="A3490"/>
      <c r="G3490" s="207"/>
      <c r="CP3490"/>
    </row>
    <row r="3491" spans="1:94" hidden="1">
      <c r="A3491"/>
      <c r="G3491" s="207"/>
      <c r="CP3491"/>
    </row>
    <row r="3492" spans="1:94" hidden="1">
      <c r="A3492"/>
      <c r="G3492" s="207"/>
      <c r="CP3492"/>
    </row>
    <row r="3493" spans="1:94" hidden="1">
      <c r="A3493"/>
      <c r="G3493" s="207"/>
      <c r="CP3493"/>
    </row>
    <row r="3494" spans="1:94" hidden="1">
      <c r="A3494"/>
      <c r="G3494" s="207"/>
      <c r="CP3494"/>
    </row>
    <row r="3495" spans="1:94" hidden="1">
      <c r="A3495"/>
      <c r="G3495" s="207"/>
      <c r="CP3495"/>
    </row>
    <row r="3496" spans="1:94" hidden="1">
      <c r="A3496"/>
      <c r="G3496" s="207"/>
      <c r="CP3496"/>
    </row>
    <row r="3497" spans="1:94" hidden="1">
      <c r="A3497"/>
      <c r="G3497" s="207"/>
      <c r="CP3497"/>
    </row>
    <row r="3498" spans="1:94" hidden="1">
      <c r="A3498"/>
      <c r="G3498" s="207"/>
      <c r="CP3498"/>
    </row>
    <row r="3499" spans="1:94" hidden="1">
      <c r="A3499"/>
      <c r="G3499" s="207"/>
      <c r="CP3499"/>
    </row>
    <row r="3500" spans="1:94" hidden="1">
      <c r="A3500"/>
      <c r="G3500" s="207"/>
      <c r="CP3500"/>
    </row>
    <row r="3501" spans="1:94" hidden="1">
      <c r="A3501"/>
      <c r="G3501" s="207"/>
      <c r="CP3501"/>
    </row>
    <row r="3502" spans="1:94" hidden="1">
      <c r="A3502"/>
      <c r="G3502" s="207"/>
      <c r="CP3502"/>
    </row>
    <row r="3503" spans="1:94" hidden="1">
      <c r="A3503"/>
      <c r="G3503" s="207"/>
      <c r="CP3503"/>
    </row>
    <row r="3504" spans="1:94" hidden="1">
      <c r="A3504"/>
      <c r="G3504" s="207"/>
      <c r="CP3504"/>
    </row>
    <row r="3505" spans="1:94" hidden="1">
      <c r="A3505"/>
      <c r="G3505" s="207"/>
      <c r="CP3505"/>
    </row>
    <row r="3506" spans="1:94" hidden="1">
      <c r="A3506"/>
      <c r="G3506" s="207"/>
      <c r="CP3506"/>
    </row>
    <row r="3507" spans="1:94" hidden="1">
      <c r="A3507"/>
      <c r="G3507" s="207"/>
      <c r="CP3507"/>
    </row>
    <row r="3508" spans="1:94" hidden="1">
      <c r="A3508"/>
      <c r="G3508" s="207"/>
      <c r="CP3508"/>
    </row>
    <row r="3509" spans="1:94" hidden="1">
      <c r="A3509"/>
      <c r="G3509" s="207"/>
      <c r="CP3509"/>
    </row>
    <row r="3510" spans="1:94" hidden="1">
      <c r="A3510"/>
      <c r="G3510" s="207"/>
      <c r="CP3510"/>
    </row>
    <row r="3511" spans="1:94" hidden="1">
      <c r="A3511"/>
      <c r="G3511" s="207"/>
      <c r="CP3511"/>
    </row>
    <row r="3512" spans="1:94" hidden="1">
      <c r="A3512"/>
      <c r="G3512" s="207"/>
      <c r="CP3512"/>
    </row>
    <row r="3513" spans="1:94" hidden="1">
      <c r="A3513"/>
      <c r="G3513" s="207"/>
      <c r="CP3513"/>
    </row>
    <row r="3514" spans="1:94" hidden="1">
      <c r="A3514"/>
      <c r="G3514" s="207"/>
      <c r="CP3514"/>
    </row>
    <row r="3515" spans="1:94" hidden="1">
      <c r="A3515"/>
      <c r="G3515" s="207"/>
      <c r="CP3515"/>
    </row>
    <row r="3516" spans="1:94" hidden="1">
      <c r="A3516"/>
      <c r="G3516" s="207"/>
      <c r="CP3516"/>
    </row>
    <row r="3517" spans="1:94" hidden="1">
      <c r="A3517"/>
      <c r="G3517" s="207"/>
      <c r="CP3517"/>
    </row>
    <row r="3518" spans="1:94" hidden="1">
      <c r="A3518"/>
      <c r="G3518" s="207"/>
      <c r="CP3518"/>
    </row>
    <row r="3519" spans="1:94" hidden="1">
      <c r="A3519"/>
      <c r="G3519" s="207"/>
      <c r="CP3519"/>
    </row>
    <row r="3520" spans="1:94" hidden="1">
      <c r="A3520"/>
      <c r="G3520" s="207"/>
      <c r="CP3520"/>
    </row>
    <row r="3521" spans="1:94" hidden="1">
      <c r="A3521"/>
      <c r="G3521" s="207"/>
      <c r="CP3521"/>
    </row>
    <row r="3522" spans="1:94" hidden="1">
      <c r="A3522"/>
      <c r="G3522" s="207"/>
      <c r="CP3522"/>
    </row>
    <row r="3523" spans="1:94" hidden="1">
      <c r="A3523"/>
      <c r="G3523" s="207"/>
      <c r="CP3523"/>
    </row>
    <row r="3524" spans="1:94" hidden="1">
      <c r="A3524"/>
      <c r="G3524" s="207"/>
      <c r="CP3524"/>
    </row>
    <row r="3525" spans="1:94" hidden="1">
      <c r="A3525"/>
      <c r="G3525" s="207"/>
      <c r="CP3525"/>
    </row>
    <row r="3526" spans="1:94" hidden="1">
      <c r="A3526"/>
      <c r="G3526" s="207"/>
      <c r="CP3526"/>
    </row>
    <row r="3527" spans="1:94" hidden="1">
      <c r="A3527"/>
      <c r="G3527" s="207"/>
      <c r="CP3527"/>
    </row>
    <row r="3528" spans="1:94" hidden="1">
      <c r="A3528"/>
      <c r="G3528" s="207"/>
      <c r="CP3528"/>
    </row>
    <row r="3529" spans="1:94" hidden="1">
      <c r="A3529"/>
      <c r="G3529" s="207"/>
      <c r="CP3529"/>
    </row>
    <row r="3530" spans="1:94" hidden="1">
      <c r="A3530"/>
      <c r="G3530" s="207"/>
      <c r="CP3530"/>
    </row>
    <row r="3531" spans="1:94" hidden="1">
      <c r="A3531"/>
      <c r="G3531" s="207"/>
      <c r="CP3531"/>
    </row>
    <row r="3532" spans="1:94" hidden="1">
      <c r="A3532"/>
      <c r="G3532" s="207"/>
      <c r="CP3532"/>
    </row>
    <row r="3533" spans="1:94" hidden="1">
      <c r="A3533"/>
      <c r="G3533" s="207"/>
      <c r="CP3533"/>
    </row>
    <row r="3534" spans="1:94" hidden="1">
      <c r="A3534"/>
      <c r="G3534" s="207"/>
      <c r="CP3534"/>
    </row>
    <row r="3535" spans="1:94" hidden="1">
      <c r="A3535"/>
      <c r="G3535" s="207"/>
      <c r="CP3535"/>
    </row>
    <row r="3536" spans="1:94" hidden="1">
      <c r="A3536"/>
      <c r="G3536" s="207"/>
      <c r="CP3536"/>
    </row>
    <row r="3537" spans="1:94" hidden="1">
      <c r="A3537"/>
      <c r="G3537" s="207"/>
      <c r="CP3537"/>
    </row>
    <row r="3538" spans="1:94" hidden="1">
      <c r="A3538"/>
      <c r="G3538" s="207"/>
      <c r="CP3538"/>
    </row>
    <row r="3539" spans="1:94" hidden="1">
      <c r="A3539"/>
      <c r="G3539" s="207"/>
      <c r="CP3539"/>
    </row>
    <row r="3540" spans="1:94" hidden="1">
      <c r="A3540"/>
      <c r="G3540" s="207"/>
      <c r="CP3540"/>
    </row>
    <row r="3541" spans="1:94" hidden="1">
      <c r="A3541"/>
      <c r="G3541" s="207"/>
      <c r="CP3541"/>
    </row>
    <row r="3542" spans="1:94" hidden="1">
      <c r="A3542"/>
      <c r="G3542" s="207"/>
      <c r="CP3542"/>
    </row>
    <row r="3543" spans="1:94" hidden="1">
      <c r="A3543"/>
      <c r="G3543" s="207"/>
      <c r="CP3543"/>
    </row>
    <row r="3544" spans="1:94" hidden="1">
      <c r="A3544"/>
      <c r="G3544" s="207"/>
      <c r="CP3544"/>
    </row>
    <row r="3545" spans="1:94" hidden="1">
      <c r="A3545"/>
      <c r="G3545" s="207"/>
      <c r="CP3545"/>
    </row>
    <row r="3546" spans="1:94" hidden="1">
      <c r="A3546"/>
      <c r="G3546" s="207"/>
      <c r="CP3546"/>
    </row>
    <row r="3547" spans="1:94" hidden="1">
      <c r="A3547"/>
      <c r="G3547" s="207"/>
      <c r="CP3547"/>
    </row>
    <row r="3548" spans="1:94" hidden="1">
      <c r="A3548"/>
      <c r="G3548" s="207"/>
      <c r="CP3548"/>
    </row>
    <row r="3549" spans="1:94" hidden="1">
      <c r="A3549"/>
      <c r="G3549" s="207"/>
      <c r="CP3549"/>
    </row>
    <row r="3550" spans="1:94" hidden="1">
      <c r="A3550"/>
      <c r="G3550" s="207"/>
      <c r="CP3550"/>
    </row>
    <row r="3551" spans="1:94" hidden="1">
      <c r="A3551"/>
      <c r="G3551" s="207"/>
      <c r="CP3551"/>
    </row>
    <row r="3552" spans="1:94" hidden="1">
      <c r="A3552"/>
      <c r="G3552" s="207"/>
      <c r="CP3552"/>
    </row>
    <row r="3553" spans="1:94" hidden="1">
      <c r="A3553"/>
      <c r="G3553" s="207"/>
      <c r="CP3553"/>
    </row>
    <row r="3554" spans="1:94" hidden="1">
      <c r="A3554"/>
      <c r="G3554" s="207"/>
      <c r="CP3554"/>
    </row>
    <row r="3555" spans="1:94" hidden="1">
      <c r="A3555"/>
      <c r="G3555" s="207"/>
      <c r="CP3555"/>
    </row>
    <row r="3556" spans="1:94" hidden="1">
      <c r="A3556"/>
      <c r="G3556" s="207"/>
      <c r="CP3556"/>
    </row>
    <row r="3557" spans="1:94" hidden="1">
      <c r="A3557"/>
      <c r="G3557" s="207"/>
      <c r="CP3557"/>
    </row>
    <row r="3558" spans="1:94" hidden="1">
      <c r="A3558"/>
      <c r="G3558" s="207"/>
      <c r="CP3558"/>
    </row>
    <row r="3559" spans="1:94" hidden="1">
      <c r="A3559"/>
      <c r="G3559" s="207"/>
      <c r="CP3559"/>
    </row>
    <row r="3560" spans="1:94" hidden="1">
      <c r="A3560"/>
      <c r="G3560" s="207"/>
      <c r="CP3560"/>
    </row>
    <row r="3561" spans="1:94" hidden="1">
      <c r="A3561"/>
      <c r="G3561" s="207"/>
      <c r="CP3561"/>
    </row>
    <row r="3562" spans="1:94" hidden="1">
      <c r="A3562"/>
      <c r="G3562" s="207"/>
      <c r="CP3562"/>
    </row>
    <row r="3563" spans="1:94" hidden="1">
      <c r="A3563"/>
      <c r="G3563" s="207"/>
      <c r="CP3563"/>
    </row>
    <row r="3564" spans="1:94" hidden="1">
      <c r="A3564"/>
      <c r="G3564" s="207"/>
      <c r="CP3564"/>
    </row>
    <row r="3565" spans="1:94" hidden="1">
      <c r="A3565"/>
      <c r="G3565" s="207"/>
      <c r="CP3565"/>
    </row>
    <row r="3566" spans="1:94" hidden="1">
      <c r="A3566"/>
      <c r="G3566" s="207"/>
      <c r="CP3566"/>
    </row>
    <row r="3567" spans="1:94" hidden="1">
      <c r="A3567"/>
      <c r="G3567" s="207"/>
      <c r="CP3567"/>
    </row>
    <row r="3568" spans="1:94" hidden="1">
      <c r="A3568"/>
      <c r="G3568" s="207"/>
      <c r="CP3568"/>
    </row>
    <row r="3569" spans="1:94" hidden="1">
      <c r="A3569"/>
      <c r="G3569" s="207"/>
      <c r="CP3569"/>
    </row>
    <row r="3570" spans="1:94" hidden="1">
      <c r="A3570"/>
      <c r="G3570" s="207"/>
      <c r="CP3570"/>
    </row>
    <row r="3571" spans="1:94" hidden="1">
      <c r="A3571"/>
      <c r="G3571" s="207"/>
      <c r="CP3571"/>
    </row>
    <row r="3572" spans="1:94" hidden="1">
      <c r="A3572"/>
      <c r="G3572" s="207"/>
      <c r="CP3572"/>
    </row>
    <row r="3573" spans="1:94" hidden="1">
      <c r="A3573"/>
      <c r="G3573" s="207"/>
      <c r="CP3573"/>
    </row>
    <row r="3574" spans="1:94" hidden="1">
      <c r="A3574"/>
      <c r="G3574" s="207"/>
      <c r="CP3574"/>
    </row>
    <row r="3575" spans="1:94" hidden="1">
      <c r="A3575"/>
      <c r="G3575" s="207"/>
      <c r="CP3575"/>
    </row>
    <row r="3576" spans="1:94" hidden="1">
      <c r="A3576"/>
      <c r="G3576" s="207"/>
      <c r="CP3576"/>
    </row>
    <row r="3577" spans="1:94" hidden="1">
      <c r="A3577"/>
      <c r="G3577" s="207"/>
      <c r="CP3577"/>
    </row>
    <row r="3578" spans="1:94" hidden="1">
      <c r="A3578"/>
      <c r="G3578" s="207"/>
      <c r="CP3578"/>
    </row>
    <row r="3579" spans="1:94" hidden="1">
      <c r="A3579"/>
      <c r="G3579" s="207"/>
      <c r="CP3579"/>
    </row>
    <row r="3580" spans="1:94" hidden="1">
      <c r="A3580"/>
      <c r="G3580" s="207"/>
      <c r="CP3580"/>
    </row>
    <row r="3581" spans="1:94" hidden="1">
      <c r="A3581"/>
      <c r="G3581" s="207"/>
      <c r="CP3581"/>
    </row>
    <row r="3582" spans="1:94" hidden="1">
      <c r="A3582"/>
      <c r="G3582" s="207"/>
      <c r="CP3582"/>
    </row>
    <row r="3583" spans="1:94" hidden="1">
      <c r="A3583"/>
      <c r="G3583" s="207"/>
      <c r="CP3583"/>
    </row>
    <row r="3584" spans="1:94" hidden="1">
      <c r="A3584"/>
      <c r="G3584" s="207"/>
      <c r="CP3584"/>
    </row>
    <row r="3585" spans="1:94" hidden="1">
      <c r="A3585"/>
      <c r="G3585" s="207"/>
      <c r="CP3585"/>
    </row>
    <row r="3586" spans="1:94" hidden="1">
      <c r="A3586"/>
      <c r="G3586" s="207"/>
      <c r="CP3586"/>
    </row>
    <row r="3587" spans="1:94" hidden="1">
      <c r="A3587"/>
      <c r="G3587" s="207"/>
      <c r="CP3587"/>
    </row>
    <row r="3588" spans="1:94" hidden="1">
      <c r="A3588"/>
      <c r="G3588" s="207"/>
      <c r="CP3588"/>
    </row>
    <row r="3589" spans="1:94" hidden="1">
      <c r="A3589"/>
      <c r="G3589" s="207"/>
      <c r="CP3589"/>
    </row>
    <row r="3590" spans="1:94" hidden="1">
      <c r="A3590"/>
      <c r="G3590" s="207"/>
      <c r="CP3590"/>
    </row>
    <row r="3591" spans="1:94" hidden="1">
      <c r="A3591"/>
      <c r="G3591" s="207"/>
      <c r="CP3591"/>
    </row>
    <row r="3592" spans="1:94" hidden="1">
      <c r="A3592"/>
      <c r="G3592" s="207"/>
      <c r="CP3592"/>
    </row>
    <row r="3593" spans="1:94" hidden="1">
      <c r="A3593"/>
      <c r="G3593" s="207"/>
      <c r="CP3593"/>
    </row>
    <row r="3594" spans="1:94" hidden="1">
      <c r="A3594"/>
      <c r="G3594" s="207"/>
      <c r="CP3594"/>
    </row>
    <row r="3595" spans="1:94" hidden="1">
      <c r="A3595"/>
      <c r="G3595" s="207"/>
      <c r="CP3595"/>
    </row>
    <row r="3596" spans="1:94" hidden="1">
      <c r="A3596"/>
      <c r="G3596" s="207"/>
      <c r="CP3596"/>
    </row>
    <row r="3597" spans="1:94" hidden="1">
      <c r="A3597"/>
      <c r="G3597" s="207"/>
      <c r="CP3597"/>
    </row>
    <row r="3598" spans="1:94" hidden="1">
      <c r="A3598"/>
      <c r="G3598" s="207"/>
      <c r="CP3598"/>
    </row>
    <row r="3599" spans="1:94" hidden="1">
      <c r="A3599"/>
      <c r="G3599" s="207"/>
      <c r="CP3599"/>
    </row>
    <row r="3600" spans="1:94" hidden="1">
      <c r="A3600"/>
      <c r="G3600" s="207"/>
      <c r="CP3600"/>
    </row>
    <row r="3601" spans="1:94" hidden="1">
      <c r="A3601"/>
      <c r="G3601" s="207"/>
      <c r="CP3601"/>
    </row>
    <row r="3602" spans="1:94" hidden="1">
      <c r="A3602"/>
      <c r="G3602" s="207"/>
      <c r="CP3602"/>
    </row>
    <row r="3603" spans="1:94" hidden="1">
      <c r="A3603"/>
      <c r="G3603" s="207"/>
      <c r="CP3603"/>
    </row>
    <row r="3604" spans="1:94" hidden="1">
      <c r="A3604"/>
      <c r="G3604" s="207"/>
      <c r="CP3604"/>
    </row>
    <row r="3605" spans="1:94" hidden="1">
      <c r="A3605"/>
      <c r="G3605" s="207"/>
      <c r="CP3605"/>
    </row>
    <row r="3606" spans="1:94" hidden="1">
      <c r="A3606"/>
      <c r="G3606" s="207"/>
      <c r="CP3606"/>
    </row>
    <row r="3607" spans="1:94" hidden="1">
      <c r="A3607"/>
      <c r="G3607" s="207"/>
      <c r="CP3607"/>
    </row>
    <row r="3608" spans="1:94" hidden="1">
      <c r="A3608"/>
      <c r="G3608" s="207"/>
      <c r="CP3608"/>
    </row>
    <row r="3609" spans="1:94" hidden="1">
      <c r="A3609"/>
      <c r="G3609" s="207"/>
      <c r="CP3609"/>
    </row>
    <row r="3610" spans="1:94" hidden="1">
      <c r="A3610"/>
      <c r="G3610" s="207"/>
      <c r="CP3610"/>
    </row>
    <row r="3611" spans="1:94" hidden="1">
      <c r="A3611"/>
      <c r="G3611" s="207"/>
      <c r="CP3611"/>
    </row>
    <row r="3612" spans="1:94" hidden="1">
      <c r="A3612"/>
      <c r="G3612" s="207"/>
      <c r="CP3612"/>
    </row>
    <row r="3613" spans="1:94" hidden="1">
      <c r="A3613"/>
      <c r="G3613" s="207"/>
      <c r="CP3613"/>
    </row>
    <row r="3614" spans="1:94" hidden="1">
      <c r="A3614"/>
      <c r="G3614" s="207"/>
      <c r="CP3614"/>
    </row>
    <row r="3615" spans="1:94" hidden="1">
      <c r="A3615"/>
      <c r="G3615" s="207"/>
      <c r="CP3615"/>
    </row>
    <row r="3616" spans="1:94" hidden="1">
      <c r="A3616"/>
      <c r="G3616" s="207"/>
      <c r="CP3616"/>
    </row>
    <row r="3617" spans="1:94" hidden="1">
      <c r="A3617"/>
      <c r="G3617" s="207"/>
      <c r="CP3617"/>
    </row>
    <row r="3618" spans="1:94" hidden="1">
      <c r="A3618"/>
      <c r="G3618" s="207"/>
      <c r="CP3618"/>
    </row>
    <row r="3619" spans="1:94" hidden="1">
      <c r="A3619"/>
      <c r="G3619" s="207"/>
      <c r="CP3619"/>
    </row>
    <row r="3620" spans="1:94" hidden="1">
      <c r="A3620"/>
      <c r="G3620" s="207"/>
      <c r="CP3620"/>
    </row>
    <row r="3621" spans="1:94" hidden="1">
      <c r="A3621"/>
      <c r="G3621" s="207"/>
      <c r="CP3621"/>
    </row>
    <row r="3622" spans="1:94" hidden="1">
      <c r="A3622"/>
      <c r="G3622" s="207"/>
      <c r="CP3622"/>
    </row>
    <row r="3623" spans="1:94" hidden="1">
      <c r="A3623"/>
      <c r="G3623" s="207"/>
      <c r="CP3623"/>
    </row>
    <row r="3624" spans="1:94" hidden="1">
      <c r="A3624"/>
      <c r="G3624" s="207"/>
      <c r="CP3624"/>
    </row>
    <row r="3625" spans="1:94" hidden="1">
      <c r="A3625"/>
      <c r="G3625" s="207"/>
      <c r="CP3625"/>
    </row>
    <row r="3626" spans="1:94" hidden="1">
      <c r="A3626"/>
      <c r="G3626" s="207"/>
      <c r="CP3626"/>
    </row>
    <row r="3627" spans="1:94" hidden="1">
      <c r="A3627"/>
      <c r="G3627" s="207"/>
      <c r="CP3627"/>
    </row>
    <row r="3628" spans="1:94" hidden="1">
      <c r="A3628"/>
      <c r="G3628" s="207"/>
      <c r="CP3628"/>
    </row>
    <row r="3629" spans="1:94" hidden="1">
      <c r="A3629"/>
      <c r="G3629" s="207"/>
      <c r="CP3629"/>
    </row>
    <row r="3630" spans="1:94" hidden="1">
      <c r="A3630"/>
      <c r="G3630" s="207"/>
      <c r="CP3630"/>
    </row>
    <row r="3631" spans="1:94" hidden="1">
      <c r="A3631"/>
      <c r="G3631" s="207"/>
      <c r="CP3631"/>
    </row>
    <row r="3632" spans="1:94" hidden="1">
      <c r="A3632"/>
      <c r="G3632" s="207"/>
      <c r="CP3632"/>
    </row>
    <row r="3633" spans="1:94" hidden="1">
      <c r="A3633"/>
      <c r="G3633" s="207"/>
      <c r="CP3633"/>
    </row>
    <row r="3634" spans="1:94" hidden="1">
      <c r="A3634"/>
      <c r="G3634" s="207"/>
      <c r="CP3634"/>
    </row>
    <row r="3635" spans="1:94" hidden="1">
      <c r="A3635"/>
      <c r="G3635" s="207"/>
      <c r="CP3635"/>
    </row>
    <row r="3636" spans="1:94" hidden="1">
      <c r="A3636"/>
      <c r="G3636" s="207"/>
      <c r="CP3636"/>
    </row>
    <row r="3637" spans="1:94" hidden="1">
      <c r="A3637"/>
      <c r="G3637" s="207"/>
      <c r="CP3637"/>
    </row>
    <row r="3638" spans="1:94" hidden="1">
      <c r="A3638"/>
      <c r="G3638" s="207"/>
      <c r="CP3638"/>
    </row>
    <row r="3639" spans="1:94" hidden="1">
      <c r="A3639"/>
      <c r="G3639" s="207"/>
      <c r="CP3639"/>
    </row>
    <row r="3640" spans="1:94" hidden="1">
      <c r="A3640"/>
      <c r="G3640" s="207"/>
      <c r="CP3640"/>
    </row>
    <row r="3641" spans="1:94" hidden="1">
      <c r="A3641"/>
      <c r="G3641" s="207"/>
      <c r="CP3641"/>
    </row>
    <row r="3642" spans="1:94" hidden="1">
      <c r="A3642"/>
      <c r="G3642" s="207"/>
      <c r="CP3642"/>
    </row>
    <row r="3643" spans="1:94" hidden="1">
      <c r="A3643"/>
      <c r="G3643" s="207"/>
      <c r="CP3643"/>
    </row>
    <row r="3644" spans="1:94" hidden="1">
      <c r="A3644"/>
      <c r="G3644" s="207"/>
      <c r="CP3644"/>
    </row>
    <row r="3645" spans="1:94" hidden="1">
      <c r="A3645"/>
      <c r="G3645" s="207"/>
      <c r="CP3645"/>
    </row>
    <row r="3646" spans="1:94" hidden="1">
      <c r="A3646"/>
      <c r="G3646" s="207"/>
      <c r="CP3646"/>
    </row>
    <row r="3647" spans="1:94" hidden="1">
      <c r="A3647"/>
      <c r="G3647" s="207"/>
      <c r="CP3647"/>
    </row>
    <row r="3648" spans="1:94" hidden="1">
      <c r="A3648"/>
      <c r="G3648" s="207"/>
      <c r="CP3648"/>
    </row>
    <row r="3649" spans="1:94" hidden="1">
      <c r="A3649"/>
      <c r="G3649" s="207"/>
      <c r="CP3649"/>
    </row>
    <row r="3650" spans="1:94" hidden="1">
      <c r="A3650"/>
      <c r="G3650" s="207"/>
      <c r="CP3650"/>
    </row>
    <row r="3651" spans="1:94" hidden="1">
      <c r="A3651"/>
      <c r="G3651" s="207"/>
      <c r="CP3651"/>
    </row>
    <row r="3652" spans="1:94" hidden="1">
      <c r="A3652"/>
      <c r="G3652" s="207"/>
      <c r="CP3652"/>
    </row>
    <row r="3653" spans="1:94" hidden="1">
      <c r="A3653"/>
      <c r="G3653" s="207"/>
      <c r="CP3653"/>
    </row>
    <row r="3654" spans="1:94" hidden="1">
      <c r="A3654"/>
      <c r="G3654" s="207"/>
      <c r="CP3654"/>
    </row>
    <row r="3655" spans="1:94" hidden="1">
      <c r="A3655"/>
      <c r="G3655" s="207"/>
      <c r="CP3655"/>
    </row>
    <row r="3656" spans="1:94" hidden="1">
      <c r="A3656"/>
      <c r="G3656" s="207"/>
      <c r="CP3656"/>
    </row>
    <row r="3657" spans="1:94" hidden="1">
      <c r="A3657"/>
      <c r="G3657" s="207"/>
      <c r="CP3657"/>
    </row>
    <row r="3658" spans="1:94" hidden="1">
      <c r="A3658"/>
      <c r="G3658" s="207"/>
      <c r="CP3658"/>
    </row>
    <row r="3659" spans="1:94" hidden="1">
      <c r="A3659"/>
      <c r="G3659" s="207"/>
      <c r="CP3659"/>
    </row>
    <row r="3660" spans="1:94" hidden="1">
      <c r="A3660"/>
      <c r="G3660" s="207"/>
      <c r="CP3660"/>
    </row>
    <row r="3661" spans="1:94" hidden="1">
      <c r="A3661"/>
      <c r="G3661" s="207"/>
      <c r="CP3661"/>
    </row>
    <row r="3662" spans="1:94" hidden="1">
      <c r="A3662"/>
      <c r="G3662" s="207"/>
      <c r="CP3662"/>
    </row>
    <row r="3663" spans="1:94" hidden="1">
      <c r="A3663"/>
      <c r="G3663" s="207"/>
      <c r="CP3663"/>
    </row>
    <row r="3664" spans="1:94" hidden="1">
      <c r="A3664"/>
      <c r="G3664" s="207"/>
      <c r="CP3664"/>
    </row>
    <row r="3665" spans="1:94" hidden="1">
      <c r="A3665"/>
      <c r="G3665" s="207"/>
      <c r="CP3665"/>
    </row>
    <row r="3666" spans="1:94" hidden="1">
      <c r="A3666"/>
      <c r="G3666" s="207"/>
      <c r="CP3666"/>
    </row>
    <row r="3667" spans="1:94" hidden="1">
      <c r="A3667"/>
      <c r="G3667" s="207"/>
      <c r="CP3667"/>
    </row>
    <row r="3668" spans="1:94" hidden="1">
      <c r="A3668"/>
      <c r="G3668" s="207"/>
      <c r="CP3668"/>
    </row>
    <row r="3669" spans="1:94" hidden="1">
      <c r="A3669"/>
      <c r="G3669" s="207"/>
      <c r="CP3669"/>
    </row>
    <row r="3670" spans="1:94" hidden="1">
      <c r="A3670"/>
      <c r="G3670" s="207"/>
      <c r="CP3670"/>
    </row>
    <row r="3671" spans="1:94" hidden="1">
      <c r="A3671"/>
      <c r="G3671" s="207"/>
      <c r="CP3671"/>
    </row>
    <row r="3672" spans="1:94" hidden="1">
      <c r="A3672"/>
      <c r="G3672" s="207"/>
      <c r="CP3672"/>
    </row>
    <row r="3673" spans="1:94" hidden="1">
      <c r="A3673"/>
      <c r="G3673" s="207"/>
      <c r="CP3673"/>
    </row>
    <row r="3674" spans="1:94" hidden="1">
      <c r="A3674"/>
      <c r="G3674" s="207"/>
      <c r="CP3674"/>
    </row>
    <row r="3675" spans="1:94" hidden="1">
      <c r="A3675"/>
      <c r="G3675" s="207"/>
      <c r="CP3675"/>
    </row>
    <row r="3676" spans="1:94" hidden="1">
      <c r="A3676"/>
      <c r="G3676" s="207"/>
      <c r="CP3676"/>
    </row>
    <row r="3677" spans="1:94" hidden="1">
      <c r="A3677"/>
      <c r="G3677" s="207"/>
      <c r="CP3677"/>
    </row>
    <row r="3678" spans="1:94" hidden="1">
      <c r="A3678"/>
      <c r="G3678" s="207"/>
      <c r="CP3678"/>
    </row>
    <row r="3679" spans="1:94" hidden="1">
      <c r="A3679"/>
      <c r="G3679" s="207"/>
      <c r="CP3679"/>
    </row>
    <row r="3680" spans="1:94" hidden="1">
      <c r="A3680"/>
      <c r="G3680" s="207"/>
      <c r="CP3680"/>
    </row>
    <row r="3681" spans="1:94" hidden="1">
      <c r="A3681"/>
      <c r="G3681" s="207"/>
      <c r="CP3681"/>
    </row>
    <row r="3682" spans="1:94" hidden="1">
      <c r="A3682"/>
      <c r="G3682" s="207"/>
      <c r="CP3682"/>
    </row>
    <row r="3683" spans="1:94" hidden="1">
      <c r="A3683"/>
      <c r="G3683" s="207"/>
      <c r="CP3683"/>
    </row>
    <row r="3684" spans="1:94" hidden="1">
      <c r="A3684"/>
      <c r="G3684" s="207"/>
      <c r="CP3684"/>
    </row>
    <row r="3685" spans="1:94" hidden="1">
      <c r="A3685"/>
      <c r="G3685" s="207"/>
      <c r="CP3685"/>
    </row>
    <row r="3686" spans="1:94" hidden="1">
      <c r="A3686"/>
      <c r="G3686" s="207"/>
      <c r="CP3686"/>
    </row>
    <row r="3687" spans="1:94" hidden="1">
      <c r="A3687"/>
      <c r="G3687" s="207"/>
      <c r="CP3687"/>
    </row>
    <row r="3688" spans="1:94" hidden="1">
      <c r="A3688"/>
      <c r="G3688" s="207"/>
      <c r="CP3688"/>
    </row>
    <row r="3689" spans="1:94" hidden="1">
      <c r="A3689"/>
      <c r="G3689" s="207"/>
      <c r="CP3689"/>
    </row>
    <row r="3690" spans="1:94" hidden="1">
      <c r="A3690"/>
      <c r="G3690" s="207"/>
      <c r="CP3690"/>
    </row>
    <row r="3691" spans="1:94" hidden="1">
      <c r="A3691"/>
      <c r="G3691" s="207"/>
      <c r="CP3691"/>
    </row>
    <row r="3692" spans="1:94" hidden="1">
      <c r="A3692"/>
      <c r="G3692" s="207"/>
      <c r="CP3692"/>
    </row>
    <row r="3693" spans="1:94" hidden="1">
      <c r="A3693"/>
      <c r="G3693" s="207"/>
      <c r="CP3693"/>
    </row>
    <row r="3694" spans="1:94" hidden="1">
      <c r="A3694"/>
      <c r="G3694" s="207"/>
      <c r="CP3694"/>
    </row>
    <row r="3695" spans="1:94" hidden="1">
      <c r="A3695"/>
      <c r="G3695" s="207"/>
      <c r="CP3695"/>
    </row>
    <row r="3696" spans="1:94" hidden="1">
      <c r="A3696"/>
      <c r="G3696" s="207"/>
      <c r="CP3696"/>
    </row>
    <row r="3697" spans="1:94" hidden="1">
      <c r="A3697"/>
      <c r="G3697" s="207"/>
      <c r="CP3697"/>
    </row>
    <row r="3698" spans="1:94" hidden="1">
      <c r="A3698"/>
      <c r="G3698" s="207"/>
      <c r="CP3698"/>
    </row>
    <row r="3699" spans="1:94" hidden="1">
      <c r="A3699"/>
      <c r="G3699" s="207"/>
      <c r="CP3699"/>
    </row>
    <row r="3700" spans="1:94" hidden="1">
      <c r="A3700"/>
      <c r="G3700" s="207"/>
      <c r="CP3700"/>
    </row>
    <row r="3701" spans="1:94" hidden="1">
      <c r="A3701"/>
      <c r="G3701" s="207"/>
      <c r="CP3701"/>
    </row>
    <row r="3702" spans="1:94" hidden="1">
      <c r="A3702"/>
      <c r="G3702" s="207"/>
      <c r="CP3702"/>
    </row>
    <row r="3703" spans="1:94" hidden="1">
      <c r="A3703"/>
      <c r="G3703" s="207"/>
      <c r="CP3703"/>
    </row>
    <row r="3704" spans="1:94" hidden="1">
      <c r="A3704"/>
      <c r="G3704" s="207"/>
      <c r="CP3704"/>
    </row>
    <row r="3705" spans="1:94" hidden="1">
      <c r="A3705"/>
      <c r="G3705" s="207"/>
      <c r="CP3705"/>
    </row>
    <row r="3706" spans="1:94" hidden="1">
      <c r="A3706"/>
      <c r="G3706" s="207"/>
      <c r="CP3706"/>
    </row>
    <row r="3707" spans="1:94" hidden="1">
      <c r="A3707"/>
      <c r="G3707" s="207"/>
      <c r="CP3707"/>
    </row>
    <row r="3708" spans="1:94" hidden="1">
      <c r="A3708"/>
      <c r="G3708" s="207"/>
      <c r="CP3708"/>
    </row>
    <row r="3709" spans="1:94" hidden="1">
      <c r="A3709"/>
      <c r="G3709" s="207"/>
      <c r="CP3709"/>
    </row>
    <row r="3710" spans="1:94" hidden="1">
      <c r="A3710"/>
      <c r="G3710" s="207"/>
      <c r="CP3710"/>
    </row>
    <row r="3711" spans="1:94" hidden="1">
      <c r="A3711"/>
      <c r="G3711" s="207"/>
      <c r="CP3711"/>
    </row>
    <row r="3712" spans="1:94" hidden="1">
      <c r="A3712"/>
      <c r="G3712" s="207"/>
      <c r="CP3712"/>
    </row>
    <row r="3713" spans="1:94" hidden="1">
      <c r="A3713"/>
      <c r="G3713" s="207"/>
      <c r="CP3713"/>
    </row>
    <row r="3714" spans="1:94" hidden="1">
      <c r="A3714"/>
      <c r="G3714" s="207"/>
      <c r="CP3714"/>
    </row>
    <row r="3715" spans="1:94" hidden="1">
      <c r="A3715"/>
      <c r="G3715" s="207"/>
      <c r="CP3715"/>
    </row>
    <row r="3716" spans="1:94" hidden="1">
      <c r="A3716"/>
      <c r="G3716" s="207"/>
      <c r="CP3716"/>
    </row>
    <row r="3717" spans="1:94" hidden="1">
      <c r="A3717"/>
      <c r="G3717" s="207"/>
      <c r="CP3717"/>
    </row>
    <row r="3718" spans="1:94" hidden="1">
      <c r="A3718"/>
      <c r="G3718" s="207"/>
      <c r="CP3718"/>
    </row>
    <row r="3719" spans="1:94" hidden="1">
      <c r="A3719"/>
      <c r="G3719" s="207"/>
      <c r="CP3719"/>
    </row>
    <row r="3720" spans="1:94" hidden="1">
      <c r="A3720"/>
      <c r="G3720" s="207"/>
      <c r="CP3720"/>
    </row>
    <row r="3721" spans="1:94" hidden="1">
      <c r="A3721"/>
      <c r="G3721" s="207"/>
      <c r="CP3721"/>
    </row>
    <row r="3722" spans="1:94" hidden="1">
      <c r="A3722"/>
      <c r="G3722" s="207"/>
      <c r="CP3722"/>
    </row>
    <row r="3723" spans="1:94" hidden="1">
      <c r="A3723"/>
      <c r="G3723" s="207"/>
      <c r="CP3723"/>
    </row>
    <row r="3724" spans="1:94" hidden="1">
      <c r="A3724"/>
      <c r="G3724" s="207"/>
      <c r="CP3724"/>
    </row>
    <row r="3725" spans="1:94" hidden="1">
      <c r="A3725"/>
      <c r="G3725" s="207"/>
      <c r="CP3725"/>
    </row>
    <row r="3726" spans="1:94" hidden="1">
      <c r="A3726"/>
      <c r="G3726" s="207"/>
      <c r="CP3726"/>
    </row>
    <row r="3727" spans="1:94" hidden="1">
      <c r="A3727"/>
      <c r="G3727" s="207"/>
      <c r="CP3727"/>
    </row>
    <row r="3728" spans="1:94" hidden="1">
      <c r="A3728"/>
      <c r="G3728" s="207"/>
      <c r="CP3728"/>
    </row>
    <row r="3729" spans="1:94" hidden="1">
      <c r="A3729"/>
      <c r="G3729" s="207"/>
      <c r="CP3729"/>
    </row>
    <row r="3730" spans="1:94" hidden="1">
      <c r="A3730"/>
      <c r="G3730" s="207"/>
      <c r="CP3730"/>
    </row>
    <row r="3731" spans="1:94" hidden="1">
      <c r="A3731"/>
      <c r="G3731" s="207"/>
      <c r="CP3731"/>
    </row>
    <row r="3732" spans="1:94" hidden="1">
      <c r="A3732"/>
      <c r="G3732" s="207"/>
      <c r="CP3732"/>
    </row>
    <row r="3733" spans="1:94" hidden="1">
      <c r="A3733"/>
      <c r="G3733" s="207"/>
      <c r="CP3733"/>
    </row>
    <row r="3734" spans="1:94" hidden="1">
      <c r="A3734"/>
      <c r="G3734" s="207"/>
      <c r="CP3734"/>
    </row>
    <row r="3735" spans="1:94" hidden="1">
      <c r="A3735"/>
      <c r="G3735" s="207"/>
      <c r="CP3735"/>
    </row>
    <row r="3736" spans="1:94" hidden="1">
      <c r="A3736"/>
      <c r="G3736" s="207"/>
      <c r="CP3736"/>
    </row>
    <row r="3737" spans="1:94" hidden="1">
      <c r="A3737"/>
      <c r="G3737" s="207"/>
      <c r="CP3737"/>
    </row>
    <row r="3738" spans="1:94" hidden="1">
      <c r="A3738"/>
      <c r="G3738" s="207"/>
      <c r="CP3738"/>
    </row>
    <row r="3739" spans="1:94" hidden="1">
      <c r="A3739"/>
      <c r="G3739" s="207"/>
      <c r="CP3739"/>
    </row>
    <row r="3740" spans="1:94" hidden="1">
      <c r="A3740"/>
      <c r="G3740" s="207"/>
      <c r="CP3740"/>
    </row>
    <row r="3741" spans="1:94" hidden="1">
      <c r="A3741"/>
      <c r="G3741" s="207"/>
      <c r="CP3741"/>
    </row>
    <row r="3742" spans="1:94" hidden="1">
      <c r="A3742"/>
      <c r="G3742" s="207"/>
      <c r="CP3742"/>
    </row>
    <row r="3743" spans="1:94" hidden="1">
      <c r="A3743"/>
      <c r="G3743" s="207"/>
      <c r="CP3743"/>
    </row>
    <row r="3744" spans="1:94" hidden="1">
      <c r="A3744"/>
      <c r="G3744" s="207"/>
      <c r="CP3744"/>
    </row>
    <row r="3745" spans="1:94" hidden="1">
      <c r="A3745"/>
      <c r="G3745" s="207"/>
      <c r="CP3745"/>
    </row>
    <row r="3746" spans="1:94" hidden="1">
      <c r="A3746"/>
      <c r="G3746" s="207"/>
      <c r="CP3746"/>
    </row>
    <row r="3747" spans="1:94" hidden="1">
      <c r="A3747"/>
      <c r="G3747" s="207"/>
      <c r="CP3747"/>
    </row>
    <row r="3748" spans="1:94" hidden="1">
      <c r="A3748"/>
      <c r="G3748" s="207"/>
      <c r="CP3748"/>
    </row>
    <row r="3749" spans="1:94" hidden="1">
      <c r="A3749"/>
      <c r="G3749" s="207"/>
      <c r="CP3749"/>
    </row>
    <row r="3750" spans="1:94" hidden="1">
      <c r="A3750"/>
      <c r="G3750" s="207"/>
      <c r="CP3750"/>
    </row>
    <row r="3751" spans="1:94" hidden="1">
      <c r="A3751"/>
      <c r="G3751" s="207"/>
      <c r="CP3751"/>
    </row>
    <row r="3752" spans="1:94" hidden="1">
      <c r="A3752"/>
      <c r="G3752" s="207"/>
      <c r="CP3752"/>
    </row>
    <row r="3753" spans="1:94" hidden="1">
      <c r="A3753"/>
      <c r="G3753" s="207"/>
      <c r="CP3753"/>
    </row>
    <row r="3754" spans="1:94" hidden="1">
      <c r="A3754"/>
      <c r="G3754" s="207"/>
      <c r="CP3754"/>
    </row>
    <row r="3755" spans="1:94" hidden="1">
      <c r="A3755"/>
      <c r="G3755" s="207"/>
      <c r="CP3755"/>
    </row>
    <row r="3756" spans="1:94" hidden="1">
      <c r="A3756"/>
      <c r="G3756" s="207"/>
      <c r="CP3756"/>
    </row>
    <row r="3757" spans="1:94" hidden="1">
      <c r="A3757"/>
      <c r="G3757" s="207"/>
      <c r="CP3757"/>
    </row>
    <row r="3758" spans="1:94" hidden="1">
      <c r="A3758"/>
      <c r="G3758" s="207"/>
      <c r="CP3758"/>
    </row>
    <row r="3759" spans="1:94" hidden="1">
      <c r="A3759"/>
      <c r="G3759" s="207"/>
      <c r="CP3759"/>
    </row>
    <row r="3760" spans="1:94" hidden="1">
      <c r="A3760"/>
      <c r="G3760" s="207"/>
      <c r="CP3760"/>
    </row>
    <row r="3761" spans="1:94" hidden="1">
      <c r="A3761"/>
      <c r="G3761" s="207"/>
      <c r="CP3761"/>
    </row>
    <row r="3762" spans="1:94" hidden="1">
      <c r="A3762"/>
      <c r="G3762" s="207"/>
      <c r="CP3762"/>
    </row>
    <row r="3763" spans="1:94" hidden="1">
      <c r="A3763"/>
      <c r="G3763" s="207"/>
      <c r="CP3763"/>
    </row>
    <row r="3764" spans="1:94" hidden="1">
      <c r="A3764"/>
      <c r="G3764" s="207"/>
      <c r="CP3764"/>
    </row>
    <row r="3765" spans="1:94" hidden="1">
      <c r="A3765"/>
      <c r="G3765" s="207"/>
      <c r="CP3765"/>
    </row>
    <row r="3766" spans="1:94" hidden="1">
      <c r="A3766"/>
      <c r="G3766" s="207"/>
      <c r="CP3766"/>
    </row>
    <row r="3767" spans="1:94" hidden="1">
      <c r="A3767"/>
      <c r="G3767" s="207"/>
      <c r="CP3767"/>
    </row>
    <row r="3768" spans="1:94" hidden="1">
      <c r="A3768"/>
      <c r="G3768" s="207"/>
      <c r="CP3768"/>
    </row>
    <row r="3769" spans="1:94" hidden="1">
      <c r="A3769"/>
      <c r="G3769" s="207"/>
      <c r="CP3769"/>
    </row>
    <row r="3770" spans="1:94" hidden="1">
      <c r="A3770"/>
      <c r="G3770" s="207"/>
      <c r="CP3770"/>
    </row>
    <row r="3771" spans="1:94" hidden="1">
      <c r="A3771"/>
      <c r="G3771" s="207"/>
      <c r="CP3771"/>
    </row>
    <row r="3772" spans="1:94" hidden="1">
      <c r="A3772"/>
      <c r="G3772" s="207"/>
      <c r="CP3772"/>
    </row>
    <row r="3773" spans="1:94" hidden="1">
      <c r="A3773"/>
      <c r="G3773" s="207"/>
      <c r="CP3773"/>
    </row>
    <row r="3774" spans="1:94" hidden="1">
      <c r="A3774"/>
      <c r="G3774" s="207"/>
      <c r="CP3774"/>
    </row>
    <row r="3775" spans="1:94" hidden="1">
      <c r="A3775"/>
      <c r="G3775" s="207"/>
      <c r="CP3775"/>
    </row>
    <row r="3776" spans="1:94" hidden="1">
      <c r="A3776"/>
      <c r="G3776" s="207"/>
      <c r="CP3776"/>
    </row>
    <row r="3777" spans="1:94" hidden="1">
      <c r="A3777"/>
      <c r="G3777" s="207"/>
      <c r="CP3777"/>
    </row>
    <row r="3778" spans="1:94" hidden="1">
      <c r="A3778"/>
      <c r="G3778" s="207"/>
      <c r="CP3778"/>
    </row>
    <row r="3779" spans="1:94" hidden="1">
      <c r="A3779"/>
      <c r="G3779" s="207"/>
      <c r="CP3779"/>
    </row>
    <row r="3780" spans="1:94" hidden="1">
      <c r="A3780"/>
      <c r="G3780" s="207"/>
      <c r="CP3780"/>
    </row>
    <row r="3781" spans="1:94" hidden="1">
      <c r="A3781"/>
      <c r="G3781" s="207"/>
      <c r="CP3781"/>
    </row>
    <row r="3782" spans="1:94" hidden="1">
      <c r="A3782"/>
      <c r="G3782" s="207"/>
      <c r="CP3782"/>
    </row>
    <row r="3783" spans="1:94" hidden="1">
      <c r="A3783"/>
      <c r="G3783" s="207"/>
      <c r="CP3783"/>
    </row>
    <row r="3784" spans="1:94" hidden="1">
      <c r="A3784"/>
      <c r="G3784" s="207"/>
      <c r="CP3784"/>
    </row>
    <row r="3785" spans="1:94" hidden="1">
      <c r="A3785"/>
      <c r="G3785" s="207"/>
      <c r="CP3785"/>
    </row>
    <row r="3786" spans="1:94" hidden="1">
      <c r="A3786"/>
      <c r="G3786" s="207"/>
      <c r="CP3786"/>
    </row>
    <row r="3787" spans="1:94" hidden="1">
      <c r="A3787"/>
      <c r="G3787" s="207"/>
      <c r="CP3787"/>
    </row>
    <row r="3788" spans="1:94" hidden="1">
      <c r="A3788"/>
      <c r="G3788" s="207"/>
      <c r="CP3788"/>
    </row>
    <row r="3789" spans="1:94" hidden="1">
      <c r="A3789"/>
      <c r="G3789" s="207"/>
      <c r="CP3789"/>
    </row>
    <row r="3790" spans="1:94" hidden="1">
      <c r="A3790"/>
      <c r="G3790" s="207"/>
      <c r="CP3790"/>
    </row>
    <row r="3791" spans="1:94" hidden="1">
      <c r="A3791"/>
      <c r="G3791" s="207"/>
      <c r="CP3791"/>
    </row>
    <row r="3792" spans="1:94" hidden="1">
      <c r="A3792"/>
      <c r="G3792" s="207"/>
      <c r="CP3792"/>
    </row>
    <row r="3793" spans="1:94" hidden="1">
      <c r="A3793"/>
      <c r="G3793" s="207"/>
      <c r="CP3793"/>
    </row>
    <row r="3794" spans="1:94" hidden="1">
      <c r="A3794"/>
      <c r="G3794" s="207"/>
      <c r="CP3794"/>
    </row>
    <row r="3795" spans="1:94" hidden="1">
      <c r="A3795"/>
      <c r="G3795" s="207"/>
      <c r="CP3795"/>
    </row>
    <row r="3796" spans="1:94" hidden="1">
      <c r="A3796"/>
      <c r="G3796" s="207"/>
      <c r="CP3796"/>
    </row>
    <row r="3797" spans="1:94" hidden="1">
      <c r="A3797"/>
      <c r="G3797" s="207"/>
      <c r="CP3797"/>
    </row>
    <row r="3798" spans="1:94" hidden="1">
      <c r="A3798"/>
      <c r="G3798" s="207"/>
      <c r="CP3798"/>
    </row>
    <row r="3799" spans="1:94" hidden="1">
      <c r="A3799"/>
      <c r="G3799" s="207"/>
      <c r="CP3799"/>
    </row>
    <row r="3800" spans="1:94" hidden="1">
      <c r="A3800"/>
      <c r="G3800" s="207"/>
      <c r="CP3800"/>
    </row>
    <row r="3801" spans="1:94" hidden="1">
      <c r="A3801"/>
      <c r="G3801" s="207"/>
      <c r="CP3801"/>
    </row>
    <row r="3802" spans="1:94" hidden="1">
      <c r="A3802"/>
      <c r="G3802" s="207"/>
      <c r="CP3802"/>
    </row>
    <row r="3803" spans="1:94" hidden="1">
      <c r="A3803"/>
      <c r="G3803" s="207"/>
      <c r="CP3803"/>
    </row>
    <row r="3804" spans="1:94" hidden="1">
      <c r="A3804"/>
      <c r="G3804" s="207"/>
      <c r="CP3804"/>
    </row>
    <row r="3805" spans="1:94" hidden="1">
      <c r="A3805"/>
      <c r="G3805" s="207"/>
      <c r="CP3805"/>
    </row>
    <row r="3806" spans="1:94" hidden="1">
      <c r="A3806"/>
      <c r="G3806" s="207"/>
      <c r="CP3806"/>
    </row>
    <row r="3807" spans="1:94" hidden="1">
      <c r="A3807"/>
      <c r="G3807" s="207"/>
      <c r="CP3807"/>
    </row>
    <row r="3808" spans="1:94" hidden="1">
      <c r="A3808"/>
      <c r="G3808" s="207"/>
      <c r="CP3808"/>
    </row>
    <row r="3809" spans="1:94" hidden="1">
      <c r="A3809"/>
      <c r="G3809" s="207"/>
      <c r="CP3809"/>
    </row>
    <row r="3810" spans="1:94" hidden="1">
      <c r="A3810"/>
      <c r="G3810" s="207"/>
      <c r="CP3810"/>
    </row>
    <row r="3811" spans="1:94" hidden="1">
      <c r="A3811"/>
      <c r="G3811" s="207"/>
      <c r="CP3811"/>
    </row>
    <row r="3812" spans="1:94" hidden="1">
      <c r="A3812"/>
      <c r="G3812" s="207"/>
      <c r="CP3812"/>
    </row>
    <row r="3813" spans="1:94" hidden="1">
      <c r="A3813"/>
      <c r="G3813" s="207"/>
      <c r="CP3813"/>
    </row>
    <row r="3814" spans="1:94" hidden="1">
      <c r="A3814"/>
      <c r="G3814" s="207"/>
      <c r="CP3814"/>
    </row>
    <row r="3815" spans="1:94" hidden="1">
      <c r="A3815"/>
      <c r="G3815" s="207"/>
      <c r="CP3815"/>
    </row>
    <row r="3816" spans="1:94"/>
    <row r="3817" spans="1:94"/>
    <row r="3818" spans="1:94"/>
  </sheetData>
  <mergeCells count="1">
    <mergeCell ref="E13:J13"/>
  </mergeCells>
  <conditionalFormatting sqref="E4">
    <cfRule type="cellIs" dxfId="287" priority="209" operator="equal">
      <formula>FALSE</formula>
    </cfRule>
    <cfRule type="cellIs" dxfId="286" priority="210" operator="equal">
      <formula>TRUE</formula>
    </cfRule>
  </conditionalFormatting>
  <conditionalFormatting sqref="M296:AY296 L297:AY301">
    <cfRule type="cellIs" dxfId="285" priority="190" operator="equal">
      <formula>0</formula>
    </cfRule>
  </conditionalFormatting>
  <conditionalFormatting sqref="L184:CO186">
    <cfRule type="cellIs" dxfId="284" priority="189" operator="equal">
      <formula>0</formula>
    </cfRule>
  </conditionalFormatting>
  <conditionalFormatting sqref="L217:AY218 M216:AY216">
    <cfRule type="cellIs" dxfId="283" priority="188" operator="equal">
      <formula>0</formula>
    </cfRule>
  </conditionalFormatting>
  <conditionalFormatting sqref="L241:AY242 M240:AY240">
    <cfRule type="cellIs" dxfId="282" priority="187" operator="equal">
      <formula>0</formula>
    </cfRule>
  </conditionalFormatting>
  <conditionalFormatting sqref="L330:AY331 M329:AY329">
    <cfRule type="cellIs" dxfId="281" priority="186" operator="equal">
      <formula>0</formula>
    </cfRule>
  </conditionalFormatting>
  <conditionalFormatting sqref="L355:AY357">
    <cfRule type="cellIs" dxfId="280" priority="185" operator="equal">
      <formula>0</formula>
    </cfRule>
  </conditionalFormatting>
  <conditionalFormatting sqref="AZ296:BC301">
    <cfRule type="cellIs" dxfId="279" priority="184" operator="equal">
      <formula>0</formula>
    </cfRule>
  </conditionalFormatting>
  <conditionalFormatting sqref="AZ184:BC186">
    <cfRule type="cellIs" dxfId="278" priority="183" operator="equal">
      <formula>0</formula>
    </cfRule>
  </conditionalFormatting>
  <conditionalFormatting sqref="AZ216:BC218">
    <cfRule type="cellIs" dxfId="277" priority="182" operator="equal">
      <formula>0</formula>
    </cfRule>
  </conditionalFormatting>
  <conditionalFormatting sqref="AZ240:BC242">
    <cfRule type="cellIs" dxfId="276" priority="181" operator="equal">
      <formula>0</formula>
    </cfRule>
  </conditionalFormatting>
  <conditionalFormatting sqref="AZ329:BC331">
    <cfRule type="cellIs" dxfId="275" priority="180" operator="equal">
      <formula>0</formula>
    </cfRule>
  </conditionalFormatting>
  <conditionalFormatting sqref="AZ355:BC357">
    <cfRule type="cellIs" dxfId="274" priority="179" operator="equal">
      <formula>0</formula>
    </cfRule>
  </conditionalFormatting>
  <conditionalFormatting sqref="BD296:BF301">
    <cfRule type="cellIs" dxfId="273" priority="178" operator="equal">
      <formula>0</formula>
    </cfRule>
  </conditionalFormatting>
  <conditionalFormatting sqref="BD184:BF186">
    <cfRule type="cellIs" dxfId="272" priority="177" operator="equal">
      <formula>0</formula>
    </cfRule>
  </conditionalFormatting>
  <conditionalFormatting sqref="BD216:BF218">
    <cfRule type="cellIs" dxfId="271" priority="176" operator="equal">
      <formula>0</formula>
    </cfRule>
  </conditionalFormatting>
  <conditionalFormatting sqref="BD240:BF242">
    <cfRule type="cellIs" dxfId="270" priority="175" operator="equal">
      <formula>0</formula>
    </cfRule>
  </conditionalFormatting>
  <conditionalFormatting sqref="BD329:BF331">
    <cfRule type="cellIs" dxfId="269" priority="174" operator="equal">
      <formula>0</formula>
    </cfRule>
  </conditionalFormatting>
  <conditionalFormatting sqref="BD355:BF357">
    <cfRule type="cellIs" dxfId="268" priority="173" operator="equal">
      <formula>0</formula>
    </cfRule>
  </conditionalFormatting>
  <conditionalFormatting sqref="BG296:BH301">
    <cfRule type="cellIs" dxfId="267" priority="172" operator="equal">
      <formula>0</formula>
    </cfRule>
  </conditionalFormatting>
  <conditionalFormatting sqref="BG184:BH186">
    <cfRule type="cellIs" dxfId="266" priority="171" operator="equal">
      <formula>0</formula>
    </cfRule>
  </conditionalFormatting>
  <conditionalFormatting sqref="BG216:BH218">
    <cfRule type="cellIs" dxfId="265" priority="170" operator="equal">
      <formula>0</formula>
    </cfRule>
  </conditionalFormatting>
  <conditionalFormatting sqref="BG240:BH242">
    <cfRule type="cellIs" dxfId="264" priority="169" operator="equal">
      <formula>0</formula>
    </cfRule>
  </conditionalFormatting>
  <conditionalFormatting sqref="BG329:BH331">
    <cfRule type="cellIs" dxfId="263" priority="168" operator="equal">
      <formula>0</formula>
    </cfRule>
  </conditionalFormatting>
  <conditionalFormatting sqref="BG355:BH357">
    <cfRule type="cellIs" dxfId="262" priority="167" operator="equal">
      <formula>0</formula>
    </cfRule>
  </conditionalFormatting>
  <conditionalFormatting sqref="BI296:BJ301">
    <cfRule type="cellIs" dxfId="261" priority="166" operator="equal">
      <formula>0</formula>
    </cfRule>
  </conditionalFormatting>
  <conditionalFormatting sqref="BI184:BJ186">
    <cfRule type="cellIs" dxfId="260" priority="165" operator="equal">
      <formula>0</formula>
    </cfRule>
  </conditionalFormatting>
  <conditionalFormatting sqref="BI216:BJ218">
    <cfRule type="cellIs" dxfId="259" priority="164" operator="equal">
      <formula>0</formula>
    </cfRule>
  </conditionalFormatting>
  <conditionalFormatting sqref="BI240:BJ242">
    <cfRule type="cellIs" dxfId="258" priority="163" operator="equal">
      <formula>0</formula>
    </cfRule>
  </conditionalFormatting>
  <conditionalFormatting sqref="BI329:BJ331">
    <cfRule type="cellIs" dxfId="257" priority="162" operator="equal">
      <formula>0</formula>
    </cfRule>
  </conditionalFormatting>
  <conditionalFormatting sqref="BI355:BJ357">
    <cfRule type="cellIs" dxfId="256" priority="161" operator="equal">
      <formula>0</formula>
    </cfRule>
  </conditionalFormatting>
  <conditionalFormatting sqref="BK296:BL301">
    <cfRule type="cellIs" dxfId="255" priority="160" operator="equal">
      <formula>0</formula>
    </cfRule>
  </conditionalFormatting>
  <conditionalFormatting sqref="BK184:BL186">
    <cfRule type="cellIs" dxfId="254" priority="159" operator="equal">
      <formula>0</formula>
    </cfRule>
  </conditionalFormatting>
  <conditionalFormatting sqref="BK216:BL218">
    <cfRule type="cellIs" dxfId="253" priority="158" operator="equal">
      <formula>0</formula>
    </cfRule>
  </conditionalFormatting>
  <conditionalFormatting sqref="BK240:BL242">
    <cfRule type="cellIs" dxfId="252" priority="157" operator="equal">
      <formula>0</formula>
    </cfRule>
  </conditionalFormatting>
  <conditionalFormatting sqref="BK329:BL331">
    <cfRule type="cellIs" dxfId="251" priority="156" operator="equal">
      <formula>0</formula>
    </cfRule>
  </conditionalFormatting>
  <conditionalFormatting sqref="BK355:BL357">
    <cfRule type="cellIs" dxfId="250" priority="155" operator="equal">
      <formula>0</formula>
    </cfRule>
  </conditionalFormatting>
  <conditionalFormatting sqref="BM296:BN301">
    <cfRule type="cellIs" dxfId="249" priority="154" operator="equal">
      <formula>0</formula>
    </cfRule>
  </conditionalFormatting>
  <conditionalFormatting sqref="BM184:BN186">
    <cfRule type="cellIs" dxfId="248" priority="153" operator="equal">
      <formula>0</formula>
    </cfRule>
  </conditionalFormatting>
  <conditionalFormatting sqref="BM216:BN218">
    <cfRule type="cellIs" dxfId="247" priority="152" operator="equal">
      <formula>0</formula>
    </cfRule>
  </conditionalFormatting>
  <conditionalFormatting sqref="BM240:BN242">
    <cfRule type="cellIs" dxfId="246" priority="151" operator="equal">
      <formula>0</formula>
    </cfRule>
  </conditionalFormatting>
  <conditionalFormatting sqref="BM329:BN331">
    <cfRule type="cellIs" dxfId="245" priority="150" operator="equal">
      <formula>0</formula>
    </cfRule>
  </conditionalFormatting>
  <conditionalFormatting sqref="BM355:BN357">
    <cfRule type="cellIs" dxfId="244" priority="149" operator="equal">
      <formula>0</formula>
    </cfRule>
  </conditionalFormatting>
  <conditionalFormatting sqref="BO296:BP301">
    <cfRule type="cellIs" dxfId="243" priority="148" operator="equal">
      <formula>0</formula>
    </cfRule>
  </conditionalFormatting>
  <conditionalFormatting sqref="BO184:BP186">
    <cfRule type="cellIs" dxfId="242" priority="147" operator="equal">
      <formula>0</formula>
    </cfRule>
  </conditionalFormatting>
  <conditionalFormatting sqref="BO216:BP218">
    <cfRule type="cellIs" dxfId="241" priority="146" operator="equal">
      <formula>0</formula>
    </cfRule>
  </conditionalFormatting>
  <conditionalFormatting sqref="BO240:BP242">
    <cfRule type="cellIs" dxfId="240" priority="145" operator="equal">
      <formula>0</formula>
    </cfRule>
  </conditionalFormatting>
  <conditionalFormatting sqref="BO329:BP331">
    <cfRule type="cellIs" dxfId="239" priority="144" operator="equal">
      <formula>0</formula>
    </cfRule>
  </conditionalFormatting>
  <conditionalFormatting sqref="BO355:BP357">
    <cfRule type="cellIs" dxfId="238" priority="143" operator="equal">
      <formula>0</formula>
    </cfRule>
  </conditionalFormatting>
  <conditionalFormatting sqref="BQ296:BR301">
    <cfRule type="cellIs" dxfId="237" priority="142" operator="equal">
      <formula>0</formula>
    </cfRule>
  </conditionalFormatting>
  <conditionalFormatting sqref="BQ184:BR186">
    <cfRule type="cellIs" dxfId="236" priority="141" operator="equal">
      <formula>0</formula>
    </cfRule>
  </conditionalFormatting>
  <conditionalFormatting sqref="BQ216:BR218">
    <cfRule type="cellIs" dxfId="235" priority="140" operator="equal">
      <formula>0</formula>
    </cfRule>
  </conditionalFormatting>
  <conditionalFormatting sqref="BQ240:BR242">
    <cfRule type="cellIs" dxfId="234" priority="139" operator="equal">
      <formula>0</formula>
    </cfRule>
  </conditionalFormatting>
  <conditionalFormatting sqref="BQ329:BR331">
    <cfRule type="cellIs" dxfId="233" priority="138" operator="equal">
      <formula>0</formula>
    </cfRule>
  </conditionalFormatting>
  <conditionalFormatting sqref="BQ355:BR357">
    <cfRule type="cellIs" dxfId="232" priority="137" operator="equal">
      <formula>0</formula>
    </cfRule>
  </conditionalFormatting>
  <conditionalFormatting sqref="BS296:BS301">
    <cfRule type="cellIs" dxfId="231" priority="136" operator="equal">
      <formula>0</formula>
    </cfRule>
  </conditionalFormatting>
  <conditionalFormatting sqref="BS184:BS186">
    <cfRule type="cellIs" dxfId="230" priority="135" operator="equal">
      <formula>0</formula>
    </cfRule>
  </conditionalFormatting>
  <conditionalFormatting sqref="BS216:BS218">
    <cfRule type="cellIs" dxfId="229" priority="134" operator="equal">
      <formula>0</formula>
    </cfRule>
  </conditionalFormatting>
  <conditionalFormatting sqref="BS240:BS242">
    <cfRule type="cellIs" dxfId="228" priority="133" operator="equal">
      <formula>0</formula>
    </cfRule>
  </conditionalFormatting>
  <conditionalFormatting sqref="BS329:BS331">
    <cfRule type="cellIs" dxfId="227" priority="132" operator="equal">
      <formula>0</formula>
    </cfRule>
  </conditionalFormatting>
  <conditionalFormatting sqref="BS355:BS357">
    <cfRule type="cellIs" dxfId="226" priority="131" operator="equal">
      <formula>0</formula>
    </cfRule>
  </conditionalFormatting>
  <conditionalFormatting sqref="BT296:BU301">
    <cfRule type="cellIs" dxfId="225" priority="130" operator="equal">
      <formula>0</formula>
    </cfRule>
  </conditionalFormatting>
  <conditionalFormatting sqref="BT184:BU186">
    <cfRule type="cellIs" dxfId="224" priority="129" operator="equal">
      <formula>0</formula>
    </cfRule>
  </conditionalFormatting>
  <conditionalFormatting sqref="BT216:BU218">
    <cfRule type="cellIs" dxfId="223" priority="128" operator="equal">
      <formula>0</formula>
    </cfRule>
  </conditionalFormatting>
  <conditionalFormatting sqref="BT240:BU242">
    <cfRule type="cellIs" dxfId="222" priority="127" operator="equal">
      <formula>0</formula>
    </cfRule>
  </conditionalFormatting>
  <conditionalFormatting sqref="BT329:BU331">
    <cfRule type="cellIs" dxfId="221" priority="126" operator="equal">
      <formula>0</formula>
    </cfRule>
  </conditionalFormatting>
  <conditionalFormatting sqref="BT355:BU357">
    <cfRule type="cellIs" dxfId="220" priority="125" operator="equal">
      <formula>0</formula>
    </cfRule>
  </conditionalFormatting>
  <conditionalFormatting sqref="BV296:BV301">
    <cfRule type="cellIs" dxfId="219" priority="124" operator="equal">
      <formula>0</formula>
    </cfRule>
  </conditionalFormatting>
  <conditionalFormatting sqref="BV184:BV186">
    <cfRule type="cellIs" dxfId="218" priority="123" operator="equal">
      <formula>0</formula>
    </cfRule>
  </conditionalFormatting>
  <conditionalFormatting sqref="BV216:BV218">
    <cfRule type="cellIs" dxfId="217" priority="122" operator="equal">
      <formula>0</formula>
    </cfRule>
  </conditionalFormatting>
  <conditionalFormatting sqref="BV240:BV242">
    <cfRule type="cellIs" dxfId="216" priority="121" operator="equal">
      <formula>0</formula>
    </cfRule>
  </conditionalFormatting>
  <conditionalFormatting sqref="BV329:BV331">
    <cfRule type="cellIs" dxfId="215" priority="120" operator="equal">
      <formula>0</formula>
    </cfRule>
  </conditionalFormatting>
  <conditionalFormatting sqref="BV355:BV357">
    <cfRule type="cellIs" dxfId="214" priority="119" operator="equal">
      <formula>0</formula>
    </cfRule>
  </conditionalFormatting>
  <conditionalFormatting sqref="BW296:BW301">
    <cfRule type="cellIs" dxfId="213" priority="118" operator="equal">
      <formula>0</formula>
    </cfRule>
  </conditionalFormatting>
  <conditionalFormatting sqref="BW184:BW186">
    <cfRule type="cellIs" dxfId="212" priority="117" operator="equal">
      <formula>0</formula>
    </cfRule>
  </conditionalFormatting>
  <conditionalFormatting sqref="BW216:BW218">
    <cfRule type="cellIs" dxfId="211" priority="116" operator="equal">
      <formula>0</formula>
    </cfRule>
  </conditionalFormatting>
  <conditionalFormatting sqref="BW240:BW242">
    <cfRule type="cellIs" dxfId="210" priority="115" operator="equal">
      <formula>0</formula>
    </cfRule>
  </conditionalFormatting>
  <conditionalFormatting sqref="BW329:BW331">
    <cfRule type="cellIs" dxfId="209" priority="114" operator="equal">
      <formula>0</formula>
    </cfRule>
  </conditionalFormatting>
  <conditionalFormatting sqref="BW355:BW357">
    <cfRule type="cellIs" dxfId="208" priority="113" operator="equal">
      <formula>0</formula>
    </cfRule>
  </conditionalFormatting>
  <conditionalFormatting sqref="BX296:BY301">
    <cfRule type="cellIs" dxfId="207" priority="112" operator="equal">
      <formula>0</formula>
    </cfRule>
  </conditionalFormatting>
  <conditionalFormatting sqref="BX184:BY186">
    <cfRule type="cellIs" dxfId="206" priority="111" operator="equal">
      <formula>0</formula>
    </cfRule>
  </conditionalFormatting>
  <conditionalFormatting sqref="BX216:BY218">
    <cfRule type="cellIs" dxfId="205" priority="110" operator="equal">
      <formula>0</formula>
    </cfRule>
  </conditionalFormatting>
  <conditionalFormatting sqref="BX240:BY242">
    <cfRule type="cellIs" dxfId="204" priority="109" operator="equal">
      <formula>0</formula>
    </cfRule>
  </conditionalFormatting>
  <conditionalFormatting sqref="BX329:BY331">
    <cfRule type="cellIs" dxfId="203" priority="108" operator="equal">
      <formula>0</formula>
    </cfRule>
  </conditionalFormatting>
  <conditionalFormatting sqref="BX355:BY357">
    <cfRule type="cellIs" dxfId="202" priority="107" operator="equal">
      <formula>0</formula>
    </cfRule>
  </conditionalFormatting>
  <conditionalFormatting sqref="BZ296:BZ301">
    <cfRule type="cellIs" dxfId="201" priority="106" operator="equal">
      <formula>0</formula>
    </cfRule>
  </conditionalFormatting>
  <conditionalFormatting sqref="BZ184:BZ186">
    <cfRule type="cellIs" dxfId="200" priority="105" operator="equal">
      <formula>0</formula>
    </cfRule>
  </conditionalFormatting>
  <conditionalFormatting sqref="BZ216:BZ218">
    <cfRule type="cellIs" dxfId="199" priority="104" operator="equal">
      <formula>0</formula>
    </cfRule>
  </conditionalFormatting>
  <conditionalFormatting sqref="BZ240:BZ242">
    <cfRule type="cellIs" dxfId="198" priority="103" operator="equal">
      <formula>0</formula>
    </cfRule>
  </conditionalFormatting>
  <conditionalFormatting sqref="BZ329:BZ331">
    <cfRule type="cellIs" dxfId="197" priority="102" operator="equal">
      <formula>0</formula>
    </cfRule>
  </conditionalFormatting>
  <conditionalFormatting sqref="BZ355:BZ357">
    <cfRule type="cellIs" dxfId="196" priority="101" operator="equal">
      <formula>0</formula>
    </cfRule>
  </conditionalFormatting>
  <conditionalFormatting sqref="CA296:CA301">
    <cfRule type="cellIs" dxfId="195" priority="100" operator="equal">
      <formula>0</formula>
    </cfRule>
  </conditionalFormatting>
  <conditionalFormatting sqref="CA184:CA186">
    <cfRule type="cellIs" dxfId="194" priority="99" operator="equal">
      <formula>0</formula>
    </cfRule>
  </conditionalFormatting>
  <conditionalFormatting sqref="CA216:CA218">
    <cfRule type="cellIs" dxfId="193" priority="98" operator="equal">
      <formula>0</formula>
    </cfRule>
  </conditionalFormatting>
  <conditionalFormatting sqref="CA240:CA242">
    <cfRule type="cellIs" dxfId="192" priority="97" operator="equal">
      <formula>0</formula>
    </cfRule>
  </conditionalFormatting>
  <conditionalFormatting sqref="CA329:CA331">
    <cfRule type="cellIs" dxfId="191" priority="96" operator="equal">
      <formula>0</formula>
    </cfRule>
  </conditionalFormatting>
  <conditionalFormatting sqref="CA355:CA357">
    <cfRule type="cellIs" dxfId="190" priority="95" operator="equal">
      <formula>0</formula>
    </cfRule>
  </conditionalFormatting>
  <conditionalFormatting sqref="CB296:CC301">
    <cfRule type="cellIs" dxfId="189" priority="94" operator="equal">
      <formula>0</formula>
    </cfRule>
  </conditionalFormatting>
  <conditionalFormatting sqref="CB184:CC186">
    <cfRule type="cellIs" dxfId="188" priority="93" operator="equal">
      <formula>0</formula>
    </cfRule>
  </conditionalFormatting>
  <conditionalFormatting sqref="CB216:CC218">
    <cfRule type="cellIs" dxfId="187" priority="92" operator="equal">
      <formula>0</formula>
    </cfRule>
  </conditionalFormatting>
  <conditionalFormatting sqref="CB240:CC242">
    <cfRule type="cellIs" dxfId="186" priority="91" operator="equal">
      <formula>0</formula>
    </cfRule>
  </conditionalFormatting>
  <conditionalFormatting sqref="CB329:CC331">
    <cfRule type="cellIs" dxfId="185" priority="90" operator="equal">
      <formula>0</formula>
    </cfRule>
  </conditionalFormatting>
  <conditionalFormatting sqref="CB355:CC357">
    <cfRule type="cellIs" dxfId="184" priority="89" operator="equal">
      <formula>0</formula>
    </cfRule>
  </conditionalFormatting>
  <conditionalFormatting sqref="CD296:CD301">
    <cfRule type="cellIs" dxfId="183" priority="88" operator="equal">
      <formula>0</formula>
    </cfRule>
  </conditionalFormatting>
  <conditionalFormatting sqref="CD184:CD186">
    <cfRule type="cellIs" dxfId="182" priority="87" operator="equal">
      <formula>0</formula>
    </cfRule>
  </conditionalFormatting>
  <conditionalFormatting sqref="CD216:CD218">
    <cfRule type="cellIs" dxfId="181" priority="86" operator="equal">
      <formula>0</formula>
    </cfRule>
  </conditionalFormatting>
  <conditionalFormatting sqref="CD240:CD242">
    <cfRule type="cellIs" dxfId="180" priority="85" operator="equal">
      <formula>0</formula>
    </cfRule>
  </conditionalFormatting>
  <conditionalFormatting sqref="CD329:CD331">
    <cfRule type="cellIs" dxfId="179" priority="84" operator="equal">
      <formula>0</formula>
    </cfRule>
  </conditionalFormatting>
  <conditionalFormatting sqref="CD355:CD357">
    <cfRule type="cellIs" dxfId="178" priority="83" operator="equal">
      <formula>0</formula>
    </cfRule>
  </conditionalFormatting>
  <conditionalFormatting sqref="CE296:CE301">
    <cfRule type="cellIs" dxfId="177" priority="82" operator="equal">
      <formula>0</formula>
    </cfRule>
  </conditionalFormatting>
  <conditionalFormatting sqref="CE184:CE186">
    <cfRule type="cellIs" dxfId="176" priority="81" operator="equal">
      <formula>0</formula>
    </cfRule>
  </conditionalFormatting>
  <conditionalFormatting sqref="CE216:CE218">
    <cfRule type="cellIs" dxfId="175" priority="80" operator="equal">
      <formula>0</formula>
    </cfRule>
  </conditionalFormatting>
  <conditionalFormatting sqref="CE240:CE242">
    <cfRule type="cellIs" dxfId="174" priority="79" operator="equal">
      <formula>0</formula>
    </cfRule>
  </conditionalFormatting>
  <conditionalFormatting sqref="CE329:CE331">
    <cfRule type="cellIs" dxfId="173" priority="78" operator="equal">
      <formula>0</formula>
    </cfRule>
  </conditionalFormatting>
  <conditionalFormatting sqref="CE355:CE357">
    <cfRule type="cellIs" dxfId="172" priority="77" operator="equal">
      <formula>0</formula>
    </cfRule>
  </conditionalFormatting>
  <conditionalFormatting sqref="CF296:CG301">
    <cfRule type="cellIs" dxfId="171" priority="76" operator="equal">
      <formula>0</formula>
    </cfRule>
  </conditionalFormatting>
  <conditionalFormatting sqref="CF184:CG186">
    <cfRule type="cellIs" dxfId="170" priority="75" operator="equal">
      <formula>0</formula>
    </cfRule>
  </conditionalFormatting>
  <conditionalFormatting sqref="CF216:CG218">
    <cfRule type="cellIs" dxfId="169" priority="74" operator="equal">
      <formula>0</formula>
    </cfRule>
  </conditionalFormatting>
  <conditionalFormatting sqref="CF240:CG242">
    <cfRule type="cellIs" dxfId="168" priority="73" operator="equal">
      <formula>0</formula>
    </cfRule>
  </conditionalFormatting>
  <conditionalFormatting sqref="CF329:CG331">
    <cfRule type="cellIs" dxfId="167" priority="72" operator="equal">
      <formula>0</formula>
    </cfRule>
  </conditionalFormatting>
  <conditionalFormatting sqref="CF355:CG357">
    <cfRule type="cellIs" dxfId="166" priority="71" operator="equal">
      <formula>0</formula>
    </cfRule>
  </conditionalFormatting>
  <conditionalFormatting sqref="CH296:CH301">
    <cfRule type="cellIs" dxfId="165" priority="70" operator="equal">
      <formula>0</formula>
    </cfRule>
  </conditionalFormatting>
  <conditionalFormatting sqref="CH184:CH186">
    <cfRule type="cellIs" dxfId="164" priority="69" operator="equal">
      <formula>0</formula>
    </cfRule>
  </conditionalFormatting>
  <conditionalFormatting sqref="CH216:CH218">
    <cfRule type="cellIs" dxfId="163" priority="68" operator="equal">
      <formula>0</formula>
    </cfRule>
  </conditionalFormatting>
  <conditionalFormatting sqref="CH240:CH242">
    <cfRule type="cellIs" dxfId="162" priority="67" operator="equal">
      <formula>0</formula>
    </cfRule>
  </conditionalFormatting>
  <conditionalFormatting sqref="CH329:CH331">
    <cfRule type="cellIs" dxfId="161" priority="66" operator="equal">
      <formula>0</formula>
    </cfRule>
  </conditionalFormatting>
  <conditionalFormatting sqref="CH355:CH357">
    <cfRule type="cellIs" dxfId="160" priority="65" operator="equal">
      <formula>0</formula>
    </cfRule>
  </conditionalFormatting>
  <conditionalFormatting sqref="CI296:CI301">
    <cfRule type="cellIs" dxfId="159" priority="64" operator="equal">
      <formula>0</formula>
    </cfRule>
  </conditionalFormatting>
  <conditionalFormatting sqref="CI184:CI186">
    <cfRule type="cellIs" dxfId="158" priority="63" operator="equal">
      <formula>0</formula>
    </cfRule>
  </conditionalFormatting>
  <conditionalFormatting sqref="CI216:CI218">
    <cfRule type="cellIs" dxfId="157" priority="62" operator="equal">
      <formula>0</formula>
    </cfRule>
  </conditionalFormatting>
  <conditionalFormatting sqref="CI240:CI242">
    <cfRule type="cellIs" dxfId="156" priority="61" operator="equal">
      <formula>0</formula>
    </cfRule>
  </conditionalFormatting>
  <conditionalFormatting sqref="CI329:CI331">
    <cfRule type="cellIs" dxfId="155" priority="60" operator="equal">
      <formula>0</formula>
    </cfRule>
  </conditionalFormatting>
  <conditionalFormatting sqref="CI355:CI357">
    <cfRule type="cellIs" dxfId="154" priority="59" operator="equal">
      <formula>0</formula>
    </cfRule>
  </conditionalFormatting>
  <conditionalFormatting sqref="CJ296:CK301">
    <cfRule type="cellIs" dxfId="153" priority="58" operator="equal">
      <formula>0</formula>
    </cfRule>
  </conditionalFormatting>
  <conditionalFormatting sqref="CJ184:CK186">
    <cfRule type="cellIs" dxfId="152" priority="57" operator="equal">
      <formula>0</formula>
    </cfRule>
  </conditionalFormatting>
  <conditionalFormatting sqref="CJ216:CK218">
    <cfRule type="cellIs" dxfId="151" priority="56" operator="equal">
      <formula>0</formula>
    </cfRule>
  </conditionalFormatting>
  <conditionalFormatting sqref="CJ240:CK242">
    <cfRule type="cellIs" dxfId="150" priority="55" operator="equal">
      <formula>0</formula>
    </cfRule>
  </conditionalFormatting>
  <conditionalFormatting sqref="CJ329:CK331">
    <cfRule type="cellIs" dxfId="149" priority="54" operator="equal">
      <formula>0</formula>
    </cfRule>
  </conditionalFormatting>
  <conditionalFormatting sqref="CJ355:CK357">
    <cfRule type="cellIs" dxfId="148" priority="53" operator="equal">
      <formula>0</formula>
    </cfRule>
  </conditionalFormatting>
  <conditionalFormatting sqref="CL296:CL301">
    <cfRule type="cellIs" dxfId="147" priority="52" operator="equal">
      <formula>0</formula>
    </cfRule>
  </conditionalFormatting>
  <conditionalFormatting sqref="CL184:CL186">
    <cfRule type="cellIs" dxfId="146" priority="51" operator="equal">
      <formula>0</formula>
    </cfRule>
  </conditionalFormatting>
  <conditionalFormatting sqref="CL216:CL218">
    <cfRule type="cellIs" dxfId="145" priority="50" operator="equal">
      <formula>0</formula>
    </cfRule>
  </conditionalFormatting>
  <conditionalFormatting sqref="CL240:CL242">
    <cfRule type="cellIs" dxfId="144" priority="49" operator="equal">
      <formula>0</formula>
    </cfRule>
  </conditionalFormatting>
  <conditionalFormatting sqref="CL329:CL331">
    <cfRule type="cellIs" dxfId="143" priority="48" operator="equal">
      <formula>0</formula>
    </cfRule>
  </conditionalFormatting>
  <conditionalFormatting sqref="CL355:CL357">
    <cfRule type="cellIs" dxfId="142" priority="47" operator="equal">
      <formula>0</formula>
    </cfRule>
  </conditionalFormatting>
  <conditionalFormatting sqref="CM296:CM301">
    <cfRule type="cellIs" dxfId="141" priority="46" operator="equal">
      <formula>0</formula>
    </cfRule>
  </conditionalFormatting>
  <conditionalFormatting sqref="CM184:CM186">
    <cfRule type="cellIs" dxfId="140" priority="45" operator="equal">
      <formula>0</formula>
    </cfRule>
  </conditionalFormatting>
  <conditionalFormatting sqref="CM216:CM218">
    <cfRule type="cellIs" dxfId="139" priority="44" operator="equal">
      <formula>0</formula>
    </cfRule>
  </conditionalFormatting>
  <conditionalFormatting sqref="CM240:CM242">
    <cfRule type="cellIs" dxfId="138" priority="43" operator="equal">
      <formula>0</formula>
    </cfRule>
  </conditionalFormatting>
  <conditionalFormatting sqref="CM329:CM331">
    <cfRule type="cellIs" dxfId="137" priority="42" operator="equal">
      <formula>0</formula>
    </cfRule>
  </conditionalFormatting>
  <conditionalFormatting sqref="CM355:CM357">
    <cfRule type="cellIs" dxfId="136" priority="41" operator="equal">
      <formula>0</formula>
    </cfRule>
  </conditionalFormatting>
  <conditionalFormatting sqref="CN296:CO301">
    <cfRule type="cellIs" dxfId="135" priority="40" operator="equal">
      <formula>0</formula>
    </cfRule>
  </conditionalFormatting>
  <conditionalFormatting sqref="CN184:CO186">
    <cfRule type="cellIs" dxfId="134" priority="39" operator="equal">
      <formula>0</formula>
    </cfRule>
  </conditionalFormatting>
  <conditionalFormatting sqref="CN216:CO218">
    <cfRule type="cellIs" dxfId="133" priority="38" operator="equal">
      <formula>0</formula>
    </cfRule>
  </conditionalFormatting>
  <conditionalFormatting sqref="CN240:CO242">
    <cfRule type="cellIs" dxfId="132" priority="37" operator="equal">
      <formula>0</formula>
    </cfRule>
  </conditionalFormatting>
  <conditionalFormatting sqref="CN329:CO331">
    <cfRule type="cellIs" dxfId="131" priority="36" operator="equal">
      <formula>0</formula>
    </cfRule>
  </conditionalFormatting>
  <conditionalFormatting sqref="CN355:CO357">
    <cfRule type="cellIs" dxfId="130" priority="35" operator="equal">
      <formula>0</formula>
    </cfRule>
  </conditionalFormatting>
  <conditionalFormatting sqref="L9:CO9">
    <cfRule type="cellIs" dxfId="129" priority="33" operator="equal">
      <formula>2</formula>
    </cfRule>
    <cfRule type="cellIs" dxfId="128" priority="34" operator="equal">
      <formula>1</formula>
    </cfRule>
  </conditionalFormatting>
  <conditionalFormatting sqref="H389">
    <cfRule type="expression" dxfId="127" priority="28">
      <formula>$H$389&lt;&gt;1</formula>
    </cfRule>
  </conditionalFormatting>
  <conditionalFormatting sqref="L216:CO218">
    <cfRule type="cellIs" dxfId="126" priority="27" operator="equal">
      <formula>0</formula>
    </cfRule>
  </conditionalFormatting>
  <conditionalFormatting sqref="L240:CO242">
    <cfRule type="cellIs" dxfId="125" priority="26" operator="equal">
      <formula>0</formula>
    </cfRule>
  </conditionalFormatting>
  <conditionalFormatting sqref="I184:I186">
    <cfRule type="cellIs" dxfId="124" priority="24" operator="equal">
      <formula>1</formula>
    </cfRule>
    <cfRule type="cellIs" dxfId="123" priority="25" operator="notEqual">
      <formula>1</formula>
    </cfRule>
  </conditionalFormatting>
  <conditionalFormatting sqref="L296:CO301">
    <cfRule type="cellIs" dxfId="122" priority="19" operator="equal">
      <formula>0</formula>
    </cfRule>
  </conditionalFormatting>
  <conditionalFormatting sqref="L329:CO331">
    <cfRule type="cellIs" dxfId="121" priority="16" operator="equal">
      <formula>0</formula>
    </cfRule>
  </conditionalFormatting>
  <conditionalFormatting sqref="I216:I218">
    <cfRule type="cellIs" dxfId="120" priority="12" operator="equal">
      <formula>1</formula>
    </cfRule>
    <cfRule type="cellIs" dxfId="119" priority="13" operator="notEqual">
      <formula>1</formula>
    </cfRule>
  </conditionalFormatting>
  <conditionalFormatting sqref="I240:I242">
    <cfRule type="cellIs" dxfId="118" priority="10" operator="equal">
      <formula>1</formula>
    </cfRule>
    <cfRule type="cellIs" dxfId="117" priority="11" operator="notEqual">
      <formula>1</formula>
    </cfRule>
  </conditionalFormatting>
  <conditionalFormatting sqref="I296:I301">
    <cfRule type="cellIs" dxfId="116" priority="8" operator="equal">
      <formula>1</formula>
    </cfRule>
    <cfRule type="cellIs" dxfId="115" priority="9" operator="notEqual">
      <formula>1</formula>
    </cfRule>
  </conditionalFormatting>
  <conditionalFormatting sqref="I329:I331">
    <cfRule type="cellIs" dxfId="114" priority="6" operator="equal">
      <formula>1</formula>
    </cfRule>
    <cfRule type="cellIs" dxfId="113" priority="7" operator="notEqual">
      <formula>1</formula>
    </cfRule>
  </conditionalFormatting>
  <conditionalFormatting sqref="I355:I357">
    <cfRule type="cellIs" dxfId="112" priority="4" operator="equal">
      <formula>1</formula>
    </cfRule>
    <cfRule type="cellIs" dxfId="111" priority="5" operator="notEqual">
      <formula>1</formula>
    </cfRule>
  </conditionalFormatting>
  <conditionalFormatting sqref="L355:CO357">
    <cfRule type="cellIs" dxfId="110" priority="3" operator="equal">
      <formula>0</formula>
    </cfRule>
  </conditionalFormatting>
  <conditionalFormatting sqref="L56:CO56">
    <cfRule type="notContainsBlanks" dxfId="109" priority="211">
      <formula>LEN(TRIM(L56))&gt;0</formula>
    </cfRule>
  </conditionalFormatting>
  <dataValidations count="9">
    <dataValidation type="list" allowBlank="1" showInputMessage="1" showErrorMessage="1" prompt="1 - Базовый МЭР_x000a_2 - Консервативный МЭР_x000a_3 - Без индексации" sqref="E58:E59" xr:uid="{00000000-0002-0000-0300-000000000000}">
      <formula1>"1,2,3"</formula1>
    </dataValidation>
    <dataValidation type="list" allowBlank="1" showInputMessage="1" showErrorMessage="1" sqref="E24 E216:E218 E329:E331 E240:E242 E296:E301 E355:E357 E22 E184:E186" xr:uid="{00000000-0002-0000-0300-000001000000}">
      <formula1>Beginning_of_period</formula1>
    </dataValidation>
    <dataValidation type="list" allowBlank="1" showInputMessage="1" showErrorMessage="1" sqref="E156 G216:G218 G329:G331 G240:G242 G296:G301 E23 G355:G357 G184:G186" xr:uid="{00000000-0002-0000-0300-000002000000}">
      <formula1>End_of_period</formula1>
    </dataValidation>
    <dataValidation type="list" allowBlank="1" showInputMessage="1" showErrorMessage="1" sqref="E597:E599 E556 E625" xr:uid="{00000000-0002-0000-0300-000003000000}">
      <formula1>"да,нет"</formula1>
    </dataValidation>
    <dataValidation type="list" allowBlank="1" showInputMessage="1" showErrorMessage="1" promptTitle="Выбор метода расчета" prompt="1 - расчет через поток фактических взносов и выплат акционерам (с учетом распределения чистой прибыли)_x000a_2 - традиционный расчет OCF + ICF + Debt (весь доступный денежный поток без учета суммы чистой прибыли, доступной для распределения)" sqref="E622" xr:uid="{00000000-0002-0000-0300-000004000000}">
      <formula1>"1,2"</formula1>
    </dataValidation>
    <dataValidation type="list" allowBlank="1" showInputMessage="1" showErrorMessage="1" prompt="Дата должна быть выровнена на начало квартала" sqref="E584" xr:uid="{00000000-0002-0000-0300-000005000000}">
      <formula1>Beginning_of_period</formula1>
    </dataValidation>
    <dataValidation type="list" allowBlank="1" showInputMessage="1" showErrorMessage="1" sqref="E25" xr:uid="{00000000-0002-0000-0300-000006000000}">
      <formula1>"End_of_period"</formula1>
    </dataValidation>
    <dataValidation type="list" allowBlank="1" showInputMessage="1" showErrorMessage="1" prompt="1 - Базовый_x000a_2 - Консервативный" sqref="E60" xr:uid="{00000000-0002-0000-0300-000007000000}">
      <formula1>"1,2"</formula1>
    </dataValidation>
    <dataValidation type="list" allowBlank="1" showInputMessage="1" showErrorMessage="1" sqref="E646" xr:uid="{73156445-5067-415F-A4A7-97075E5D9F14}">
      <formula1>"Возмещается, Накапливается"</formula1>
    </dataValidation>
  </dataValidations>
  <hyperlinks>
    <hyperlink ref="H619" r:id="rId1" xr:uid="{00000000-0004-0000-0300-000000000000}"/>
    <hyperlink ref="H613" r:id="rId2" xr:uid="{00000000-0004-0000-0300-000001000000}"/>
    <hyperlink ref="H614" r:id="rId3" xr:uid="{00000000-0004-0000-0300-000002000000}"/>
    <hyperlink ref="H616" r:id="rId4" xr:uid="{00000000-0004-0000-0300-000003000000}"/>
    <hyperlink ref="H620" r:id="rId5" xr:uid="{00000000-0004-0000-0300-000004000000}"/>
  </hyperlinks>
  <pageMargins left="0.7" right="0.7" top="0.75" bottom="0.75" header="0.3" footer="0.3"/>
  <pageSetup paperSize="9" scale="10" orientation="landscape" r:id="rId6"/>
  <drawing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1" id="{7734192F-B9D4-4988-A66A-E21039F3BB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E571:E573</xm:sqref>
        </x14:conditionalFormatting>
        <x14:conditionalFormatting xmlns:xm="http://schemas.microsoft.com/office/excel/2006/main">
          <x14:cfRule type="iconSet" priority="197" id="{2C4D2133-B68E-4257-B371-BC3A0E5798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E577:E579</xm:sqref>
        </x14:conditionalFormatting>
        <x14:conditionalFormatting xmlns:xm="http://schemas.microsoft.com/office/excel/2006/main">
          <x14:cfRule type="iconSet" priority="1" id="{E9F068AF-B014-4835-81B5-FC57107B8BC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E648:E649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/>
  </sheetPr>
  <dimension ref="A1:EA2394"/>
  <sheetViews>
    <sheetView showGridLines="0" view="pageBreakPreview" zoomScale="70" zoomScaleNormal="60" zoomScaleSheetLayoutView="70" workbookViewId="0">
      <pane xSplit="10" ySplit="9" topLeftCell="K1016" activePane="bottomRight" state="frozen"/>
      <selection pane="topRight" activeCell="K1" sqref="K1"/>
      <selection pane="bottomLeft" activeCell="A10" sqref="A10"/>
      <selection pane="bottomRight" activeCell="C1037" sqref="C1037"/>
    </sheetView>
  </sheetViews>
  <sheetFormatPr defaultColWidth="0" defaultRowHeight="14.5" zeroHeight="1"/>
  <cols>
    <col min="1" max="2" width="1.7265625" customWidth="1"/>
    <col min="3" max="3" width="80.26953125" customWidth="1"/>
    <col min="4" max="4" width="1.7265625" customWidth="1"/>
    <col min="5" max="5" width="12.453125" style="133" customWidth="1"/>
    <col min="6" max="6" width="13.81640625" customWidth="1"/>
    <col min="7" max="7" width="20.54296875" style="207" customWidth="1"/>
    <col min="8" max="8" width="1.7265625" customWidth="1"/>
    <col min="9" max="9" width="14" customWidth="1"/>
    <col min="10" max="11" width="1.7265625" customWidth="1"/>
    <col min="12" max="93" width="12.7265625" customWidth="1"/>
    <col min="94" max="94" width="1.26953125" customWidth="1"/>
    <col min="95" max="16384" width="1.26953125" hidden="1"/>
  </cols>
  <sheetData>
    <row r="1" spans="1:93">
      <c r="A1" s="3"/>
      <c r="B1" s="3"/>
      <c r="C1" s="47"/>
      <c r="D1" s="3"/>
      <c r="E1" s="47"/>
      <c r="F1" s="3"/>
      <c r="G1" s="17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180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3"/>
      <c r="B3" s="3"/>
      <c r="C3" s="47"/>
      <c r="D3" s="3"/>
      <c r="E3" s="183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3"/>
      <c r="B4" s="7"/>
      <c r="C4" s="99" t="s">
        <v>583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3"/>
      <c r="B5" s="3"/>
      <c r="C5" s="47"/>
      <c r="D5" s="3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6"/>
      <c r="E6" s="6" t="s">
        <v>22</v>
      </c>
      <c r="F6" s="6"/>
      <c r="G6" s="6" t="s">
        <v>23</v>
      </c>
      <c r="H6" s="6"/>
      <c r="I6" s="6" t="s">
        <v>20</v>
      </c>
      <c r="J6" s="5"/>
      <c r="K6" s="5"/>
      <c r="L6" s="6">
        <f t="shared" ref="L6:BW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ref="BX6:CO6" si="1">YEAR(BX7)</f>
        <v>2041</v>
      </c>
      <c r="BY6" s="6">
        <f t="shared" si="1"/>
        <v>2041</v>
      </c>
      <c r="BZ6" s="6">
        <f t="shared" si="1"/>
        <v>2041</v>
      </c>
      <c r="CA6" s="6">
        <f t="shared" si="1"/>
        <v>2041</v>
      </c>
      <c r="CB6" s="6">
        <f t="shared" si="1"/>
        <v>2042</v>
      </c>
      <c r="CC6" s="6">
        <f t="shared" si="1"/>
        <v>2042</v>
      </c>
      <c r="CD6" s="6">
        <f t="shared" si="1"/>
        <v>2042</v>
      </c>
      <c r="CE6" s="6">
        <f t="shared" si="1"/>
        <v>2042</v>
      </c>
      <c r="CF6" s="6">
        <f t="shared" si="1"/>
        <v>2043</v>
      </c>
      <c r="CG6" s="6">
        <f t="shared" si="1"/>
        <v>2043</v>
      </c>
      <c r="CH6" s="6">
        <f t="shared" si="1"/>
        <v>2043</v>
      </c>
      <c r="CI6" s="6">
        <f t="shared" si="1"/>
        <v>2043</v>
      </c>
      <c r="CJ6" s="6">
        <f t="shared" si="1"/>
        <v>2044</v>
      </c>
      <c r="CK6" s="6">
        <f t="shared" si="1"/>
        <v>2044</v>
      </c>
      <c r="CL6" s="6">
        <f t="shared" si="1"/>
        <v>2044</v>
      </c>
      <c r="CM6" s="6">
        <f t="shared" si="1"/>
        <v>2044</v>
      </c>
      <c r="CN6" s="6">
        <f t="shared" si="1"/>
        <v>2045</v>
      </c>
      <c r="CO6" s="6">
        <f t="shared" si="1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BW7" si="2">Beginning_of_period</f>
        <v>45658</v>
      </c>
      <c r="M7" s="113">
        <f t="shared" si="2"/>
        <v>45748</v>
      </c>
      <c r="N7" s="113">
        <f t="shared" si="2"/>
        <v>45839</v>
      </c>
      <c r="O7" s="113">
        <f t="shared" si="2"/>
        <v>45931</v>
      </c>
      <c r="P7" s="113">
        <f t="shared" si="2"/>
        <v>46023</v>
      </c>
      <c r="Q7" s="113">
        <f t="shared" si="2"/>
        <v>46113</v>
      </c>
      <c r="R7" s="113">
        <f t="shared" si="2"/>
        <v>46204</v>
      </c>
      <c r="S7" s="113">
        <f t="shared" si="2"/>
        <v>46296</v>
      </c>
      <c r="T7" s="113">
        <f t="shared" si="2"/>
        <v>46388</v>
      </c>
      <c r="U7" s="113">
        <f t="shared" si="2"/>
        <v>46478</v>
      </c>
      <c r="V7" s="113">
        <f t="shared" si="2"/>
        <v>46569</v>
      </c>
      <c r="W7" s="113">
        <f t="shared" si="2"/>
        <v>46661</v>
      </c>
      <c r="X7" s="113">
        <f t="shared" si="2"/>
        <v>46753</v>
      </c>
      <c r="Y7" s="113">
        <f t="shared" si="2"/>
        <v>46844</v>
      </c>
      <c r="Z7" s="113">
        <f t="shared" si="2"/>
        <v>46935</v>
      </c>
      <c r="AA7" s="113">
        <f t="shared" si="2"/>
        <v>47027</v>
      </c>
      <c r="AB7" s="113">
        <f t="shared" si="2"/>
        <v>47119</v>
      </c>
      <c r="AC7" s="113">
        <f t="shared" si="2"/>
        <v>47209</v>
      </c>
      <c r="AD7" s="113">
        <f t="shared" si="2"/>
        <v>47300</v>
      </c>
      <c r="AE7" s="113">
        <f t="shared" si="2"/>
        <v>47392</v>
      </c>
      <c r="AF7" s="113">
        <f t="shared" si="2"/>
        <v>47484</v>
      </c>
      <c r="AG7" s="113">
        <f t="shared" si="2"/>
        <v>47574</v>
      </c>
      <c r="AH7" s="113">
        <f t="shared" si="2"/>
        <v>47665</v>
      </c>
      <c r="AI7" s="113">
        <f t="shared" si="2"/>
        <v>47757</v>
      </c>
      <c r="AJ7" s="113">
        <f t="shared" si="2"/>
        <v>47849</v>
      </c>
      <c r="AK7" s="113">
        <f t="shared" si="2"/>
        <v>47939</v>
      </c>
      <c r="AL7" s="113">
        <f t="shared" si="2"/>
        <v>48030</v>
      </c>
      <c r="AM7" s="113">
        <f t="shared" si="2"/>
        <v>48122</v>
      </c>
      <c r="AN7" s="113">
        <f t="shared" si="2"/>
        <v>48214</v>
      </c>
      <c r="AO7" s="113">
        <f t="shared" si="2"/>
        <v>48305</v>
      </c>
      <c r="AP7" s="113">
        <f t="shared" si="2"/>
        <v>48396</v>
      </c>
      <c r="AQ7" s="113">
        <f t="shared" si="2"/>
        <v>48488</v>
      </c>
      <c r="AR7" s="113">
        <f t="shared" si="2"/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ref="BX7:CO7" si="3">Beginning_of_period</f>
        <v>51502</v>
      </c>
      <c r="BY7" s="113">
        <f t="shared" si="3"/>
        <v>51592</v>
      </c>
      <c r="BZ7" s="113">
        <f t="shared" si="3"/>
        <v>51683</v>
      </c>
      <c r="CA7" s="113">
        <f t="shared" si="3"/>
        <v>51775</v>
      </c>
      <c r="CB7" s="113">
        <f t="shared" si="3"/>
        <v>51867</v>
      </c>
      <c r="CC7" s="113">
        <f t="shared" si="3"/>
        <v>51957</v>
      </c>
      <c r="CD7" s="113">
        <f t="shared" si="3"/>
        <v>52048</v>
      </c>
      <c r="CE7" s="113">
        <f t="shared" si="3"/>
        <v>52140</v>
      </c>
      <c r="CF7" s="113">
        <f t="shared" si="3"/>
        <v>52232</v>
      </c>
      <c r="CG7" s="113">
        <f t="shared" si="3"/>
        <v>52322</v>
      </c>
      <c r="CH7" s="113">
        <f t="shared" si="3"/>
        <v>52413</v>
      </c>
      <c r="CI7" s="113">
        <f t="shared" si="3"/>
        <v>52505</v>
      </c>
      <c r="CJ7" s="113">
        <f t="shared" si="3"/>
        <v>52597</v>
      </c>
      <c r="CK7" s="113">
        <f t="shared" si="3"/>
        <v>52688</v>
      </c>
      <c r="CL7" s="113">
        <f t="shared" si="3"/>
        <v>52779</v>
      </c>
      <c r="CM7" s="113">
        <f t="shared" si="3"/>
        <v>52871</v>
      </c>
      <c r="CN7" s="113">
        <f t="shared" si="3"/>
        <v>52963</v>
      </c>
      <c r="CO7" s="113">
        <f t="shared" si="3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BW8" si="4">End_of_period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ref="BX8:CO8" si="5">End_of_period</f>
        <v>51591</v>
      </c>
      <c r="BY8" s="113">
        <f t="shared" si="5"/>
        <v>51682</v>
      </c>
      <c r="BZ8" s="113">
        <f t="shared" si="5"/>
        <v>51774</v>
      </c>
      <c r="CA8" s="113">
        <f t="shared" si="5"/>
        <v>51866</v>
      </c>
      <c r="CB8" s="113">
        <f t="shared" si="5"/>
        <v>51956</v>
      </c>
      <c r="CC8" s="113">
        <f t="shared" si="5"/>
        <v>52047</v>
      </c>
      <c r="CD8" s="113">
        <f t="shared" si="5"/>
        <v>52139</v>
      </c>
      <c r="CE8" s="113">
        <f t="shared" si="5"/>
        <v>52231</v>
      </c>
      <c r="CF8" s="113">
        <f t="shared" si="5"/>
        <v>52321</v>
      </c>
      <c r="CG8" s="113">
        <f t="shared" si="5"/>
        <v>52412</v>
      </c>
      <c r="CH8" s="113">
        <f t="shared" si="5"/>
        <v>52504</v>
      </c>
      <c r="CI8" s="113">
        <f t="shared" si="5"/>
        <v>52596</v>
      </c>
      <c r="CJ8" s="113">
        <f t="shared" si="5"/>
        <v>52687</v>
      </c>
      <c r="CK8" s="113">
        <f t="shared" si="5"/>
        <v>52778</v>
      </c>
      <c r="CL8" s="113">
        <f t="shared" si="5"/>
        <v>52870</v>
      </c>
      <c r="CM8" s="113">
        <f t="shared" si="5"/>
        <v>52962</v>
      </c>
      <c r="CN8" s="113">
        <f t="shared" si="5"/>
        <v>53052</v>
      </c>
      <c r="CO8" s="113">
        <f t="shared" si="5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6">IF(Flag_Construction,1,2)*Flag_Financial_Model</f>
        <v>1</v>
      </c>
      <c r="M9" s="152">
        <f t="shared" si="6"/>
        <v>1</v>
      </c>
      <c r="N9" s="152">
        <f t="shared" si="6"/>
        <v>1</v>
      </c>
      <c r="O9" s="152">
        <f t="shared" si="6"/>
        <v>1</v>
      </c>
      <c r="P9" s="152">
        <f t="shared" si="6"/>
        <v>1</v>
      </c>
      <c r="Q9" s="152">
        <f t="shared" si="6"/>
        <v>1</v>
      </c>
      <c r="R9" s="152">
        <f t="shared" si="6"/>
        <v>1</v>
      </c>
      <c r="S9" s="152">
        <f t="shared" si="6"/>
        <v>1</v>
      </c>
      <c r="T9" s="152">
        <f t="shared" si="6"/>
        <v>1</v>
      </c>
      <c r="U9" s="152">
        <f t="shared" si="6"/>
        <v>1</v>
      </c>
      <c r="V9" s="152">
        <f t="shared" si="6"/>
        <v>1</v>
      </c>
      <c r="W9" s="152">
        <f t="shared" si="6"/>
        <v>1</v>
      </c>
      <c r="X9" s="152">
        <f t="shared" si="6"/>
        <v>1</v>
      </c>
      <c r="Y9" s="152">
        <f t="shared" si="6"/>
        <v>1</v>
      </c>
      <c r="Z9" s="152">
        <f t="shared" si="6"/>
        <v>1</v>
      </c>
      <c r="AA9" s="152">
        <f t="shared" si="6"/>
        <v>1</v>
      </c>
      <c r="AB9" s="152">
        <f t="shared" si="6"/>
        <v>1</v>
      </c>
      <c r="AC9" s="152">
        <f t="shared" si="6"/>
        <v>2</v>
      </c>
      <c r="AD9" s="152">
        <f t="shared" si="6"/>
        <v>2</v>
      </c>
      <c r="AE9" s="152">
        <f t="shared" si="6"/>
        <v>2</v>
      </c>
      <c r="AF9" s="152">
        <f t="shared" si="6"/>
        <v>2</v>
      </c>
      <c r="AG9" s="152">
        <f t="shared" si="6"/>
        <v>2</v>
      </c>
      <c r="AH9" s="152">
        <f t="shared" si="6"/>
        <v>2</v>
      </c>
      <c r="AI9" s="152">
        <f t="shared" si="6"/>
        <v>2</v>
      </c>
      <c r="AJ9" s="152">
        <f t="shared" si="6"/>
        <v>2</v>
      </c>
      <c r="AK9" s="152">
        <f t="shared" si="6"/>
        <v>2</v>
      </c>
      <c r="AL9" s="152">
        <f t="shared" si="6"/>
        <v>2</v>
      </c>
      <c r="AM9" s="152">
        <f t="shared" si="6"/>
        <v>2</v>
      </c>
      <c r="AN9" s="152">
        <f t="shared" si="6"/>
        <v>2</v>
      </c>
      <c r="AO9" s="152">
        <f t="shared" si="6"/>
        <v>2</v>
      </c>
      <c r="AP9" s="152">
        <f t="shared" si="6"/>
        <v>2</v>
      </c>
      <c r="AQ9" s="152">
        <f t="shared" si="6"/>
        <v>2</v>
      </c>
      <c r="AR9" s="152">
        <f t="shared" si="6"/>
        <v>2</v>
      </c>
      <c r="AS9" s="152">
        <f t="shared" si="6"/>
        <v>2</v>
      </c>
      <c r="AT9" s="152">
        <f t="shared" si="6"/>
        <v>2</v>
      </c>
      <c r="AU9" s="152">
        <f t="shared" si="6"/>
        <v>2</v>
      </c>
      <c r="AV9" s="152">
        <f t="shared" si="6"/>
        <v>2</v>
      </c>
      <c r="AW9" s="152">
        <f t="shared" si="6"/>
        <v>2</v>
      </c>
      <c r="AX9" s="152">
        <f t="shared" si="6"/>
        <v>2</v>
      </c>
      <c r="AY9" s="152">
        <f t="shared" si="6"/>
        <v>2</v>
      </c>
      <c r="AZ9" s="152">
        <f t="shared" si="6"/>
        <v>2</v>
      </c>
      <c r="BA9" s="152">
        <f t="shared" si="6"/>
        <v>2</v>
      </c>
      <c r="BB9" s="152">
        <f t="shared" si="6"/>
        <v>2</v>
      </c>
      <c r="BC9" s="152">
        <f t="shared" si="6"/>
        <v>2</v>
      </c>
      <c r="BD9" s="152">
        <f t="shared" si="6"/>
        <v>2</v>
      </c>
      <c r="BE9" s="152">
        <f t="shared" si="6"/>
        <v>2</v>
      </c>
      <c r="BF9" s="152">
        <f t="shared" si="6"/>
        <v>2</v>
      </c>
      <c r="BG9" s="152">
        <f t="shared" si="6"/>
        <v>2</v>
      </c>
      <c r="BH9" s="152">
        <f t="shared" si="6"/>
        <v>2</v>
      </c>
      <c r="BI9" s="152">
        <f t="shared" si="6"/>
        <v>2</v>
      </c>
      <c r="BJ9" s="152">
        <f t="shared" si="6"/>
        <v>2</v>
      </c>
      <c r="BK9" s="152">
        <f t="shared" si="6"/>
        <v>2</v>
      </c>
      <c r="BL9" s="152">
        <f t="shared" si="6"/>
        <v>2</v>
      </c>
      <c r="BM9" s="152">
        <f t="shared" si="6"/>
        <v>2</v>
      </c>
      <c r="BN9" s="152">
        <f t="shared" si="6"/>
        <v>2</v>
      </c>
      <c r="BO9" s="152">
        <f t="shared" si="6"/>
        <v>2</v>
      </c>
      <c r="BP9" s="152">
        <f t="shared" si="6"/>
        <v>2</v>
      </c>
      <c r="BQ9" s="152">
        <f t="shared" si="6"/>
        <v>2</v>
      </c>
      <c r="BR9" s="152">
        <f t="shared" si="6"/>
        <v>2</v>
      </c>
      <c r="BS9" s="152">
        <f t="shared" si="6"/>
        <v>2</v>
      </c>
      <c r="BT9" s="152">
        <f t="shared" si="6"/>
        <v>2</v>
      </c>
      <c r="BU9" s="152">
        <f t="shared" si="6"/>
        <v>2</v>
      </c>
      <c r="BV9" s="152">
        <f t="shared" si="6"/>
        <v>2</v>
      </c>
      <c r="BW9" s="152">
        <f t="shared" si="6"/>
        <v>2</v>
      </c>
      <c r="BX9" s="152">
        <f t="shared" ref="BX9:CO9" si="7">IF(Flag_Construction,1,2)*Flag_Financial_Model</f>
        <v>2</v>
      </c>
      <c r="BY9" s="152">
        <f t="shared" si="7"/>
        <v>2</v>
      </c>
      <c r="BZ9" s="152">
        <f t="shared" si="7"/>
        <v>2</v>
      </c>
      <c r="CA9" s="152">
        <f t="shared" si="7"/>
        <v>2</v>
      </c>
      <c r="CB9" s="152">
        <f t="shared" si="7"/>
        <v>2</v>
      </c>
      <c r="CC9" s="152">
        <f t="shared" si="7"/>
        <v>2</v>
      </c>
      <c r="CD9" s="152">
        <f t="shared" si="7"/>
        <v>2</v>
      </c>
      <c r="CE9" s="152">
        <f t="shared" si="7"/>
        <v>2</v>
      </c>
      <c r="CF9" s="152">
        <f t="shared" si="7"/>
        <v>2</v>
      </c>
      <c r="CG9" s="152">
        <f t="shared" si="7"/>
        <v>2</v>
      </c>
      <c r="CH9" s="152">
        <f t="shared" si="7"/>
        <v>2</v>
      </c>
      <c r="CI9" s="152">
        <f t="shared" si="7"/>
        <v>2</v>
      </c>
      <c r="CJ9" s="152">
        <f t="shared" si="7"/>
        <v>2</v>
      </c>
      <c r="CK9" s="152">
        <f t="shared" si="7"/>
        <v>2</v>
      </c>
      <c r="CL9" s="152">
        <f t="shared" si="7"/>
        <v>2</v>
      </c>
      <c r="CM9" s="152">
        <f t="shared" si="7"/>
        <v>2</v>
      </c>
      <c r="CN9" s="152">
        <f t="shared" si="7"/>
        <v>2</v>
      </c>
      <c r="CO9" s="152">
        <f t="shared" si="7"/>
        <v>2</v>
      </c>
    </row>
    <row r="10" spans="1:93" ht="15" customHeight="1">
      <c r="A10" s="77"/>
      <c r="B10" s="3"/>
      <c r="C10" s="47"/>
      <c r="D10" s="3"/>
      <c r="E10" s="47"/>
      <c r="F10" s="3"/>
      <c r="G10" s="179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77"/>
      <c r="B11" s="5" t="s">
        <v>379</v>
      </c>
      <c r="C11" s="5"/>
      <c r="D11" s="15"/>
      <c r="E11" s="15"/>
      <c r="F11" s="31"/>
      <c r="G11" s="18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>
      <c r="A12" s="77"/>
      <c r="B12" s="10"/>
      <c r="C12" s="10"/>
      <c r="D12" s="10"/>
      <c r="E12" s="62"/>
      <c r="F12" s="11"/>
      <c r="G12" s="11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ht="16" thickBot="1">
      <c r="A13" s="77"/>
      <c r="B13" s="10"/>
      <c r="C13" s="12" t="s">
        <v>44</v>
      </c>
      <c r="D13" s="12"/>
      <c r="E13" s="12"/>
      <c r="F13" s="12"/>
      <c r="G13" s="362"/>
      <c r="H13" s="12"/>
      <c r="I13" s="12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>
      <c r="A14" s="77"/>
      <c r="B14" s="10"/>
      <c r="C14" s="17"/>
      <c r="D14" s="10"/>
      <c r="E14" s="10"/>
      <c r="F14" s="10"/>
      <c r="G14" s="11"/>
      <c r="H14" s="10"/>
      <c r="I14" s="10"/>
      <c r="J14" s="10"/>
      <c r="K14" s="10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</row>
    <row r="15" spans="1:93">
      <c r="A15" s="77"/>
      <c r="B15" s="10"/>
      <c r="C15" s="17" t="s">
        <v>372</v>
      </c>
      <c r="D15" s="10"/>
      <c r="E15" s="62"/>
      <c r="F15" s="11"/>
      <c r="G15" s="11" t="s">
        <v>45</v>
      </c>
      <c r="H15" s="10"/>
      <c r="I15" s="10"/>
      <c r="J15" s="10"/>
      <c r="K15" s="10"/>
      <c r="L15" s="145">
        <f t="shared" ref="L15:BW15" si="8">YEAR(L$7)</f>
        <v>2025</v>
      </c>
      <c r="M15" s="145">
        <f t="shared" si="8"/>
        <v>2025</v>
      </c>
      <c r="N15" s="145">
        <f t="shared" si="8"/>
        <v>2025</v>
      </c>
      <c r="O15" s="145">
        <f t="shared" si="8"/>
        <v>2025</v>
      </c>
      <c r="P15" s="145">
        <f t="shared" si="8"/>
        <v>2026</v>
      </c>
      <c r="Q15" s="145">
        <f t="shared" si="8"/>
        <v>2026</v>
      </c>
      <c r="R15" s="145">
        <f t="shared" si="8"/>
        <v>2026</v>
      </c>
      <c r="S15" s="145">
        <f t="shared" si="8"/>
        <v>2026</v>
      </c>
      <c r="T15" s="145">
        <f t="shared" si="8"/>
        <v>2027</v>
      </c>
      <c r="U15" s="145">
        <f t="shared" si="8"/>
        <v>2027</v>
      </c>
      <c r="V15" s="145">
        <f t="shared" si="8"/>
        <v>2027</v>
      </c>
      <c r="W15" s="145">
        <f t="shared" si="8"/>
        <v>2027</v>
      </c>
      <c r="X15" s="145">
        <f t="shared" si="8"/>
        <v>2028</v>
      </c>
      <c r="Y15" s="145">
        <f t="shared" si="8"/>
        <v>2028</v>
      </c>
      <c r="Z15" s="145">
        <f t="shared" si="8"/>
        <v>2028</v>
      </c>
      <c r="AA15" s="145">
        <f t="shared" si="8"/>
        <v>2028</v>
      </c>
      <c r="AB15" s="145">
        <f t="shared" si="8"/>
        <v>2029</v>
      </c>
      <c r="AC15" s="145">
        <f t="shared" si="8"/>
        <v>2029</v>
      </c>
      <c r="AD15" s="145">
        <f t="shared" si="8"/>
        <v>2029</v>
      </c>
      <c r="AE15" s="145">
        <f t="shared" si="8"/>
        <v>2029</v>
      </c>
      <c r="AF15" s="145">
        <f t="shared" si="8"/>
        <v>2030</v>
      </c>
      <c r="AG15" s="145">
        <f t="shared" si="8"/>
        <v>2030</v>
      </c>
      <c r="AH15" s="145">
        <f t="shared" si="8"/>
        <v>2030</v>
      </c>
      <c r="AI15" s="145">
        <f t="shared" si="8"/>
        <v>2030</v>
      </c>
      <c r="AJ15" s="145">
        <f t="shared" si="8"/>
        <v>2031</v>
      </c>
      <c r="AK15" s="145">
        <f t="shared" si="8"/>
        <v>2031</v>
      </c>
      <c r="AL15" s="145">
        <f t="shared" si="8"/>
        <v>2031</v>
      </c>
      <c r="AM15" s="145">
        <f t="shared" si="8"/>
        <v>2031</v>
      </c>
      <c r="AN15" s="145">
        <f t="shared" si="8"/>
        <v>2032</v>
      </c>
      <c r="AO15" s="145">
        <f t="shared" si="8"/>
        <v>2032</v>
      </c>
      <c r="AP15" s="145">
        <f t="shared" si="8"/>
        <v>2032</v>
      </c>
      <c r="AQ15" s="145">
        <f t="shared" si="8"/>
        <v>2032</v>
      </c>
      <c r="AR15" s="145">
        <f t="shared" si="8"/>
        <v>2033</v>
      </c>
      <c r="AS15" s="145">
        <f t="shared" si="8"/>
        <v>2033</v>
      </c>
      <c r="AT15" s="145">
        <f t="shared" si="8"/>
        <v>2033</v>
      </c>
      <c r="AU15" s="145">
        <f t="shared" si="8"/>
        <v>2033</v>
      </c>
      <c r="AV15" s="145">
        <f t="shared" si="8"/>
        <v>2034</v>
      </c>
      <c r="AW15" s="145">
        <f t="shared" si="8"/>
        <v>2034</v>
      </c>
      <c r="AX15" s="145">
        <f t="shared" si="8"/>
        <v>2034</v>
      </c>
      <c r="AY15" s="145">
        <f t="shared" si="8"/>
        <v>2034</v>
      </c>
      <c r="AZ15" s="145">
        <f t="shared" si="8"/>
        <v>2035</v>
      </c>
      <c r="BA15" s="145">
        <f t="shared" si="8"/>
        <v>2035</v>
      </c>
      <c r="BB15" s="145">
        <f t="shared" si="8"/>
        <v>2035</v>
      </c>
      <c r="BC15" s="145">
        <f t="shared" si="8"/>
        <v>2035</v>
      </c>
      <c r="BD15" s="145">
        <f t="shared" si="8"/>
        <v>2036</v>
      </c>
      <c r="BE15" s="145">
        <f t="shared" si="8"/>
        <v>2036</v>
      </c>
      <c r="BF15" s="145">
        <f t="shared" si="8"/>
        <v>2036</v>
      </c>
      <c r="BG15" s="145">
        <f t="shared" si="8"/>
        <v>2036</v>
      </c>
      <c r="BH15" s="145">
        <f t="shared" si="8"/>
        <v>2037</v>
      </c>
      <c r="BI15" s="145">
        <f t="shared" si="8"/>
        <v>2037</v>
      </c>
      <c r="BJ15" s="145">
        <f t="shared" si="8"/>
        <v>2037</v>
      </c>
      <c r="BK15" s="145">
        <f t="shared" si="8"/>
        <v>2037</v>
      </c>
      <c r="BL15" s="145">
        <f t="shared" si="8"/>
        <v>2038</v>
      </c>
      <c r="BM15" s="145">
        <f t="shared" si="8"/>
        <v>2038</v>
      </c>
      <c r="BN15" s="145">
        <f t="shared" si="8"/>
        <v>2038</v>
      </c>
      <c r="BO15" s="145">
        <f t="shared" si="8"/>
        <v>2038</v>
      </c>
      <c r="BP15" s="145">
        <f t="shared" si="8"/>
        <v>2039</v>
      </c>
      <c r="BQ15" s="145">
        <f t="shared" si="8"/>
        <v>2039</v>
      </c>
      <c r="BR15" s="145">
        <f t="shared" si="8"/>
        <v>2039</v>
      </c>
      <c r="BS15" s="145">
        <f t="shared" si="8"/>
        <v>2039</v>
      </c>
      <c r="BT15" s="145">
        <f t="shared" si="8"/>
        <v>2040</v>
      </c>
      <c r="BU15" s="145">
        <f t="shared" si="8"/>
        <v>2040</v>
      </c>
      <c r="BV15" s="145">
        <f t="shared" si="8"/>
        <v>2040</v>
      </c>
      <c r="BW15" s="145">
        <f t="shared" si="8"/>
        <v>2040</v>
      </c>
      <c r="BX15" s="145">
        <f t="shared" ref="BX15:CO15" si="9">YEAR(BX$7)</f>
        <v>2041</v>
      </c>
      <c r="BY15" s="145">
        <f t="shared" si="9"/>
        <v>2041</v>
      </c>
      <c r="BZ15" s="145">
        <f t="shared" si="9"/>
        <v>2041</v>
      </c>
      <c r="CA15" s="145">
        <f t="shared" si="9"/>
        <v>2041</v>
      </c>
      <c r="CB15" s="145">
        <f t="shared" si="9"/>
        <v>2042</v>
      </c>
      <c r="CC15" s="145">
        <f t="shared" si="9"/>
        <v>2042</v>
      </c>
      <c r="CD15" s="145">
        <f t="shared" si="9"/>
        <v>2042</v>
      </c>
      <c r="CE15" s="145">
        <f t="shared" si="9"/>
        <v>2042</v>
      </c>
      <c r="CF15" s="145">
        <f t="shared" si="9"/>
        <v>2043</v>
      </c>
      <c r="CG15" s="145">
        <f t="shared" si="9"/>
        <v>2043</v>
      </c>
      <c r="CH15" s="145">
        <f t="shared" si="9"/>
        <v>2043</v>
      </c>
      <c r="CI15" s="145">
        <f t="shared" si="9"/>
        <v>2043</v>
      </c>
      <c r="CJ15" s="145">
        <f t="shared" si="9"/>
        <v>2044</v>
      </c>
      <c r="CK15" s="145">
        <f t="shared" si="9"/>
        <v>2044</v>
      </c>
      <c r="CL15" s="145">
        <f t="shared" si="9"/>
        <v>2044</v>
      </c>
      <c r="CM15" s="145">
        <f t="shared" si="9"/>
        <v>2044</v>
      </c>
      <c r="CN15" s="145">
        <f t="shared" si="9"/>
        <v>2045</v>
      </c>
      <c r="CO15" s="145">
        <f t="shared" si="9"/>
        <v>2045</v>
      </c>
    </row>
    <row r="16" spans="1:93">
      <c r="A16" s="77"/>
      <c r="B16" s="10"/>
      <c r="C16" s="17" t="s">
        <v>1230</v>
      </c>
      <c r="D16" s="10"/>
      <c r="E16" s="62"/>
      <c r="F16" s="11"/>
      <c r="G16" s="11" t="str">
        <f>MIN(L16:CO16) &amp; ".." &amp; MAX(L16:CO16)</f>
        <v>1..4</v>
      </c>
      <c r="H16" s="10"/>
      <c r="I16" s="10"/>
      <c r="J16" s="10"/>
      <c r="K16" s="10"/>
      <c r="L16" s="145">
        <f t="shared" ref="L16:AQ16" si="10">MONTH(End_of_period)/3</f>
        <v>1</v>
      </c>
      <c r="M16" s="145">
        <f t="shared" si="10"/>
        <v>2</v>
      </c>
      <c r="N16" s="145">
        <f t="shared" si="10"/>
        <v>3</v>
      </c>
      <c r="O16" s="145">
        <f t="shared" si="10"/>
        <v>4</v>
      </c>
      <c r="P16" s="145">
        <f t="shared" si="10"/>
        <v>1</v>
      </c>
      <c r="Q16" s="145">
        <f t="shared" si="10"/>
        <v>2</v>
      </c>
      <c r="R16" s="145">
        <f t="shared" si="10"/>
        <v>3</v>
      </c>
      <c r="S16" s="145">
        <f t="shared" si="10"/>
        <v>4</v>
      </c>
      <c r="T16" s="145">
        <f t="shared" si="10"/>
        <v>1</v>
      </c>
      <c r="U16" s="145">
        <f t="shared" si="10"/>
        <v>2</v>
      </c>
      <c r="V16" s="145">
        <f t="shared" si="10"/>
        <v>3</v>
      </c>
      <c r="W16" s="145">
        <f t="shared" si="10"/>
        <v>4</v>
      </c>
      <c r="X16" s="145">
        <f t="shared" si="10"/>
        <v>1</v>
      </c>
      <c r="Y16" s="145">
        <f t="shared" si="10"/>
        <v>2</v>
      </c>
      <c r="Z16" s="145">
        <f t="shared" si="10"/>
        <v>3</v>
      </c>
      <c r="AA16" s="145">
        <f t="shared" si="10"/>
        <v>4</v>
      </c>
      <c r="AB16" s="145">
        <f t="shared" si="10"/>
        <v>1</v>
      </c>
      <c r="AC16" s="145">
        <f t="shared" si="10"/>
        <v>2</v>
      </c>
      <c r="AD16" s="145">
        <f t="shared" si="10"/>
        <v>3</v>
      </c>
      <c r="AE16" s="145">
        <f t="shared" si="10"/>
        <v>4</v>
      </c>
      <c r="AF16" s="145">
        <f t="shared" si="10"/>
        <v>1</v>
      </c>
      <c r="AG16" s="145">
        <f t="shared" si="10"/>
        <v>2</v>
      </c>
      <c r="AH16" s="145">
        <f t="shared" si="10"/>
        <v>3</v>
      </c>
      <c r="AI16" s="145">
        <f t="shared" si="10"/>
        <v>4</v>
      </c>
      <c r="AJ16" s="145">
        <f t="shared" si="10"/>
        <v>1</v>
      </c>
      <c r="AK16" s="145">
        <f t="shared" si="10"/>
        <v>2</v>
      </c>
      <c r="AL16" s="145">
        <f t="shared" si="10"/>
        <v>3</v>
      </c>
      <c r="AM16" s="145">
        <f t="shared" si="10"/>
        <v>4</v>
      </c>
      <c r="AN16" s="145">
        <f t="shared" si="10"/>
        <v>1</v>
      </c>
      <c r="AO16" s="145">
        <f t="shared" si="10"/>
        <v>2</v>
      </c>
      <c r="AP16" s="145">
        <f t="shared" si="10"/>
        <v>3</v>
      </c>
      <c r="AQ16" s="145">
        <f t="shared" si="10"/>
        <v>4</v>
      </c>
      <c r="AR16" s="145">
        <f t="shared" ref="AR16:BW16" si="11">MONTH(End_of_period)/3</f>
        <v>1</v>
      </c>
      <c r="AS16" s="145">
        <f t="shared" si="11"/>
        <v>2</v>
      </c>
      <c r="AT16" s="145">
        <f t="shared" si="11"/>
        <v>3</v>
      </c>
      <c r="AU16" s="145">
        <f t="shared" si="11"/>
        <v>4</v>
      </c>
      <c r="AV16" s="145">
        <f t="shared" si="11"/>
        <v>1</v>
      </c>
      <c r="AW16" s="145">
        <f t="shared" si="11"/>
        <v>2</v>
      </c>
      <c r="AX16" s="145">
        <f t="shared" si="11"/>
        <v>3</v>
      </c>
      <c r="AY16" s="145">
        <f t="shared" si="11"/>
        <v>4</v>
      </c>
      <c r="AZ16" s="145">
        <f t="shared" si="11"/>
        <v>1</v>
      </c>
      <c r="BA16" s="145">
        <f t="shared" si="11"/>
        <v>2</v>
      </c>
      <c r="BB16" s="145">
        <f t="shared" si="11"/>
        <v>3</v>
      </c>
      <c r="BC16" s="145">
        <f t="shared" si="11"/>
        <v>4</v>
      </c>
      <c r="BD16" s="145">
        <f t="shared" si="11"/>
        <v>1</v>
      </c>
      <c r="BE16" s="145">
        <f t="shared" si="11"/>
        <v>2</v>
      </c>
      <c r="BF16" s="145">
        <f t="shared" si="11"/>
        <v>3</v>
      </c>
      <c r="BG16" s="145">
        <f t="shared" si="11"/>
        <v>4</v>
      </c>
      <c r="BH16" s="145">
        <f t="shared" si="11"/>
        <v>1</v>
      </c>
      <c r="BI16" s="145">
        <f t="shared" si="11"/>
        <v>2</v>
      </c>
      <c r="BJ16" s="145">
        <f t="shared" si="11"/>
        <v>3</v>
      </c>
      <c r="BK16" s="145">
        <f t="shared" si="11"/>
        <v>4</v>
      </c>
      <c r="BL16" s="145">
        <f t="shared" si="11"/>
        <v>1</v>
      </c>
      <c r="BM16" s="145">
        <f t="shared" si="11"/>
        <v>2</v>
      </c>
      <c r="BN16" s="145">
        <f t="shared" si="11"/>
        <v>3</v>
      </c>
      <c r="BO16" s="145">
        <f t="shared" si="11"/>
        <v>4</v>
      </c>
      <c r="BP16" s="145">
        <f t="shared" si="11"/>
        <v>1</v>
      </c>
      <c r="BQ16" s="145">
        <f t="shared" si="11"/>
        <v>2</v>
      </c>
      <c r="BR16" s="145">
        <f t="shared" si="11"/>
        <v>3</v>
      </c>
      <c r="BS16" s="145">
        <f t="shared" si="11"/>
        <v>4</v>
      </c>
      <c r="BT16" s="145">
        <f t="shared" si="11"/>
        <v>1</v>
      </c>
      <c r="BU16" s="145">
        <f t="shared" si="11"/>
        <v>2</v>
      </c>
      <c r="BV16" s="145">
        <f t="shared" si="11"/>
        <v>3</v>
      </c>
      <c r="BW16" s="145">
        <f t="shared" si="11"/>
        <v>4</v>
      </c>
      <c r="BX16" s="145">
        <f t="shared" ref="BX16:CO16" si="12">MONTH(End_of_period)/3</f>
        <v>1</v>
      </c>
      <c r="BY16" s="145">
        <f t="shared" si="12"/>
        <v>2</v>
      </c>
      <c r="BZ16" s="145">
        <f t="shared" si="12"/>
        <v>3</v>
      </c>
      <c r="CA16" s="145">
        <f t="shared" si="12"/>
        <v>4</v>
      </c>
      <c r="CB16" s="145">
        <f t="shared" si="12"/>
        <v>1</v>
      </c>
      <c r="CC16" s="145">
        <f t="shared" si="12"/>
        <v>2</v>
      </c>
      <c r="CD16" s="145">
        <f t="shared" si="12"/>
        <v>3</v>
      </c>
      <c r="CE16" s="145">
        <f t="shared" si="12"/>
        <v>4</v>
      </c>
      <c r="CF16" s="145">
        <f t="shared" si="12"/>
        <v>1</v>
      </c>
      <c r="CG16" s="145">
        <f t="shared" si="12"/>
        <v>2</v>
      </c>
      <c r="CH16" s="145">
        <f t="shared" si="12"/>
        <v>3</v>
      </c>
      <c r="CI16" s="145">
        <f t="shared" si="12"/>
        <v>4</v>
      </c>
      <c r="CJ16" s="145">
        <f t="shared" si="12"/>
        <v>1</v>
      </c>
      <c r="CK16" s="145">
        <f t="shared" si="12"/>
        <v>2</v>
      </c>
      <c r="CL16" s="145">
        <f t="shared" si="12"/>
        <v>3</v>
      </c>
      <c r="CM16" s="145">
        <f t="shared" si="12"/>
        <v>4</v>
      </c>
      <c r="CN16" s="145">
        <f t="shared" si="12"/>
        <v>1</v>
      </c>
      <c r="CO16" s="145">
        <f t="shared" si="12"/>
        <v>2</v>
      </c>
    </row>
    <row r="17" spans="1:93">
      <c r="A17" s="77"/>
      <c r="B17" s="10"/>
      <c r="C17" s="17" t="s">
        <v>205</v>
      </c>
      <c r="D17" s="10"/>
      <c r="E17" s="62"/>
      <c r="F17" s="11"/>
      <c r="G17" s="11" t="s">
        <v>46</v>
      </c>
      <c r="H17" s="10"/>
      <c r="I17" s="10"/>
      <c r="J17" s="10"/>
      <c r="K17" s="10"/>
      <c r="L17" s="52">
        <f t="shared" ref="L17:BW17" si="13">L$8-L$7+1</f>
        <v>90</v>
      </c>
      <c r="M17" s="52">
        <f t="shared" si="13"/>
        <v>91</v>
      </c>
      <c r="N17" s="52">
        <f t="shared" si="13"/>
        <v>92</v>
      </c>
      <c r="O17" s="52">
        <f t="shared" si="13"/>
        <v>92</v>
      </c>
      <c r="P17" s="52">
        <f t="shared" si="13"/>
        <v>90</v>
      </c>
      <c r="Q17" s="52">
        <f t="shared" si="13"/>
        <v>91</v>
      </c>
      <c r="R17" s="52">
        <f t="shared" si="13"/>
        <v>92</v>
      </c>
      <c r="S17" s="52">
        <f t="shared" si="13"/>
        <v>92</v>
      </c>
      <c r="T17" s="52">
        <f t="shared" si="13"/>
        <v>90</v>
      </c>
      <c r="U17" s="52">
        <f t="shared" si="13"/>
        <v>91</v>
      </c>
      <c r="V17" s="52">
        <f t="shared" si="13"/>
        <v>92</v>
      </c>
      <c r="W17" s="52">
        <f t="shared" si="13"/>
        <v>92</v>
      </c>
      <c r="X17" s="52">
        <f t="shared" si="13"/>
        <v>91</v>
      </c>
      <c r="Y17" s="52">
        <f t="shared" si="13"/>
        <v>91</v>
      </c>
      <c r="Z17" s="52">
        <f t="shared" si="13"/>
        <v>92</v>
      </c>
      <c r="AA17" s="52">
        <f t="shared" si="13"/>
        <v>92</v>
      </c>
      <c r="AB17" s="52">
        <f t="shared" si="13"/>
        <v>90</v>
      </c>
      <c r="AC17" s="52">
        <f t="shared" si="13"/>
        <v>91</v>
      </c>
      <c r="AD17" s="52">
        <f t="shared" si="13"/>
        <v>92</v>
      </c>
      <c r="AE17" s="52">
        <f t="shared" si="13"/>
        <v>92</v>
      </c>
      <c r="AF17" s="52">
        <f t="shared" si="13"/>
        <v>90</v>
      </c>
      <c r="AG17" s="52">
        <f t="shared" si="13"/>
        <v>91</v>
      </c>
      <c r="AH17" s="52">
        <f t="shared" si="13"/>
        <v>92</v>
      </c>
      <c r="AI17" s="52">
        <f t="shared" si="13"/>
        <v>92</v>
      </c>
      <c r="AJ17" s="52">
        <f t="shared" si="13"/>
        <v>90</v>
      </c>
      <c r="AK17" s="52">
        <f t="shared" si="13"/>
        <v>91</v>
      </c>
      <c r="AL17" s="52">
        <f t="shared" si="13"/>
        <v>92</v>
      </c>
      <c r="AM17" s="52">
        <f t="shared" si="13"/>
        <v>92</v>
      </c>
      <c r="AN17" s="52">
        <f t="shared" si="13"/>
        <v>91</v>
      </c>
      <c r="AO17" s="52">
        <f t="shared" si="13"/>
        <v>91</v>
      </c>
      <c r="AP17" s="52">
        <f t="shared" si="13"/>
        <v>92</v>
      </c>
      <c r="AQ17" s="52">
        <f t="shared" si="13"/>
        <v>92</v>
      </c>
      <c r="AR17" s="52">
        <f t="shared" si="13"/>
        <v>90</v>
      </c>
      <c r="AS17" s="52">
        <f t="shared" si="13"/>
        <v>91</v>
      </c>
      <c r="AT17" s="52">
        <f t="shared" si="13"/>
        <v>92</v>
      </c>
      <c r="AU17" s="52">
        <f t="shared" si="13"/>
        <v>92</v>
      </c>
      <c r="AV17" s="52">
        <f t="shared" si="13"/>
        <v>90</v>
      </c>
      <c r="AW17" s="52">
        <f t="shared" si="13"/>
        <v>91</v>
      </c>
      <c r="AX17" s="52">
        <f t="shared" si="13"/>
        <v>92</v>
      </c>
      <c r="AY17" s="52">
        <f t="shared" si="13"/>
        <v>92</v>
      </c>
      <c r="AZ17" s="52">
        <f t="shared" si="13"/>
        <v>90</v>
      </c>
      <c r="BA17" s="52">
        <f t="shared" si="13"/>
        <v>91</v>
      </c>
      <c r="BB17" s="52">
        <f t="shared" si="13"/>
        <v>92</v>
      </c>
      <c r="BC17" s="52">
        <f t="shared" si="13"/>
        <v>92</v>
      </c>
      <c r="BD17" s="52">
        <f t="shared" si="13"/>
        <v>91</v>
      </c>
      <c r="BE17" s="52">
        <f t="shared" si="13"/>
        <v>91</v>
      </c>
      <c r="BF17" s="52">
        <f t="shared" si="13"/>
        <v>92</v>
      </c>
      <c r="BG17" s="52">
        <f t="shared" si="13"/>
        <v>92</v>
      </c>
      <c r="BH17" s="52">
        <f t="shared" si="13"/>
        <v>90</v>
      </c>
      <c r="BI17" s="52">
        <f t="shared" si="13"/>
        <v>91</v>
      </c>
      <c r="BJ17" s="52">
        <f t="shared" si="13"/>
        <v>92</v>
      </c>
      <c r="BK17" s="52">
        <f t="shared" si="13"/>
        <v>92</v>
      </c>
      <c r="BL17" s="52">
        <f t="shared" si="13"/>
        <v>90</v>
      </c>
      <c r="BM17" s="52">
        <f t="shared" si="13"/>
        <v>91</v>
      </c>
      <c r="BN17" s="52">
        <f t="shared" si="13"/>
        <v>92</v>
      </c>
      <c r="BO17" s="52">
        <f t="shared" si="13"/>
        <v>92</v>
      </c>
      <c r="BP17" s="52">
        <f t="shared" si="13"/>
        <v>90</v>
      </c>
      <c r="BQ17" s="52">
        <f t="shared" si="13"/>
        <v>91</v>
      </c>
      <c r="BR17" s="52">
        <f t="shared" si="13"/>
        <v>92</v>
      </c>
      <c r="BS17" s="52">
        <f t="shared" si="13"/>
        <v>92</v>
      </c>
      <c r="BT17" s="52">
        <f t="shared" si="13"/>
        <v>91</v>
      </c>
      <c r="BU17" s="52">
        <f t="shared" si="13"/>
        <v>91</v>
      </c>
      <c r="BV17" s="52">
        <f t="shared" si="13"/>
        <v>92</v>
      </c>
      <c r="BW17" s="52">
        <f t="shared" si="13"/>
        <v>92</v>
      </c>
      <c r="BX17" s="52">
        <f t="shared" ref="BX17:CO17" si="14">BX$8-BX$7+1</f>
        <v>90</v>
      </c>
      <c r="BY17" s="52">
        <f t="shared" si="14"/>
        <v>91</v>
      </c>
      <c r="BZ17" s="52">
        <f t="shared" si="14"/>
        <v>92</v>
      </c>
      <c r="CA17" s="52">
        <f t="shared" si="14"/>
        <v>92</v>
      </c>
      <c r="CB17" s="52">
        <f t="shared" si="14"/>
        <v>90</v>
      </c>
      <c r="CC17" s="52">
        <f t="shared" si="14"/>
        <v>91</v>
      </c>
      <c r="CD17" s="52">
        <f t="shared" si="14"/>
        <v>92</v>
      </c>
      <c r="CE17" s="52">
        <f t="shared" si="14"/>
        <v>92</v>
      </c>
      <c r="CF17" s="52">
        <f t="shared" si="14"/>
        <v>90</v>
      </c>
      <c r="CG17" s="52">
        <f t="shared" si="14"/>
        <v>91</v>
      </c>
      <c r="CH17" s="52">
        <f t="shared" si="14"/>
        <v>92</v>
      </c>
      <c r="CI17" s="52">
        <f t="shared" si="14"/>
        <v>92</v>
      </c>
      <c r="CJ17" s="52">
        <f t="shared" si="14"/>
        <v>91</v>
      </c>
      <c r="CK17" s="52">
        <f t="shared" si="14"/>
        <v>91</v>
      </c>
      <c r="CL17" s="52">
        <f t="shared" si="14"/>
        <v>92</v>
      </c>
      <c r="CM17" s="52">
        <f t="shared" si="14"/>
        <v>92</v>
      </c>
      <c r="CN17" s="52">
        <f t="shared" si="14"/>
        <v>90</v>
      </c>
      <c r="CO17" s="52">
        <f t="shared" si="14"/>
        <v>91</v>
      </c>
    </row>
    <row r="18" spans="1:93">
      <c r="A18" s="77"/>
      <c r="B18" s="10"/>
      <c r="C18" s="17" t="s">
        <v>373</v>
      </c>
      <c r="D18" s="10"/>
      <c r="E18" s="62"/>
      <c r="F18" s="11"/>
      <c r="G18" s="11" t="s">
        <v>46</v>
      </c>
      <c r="H18" s="10"/>
      <c r="I18" s="10"/>
      <c r="J18" s="10"/>
      <c r="K18" s="10"/>
      <c r="L18" s="52">
        <f t="shared" ref="L18:BW18" si="15">IF(MOD(Year,4),365,366)</f>
        <v>365</v>
      </c>
      <c r="M18" s="52">
        <f t="shared" si="15"/>
        <v>365</v>
      </c>
      <c r="N18" s="52">
        <f t="shared" si="15"/>
        <v>365</v>
      </c>
      <c r="O18" s="52">
        <f t="shared" si="15"/>
        <v>365</v>
      </c>
      <c r="P18" s="52">
        <f t="shared" si="15"/>
        <v>365</v>
      </c>
      <c r="Q18" s="52">
        <f t="shared" si="15"/>
        <v>365</v>
      </c>
      <c r="R18" s="52">
        <f t="shared" si="15"/>
        <v>365</v>
      </c>
      <c r="S18" s="52">
        <f t="shared" si="15"/>
        <v>365</v>
      </c>
      <c r="T18" s="52">
        <f t="shared" si="15"/>
        <v>365</v>
      </c>
      <c r="U18" s="52">
        <f t="shared" si="15"/>
        <v>365</v>
      </c>
      <c r="V18" s="52">
        <f t="shared" si="15"/>
        <v>365</v>
      </c>
      <c r="W18" s="52">
        <f t="shared" si="15"/>
        <v>365</v>
      </c>
      <c r="X18" s="52">
        <f t="shared" si="15"/>
        <v>366</v>
      </c>
      <c r="Y18" s="52">
        <f t="shared" si="15"/>
        <v>366</v>
      </c>
      <c r="Z18" s="52">
        <f t="shared" si="15"/>
        <v>366</v>
      </c>
      <c r="AA18" s="52">
        <f t="shared" si="15"/>
        <v>366</v>
      </c>
      <c r="AB18" s="52">
        <f t="shared" si="15"/>
        <v>365</v>
      </c>
      <c r="AC18" s="52">
        <f t="shared" si="15"/>
        <v>365</v>
      </c>
      <c r="AD18" s="52">
        <f t="shared" si="15"/>
        <v>365</v>
      </c>
      <c r="AE18" s="52">
        <f t="shared" si="15"/>
        <v>365</v>
      </c>
      <c r="AF18" s="52">
        <f t="shared" si="15"/>
        <v>365</v>
      </c>
      <c r="AG18" s="52">
        <f t="shared" si="15"/>
        <v>365</v>
      </c>
      <c r="AH18" s="52">
        <f t="shared" si="15"/>
        <v>365</v>
      </c>
      <c r="AI18" s="52">
        <f t="shared" si="15"/>
        <v>365</v>
      </c>
      <c r="AJ18" s="52">
        <f t="shared" si="15"/>
        <v>365</v>
      </c>
      <c r="AK18" s="52">
        <f t="shared" si="15"/>
        <v>365</v>
      </c>
      <c r="AL18" s="52">
        <f t="shared" si="15"/>
        <v>365</v>
      </c>
      <c r="AM18" s="52">
        <f t="shared" si="15"/>
        <v>365</v>
      </c>
      <c r="AN18" s="52">
        <f t="shared" si="15"/>
        <v>366</v>
      </c>
      <c r="AO18" s="52">
        <f t="shared" si="15"/>
        <v>366</v>
      </c>
      <c r="AP18" s="52">
        <f t="shared" si="15"/>
        <v>366</v>
      </c>
      <c r="AQ18" s="52">
        <f t="shared" si="15"/>
        <v>366</v>
      </c>
      <c r="AR18" s="52">
        <f t="shared" si="15"/>
        <v>365</v>
      </c>
      <c r="AS18" s="52">
        <f t="shared" si="15"/>
        <v>365</v>
      </c>
      <c r="AT18" s="52">
        <f t="shared" si="15"/>
        <v>365</v>
      </c>
      <c r="AU18" s="52">
        <f t="shared" si="15"/>
        <v>365</v>
      </c>
      <c r="AV18" s="52">
        <f t="shared" si="15"/>
        <v>365</v>
      </c>
      <c r="AW18" s="52">
        <f t="shared" si="15"/>
        <v>365</v>
      </c>
      <c r="AX18" s="52">
        <f t="shared" si="15"/>
        <v>365</v>
      </c>
      <c r="AY18" s="52">
        <f t="shared" si="15"/>
        <v>365</v>
      </c>
      <c r="AZ18" s="52">
        <f t="shared" si="15"/>
        <v>365</v>
      </c>
      <c r="BA18" s="52">
        <f t="shared" si="15"/>
        <v>365</v>
      </c>
      <c r="BB18" s="52">
        <f t="shared" si="15"/>
        <v>365</v>
      </c>
      <c r="BC18" s="52">
        <f t="shared" si="15"/>
        <v>365</v>
      </c>
      <c r="BD18" s="52">
        <f t="shared" si="15"/>
        <v>366</v>
      </c>
      <c r="BE18" s="52">
        <f t="shared" si="15"/>
        <v>366</v>
      </c>
      <c r="BF18" s="52">
        <f t="shared" si="15"/>
        <v>366</v>
      </c>
      <c r="BG18" s="52">
        <f t="shared" si="15"/>
        <v>366</v>
      </c>
      <c r="BH18" s="52">
        <f t="shared" si="15"/>
        <v>365</v>
      </c>
      <c r="BI18" s="52">
        <f t="shared" si="15"/>
        <v>365</v>
      </c>
      <c r="BJ18" s="52">
        <f t="shared" si="15"/>
        <v>365</v>
      </c>
      <c r="BK18" s="52">
        <f t="shared" si="15"/>
        <v>365</v>
      </c>
      <c r="BL18" s="52">
        <f t="shared" si="15"/>
        <v>365</v>
      </c>
      <c r="BM18" s="52">
        <f t="shared" si="15"/>
        <v>365</v>
      </c>
      <c r="BN18" s="52">
        <f t="shared" si="15"/>
        <v>365</v>
      </c>
      <c r="BO18" s="52">
        <f t="shared" si="15"/>
        <v>365</v>
      </c>
      <c r="BP18" s="52">
        <f t="shared" si="15"/>
        <v>365</v>
      </c>
      <c r="BQ18" s="52">
        <f t="shared" si="15"/>
        <v>365</v>
      </c>
      <c r="BR18" s="52">
        <f t="shared" si="15"/>
        <v>365</v>
      </c>
      <c r="BS18" s="52">
        <f t="shared" si="15"/>
        <v>365</v>
      </c>
      <c r="BT18" s="52">
        <f t="shared" si="15"/>
        <v>366</v>
      </c>
      <c r="BU18" s="52">
        <f t="shared" si="15"/>
        <v>366</v>
      </c>
      <c r="BV18" s="52">
        <f t="shared" si="15"/>
        <v>366</v>
      </c>
      <c r="BW18" s="52">
        <f t="shared" si="15"/>
        <v>366</v>
      </c>
      <c r="BX18" s="52">
        <f t="shared" ref="BX18:CO18" si="16">IF(MOD(Year,4),365,366)</f>
        <v>365</v>
      </c>
      <c r="BY18" s="52">
        <f t="shared" si="16"/>
        <v>365</v>
      </c>
      <c r="BZ18" s="52">
        <f t="shared" si="16"/>
        <v>365</v>
      </c>
      <c r="CA18" s="52">
        <f t="shared" si="16"/>
        <v>365</v>
      </c>
      <c r="CB18" s="52">
        <f t="shared" si="16"/>
        <v>365</v>
      </c>
      <c r="CC18" s="52">
        <f t="shared" si="16"/>
        <v>365</v>
      </c>
      <c r="CD18" s="52">
        <f t="shared" si="16"/>
        <v>365</v>
      </c>
      <c r="CE18" s="52">
        <f t="shared" si="16"/>
        <v>365</v>
      </c>
      <c r="CF18" s="52">
        <f t="shared" si="16"/>
        <v>365</v>
      </c>
      <c r="CG18" s="52">
        <f t="shared" si="16"/>
        <v>365</v>
      </c>
      <c r="CH18" s="52">
        <f t="shared" si="16"/>
        <v>365</v>
      </c>
      <c r="CI18" s="52">
        <f t="shared" si="16"/>
        <v>365</v>
      </c>
      <c r="CJ18" s="52">
        <f t="shared" si="16"/>
        <v>366</v>
      </c>
      <c r="CK18" s="52">
        <f t="shared" si="16"/>
        <v>366</v>
      </c>
      <c r="CL18" s="52">
        <f t="shared" si="16"/>
        <v>366</v>
      </c>
      <c r="CM18" s="52">
        <f t="shared" si="16"/>
        <v>366</v>
      </c>
      <c r="CN18" s="52">
        <f t="shared" si="16"/>
        <v>365</v>
      </c>
      <c r="CO18" s="52">
        <f t="shared" si="16"/>
        <v>365</v>
      </c>
    </row>
    <row r="19" spans="1:93">
      <c r="A19" s="77"/>
      <c r="B19" s="10"/>
      <c r="C19" s="17" t="s">
        <v>47</v>
      </c>
      <c r="D19" s="10"/>
      <c r="E19" s="62"/>
      <c r="F19" s="11"/>
      <c r="G19" s="11" t="s">
        <v>48</v>
      </c>
      <c r="H19" s="10"/>
      <c r="I19" s="10"/>
      <c r="J19" s="10"/>
      <c r="K19" s="10"/>
      <c r="L19" s="52">
        <f t="shared" ref="L19:BW19" si="17">MONTH(L$8)-MONTH(L$7)+1</f>
        <v>3</v>
      </c>
      <c r="M19" s="52">
        <f t="shared" si="17"/>
        <v>3</v>
      </c>
      <c r="N19" s="52">
        <f t="shared" si="17"/>
        <v>3</v>
      </c>
      <c r="O19" s="52">
        <f t="shared" si="17"/>
        <v>3</v>
      </c>
      <c r="P19" s="52">
        <f t="shared" si="17"/>
        <v>3</v>
      </c>
      <c r="Q19" s="52">
        <f t="shared" si="17"/>
        <v>3</v>
      </c>
      <c r="R19" s="52">
        <f t="shared" si="17"/>
        <v>3</v>
      </c>
      <c r="S19" s="52">
        <f t="shared" si="17"/>
        <v>3</v>
      </c>
      <c r="T19" s="52">
        <f t="shared" si="17"/>
        <v>3</v>
      </c>
      <c r="U19" s="52">
        <f t="shared" si="17"/>
        <v>3</v>
      </c>
      <c r="V19" s="52">
        <f t="shared" si="17"/>
        <v>3</v>
      </c>
      <c r="W19" s="52">
        <f t="shared" si="17"/>
        <v>3</v>
      </c>
      <c r="X19" s="52">
        <f t="shared" si="17"/>
        <v>3</v>
      </c>
      <c r="Y19" s="52">
        <f t="shared" si="17"/>
        <v>3</v>
      </c>
      <c r="Z19" s="52">
        <f t="shared" si="17"/>
        <v>3</v>
      </c>
      <c r="AA19" s="52">
        <f t="shared" si="17"/>
        <v>3</v>
      </c>
      <c r="AB19" s="52">
        <f t="shared" si="17"/>
        <v>3</v>
      </c>
      <c r="AC19" s="52">
        <f t="shared" si="17"/>
        <v>3</v>
      </c>
      <c r="AD19" s="52">
        <f t="shared" si="17"/>
        <v>3</v>
      </c>
      <c r="AE19" s="52">
        <f t="shared" si="17"/>
        <v>3</v>
      </c>
      <c r="AF19" s="52">
        <f t="shared" si="17"/>
        <v>3</v>
      </c>
      <c r="AG19" s="52">
        <f t="shared" si="17"/>
        <v>3</v>
      </c>
      <c r="AH19" s="52">
        <f t="shared" si="17"/>
        <v>3</v>
      </c>
      <c r="AI19" s="52">
        <f t="shared" si="17"/>
        <v>3</v>
      </c>
      <c r="AJ19" s="52">
        <f t="shared" si="17"/>
        <v>3</v>
      </c>
      <c r="AK19" s="52">
        <f t="shared" si="17"/>
        <v>3</v>
      </c>
      <c r="AL19" s="52">
        <f t="shared" si="17"/>
        <v>3</v>
      </c>
      <c r="AM19" s="52">
        <f t="shared" si="17"/>
        <v>3</v>
      </c>
      <c r="AN19" s="52">
        <f t="shared" si="17"/>
        <v>3</v>
      </c>
      <c r="AO19" s="52">
        <f t="shared" si="17"/>
        <v>3</v>
      </c>
      <c r="AP19" s="52">
        <f t="shared" si="17"/>
        <v>3</v>
      </c>
      <c r="AQ19" s="52">
        <f t="shared" si="17"/>
        <v>3</v>
      </c>
      <c r="AR19" s="52">
        <f t="shared" si="17"/>
        <v>3</v>
      </c>
      <c r="AS19" s="52">
        <f t="shared" si="17"/>
        <v>3</v>
      </c>
      <c r="AT19" s="52">
        <f t="shared" si="17"/>
        <v>3</v>
      </c>
      <c r="AU19" s="52">
        <f t="shared" si="17"/>
        <v>3</v>
      </c>
      <c r="AV19" s="52">
        <f t="shared" si="17"/>
        <v>3</v>
      </c>
      <c r="AW19" s="52">
        <f t="shared" si="17"/>
        <v>3</v>
      </c>
      <c r="AX19" s="52">
        <f t="shared" si="17"/>
        <v>3</v>
      </c>
      <c r="AY19" s="52">
        <f t="shared" si="17"/>
        <v>3</v>
      </c>
      <c r="AZ19" s="52">
        <f t="shared" si="17"/>
        <v>3</v>
      </c>
      <c r="BA19" s="52">
        <f t="shared" si="17"/>
        <v>3</v>
      </c>
      <c r="BB19" s="52">
        <f t="shared" si="17"/>
        <v>3</v>
      </c>
      <c r="BC19" s="52">
        <f t="shared" si="17"/>
        <v>3</v>
      </c>
      <c r="BD19" s="52">
        <f t="shared" si="17"/>
        <v>3</v>
      </c>
      <c r="BE19" s="52">
        <f t="shared" si="17"/>
        <v>3</v>
      </c>
      <c r="BF19" s="52">
        <f t="shared" si="17"/>
        <v>3</v>
      </c>
      <c r="BG19" s="52">
        <f t="shared" si="17"/>
        <v>3</v>
      </c>
      <c r="BH19" s="52">
        <f t="shared" si="17"/>
        <v>3</v>
      </c>
      <c r="BI19" s="52">
        <f t="shared" si="17"/>
        <v>3</v>
      </c>
      <c r="BJ19" s="52">
        <f t="shared" si="17"/>
        <v>3</v>
      </c>
      <c r="BK19" s="52">
        <f t="shared" si="17"/>
        <v>3</v>
      </c>
      <c r="BL19" s="52">
        <f t="shared" si="17"/>
        <v>3</v>
      </c>
      <c r="BM19" s="52">
        <f t="shared" si="17"/>
        <v>3</v>
      </c>
      <c r="BN19" s="52">
        <f t="shared" si="17"/>
        <v>3</v>
      </c>
      <c r="BO19" s="52">
        <f t="shared" si="17"/>
        <v>3</v>
      </c>
      <c r="BP19" s="52">
        <f t="shared" si="17"/>
        <v>3</v>
      </c>
      <c r="BQ19" s="52">
        <f t="shared" si="17"/>
        <v>3</v>
      </c>
      <c r="BR19" s="52">
        <f t="shared" si="17"/>
        <v>3</v>
      </c>
      <c r="BS19" s="52">
        <f t="shared" si="17"/>
        <v>3</v>
      </c>
      <c r="BT19" s="52">
        <f t="shared" si="17"/>
        <v>3</v>
      </c>
      <c r="BU19" s="52">
        <f t="shared" si="17"/>
        <v>3</v>
      </c>
      <c r="BV19" s="52">
        <f t="shared" si="17"/>
        <v>3</v>
      </c>
      <c r="BW19" s="52">
        <f t="shared" si="17"/>
        <v>3</v>
      </c>
      <c r="BX19" s="52">
        <f t="shared" ref="BX19:CO19" si="18">MONTH(BX$8)-MONTH(BX$7)+1</f>
        <v>3</v>
      </c>
      <c r="BY19" s="52">
        <f t="shared" si="18"/>
        <v>3</v>
      </c>
      <c r="BZ19" s="52">
        <f t="shared" si="18"/>
        <v>3</v>
      </c>
      <c r="CA19" s="52">
        <f t="shared" si="18"/>
        <v>3</v>
      </c>
      <c r="CB19" s="52">
        <f t="shared" si="18"/>
        <v>3</v>
      </c>
      <c r="CC19" s="52">
        <f t="shared" si="18"/>
        <v>3</v>
      </c>
      <c r="CD19" s="52">
        <f t="shared" si="18"/>
        <v>3</v>
      </c>
      <c r="CE19" s="52">
        <f t="shared" si="18"/>
        <v>3</v>
      </c>
      <c r="CF19" s="52">
        <f t="shared" si="18"/>
        <v>3</v>
      </c>
      <c r="CG19" s="52">
        <f t="shared" si="18"/>
        <v>3</v>
      </c>
      <c r="CH19" s="52">
        <f t="shared" si="18"/>
        <v>3</v>
      </c>
      <c r="CI19" s="52">
        <f t="shared" si="18"/>
        <v>3</v>
      </c>
      <c r="CJ19" s="52">
        <f t="shared" si="18"/>
        <v>3</v>
      </c>
      <c r="CK19" s="52">
        <f t="shared" si="18"/>
        <v>3</v>
      </c>
      <c r="CL19" s="52">
        <f t="shared" si="18"/>
        <v>3</v>
      </c>
      <c r="CM19" s="52">
        <f t="shared" si="18"/>
        <v>3</v>
      </c>
      <c r="CN19" s="52">
        <f t="shared" si="18"/>
        <v>3</v>
      </c>
      <c r="CO19" s="52">
        <f t="shared" si="18"/>
        <v>3</v>
      </c>
    </row>
    <row r="20" spans="1:93">
      <c r="A20" s="77"/>
      <c r="B20" s="10"/>
      <c r="C20" s="17" t="s">
        <v>374</v>
      </c>
      <c r="D20" s="10"/>
      <c r="E20" s="62"/>
      <c r="F20" s="11"/>
      <c r="G20" s="11" t="str">
        <f>MIN(L20:CO20) &amp; ".." &amp; MAX(L20:CO20)</f>
        <v>3..246</v>
      </c>
      <c r="H20" s="10"/>
      <c r="I20" s="10"/>
      <c r="J20" s="10"/>
      <c r="K20" s="10"/>
      <c r="L20" s="52">
        <f t="shared" ref="L20" si="19">K20+L19</f>
        <v>3</v>
      </c>
      <c r="M20" s="52">
        <f t="shared" ref="M20" si="20">L20+M19</f>
        <v>6</v>
      </c>
      <c r="N20" s="52">
        <f t="shared" ref="N20" si="21">M20+N19</f>
        <v>9</v>
      </c>
      <c r="O20" s="52">
        <f t="shared" ref="O20" si="22">N20+O19</f>
        <v>12</v>
      </c>
      <c r="P20" s="52">
        <f t="shared" ref="P20" si="23">O20+P19</f>
        <v>15</v>
      </c>
      <c r="Q20" s="52">
        <f t="shared" ref="Q20" si="24">P20+Q19</f>
        <v>18</v>
      </c>
      <c r="R20" s="52">
        <f t="shared" ref="R20" si="25">Q20+R19</f>
        <v>21</v>
      </c>
      <c r="S20" s="52">
        <f t="shared" ref="S20" si="26">R20+S19</f>
        <v>24</v>
      </c>
      <c r="T20" s="52">
        <f t="shared" ref="T20" si="27">S20+T19</f>
        <v>27</v>
      </c>
      <c r="U20" s="52">
        <f t="shared" ref="U20" si="28">T20+U19</f>
        <v>30</v>
      </c>
      <c r="V20" s="52">
        <f t="shared" ref="V20" si="29">U20+V19</f>
        <v>33</v>
      </c>
      <c r="W20" s="52">
        <f t="shared" ref="W20" si="30">V20+W19</f>
        <v>36</v>
      </c>
      <c r="X20" s="52">
        <f t="shared" ref="X20" si="31">W20+X19</f>
        <v>39</v>
      </c>
      <c r="Y20" s="52">
        <f t="shared" ref="Y20" si="32">X20+Y19</f>
        <v>42</v>
      </c>
      <c r="Z20" s="52">
        <f t="shared" ref="Z20" si="33">Y20+Z19</f>
        <v>45</v>
      </c>
      <c r="AA20" s="52">
        <f t="shared" ref="AA20" si="34">Z20+AA19</f>
        <v>48</v>
      </c>
      <c r="AB20" s="52">
        <f t="shared" ref="AB20" si="35">AA20+AB19</f>
        <v>51</v>
      </c>
      <c r="AC20" s="52">
        <f t="shared" ref="AC20" si="36">AB20+AC19</f>
        <v>54</v>
      </c>
      <c r="AD20" s="52">
        <f t="shared" ref="AD20" si="37">AC20+AD19</f>
        <v>57</v>
      </c>
      <c r="AE20" s="52">
        <f t="shared" ref="AE20" si="38">AD20+AE19</f>
        <v>60</v>
      </c>
      <c r="AF20" s="52">
        <f t="shared" ref="AF20" si="39">AE20+AF19</f>
        <v>63</v>
      </c>
      <c r="AG20" s="52">
        <f t="shared" ref="AG20" si="40">AF20+AG19</f>
        <v>66</v>
      </c>
      <c r="AH20" s="52">
        <f t="shared" ref="AH20" si="41">AG20+AH19</f>
        <v>69</v>
      </c>
      <c r="AI20" s="52">
        <f t="shared" ref="AI20" si="42">AH20+AI19</f>
        <v>72</v>
      </c>
      <c r="AJ20" s="52">
        <f t="shared" ref="AJ20" si="43">AI20+AJ19</f>
        <v>75</v>
      </c>
      <c r="AK20" s="52">
        <f t="shared" ref="AK20" si="44">AJ20+AK19</f>
        <v>78</v>
      </c>
      <c r="AL20" s="52">
        <f t="shared" ref="AL20" si="45">AK20+AL19</f>
        <v>81</v>
      </c>
      <c r="AM20" s="52">
        <f t="shared" ref="AM20" si="46">AL20+AM19</f>
        <v>84</v>
      </c>
      <c r="AN20" s="52">
        <f t="shared" ref="AN20" si="47">AM20+AN19</f>
        <v>87</v>
      </c>
      <c r="AO20" s="52">
        <f t="shared" ref="AO20" si="48">AN20+AO19</f>
        <v>90</v>
      </c>
      <c r="AP20" s="52">
        <f t="shared" ref="AP20" si="49">AO20+AP19</f>
        <v>93</v>
      </c>
      <c r="AQ20" s="52">
        <f t="shared" ref="AQ20" si="50">AP20+AQ19</f>
        <v>96</v>
      </c>
      <c r="AR20" s="52">
        <f t="shared" ref="AR20" si="51">AQ20+AR19</f>
        <v>99</v>
      </c>
      <c r="AS20" s="52">
        <f t="shared" ref="AS20" si="52">AR20+AS19</f>
        <v>102</v>
      </c>
      <c r="AT20" s="52">
        <f t="shared" ref="AT20" si="53">AS20+AT19</f>
        <v>105</v>
      </c>
      <c r="AU20" s="52">
        <f t="shared" ref="AU20" si="54">AT20+AU19</f>
        <v>108</v>
      </c>
      <c r="AV20" s="52">
        <f t="shared" ref="AV20" si="55">AU20+AV19</f>
        <v>111</v>
      </c>
      <c r="AW20" s="52">
        <f t="shared" ref="AW20" si="56">AV20+AW19</f>
        <v>114</v>
      </c>
      <c r="AX20" s="52">
        <f t="shared" ref="AX20" si="57">AW20+AX19</f>
        <v>117</v>
      </c>
      <c r="AY20" s="52">
        <f t="shared" ref="AY20" si="58">AX20+AY19</f>
        <v>120</v>
      </c>
      <c r="AZ20" s="52">
        <f t="shared" ref="AZ20" si="59">AY20+AZ19</f>
        <v>123</v>
      </c>
      <c r="BA20" s="52">
        <f t="shared" ref="BA20" si="60">AZ20+BA19</f>
        <v>126</v>
      </c>
      <c r="BB20" s="52">
        <f t="shared" ref="BB20" si="61">BA20+BB19</f>
        <v>129</v>
      </c>
      <c r="BC20" s="52">
        <f t="shared" ref="BC20" si="62">BB20+BC19</f>
        <v>132</v>
      </c>
      <c r="BD20" s="52">
        <f t="shared" ref="BD20" si="63">BC20+BD19</f>
        <v>135</v>
      </c>
      <c r="BE20" s="52">
        <f t="shared" ref="BE20" si="64">BD20+BE19</f>
        <v>138</v>
      </c>
      <c r="BF20" s="52">
        <f t="shared" ref="BF20" si="65">BE20+BF19</f>
        <v>141</v>
      </c>
      <c r="BG20" s="52">
        <f t="shared" ref="BG20" si="66">BF20+BG19</f>
        <v>144</v>
      </c>
      <c r="BH20" s="52">
        <f t="shared" ref="BH20" si="67">BG20+BH19</f>
        <v>147</v>
      </c>
      <c r="BI20" s="52">
        <f t="shared" ref="BI20" si="68">BH20+BI19</f>
        <v>150</v>
      </c>
      <c r="BJ20" s="52">
        <f t="shared" ref="BJ20" si="69">BI20+BJ19</f>
        <v>153</v>
      </c>
      <c r="BK20" s="52">
        <f t="shared" ref="BK20" si="70">BJ20+BK19</f>
        <v>156</v>
      </c>
      <c r="BL20" s="52">
        <f t="shared" ref="BL20" si="71">BK20+BL19</f>
        <v>159</v>
      </c>
      <c r="BM20" s="52">
        <f t="shared" ref="BM20" si="72">BL20+BM19</f>
        <v>162</v>
      </c>
      <c r="BN20" s="52">
        <f t="shared" ref="BN20" si="73">BM20+BN19</f>
        <v>165</v>
      </c>
      <c r="BO20" s="52">
        <f t="shared" ref="BO20" si="74">BN20+BO19</f>
        <v>168</v>
      </c>
      <c r="BP20" s="52">
        <f t="shared" ref="BP20" si="75">BO20+BP19</f>
        <v>171</v>
      </c>
      <c r="BQ20" s="52">
        <f t="shared" ref="BQ20" si="76">BP20+BQ19</f>
        <v>174</v>
      </c>
      <c r="BR20" s="52">
        <f t="shared" ref="BR20" si="77">BQ20+BR19</f>
        <v>177</v>
      </c>
      <c r="BS20" s="52">
        <f t="shared" ref="BS20" si="78">BR20+BS19</f>
        <v>180</v>
      </c>
      <c r="BT20" s="52">
        <f t="shared" ref="BT20" si="79">BS20+BT19</f>
        <v>183</v>
      </c>
      <c r="BU20" s="52">
        <f t="shared" ref="BU20" si="80">BT20+BU19</f>
        <v>186</v>
      </c>
      <c r="BV20" s="52">
        <f t="shared" ref="BV20" si="81">BU20+BV19</f>
        <v>189</v>
      </c>
      <c r="BW20" s="52">
        <f t="shared" ref="BW20" si="82">BV20+BW19</f>
        <v>192</v>
      </c>
      <c r="BX20" s="52">
        <f t="shared" ref="BX20" si="83">BW20+BX19</f>
        <v>195</v>
      </c>
      <c r="BY20" s="52">
        <f t="shared" ref="BY20" si="84">BX20+BY19</f>
        <v>198</v>
      </c>
      <c r="BZ20" s="52">
        <f t="shared" ref="BZ20" si="85">BY20+BZ19</f>
        <v>201</v>
      </c>
      <c r="CA20" s="52">
        <f t="shared" ref="CA20" si="86">BZ20+CA19</f>
        <v>204</v>
      </c>
      <c r="CB20" s="52">
        <f t="shared" ref="CB20" si="87">CA20+CB19</f>
        <v>207</v>
      </c>
      <c r="CC20" s="52">
        <f t="shared" ref="CC20" si="88">CB20+CC19</f>
        <v>210</v>
      </c>
      <c r="CD20" s="52">
        <f t="shared" ref="CD20" si="89">CC20+CD19</f>
        <v>213</v>
      </c>
      <c r="CE20" s="52">
        <f t="shared" ref="CE20" si="90">CD20+CE19</f>
        <v>216</v>
      </c>
      <c r="CF20" s="52">
        <f t="shared" ref="CF20" si="91">CE20+CF19</f>
        <v>219</v>
      </c>
      <c r="CG20" s="52">
        <f t="shared" ref="CG20" si="92">CF20+CG19</f>
        <v>222</v>
      </c>
      <c r="CH20" s="52">
        <f t="shared" ref="CH20" si="93">CG20+CH19</f>
        <v>225</v>
      </c>
      <c r="CI20" s="52">
        <f t="shared" ref="CI20" si="94">CH20+CI19</f>
        <v>228</v>
      </c>
      <c r="CJ20" s="52">
        <f t="shared" ref="CJ20" si="95">CI20+CJ19</f>
        <v>231</v>
      </c>
      <c r="CK20" s="52">
        <f t="shared" ref="CK20" si="96">CJ20+CK19</f>
        <v>234</v>
      </c>
      <c r="CL20" s="52">
        <f t="shared" ref="CL20" si="97">CK20+CL19</f>
        <v>237</v>
      </c>
      <c r="CM20" s="52">
        <f t="shared" ref="CM20" si="98">CL20+CM19</f>
        <v>240</v>
      </c>
      <c r="CN20" s="52">
        <f t="shared" ref="CN20" si="99">CM20+CN19</f>
        <v>243</v>
      </c>
      <c r="CO20" s="52">
        <f t="shared" ref="CO20" si="100">CN20+CO19</f>
        <v>246</v>
      </c>
    </row>
    <row r="21" spans="1:93">
      <c r="A21" s="77"/>
      <c r="B21" s="10"/>
      <c r="C21" s="17" t="s">
        <v>375</v>
      </c>
      <c r="D21" s="10"/>
      <c r="E21" s="62"/>
      <c r="F21" s="11"/>
      <c r="G21" s="11" t="str">
        <f>MIN(L21:CO21) &amp; ".." &amp; MAX(L21:CO21)</f>
        <v>0..20,25</v>
      </c>
      <c r="H21" s="10"/>
      <c r="I21" s="10"/>
      <c r="J21" s="10"/>
      <c r="K21" s="10"/>
      <c r="L21" s="146">
        <f t="shared" ref="L21" si="101">K20/Months_in_Year</f>
        <v>0</v>
      </c>
      <c r="M21" s="146">
        <f t="shared" ref="M21" si="102">L20/Months_in_Year</f>
        <v>0.25</v>
      </c>
      <c r="N21" s="146">
        <f t="shared" ref="N21" si="103">M20/Months_in_Year</f>
        <v>0.5</v>
      </c>
      <c r="O21" s="146">
        <f t="shared" ref="O21" si="104">N20/Months_in_Year</f>
        <v>0.75</v>
      </c>
      <c r="P21" s="146">
        <f t="shared" ref="P21" si="105">O20/Months_in_Year</f>
        <v>1</v>
      </c>
      <c r="Q21" s="146">
        <f t="shared" ref="Q21" si="106">P20/Months_in_Year</f>
        <v>1.25</v>
      </c>
      <c r="R21" s="146">
        <f t="shared" ref="R21" si="107">Q20/Months_in_Year</f>
        <v>1.5</v>
      </c>
      <c r="S21" s="146">
        <f t="shared" ref="S21" si="108">R20/Months_in_Year</f>
        <v>1.75</v>
      </c>
      <c r="T21" s="146">
        <f t="shared" ref="T21" si="109">S20/Months_in_Year</f>
        <v>2</v>
      </c>
      <c r="U21" s="146">
        <f t="shared" ref="U21" si="110">T20/Months_in_Year</f>
        <v>2.25</v>
      </c>
      <c r="V21" s="146">
        <f t="shared" ref="V21" si="111">U20/Months_in_Year</f>
        <v>2.5</v>
      </c>
      <c r="W21" s="146">
        <f t="shared" ref="W21" si="112">V20/Months_in_Year</f>
        <v>2.75</v>
      </c>
      <c r="X21" s="146">
        <f t="shared" ref="X21" si="113">W20/Months_in_Year</f>
        <v>3</v>
      </c>
      <c r="Y21" s="146">
        <f t="shared" ref="Y21" si="114">X20/Months_in_Year</f>
        <v>3.25</v>
      </c>
      <c r="Z21" s="146">
        <f t="shared" ref="Z21" si="115">Y20/Months_in_Year</f>
        <v>3.5</v>
      </c>
      <c r="AA21" s="146">
        <f t="shared" ref="AA21" si="116">Z20/Months_in_Year</f>
        <v>3.75</v>
      </c>
      <c r="AB21" s="146">
        <f t="shared" ref="AB21" si="117">AA20/Months_in_Year</f>
        <v>4</v>
      </c>
      <c r="AC21" s="146">
        <f t="shared" ref="AC21" si="118">AB20/Months_in_Year</f>
        <v>4.25</v>
      </c>
      <c r="AD21" s="146">
        <f t="shared" ref="AD21" si="119">AC20/Months_in_Year</f>
        <v>4.5</v>
      </c>
      <c r="AE21" s="146">
        <f t="shared" ref="AE21" si="120">AD20/Months_in_Year</f>
        <v>4.75</v>
      </c>
      <c r="AF21" s="146">
        <f t="shared" ref="AF21" si="121">AE20/Months_in_Year</f>
        <v>5</v>
      </c>
      <c r="AG21" s="146">
        <f t="shared" ref="AG21" si="122">AF20/Months_in_Year</f>
        <v>5.25</v>
      </c>
      <c r="AH21" s="146">
        <f t="shared" ref="AH21" si="123">AG20/Months_in_Year</f>
        <v>5.5</v>
      </c>
      <c r="AI21" s="146">
        <f t="shared" ref="AI21" si="124">AH20/Months_in_Year</f>
        <v>5.75</v>
      </c>
      <c r="AJ21" s="146">
        <f t="shared" ref="AJ21" si="125">AI20/Months_in_Year</f>
        <v>6</v>
      </c>
      <c r="AK21" s="146">
        <f t="shared" ref="AK21" si="126">AJ20/Months_in_Year</f>
        <v>6.25</v>
      </c>
      <c r="AL21" s="146">
        <f t="shared" ref="AL21" si="127">AK20/Months_in_Year</f>
        <v>6.5</v>
      </c>
      <c r="AM21" s="146">
        <f t="shared" ref="AM21" si="128">AL20/Months_in_Year</f>
        <v>6.75</v>
      </c>
      <c r="AN21" s="146">
        <f t="shared" ref="AN21" si="129">AM20/Months_in_Year</f>
        <v>7</v>
      </c>
      <c r="AO21" s="146">
        <f t="shared" ref="AO21" si="130">AN20/Months_in_Year</f>
        <v>7.25</v>
      </c>
      <c r="AP21" s="146">
        <f t="shared" ref="AP21" si="131">AO20/Months_in_Year</f>
        <v>7.5</v>
      </c>
      <c r="AQ21" s="146">
        <f t="shared" ref="AQ21" si="132">AP20/Months_in_Year</f>
        <v>7.75</v>
      </c>
      <c r="AR21" s="146">
        <f t="shared" ref="AR21" si="133">AQ20/Months_in_Year</f>
        <v>8</v>
      </c>
      <c r="AS21" s="146">
        <f t="shared" ref="AS21" si="134">AR20/Months_in_Year</f>
        <v>8.25</v>
      </c>
      <c r="AT21" s="146">
        <f t="shared" ref="AT21" si="135">AS20/Months_in_Year</f>
        <v>8.5</v>
      </c>
      <c r="AU21" s="146">
        <f t="shared" ref="AU21" si="136">AT20/Months_in_Year</f>
        <v>8.75</v>
      </c>
      <c r="AV21" s="146">
        <f t="shared" ref="AV21" si="137">AU20/Months_in_Year</f>
        <v>9</v>
      </c>
      <c r="AW21" s="146">
        <f t="shared" ref="AW21" si="138">AV20/Months_in_Year</f>
        <v>9.25</v>
      </c>
      <c r="AX21" s="146">
        <f t="shared" ref="AX21" si="139">AW20/Months_in_Year</f>
        <v>9.5</v>
      </c>
      <c r="AY21" s="146">
        <f t="shared" ref="AY21" si="140">AX20/Months_in_Year</f>
        <v>9.75</v>
      </c>
      <c r="AZ21" s="146">
        <f t="shared" ref="AZ21" si="141">AY20/Months_in_Year</f>
        <v>10</v>
      </c>
      <c r="BA21" s="146">
        <f t="shared" ref="BA21" si="142">AZ20/Months_in_Year</f>
        <v>10.25</v>
      </c>
      <c r="BB21" s="146">
        <f t="shared" ref="BB21" si="143">BA20/Months_in_Year</f>
        <v>10.5</v>
      </c>
      <c r="BC21" s="146">
        <f t="shared" ref="BC21" si="144">BB20/Months_in_Year</f>
        <v>10.75</v>
      </c>
      <c r="BD21" s="146">
        <f t="shared" ref="BD21" si="145">BC20/Months_in_Year</f>
        <v>11</v>
      </c>
      <c r="BE21" s="146">
        <f t="shared" ref="BE21" si="146">BD20/Months_in_Year</f>
        <v>11.25</v>
      </c>
      <c r="BF21" s="146">
        <f t="shared" ref="BF21" si="147">BE20/Months_in_Year</f>
        <v>11.5</v>
      </c>
      <c r="BG21" s="146">
        <f t="shared" ref="BG21" si="148">BF20/Months_in_Year</f>
        <v>11.75</v>
      </c>
      <c r="BH21" s="146">
        <f t="shared" ref="BH21" si="149">BG20/Months_in_Year</f>
        <v>12</v>
      </c>
      <c r="BI21" s="146">
        <f t="shared" ref="BI21" si="150">BH20/Months_in_Year</f>
        <v>12.25</v>
      </c>
      <c r="BJ21" s="146">
        <f t="shared" ref="BJ21" si="151">BI20/Months_in_Year</f>
        <v>12.5</v>
      </c>
      <c r="BK21" s="146">
        <f t="shared" ref="BK21" si="152">BJ20/Months_in_Year</f>
        <v>12.75</v>
      </c>
      <c r="BL21" s="146">
        <f t="shared" ref="BL21" si="153">BK20/Months_in_Year</f>
        <v>13</v>
      </c>
      <c r="BM21" s="146">
        <f t="shared" ref="BM21" si="154">BL20/Months_in_Year</f>
        <v>13.25</v>
      </c>
      <c r="BN21" s="146">
        <f t="shared" ref="BN21" si="155">BM20/Months_in_Year</f>
        <v>13.5</v>
      </c>
      <c r="BO21" s="146">
        <f t="shared" ref="BO21" si="156">BN20/Months_in_Year</f>
        <v>13.75</v>
      </c>
      <c r="BP21" s="146">
        <f t="shared" ref="BP21" si="157">BO20/Months_in_Year</f>
        <v>14</v>
      </c>
      <c r="BQ21" s="146">
        <f t="shared" ref="BQ21" si="158">BP20/Months_in_Year</f>
        <v>14.25</v>
      </c>
      <c r="BR21" s="146">
        <f t="shared" ref="BR21" si="159">BQ20/Months_in_Year</f>
        <v>14.5</v>
      </c>
      <c r="BS21" s="146">
        <f t="shared" ref="BS21" si="160">BR20/Months_in_Year</f>
        <v>14.75</v>
      </c>
      <c r="BT21" s="146">
        <f t="shared" ref="BT21" si="161">BS20/Months_in_Year</f>
        <v>15</v>
      </c>
      <c r="BU21" s="146">
        <f t="shared" ref="BU21" si="162">BT20/Months_in_Year</f>
        <v>15.25</v>
      </c>
      <c r="BV21" s="146">
        <f t="shared" ref="BV21" si="163">BU20/Months_in_Year</f>
        <v>15.5</v>
      </c>
      <c r="BW21" s="146">
        <f t="shared" ref="BW21" si="164">BV20/Months_in_Year</f>
        <v>15.75</v>
      </c>
      <c r="BX21" s="146">
        <f t="shared" ref="BX21" si="165">BW20/Months_in_Year</f>
        <v>16</v>
      </c>
      <c r="BY21" s="146">
        <f t="shared" ref="BY21" si="166">BX20/Months_in_Year</f>
        <v>16.25</v>
      </c>
      <c r="BZ21" s="146">
        <f t="shared" ref="BZ21" si="167">BY20/Months_in_Year</f>
        <v>16.5</v>
      </c>
      <c r="CA21" s="146">
        <f t="shared" ref="CA21" si="168">BZ20/Months_in_Year</f>
        <v>16.75</v>
      </c>
      <c r="CB21" s="146">
        <f t="shared" ref="CB21" si="169">CA20/Months_in_Year</f>
        <v>17</v>
      </c>
      <c r="CC21" s="146">
        <f t="shared" ref="CC21" si="170">CB20/Months_in_Year</f>
        <v>17.25</v>
      </c>
      <c r="CD21" s="146">
        <f t="shared" ref="CD21" si="171">CC20/Months_in_Year</f>
        <v>17.5</v>
      </c>
      <c r="CE21" s="146">
        <f t="shared" ref="CE21" si="172">CD20/Months_in_Year</f>
        <v>17.75</v>
      </c>
      <c r="CF21" s="146">
        <f t="shared" ref="CF21" si="173">CE20/Months_in_Year</f>
        <v>18</v>
      </c>
      <c r="CG21" s="146">
        <f t="shared" ref="CG21" si="174">CF20/Months_in_Year</f>
        <v>18.25</v>
      </c>
      <c r="CH21" s="146">
        <f t="shared" ref="CH21" si="175">CG20/Months_in_Year</f>
        <v>18.5</v>
      </c>
      <c r="CI21" s="146">
        <f t="shared" ref="CI21" si="176">CH20/Months_in_Year</f>
        <v>18.75</v>
      </c>
      <c r="CJ21" s="146">
        <f t="shared" ref="CJ21" si="177">CI20/Months_in_Year</f>
        <v>19</v>
      </c>
      <c r="CK21" s="146">
        <f t="shared" ref="CK21" si="178">CJ20/Months_in_Year</f>
        <v>19.25</v>
      </c>
      <c r="CL21" s="146">
        <f t="shared" ref="CL21" si="179">CK20/Months_in_Year</f>
        <v>19.5</v>
      </c>
      <c r="CM21" s="146">
        <f t="shared" ref="CM21" si="180">CL20/Months_in_Year</f>
        <v>19.75</v>
      </c>
      <c r="CN21" s="146">
        <f t="shared" ref="CN21" si="181">CM20/Months_in_Year</f>
        <v>20</v>
      </c>
      <c r="CO21" s="146">
        <f t="shared" ref="CO21" si="182">CN20/Months_in_Year</f>
        <v>20.25</v>
      </c>
    </row>
    <row r="22" spans="1:93">
      <c r="A22" s="77"/>
      <c r="B22" s="10"/>
      <c r="C22" s="17" t="s">
        <v>376</v>
      </c>
      <c r="D22" s="10"/>
      <c r="E22" s="62"/>
      <c r="F22" s="11"/>
      <c r="G22" s="11" t="str">
        <f>MIN(L22:CO22) &amp; ".." &amp; MAX(L22:CO22)</f>
        <v>0,25..20,5</v>
      </c>
      <c r="H22" s="10"/>
      <c r="I22" s="10"/>
      <c r="J22" s="10"/>
      <c r="K22" s="10"/>
      <c r="L22" s="147">
        <f t="shared" ref="L22:AQ22" si="183" xml:space="preserve"> MonthsCumulated / Months_in_Year</f>
        <v>0.25</v>
      </c>
      <c r="M22" s="147">
        <f t="shared" si="183"/>
        <v>0.5</v>
      </c>
      <c r="N22" s="147">
        <f t="shared" si="183"/>
        <v>0.75</v>
      </c>
      <c r="O22" s="147">
        <f t="shared" si="183"/>
        <v>1</v>
      </c>
      <c r="P22" s="147">
        <f t="shared" si="183"/>
        <v>1.25</v>
      </c>
      <c r="Q22" s="147">
        <f t="shared" si="183"/>
        <v>1.5</v>
      </c>
      <c r="R22" s="147">
        <f t="shared" si="183"/>
        <v>1.75</v>
      </c>
      <c r="S22" s="147">
        <f t="shared" si="183"/>
        <v>2</v>
      </c>
      <c r="T22" s="147">
        <f t="shared" si="183"/>
        <v>2.25</v>
      </c>
      <c r="U22" s="147">
        <f t="shared" si="183"/>
        <v>2.5</v>
      </c>
      <c r="V22" s="147">
        <f t="shared" si="183"/>
        <v>2.75</v>
      </c>
      <c r="W22" s="147">
        <f t="shared" si="183"/>
        <v>3</v>
      </c>
      <c r="X22" s="147">
        <f t="shared" si="183"/>
        <v>3.25</v>
      </c>
      <c r="Y22" s="147">
        <f t="shared" si="183"/>
        <v>3.5</v>
      </c>
      <c r="Z22" s="147">
        <f t="shared" si="183"/>
        <v>3.75</v>
      </c>
      <c r="AA22" s="147">
        <f t="shared" si="183"/>
        <v>4</v>
      </c>
      <c r="AB22" s="147">
        <f t="shared" si="183"/>
        <v>4.25</v>
      </c>
      <c r="AC22" s="147">
        <f t="shared" si="183"/>
        <v>4.5</v>
      </c>
      <c r="AD22" s="147">
        <f t="shared" si="183"/>
        <v>4.75</v>
      </c>
      <c r="AE22" s="147">
        <f t="shared" si="183"/>
        <v>5</v>
      </c>
      <c r="AF22" s="147">
        <f t="shared" si="183"/>
        <v>5.25</v>
      </c>
      <c r="AG22" s="147">
        <f t="shared" si="183"/>
        <v>5.5</v>
      </c>
      <c r="AH22" s="147">
        <f t="shared" si="183"/>
        <v>5.75</v>
      </c>
      <c r="AI22" s="147">
        <f t="shared" si="183"/>
        <v>6</v>
      </c>
      <c r="AJ22" s="147">
        <f t="shared" si="183"/>
        <v>6.25</v>
      </c>
      <c r="AK22" s="147">
        <f t="shared" si="183"/>
        <v>6.5</v>
      </c>
      <c r="AL22" s="147">
        <f t="shared" si="183"/>
        <v>6.75</v>
      </c>
      <c r="AM22" s="147">
        <f t="shared" si="183"/>
        <v>7</v>
      </c>
      <c r="AN22" s="147">
        <f t="shared" si="183"/>
        <v>7.25</v>
      </c>
      <c r="AO22" s="147">
        <f t="shared" si="183"/>
        <v>7.5</v>
      </c>
      <c r="AP22" s="147">
        <f t="shared" si="183"/>
        <v>7.75</v>
      </c>
      <c r="AQ22" s="147">
        <f t="shared" si="183"/>
        <v>8</v>
      </c>
      <c r="AR22" s="147">
        <f t="shared" ref="AR22:BW22" si="184" xml:space="preserve"> MonthsCumulated / Months_in_Year</f>
        <v>8.25</v>
      </c>
      <c r="AS22" s="147">
        <f t="shared" si="184"/>
        <v>8.5</v>
      </c>
      <c r="AT22" s="147">
        <f t="shared" si="184"/>
        <v>8.75</v>
      </c>
      <c r="AU22" s="147">
        <f t="shared" si="184"/>
        <v>9</v>
      </c>
      <c r="AV22" s="147">
        <f t="shared" si="184"/>
        <v>9.25</v>
      </c>
      <c r="AW22" s="147">
        <f t="shared" si="184"/>
        <v>9.5</v>
      </c>
      <c r="AX22" s="147">
        <f t="shared" si="184"/>
        <v>9.75</v>
      </c>
      <c r="AY22" s="147">
        <f t="shared" si="184"/>
        <v>10</v>
      </c>
      <c r="AZ22" s="147">
        <f t="shared" si="184"/>
        <v>10.25</v>
      </c>
      <c r="BA22" s="147">
        <f t="shared" si="184"/>
        <v>10.5</v>
      </c>
      <c r="BB22" s="147">
        <f t="shared" si="184"/>
        <v>10.75</v>
      </c>
      <c r="BC22" s="147">
        <f t="shared" si="184"/>
        <v>11</v>
      </c>
      <c r="BD22" s="147">
        <f t="shared" si="184"/>
        <v>11.25</v>
      </c>
      <c r="BE22" s="147">
        <f t="shared" si="184"/>
        <v>11.5</v>
      </c>
      <c r="BF22" s="147">
        <f t="shared" si="184"/>
        <v>11.75</v>
      </c>
      <c r="BG22" s="147">
        <f t="shared" si="184"/>
        <v>12</v>
      </c>
      <c r="BH22" s="147">
        <f t="shared" si="184"/>
        <v>12.25</v>
      </c>
      <c r="BI22" s="147">
        <f t="shared" si="184"/>
        <v>12.5</v>
      </c>
      <c r="BJ22" s="147">
        <f t="shared" si="184"/>
        <v>12.75</v>
      </c>
      <c r="BK22" s="147">
        <f t="shared" si="184"/>
        <v>13</v>
      </c>
      <c r="BL22" s="147">
        <f t="shared" si="184"/>
        <v>13.25</v>
      </c>
      <c r="BM22" s="147">
        <f t="shared" si="184"/>
        <v>13.5</v>
      </c>
      <c r="BN22" s="147">
        <f t="shared" si="184"/>
        <v>13.75</v>
      </c>
      <c r="BO22" s="147">
        <f t="shared" si="184"/>
        <v>14</v>
      </c>
      <c r="BP22" s="147">
        <f t="shared" si="184"/>
        <v>14.25</v>
      </c>
      <c r="BQ22" s="147">
        <f t="shared" si="184"/>
        <v>14.5</v>
      </c>
      <c r="BR22" s="147">
        <f t="shared" si="184"/>
        <v>14.75</v>
      </c>
      <c r="BS22" s="147">
        <f t="shared" si="184"/>
        <v>15</v>
      </c>
      <c r="BT22" s="147">
        <f t="shared" si="184"/>
        <v>15.25</v>
      </c>
      <c r="BU22" s="147">
        <f t="shared" si="184"/>
        <v>15.5</v>
      </c>
      <c r="BV22" s="147">
        <f t="shared" si="184"/>
        <v>15.75</v>
      </c>
      <c r="BW22" s="147">
        <f t="shared" si="184"/>
        <v>16</v>
      </c>
      <c r="BX22" s="147">
        <f t="shared" ref="BX22:CO22" si="185" xml:space="preserve"> MonthsCumulated / Months_in_Year</f>
        <v>16.25</v>
      </c>
      <c r="BY22" s="147">
        <f t="shared" si="185"/>
        <v>16.5</v>
      </c>
      <c r="BZ22" s="147">
        <f t="shared" si="185"/>
        <v>16.75</v>
      </c>
      <c r="CA22" s="147">
        <f t="shared" si="185"/>
        <v>17</v>
      </c>
      <c r="CB22" s="147">
        <f t="shared" si="185"/>
        <v>17.25</v>
      </c>
      <c r="CC22" s="147">
        <f t="shared" si="185"/>
        <v>17.5</v>
      </c>
      <c r="CD22" s="147">
        <f t="shared" si="185"/>
        <v>17.75</v>
      </c>
      <c r="CE22" s="147">
        <f t="shared" si="185"/>
        <v>18</v>
      </c>
      <c r="CF22" s="147">
        <f t="shared" si="185"/>
        <v>18.25</v>
      </c>
      <c r="CG22" s="147">
        <f t="shared" si="185"/>
        <v>18.5</v>
      </c>
      <c r="CH22" s="147">
        <f t="shared" si="185"/>
        <v>18.75</v>
      </c>
      <c r="CI22" s="147">
        <f t="shared" si="185"/>
        <v>19</v>
      </c>
      <c r="CJ22" s="147">
        <f t="shared" si="185"/>
        <v>19.25</v>
      </c>
      <c r="CK22" s="147">
        <f t="shared" si="185"/>
        <v>19.5</v>
      </c>
      <c r="CL22" s="147">
        <f t="shared" si="185"/>
        <v>19.75</v>
      </c>
      <c r="CM22" s="147">
        <f t="shared" si="185"/>
        <v>20</v>
      </c>
      <c r="CN22" s="147">
        <f t="shared" si="185"/>
        <v>20.25</v>
      </c>
      <c r="CO22" s="147">
        <f t="shared" si="185"/>
        <v>20.5</v>
      </c>
    </row>
    <row r="23" spans="1:93">
      <c r="A23" s="77"/>
      <c r="B23" s="10"/>
      <c r="C23" s="17"/>
      <c r="D23" s="10"/>
      <c r="E23" s="62"/>
      <c r="F23" s="11"/>
      <c r="G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</row>
    <row r="24" spans="1:93">
      <c r="A24" s="77"/>
      <c r="B24" s="10"/>
      <c r="C24" s="17" t="s">
        <v>377</v>
      </c>
      <c r="D24" s="10"/>
      <c r="E24" s="62"/>
      <c r="F24" s="11"/>
      <c r="G24" s="11" t="s">
        <v>378</v>
      </c>
      <c r="H24" s="10"/>
      <c r="I24" s="10"/>
      <c r="J24" s="10"/>
      <c r="K24" s="10"/>
      <c r="L24" s="148">
        <f t="shared" ref="L24:AQ24" si="186" xml:space="preserve"> Days_In_Period / Days_in_year</f>
        <v>0.24657534246575341</v>
      </c>
      <c r="M24" s="148">
        <f t="shared" si="186"/>
        <v>0.24931506849315069</v>
      </c>
      <c r="N24" s="148">
        <f t="shared" si="186"/>
        <v>0.25205479452054796</v>
      </c>
      <c r="O24" s="148">
        <f t="shared" si="186"/>
        <v>0.25205479452054796</v>
      </c>
      <c r="P24" s="148">
        <f t="shared" si="186"/>
        <v>0.24657534246575341</v>
      </c>
      <c r="Q24" s="148">
        <f t="shared" si="186"/>
        <v>0.24931506849315069</v>
      </c>
      <c r="R24" s="148">
        <f t="shared" si="186"/>
        <v>0.25205479452054796</v>
      </c>
      <c r="S24" s="148">
        <f t="shared" si="186"/>
        <v>0.25205479452054796</v>
      </c>
      <c r="T24" s="148">
        <f t="shared" si="186"/>
        <v>0.24657534246575341</v>
      </c>
      <c r="U24" s="148">
        <f t="shared" si="186"/>
        <v>0.24931506849315069</v>
      </c>
      <c r="V24" s="148">
        <f t="shared" si="186"/>
        <v>0.25205479452054796</v>
      </c>
      <c r="W24" s="148">
        <f t="shared" si="186"/>
        <v>0.25205479452054796</v>
      </c>
      <c r="X24" s="148">
        <f t="shared" si="186"/>
        <v>0.24863387978142076</v>
      </c>
      <c r="Y24" s="148">
        <f t="shared" si="186"/>
        <v>0.24863387978142076</v>
      </c>
      <c r="Z24" s="148">
        <f t="shared" si="186"/>
        <v>0.25136612021857924</v>
      </c>
      <c r="AA24" s="148">
        <f t="shared" si="186"/>
        <v>0.25136612021857924</v>
      </c>
      <c r="AB24" s="148">
        <f t="shared" si="186"/>
        <v>0.24657534246575341</v>
      </c>
      <c r="AC24" s="148">
        <f t="shared" si="186"/>
        <v>0.24931506849315069</v>
      </c>
      <c r="AD24" s="148">
        <f t="shared" si="186"/>
        <v>0.25205479452054796</v>
      </c>
      <c r="AE24" s="148">
        <f t="shared" si="186"/>
        <v>0.25205479452054796</v>
      </c>
      <c r="AF24" s="148">
        <f t="shared" si="186"/>
        <v>0.24657534246575341</v>
      </c>
      <c r="AG24" s="148">
        <f t="shared" si="186"/>
        <v>0.24931506849315069</v>
      </c>
      <c r="AH24" s="148">
        <f t="shared" si="186"/>
        <v>0.25205479452054796</v>
      </c>
      <c r="AI24" s="148">
        <f t="shared" si="186"/>
        <v>0.25205479452054796</v>
      </c>
      <c r="AJ24" s="148">
        <f t="shared" si="186"/>
        <v>0.24657534246575341</v>
      </c>
      <c r="AK24" s="148">
        <f t="shared" si="186"/>
        <v>0.24931506849315069</v>
      </c>
      <c r="AL24" s="148">
        <f t="shared" si="186"/>
        <v>0.25205479452054796</v>
      </c>
      <c r="AM24" s="148">
        <f t="shared" si="186"/>
        <v>0.25205479452054796</v>
      </c>
      <c r="AN24" s="148">
        <f t="shared" si="186"/>
        <v>0.24863387978142076</v>
      </c>
      <c r="AO24" s="148">
        <f t="shared" si="186"/>
        <v>0.24863387978142076</v>
      </c>
      <c r="AP24" s="148">
        <f t="shared" si="186"/>
        <v>0.25136612021857924</v>
      </c>
      <c r="AQ24" s="148">
        <f t="shared" si="186"/>
        <v>0.25136612021857924</v>
      </c>
      <c r="AR24" s="148">
        <f t="shared" ref="AR24:BW24" si="187" xml:space="preserve"> Days_In_Period / Days_in_year</f>
        <v>0.24657534246575341</v>
      </c>
      <c r="AS24" s="148">
        <f t="shared" si="187"/>
        <v>0.24931506849315069</v>
      </c>
      <c r="AT24" s="148">
        <f t="shared" si="187"/>
        <v>0.25205479452054796</v>
      </c>
      <c r="AU24" s="148">
        <f t="shared" si="187"/>
        <v>0.25205479452054796</v>
      </c>
      <c r="AV24" s="148">
        <f t="shared" si="187"/>
        <v>0.24657534246575341</v>
      </c>
      <c r="AW24" s="148">
        <f t="shared" si="187"/>
        <v>0.24931506849315069</v>
      </c>
      <c r="AX24" s="148">
        <f t="shared" si="187"/>
        <v>0.25205479452054796</v>
      </c>
      <c r="AY24" s="148">
        <f t="shared" si="187"/>
        <v>0.25205479452054796</v>
      </c>
      <c r="AZ24" s="148">
        <f t="shared" si="187"/>
        <v>0.24657534246575341</v>
      </c>
      <c r="BA24" s="148">
        <f t="shared" si="187"/>
        <v>0.24931506849315069</v>
      </c>
      <c r="BB24" s="148">
        <f t="shared" si="187"/>
        <v>0.25205479452054796</v>
      </c>
      <c r="BC24" s="148">
        <f t="shared" si="187"/>
        <v>0.25205479452054796</v>
      </c>
      <c r="BD24" s="148">
        <f t="shared" si="187"/>
        <v>0.24863387978142076</v>
      </c>
      <c r="BE24" s="148">
        <f t="shared" si="187"/>
        <v>0.24863387978142076</v>
      </c>
      <c r="BF24" s="148">
        <f t="shared" si="187"/>
        <v>0.25136612021857924</v>
      </c>
      <c r="BG24" s="148">
        <f t="shared" si="187"/>
        <v>0.25136612021857924</v>
      </c>
      <c r="BH24" s="148">
        <f t="shared" si="187"/>
        <v>0.24657534246575341</v>
      </c>
      <c r="BI24" s="148">
        <f t="shared" si="187"/>
        <v>0.24931506849315069</v>
      </c>
      <c r="BJ24" s="148">
        <f t="shared" si="187"/>
        <v>0.25205479452054796</v>
      </c>
      <c r="BK24" s="148">
        <f t="shared" si="187"/>
        <v>0.25205479452054796</v>
      </c>
      <c r="BL24" s="148">
        <f t="shared" si="187"/>
        <v>0.24657534246575341</v>
      </c>
      <c r="BM24" s="148">
        <f t="shared" si="187"/>
        <v>0.24931506849315069</v>
      </c>
      <c r="BN24" s="148">
        <f t="shared" si="187"/>
        <v>0.25205479452054796</v>
      </c>
      <c r="BO24" s="148">
        <f t="shared" si="187"/>
        <v>0.25205479452054796</v>
      </c>
      <c r="BP24" s="148">
        <f t="shared" si="187"/>
        <v>0.24657534246575341</v>
      </c>
      <c r="BQ24" s="148">
        <f t="shared" si="187"/>
        <v>0.24931506849315069</v>
      </c>
      <c r="BR24" s="148">
        <f t="shared" si="187"/>
        <v>0.25205479452054796</v>
      </c>
      <c r="BS24" s="148">
        <f t="shared" si="187"/>
        <v>0.25205479452054796</v>
      </c>
      <c r="BT24" s="148">
        <f t="shared" si="187"/>
        <v>0.24863387978142076</v>
      </c>
      <c r="BU24" s="148">
        <f t="shared" si="187"/>
        <v>0.24863387978142076</v>
      </c>
      <c r="BV24" s="148">
        <f t="shared" si="187"/>
        <v>0.25136612021857924</v>
      </c>
      <c r="BW24" s="148">
        <f t="shared" si="187"/>
        <v>0.25136612021857924</v>
      </c>
      <c r="BX24" s="148">
        <f t="shared" ref="BX24:CO24" si="188" xml:space="preserve"> Days_In_Period / Days_in_year</f>
        <v>0.24657534246575341</v>
      </c>
      <c r="BY24" s="148">
        <f t="shared" si="188"/>
        <v>0.24931506849315069</v>
      </c>
      <c r="BZ24" s="148">
        <f t="shared" si="188"/>
        <v>0.25205479452054796</v>
      </c>
      <c r="CA24" s="148">
        <f t="shared" si="188"/>
        <v>0.25205479452054796</v>
      </c>
      <c r="CB24" s="148">
        <f t="shared" si="188"/>
        <v>0.24657534246575341</v>
      </c>
      <c r="CC24" s="148">
        <f t="shared" si="188"/>
        <v>0.24931506849315069</v>
      </c>
      <c r="CD24" s="148">
        <f t="shared" si="188"/>
        <v>0.25205479452054796</v>
      </c>
      <c r="CE24" s="148">
        <f t="shared" si="188"/>
        <v>0.25205479452054796</v>
      </c>
      <c r="CF24" s="148">
        <f t="shared" si="188"/>
        <v>0.24657534246575341</v>
      </c>
      <c r="CG24" s="148">
        <f t="shared" si="188"/>
        <v>0.24931506849315069</v>
      </c>
      <c r="CH24" s="148">
        <f t="shared" si="188"/>
        <v>0.25205479452054796</v>
      </c>
      <c r="CI24" s="148">
        <f t="shared" si="188"/>
        <v>0.25205479452054796</v>
      </c>
      <c r="CJ24" s="148">
        <f t="shared" si="188"/>
        <v>0.24863387978142076</v>
      </c>
      <c r="CK24" s="148">
        <f t="shared" si="188"/>
        <v>0.24863387978142076</v>
      </c>
      <c r="CL24" s="148">
        <f t="shared" si="188"/>
        <v>0.25136612021857924</v>
      </c>
      <c r="CM24" s="148">
        <f t="shared" si="188"/>
        <v>0.25136612021857924</v>
      </c>
      <c r="CN24" s="148">
        <f t="shared" si="188"/>
        <v>0.24657534246575341</v>
      </c>
      <c r="CO24" s="148">
        <f t="shared" si="188"/>
        <v>0.24931506849315069</v>
      </c>
    </row>
    <row r="25" spans="1:93">
      <c r="A25" s="77"/>
      <c r="B25" s="10"/>
      <c r="C25" s="17"/>
      <c r="D25" s="10"/>
      <c r="E25" s="62"/>
      <c r="F25" s="11"/>
      <c r="G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</row>
    <row r="26" spans="1:93" ht="16" thickBot="1">
      <c r="A26" s="77"/>
      <c r="B26" s="10"/>
      <c r="C26" s="12" t="s">
        <v>385</v>
      </c>
      <c r="D26" s="12"/>
      <c r="E26" s="12"/>
      <c r="F26" s="12"/>
      <c r="G26" s="362"/>
      <c r="H26" s="12"/>
      <c r="I26" s="12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</row>
    <row r="27" spans="1:93">
      <c r="A27" s="77"/>
      <c r="B27" s="10"/>
      <c r="C27" s="17"/>
      <c r="D27" s="10"/>
      <c r="E27" s="62"/>
      <c r="F27" s="11"/>
      <c r="G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</row>
    <row r="28" spans="1:93">
      <c r="A28" s="10"/>
      <c r="B28" s="10"/>
      <c r="C28" s="17" t="s">
        <v>447</v>
      </c>
      <c r="D28" s="10"/>
      <c r="E28" s="10"/>
      <c r="F28" s="62" t="s">
        <v>1209</v>
      </c>
      <c r="G28" s="11" t="str">
        <f>MIN(L28:CO28) &amp; ".." &amp; MAX(L28:CO28)</f>
        <v>0..0</v>
      </c>
      <c r="H28" s="10"/>
      <c r="I28" s="23">
        <f>SUM(L28:CO28)</f>
        <v>0</v>
      </c>
      <c r="J28" s="10"/>
      <c r="K28" s="10"/>
      <c r="L28" s="10">
        <f t="shared" ref="L28:BW28" si="189">(Date_Forecast_Start&gt;End_of_period)*1</f>
        <v>0</v>
      </c>
      <c r="M28" s="10">
        <f t="shared" si="189"/>
        <v>0</v>
      </c>
      <c r="N28" s="10">
        <f t="shared" si="189"/>
        <v>0</v>
      </c>
      <c r="O28" s="10">
        <f t="shared" si="189"/>
        <v>0</v>
      </c>
      <c r="P28" s="10">
        <f t="shared" si="189"/>
        <v>0</v>
      </c>
      <c r="Q28" s="10">
        <f t="shared" si="189"/>
        <v>0</v>
      </c>
      <c r="R28" s="10">
        <f t="shared" si="189"/>
        <v>0</v>
      </c>
      <c r="S28" s="10">
        <f t="shared" si="189"/>
        <v>0</v>
      </c>
      <c r="T28" s="10">
        <f t="shared" si="189"/>
        <v>0</v>
      </c>
      <c r="U28" s="10">
        <f t="shared" si="189"/>
        <v>0</v>
      </c>
      <c r="V28" s="10">
        <f t="shared" si="189"/>
        <v>0</v>
      </c>
      <c r="W28" s="10">
        <f t="shared" si="189"/>
        <v>0</v>
      </c>
      <c r="X28" s="10">
        <f t="shared" si="189"/>
        <v>0</v>
      </c>
      <c r="Y28" s="10">
        <f t="shared" si="189"/>
        <v>0</v>
      </c>
      <c r="Z28" s="10">
        <f t="shared" si="189"/>
        <v>0</v>
      </c>
      <c r="AA28" s="10">
        <f t="shared" si="189"/>
        <v>0</v>
      </c>
      <c r="AB28" s="10">
        <f t="shared" si="189"/>
        <v>0</v>
      </c>
      <c r="AC28" s="10">
        <f t="shared" si="189"/>
        <v>0</v>
      </c>
      <c r="AD28" s="10">
        <f t="shared" si="189"/>
        <v>0</v>
      </c>
      <c r="AE28" s="10">
        <f t="shared" si="189"/>
        <v>0</v>
      </c>
      <c r="AF28" s="10">
        <f t="shared" si="189"/>
        <v>0</v>
      </c>
      <c r="AG28" s="10">
        <f t="shared" si="189"/>
        <v>0</v>
      </c>
      <c r="AH28" s="10">
        <f t="shared" si="189"/>
        <v>0</v>
      </c>
      <c r="AI28" s="10">
        <f t="shared" si="189"/>
        <v>0</v>
      </c>
      <c r="AJ28" s="10">
        <f t="shared" si="189"/>
        <v>0</v>
      </c>
      <c r="AK28" s="10">
        <f t="shared" si="189"/>
        <v>0</v>
      </c>
      <c r="AL28" s="10">
        <f t="shared" si="189"/>
        <v>0</v>
      </c>
      <c r="AM28" s="10">
        <f t="shared" si="189"/>
        <v>0</v>
      </c>
      <c r="AN28" s="10">
        <f t="shared" si="189"/>
        <v>0</v>
      </c>
      <c r="AO28" s="10">
        <f t="shared" si="189"/>
        <v>0</v>
      </c>
      <c r="AP28" s="10">
        <f t="shared" si="189"/>
        <v>0</v>
      </c>
      <c r="AQ28" s="10">
        <f t="shared" si="189"/>
        <v>0</v>
      </c>
      <c r="AR28" s="10">
        <f t="shared" si="189"/>
        <v>0</v>
      </c>
      <c r="AS28" s="10">
        <f t="shared" si="189"/>
        <v>0</v>
      </c>
      <c r="AT28" s="10">
        <f t="shared" si="189"/>
        <v>0</v>
      </c>
      <c r="AU28" s="10">
        <f t="shared" si="189"/>
        <v>0</v>
      </c>
      <c r="AV28" s="10">
        <f t="shared" si="189"/>
        <v>0</v>
      </c>
      <c r="AW28" s="10">
        <f t="shared" si="189"/>
        <v>0</v>
      </c>
      <c r="AX28" s="10">
        <f t="shared" si="189"/>
        <v>0</v>
      </c>
      <c r="AY28" s="10">
        <f t="shared" si="189"/>
        <v>0</v>
      </c>
      <c r="AZ28" s="10">
        <f t="shared" si="189"/>
        <v>0</v>
      </c>
      <c r="BA28" s="10">
        <f t="shared" si="189"/>
        <v>0</v>
      </c>
      <c r="BB28" s="10">
        <f t="shared" si="189"/>
        <v>0</v>
      </c>
      <c r="BC28" s="10">
        <f t="shared" si="189"/>
        <v>0</v>
      </c>
      <c r="BD28" s="10">
        <f t="shared" si="189"/>
        <v>0</v>
      </c>
      <c r="BE28" s="10">
        <f t="shared" si="189"/>
        <v>0</v>
      </c>
      <c r="BF28" s="10">
        <f t="shared" si="189"/>
        <v>0</v>
      </c>
      <c r="BG28" s="10">
        <f t="shared" si="189"/>
        <v>0</v>
      </c>
      <c r="BH28" s="10">
        <f t="shared" si="189"/>
        <v>0</v>
      </c>
      <c r="BI28" s="10">
        <f t="shared" si="189"/>
        <v>0</v>
      </c>
      <c r="BJ28" s="10">
        <f t="shared" si="189"/>
        <v>0</v>
      </c>
      <c r="BK28" s="10">
        <f t="shared" si="189"/>
        <v>0</v>
      </c>
      <c r="BL28" s="10">
        <f t="shared" si="189"/>
        <v>0</v>
      </c>
      <c r="BM28" s="10">
        <f t="shared" si="189"/>
        <v>0</v>
      </c>
      <c r="BN28" s="10">
        <f t="shared" si="189"/>
        <v>0</v>
      </c>
      <c r="BO28" s="10">
        <f t="shared" si="189"/>
        <v>0</v>
      </c>
      <c r="BP28" s="10">
        <f t="shared" si="189"/>
        <v>0</v>
      </c>
      <c r="BQ28" s="10">
        <f t="shared" si="189"/>
        <v>0</v>
      </c>
      <c r="BR28" s="10">
        <f t="shared" si="189"/>
        <v>0</v>
      </c>
      <c r="BS28" s="10">
        <f t="shared" si="189"/>
        <v>0</v>
      </c>
      <c r="BT28" s="10">
        <f t="shared" si="189"/>
        <v>0</v>
      </c>
      <c r="BU28" s="10">
        <f t="shared" si="189"/>
        <v>0</v>
      </c>
      <c r="BV28" s="10">
        <f t="shared" si="189"/>
        <v>0</v>
      </c>
      <c r="BW28" s="10">
        <f t="shared" si="189"/>
        <v>0</v>
      </c>
      <c r="BX28" s="10">
        <f t="shared" ref="BX28:CO28" si="190">(Date_Forecast_Start&gt;End_of_period)*1</f>
        <v>0</v>
      </c>
      <c r="BY28" s="10">
        <f t="shared" si="190"/>
        <v>0</v>
      </c>
      <c r="BZ28" s="10">
        <f t="shared" si="190"/>
        <v>0</v>
      </c>
      <c r="CA28" s="10">
        <f t="shared" si="190"/>
        <v>0</v>
      </c>
      <c r="CB28" s="10">
        <f t="shared" si="190"/>
        <v>0</v>
      </c>
      <c r="CC28" s="10">
        <f t="shared" si="190"/>
        <v>0</v>
      </c>
      <c r="CD28" s="10">
        <f t="shared" si="190"/>
        <v>0</v>
      </c>
      <c r="CE28" s="10">
        <f t="shared" si="190"/>
        <v>0</v>
      </c>
      <c r="CF28" s="10">
        <f t="shared" si="190"/>
        <v>0</v>
      </c>
      <c r="CG28" s="10">
        <f t="shared" si="190"/>
        <v>0</v>
      </c>
      <c r="CH28" s="10">
        <f t="shared" si="190"/>
        <v>0</v>
      </c>
      <c r="CI28" s="10">
        <f t="shared" si="190"/>
        <v>0</v>
      </c>
      <c r="CJ28" s="10">
        <f t="shared" si="190"/>
        <v>0</v>
      </c>
      <c r="CK28" s="10">
        <f t="shared" si="190"/>
        <v>0</v>
      </c>
      <c r="CL28" s="10">
        <f t="shared" si="190"/>
        <v>0</v>
      </c>
      <c r="CM28" s="10">
        <f t="shared" si="190"/>
        <v>0</v>
      </c>
      <c r="CN28" s="10">
        <f t="shared" si="190"/>
        <v>0</v>
      </c>
      <c r="CO28" s="10">
        <f t="shared" si="190"/>
        <v>0</v>
      </c>
    </row>
    <row r="29" spans="1:93">
      <c r="A29" s="10"/>
      <c r="B29" s="10"/>
      <c r="C29" s="17" t="s">
        <v>449</v>
      </c>
      <c r="D29" s="10"/>
      <c r="E29" s="10"/>
      <c r="F29" s="62" t="s">
        <v>1210</v>
      </c>
      <c r="G29" s="11" t="str">
        <f>MIN(L29:CO29) &amp; ".." &amp; MAX(L29:CO29)</f>
        <v>0..1</v>
      </c>
      <c r="H29" s="10"/>
      <c r="I29" s="23">
        <f>SUM(L29:CO29)</f>
        <v>17</v>
      </c>
      <c r="J29" s="10"/>
      <c r="K29" s="10"/>
      <c r="L29" s="10">
        <f t="shared" ref="L29:BW29" si="191">(Date_Construction_Start&lt;=End_of_period)*(Date_Construction_End&gt;Beginning_of_period)</f>
        <v>1</v>
      </c>
      <c r="M29" s="10">
        <f t="shared" si="191"/>
        <v>1</v>
      </c>
      <c r="N29" s="10">
        <f t="shared" si="191"/>
        <v>1</v>
      </c>
      <c r="O29" s="10">
        <f t="shared" si="191"/>
        <v>1</v>
      </c>
      <c r="P29" s="10">
        <f t="shared" si="191"/>
        <v>1</v>
      </c>
      <c r="Q29" s="10">
        <f t="shared" si="191"/>
        <v>1</v>
      </c>
      <c r="R29" s="10">
        <f t="shared" si="191"/>
        <v>1</v>
      </c>
      <c r="S29" s="10">
        <f t="shared" si="191"/>
        <v>1</v>
      </c>
      <c r="T29" s="10">
        <f t="shared" si="191"/>
        <v>1</v>
      </c>
      <c r="U29" s="10">
        <f t="shared" si="191"/>
        <v>1</v>
      </c>
      <c r="V29" s="10">
        <f t="shared" si="191"/>
        <v>1</v>
      </c>
      <c r="W29" s="10">
        <f t="shared" si="191"/>
        <v>1</v>
      </c>
      <c r="X29" s="10">
        <f t="shared" si="191"/>
        <v>1</v>
      </c>
      <c r="Y29" s="10">
        <f t="shared" si="191"/>
        <v>1</v>
      </c>
      <c r="Z29" s="10">
        <f t="shared" si="191"/>
        <v>1</v>
      </c>
      <c r="AA29" s="10">
        <f t="shared" si="191"/>
        <v>1</v>
      </c>
      <c r="AB29" s="10">
        <f t="shared" si="191"/>
        <v>1</v>
      </c>
      <c r="AC29" s="10">
        <f t="shared" si="191"/>
        <v>0</v>
      </c>
      <c r="AD29" s="10">
        <f t="shared" si="191"/>
        <v>0</v>
      </c>
      <c r="AE29" s="10">
        <f t="shared" si="191"/>
        <v>0</v>
      </c>
      <c r="AF29" s="10">
        <f t="shared" si="191"/>
        <v>0</v>
      </c>
      <c r="AG29" s="10">
        <f t="shared" si="191"/>
        <v>0</v>
      </c>
      <c r="AH29" s="10">
        <f t="shared" si="191"/>
        <v>0</v>
      </c>
      <c r="AI29" s="10">
        <f t="shared" si="191"/>
        <v>0</v>
      </c>
      <c r="AJ29" s="10">
        <f t="shared" si="191"/>
        <v>0</v>
      </c>
      <c r="AK29" s="10">
        <f t="shared" si="191"/>
        <v>0</v>
      </c>
      <c r="AL29" s="10">
        <f t="shared" si="191"/>
        <v>0</v>
      </c>
      <c r="AM29" s="10">
        <f t="shared" si="191"/>
        <v>0</v>
      </c>
      <c r="AN29" s="10">
        <f t="shared" si="191"/>
        <v>0</v>
      </c>
      <c r="AO29" s="10">
        <f t="shared" si="191"/>
        <v>0</v>
      </c>
      <c r="AP29" s="10">
        <f t="shared" si="191"/>
        <v>0</v>
      </c>
      <c r="AQ29" s="10">
        <f t="shared" si="191"/>
        <v>0</v>
      </c>
      <c r="AR29" s="10">
        <f t="shared" si="191"/>
        <v>0</v>
      </c>
      <c r="AS29" s="10">
        <f t="shared" si="191"/>
        <v>0</v>
      </c>
      <c r="AT29" s="10">
        <f t="shared" si="191"/>
        <v>0</v>
      </c>
      <c r="AU29" s="10">
        <f t="shared" si="191"/>
        <v>0</v>
      </c>
      <c r="AV29" s="10">
        <f t="shared" si="191"/>
        <v>0</v>
      </c>
      <c r="AW29" s="10">
        <f t="shared" si="191"/>
        <v>0</v>
      </c>
      <c r="AX29" s="10">
        <f t="shared" si="191"/>
        <v>0</v>
      </c>
      <c r="AY29" s="10">
        <f t="shared" si="191"/>
        <v>0</v>
      </c>
      <c r="AZ29" s="10">
        <f t="shared" si="191"/>
        <v>0</v>
      </c>
      <c r="BA29" s="10">
        <f t="shared" si="191"/>
        <v>0</v>
      </c>
      <c r="BB29" s="10">
        <f t="shared" si="191"/>
        <v>0</v>
      </c>
      <c r="BC29" s="10">
        <f t="shared" si="191"/>
        <v>0</v>
      </c>
      <c r="BD29" s="10">
        <f t="shared" si="191"/>
        <v>0</v>
      </c>
      <c r="BE29" s="10">
        <f t="shared" si="191"/>
        <v>0</v>
      </c>
      <c r="BF29" s="10">
        <f t="shared" si="191"/>
        <v>0</v>
      </c>
      <c r="BG29" s="10">
        <f t="shared" si="191"/>
        <v>0</v>
      </c>
      <c r="BH29" s="10">
        <f t="shared" si="191"/>
        <v>0</v>
      </c>
      <c r="BI29" s="10">
        <f t="shared" si="191"/>
        <v>0</v>
      </c>
      <c r="BJ29" s="10">
        <f t="shared" si="191"/>
        <v>0</v>
      </c>
      <c r="BK29" s="10">
        <f t="shared" si="191"/>
        <v>0</v>
      </c>
      <c r="BL29" s="10">
        <f t="shared" si="191"/>
        <v>0</v>
      </c>
      <c r="BM29" s="10">
        <f t="shared" si="191"/>
        <v>0</v>
      </c>
      <c r="BN29" s="10">
        <f t="shared" si="191"/>
        <v>0</v>
      </c>
      <c r="BO29" s="10">
        <f t="shared" si="191"/>
        <v>0</v>
      </c>
      <c r="BP29" s="10">
        <f t="shared" si="191"/>
        <v>0</v>
      </c>
      <c r="BQ29" s="10">
        <f t="shared" si="191"/>
        <v>0</v>
      </c>
      <c r="BR29" s="10">
        <f t="shared" si="191"/>
        <v>0</v>
      </c>
      <c r="BS29" s="10">
        <f t="shared" si="191"/>
        <v>0</v>
      </c>
      <c r="BT29" s="10">
        <f t="shared" si="191"/>
        <v>0</v>
      </c>
      <c r="BU29" s="10">
        <f t="shared" si="191"/>
        <v>0</v>
      </c>
      <c r="BV29" s="10">
        <f t="shared" si="191"/>
        <v>0</v>
      </c>
      <c r="BW29" s="10">
        <f t="shared" si="191"/>
        <v>0</v>
      </c>
      <c r="BX29" s="10">
        <f t="shared" ref="BX29:CO29" si="192">(Date_Construction_Start&lt;=End_of_period)*(Date_Construction_End&gt;Beginning_of_period)</f>
        <v>0</v>
      </c>
      <c r="BY29" s="10">
        <f t="shared" si="192"/>
        <v>0</v>
      </c>
      <c r="BZ29" s="10">
        <f t="shared" si="192"/>
        <v>0</v>
      </c>
      <c r="CA29" s="10">
        <f t="shared" si="192"/>
        <v>0</v>
      </c>
      <c r="CB29" s="10">
        <f t="shared" si="192"/>
        <v>0</v>
      </c>
      <c r="CC29" s="10">
        <f t="shared" si="192"/>
        <v>0</v>
      </c>
      <c r="CD29" s="10">
        <f t="shared" si="192"/>
        <v>0</v>
      </c>
      <c r="CE29" s="10">
        <f t="shared" si="192"/>
        <v>0</v>
      </c>
      <c r="CF29" s="10">
        <f t="shared" si="192"/>
        <v>0</v>
      </c>
      <c r="CG29" s="10">
        <f t="shared" si="192"/>
        <v>0</v>
      </c>
      <c r="CH29" s="10">
        <f t="shared" si="192"/>
        <v>0</v>
      </c>
      <c r="CI29" s="10">
        <f t="shared" si="192"/>
        <v>0</v>
      </c>
      <c r="CJ29" s="10">
        <f t="shared" si="192"/>
        <v>0</v>
      </c>
      <c r="CK29" s="10">
        <f t="shared" si="192"/>
        <v>0</v>
      </c>
      <c r="CL29" s="10">
        <f t="shared" si="192"/>
        <v>0</v>
      </c>
      <c r="CM29" s="10">
        <f t="shared" si="192"/>
        <v>0</v>
      </c>
      <c r="CN29" s="10">
        <f t="shared" si="192"/>
        <v>0</v>
      </c>
      <c r="CO29" s="10">
        <f t="shared" si="192"/>
        <v>0</v>
      </c>
    </row>
    <row r="30" spans="1:93">
      <c r="A30" s="10"/>
      <c r="B30" s="10"/>
      <c r="C30" s="17" t="s">
        <v>450</v>
      </c>
      <c r="D30" s="10"/>
      <c r="E30" s="10"/>
      <c r="F30" s="62" t="s">
        <v>1211</v>
      </c>
      <c r="G30" s="11" t="str">
        <f>MIN(L30:CO30) &amp; ".." &amp; MAX(L30:CO30)</f>
        <v>0..1</v>
      </c>
      <c r="H30" s="10"/>
      <c r="I30" s="23">
        <f>SUM(L30:CO30)</f>
        <v>65</v>
      </c>
      <c r="J30" s="149"/>
      <c r="K30" s="10"/>
      <c r="L30" s="10">
        <f t="shared" ref="L30:BW30" si="193">(Date_Operations_Start&lt;End_of_period)*(Date_Operations_End&gt;Beginning_of_period)</f>
        <v>0</v>
      </c>
      <c r="M30" s="10">
        <f t="shared" si="193"/>
        <v>0</v>
      </c>
      <c r="N30" s="10">
        <f t="shared" si="193"/>
        <v>0</v>
      </c>
      <c r="O30" s="10">
        <f t="shared" si="193"/>
        <v>0</v>
      </c>
      <c r="P30" s="10">
        <f t="shared" si="193"/>
        <v>0</v>
      </c>
      <c r="Q30" s="10">
        <f t="shared" si="193"/>
        <v>0</v>
      </c>
      <c r="R30" s="10">
        <f t="shared" si="193"/>
        <v>0</v>
      </c>
      <c r="S30" s="10">
        <f t="shared" si="193"/>
        <v>0</v>
      </c>
      <c r="T30" s="10">
        <f t="shared" si="193"/>
        <v>0</v>
      </c>
      <c r="U30" s="10">
        <f t="shared" si="193"/>
        <v>0</v>
      </c>
      <c r="V30" s="10">
        <f t="shared" si="193"/>
        <v>0</v>
      </c>
      <c r="W30" s="10">
        <f t="shared" si="193"/>
        <v>0</v>
      </c>
      <c r="X30" s="10">
        <f t="shared" si="193"/>
        <v>0</v>
      </c>
      <c r="Y30" s="10">
        <f t="shared" si="193"/>
        <v>0</v>
      </c>
      <c r="Z30" s="10">
        <f t="shared" si="193"/>
        <v>0</v>
      </c>
      <c r="AA30" s="10">
        <f t="shared" si="193"/>
        <v>0</v>
      </c>
      <c r="AB30" s="10">
        <f t="shared" si="193"/>
        <v>0</v>
      </c>
      <c r="AC30" s="10">
        <f t="shared" si="193"/>
        <v>1</v>
      </c>
      <c r="AD30" s="10">
        <f t="shared" si="193"/>
        <v>1</v>
      </c>
      <c r="AE30" s="10">
        <f t="shared" si="193"/>
        <v>1</v>
      </c>
      <c r="AF30" s="10">
        <f t="shared" si="193"/>
        <v>1</v>
      </c>
      <c r="AG30" s="10">
        <f t="shared" si="193"/>
        <v>1</v>
      </c>
      <c r="AH30" s="10">
        <f t="shared" si="193"/>
        <v>1</v>
      </c>
      <c r="AI30" s="10">
        <f t="shared" si="193"/>
        <v>1</v>
      </c>
      <c r="AJ30" s="10">
        <f t="shared" si="193"/>
        <v>1</v>
      </c>
      <c r="AK30" s="10">
        <f t="shared" si="193"/>
        <v>1</v>
      </c>
      <c r="AL30" s="10">
        <f t="shared" si="193"/>
        <v>1</v>
      </c>
      <c r="AM30" s="10">
        <f t="shared" si="193"/>
        <v>1</v>
      </c>
      <c r="AN30" s="10">
        <f t="shared" si="193"/>
        <v>1</v>
      </c>
      <c r="AO30" s="10">
        <f t="shared" si="193"/>
        <v>1</v>
      </c>
      <c r="AP30" s="10">
        <f t="shared" si="193"/>
        <v>1</v>
      </c>
      <c r="AQ30" s="10">
        <f t="shared" si="193"/>
        <v>1</v>
      </c>
      <c r="AR30" s="10">
        <f t="shared" si="193"/>
        <v>1</v>
      </c>
      <c r="AS30" s="10">
        <f t="shared" si="193"/>
        <v>1</v>
      </c>
      <c r="AT30" s="10">
        <f t="shared" si="193"/>
        <v>1</v>
      </c>
      <c r="AU30" s="10">
        <f t="shared" si="193"/>
        <v>1</v>
      </c>
      <c r="AV30" s="10">
        <f t="shared" si="193"/>
        <v>1</v>
      </c>
      <c r="AW30" s="10">
        <f t="shared" si="193"/>
        <v>1</v>
      </c>
      <c r="AX30" s="10">
        <f t="shared" si="193"/>
        <v>1</v>
      </c>
      <c r="AY30" s="10">
        <f t="shared" si="193"/>
        <v>1</v>
      </c>
      <c r="AZ30" s="10">
        <f t="shared" si="193"/>
        <v>1</v>
      </c>
      <c r="BA30" s="10">
        <f t="shared" si="193"/>
        <v>1</v>
      </c>
      <c r="BB30" s="10">
        <f t="shared" si="193"/>
        <v>1</v>
      </c>
      <c r="BC30" s="10">
        <f t="shared" si="193"/>
        <v>1</v>
      </c>
      <c r="BD30" s="10">
        <f t="shared" si="193"/>
        <v>1</v>
      </c>
      <c r="BE30" s="10">
        <f t="shared" si="193"/>
        <v>1</v>
      </c>
      <c r="BF30" s="10">
        <f t="shared" si="193"/>
        <v>1</v>
      </c>
      <c r="BG30" s="10">
        <f t="shared" si="193"/>
        <v>1</v>
      </c>
      <c r="BH30" s="10">
        <f t="shared" si="193"/>
        <v>1</v>
      </c>
      <c r="BI30" s="10">
        <f t="shared" si="193"/>
        <v>1</v>
      </c>
      <c r="BJ30" s="10">
        <f t="shared" si="193"/>
        <v>1</v>
      </c>
      <c r="BK30" s="10">
        <f t="shared" si="193"/>
        <v>1</v>
      </c>
      <c r="BL30" s="10">
        <f t="shared" si="193"/>
        <v>1</v>
      </c>
      <c r="BM30" s="10">
        <f t="shared" si="193"/>
        <v>1</v>
      </c>
      <c r="BN30" s="10">
        <f t="shared" si="193"/>
        <v>1</v>
      </c>
      <c r="BO30" s="10">
        <f t="shared" si="193"/>
        <v>1</v>
      </c>
      <c r="BP30" s="10">
        <f t="shared" si="193"/>
        <v>1</v>
      </c>
      <c r="BQ30" s="10">
        <f t="shared" si="193"/>
        <v>1</v>
      </c>
      <c r="BR30" s="10">
        <f t="shared" si="193"/>
        <v>1</v>
      </c>
      <c r="BS30" s="10">
        <f t="shared" si="193"/>
        <v>1</v>
      </c>
      <c r="BT30" s="10">
        <f t="shared" si="193"/>
        <v>1</v>
      </c>
      <c r="BU30" s="10">
        <f t="shared" si="193"/>
        <v>1</v>
      </c>
      <c r="BV30" s="10">
        <f t="shared" si="193"/>
        <v>1</v>
      </c>
      <c r="BW30" s="10">
        <f t="shared" si="193"/>
        <v>1</v>
      </c>
      <c r="BX30" s="10">
        <f t="shared" ref="BX30:CO30" si="194">(Date_Operations_Start&lt;End_of_period)*(Date_Operations_End&gt;Beginning_of_period)</f>
        <v>1</v>
      </c>
      <c r="BY30" s="10">
        <f t="shared" si="194"/>
        <v>1</v>
      </c>
      <c r="BZ30" s="10">
        <f t="shared" si="194"/>
        <v>1</v>
      </c>
      <c r="CA30" s="10">
        <f t="shared" si="194"/>
        <v>1</v>
      </c>
      <c r="CB30" s="10">
        <f t="shared" si="194"/>
        <v>1</v>
      </c>
      <c r="CC30" s="10">
        <f t="shared" si="194"/>
        <v>1</v>
      </c>
      <c r="CD30" s="10">
        <f t="shared" si="194"/>
        <v>1</v>
      </c>
      <c r="CE30" s="10">
        <f t="shared" si="194"/>
        <v>1</v>
      </c>
      <c r="CF30" s="10">
        <f t="shared" si="194"/>
        <v>1</v>
      </c>
      <c r="CG30" s="10">
        <f t="shared" si="194"/>
        <v>1</v>
      </c>
      <c r="CH30" s="10">
        <f t="shared" si="194"/>
        <v>1</v>
      </c>
      <c r="CI30" s="10">
        <f t="shared" si="194"/>
        <v>1</v>
      </c>
      <c r="CJ30" s="10">
        <f t="shared" si="194"/>
        <v>1</v>
      </c>
      <c r="CK30" s="10">
        <f t="shared" si="194"/>
        <v>1</v>
      </c>
      <c r="CL30" s="10">
        <f t="shared" si="194"/>
        <v>1</v>
      </c>
      <c r="CM30" s="10">
        <f t="shared" si="194"/>
        <v>1</v>
      </c>
      <c r="CN30" s="10">
        <f t="shared" si="194"/>
        <v>1</v>
      </c>
      <c r="CO30" s="10">
        <f t="shared" si="194"/>
        <v>1</v>
      </c>
    </row>
    <row r="31" spans="1:93">
      <c r="A31" s="10"/>
      <c r="B31" s="10"/>
      <c r="C31" s="17"/>
      <c r="D31" s="10"/>
      <c r="E31" s="10"/>
      <c r="F31" s="10"/>
      <c r="G31" s="11"/>
      <c r="H31" s="10"/>
      <c r="I31" s="10"/>
      <c r="J31" s="149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</row>
    <row r="32" spans="1:93">
      <c r="A32" s="10"/>
      <c r="B32" s="10"/>
      <c r="C32" s="401" t="str">
        <f>Контр_панель!C42</f>
        <v>Транспортная инфраструктура</v>
      </c>
      <c r="D32" s="10"/>
      <c r="E32" s="10"/>
      <c r="F32" s="10"/>
      <c r="G32" s="11" t="str">
        <f t="shared" ref="G32:G37" si="195">MIN(L32:CO32) &amp; ".." &amp; MAX(L32:CO32)</f>
        <v>0..1</v>
      </c>
      <c r="H32" s="10"/>
      <c r="I32" s="23">
        <f t="shared" ref="I32:I37" si="196">SUM(L32:CO32)</f>
        <v>17</v>
      </c>
      <c r="J32" s="149"/>
      <c r="K32" s="10"/>
      <c r="L32" s="10">
        <f t="shared" ref="L32:R32" si="197">(SUM(L121:L123) &gt; 0) * 1</f>
        <v>1</v>
      </c>
      <c r="M32" s="10">
        <f t="shared" si="197"/>
        <v>1</v>
      </c>
      <c r="N32" s="10">
        <f t="shared" si="197"/>
        <v>1</v>
      </c>
      <c r="O32" s="10">
        <f t="shared" si="197"/>
        <v>1</v>
      </c>
      <c r="P32" s="10">
        <f t="shared" si="197"/>
        <v>1</v>
      </c>
      <c r="Q32" s="10">
        <f t="shared" si="197"/>
        <v>1</v>
      </c>
      <c r="R32" s="10">
        <f t="shared" si="197"/>
        <v>1</v>
      </c>
      <c r="S32" s="10">
        <f t="shared" ref="S32" si="198">(SUM(S121:S123) &gt; 0) * 1</f>
        <v>1</v>
      </c>
      <c r="T32" s="10">
        <f t="shared" ref="T32:CE32" si="199">(SUM(T121:T123) &gt; 0) * 1</f>
        <v>1</v>
      </c>
      <c r="U32" s="10">
        <f t="shared" si="199"/>
        <v>1</v>
      </c>
      <c r="V32" s="10">
        <f t="shared" si="199"/>
        <v>1</v>
      </c>
      <c r="W32" s="10">
        <f t="shared" si="199"/>
        <v>1</v>
      </c>
      <c r="X32" s="10">
        <f t="shared" si="199"/>
        <v>1</v>
      </c>
      <c r="Y32" s="10">
        <f t="shared" si="199"/>
        <v>1</v>
      </c>
      <c r="Z32" s="10">
        <f t="shared" si="199"/>
        <v>1</v>
      </c>
      <c r="AA32" s="10">
        <f t="shared" si="199"/>
        <v>1</v>
      </c>
      <c r="AB32" s="10">
        <f t="shared" si="199"/>
        <v>1</v>
      </c>
      <c r="AC32" s="10">
        <f t="shared" si="199"/>
        <v>0</v>
      </c>
      <c r="AD32" s="10">
        <f t="shared" si="199"/>
        <v>0</v>
      </c>
      <c r="AE32" s="10">
        <f t="shared" si="199"/>
        <v>0</v>
      </c>
      <c r="AF32" s="10">
        <f t="shared" si="199"/>
        <v>0</v>
      </c>
      <c r="AG32" s="10">
        <f t="shared" si="199"/>
        <v>0</v>
      </c>
      <c r="AH32" s="10">
        <f t="shared" si="199"/>
        <v>0</v>
      </c>
      <c r="AI32" s="10">
        <f t="shared" si="199"/>
        <v>0</v>
      </c>
      <c r="AJ32" s="10">
        <f t="shared" si="199"/>
        <v>0</v>
      </c>
      <c r="AK32" s="10">
        <f t="shared" si="199"/>
        <v>0</v>
      </c>
      <c r="AL32" s="10">
        <f t="shared" si="199"/>
        <v>0</v>
      </c>
      <c r="AM32" s="10">
        <f t="shared" si="199"/>
        <v>0</v>
      </c>
      <c r="AN32" s="10">
        <f t="shared" si="199"/>
        <v>0</v>
      </c>
      <c r="AO32" s="10">
        <f t="shared" si="199"/>
        <v>0</v>
      </c>
      <c r="AP32" s="10">
        <f t="shared" si="199"/>
        <v>0</v>
      </c>
      <c r="AQ32" s="10">
        <f t="shared" si="199"/>
        <v>0</v>
      </c>
      <c r="AR32" s="10">
        <f t="shared" si="199"/>
        <v>0</v>
      </c>
      <c r="AS32" s="10">
        <f t="shared" si="199"/>
        <v>0</v>
      </c>
      <c r="AT32" s="10">
        <f t="shared" si="199"/>
        <v>0</v>
      </c>
      <c r="AU32" s="10">
        <f t="shared" si="199"/>
        <v>0</v>
      </c>
      <c r="AV32" s="10">
        <f t="shared" si="199"/>
        <v>0</v>
      </c>
      <c r="AW32" s="10">
        <f t="shared" si="199"/>
        <v>0</v>
      </c>
      <c r="AX32" s="10">
        <f t="shared" si="199"/>
        <v>0</v>
      </c>
      <c r="AY32" s="10">
        <f t="shared" si="199"/>
        <v>0</v>
      </c>
      <c r="AZ32" s="10">
        <f t="shared" si="199"/>
        <v>0</v>
      </c>
      <c r="BA32" s="10">
        <f t="shared" si="199"/>
        <v>0</v>
      </c>
      <c r="BB32" s="10">
        <f t="shared" si="199"/>
        <v>0</v>
      </c>
      <c r="BC32" s="10">
        <f t="shared" si="199"/>
        <v>0</v>
      </c>
      <c r="BD32" s="10">
        <f t="shared" si="199"/>
        <v>0</v>
      </c>
      <c r="BE32" s="10">
        <f t="shared" si="199"/>
        <v>0</v>
      </c>
      <c r="BF32" s="10">
        <f t="shared" si="199"/>
        <v>0</v>
      </c>
      <c r="BG32" s="10">
        <f t="shared" si="199"/>
        <v>0</v>
      </c>
      <c r="BH32" s="10">
        <f t="shared" si="199"/>
        <v>0</v>
      </c>
      <c r="BI32" s="10">
        <f t="shared" si="199"/>
        <v>0</v>
      </c>
      <c r="BJ32" s="10">
        <f t="shared" si="199"/>
        <v>0</v>
      </c>
      <c r="BK32" s="10">
        <f t="shared" si="199"/>
        <v>0</v>
      </c>
      <c r="BL32" s="10">
        <f t="shared" si="199"/>
        <v>0</v>
      </c>
      <c r="BM32" s="10">
        <f t="shared" si="199"/>
        <v>0</v>
      </c>
      <c r="BN32" s="10">
        <f t="shared" si="199"/>
        <v>0</v>
      </c>
      <c r="BO32" s="10">
        <f t="shared" si="199"/>
        <v>0</v>
      </c>
      <c r="BP32" s="10">
        <f t="shared" si="199"/>
        <v>0</v>
      </c>
      <c r="BQ32" s="10">
        <f t="shared" si="199"/>
        <v>0</v>
      </c>
      <c r="BR32" s="10">
        <f t="shared" si="199"/>
        <v>0</v>
      </c>
      <c r="BS32" s="10">
        <f t="shared" si="199"/>
        <v>0</v>
      </c>
      <c r="BT32" s="10">
        <f t="shared" si="199"/>
        <v>0</v>
      </c>
      <c r="BU32" s="10">
        <f t="shared" si="199"/>
        <v>0</v>
      </c>
      <c r="BV32" s="10">
        <f t="shared" si="199"/>
        <v>0</v>
      </c>
      <c r="BW32" s="10">
        <f t="shared" si="199"/>
        <v>0</v>
      </c>
      <c r="BX32" s="10">
        <f t="shared" si="199"/>
        <v>0</v>
      </c>
      <c r="BY32" s="10">
        <f t="shared" si="199"/>
        <v>0</v>
      </c>
      <c r="BZ32" s="10">
        <f t="shared" si="199"/>
        <v>0</v>
      </c>
      <c r="CA32" s="10">
        <f t="shared" si="199"/>
        <v>0</v>
      </c>
      <c r="CB32" s="10">
        <f t="shared" si="199"/>
        <v>0</v>
      </c>
      <c r="CC32" s="10">
        <f t="shared" si="199"/>
        <v>0</v>
      </c>
      <c r="CD32" s="10">
        <f t="shared" si="199"/>
        <v>0</v>
      </c>
      <c r="CE32" s="10">
        <f t="shared" si="199"/>
        <v>0</v>
      </c>
      <c r="CF32" s="10">
        <f t="shared" ref="CF32:CO32" si="200">(SUM(CF121:CF123) &gt; 0) * 1</f>
        <v>0</v>
      </c>
      <c r="CG32" s="10">
        <f t="shared" si="200"/>
        <v>0</v>
      </c>
      <c r="CH32" s="10">
        <f t="shared" si="200"/>
        <v>0</v>
      </c>
      <c r="CI32" s="10">
        <f t="shared" si="200"/>
        <v>0</v>
      </c>
      <c r="CJ32" s="10">
        <f t="shared" si="200"/>
        <v>0</v>
      </c>
      <c r="CK32" s="10">
        <f t="shared" si="200"/>
        <v>0</v>
      </c>
      <c r="CL32" s="10">
        <f t="shared" si="200"/>
        <v>0</v>
      </c>
      <c r="CM32" s="10">
        <f t="shared" si="200"/>
        <v>0</v>
      </c>
      <c r="CN32" s="10">
        <f t="shared" si="200"/>
        <v>0</v>
      </c>
      <c r="CO32" s="10">
        <f t="shared" si="200"/>
        <v>0</v>
      </c>
    </row>
    <row r="33" spans="1:93">
      <c r="A33" s="10"/>
      <c r="B33" s="10"/>
      <c r="C33" s="401" t="str">
        <f>Контр_панель!C43</f>
        <v>Коммунальная инфраструктура</v>
      </c>
      <c r="D33" s="10"/>
      <c r="E33" s="10"/>
      <c r="F33" s="10"/>
      <c r="G33" s="11" t="str">
        <f t="shared" si="195"/>
        <v>0..0</v>
      </c>
      <c r="H33" s="10"/>
      <c r="I33" s="23">
        <f t="shared" si="196"/>
        <v>0</v>
      </c>
      <c r="J33" s="149"/>
      <c r="K33" s="10"/>
      <c r="L33" s="10">
        <f t="shared" ref="L33:R33" si="201">(SUM(L133:L135) &gt; 0) * 1</f>
        <v>0</v>
      </c>
      <c r="M33" s="10">
        <f t="shared" si="201"/>
        <v>0</v>
      </c>
      <c r="N33" s="10">
        <f t="shared" si="201"/>
        <v>0</v>
      </c>
      <c r="O33" s="10">
        <f t="shared" si="201"/>
        <v>0</v>
      </c>
      <c r="P33" s="10">
        <f t="shared" si="201"/>
        <v>0</v>
      </c>
      <c r="Q33" s="10">
        <f t="shared" si="201"/>
        <v>0</v>
      </c>
      <c r="R33" s="10">
        <f t="shared" si="201"/>
        <v>0</v>
      </c>
      <c r="S33" s="10">
        <f t="shared" ref="S33" si="202">(SUM(S133:S135) &gt; 0) * 1</f>
        <v>0</v>
      </c>
      <c r="T33" s="10">
        <f t="shared" ref="T33:CE33" si="203">(SUM(T133:T135) &gt; 0) * 1</f>
        <v>0</v>
      </c>
      <c r="U33" s="10">
        <f t="shared" si="203"/>
        <v>0</v>
      </c>
      <c r="V33" s="10">
        <f t="shared" si="203"/>
        <v>0</v>
      </c>
      <c r="W33" s="10">
        <f t="shared" si="203"/>
        <v>0</v>
      </c>
      <c r="X33" s="10">
        <f t="shared" si="203"/>
        <v>0</v>
      </c>
      <c r="Y33" s="10">
        <f t="shared" si="203"/>
        <v>0</v>
      </c>
      <c r="Z33" s="10">
        <f t="shared" si="203"/>
        <v>0</v>
      </c>
      <c r="AA33" s="10">
        <f t="shared" si="203"/>
        <v>0</v>
      </c>
      <c r="AB33" s="10">
        <f t="shared" si="203"/>
        <v>0</v>
      </c>
      <c r="AC33" s="10">
        <f t="shared" si="203"/>
        <v>0</v>
      </c>
      <c r="AD33" s="10">
        <f t="shared" si="203"/>
        <v>0</v>
      </c>
      <c r="AE33" s="10">
        <f t="shared" si="203"/>
        <v>0</v>
      </c>
      <c r="AF33" s="10">
        <f t="shared" si="203"/>
        <v>0</v>
      </c>
      <c r="AG33" s="10">
        <f t="shared" si="203"/>
        <v>0</v>
      </c>
      <c r="AH33" s="10">
        <f t="shared" si="203"/>
        <v>0</v>
      </c>
      <c r="AI33" s="10">
        <f t="shared" si="203"/>
        <v>0</v>
      </c>
      <c r="AJ33" s="10">
        <f t="shared" si="203"/>
        <v>0</v>
      </c>
      <c r="AK33" s="10">
        <f t="shared" si="203"/>
        <v>0</v>
      </c>
      <c r="AL33" s="10">
        <f t="shared" si="203"/>
        <v>0</v>
      </c>
      <c r="AM33" s="10">
        <f t="shared" si="203"/>
        <v>0</v>
      </c>
      <c r="AN33" s="10">
        <f t="shared" si="203"/>
        <v>0</v>
      </c>
      <c r="AO33" s="10">
        <f t="shared" si="203"/>
        <v>0</v>
      </c>
      <c r="AP33" s="10">
        <f t="shared" si="203"/>
        <v>0</v>
      </c>
      <c r="AQ33" s="10">
        <f t="shared" si="203"/>
        <v>0</v>
      </c>
      <c r="AR33" s="10">
        <f t="shared" si="203"/>
        <v>0</v>
      </c>
      <c r="AS33" s="10">
        <f t="shared" si="203"/>
        <v>0</v>
      </c>
      <c r="AT33" s="10">
        <f t="shared" si="203"/>
        <v>0</v>
      </c>
      <c r="AU33" s="10">
        <f t="shared" si="203"/>
        <v>0</v>
      </c>
      <c r="AV33" s="10">
        <f t="shared" si="203"/>
        <v>0</v>
      </c>
      <c r="AW33" s="10">
        <f t="shared" si="203"/>
        <v>0</v>
      </c>
      <c r="AX33" s="10">
        <f t="shared" si="203"/>
        <v>0</v>
      </c>
      <c r="AY33" s="10">
        <f t="shared" si="203"/>
        <v>0</v>
      </c>
      <c r="AZ33" s="10">
        <f t="shared" si="203"/>
        <v>0</v>
      </c>
      <c r="BA33" s="10">
        <f t="shared" si="203"/>
        <v>0</v>
      </c>
      <c r="BB33" s="10">
        <f t="shared" si="203"/>
        <v>0</v>
      </c>
      <c r="BC33" s="10">
        <f t="shared" si="203"/>
        <v>0</v>
      </c>
      <c r="BD33" s="10">
        <f t="shared" si="203"/>
        <v>0</v>
      </c>
      <c r="BE33" s="10">
        <f t="shared" si="203"/>
        <v>0</v>
      </c>
      <c r="BF33" s="10">
        <f t="shared" si="203"/>
        <v>0</v>
      </c>
      <c r="BG33" s="10">
        <f t="shared" si="203"/>
        <v>0</v>
      </c>
      <c r="BH33" s="10">
        <f t="shared" si="203"/>
        <v>0</v>
      </c>
      <c r="BI33" s="10">
        <f t="shared" si="203"/>
        <v>0</v>
      </c>
      <c r="BJ33" s="10">
        <f t="shared" si="203"/>
        <v>0</v>
      </c>
      <c r="BK33" s="10">
        <f t="shared" si="203"/>
        <v>0</v>
      </c>
      <c r="BL33" s="10">
        <f t="shared" si="203"/>
        <v>0</v>
      </c>
      <c r="BM33" s="10">
        <f t="shared" si="203"/>
        <v>0</v>
      </c>
      <c r="BN33" s="10">
        <f t="shared" si="203"/>
        <v>0</v>
      </c>
      <c r="BO33" s="10">
        <f t="shared" si="203"/>
        <v>0</v>
      </c>
      <c r="BP33" s="10">
        <f t="shared" si="203"/>
        <v>0</v>
      </c>
      <c r="BQ33" s="10">
        <f t="shared" si="203"/>
        <v>0</v>
      </c>
      <c r="BR33" s="10">
        <f t="shared" si="203"/>
        <v>0</v>
      </c>
      <c r="BS33" s="10">
        <f t="shared" si="203"/>
        <v>0</v>
      </c>
      <c r="BT33" s="10">
        <f t="shared" si="203"/>
        <v>0</v>
      </c>
      <c r="BU33" s="10">
        <f t="shared" si="203"/>
        <v>0</v>
      </c>
      <c r="BV33" s="10">
        <f t="shared" si="203"/>
        <v>0</v>
      </c>
      <c r="BW33" s="10">
        <f t="shared" si="203"/>
        <v>0</v>
      </c>
      <c r="BX33" s="10">
        <f t="shared" si="203"/>
        <v>0</v>
      </c>
      <c r="BY33" s="10">
        <f t="shared" si="203"/>
        <v>0</v>
      </c>
      <c r="BZ33" s="10">
        <f t="shared" si="203"/>
        <v>0</v>
      </c>
      <c r="CA33" s="10">
        <f t="shared" si="203"/>
        <v>0</v>
      </c>
      <c r="CB33" s="10">
        <f t="shared" si="203"/>
        <v>0</v>
      </c>
      <c r="CC33" s="10">
        <f t="shared" si="203"/>
        <v>0</v>
      </c>
      <c r="CD33" s="10">
        <f t="shared" si="203"/>
        <v>0</v>
      </c>
      <c r="CE33" s="10">
        <f t="shared" si="203"/>
        <v>0</v>
      </c>
      <c r="CF33" s="10">
        <f t="shared" ref="CF33:CO33" si="204">(SUM(CF133:CF135) &gt; 0) * 1</f>
        <v>0</v>
      </c>
      <c r="CG33" s="10">
        <f t="shared" si="204"/>
        <v>0</v>
      </c>
      <c r="CH33" s="10">
        <f t="shared" si="204"/>
        <v>0</v>
      </c>
      <c r="CI33" s="10">
        <f t="shared" si="204"/>
        <v>0</v>
      </c>
      <c r="CJ33" s="10">
        <f t="shared" si="204"/>
        <v>0</v>
      </c>
      <c r="CK33" s="10">
        <f t="shared" si="204"/>
        <v>0</v>
      </c>
      <c r="CL33" s="10">
        <f t="shared" si="204"/>
        <v>0</v>
      </c>
      <c r="CM33" s="10">
        <f t="shared" si="204"/>
        <v>0</v>
      </c>
      <c r="CN33" s="10">
        <f t="shared" si="204"/>
        <v>0</v>
      </c>
      <c r="CO33" s="10">
        <f t="shared" si="204"/>
        <v>0</v>
      </c>
    </row>
    <row r="34" spans="1:93">
      <c r="A34" s="10"/>
      <c r="B34" s="10"/>
      <c r="C34" s="401" t="str">
        <f>Контр_панель!C44</f>
        <v>Прочая обеспечивающая инфраструктура</v>
      </c>
      <c r="D34" s="10"/>
      <c r="E34" s="10"/>
      <c r="F34" s="10"/>
      <c r="G34" s="11" t="str">
        <f t="shared" si="195"/>
        <v>0..0</v>
      </c>
      <c r="H34" s="10"/>
      <c r="I34" s="23">
        <f t="shared" si="196"/>
        <v>0</v>
      </c>
      <c r="J34" s="149"/>
      <c r="K34" s="10"/>
      <c r="L34" s="10">
        <f t="shared" ref="L34:R34" si="205">(SUM(L145:L147) &gt; 0) * 1</f>
        <v>0</v>
      </c>
      <c r="M34" s="10">
        <f t="shared" si="205"/>
        <v>0</v>
      </c>
      <c r="N34" s="10">
        <f t="shared" si="205"/>
        <v>0</v>
      </c>
      <c r="O34" s="10">
        <f t="shared" si="205"/>
        <v>0</v>
      </c>
      <c r="P34" s="10">
        <f t="shared" si="205"/>
        <v>0</v>
      </c>
      <c r="Q34" s="10">
        <f t="shared" si="205"/>
        <v>0</v>
      </c>
      <c r="R34" s="10">
        <f t="shared" si="205"/>
        <v>0</v>
      </c>
      <c r="S34" s="10">
        <f t="shared" ref="S34" si="206">(SUM(S145:S147) &gt; 0) * 1</f>
        <v>0</v>
      </c>
      <c r="T34" s="10">
        <f t="shared" ref="T34:CE34" si="207">(SUM(T145:T147) &gt; 0) * 1</f>
        <v>0</v>
      </c>
      <c r="U34" s="10">
        <f t="shared" si="207"/>
        <v>0</v>
      </c>
      <c r="V34" s="10">
        <f t="shared" si="207"/>
        <v>0</v>
      </c>
      <c r="W34" s="10">
        <f t="shared" si="207"/>
        <v>0</v>
      </c>
      <c r="X34" s="10">
        <f t="shared" si="207"/>
        <v>0</v>
      </c>
      <c r="Y34" s="10">
        <f t="shared" si="207"/>
        <v>0</v>
      </c>
      <c r="Z34" s="10">
        <f t="shared" si="207"/>
        <v>0</v>
      </c>
      <c r="AA34" s="10">
        <f t="shared" si="207"/>
        <v>0</v>
      </c>
      <c r="AB34" s="10">
        <f t="shared" si="207"/>
        <v>0</v>
      </c>
      <c r="AC34" s="10">
        <f t="shared" si="207"/>
        <v>0</v>
      </c>
      <c r="AD34" s="10">
        <f t="shared" si="207"/>
        <v>0</v>
      </c>
      <c r="AE34" s="10">
        <f t="shared" si="207"/>
        <v>0</v>
      </c>
      <c r="AF34" s="10">
        <f t="shared" si="207"/>
        <v>0</v>
      </c>
      <c r="AG34" s="10">
        <f t="shared" si="207"/>
        <v>0</v>
      </c>
      <c r="AH34" s="10">
        <f t="shared" si="207"/>
        <v>0</v>
      </c>
      <c r="AI34" s="10">
        <f t="shared" si="207"/>
        <v>0</v>
      </c>
      <c r="AJ34" s="10">
        <f t="shared" si="207"/>
        <v>0</v>
      </c>
      <c r="AK34" s="10">
        <f t="shared" si="207"/>
        <v>0</v>
      </c>
      <c r="AL34" s="10">
        <f t="shared" si="207"/>
        <v>0</v>
      </c>
      <c r="AM34" s="10">
        <f t="shared" si="207"/>
        <v>0</v>
      </c>
      <c r="AN34" s="10">
        <f t="shared" si="207"/>
        <v>0</v>
      </c>
      <c r="AO34" s="10">
        <f t="shared" si="207"/>
        <v>0</v>
      </c>
      <c r="AP34" s="10">
        <f t="shared" si="207"/>
        <v>0</v>
      </c>
      <c r="AQ34" s="10">
        <f t="shared" si="207"/>
        <v>0</v>
      </c>
      <c r="AR34" s="10">
        <f t="shared" si="207"/>
        <v>0</v>
      </c>
      <c r="AS34" s="10">
        <f t="shared" si="207"/>
        <v>0</v>
      </c>
      <c r="AT34" s="10">
        <f t="shared" si="207"/>
        <v>0</v>
      </c>
      <c r="AU34" s="10">
        <f t="shared" si="207"/>
        <v>0</v>
      </c>
      <c r="AV34" s="10">
        <f t="shared" si="207"/>
        <v>0</v>
      </c>
      <c r="AW34" s="10">
        <f t="shared" si="207"/>
        <v>0</v>
      </c>
      <c r="AX34" s="10">
        <f t="shared" si="207"/>
        <v>0</v>
      </c>
      <c r="AY34" s="10">
        <f t="shared" si="207"/>
        <v>0</v>
      </c>
      <c r="AZ34" s="10">
        <f t="shared" si="207"/>
        <v>0</v>
      </c>
      <c r="BA34" s="10">
        <f t="shared" si="207"/>
        <v>0</v>
      </c>
      <c r="BB34" s="10">
        <f t="shared" si="207"/>
        <v>0</v>
      </c>
      <c r="BC34" s="10">
        <f t="shared" si="207"/>
        <v>0</v>
      </c>
      <c r="BD34" s="10">
        <f t="shared" si="207"/>
        <v>0</v>
      </c>
      <c r="BE34" s="10">
        <f t="shared" si="207"/>
        <v>0</v>
      </c>
      <c r="BF34" s="10">
        <f t="shared" si="207"/>
        <v>0</v>
      </c>
      <c r="BG34" s="10">
        <f t="shared" si="207"/>
        <v>0</v>
      </c>
      <c r="BH34" s="10">
        <f t="shared" si="207"/>
        <v>0</v>
      </c>
      <c r="BI34" s="10">
        <f t="shared" si="207"/>
        <v>0</v>
      </c>
      <c r="BJ34" s="10">
        <f t="shared" si="207"/>
        <v>0</v>
      </c>
      <c r="BK34" s="10">
        <f t="shared" si="207"/>
        <v>0</v>
      </c>
      <c r="BL34" s="10">
        <f t="shared" si="207"/>
        <v>0</v>
      </c>
      <c r="BM34" s="10">
        <f t="shared" si="207"/>
        <v>0</v>
      </c>
      <c r="BN34" s="10">
        <f t="shared" si="207"/>
        <v>0</v>
      </c>
      <c r="BO34" s="10">
        <f t="shared" si="207"/>
        <v>0</v>
      </c>
      <c r="BP34" s="10">
        <f t="shared" si="207"/>
        <v>0</v>
      </c>
      <c r="BQ34" s="10">
        <f t="shared" si="207"/>
        <v>0</v>
      </c>
      <c r="BR34" s="10">
        <f t="shared" si="207"/>
        <v>0</v>
      </c>
      <c r="BS34" s="10">
        <f t="shared" si="207"/>
        <v>0</v>
      </c>
      <c r="BT34" s="10">
        <f t="shared" si="207"/>
        <v>0</v>
      </c>
      <c r="BU34" s="10">
        <f t="shared" si="207"/>
        <v>0</v>
      </c>
      <c r="BV34" s="10">
        <f t="shared" si="207"/>
        <v>0</v>
      </c>
      <c r="BW34" s="10">
        <f t="shared" si="207"/>
        <v>0</v>
      </c>
      <c r="BX34" s="10">
        <f t="shared" si="207"/>
        <v>0</v>
      </c>
      <c r="BY34" s="10">
        <f t="shared" si="207"/>
        <v>0</v>
      </c>
      <c r="BZ34" s="10">
        <f t="shared" si="207"/>
        <v>0</v>
      </c>
      <c r="CA34" s="10">
        <f t="shared" si="207"/>
        <v>0</v>
      </c>
      <c r="CB34" s="10">
        <f t="shared" si="207"/>
        <v>0</v>
      </c>
      <c r="CC34" s="10">
        <f t="shared" si="207"/>
        <v>0</v>
      </c>
      <c r="CD34" s="10">
        <f t="shared" si="207"/>
        <v>0</v>
      </c>
      <c r="CE34" s="10">
        <f t="shared" si="207"/>
        <v>0</v>
      </c>
      <c r="CF34" s="10">
        <f t="shared" ref="CF34:CO34" si="208">(SUM(CF145:CF147) &gt; 0) * 1</f>
        <v>0</v>
      </c>
      <c r="CG34" s="10">
        <f t="shared" si="208"/>
        <v>0</v>
      </c>
      <c r="CH34" s="10">
        <f t="shared" si="208"/>
        <v>0</v>
      </c>
      <c r="CI34" s="10">
        <f t="shared" si="208"/>
        <v>0</v>
      </c>
      <c r="CJ34" s="10">
        <f t="shared" si="208"/>
        <v>0</v>
      </c>
      <c r="CK34" s="10">
        <f t="shared" si="208"/>
        <v>0</v>
      </c>
      <c r="CL34" s="10">
        <f t="shared" si="208"/>
        <v>0</v>
      </c>
      <c r="CM34" s="10">
        <f t="shared" si="208"/>
        <v>0</v>
      </c>
      <c r="CN34" s="10">
        <f t="shared" si="208"/>
        <v>0</v>
      </c>
      <c r="CO34" s="10">
        <f t="shared" si="208"/>
        <v>0</v>
      </c>
    </row>
    <row r="35" spans="1:93">
      <c r="A35" s="10"/>
      <c r="B35" s="10"/>
      <c r="C35" s="403" t="str">
        <f>Контр_панель!C30</f>
        <v>Объект размещения (отель)</v>
      </c>
      <c r="D35" s="10"/>
      <c r="E35" s="10"/>
      <c r="F35" s="10"/>
      <c r="G35" s="11" t="str">
        <f t="shared" si="195"/>
        <v>0..1</v>
      </c>
      <c r="H35" s="10"/>
      <c r="I35" s="23">
        <f t="shared" si="196"/>
        <v>17</v>
      </c>
      <c r="J35" s="149"/>
      <c r="K35" s="10"/>
      <c r="L35" s="10">
        <f t="shared" ref="L35:R35" si="209">(SUM(L183:L187) &gt; 0) * $I$95</f>
        <v>1</v>
      </c>
      <c r="M35" s="10">
        <f t="shared" si="209"/>
        <v>1</v>
      </c>
      <c r="N35" s="10">
        <f t="shared" si="209"/>
        <v>1</v>
      </c>
      <c r="O35" s="10">
        <f t="shared" si="209"/>
        <v>1</v>
      </c>
      <c r="P35" s="10">
        <f t="shared" si="209"/>
        <v>1</v>
      </c>
      <c r="Q35" s="10">
        <f t="shared" si="209"/>
        <v>1</v>
      </c>
      <c r="R35" s="10">
        <f t="shared" si="209"/>
        <v>1</v>
      </c>
      <c r="S35" s="10">
        <f t="shared" ref="S35" si="210">(SUM(S183:S187) &gt; 0) * $I$95</f>
        <v>1</v>
      </c>
      <c r="T35" s="10">
        <f t="shared" ref="T35:CE35" si="211">(SUM(T183:T187) &gt; 0) * $I$95</f>
        <v>1</v>
      </c>
      <c r="U35" s="10">
        <f t="shared" si="211"/>
        <v>1</v>
      </c>
      <c r="V35" s="10">
        <f t="shared" si="211"/>
        <v>1</v>
      </c>
      <c r="W35" s="10">
        <f t="shared" si="211"/>
        <v>1</v>
      </c>
      <c r="X35" s="10">
        <f t="shared" si="211"/>
        <v>1</v>
      </c>
      <c r="Y35" s="10">
        <f t="shared" si="211"/>
        <v>1</v>
      </c>
      <c r="Z35" s="10">
        <f t="shared" si="211"/>
        <v>1</v>
      </c>
      <c r="AA35" s="10">
        <f t="shared" si="211"/>
        <v>1</v>
      </c>
      <c r="AB35" s="10">
        <f t="shared" si="211"/>
        <v>1</v>
      </c>
      <c r="AC35" s="10">
        <f t="shared" si="211"/>
        <v>0</v>
      </c>
      <c r="AD35" s="10">
        <f t="shared" si="211"/>
        <v>0</v>
      </c>
      <c r="AE35" s="10">
        <f t="shared" si="211"/>
        <v>0</v>
      </c>
      <c r="AF35" s="10">
        <f t="shared" si="211"/>
        <v>0</v>
      </c>
      <c r="AG35" s="10">
        <f t="shared" si="211"/>
        <v>0</v>
      </c>
      <c r="AH35" s="10">
        <f t="shared" si="211"/>
        <v>0</v>
      </c>
      <c r="AI35" s="10">
        <f t="shared" si="211"/>
        <v>0</v>
      </c>
      <c r="AJ35" s="10">
        <f t="shared" si="211"/>
        <v>0</v>
      </c>
      <c r="AK35" s="10">
        <f t="shared" si="211"/>
        <v>0</v>
      </c>
      <c r="AL35" s="10">
        <f t="shared" si="211"/>
        <v>0</v>
      </c>
      <c r="AM35" s="10">
        <f t="shared" si="211"/>
        <v>0</v>
      </c>
      <c r="AN35" s="10">
        <f t="shared" si="211"/>
        <v>0</v>
      </c>
      <c r="AO35" s="10">
        <f t="shared" si="211"/>
        <v>0</v>
      </c>
      <c r="AP35" s="10">
        <f t="shared" si="211"/>
        <v>0</v>
      </c>
      <c r="AQ35" s="10">
        <f t="shared" si="211"/>
        <v>0</v>
      </c>
      <c r="AR35" s="10">
        <f t="shared" si="211"/>
        <v>0</v>
      </c>
      <c r="AS35" s="10">
        <f t="shared" si="211"/>
        <v>0</v>
      </c>
      <c r="AT35" s="10">
        <f t="shared" si="211"/>
        <v>0</v>
      </c>
      <c r="AU35" s="10">
        <f t="shared" si="211"/>
        <v>0</v>
      </c>
      <c r="AV35" s="10">
        <f t="shared" si="211"/>
        <v>0</v>
      </c>
      <c r="AW35" s="10">
        <f t="shared" si="211"/>
        <v>0</v>
      </c>
      <c r="AX35" s="10">
        <f t="shared" si="211"/>
        <v>0</v>
      </c>
      <c r="AY35" s="10">
        <f t="shared" si="211"/>
        <v>0</v>
      </c>
      <c r="AZ35" s="10">
        <f t="shared" si="211"/>
        <v>0</v>
      </c>
      <c r="BA35" s="10">
        <f t="shared" si="211"/>
        <v>0</v>
      </c>
      <c r="BB35" s="10">
        <f t="shared" si="211"/>
        <v>0</v>
      </c>
      <c r="BC35" s="10">
        <f t="shared" si="211"/>
        <v>0</v>
      </c>
      <c r="BD35" s="10">
        <f t="shared" si="211"/>
        <v>0</v>
      </c>
      <c r="BE35" s="10">
        <f t="shared" si="211"/>
        <v>0</v>
      </c>
      <c r="BF35" s="10">
        <f t="shared" si="211"/>
        <v>0</v>
      </c>
      <c r="BG35" s="10">
        <f t="shared" si="211"/>
        <v>0</v>
      </c>
      <c r="BH35" s="10">
        <f t="shared" si="211"/>
        <v>0</v>
      </c>
      <c r="BI35" s="10">
        <f t="shared" si="211"/>
        <v>0</v>
      </c>
      <c r="BJ35" s="10">
        <f t="shared" si="211"/>
        <v>0</v>
      </c>
      <c r="BK35" s="10">
        <f t="shared" si="211"/>
        <v>0</v>
      </c>
      <c r="BL35" s="10">
        <f t="shared" si="211"/>
        <v>0</v>
      </c>
      <c r="BM35" s="10">
        <f t="shared" si="211"/>
        <v>0</v>
      </c>
      <c r="BN35" s="10">
        <f t="shared" si="211"/>
        <v>0</v>
      </c>
      <c r="BO35" s="10">
        <f t="shared" si="211"/>
        <v>0</v>
      </c>
      <c r="BP35" s="10">
        <f t="shared" si="211"/>
        <v>0</v>
      </c>
      <c r="BQ35" s="10">
        <f t="shared" si="211"/>
        <v>0</v>
      </c>
      <c r="BR35" s="10">
        <f t="shared" si="211"/>
        <v>0</v>
      </c>
      <c r="BS35" s="10">
        <f t="shared" si="211"/>
        <v>0</v>
      </c>
      <c r="BT35" s="10">
        <f t="shared" si="211"/>
        <v>0</v>
      </c>
      <c r="BU35" s="10">
        <f t="shared" si="211"/>
        <v>0</v>
      </c>
      <c r="BV35" s="10">
        <f t="shared" si="211"/>
        <v>0</v>
      </c>
      <c r="BW35" s="10">
        <f t="shared" si="211"/>
        <v>0</v>
      </c>
      <c r="BX35" s="10">
        <f t="shared" si="211"/>
        <v>0</v>
      </c>
      <c r="BY35" s="10">
        <f t="shared" si="211"/>
        <v>0</v>
      </c>
      <c r="BZ35" s="10">
        <f t="shared" si="211"/>
        <v>0</v>
      </c>
      <c r="CA35" s="10">
        <f t="shared" si="211"/>
        <v>0</v>
      </c>
      <c r="CB35" s="10">
        <f t="shared" si="211"/>
        <v>0</v>
      </c>
      <c r="CC35" s="10">
        <f t="shared" si="211"/>
        <v>0</v>
      </c>
      <c r="CD35" s="10">
        <f t="shared" si="211"/>
        <v>0</v>
      </c>
      <c r="CE35" s="10">
        <f t="shared" si="211"/>
        <v>0</v>
      </c>
      <c r="CF35" s="10">
        <f t="shared" ref="CF35:CO35" si="212">(SUM(CF183:CF187) &gt; 0) * $I$95</f>
        <v>0</v>
      </c>
      <c r="CG35" s="10">
        <f t="shared" si="212"/>
        <v>0</v>
      </c>
      <c r="CH35" s="10">
        <f t="shared" si="212"/>
        <v>0</v>
      </c>
      <c r="CI35" s="10">
        <f t="shared" si="212"/>
        <v>0</v>
      </c>
      <c r="CJ35" s="10">
        <f t="shared" si="212"/>
        <v>0</v>
      </c>
      <c r="CK35" s="10">
        <f t="shared" si="212"/>
        <v>0</v>
      </c>
      <c r="CL35" s="10">
        <f t="shared" si="212"/>
        <v>0</v>
      </c>
      <c r="CM35" s="10">
        <f t="shared" si="212"/>
        <v>0</v>
      </c>
      <c r="CN35" s="10">
        <f t="shared" si="212"/>
        <v>0</v>
      </c>
      <c r="CO35" s="10">
        <f t="shared" si="212"/>
        <v>0</v>
      </c>
    </row>
    <row r="36" spans="1:93">
      <c r="A36" s="10"/>
      <c r="B36" s="10"/>
      <c r="C36" s="402" t="str">
        <f>Контр_панель!C31</f>
        <v>Развлекательный комплекс</v>
      </c>
      <c r="D36" s="10"/>
      <c r="E36" s="10"/>
      <c r="F36" s="10"/>
      <c r="G36" s="11" t="str">
        <f t="shared" si="195"/>
        <v>0..1</v>
      </c>
      <c r="H36" s="10"/>
      <c r="I36" s="23">
        <f t="shared" si="196"/>
        <v>14</v>
      </c>
      <c r="J36" s="149"/>
      <c r="K36" s="10"/>
      <c r="L36" s="10">
        <f t="shared" ref="L36:R36" si="213">(SUM(L218:L220) &gt; 0) * $I$96</f>
        <v>0</v>
      </c>
      <c r="M36" s="10">
        <f t="shared" si="213"/>
        <v>0</v>
      </c>
      <c r="N36" s="10">
        <f t="shared" si="213"/>
        <v>1</v>
      </c>
      <c r="O36" s="10">
        <f t="shared" si="213"/>
        <v>1</v>
      </c>
      <c r="P36" s="10">
        <f t="shared" si="213"/>
        <v>1</v>
      </c>
      <c r="Q36" s="10">
        <f t="shared" si="213"/>
        <v>1</v>
      </c>
      <c r="R36" s="10">
        <f t="shared" si="213"/>
        <v>1</v>
      </c>
      <c r="S36" s="10">
        <f t="shared" ref="S36" si="214">(SUM(S218:S220) &gt; 0) * $I$96</f>
        <v>1</v>
      </c>
      <c r="T36" s="10">
        <f t="shared" ref="T36:CE36" si="215">(SUM(T218:T220) &gt; 0) * $I$96</f>
        <v>1</v>
      </c>
      <c r="U36" s="10">
        <f t="shared" si="215"/>
        <v>1</v>
      </c>
      <c r="V36" s="10">
        <f t="shared" si="215"/>
        <v>1</v>
      </c>
      <c r="W36" s="10">
        <f t="shared" si="215"/>
        <v>1</v>
      </c>
      <c r="X36" s="10">
        <f t="shared" si="215"/>
        <v>1</v>
      </c>
      <c r="Y36" s="10">
        <f t="shared" si="215"/>
        <v>1</v>
      </c>
      <c r="Z36" s="10">
        <f t="shared" si="215"/>
        <v>1</v>
      </c>
      <c r="AA36" s="10">
        <f t="shared" si="215"/>
        <v>1</v>
      </c>
      <c r="AB36" s="10">
        <f t="shared" si="215"/>
        <v>0</v>
      </c>
      <c r="AC36" s="10">
        <f t="shared" si="215"/>
        <v>0</v>
      </c>
      <c r="AD36" s="10">
        <f t="shared" si="215"/>
        <v>0</v>
      </c>
      <c r="AE36" s="10">
        <f t="shared" si="215"/>
        <v>0</v>
      </c>
      <c r="AF36" s="10">
        <f t="shared" si="215"/>
        <v>0</v>
      </c>
      <c r="AG36" s="10">
        <f t="shared" si="215"/>
        <v>0</v>
      </c>
      <c r="AH36" s="10">
        <f t="shared" si="215"/>
        <v>0</v>
      </c>
      <c r="AI36" s="10">
        <f t="shared" si="215"/>
        <v>0</v>
      </c>
      <c r="AJ36" s="10">
        <f t="shared" si="215"/>
        <v>0</v>
      </c>
      <c r="AK36" s="10">
        <f t="shared" si="215"/>
        <v>0</v>
      </c>
      <c r="AL36" s="10">
        <f t="shared" si="215"/>
        <v>0</v>
      </c>
      <c r="AM36" s="10">
        <f t="shared" si="215"/>
        <v>0</v>
      </c>
      <c r="AN36" s="10">
        <f t="shared" si="215"/>
        <v>0</v>
      </c>
      <c r="AO36" s="10">
        <f t="shared" si="215"/>
        <v>0</v>
      </c>
      <c r="AP36" s="10">
        <f t="shared" si="215"/>
        <v>0</v>
      </c>
      <c r="AQ36" s="10">
        <f t="shared" si="215"/>
        <v>0</v>
      </c>
      <c r="AR36" s="10">
        <f t="shared" si="215"/>
        <v>0</v>
      </c>
      <c r="AS36" s="10">
        <f t="shared" si="215"/>
        <v>0</v>
      </c>
      <c r="AT36" s="10">
        <f t="shared" si="215"/>
        <v>0</v>
      </c>
      <c r="AU36" s="10">
        <f t="shared" si="215"/>
        <v>0</v>
      </c>
      <c r="AV36" s="10">
        <f t="shared" si="215"/>
        <v>0</v>
      </c>
      <c r="AW36" s="10">
        <f t="shared" si="215"/>
        <v>0</v>
      </c>
      <c r="AX36" s="10">
        <f t="shared" si="215"/>
        <v>0</v>
      </c>
      <c r="AY36" s="10">
        <f t="shared" si="215"/>
        <v>0</v>
      </c>
      <c r="AZ36" s="10">
        <f t="shared" si="215"/>
        <v>0</v>
      </c>
      <c r="BA36" s="10">
        <f t="shared" si="215"/>
        <v>0</v>
      </c>
      <c r="BB36" s="10">
        <f t="shared" si="215"/>
        <v>0</v>
      </c>
      <c r="BC36" s="10">
        <f t="shared" si="215"/>
        <v>0</v>
      </c>
      <c r="BD36" s="10">
        <f t="shared" si="215"/>
        <v>0</v>
      </c>
      <c r="BE36" s="10">
        <f t="shared" si="215"/>
        <v>0</v>
      </c>
      <c r="BF36" s="10">
        <f t="shared" si="215"/>
        <v>0</v>
      </c>
      <c r="BG36" s="10">
        <f t="shared" si="215"/>
        <v>0</v>
      </c>
      <c r="BH36" s="10">
        <f t="shared" si="215"/>
        <v>0</v>
      </c>
      <c r="BI36" s="10">
        <f t="shared" si="215"/>
        <v>0</v>
      </c>
      <c r="BJ36" s="10">
        <f t="shared" si="215"/>
        <v>0</v>
      </c>
      <c r="BK36" s="10">
        <f t="shared" si="215"/>
        <v>0</v>
      </c>
      <c r="BL36" s="10">
        <f t="shared" si="215"/>
        <v>0</v>
      </c>
      <c r="BM36" s="10">
        <f t="shared" si="215"/>
        <v>0</v>
      </c>
      <c r="BN36" s="10">
        <f t="shared" si="215"/>
        <v>0</v>
      </c>
      <c r="BO36" s="10">
        <f t="shared" si="215"/>
        <v>0</v>
      </c>
      <c r="BP36" s="10">
        <f t="shared" si="215"/>
        <v>0</v>
      </c>
      <c r="BQ36" s="10">
        <f t="shared" si="215"/>
        <v>0</v>
      </c>
      <c r="BR36" s="10">
        <f t="shared" si="215"/>
        <v>0</v>
      </c>
      <c r="BS36" s="10">
        <f t="shared" si="215"/>
        <v>0</v>
      </c>
      <c r="BT36" s="10">
        <f t="shared" si="215"/>
        <v>0</v>
      </c>
      <c r="BU36" s="10">
        <f t="shared" si="215"/>
        <v>0</v>
      </c>
      <c r="BV36" s="10">
        <f t="shared" si="215"/>
        <v>0</v>
      </c>
      <c r="BW36" s="10">
        <f t="shared" si="215"/>
        <v>0</v>
      </c>
      <c r="BX36" s="10">
        <f t="shared" si="215"/>
        <v>0</v>
      </c>
      <c r="BY36" s="10">
        <f t="shared" si="215"/>
        <v>0</v>
      </c>
      <c r="BZ36" s="10">
        <f t="shared" si="215"/>
        <v>0</v>
      </c>
      <c r="CA36" s="10">
        <f t="shared" si="215"/>
        <v>0</v>
      </c>
      <c r="CB36" s="10">
        <f t="shared" si="215"/>
        <v>0</v>
      </c>
      <c r="CC36" s="10">
        <f t="shared" si="215"/>
        <v>0</v>
      </c>
      <c r="CD36" s="10">
        <f t="shared" si="215"/>
        <v>0</v>
      </c>
      <c r="CE36" s="10">
        <f t="shared" si="215"/>
        <v>0</v>
      </c>
      <c r="CF36" s="10">
        <f t="shared" ref="CF36:CO36" si="216">(SUM(CF218:CF220) &gt; 0) * $I$96</f>
        <v>0</v>
      </c>
      <c r="CG36" s="10">
        <f t="shared" si="216"/>
        <v>0</v>
      </c>
      <c r="CH36" s="10">
        <f t="shared" si="216"/>
        <v>0</v>
      </c>
      <c r="CI36" s="10">
        <f t="shared" si="216"/>
        <v>0</v>
      </c>
      <c r="CJ36" s="10">
        <f t="shared" si="216"/>
        <v>0</v>
      </c>
      <c r="CK36" s="10">
        <f t="shared" si="216"/>
        <v>0</v>
      </c>
      <c r="CL36" s="10">
        <f t="shared" si="216"/>
        <v>0</v>
      </c>
      <c r="CM36" s="10">
        <f t="shared" si="216"/>
        <v>0</v>
      </c>
      <c r="CN36" s="10">
        <f t="shared" si="216"/>
        <v>0</v>
      </c>
      <c r="CO36" s="10">
        <f t="shared" si="216"/>
        <v>0</v>
      </c>
    </row>
    <row r="37" spans="1:93">
      <c r="A37" s="10"/>
      <c r="B37" s="10"/>
      <c r="C37" s="404" t="str">
        <f>Контр_панель!C32</f>
        <v>Крытый парк развлечений</v>
      </c>
      <c r="D37" s="10"/>
      <c r="E37" s="10"/>
      <c r="F37" s="10"/>
      <c r="G37" s="11" t="str">
        <f t="shared" si="195"/>
        <v>0..0</v>
      </c>
      <c r="H37" s="10"/>
      <c r="I37" s="23">
        <f t="shared" si="196"/>
        <v>0</v>
      </c>
      <c r="J37" s="149"/>
      <c r="K37" s="10"/>
      <c r="L37" s="10">
        <f t="shared" ref="L37:R37" si="217">(SUM(L241:L243) &gt; 0) * $I$97</f>
        <v>0</v>
      </c>
      <c r="M37" s="10">
        <f t="shared" si="217"/>
        <v>0</v>
      </c>
      <c r="N37" s="10">
        <f t="shared" si="217"/>
        <v>0</v>
      </c>
      <c r="O37" s="10">
        <f t="shared" si="217"/>
        <v>0</v>
      </c>
      <c r="P37" s="10">
        <f t="shared" si="217"/>
        <v>0</v>
      </c>
      <c r="Q37" s="10">
        <f t="shared" si="217"/>
        <v>0</v>
      </c>
      <c r="R37" s="10">
        <f t="shared" si="217"/>
        <v>0</v>
      </c>
      <c r="S37" s="10">
        <f t="shared" ref="S37" si="218">(SUM(S241:S243) &gt; 0) * $I$97</f>
        <v>0</v>
      </c>
      <c r="T37" s="10">
        <f t="shared" ref="T37:CE37" si="219">(SUM(T241:T243) &gt; 0) * $I$97</f>
        <v>0</v>
      </c>
      <c r="U37" s="10">
        <f t="shared" si="219"/>
        <v>0</v>
      </c>
      <c r="V37" s="10">
        <f t="shared" si="219"/>
        <v>0</v>
      </c>
      <c r="W37" s="10">
        <f t="shared" si="219"/>
        <v>0</v>
      </c>
      <c r="X37" s="10">
        <f t="shared" si="219"/>
        <v>0</v>
      </c>
      <c r="Y37" s="10">
        <f t="shared" si="219"/>
        <v>0</v>
      </c>
      <c r="Z37" s="10">
        <f t="shared" si="219"/>
        <v>0</v>
      </c>
      <c r="AA37" s="10">
        <f t="shared" si="219"/>
        <v>0</v>
      </c>
      <c r="AB37" s="10">
        <f t="shared" si="219"/>
        <v>0</v>
      </c>
      <c r="AC37" s="10">
        <f t="shared" si="219"/>
        <v>0</v>
      </c>
      <c r="AD37" s="10">
        <f t="shared" si="219"/>
        <v>0</v>
      </c>
      <c r="AE37" s="10">
        <f t="shared" si="219"/>
        <v>0</v>
      </c>
      <c r="AF37" s="10">
        <f t="shared" si="219"/>
        <v>0</v>
      </c>
      <c r="AG37" s="10">
        <f t="shared" si="219"/>
        <v>0</v>
      </c>
      <c r="AH37" s="10">
        <f t="shared" si="219"/>
        <v>0</v>
      </c>
      <c r="AI37" s="10">
        <f t="shared" si="219"/>
        <v>0</v>
      </c>
      <c r="AJ37" s="10">
        <f t="shared" si="219"/>
        <v>0</v>
      </c>
      <c r="AK37" s="10">
        <f t="shared" si="219"/>
        <v>0</v>
      </c>
      <c r="AL37" s="10">
        <f t="shared" si="219"/>
        <v>0</v>
      </c>
      <c r="AM37" s="10">
        <f t="shared" si="219"/>
        <v>0</v>
      </c>
      <c r="AN37" s="10">
        <f t="shared" si="219"/>
        <v>0</v>
      </c>
      <c r="AO37" s="10">
        <f t="shared" si="219"/>
        <v>0</v>
      </c>
      <c r="AP37" s="10">
        <f t="shared" si="219"/>
        <v>0</v>
      </c>
      <c r="AQ37" s="10">
        <f t="shared" si="219"/>
        <v>0</v>
      </c>
      <c r="AR37" s="10">
        <f t="shared" si="219"/>
        <v>0</v>
      </c>
      <c r="AS37" s="10">
        <f t="shared" si="219"/>
        <v>0</v>
      </c>
      <c r="AT37" s="10">
        <f t="shared" si="219"/>
        <v>0</v>
      </c>
      <c r="AU37" s="10">
        <f t="shared" si="219"/>
        <v>0</v>
      </c>
      <c r="AV37" s="10">
        <f t="shared" si="219"/>
        <v>0</v>
      </c>
      <c r="AW37" s="10">
        <f t="shared" si="219"/>
        <v>0</v>
      </c>
      <c r="AX37" s="10">
        <f t="shared" si="219"/>
        <v>0</v>
      </c>
      <c r="AY37" s="10">
        <f t="shared" si="219"/>
        <v>0</v>
      </c>
      <c r="AZ37" s="10">
        <f t="shared" si="219"/>
        <v>0</v>
      </c>
      <c r="BA37" s="10">
        <f t="shared" si="219"/>
        <v>0</v>
      </c>
      <c r="BB37" s="10">
        <f t="shared" si="219"/>
        <v>0</v>
      </c>
      <c r="BC37" s="10">
        <f t="shared" si="219"/>
        <v>0</v>
      </c>
      <c r="BD37" s="10">
        <f t="shared" si="219"/>
        <v>0</v>
      </c>
      <c r="BE37" s="10">
        <f t="shared" si="219"/>
        <v>0</v>
      </c>
      <c r="BF37" s="10">
        <f t="shared" si="219"/>
        <v>0</v>
      </c>
      <c r="BG37" s="10">
        <f t="shared" si="219"/>
        <v>0</v>
      </c>
      <c r="BH37" s="10">
        <f t="shared" si="219"/>
        <v>0</v>
      </c>
      <c r="BI37" s="10">
        <f t="shared" si="219"/>
        <v>0</v>
      </c>
      <c r="BJ37" s="10">
        <f t="shared" si="219"/>
        <v>0</v>
      </c>
      <c r="BK37" s="10">
        <f t="shared" si="219"/>
        <v>0</v>
      </c>
      <c r="BL37" s="10">
        <f t="shared" si="219"/>
        <v>0</v>
      </c>
      <c r="BM37" s="10">
        <f t="shared" si="219"/>
        <v>0</v>
      </c>
      <c r="BN37" s="10">
        <f t="shared" si="219"/>
        <v>0</v>
      </c>
      <c r="BO37" s="10">
        <f t="shared" si="219"/>
        <v>0</v>
      </c>
      <c r="BP37" s="10">
        <f t="shared" si="219"/>
        <v>0</v>
      </c>
      <c r="BQ37" s="10">
        <f t="shared" si="219"/>
        <v>0</v>
      </c>
      <c r="BR37" s="10">
        <f t="shared" si="219"/>
        <v>0</v>
      </c>
      <c r="BS37" s="10">
        <f t="shared" si="219"/>
        <v>0</v>
      </c>
      <c r="BT37" s="10">
        <f t="shared" si="219"/>
        <v>0</v>
      </c>
      <c r="BU37" s="10">
        <f t="shared" si="219"/>
        <v>0</v>
      </c>
      <c r="BV37" s="10">
        <f t="shared" si="219"/>
        <v>0</v>
      </c>
      <c r="BW37" s="10">
        <f t="shared" si="219"/>
        <v>0</v>
      </c>
      <c r="BX37" s="10">
        <f t="shared" si="219"/>
        <v>0</v>
      </c>
      <c r="BY37" s="10">
        <f t="shared" si="219"/>
        <v>0</v>
      </c>
      <c r="BZ37" s="10">
        <f t="shared" si="219"/>
        <v>0</v>
      </c>
      <c r="CA37" s="10">
        <f t="shared" si="219"/>
        <v>0</v>
      </c>
      <c r="CB37" s="10">
        <f t="shared" si="219"/>
        <v>0</v>
      </c>
      <c r="CC37" s="10">
        <f t="shared" si="219"/>
        <v>0</v>
      </c>
      <c r="CD37" s="10">
        <f t="shared" si="219"/>
        <v>0</v>
      </c>
      <c r="CE37" s="10">
        <f t="shared" si="219"/>
        <v>0</v>
      </c>
      <c r="CF37" s="10">
        <f t="shared" ref="CF37:CO37" si="220">(SUM(CF241:CF243) &gt; 0) * $I$97</f>
        <v>0</v>
      </c>
      <c r="CG37" s="10">
        <f t="shared" si="220"/>
        <v>0</v>
      </c>
      <c r="CH37" s="10">
        <f t="shared" si="220"/>
        <v>0</v>
      </c>
      <c r="CI37" s="10">
        <f t="shared" si="220"/>
        <v>0</v>
      </c>
      <c r="CJ37" s="10">
        <f t="shared" si="220"/>
        <v>0</v>
      </c>
      <c r="CK37" s="10">
        <f t="shared" si="220"/>
        <v>0</v>
      </c>
      <c r="CL37" s="10">
        <f t="shared" si="220"/>
        <v>0</v>
      </c>
      <c r="CM37" s="10">
        <f t="shared" si="220"/>
        <v>0</v>
      </c>
      <c r="CN37" s="10">
        <f t="shared" si="220"/>
        <v>0</v>
      </c>
      <c r="CO37" s="10">
        <f t="shared" si="220"/>
        <v>0</v>
      </c>
    </row>
    <row r="38" spans="1:93">
      <c r="A38" s="10"/>
      <c r="B38" s="10"/>
      <c r="C38" s="17"/>
      <c r="D38" s="10"/>
      <c r="E38" s="10"/>
      <c r="F38" s="10"/>
      <c r="G38" s="11"/>
      <c r="H38" s="10"/>
      <c r="I38" s="10"/>
      <c r="J38" s="149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</row>
    <row r="39" spans="1:93">
      <c r="A39" s="10"/>
      <c r="B39" s="10"/>
      <c r="C39" s="17" t="str">
        <f>"Сегмент 0 - первый период эксплуатации - " &amp; C32</f>
        <v>Сегмент 0 - первый период эксплуатации - Транспортная инфраструктура</v>
      </c>
      <c r="D39" s="10"/>
      <c r="E39" s="10"/>
      <c r="F39" s="10"/>
      <c r="G39" s="11" t="str">
        <f t="shared" ref="G39:G44" si="221">MIN(L39:CO39) &amp; ".." &amp; MAX(L39:CO39)</f>
        <v>0..1</v>
      </c>
      <c r="H39" s="10"/>
      <c r="I39" s="23">
        <f t="shared" ref="I39:I44" si="222">SUM(L39:CO39)</f>
        <v>1</v>
      </c>
      <c r="J39" s="149"/>
      <c r="K39" s="10"/>
      <c r="L39" s="10">
        <f t="shared" ref="L39:L44" si="223" xml:space="preserve"> (K32 &gt; 0) * (L32 = 0)</f>
        <v>0</v>
      </c>
      <c r="M39" s="10">
        <f t="shared" ref="M39:M44" si="224" xml:space="preserve"> (L32 &gt; 0) * (M32 = 0)</f>
        <v>0</v>
      </c>
      <c r="N39" s="10">
        <f t="shared" ref="N39:N44" si="225" xml:space="preserve"> (M32 &gt; 0) * (N32 = 0)</f>
        <v>0</v>
      </c>
      <c r="O39" s="10">
        <f t="shared" ref="O39:O44" si="226" xml:space="preserve"> (N32 &gt; 0) * (O32 = 0)</f>
        <v>0</v>
      </c>
      <c r="P39" s="10">
        <f t="shared" ref="P39:P44" si="227" xml:space="preserve"> (O32 &gt; 0) * (P32 = 0)</f>
        <v>0</v>
      </c>
      <c r="Q39" s="10">
        <f t="shared" ref="Q39:Q44" si="228" xml:space="preserve"> (P32 &gt; 0) * (Q32 = 0)</f>
        <v>0</v>
      </c>
      <c r="R39" s="10">
        <f t="shared" ref="R39:R44" si="229" xml:space="preserve"> (Q32 &gt; 0) * (R32 = 0)</f>
        <v>0</v>
      </c>
      <c r="S39" s="10">
        <f t="shared" ref="S39:S44" si="230" xml:space="preserve"> (R32 &gt; 0) * (S32 = 0)</f>
        <v>0</v>
      </c>
      <c r="T39" s="10">
        <f t="shared" ref="T39:T44" si="231" xml:space="preserve"> (S32 &gt; 0) * (T32 = 0)</f>
        <v>0</v>
      </c>
      <c r="U39" s="10">
        <f t="shared" ref="U39:U44" si="232" xml:space="preserve"> (T32 &gt; 0) * (U32 = 0)</f>
        <v>0</v>
      </c>
      <c r="V39" s="10">
        <f t="shared" ref="V39:V44" si="233" xml:space="preserve"> (U32 &gt; 0) * (V32 = 0)</f>
        <v>0</v>
      </c>
      <c r="W39" s="10">
        <f t="shared" ref="W39:W44" si="234" xml:space="preserve"> (V32 &gt; 0) * (W32 = 0)</f>
        <v>0</v>
      </c>
      <c r="X39" s="10">
        <f t="shared" ref="X39:X44" si="235" xml:space="preserve"> (W32 &gt; 0) * (X32 = 0)</f>
        <v>0</v>
      </c>
      <c r="Y39" s="10">
        <f t="shared" ref="Y39:Y44" si="236" xml:space="preserve"> (X32 &gt; 0) * (Y32 = 0)</f>
        <v>0</v>
      </c>
      <c r="Z39" s="10">
        <f t="shared" ref="Z39:Z44" si="237" xml:space="preserve"> (Y32 &gt; 0) * (Z32 = 0)</f>
        <v>0</v>
      </c>
      <c r="AA39" s="10">
        <f t="shared" ref="AA39:AA44" si="238" xml:space="preserve"> (Z32 &gt; 0) * (AA32 = 0)</f>
        <v>0</v>
      </c>
      <c r="AB39" s="10">
        <f t="shared" ref="AB39:AB44" si="239" xml:space="preserve"> (AA32 &gt; 0) * (AB32 = 0)</f>
        <v>0</v>
      </c>
      <c r="AC39" s="10">
        <f t="shared" ref="AC39:AC44" si="240" xml:space="preserve"> (AB32 &gt; 0) * (AC32 = 0)</f>
        <v>1</v>
      </c>
      <c r="AD39" s="10">
        <f t="shared" ref="AD39:AD44" si="241" xml:space="preserve"> (AC32 &gt; 0) * (AD32 = 0)</f>
        <v>0</v>
      </c>
      <c r="AE39" s="10">
        <f t="shared" ref="AE39:AE44" si="242" xml:space="preserve"> (AD32 &gt; 0) * (AE32 = 0)</f>
        <v>0</v>
      </c>
      <c r="AF39" s="10">
        <f t="shared" ref="AF39:AF44" si="243" xml:space="preserve"> (AE32 &gt; 0) * (AF32 = 0)</f>
        <v>0</v>
      </c>
      <c r="AG39" s="10">
        <f t="shared" ref="AG39:AG44" si="244" xml:space="preserve"> (AF32 &gt; 0) * (AG32 = 0)</f>
        <v>0</v>
      </c>
      <c r="AH39" s="10">
        <f t="shared" ref="AH39:AH44" si="245" xml:space="preserve"> (AG32 &gt; 0) * (AH32 = 0)</f>
        <v>0</v>
      </c>
      <c r="AI39" s="10">
        <f t="shared" ref="AI39:AI44" si="246" xml:space="preserve"> (AH32 &gt; 0) * (AI32 = 0)</f>
        <v>0</v>
      </c>
      <c r="AJ39" s="10">
        <f t="shared" ref="AJ39:AJ44" si="247" xml:space="preserve"> (AI32 &gt; 0) * (AJ32 = 0)</f>
        <v>0</v>
      </c>
      <c r="AK39" s="10">
        <f t="shared" ref="AK39:AK44" si="248" xml:space="preserve"> (AJ32 &gt; 0) * (AK32 = 0)</f>
        <v>0</v>
      </c>
      <c r="AL39" s="10">
        <f t="shared" ref="AL39:AL44" si="249" xml:space="preserve"> (AK32 &gt; 0) * (AL32 = 0)</f>
        <v>0</v>
      </c>
      <c r="AM39" s="10">
        <f t="shared" ref="AM39:AM44" si="250" xml:space="preserve"> (AL32 &gt; 0) * (AM32 = 0)</f>
        <v>0</v>
      </c>
      <c r="AN39" s="10">
        <f t="shared" ref="AN39:AN44" si="251" xml:space="preserve"> (AM32 &gt; 0) * (AN32 = 0)</f>
        <v>0</v>
      </c>
      <c r="AO39" s="10">
        <f t="shared" ref="AO39:AO44" si="252" xml:space="preserve"> (AN32 &gt; 0) * (AO32 = 0)</f>
        <v>0</v>
      </c>
      <c r="AP39" s="10">
        <f t="shared" ref="AP39:AP44" si="253" xml:space="preserve"> (AO32 &gt; 0) * (AP32 = 0)</f>
        <v>0</v>
      </c>
      <c r="AQ39" s="10">
        <f t="shared" ref="AQ39:AQ44" si="254" xml:space="preserve"> (AP32 &gt; 0) * (AQ32 = 0)</f>
        <v>0</v>
      </c>
      <c r="AR39" s="10">
        <f t="shared" ref="AR39:AR44" si="255" xml:space="preserve"> (AQ32 &gt; 0) * (AR32 = 0)</f>
        <v>0</v>
      </c>
      <c r="AS39" s="10">
        <f t="shared" ref="AS39:AS44" si="256" xml:space="preserve"> (AR32 &gt; 0) * (AS32 = 0)</f>
        <v>0</v>
      </c>
      <c r="AT39" s="10">
        <f t="shared" ref="AT39:AT44" si="257" xml:space="preserve"> (AS32 &gt; 0) * (AT32 = 0)</f>
        <v>0</v>
      </c>
      <c r="AU39" s="10">
        <f t="shared" ref="AU39:AU44" si="258" xml:space="preserve"> (AT32 &gt; 0) * (AU32 = 0)</f>
        <v>0</v>
      </c>
      <c r="AV39" s="10">
        <f t="shared" ref="AV39:AV44" si="259" xml:space="preserve"> (AU32 &gt; 0) * (AV32 = 0)</f>
        <v>0</v>
      </c>
      <c r="AW39" s="10">
        <f t="shared" ref="AW39:AW44" si="260" xml:space="preserve"> (AV32 &gt; 0) * (AW32 = 0)</f>
        <v>0</v>
      </c>
      <c r="AX39" s="10">
        <f t="shared" ref="AX39:AX44" si="261" xml:space="preserve"> (AW32 &gt; 0) * (AX32 = 0)</f>
        <v>0</v>
      </c>
      <c r="AY39" s="10">
        <f t="shared" ref="AY39:AY44" si="262" xml:space="preserve"> (AX32 &gt; 0) * (AY32 = 0)</f>
        <v>0</v>
      </c>
      <c r="AZ39" s="10">
        <f t="shared" ref="AZ39:AZ44" si="263" xml:space="preserve"> (AY32 &gt; 0) * (AZ32 = 0)</f>
        <v>0</v>
      </c>
      <c r="BA39" s="10">
        <f t="shared" ref="BA39:BA44" si="264" xml:space="preserve"> (AZ32 &gt; 0) * (BA32 = 0)</f>
        <v>0</v>
      </c>
      <c r="BB39" s="10">
        <f t="shared" ref="BB39:BB44" si="265" xml:space="preserve"> (BA32 &gt; 0) * (BB32 = 0)</f>
        <v>0</v>
      </c>
      <c r="BC39" s="10">
        <f t="shared" ref="BC39:BC44" si="266" xml:space="preserve"> (BB32 &gt; 0) * (BC32 = 0)</f>
        <v>0</v>
      </c>
      <c r="BD39" s="10">
        <f t="shared" ref="BD39:BD44" si="267" xml:space="preserve"> (BC32 &gt; 0) * (BD32 = 0)</f>
        <v>0</v>
      </c>
      <c r="BE39" s="10">
        <f t="shared" ref="BE39:BE44" si="268" xml:space="preserve"> (BD32 &gt; 0) * (BE32 = 0)</f>
        <v>0</v>
      </c>
      <c r="BF39" s="10">
        <f t="shared" ref="BF39:BF44" si="269" xml:space="preserve"> (BE32 &gt; 0) * (BF32 = 0)</f>
        <v>0</v>
      </c>
      <c r="BG39" s="10">
        <f t="shared" ref="BG39:BG44" si="270" xml:space="preserve"> (BF32 &gt; 0) * (BG32 = 0)</f>
        <v>0</v>
      </c>
      <c r="BH39" s="10">
        <f t="shared" ref="BH39:BH44" si="271" xml:space="preserve"> (BG32 &gt; 0) * (BH32 = 0)</f>
        <v>0</v>
      </c>
      <c r="BI39" s="10">
        <f t="shared" ref="BI39:BI44" si="272" xml:space="preserve"> (BH32 &gt; 0) * (BI32 = 0)</f>
        <v>0</v>
      </c>
      <c r="BJ39" s="10">
        <f t="shared" ref="BJ39:BJ44" si="273" xml:space="preserve"> (BI32 &gt; 0) * (BJ32 = 0)</f>
        <v>0</v>
      </c>
      <c r="BK39" s="10">
        <f t="shared" ref="BK39:BK44" si="274" xml:space="preserve"> (BJ32 &gt; 0) * (BK32 = 0)</f>
        <v>0</v>
      </c>
      <c r="BL39" s="10">
        <f t="shared" ref="BL39:BL44" si="275" xml:space="preserve"> (BK32 &gt; 0) * (BL32 = 0)</f>
        <v>0</v>
      </c>
      <c r="BM39" s="10">
        <f t="shared" ref="BM39:BM44" si="276" xml:space="preserve"> (BL32 &gt; 0) * (BM32 = 0)</f>
        <v>0</v>
      </c>
      <c r="BN39" s="10">
        <f t="shared" ref="BN39:BN44" si="277" xml:space="preserve"> (BM32 &gt; 0) * (BN32 = 0)</f>
        <v>0</v>
      </c>
      <c r="BO39" s="10">
        <f t="shared" ref="BO39:BO44" si="278" xml:space="preserve"> (BN32 &gt; 0) * (BO32 = 0)</f>
        <v>0</v>
      </c>
      <c r="BP39" s="10">
        <f t="shared" ref="BP39:BP44" si="279" xml:space="preserve"> (BO32 &gt; 0) * (BP32 = 0)</f>
        <v>0</v>
      </c>
      <c r="BQ39" s="10">
        <f t="shared" ref="BQ39:BQ44" si="280" xml:space="preserve"> (BP32 &gt; 0) * (BQ32 = 0)</f>
        <v>0</v>
      </c>
      <c r="BR39" s="10">
        <f t="shared" ref="BR39:BR44" si="281" xml:space="preserve"> (BQ32 &gt; 0) * (BR32 = 0)</f>
        <v>0</v>
      </c>
      <c r="BS39" s="10">
        <f t="shared" ref="BS39:BS44" si="282" xml:space="preserve"> (BR32 &gt; 0) * (BS32 = 0)</f>
        <v>0</v>
      </c>
      <c r="BT39" s="10">
        <f t="shared" ref="BT39:BT44" si="283" xml:space="preserve"> (BS32 &gt; 0) * (BT32 = 0)</f>
        <v>0</v>
      </c>
      <c r="BU39" s="10">
        <f t="shared" ref="BU39:BU44" si="284" xml:space="preserve"> (BT32 &gt; 0) * (BU32 = 0)</f>
        <v>0</v>
      </c>
      <c r="BV39" s="10">
        <f t="shared" ref="BV39:BV44" si="285" xml:space="preserve"> (BU32 &gt; 0) * (BV32 = 0)</f>
        <v>0</v>
      </c>
      <c r="BW39" s="10">
        <f t="shared" ref="BW39:BW44" si="286" xml:space="preserve"> (BV32 &gt; 0) * (BW32 = 0)</f>
        <v>0</v>
      </c>
      <c r="BX39" s="10">
        <f t="shared" ref="BX39:BX44" si="287" xml:space="preserve"> (BW32 &gt; 0) * (BX32 = 0)</f>
        <v>0</v>
      </c>
      <c r="BY39" s="10">
        <f t="shared" ref="BY39:BY44" si="288" xml:space="preserve"> (BX32 &gt; 0) * (BY32 = 0)</f>
        <v>0</v>
      </c>
      <c r="BZ39" s="10">
        <f t="shared" ref="BZ39:BZ44" si="289" xml:space="preserve"> (BY32 &gt; 0) * (BZ32 = 0)</f>
        <v>0</v>
      </c>
      <c r="CA39" s="10">
        <f t="shared" ref="CA39:CA44" si="290" xml:space="preserve"> (BZ32 &gt; 0) * (CA32 = 0)</f>
        <v>0</v>
      </c>
      <c r="CB39" s="10">
        <f t="shared" ref="CB39:CB44" si="291" xml:space="preserve"> (CA32 &gt; 0) * (CB32 = 0)</f>
        <v>0</v>
      </c>
      <c r="CC39" s="10">
        <f t="shared" ref="CC39:CC44" si="292" xml:space="preserve"> (CB32 &gt; 0) * (CC32 = 0)</f>
        <v>0</v>
      </c>
      <c r="CD39" s="10">
        <f t="shared" ref="CD39:CD44" si="293" xml:space="preserve"> (CC32 &gt; 0) * (CD32 = 0)</f>
        <v>0</v>
      </c>
      <c r="CE39" s="10">
        <f t="shared" ref="CE39:CE44" si="294" xml:space="preserve"> (CD32 &gt; 0) * (CE32 = 0)</f>
        <v>0</v>
      </c>
      <c r="CF39" s="10">
        <f t="shared" ref="CF39:CF44" si="295" xml:space="preserve"> (CE32 &gt; 0) * (CF32 = 0)</f>
        <v>0</v>
      </c>
      <c r="CG39" s="10">
        <f t="shared" ref="CG39:CG44" si="296" xml:space="preserve"> (CF32 &gt; 0) * (CG32 = 0)</f>
        <v>0</v>
      </c>
      <c r="CH39" s="10">
        <f t="shared" ref="CH39:CH44" si="297" xml:space="preserve"> (CG32 &gt; 0) * (CH32 = 0)</f>
        <v>0</v>
      </c>
      <c r="CI39" s="10">
        <f t="shared" ref="CI39:CI44" si="298" xml:space="preserve"> (CH32 &gt; 0) * (CI32 = 0)</f>
        <v>0</v>
      </c>
      <c r="CJ39" s="10">
        <f t="shared" ref="CJ39:CJ44" si="299" xml:space="preserve"> (CI32 &gt; 0) * (CJ32 = 0)</f>
        <v>0</v>
      </c>
      <c r="CK39" s="10">
        <f t="shared" ref="CK39:CK44" si="300" xml:space="preserve"> (CJ32 &gt; 0) * (CK32 = 0)</f>
        <v>0</v>
      </c>
      <c r="CL39" s="10">
        <f t="shared" ref="CL39:CL44" si="301" xml:space="preserve"> (CK32 &gt; 0) * (CL32 = 0)</f>
        <v>0</v>
      </c>
      <c r="CM39" s="10">
        <f t="shared" ref="CM39:CM44" si="302" xml:space="preserve"> (CL32 &gt; 0) * (CM32 = 0)</f>
        <v>0</v>
      </c>
      <c r="CN39" s="10">
        <f t="shared" ref="CN39:CN44" si="303" xml:space="preserve"> (CM32 &gt; 0) * (CN32 = 0)</f>
        <v>0</v>
      </c>
      <c r="CO39" s="10">
        <f t="shared" ref="CO39:CO44" si="304" xml:space="preserve"> (CN32 &gt; 0) * (CO32 = 0)</f>
        <v>0</v>
      </c>
    </row>
    <row r="40" spans="1:93">
      <c r="A40" s="10"/>
      <c r="B40" s="10"/>
      <c r="C40" s="17" t="str">
        <f t="shared" ref="C40:C41" si="305">"Сегмент 0 - первый период эксплуатации - " &amp; C33</f>
        <v>Сегмент 0 - первый период эксплуатации - Коммунальная инфраструктура</v>
      </c>
      <c r="D40" s="10"/>
      <c r="E40" s="10"/>
      <c r="F40" s="10"/>
      <c r="G40" s="11" t="str">
        <f t="shared" si="221"/>
        <v>0..0</v>
      </c>
      <c r="H40" s="10"/>
      <c r="I40" s="23">
        <f t="shared" si="222"/>
        <v>0</v>
      </c>
      <c r="J40" s="149"/>
      <c r="K40" s="10"/>
      <c r="L40" s="10">
        <f t="shared" si="223"/>
        <v>0</v>
      </c>
      <c r="M40" s="10">
        <f t="shared" si="224"/>
        <v>0</v>
      </c>
      <c r="N40" s="10">
        <f t="shared" si="225"/>
        <v>0</v>
      </c>
      <c r="O40" s="10">
        <f t="shared" si="226"/>
        <v>0</v>
      </c>
      <c r="P40" s="10">
        <f t="shared" si="227"/>
        <v>0</v>
      </c>
      <c r="Q40" s="10">
        <f t="shared" si="228"/>
        <v>0</v>
      </c>
      <c r="R40" s="10">
        <f t="shared" si="229"/>
        <v>0</v>
      </c>
      <c r="S40" s="10">
        <f t="shared" si="230"/>
        <v>0</v>
      </c>
      <c r="T40" s="10">
        <f t="shared" si="231"/>
        <v>0</v>
      </c>
      <c r="U40" s="10">
        <f t="shared" si="232"/>
        <v>0</v>
      </c>
      <c r="V40" s="10">
        <f t="shared" si="233"/>
        <v>0</v>
      </c>
      <c r="W40" s="10">
        <f t="shared" si="234"/>
        <v>0</v>
      </c>
      <c r="X40" s="10">
        <f t="shared" si="235"/>
        <v>0</v>
      </c>
      <c r="Y40" s="10">
        <f t="shared" si="236"/>
        <v>0</v>
      </c>
      <c r="Z40" s="10">
        <f t="shared" si="237"/>
        <v>0</v>
      </c>
      <c r="AA40" s="10">
        <f t="shared" si="238"/>
        <v>0</v>
      </c>
      <c r="AB40" s="10">
        <f t="shared" si="239"/>
        <v>0</v>
      </c>
      <c r="AC40" s="10">
        <f t="shared" si="240"/>
        <v>0</v>
      </c>
      <c r="AD40" s="10">
        <f t="shared" si="241"/>
        <v>0</v>
      </c>
      <c r="AE40" s="10">
        <f t="shared" si="242"/>
        <v>0</v>
      </c>
      <c r="AF40" s="10">
        <f t="shared" si="243"/>
        <v>0</v>
      </c>
      <c r="AG40" s="10">
        <f t="shared" si="244"/>
        <v>0</v>
      </c>
      <c r="AH40" s="10">
        <f t="shared" si="245"/>
        <v>0</v>
      </c>
      <c r="AI40" s="10">
        <f t="shared" si="246"/>
        <v>0</v>
      </c>
      <c r="AJ40" s="10">
        <f t="shared" si="247"/>
        <v>0</v>
      </c>
      <c r="AK40" s="10">
        <f t="shared" si="248"/>
        <v>0</v>
      </c>
      <c r="AL40" s="10">
        <f t="shared" si="249"/>
        <v>0</v>
      </c>
      <c r="AM40" s="10">
        <f t="shared" si="250"/>
        <v>0</v>
      </c>
      <c r="AN40" s="10">
        <f t="shared" si="251"/>
        <v>0</v>
      </c>
      <c r="AO40" s="10">
        <f t="shared" si="252"/>
        <v>0</v>
      </c>
      <c r="AP40" s="10">
        <f t="shared" si="253"/>
        <v>0</v>
      </c>
      <c r="AQ40" s="10">
        <f t="shared" si="254"/>
        <v>0</v>
      </c>
      <c r="AR40" s="10">
        <f t="shared" si="255"/>
        <v>0</v>
      </c>
      <c r="AS40" s="10">
        <f t="shared" si="256"/>
        <v>0</v>
      </c>
      <c r="AT40" s="10">
        <f t="shared" si="257"/>
        <v>0</v>
      </c>
      <c r="AU40" s="10">
        <f t="shared" si="258"/>
        <v>0</v>
      </c>
      <c r="AV40" s="10">
        <f t="shared" si="259"/>
        <v>0</v>
      </c>
      <c r="AW40" s="10">
        <f t="shared" si="260"/>
        <v>0</v>
      </c>
      <c r="AX40" s="10">
        <f t="shared" si="261"/>
        <v>0</v>
      </c>
      <c r="AY40" s="10">
        <f t="shared" si="262"/>
        <v>0</v>
      </c>
      <c r="AZ40" s="10">
        <f t="shared" si="263"/>
        <v>0</v>
      </c>
      <c r="BA40" s="10">
        <f t="shared" si="264"/>
        <v>0</v>
      </c>
      <c r="BB40" s="10">
        <f t="shared" si="265"/>
        <v>0</v>
      </c>
      <c r="BC40" s="10">
        <f t="shared" si="266"/>
        <v>0</v>
      </c>
      <c r="BD40" s="10">
        <f t="shared" si="267"/>
        <v>0</v>
      </c>
      <c r="BE40" s="10">
        <f t="shared" si="268"/>
        <v>0</v>
      </c>
      <c r="BF40" s="10">
        <f t="shared" si="269"/>
        <v>0</v>
      </c>
      <c r="BG40" s="10">
        <f t="shared" si="270"/>
        <v>0</v>
      </c>
      <c r="BH40" s="10">
        <f t="shared" si="271"/>
        <v>0</v>
      </c>
      <c r="BI40" s="10">
        <f t="shared" si="272"/>
        <v>0</v>
      </c>
      <c r="BJ40" s="10">
        <f t="shared" si="273"/>
        <v>0</v>
      </c>
      <c r="BK40" s="10">
        <f t="shared" si="274"/>
        <v>0</v>
      </c>
      <c r="BL40" s="10">
        <f t="shared" si="275"/>
        <v>0</v>
      </c>
      <c r="BM40" s="10">
        <f t="shared" si="276"/>
        <v>0</v>
      </c>
      <c r="BN40" s="10">
        <f t="shared" si="277"/>
        <v>0</v>
      </c>
      <c r="BO40" s="10">
        <f t="shared" si="278"/>
        <v>0</v>
      </c>
      <c r="BP40" s="10">
        <f t="shared" si="279"/>
        <v>0</v>
      </c>
      <c r="BQ40" s="10">
        <f t="shared" si="280"/>
        <v>0</v>
      </c>
      <c r="BR40" s="10">
        <f t="shared" si="281"/>
        <v>0</v>
      </c>
      <c r="BS40" s="10">
        <f t="shared" si="282"/>
        <v>0</v>
      </c>
      <c r="BT40" s="10">
        <f t="shared" si="283"/>
        <v>0</v>
      </c>
      <c r="BU40" s="10">
        <f t="shared" si="284"/>
        <v>0</v>
      </c>
      <c r="BV40" s="10">
        <f t="shared" si="285"/>
        <v>0</v>
      </c>
      <c r="BW40" s="10">
        <f t="shared" si="286"/>
        <v>0</v>
      </c>
      <c r="BX40" s="10">
        <f t="shared" si="287"/>
        <v>0</v>
      </c>
      <c r="BY40" s="10">
        <f t="shared" si="288"/>
        <v>0</v>
      </c>
      <c r="BZ40" s="10">
        <f t="shared" si="289"/>
        <v>0</v>
      </c>
      <c r="CA40" s="10">
        <f t="shared" si="290"/>
        <v>0</v>
      </c>
      <c r="CB40" s="10">
        <f t="shared" si="291"/>
        <v>0</v>
      </c>
      <c r="CC40" s="10">
        <f t="shared" si="292"/>
        <v>0</v>
      </c>
      <c r="CD40" s="10">
        <f t="shared" si="293"/>
        <v>0</v>
      </c>
      <c r="CE40" s="10">
        <f t="shared" si="294"/>
        <v>0</v>
      </c>
      <c r="CF40" s="10">
        <f t="shared" si="295"/>
        <v>0</v>
      </c>
      <c r="CG40" s="10">
        <f t="shared" si="296"/>
        <v>0</v>
      </c>
      <c r="CH40" s="10">
        <f t="shared" si="297"/>
        <v>0</v>
      </c>
      <c r="CI40" s="10">
        <f t="shared" si="298"/>
        <v>0</v>
      </c>
      <c r="CJ40" s="10">
        <f t="shared" si="299"/>
        <v>0</v>
      </c>
      <c r="CK40" s="10">
        <f t="shared" si="300"/>
        <v>0</v>
      </c>
      <c r="CL40" s="10">
        <f t="shared" si="301"/>
        <v>0</v>
      </c>
      <c r="CM40" s="10">
        <f t="shared" si="302"/>
        <v>0</v>
      </c>
      <c r="CN40" s="10">
        <f t="shared" si="303"/>
        <v>0</v>
      </c>
      <c r="CO40" s="10">
        <f t="shared" si="304"/>
        <v>0</v>
      </c>
    </row>
    <row r="41" spans="1:93">
      <c r="A41" s="10"/>
      <c r="B41" s="10"/>
      <c r="C41" s="17" t="str">
        <f t="shared" si="305"/>
        <v>Сегмент 0 - первый период эксплуатации - Прочая обеспечивающая инфраструктура</v>
      </c>
      <c r="D41" s="10"/>
      <c r="E41" s="10"/>
      <c r="F41" s="10"/>
      <c r="G41" s="11" t="str">
        <f t="shared" si="221"/>
        <v>0..0</v>
      </c>
      <c r="H41" s="10"/>
      <c r="I41" s="23">
        <f t="shared" si="222"/>
        <v>0</v>
      </c>
      <c r="J41" s="149"/>
      <c r="K41" s="10"/>
      <c r="L41" s="10">
        <f t="shared" si="223"/>
        <v>0</v>
      </c>
      <c r="M41" s="10">
        <f t="shared" si="224"/>
        <v>0</v>
      </c>
      <c r="N41" s="10">
        <f t="shared" si="225"/>
        <v>0</v>
      </c>
      <c r="O41" s="10">
        <f t="shared" si="226"/>
        <v>0</v>
      </c>
      <c r="P41" s="10">
        <f t="shared" si="227"/>
        <v>0</v>
      </c>
      <c r="Q41" s="10">
        <f t="shared" si="228"/>
        <v>0</v>
      </c>
      <c r="R41" s="10">
        <f t="shared" si="229"/>
        <v>0</v>
      </c>
      <c r="S41" s="10">
        <f t="shared" si="230"/>
        <v>0</v>
      </c>
      <c r="T41" s="10">
        <f t="shared" si="231"/>
        <v>0</v>
      </c>
      <c r="U41" s="10">
        <f t="shared" si="232"/>
        <v>0</v>
      </c>
      <c r="V41" s="10">
        <f t="shared" si="233"/>
        <v>0</v>
      </c>
      <c r="W41" s="10">
        <f t="shared" si="234"/>
        <v>0</v>
      </c>
      <c r="X41" s="10">
        <f t="shared" si="235"/>
        <v>0</v>
      </c>
      <c r="Y41" s="10">
        <f t="shared" si="236"/>
        <v>0</v>
      </c>
      <c r="Z41" s="10">
        <f t="shared" si="237"/>
        <v>0</v>
      </c>
      <c r="AA41" s="10">
        <f t="shared" si="238"/>
        <v>0</v>
      </c>
      <c r="AB41" s="10">
        <f t="shared" si="239"/>
        <v>0</v>
      </c>
      <c r="AC41" s="10">
        <f t="shared" si="240"/>
        <v>0</v>
      </c>
      <c r="AD41" s="10">
        <f t="shared" si="241"/>
        <v>0</v>
      </c>
      <c r="AE41" s="10">
        <f t="shared" si="242"/>
        <v>0</v>
      </c>
      <c r="AF41" s="10">
        <f t="shared" si="243"/>
        <v>0</v>
      </c>
      <c r="AG41" s="10">
        <f t="shared" si="244"/>
        <v>0</v>
      </c>
      <c r="AH41" s="10">
        <f t="shared" si="245"/>
        <v>0</v>
      </c>
      <c r="AI41" s="10">
        <f t="shared" si="246"/>
        <v>0</v>
      </c>
      <c r="AJ41" s="10">
        <f t="shared" si="247"/>
        <v>0</v>
      </c>
      <c r="AK41" s="10">
        <f t="shared" si="248"/>
        <v>0</v>
      </c>
      <c r="AL41" s="10">
        <f t="shared" si="249"/>
        <v>0</v>
      </c>
      <c r="AM41" s="10">
        <f t="shared" si="250"/>
        <v>0</v>
      </c>
      <c r="AN41" s="10">
        <f t="shared" si="251"/>
        <v>0</v>
      </c>
      <c r="AO41" s="10">
        <f t="shared" si="252"/>
        <v>0</v>
      </c>
      <c r="AP41" s="10">
        <f t="shared" si="253"/>
        <v>0</v>
      </c>
      <c r="AQ41" s="10">
        <f t="shared" si="254"/>
        <v>0</v>
      </c>
      <c r="AR41" s="10">
        <f t="shared" si="255"/>
        <v>0</v>
      </c>
      <c r="AS41" s="10">
        <f t="shared" si="256"/>
        <v>0</v>
      </c>
      <c r="AT41" s="10">
        <f t="shared" si="257"/>
        <v>0</v>
      </c>
      <c r="AU41" s="10">
        <f t="shared" si="258"/>
        <v>0</v>
      </c>
      <c r="AV41" s="10">
        <f t="shared" si="259"/>
        <v>0</v>
      </c>
      <c r="AW41" s="10">
        <f t="shared" si="260"/>
        <v>0</v>
      </c>
      <c r="AX41" s="10">
        <f t="shared" si="261"/>
        <v>0</v>
      </c>
      <c r="AY41" s="10">
        <f t="shared" si="262"/>
        <v>0</v>
      </c>
      <c r="AZ41" s="10">
        <f t="shared" si="263"/>
        <v>0</v>
      </c>
      <c r="BA41" s="10">
        <f t="shared" si="264"/>
        <v>0</v>
      </c>
      <c r="BB41" s="10">
        <f t="shared" si="265"/>
        <v>0</v>
      </c>
      <c r="BC41" s="10">
        <f t="shared" si="266"/>
        <v>0</v>
      </c>
      <c r="BD41" s="10">
        <f t="shared" si="267"/>
        <v>0</v>
      </c>
      <c r="BE41" s="10">
        <f t="shared" si="268"/>
        <v>0</v>
      </c>
      <c r="BF41" s="10">
        <f t="shared" si="269"/>
        <v>0</v>
      </c>
      <c r="BG41" s="10">
        <f t="shared" si="270"/>
        <v>0</v>
      </c>
      <c r="BH41" s="10">
        <f t="shared" si="271"/>
        <v>0</v>
      </c>
      <c r="BI41" s="10">
        <f t="shared" si="272"/>
        <v>0</v>
      </c>
      <c r="BJ41" s="10">
        <f t="shared" si="273"/>
        <v>0</v>
      </c>
      <c r="BK41" s="10">
        <f t="shared" si="274"/>
        <v>0</v>
      </c>
      <c r="BL41" s="10">
        <f t="shared" si="275"/>
        <v>0</v>
      </c>
      <c r="BM41" s="10">
        <f t="shared" si="276"/>
        <v>0</v>
      </c>
      <c r="BN41" s="10">
        <f t="shared" si="277"/>
        <v>0</v>
      </c>
      <c r="BO41" s="10">
        <f t="shared" si="278"/>
        <v>0</v>
      </c>
      <c r="BP41" s="10">
        <f t="shared" si="279"/>
        <v>0</v>
      </c>
      <c r="BQ41" s="10">
        <f t="shared" si="280"/>
        <v>0</v>
      </c>
      <c r="BR41" s="10">
        <f t="shared" si="281"/>
        <v>0</v>
      </c>
      <c r="BS41" s="10">
        <f t="shared" si="282"/>
        <v>0</v>
      </c>
      <c r="BT41" s="10">
        <f t="shared" si="283"/>
        <v>0</v>
      </c>
      <c r="BU41" s="10">
        <f t="shared" si="284"/>
        <v>0</v>
      </c>
      <c r="BV41" s="10">
        <f t="shared" si="285"/>
        <v>0</v>
      </c>
      <c r="BW41" s="10">
        <f t="shared" si="286"/>
        <v>0</v>
      </c>
      <c r="BX41" s="10">
        <f t="shared" si="287"/>
        <v>0</v>
      </c>
      <c r="BY41" s="10">
        <f t="shared" si="288"/>
        <v>0</v>
      </c>
      <c r="BZ41" s="10">
        <f t="shared" si="289"/>
        <v>0</v>
      </c>
      <c r="CA41" s="10">
        <f t="shared" si="290"/>
        <v>0</v>
      </c>
      <c r="CB41" s="10">
        <f t="shared" si="291"/>
        <v>0</v>
      </c>
      <c r="CC41" s="10">
        <f t="shared" si="292"/>
        <v>0</v>
      </c>
      <c r="CD41" s="10">
        <f t="shared" si="293"/>
        <v>0</v>
      </c>
      <c r="CE41" s="10">
        <f t="shared" si="294"/>
        <v>0</v>
      </c>
      <c r="CF41" s="10">
        <f t="shared" si="295"/>
        <v>0</v>
      </c>
      <c r="CG41" s="10">
        <f t="shared" si="296"/>
        <v>0</v>
      </c>
      <c r="CH41" s="10">
        <f t="shared" si="297"/>
        <v>0</v>
      </c>
      <c r="CI41" s="10">
        <f t="shared" si="298"/>
        <v>0</v>
      </c>
      <c r="CJ41" s="10">
        <f t="shared" si="299"/>
        <v>0</v>
      </c>
      <c r="CK41" s="10">
        <f t="shared" si="300"/>
        <v>0</v>
      </c>
      <c r="CL41" s="10">
        <f t="shared" si="301"/>
        <v>0</v>
      </c>
      <c r="CM41" s="10">
        <f t="shared" si="302"/>
        <v>0</v>
      </c>
      <c r="CN41" s="10">
        <f t="shared" si="303"/>
        <v>0</v>
      </c>
      <c r="CO41" s="10">
        <f t="shared" si="304"/>
        <v>0</v>
      </c>
    </row>
    <row r="42" spans="1:93">
      <c r="A42" s="10"/>
      <c r="B42" s="10"/>
      <c r="C42" s="17" t="str">
        <f>"Сегмент 1 - первый период эксплуатации - " &amp; C35</f>
        <v>Сегмент 1 - первый период эксплуатации - Объект размещения (отель)</v>
      </c>
      <c r="D42" s="10"/>
      <c r="E42" s="10"/>
      <c r="F42" s="10"/>
      <c r="G42" s="11" t="str">
        <f t="shared" si="221"/>
        <v>0..1</v>
      </c>
      <c r="H42" s="10"/>
      <c r="I42" s="23">
        <f t="shared" si="222"/>
        <v>1</v>
      </c>
      <c r="J42" s="149"/>
      <c r="K42" s="10"/>
      <c r="L42" s="10">
        <f t="shared" si="223"/>
        <v>0</v>
      </c>
      <c r="M42" s="10">
        <f t="shared" si="224"/>
        <v>0</v>
      </c>
      <c r="N42" s="10">
        <f t="shared" si="225"/>
        <v>0</v>
      </c>
      <c r="O42" s="10">
        <f t="shared" si="226"/>
        <v>0</v>
      </c>
      <c r="P42" s="10">
        <f t="shared" si="227"/>
        <v>0</v>
      </c>
      <c r="Q42" s="10">
        <f t="shared" si="228"/>
        <v>0</v>
      </c>
      <c r="R42" s="10">
        <f t="shared" si="229"/>
        <v>0</v>
      </c>
      <c r="S42" s="10">
        <f t="shared" si="230"/>
        <v>0</v>
      </c>
      <c r="T42" s="10">
        <f t="shared" si="231"/>
        <v>0</v>
      </c>
      <c r="U42" s="10">
        <f t="shared" si="232"/>
        <v>0</v>
      </c>
      <c r="V42" s="10">
        <f t="shared" si="233"/>
        <v>0</v>
      </c>
      <c r="W42" s="10">
        <f t="shared" si="234"/>
        <v>0</v>
      </c>
      <c r="X42" s="10">
        <f t="shared" si="235"/>
        <v>0</v>
      </c>
      <c r="Y42" s="10">
        <f t="shared" si="236"/>
        <v>0</v>
      </c>
      <c r="Z42" s="10">
        <f t="shared" si="237"/>
        <v>0</v>
      </c>
      <c r="AA42" s="10">
        <f t="shared" si="238"/>
        <v>0</v>
      </c>
      <c r="AB42" s="10">
        <f t="shared" si="239"/>
        <v>0</v>
      </c>
      <c r="AC42" s="10">
        <f t="shared" si="240"/>
        <v>1</v>
      </c>
      <c r="AD42" s="10">
        <f t="shared" si="241"/>
        <v>0</v>
      </c>
      <c r="AE42" s="10">
        <f t="shared" si="242"/>
        <v>0</v>
      </c>
      <c r="AF42" s="10">
        <f t="shared" si="243"/>
        <v>0</v>
      </c>
      <c r="AG42" s="10">
        <f t="shared" si="244"/>
        <v>0</v>
      </c>
      <c r="AH42" s="10">
        <f t="shared" si="245"/>
        <v>0</v>
      </c>
      <c r="AI42" s="10">
        <f t="shared" si="246"/>
        <v>0</v>
      </c>
      <c r="AJ42" s="10">
        <f t="shared" si="247"/>
        <v>0</v>
      </c>
      <c r="AK42" s="10">
        <f t="shared" si="248"/>
        <v>0</v>
      </c>
      <c r="AL42" s="10">
        <f t="shared" si="249"/>
        <v>0</v>
      </c>
      <c r="AM42" s="10">
        <f t="shared" si="250"/>
        <v>0</v>
      </c>
      <c r="AN42" s="10">
        <f t="shared" si="251"/>
        <v>0</v>
      </c>
      <c r="AO42" s="10">
        <f t="shared" si="252"/>
        <v>0</v>
      </c>
      <c r="AP42" s="10">
        <f t="shared" si="253"/>
        <v>0</v>
      </c>
      <c r="AQ42" s="10">
        <f t="shared" si="254"/>
        <v>0</v>
      </c>
      <c r="AR42" s="10">
        <f t="shared" si="255"/>
        <v>0</v>
      </c>
      <c r="AS42" s="10">
        <f t="shared" si="256"/>
        <v>0</v>
      </c>
      <c r="AT42" s="10">
        <f t="shared" si="257"/>
        <v>0</v>
      </c>
      <c r="AU42" s="10">
        <f t="shared" si="258"/>
        <v>0</v>
      </c>
      <c r="AV42" s="10">
        <f t="shared" si="259"/>
        <v>0</v>
      </c>
      <c r="AW42" s="10">
        <f t="shared" si="260"/>
        <v>0</v>
      </c>
      <c r="AX42" s="10">
        <f t="shared" si="261"/>
        <v>0</v>
      </c>
      <c r="AY42" s="10">
        <f t="shared" si="262"/>
        <v>0</v>
      </c>
      <c r="AZ42" s="10">
        <f t="shared" si="263"/>
        <v>0</v>
      </c>
      <c r="BA42" s="10">
        <f t="shared" si="264"/>
        <v>0</v>
      </c>
      <c r="BB42" s="10">
        <f t="shared" si="265"/>
        <v>0</v>
      </c>
      <c r="BC42" s="10">
        <f t="shared" si="266"/>
        <v>0</v>
      </c>
      <c r="BD42" s="10">
        <f t="shared" si="267"/>
        <v>0</v>
      </c>
      <c r="BE42" s="10">
        <f t="shared" si="268"/>
        <v>0</v>
      </c>
      <c r="BF42" s="10">
        <f t="shared" si="269"/>
        <v>0</v>
      </c>
      <c r="BG42" s="10">
        <f t="shared" si="270"/>
        <v>0</v>
      </c>
      <c r="BH42" s="10">
        <f t="shared" si="271"/>
        <v>0</v>
      </c>
      <c r="BI42" s="10">
        <f t="shared" si="272"/>
        <v>0</v>
      </c>
      <c r="BJ42" s="10">
        <f t="shared" si="273"/>
        <v>0</v>
      </c>
      <c r="BK42" s="10">
        <f t="shared" si="274"/>
        <v>0</v>
      </c>
      <c r="BL42" s="10">
        <f t="shared" si="275"/>
        <v>0</v>
      </c>
      <c r="BM42" s="10">
        <f t="shared" si="276"/>
        <v>0</v>
      </c>
      <c r="BN42" s="10">
        <f t="shared" si="277"/>
        <v>0</v>
      </c>
      <c r="BO42" s="10">
        <f t="shared" si="278"/>
        <v>0</v>
      </c>
      <c r="BP42" s="10">
        <f t="shared" si="279"/>
        <v>0</v>
      </c>
      <c r="BQ42" s="10">
        <f t="shared" si="280"/>
        <v>0</v>
      </c>
      <c r="BR42" s="10">
        <f t="shared" si="281"/>
        <v>0</v>
      </c>
      <c r="BS42" s="10">
        <f t="shared" si="282"/>
        <v>0</v>
      </c>
      <c r="BT42" s="10">
        <f t="shared" si="283"/>
        <v>0</v>
      </c>
      <c r="BU42" s="10">
        <f t="shared" si="284"/>
        <v>0</v>
      </c>
      <c r="BV42" s="10">
        <f t="shared" si="285"/>
        <v>0</v>
      </c>
      <c r="BW42" s="10">
        <f t="shared" si="286"/>
        <v>0</v>
      </c>
      <c r="BX42" s="10">
        <f t="shared" si="287"/>
        <v>0</v>
      </c>
      <c r="BY42" s="10">
        <f t="shared" si="288"/>
        <v>0</v>
      </c>
      <c r="BZ42" s="10">
        <f t="shared" si="289"/>
        <v>0</v>
      </c>
      <c r="CA42" s="10">
        <f t="shared" si="290"/>
        <v>0</v>
      </c>
      <c r="CB42" s="10">
        <f t="shared" si="291"/>
        <v>0</v>
      </c>
      <c r="CC42" s="10">
        <f t="shared" si="292"/>
        <v>0</v>
      </c>
      <c r="CD42" s="10">
        <f t="shared" si="293"/>
        <v>0</v>
      </c>
      <c r="CE42" s="10">
        <f t="shared" si="294"/>
        <v>0</v>
      </c>
      <c r="CF42" s="10">
        <f t="shared" si="295"/>
        <v>0</v>
      </c>
      <c r="CG42" s="10">
        <f t="shared" si="296"/>
        <v>0</v>
      </c>
      <c r="CH42" s="10">
        <f t="shared" si="297"/>
        <v>0</v>
      </c>
      <c r="CI42" s="10">
        <f t="shared" si="298"/>
        <v>0</v>
      </c>
      <c r="CJ42" s="10">
        <f t="shared" si="299"/>
        <v>0</v>
      </c>
      <c r="CK42" s="10">
        <f t="shared" si="300"/>
        <v>0</v>
      </c>
      <c r="CL42" s="10">
        <f t="shared" si="301"/>
        <v>0</v>
      </c>
      <c r="CM42" s="10">
        <f t="shared" si="302"/>
        <v>0</v>
      </c>
      <c r="CN42" s="10">
        <f t="shared" si="303"/>
        <v>0</v>
      </c>
      <c r="CO42" s="10">
        <f t="shared" si="304"/>
        <v>0</v>
      </c>
    </row>
    <row r="43" spans="1:93">
      <c r="A43" s="10"/>
      <c r="B43" s="10"/>
      <c r="C43" s="17" t="str">
        <f>"Сегмент 2 - первый период эксплуатации - " &amp; C36</f>
        <v>Сегмент 2 - первый период эксплуатации - Развлекательный комплекс</v>
      </c>
      <c r="D43" s="10"/>
      <c r="E43" s="10"/>
      <c r="F43" s="10"/>
      <c r="G43" s="11" t="str">
        <f t="shared" si="221"/>
        <v>0..1</v>
      </c>
      <c r="H43" s="10"/>
      <c r="I43" s="23">
        <f t="shared" si="222"/>
        <v>1</v>
      </c>
      <c r="J43" s="149"/>
      <c r="K43" s="10"/>
      <c r="L43" s="10">
        <f t="shared" si="223"/>
        <v>0</v>
      </c>
      <c r="M43" s="10">
        <f t="shared" si="224"/>
        <v>0</v>
      </c>
      <c r="N43" s="10">
        <f t="shared" si="225"/>
        <v>0</v>
      </c>
      <c r="O43" s="10">
        <f t="shared" si="226"/>
        <v>0</v>
      </c>
      <c r="P43" s="10">
        <f t="shared" si="227"/>
        <v>0</v>
      </c>
      <c r="Q43" s="10">
        <f t="shared" si="228"/>
        <v>0</v>
      </c>
      <c r="R43" s="10">
        <f t="shared" si="229"/>
        <v>0</v>
      </c>
      <c r="S43" s="10">
        <f t="shared" si="230"/>
        <v>0</v>
      </c>
      <c r="T43" s="10">
        <f t="shared" si="231"/>
        <v>0</v>
      </c>
      <c r="U43" s="10">
        <f t="shared" si="232"/>
        <v>0</v>
      </c>
      <c r="V43" s="10">
        <f t="shared" si="233"/>
        <v>0</v>
      </c>
      <c r="W43" s="10">
        <f t="shared" si="234"/>
        <v>0</v>
      </c>
      <c r="X43" s="10">
        <f t="shared" si="235"/>
        <v>0</v>
      </c>
      <c r="Y43" s="10">
        <f t="shared" si="236"/>
        <v>0</v>
      </c>
      <c r="Z43" s="10">
        <f t="shared" si="237"/>
        <v>0</v>
      </c>
      <c r="AA43" s="10">
        <f t="shared" si="238"/>
        <v>0</v>
      </c>
      <c r="AB43" s="10">
        <f t="shared" si="239"/>
        <v>1</v>
      </c>
      <c r="AC43" s="10">
        <f t="shared" si="240"/>
        <v>0</v>
      </c>
      <c r="AD43" s="10">
        <f t="shared" si="241"/>
        <v>0</v>
      </c>
      <c r="AE43" s="10">
        <f t="shared" si="242"/>
        <v>0</v>
      </c>
      <c r="AF43" s="10">
        <f t="shared" si="243"/>
        <v>0</v>
      </c>
      <c r="AG43" s="10">
        <f t="shared" si="244"/>
        <v>0</v>
      </c>
      <c r="AH43" s="10">
        <f t="shared" si="245"/>
        <v>0</v>
      </c>
      <c r="AI43" s="10">
        <f t="shared" si="246"/>
        <v>0</v>
      </c>
      <c r="AJ43" s="10">
        <f t="shared" si="247"/>
        <v>0</v>
      </c>
      <c r="AK43" s="10">
        <f t="shared" si="248"/>
        <v>0</v>
      </c>
      <c r="AL43" s="10">
        <f t="shared" si="249"/>
        <v>0</v>
      </c>
      <c r="AM43" s="10">
        <f t="shared" si="250"/>
        <v>0</v>
      </c>
      <c r="AN43" s="10">
        <f t="shared" si="251"/>
        <v>0</v>
      </c>
      <c r="AO43" s="10">
        <f t="shared" si="252"/>
        <v>0</v>
      </c>
      <c r="AP43" s="10">
        <f t="shared" si="253"/>
        <v>0</v>
      </c>
      <c r="AQ43" s="10">
        <f t="shared" si="254"/>
        <v>0</v>
      </c>
      <c r="AR43" s="10">
        <f t="shared" si="255"/>
        <v>0</v>
      </c>
      <c r="AS43" s="10">
        <f t="shared" si="256"/>
        <v>0</v>
      </c>
      <c r="AT43" s="10">
        <f t="shared" si="257"/>
        <v>0</v>
      </c>
      <c r="AU43" s="10">
        <f t="shared" si="258"/>
        <v>0</v>
      </c>
      <c r="AV43" s="10">
        <f t="shared" si="259"/>
        <v>0</v>
      </c>
      <c r="AW43" s="10">
        <f t="shared" si="260"/>
        <v>0</v>
      </c>
      <c r="AX43" s="10">
        <f t="shared" si="261"/>
        <v>0</v>
      </c>
      <c r="AY43" s="10">
        <f t="shared" si="262"/>
        <v>0</v>
      </c>
      <c r="AZ43" s="10">
        <f t="shared" si="263"/>
        <v>0</v>
      </c>
      <c r="BA43" s="10">
        <f t="shared" si="264"/>
        <v>0</v>
      </c>
      <c r="BB43" s="10">
        <f t="shared" si="265"/>
        <v>0</v>
      </c>
      <c r="BC43" s="10">
        <f t="shared" si="266"/>
        <v>0</v>
      </c>
      <c r="BD43" s="10">
        <f t="shared" si="267"/>
        <v>0</v>
      </c>
      <c r="BE43" s="10">
        <f t="shared" si="268"/>
        <v>0</v>
      </c>
      <c r="BF43" s="10">
        <f t="shared" si="269"/>
        <v>0</v>
      </c>
      <c r="BG43" s="10">
        <f t="shared" si="270"/>
        <v>0</v>
      </c>
      <c r="BH43" s="10">
        <f t="shared" si="271"/>
        <v>0</v>
      </c>
      <c r="BI43" s="10">
        <f t="shared" si="272"/>
        <v>0</v>
      </c>
      <c r="BJ43" s="10">
        <f t="shared" si="273"/>
        <v>0</v>
      </c>
      <c r="BK43" s="10">
        <f t="shared" si="274"/>
        <v>0</v>
      </c>
      <c r="BL43" s="10">
        <f t="shared" si="275"/>
        <v>0</v>
      </c>
      <c r="BM43" s="10">
        <f t="shared" si="276"/>
        <v>0</v>
      </c>
      <c r="BN43" s="10">
        <f t="shared" si="277"/>
        <v>0</v>
      </c>
      <c r="BO43" s="10">
        <f t="shared" si="278"/>
        <v>0</v>
      </c>
      <c r="BP43" s="10">
        <f t="shared" si="279"/>
        <v>0</v>
      </c>
      <c r="BQ43" s="10">
        <f t="shared" si="280"/>
        <v>0</v>
      </c>
      <c r="BR43" s="10">
        <f t="shared" si="281"/>
        <v>0</v>
      </c>
      <c r="BS43" s="10">
        <f t="shared" si="282"/>
        <v>0</v>
      </c>
      <c r="BT43" s="10">
        <f t="shared" si="283"/>
        <v>0</v>
      </c>
      <c r="BU43" s="10">
        <f t="shared" si="284"/>
        <v>0</v>
      </c>
      <c r="BV43" s="10">
        <f t="shared" si="285"/>
        <v>0</v>
      </c>
      <c r="BW43" s="10">
        <f t="shared" si="286"/>
        <v>0</v>
      </c>
      <c r="BX43" s="10">
        <f t="shared" si="287"/>
        <v>0</v>
      </c>
      <c r="BY43" s="10">
        <f t="shared" si="288"/>
        <v>0</v>
      </c>
      <c r="BZ43" s="10">
        <f t="shared" si="289"/>
        <v>0</v>
      </c>
      <c r="CA43" s="10">
        <f t="shared" si="290"/>
        <v>0</v>
      </c>
      <c r="CB43" s="10">
        <f t="shared" si="291"/>
        <v>0</v>
      </c>
      <c r="CC43" s="10">
        <f t="shared" si="292"/>
        <v>0</v>
      </c>
      <c r="CD43" s="10">
        <f t="shared" si="293"/>
        <v>0</v>
      </c>
      <c r="CE43" s="10">
        <f t="shared" si="294"/>
        <v>0</v>
      </c>
      <c r="CF43" s="10">
        <f t="shared" si="295"/>
        <v>0</v>
      </c>
      <c r="CG43" s="10">
        <f t="shared" si="296"/>
        <v>0</v>
      </c>
      <c r="CH43" s="10">
        <f t="shared" si="297"/>
        <v>0</v>
      </c>
      <c r="CI43" s="10">
        <f t="shared" si="298"/>
        <v>0</v>
      </c>
      <c r="CJ43" s="10">
        <f t="shared" si="299"/>
        <v>0</v>
      </c>
      <c r="CK43" s="10">
        <f t="shared" si="300"/>
        <v>0</v>
      </c>
      <c r="CL43" s="10">
        <f t="shared" si="301"/>
        <v>0</v>
      </c>
      <c r="CM43" s="10">
        <f t="shared" si="302"/>
        <v>0</v>
      </c>
      <c r="CN43" s="10">
        <f t="shared" si="303"/>
        <v>0</v>
      </c>
      <c r="CO43" s="10">
        <f t="shared" si="304"/>
        <v>0</v>
      </c>
    </row>
    <row r="44" spans="1:93">
      <c r="A44" s="10"/>
      <c r="B44" s="10"/>
      <c r="C44" s="17" t="str">
        <f>"Сегмент 3 - первый период эксплуатации - " &amp; C37</f>
        <v>Сегмент 3 - первый период эксплуатации - Крытый парк развлечений</v>
      </c>
      <c r="D44" s="10"/>
      <c r="E44" s="10"/>
      <c r="F44" s="10"/>
      <c r="G44" s="11" t="str">
        <f t="shared" si="221"/>
        <v>0..0</v>
      </c>
      <c r="H44" s="10"/>
      <c r="I44" s="23">
        <f t="shared" si="222"/>
        <v>0</v>
      </c>
      <c r="J44" s="149"/>
      <c r="K44" s="10"/>
      <c r="L44" s="10">
        <f t="shared" si="223"/>
        <v>0</v>
      </c>
      <c r="M44" s="10">
        <f t="shared" si="224"/>
        <v>0</v>
      </c>
      <c r="N44" s="10">
        <f t="shared" si="225"/>
        <v>0</v>
      </c>
      <c r="O44" s="10">
        <f t="shared" si="226"/>
        <v>0</v>
      </c>
      <c r="P44" s="10">
        <f t="shared" si="227"/>
        <v>0</v>
      </c>
      <c r="Q44" s="10">
        <f t="shared" si="228"/>
        <v>0</v>
      </c>
      <c r="R44" s="10">
        <f t="shared" si="229"/>
        <v>0</v>
      </c>
      <c r="S44" s="10">
        <f t="shared" si="230"/>
        <v>0</v>
      </c>
      <c r="T44" s="10">
        <f t="shared" si="231"/>
        <v>0</v>
      </c>
      <c r="U44" s="10">
        <f t="shared" si="232"/>
        <v>0</v>
      </c>
      <c r="V44" s="10">
        <f t="shared" si="233"/>
        <v>0</v>
      </c>
      <c r="W44" s="10">
        <f t="shared" si="234"/>
        <v>0</v>
      </c>
      <c r="X44" s="10">
        <f t="shared" si="235"/>
        <v>0</v>
      </c>
      <c r="Y44" s="10">
        <f t="shared" si="236"/>
        <v>0</v>
      </c>
      <c r="Z44" s="10">
        <f t="shared" si="237"/>
        <v>0</v>
      </c>
      <c r="AA44" s="10">
        <f t="shared" si="238"/>
        <v>0</v>
      </c>
      <c r="AB44" s="10">
        <f t="shared" si="239"/>
        <v>0</v>
      </c>
      <c r="AC44" s="10">
        <f t="shared" si="240"/>
        <v>0</v>
      </c>
      <c r="AD44" s="10">
        <f t="shared" si="241"/>
        <v>0</v>
      </c>
      <c r="AE44" s="10">
        <f t="shared" si="242"/>
        <v>0</v>
      </c>
      <c r="AF44" s="10">
        <f t="shared" si="243"/>
        <v>0</v>
      </c>
      <c r="AG44" s="10">
        <f t="shared" si="244"/>
        <v>0</v>
      </c>
      <c r="AH44" s="10">
        <f t="shared" si="245"/>
        <v>0</v>
      </c>
      <c r="AI44" s="10">
        <f t="shared" si="246"/>
        <v>0</v>
      </c>
      <c r="AJ44" s="10">
        <f t="shared" si="247"/>
        <v>0</v>
      </c>
      <c r="AK44" s="10">
        <f t="shared" si="248"/>
        <v>0</v>
      </c>
      <c r="AL44" s="10">
        <f t="shared" si="249"/>
        <v>0</v>
      </c>
      <c r="AM44" s="10">
        <f t="shared" si="250"/>
        <v>0</v>
      </c>
      <c r="AN44" s="10">
        <f t="shared" si="251"/>
        <v>0</v>
      </c>
      <c r="AO44" s="10">
        <f t="shared" si="252"/>
        <v>0</v>
      </c>
      <c r="AP44" s="10">
        <f t="shared" si="253"/>
        <v>0</v>
      </c>
      <c r="AQ44" s="10">
        <f t="shared" si="254"/>
        <v>0</v>
      </c>
      <c r="AR44" s="10">
        <f t="shared" si="255"/>
        <v>0</v>
      </c>
      <c r="AS44" s="10">
        <f t="shared" si="256"/>
        <v>0</v>
      </c>
      <c r="AT44" s="10">
        <f t="shared" si="257"/>
        <v>0</v>
      </c>
      <c r="AU44" s="10">
        <f t="shared" si="258"/>
        <v>0</v>
      </c>
      <c r="AV44" s="10">
        <f t="shared" si="259"/>
        <v>0</v>
      </c>
      <c r="AW44" s="10">
        <f t="shared" si="260"/>
        <v>0</v>
      </c>
      <c r="AX44" s="10">
        <f t="shared" si="261"/>
        <v>0</v>
      </c>
      <c r="AY44" s="10">
        <f t="shared" si="262"/>
        <v>0</v>
      </c>
      <c r="AZ44" s="10">
        <f t="shared" si="263"/>
        <v>0</v>
      </c>
      <c r="BA44" s="10">
        <f t="shared" si="264"/>
        <v>0</v>
      </c>
      <c r="BB44" s="10">
        <f t="shared" si="265"/>
        <v>0</v>
      </c>
      <c r="BC44" s="10">
        <f t="shared" si="266"/>
        <v>0</v>
      </c>
      <c r="BD44" s="10">
        <f t="shared" si="267"/>
        <v>0</v>
      </c>
      <c r="BE44" s="10">
        <f t="shared" si="268"/>
        <v>0</v>
      </c>
      <c r="BF44" s="10">
        <f t="shared" si="269"/>
        <v>0</v>
      </c>
      <c r="BG44" s="10">
        <f t="shared" si="270"/>
        <v>0</v>
      </c>
      <c r="BH44" s="10">
        <f t="shared" si="271"/>
        <v>0</v>
      </c>
      <c r="BI44" s="10">
        <f t="shared" si="272"/>
        <v>0</v>
      </c>
      <c r="BJ44" s="10">
        <f t="shared" si="273"/>
        <v>0</v>
      </c>
      <c r="BK44" s="10">
        <f t="shared" si="274"/>
        <v>0</v>
      </c>
      <c r="BL44" s="10">
        <f t="shared" si="275"/>
        <v>0</v>
      </c>
      <c r="BM44" s="10">
        <f t="shared" si="276"/>
        <v>0</v>
      </c>
      <c r="BN44" s="10">
        <f t="shared" si="277"/>
        <v>0</v>
      </c>
      <c r="BO44" s="10">
        <f t="shared" si="278"/>
        <v>0</v>
      </c>
      <c r="BP44" s="10">
        <f t="shared" si="279"/>
        <v>0</v>
      </c>
      <c r="BQ44" s="10">
        <f t="shared" si="280"/>
        <v>0</v>
      </c>
      <c r="BR44" s="10">
        <f t="shared" si="281"/>
        <v>0</v>
      </c>
      <c r="BS44" s="10">
        <f t="shared" si="282"/>
        <v>0</v>
      </c>
      <c r="BT44" s="10">
        <f t="shared" si="283"/>
        <v>0</v>
      </c>
      <c r="BU44" s="10">
        <f t="shared" si="284"/>
        <v>0</v>
      </c>
      <c r="BV44" s="10">
        <f t="shared" si="285"/>
        <v>0</v>
      </c>
      <c r="BW44" s="10">
        <f t="shared" si="286"/>
        <v>0</v>
      </c>
      <c r="BX44" s="10">
        <f t="shared" si="287"/>
        <v>0</v>
      </c>
      <c r="BY44" s="10">
        <f t="shared" si="288"/>
        <v>0</v>
      </c>
      <c r="BZ44" s="10">
        <f t="shared" si="289"/>
        <v>0</v>
      </c>
      <c r="CA44" s="10">
        <f t="shared" si="290"/>
        <v>0</v>
      </c>
      <c r="CB44" s="10">
        <f t="shared" si="291"/>
        <v>0</v>
      </c>
      <c r="CC44" s="10">
        <f t="shared" si="292"/>
        <v>0</v>
      </c>
      <c r="CD44" s="10">
        <f t="shared" si="293"/>
        <v>0</v>
      </c>
      <c r="CE44" s="10">
        <f t="shared" si="294"/>
        <v>0</v>
      </c>
      <c r="CF44" s="10">
        <f t="shared" si="295"/>
        <v>0</v>
      </c>
      <c r="CG44" s="10">
        <f t="shared" si="296"/>
        <v>0</v>
      </c>
      <c r="CH44" s="10">
        <f t="shared" si="297"/>
        <v>0</v>
      </c>
      <c r="CI44" s="10">
        <f t="shared" si="298"/>
        <v>0</v>
      </c>
      <c r="CJ44" s="10">
        <f t="shared" si="299"/>
        <v>0</v>
      </c>
      <c r="CK44" s="10">
        <f t="shared" si="300"/>
        <v>0</v>
      </c>
      <c r="CL44" s="10">
        <f t="shared" si="301"/>
        <v>0</v>
      </c>
      <c r="CM44" s="10">
        <f t="shared" si="302"/>
        <v>0</v>
      </c>
      <c r="CN44" s="10">
        <f t="shared" si="303"/>
        <v>0</v>
      </c>
      <c r="CO44" s="10">
        <f t="shared" si="304"/>
        <v>0</v>
      </c>
    </row>
    <row r="45" spans="1:93">
      <c r="A45" s="10"/>
      <c r="B45" s="10"/>
      <c r="C45" s="17"/>
      <c r="D45" s="10"/>
      <c r="E45" s="10"/>
      <c r="F45" s="10"/>
      <c r="G45" s="11"/>
      <c r="H45" s="10"/>
      <c r="I45" s="10"/>
      <c r="J45" s="149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</row>
    <row r="46" spans="1:93">
      <c r="A46" s="10"/>
      <c r="B46" s="10"/>
      <c r="C46" s="17" t="str">
        <f>"Сегмент 0 - период эксплуатации - " &amp; C32</f>
        <v>Сегмент 0 - период эксплуатации - Транспортная инфраструктура</v>
      </c>
      <c r="D46" s="10"/>
      <c r="E46" s="10"/>
      <c r="F46" s="10"/>
      <c r="G46" s="11" t="str">
        <f t="shared" ref="G46:G51" si="306">MIN(L46:CO46) &amp; ".." &amp; MAX(L46:CO46)</f>
        <v>0..1</v>
      </c>
      <c r="H46" s="10"/>
      <c r="I46" s="23">
        <f t="shared" ref="I46:I51" si="307">SUM(L46:CO46)</f>
        <v>65</v>
      </c>
      <c r="J46" s="149"/>
      <c r="K46" s="10"/>
      <c r="L46" s="10">
        <f>SUM($K39:L39) * 1 * (Flag_Construction + Flag_Operations &gt; 0)</f>
        <v>0</v>
      </c>
      <c r="M46" s="10">
        <f>SUM($K39:M39) * 1 * (Flag_Construction + Flag_Operations &gt; 0)</f>
        <v>0</v>
      </c>
      <c r="N46" s="10">
        <f>SUM($K39:N39) * 1 * (Flag_Construction + Flag_Operations &gt; 0)</f>
        <v>0</v>
      </c>
      <c r="O46" s="10">
        <f>SUM($K39:O39) * 1 * (Flag_Construction + Flag_Operations &gt; 0)</f>
        <v>0</v>
      </c>
      <c r="P46" s="10">
        <f>SUM($K39:P39) * 1 * (Flag_Construction + Flag_Operations &gt; 0)</f>
        <v>0</v>
      </c>
      <c r="Q46" s="10">
        <f>SUM($K39:Q39) * 1 * (Flag_Construction + Flag_Operations &gt; 0)</f>
        <v>0</v>
      </c>
      <c r="R46" s="10">
        <f>SUM($K39:R39) * 1 * (Flag_Construction + Flag_Operations &gt; 0)</f>
        <v>0</v>
      </c>
      <c r="S46" s="10">
        <f>SUM($K39:S39) * 1 * (Flag_Construction + Flag_Operations &gt; 0)</f>
        <v>0</v>
      </c>
      <c r="T46" s="10">
        <f>SUM($K39:T39) * 1 * (Flag_Construction + Flag_Operations &gt; 0)</f>
        <v>0</v>
      </c>
      <c r="U46" s="10">
        <f>SUM($K39:U39) * 1 * (Flag_Construction + Flag_Operations &gt; 0)</f>
        <v>0</v>
      </c>
      <c r="V46" s="10">
        <f>SUM($K39:V39) * 1 * (Flag_Construction + Flag_Operations &gt; 0)</f>
        <v>0</v>
      </c>
      <c r="W46" s="10">
        <f>SUM($K39:W39) * 1 * (Flag_Construction + Flag_Operations &gt; 0)</f>
        <v>0</v>
      </c>
      <c r="X46" s="10">
        <f>SUM($K39:X39) * 1 * (Flag_Construction + Flag_Operations &gt; 0)</f>
        <v>0</v>
      </c>
      <c r="Y46" s="10">
        <f>SUM($K39:Y39) * 1 * (Flag_Construction + Flag_Operations &gt; 0)</f>
        <v>0</v>
      </c>
      <c r="Z46" s="10">
        <f>SUM($K39:Z39) * 1 * (Flag_Construction + Flag_Operations &gt; 0)</f>
        <v>0</v>
      </c>
      <c r="AA46" s="10">
        <f>SUM($K39:AA39) * 1 * (Flag_Construction + Flag_Operations &gt; 0)</f>
        <v>0</v>
      </c>
      <c r="AB46" s="10">
        <f>SUM($K39:AB39) * 1 * (Flag_Construction + Flag_Operations &gt; 0)</f>
        <v>0</v>
      </c>
      <c r="AC46" s="10">
        <f>SUM($K39:AC39) * 1 * (Flag_Construction + Flag_Operations &gt; 0)</f>
        <v>1</v>
      </c>
      <c r="AD46" s="10">
        <f>SUM($K39:AD39) * 1 * (Flag_Construction + Flag_Operations &gt; 0)</f>
        <v>1</v>
      </c>
      <c r="AE46" s="10">
        <f>SUM($K39:AE39) * 1 * (Flag_Construction + Flag_Operations &gt; 0)</f>
        <v>1</v>
      </c>
      <c r="AF46" s="10">
        <f>SUM($K39:AF39) * 1 * (Flag_Construction + Flag_Operations &gt; 0)</f>
        <v>1</v>
      </c>
      <c r="AG46" s="10">
        <f>SUM($K39:AG39) * 1 * (Flag_Construction + Flag_Operations &gt; 0)</f>
        <v>1</v>
      </c>
      <c r="AH46" s="10">
        <f>SUM($K39:AH39) * 1 * (Flag_Construction + Flag_Operations &gt; 0)</f>
        <v>1</v>
      </c>
      <c r="AI46" s="10">
        <f>SUM($K39:AI39) * 1 * (Flag_Construction + Flag_Operations &gt; 0)</f>
        <v>1</v>
      </c>
      <c r="AJ46" s="10">
        <f>SUM($K39:AJ39) * 1 * (Flag_Construction + Flag_Operations &gt; 0)</f>
        <v>1</v>
      </c>
      <c r="AK46" s="10">
        <f>SUM($K39:AK39) * 1 * (Flag_Construction + Flag_Operations &gt; 0)</f>
        <v>1</v>
      </c>
      <c r="AL46" s="10">
        <f>SUM($K39:AL39) * 1 * (Flag_Construction + Flag_Operations &gt; 0)</f>
        <v>1</v>
      </c>
      <c r="AM46" s="10">
        <f>SUM($K39:AM39) * 1 * (Flag_Construction + Flag_Operations &gt; 0)</f>
        <v>1</v>
      </c>
      <c r="AN46" s="10">
        <f>SUM($K39:AN39) * 1 * (Flag_Construction + Flag_Operations &gt; 0)</f>
        <v>1</v>
      </c>
      <c r="AO46" s="10">
        <f>SUM($K39:AO39) * 1 * (Flag_Construction + Flag_Operations &gt; 0)</f>
        <v>1</v>
      </c>
      <c r="AP46" s="10">
        <f>SUM($K39:AP39) * 1 * (Flag_Construction + Flag_Operations &gt; 0)</f>
        <v>1</v>
      </c>
      <c r="AQ46" s="10">
        <f>SUM($K39:AQ39) * 1 * (Flag_Construction + Flag_Operations &gt; 0)</f>
        <v>1</v>
      </c>
      <c r="AR46" s="10">
        <f>SUM($K39:AR39) * 1 * (Flag_Construction + Flag_Operations &gt; 0)</f>
        <v>1</v>
      </c>
      <c r="AS46" s="10">
        <f>SUM($K39:AS39) * 1 * (Flag_Construction + Flag_Operations &gt; 0)</f>
        <v>1</v>
      </c>
      <c r="AT46" s="10">
        <f>SUM($K39:AT39) * 1 * (Flag_Construction + Flag_Operations &gt; 0)</f>
        <v>1</v>
      </c>
      <c r="AU46" s="10">
        <f>SUM($K39:AU39) * 1 * (Flag_Construction + Flag_Operations &gt; 0)</f>
        <v>1</v>
      </c>
      <c r="AV46" s="10">
        <f>SUM($K39:AV39) * 1 * (Flag_Construction + Flag_Operations &gt; 0)</f>
        <v>1</v>
      </c>
      <c r="AW46" s="10">
        <f>SUM($K39:AW39) * 1 * (Flag_Construction + Flag_Operations &gt; 0)</f>
        <v>1</v>
      </c>
      <c r="AX46" s="10">
        <f>SUM($K39:AX39) * 1 * (Flag_Construction + Flag_Operations &gt; 0)</f>
        <v>1</v>
      </c>
      <c r="AY46" s="10">
        <f>SUM($K39:AY39) * 1 * (Flag_Construction + Flag_Operations &gt; 0)</f>
        <v>1</v>
      </c>
      <c r="AZ46" s="10">
        <f>SUM($K39:AZ39) * 1 * (Flag_Construction + Flag_Operations &gt; 0)</f>
        <v>1</v>
      </c>
      <c r="BA46" s="10">
        <f>SUM($K39:BA39) * 1 * (Flag_Construction + Flag_Operations &gt; 0)</f>
        <v>1</v>
      </c>
      <c r="BB46" s="10">
        <f>SUM($K39:BB39) * 1 * (Flag_Construction + Flag_Operations &gt; 0)</f>
        <v>1</v>
      </c>
      <c r="BC46" s="10">
        <f>SUM($K39:BC39) * 1 * (Flag_Construction + Flag_Operations &gt; 0)</f>
        <v>1</v>
      </c>
      <c r="BD46" s="10">
        <f>SUM($K39:BD39) * 1 * (Flag_Construction + Flag_Operations &gt; 0)</f>
        <v>1</v>
      </c>
      <c r="BE46" s="10">
        <f>SUM($K39:BE39) * 1 * (Flag_Construction + Flag_Operations &gt; 0)</f>
        <v>1</v>
      </c>
      <c r="BF46" s="10">
        <f>SUM($K39:BF39) * 1 * (Flag_Construction + Flag_Operations &gt; 0)</f>
        <v>1</v>
      </c>
      <c r="BG46" s="10">
        <f>SUM($K39:BG39) * 1 * (Flag_Construction + Flag_Operations &gt; 0)</f>
        <v>1</v>
      </c>
      <c r="BH46" s="10">
        <f>SUM($K39:BH39) * 1 * (Flag_Construction + Flag_Operations &gt; 0)</f>
        <v>1</v>
      </c>
      <c r="BI46" s="10">
        <f>SUM($K39:BI39) * 1 * (Flag_Construction + Flag_Operations &gt; 0)</f>
        <v>1</v>
      </c>
      <c r="BJ46" s="10">
        <f>SUM($K39:BJ39) * 1 * (Flag_Construction + Flag_Operations &gt; 0)</f>
        <v>1</v>
      </c>
      <c r="BK46" s="10">
        <f>SUM($K39:BK39) * 1 * (Flag_Construction + Flag_Operations &gt; 0)</f>
        <v>1</v>
      </c>
      <c r="BL46" s="10">
        <f>SUM($K39:BL39) * 1 * (Flag_Construction + Flag_Operations &gt; 0)</f>
        <v>1</v>
      </c>
      <c r="BM46" s="10">
        <f>SUM($K39:BM39) * 1 * (Flag_Construction + Flag_Operations &gt; 0)</f>
        <v>1</v>
      </c>
      <c r="BN46" s="10">
        <f>SUM($K39:BN39) * 1 * (Flag_Construction + Flag_Operations &gt; 0)</f>
        <v>1</v>
      </c>
      <c r="BO46" s="10">
        <f>SUM($K39:BO39) * 1 * (Flag_Construction + Flag_Operations &gt; 0)</f>
        <v>1</v>
      </c>
      <c r="BP46" s="10">
        <f>SUM($K39:BP39) * 1 * (Flag_Construction + Flag_Operations &gt; 0)</f>
        <v>1</v>
      </c>
      <c r="BQ46" s="10">
        <f>SUM($K39:BQ39) * 1 * (Flag_Construction + Flag_Operations &gt; 0)</f>
        <v>1</v>
      </c>
      <c r="BR46" s="10">
        <f>SUM($K39:BR39) * 1 * (Flag_Construction + Flag_Operations &gt; 0)</f>
        <v>1</v>
      </c>
      <c r="BS46" s="10">
        <f>SUM($K39:BS39) * 1 * (Flag_Construction + Flag_Operations &gt; 0)</f>
        <v>1</v>
      </c>
      <c r="BT46" s="10">
        <f>SUM($K39:BT39) * 1 * (Flag_Construction + Flag_Operations &gt; 0)</f>
        <v>1</v>
      </c>
      <c r="BU46" s="10">
        <f>SUM($K39:BU39) * 1 * (Flag_Construction + Flag_Operations &gt; 0)</f>
        <v>1</v>
      </c>
      <c r="BV46" s="10">
        <f>SUM($K39:BV39) * 1 * (Flag_Construction + Flag_Operations &gt; 0)</f>
        <v>1</v>
      </c>
      <c r="BW46" s="10">
        <f>SUM($K39:BW39) * 1 * (Flag_Construction + Flag_Operations &gt; 0)</f>
        <v>1</v>
      </c>
      <c r="BX46" s="10">
        <f>SUM($K39:BX39) * 1 * (Flag_Construction + Flag_Operations &gt; 0)</f>
        <v>1</v>
      </c>
      <c r="BY46" s="10">
        <f>SUM($K39:BY39) * 1 * (Flag_Construction + Flag_Operations &gt; 0)</f>
        <v>1</v>
      </c>
      <c r="BZ46" s="10">
        <f>SUM($K39:BZ39) * 1 * (Flag_Construction + Flag_Operations &gt; 0)</f>
        <v>1</v>
      </c>
      <c r="CA46" s="10">
        <f>SUM($K39:CA39) * 1 * (Flag_Construction + Flag_Operations &gt; 0)</f>
        <v>1</v>
      </c>
      <c r="CB46" s="10">
        <f>SUM($K39:CB39) * 1 * (Flag_Construction + Flag_Operations &gt; 0)</f>
        <v>1</v>
      </c>
      <c r="CC46" s="10">
        <f>SUM($K39:CC39) * 1 * (Flag_Construction + Flag_Operations &gt; 0)</f>
        <v>1</v>
      </c>
      <c r="CD46" s="10">
        <f>SUM($K39:CD39) * 1 * (Flag_Construction + Flag_Operations &gt; 0)</f>
        <v>1</v>
      </c>
      <c r="CE46" s="10">
        <f>SUM($K39:CE39) * 1 * (Flag_Construction + Flag_Operations &gt; 0)</f>
        <v>1</v>
      </c>
      <c r="CF46" s="10">
        <f>SUM($K39:CF39) * 1 * (Flag_Construction + Flag_Operations &gt; 0)</f>
        <v>1</v>
      </c>
      <c r="CG46" s="10">
        <f>SUM($K39:CG39) * 1 * (Flag_Construction + Flag_Operations &gt; 0)</f>
        <v>1</v>
      </c>
      <c r="CH46" s="10">
        <f>SUM($K39:CH39) * 1 * (Flag_Construction + Flag_Operations &gt; 0)</f>
        <v>1</v>
      </c>
      <c r="CI46" s="10">
        <f>SUM($K39:CI39) * 1 * (Flag_Construction + Flag_Operations &gt; 0)</f>
        <v>1</v>
      </c>
      <c r="CJ46" s="10">
        <f>SUM($K39:CJ39) * 1 * (Flag_Construction + Flag_Operations &gt; 0)</f>
        <v>1</v>
      </c>
      <c r="CK46" s="10">
        <f>SUM($K39:CK39) * 1 * (Flag_Construction + Flag_Operations &gt; 0)</f>
        <v>1</v>
      </c>
      <c r="CL46" s="10">
        <f>SUM($K39:CL39) * 1 * (Flag_Construction + Flag_Operations &gt; 0)</f>
        <v>1</v>
      </c>
      <c r="CM46" s="10">
        <f>SUM($K39:CM39) * 1 * (Flag_Construction + Flag_Operations &gt; 0)</f>
        <v>1</v>
      </c>
      <c r="CN46" s="10">
        <f>SUM($K39:CN39) * 1 * (Flag_Construction + Flag_Operations &gt; 0)</f>
        <v>1</v>
      </c>
      <c r="CO46" s="10">
        <f>SUM($K39:CO39) * 1 * (Flag_Construction + Flag_Operations &gt; 0)</f>
        <v>1</v>
      </c>
    </row>
    <row r="47" spans="1:93">
      <c r="A47" s="10"/>
      <c r="B47" s="10"/>
      <c r="C47" s="17" t="str">
        <f t="shared" ref="C47:C48" si="308">"Сегмент 0 - период эксплуатации - " &amp; C33</f>
        <v>Сегмент 0 - период эксплуатации - Коммунальная инфраструктура</v>
      </c>
      <c r="D47" s="10"/>
      <c r="E47" s="10"/>
      <c r="F47" s="10"/>
      <c r="G47" s="11" t="str">
        <f t="shared" si="306"/>
        <v>0..0</v>
      </c>
      <c r="H47" s="10"/>
      <c r="I47" s="23">
        <f t="shared" si="307"/>
        <v>0</v>
      </c>
      <c r="J47" s="149"/>
      <c r="K47" s="10"/>
      <c r="L47" s="10">
        <f>SUM($K40:L40) * 1 * (Flag_Construction + Flag_Operations &gt; 0)</f>
        <v>0</v>
      </c>
      <c r="M47" s="10">
        <f>SUM($K40:M40) * 1 * (Flag_Construction + Flag_Operations &gt; 0)</f>
        <v>0</v>
      </c>
      <c r="N47" s="10">
        <f>SUM($K40:N40) * 1 * (Flag_Construction + Flag_Operations &gt; 0)</f>
        <v>0</v>
      </c>
      <c r="O47" s="10">
        <f>SUM($K40:O40) * 1 * (Flag_Construction + Flag_Operations &gt; 0)</f>
        <v>0</v>
      </c>
      <c r="P47" s="10">
        <f>SUM($K40:P40) * 1 * (Flag_Construction + Flag_Operations &gt; 0)</f>
        <v>0</v>
      </c>
      <c r="Q47" s="10">
        <f>SUM($K40:Q40) * 1 * (Flag_Construction + Flag_Operations &gt; 0)</f>
        <v>0</v>
      </c>
      <c r="R47" s="10">
        <f>SUM($K40:R40) * 1 * (Flag_Construction + Flag_Operations &gt; 0)</f>
        <v>0</v>
      </c>
      <c r="S47" s="10">
        <f>SUM($K40:S40) * 1 * (Flag_Construction + Flag_Operations &gt; 0)</f>
        <v>0</v>
      </c>
      <c r="T47" s="10">
        <f>SUM($K40:T40) * 1 * (Flag_Construction + Flag_Operations &gt; 0)</f>
        <v>0</v>
      </c>
      <c r="U47" s="10">
        <f>SUM($K40:U40) * 1 * (Flag_Construction + Flag_Operations &gt; 0)</f>
        <v>0</v>
      </c>
      <c r="V47" s="10">
        <f>SUM($K40:V40) * 1 * (Flag_Construction + Flag_Operations &gt; 0)</f>
        <v>0</v>
      </c>
      <c r="W47" s="10">
        <f>SUM($K40:W40) * 1 * (Flag_Construction + Flag_Operations &gt; 0)</f>
        <v>0</v>
      </c>
      <c r="X47" s="10">
        <f>SUM($K40:X40) * 1 * (Flag_Construction + Flag_Operations &gt; 0)</f>
        <v>0</v>
      </c>
      <c r="Y47" s="10">
        <f>SUM($K40:Y40) * 1 * (Flag_Construction + Flag_Operations &gt; 0)</f>
        <v>0</v>
      </c>
      <c r="Z47" s="10">
        <f>SUM($K40:Z40) * 1 * (Flag_Construction + Flag_Operations &gt; 0)</f>
        <v>0</v>
      </c>
      <c r="AA47" s="10">
        <f>SUM($K40:AA40) * 1 * (Flag_Construction + Flag_Operations &gt; 0)</f>
        <v>0</v>
      </c>
      <c r="AB47" s="10">
        <f>SUM($K40:AB40) * 1 * (Flag_Construction + Flag_Operations &gt; 0)</f>
        <v>0</v>
      </c>
      <c r="AC47" s="10">
        <f>SUM($K40:AC40) * 1 * (Flag_Construction + Flag_Operations &gt; 0)</f>
        <v>0</v>
      </c>
      <c r="AD47" s="10">
        <f>SUM($K40:AD40) * 1 * (Flag_Construction + Flag_Operations &gt; 0)</f>
        <v>0</v>
      </c>
      <c r="AE47" s="10">
        <f>SUM($K40:AE40) * 1 * (Flag_Construction + Flag_Operations &gt; 0)</f>
        <v>0</v>
      </c>
      <c r="AF47" s="10">
        <f>SUM($K40:AF40) * 1 * (Flag_Construction + Flag_Operations &gt; 0)</f>
        <v>0</v>
      </c>
      <c r="AG47" s="10">
        <f>SUM($K40:AG40) * 1 * (Flag_Construction + Flag_Operations &gt; 0)</f>
        <v>0</v>
      </c>
      <c r="AH47" s="10">
        <f>SUM($K40:AH40) * 1 * (Flag_Construction + Flag_Operations &gt; 0)</f>
        <v>0</v>
      </c>
      <c r="AI47" s="10">
        <f>SUM($K40:AI40) * 1 * (Flag_Construction + Flag_Operations &gt; 0)</f>
        <v>0</v>
      </c>
      <c r="AJ47" s="10">
        <f>SUM($K40:AJ40) * 1 * (Flag_Construction + Flag_Operations &gt; 0)</f>
        <v>0</v>
      </c>
      <c r="AK47" s="10">
        <f>SUM($K40:AK40) * 1 * (Flag_Construction + Flag_Operations &gt; 0)</f>
        <v>0</v>
      </c>
      <c r="AL47" s="10">
        <f>SUM($K40:AL40) * 1 * (Flag_Construction + Flag_Operations &gt; 0)</f>
        <v>0</v>
      </c>
      <c r="AM47" s="10">
        <f>SUM($K40:AM40) * 1 * (Flag_Construction + Flag_Operations &gt; 0)</f>
        <v>0</v>
      </c>
      <c r="AN47" s="10">
        <f>SUM($K40:AN40) * 1 * (Flag_Construction + Flag_Operations &gt; 0)</f>
        <v>0</v>
      </c>
      <c r="AO47" s="10">
        <f>SUM($K40:AO40) * 1 * (Flag_Construction + Flag_Operations &gt; 0)</f>
        <v>0</v>
      </c>
      <c r="AP47" s="10">
        <f>SUM($K40:AP40) * 1 * (Flag_Construction + Flag_Operations &gt; 0)</f>
        <v>0</v>
      </c>
      <c r="AQ47" s="10">
        <f>SUM($K40:AQ40) * 1 * (Flag_Construction + Flag_Operations &gt; 0)</f>
        <v>0</v>
      </c>
      <c r="AR47" s="10">
        <f>SUM($K40:AR40) * 1 * (Flag_Construction + Flag_Operations &gt; 0)</f>
        <v>0</v>
      </c>
      <c r="AS47" s="10">
        <f>SUM($K40:AS40) * 1 * (Flag_Construction + Flag_Operations &gt; 0)</f>
        <v>0</v>
      </c>
      <c r="AT47" s="10">
        <f>SUM($K40:AT40) * 1 * (Flag_Construction + Flag_Operations &gt; 0)</f>
        <v>0</v>
      </c>
      <c r="AU47" s="10">
        <f>SUM($K40:AU40) * 1 * (Flag_Construction + Flag_Operations &gt; 0)</f>
        <v>0</v>
      </c>
      <c r="AV47" s="10">
        <f>SUM($K40:AV40) * 1 * (Flag_Construction + Flag_Operations &gt; 0)</f>
        <v>0</v>
      </c>
      <c r="AW47" s="10">
        <f>SUM($K40:AW40) * 1 * (Flag_Construction + Flag_Operations &gt; 0)</f>
        <v>0</v>
      </c>
      <c r="AX47" s="10">
        <f>SUM($K40:AX40) * 1 * (Flag_Construction + Flag_Operations &gt; 0)</f>
        <v>0</v>
      </c>
      <c r="AY47" s="10">
        <f>SUM($K40:AY40) * 1 * (Flag_Construction + Flag_Operations &gt; 0)</f>
        <v>0</v>
      </c>
      <c r="AZ47" s="10">
        <f>SUM($K40:AZ40) * 1 * (Flag_Construction + Flag_Operations &gt; 0)</f>
        <v>0</v>
      </c>
      <c r="BA47" s="10">
        <f>SUM($K40:BA40) * 1 * (Flag_Construction + Flag_Operations &gt; 0)</f>
        <v>0</v>
      </c>
      <c r="BB47" s="10">
        <f>SUM($K40:BB40) * 1 * (Flag_Construction + Flag_Operations &gt; 0)</f>
        <v>0</v>
      </c>
      <c r="BC47" s="10">
        <f>SUM($K40:BC40) * 1 * (Flag_Construction + Flag_Operations &gt; 0)</f>
        <v>0</v>
      </c>
      <c r="BD47" s="10">
        <f>SUM($K40:BD40) * 1 * (Flag_Construction + Flag_Operations &gt; 0)</f>
        <v>0</v>
      </c>
      <c r="BE47" s="10">
        <f>SUM($K40:BE40) * 1 * (Flag_Construction + Flag_Operations &gt; 0)</f>
        <v>0</v>
      </c>
      <c r="BF47" s="10">
        <f>SUM($K40:BF40) * 1 * (Flag_Construction + Flag_Operations &gt; 0)</f>
        <v>0</v>
      </c>
      <c r="BG47" s="10">
        <f>SUM($K40:BG40) * 1 * (Flag_Construction + Flag_Operations &gt; 0)</f>
        <v>0</v>
      </c>
      <c r="BH47" s="10">
        <f>SUM($K40:BH40) * 1 * (Flag_Construction + Flag_Operations &gt; 0)</f>
        <v>0</v>
      </c>
      <c r="BI47" s="10">
        <f>SUM($K40:BI40) * 1 * (Flag_Construction + Flag_Operations &gt; 0)</f>
        <v>0</v>
      </c>
      <c r="BJ47" s="10">
        <f>SUM($K40:BJ40) * 1 * (Flag_Construction + Flag_Operations &gt; 0)</f>
        <v>0</v>
      </c>
      <c r="BK47" s="10">
        <f>SUM($K40:BK40) * 1 * (Flag_Construction + Flag_Operations &gt; 0)</f>
        <v>0</v>
      </c>
      <c r="BL47" s="10">
        <f>SUM($K40:BL40) * 1 * (Flag_Construction + Flag_Operations &gt; 0)</f>
        <v>0</v>
      </c>
      <c r="BM47" s="10">
        <f>SUM($K40:BM40) * 1 * (Flag_Construction + Flag_Operations &gt; 0)</f>
        <v>0</v>
      </c>
      <c r="BN47" s="10">
        <f>SUM($K40:BN40) * 1 * (Flag_Construction + Flag_Operations &gt; 0)</f>
        <v>0</v>
      </c>
      <c r="BO47" s="10">
        <f>SUM($K40:BO40) * 1 * (Flag_Construction + Flag_Operations &gt; 0)</f>
        <v>0</v>
      </c>
      <c r="BP47" s="10">
        <f>SUM($K40:BP40) * 1 * (Flag_Construction + Flag_Operations &gt; 0)</f>
        <v>0</v>
      </c>
      <c r="BQ47" s="10">
        <f>SUM($K40:BQ40) * 1 * (Flag_Construction + Flag_Operations &gt; 0)</f>
        <v>0</v>
      </c>
      <c r="BR47" s="10">
        <f>SUM($K40:BR40) * 1 * (Flag_Construction + Flag_Operations &gt; 0)</f>
        <v>0</v>
      </c>
      <c r="BS47" s="10">
        <f>SUM($K40:BS40) * 1 * (Flag_Construction + Flag_Operations &gt; 0)</f>
        <v>0</v>
      </c>
      <c r="BT47" s="10">
        <f>SUM($K40:BT40) * 1 * (Flag_Construction + Flag_Operations &gt; 0)</f>
        <v>0</v>
      </c>
      <c r="BU47" s="10">
        <f>SUM($K40:BU40) * 1 * (Flag_Construction + Flag_Operations &gt; 0)</f>
        <v>0</v>
      </c>
      <c r="BV47" s="10">
        <f>SUM($K40:BV40) * 1 * (Flag_Construction + Flag_Operations &gt; 0)</f>
        <v>0</v>
      </c>
      <c r="BW47" s="10">
        <f>SUM($K40:BW40) * 1 * (Flag_Construction + Flag_Operations &gt; 0)</f>
        <v>0</v>
      </c>
      <c r="BX47" s="10">
        <f>SUM($K40:BX40) * 1 * (Flag_Construction + Flag_Operations &gt; 0)</f>
        <v>0</v>
      </c>
      <c r="BY47" s="10">
        <f>SUM($K40:BY40) * 1 * (Flag_Construction + Flag_Operations &gt; 0)</f>
        <v>0</v>
      </c>
      <c r="BZ47" s="10">
        <f>SUM($K40:BZ40) * 1 * (Flag_Construction + Flag_Operations &gt; 0)</f>
        <v>0</v>
      </c>
      <c r="CA47" s="10">
        <f>SUM($K40:CA40) * 1 * (Flag_Construction + Flag_Operations &gt; 0)</f>
        <v>0</v>
      </c>
      <c r="CB47" s="10">
        <f>SUM($K40:CB40) * 1 * (Flag_Construction + Flag_Operations &gt; 0)</f>
        <v>0</v>
      </c>
      <c r="CC47" s="10">
        <f>SUM($K40:CC40) * 1 * (Flag_Construction + Flag_Operations &gt; 0)</f>
        <v>0</v>
      </c>
      <c r="CD47" s="10">
        <f>SUM($K40:CD40) * 1 * (Flag_Construction + Flag_Operations &gt; 0)</f>
        <v>0</v>
      </c>
      <c r="CE47" s="10">
        <f>SUM($K40:CE40) * 1 * (Flag_Construction + Flag_Operations &gt; 0)</f>
        <v>0</v>
      </c>
      <c r="CF47" s="10">
        <f>SUM($K40:CF40) * 1 * (Flag_Construction + Flag_Operations &gt; 0)</f>
        <v>0</v>
      </c>
      <c r="CG47" s="10">
        <f>SUM($K40:CG40) * 1 * (Flag_Construction + Flag_Operations &gt; 0)</f>
        <v>0</v>
      </c>
      <c r="CH47" s="10">
        <f>SUM($K40:CH40) * 1 * (Flag_Construction + Flag_Operations &gt; 0)</f>
        <v>0</v>
      </c>
      <c r="CI47" s="10">
        <f>SUM($K40:CI40) * 1 * (Flag_Construction + Flag_Operations &gt; 0)</f>
        <v>0</v>
      </c>
      <c r="CJ47" s="10">
        <f>SUM($K40:CJ40) * 1 * (Flag_Construction + Flag_Operations &gt; 0)</f>
        <v>0</v>
      </c>
      <c r="CK47" s="10">
        <f>SUM($K40:CK40) * 1 * (Flag_Construction + Flag_Operations &gt; 0)</f>
        <v>0</v>
      </c>
      <c r="CL47" s="10">
        <f>SUM($K40:CL40) * 1 * (Flag_Construction + Flag_Operations &gt; 0)</f>
        <v>0</v>
      </c>
      <c r="CM47" s="10">
        <f>SUM($K40:CM40) * 1 * (Flag_Construction + Flag_Operations &gt; 0)</f>
        <v>0</v>
      </c>
      <c r="CN47" s="10">
        <f>SUM($K40:CN40) * 1 * (Flag_Construction + Flag_Operations &gt; 0)</f>
        <v>0</v>
      </c>
      <c r="CO47" s="10">
        <f>SUM($K40:CO40) * 1 * (Flag_Construction + Flag_Operations &gt; 0)</f>
        <v>0</v>
      </c>
    </row>
    <row r="48" spans="1:93">
      <c r="A48" s="10"/>
      <c r="B48" s="10"/>
      <c r="C48" s="17" t="str">
        <f t="shared" si="308"/>
        <v>Сегмент 0 - период эксплуатации - Прочая обеспечивающая инфраструктура</v>
      </c>
      <c r="D48" s="10"/>
      <c r="E48" s="10"/>
      <c r="F48" s="10"/>
      <c r="G48" s="11" t="str">
        <f t="shared" si="306"/>
        <v>0..0</v>
      </c>
      <c r="H48" s="10"/>
      <c r="I48" s="23">
        <f t="shared" si="307"/>
        <v>0</v>
      </c>
      <c r="J48" s="149"/>
      <c r="K48" s="10"/>
      <c r="L48" s="10">
        <f>SUM($K41:L41) * 1 * (Flag_Construction + Flag_Operations &gt; 0)</f>
        <v>0</v>
      </c>
      <c r="M48" s="10">
        <f>SUM($K41:M41) * 1 * (Flag_Construction + Flag_Operations &gt; 0)</f>
        <v>0</v>
      </c>
      <c r="N48" s="10">
        <f>SUM($K41:N41) * 1 * (Flag_Construction + Flag_Operations &gt; 0)</f>
        <v>0</v>
      </c>
      <c r="O48" s="10">
        <f>SUM($K41:O41) * 1 * (Flag_Construction + Flag_Operations &gt; 0)</f>
        <v>0</v>
      </c>
      <c r="P48" s="10">
        <f>SUM($K41:P41) * 1 * (Flag_Construction + Flag_Operations &gt; 0)</f>
        <v>0</v>
      </c>
      <c r="Q48" s="10">
        <f>SUM($K41:Q41) * 1 * (Flag_Construction + Flag_Operations &gt; 0)</f>
        <v>0</v>
      </c>
      <c r="R48" s="10">
        <f>SUM($K41:R41) * 1 * (Flag_Construction + Flag_Operations &gt; 0)</f>
        <v>0</v>
      </c>
      <c r="S48" s="10">
        <f>SUM($K41:S41) * 1 * (Flag_Construction + Flag_Operations &gt; 0)</f>
        <v>0</v>
      </c>
      <c r="T48" s="10">
        <f>SUM($K41:T41) * 1 * (Flag_Construction + Flag_Operations &gt; 0)</f>
        <v>0</v>
      </c>
      <c r="U48" s="10">
        <f>SUM($K41:U41) * 1 * (Flag_Construction + Flag_Operations &gt; 0)</f>
        <v>0</v>
      </c>
      <c r="V48" s="10">
        <f>SUM($K41:V41) * 1 * (Flag_Construction + Flag_Operations &gt; 0)</f>
        <v>0</v>
      </c>
      <c r="W48" s="10">
        <f>SUM($K41:W41) * 1 * (Flag_Construction + Flag_Operations &gt; 0)</f>
        <v>0</v>
      </c>
      <c r="X48" s="10">
        <f>SUM($K41:X41) * 1 * (Flag_Construction + Flag_Operations &gt; 0)</f>
        <v>0</v>
      </c>
      <c r="Y48" s="10">
        <f>SUM($K41:Y41) * 1 * (Flag_Construction + Flag_Operations &gt; 0)</f>
        <v>0</v>
      </c>
      <c r="Z48" s="10">
        <f>SUM($K41:Z41) * 1 * (Flag_Construction + Flag_Operations &gt; 0)</f>
        <v>0</v>
      </c>
      <c r="AA48" s="10">
        <f>SUM($K41:AA41) * 1 * (Flag_Construction + Flag_Operations &gt; 0)</f>
        <v>0</v>
      </c>
      <c r="AB48" s="10">
        <f>SUM($K41:AB41) * 1 * (Flag_Construction + Flag_Operations &gt; 0)</f>
        <v>0</v>
      </c>
      <c r="AC48" s="10">
        <f>SUM($K41:AC41) * 1 * (Flag_Construction + Flag_Operations &gt; 0)</f>
        <v>0</v>
      </c>
      <c r="AD48" s="10">
        <f>SUM($K41:AD41) * 1 * (Flag_Construction + Flag_Operations &gt; 0)</f>
        <v>0</v>
      </c>
      <c r="AE48" s="10">
        <f>SUM($K41:AE41) * 1 * (Flag_Construction + Flag_Operations &gt; 0)</f>
        <v>0</v>
      </c>
      <c r="AF48" s="10">
        <f>SUM($K41:AF41) * 1 * (Flag_Construction + Flag_Operations &gt; 0)</f>
        <v>0</v>
      </c>
      <c r="AG48" s="10">
        <f>SUM($K41:AG41) * 1 * (Flag_Construction + Flag_Operations &gt; 0)</f>
        <v>0</v>
      </c>
      <c r="AH48" s="10">
        <f>SUM($K41:AH41) * 1 * (Flag_Construction + Flag_Operations &gt; 0)</f>
        <v>0</v>
      </c>
      <c r="AI48" s="10">
        <f>SUM($K41:AI41) * 1 * (Flag_Construction + Flag_Operations &gt; 0)</f>
        <v>0</v>
      </c>
      <c r="AJ48" s="10">
        <f>SUM($K41:AJ41) * 1 * (Flag_Construction + Flag_Operations &gt; 0)</f>
        <v>0</v>
      </c>
      <c r="AK48" s="10">
        <f>SUM($K41:AK41) * 1 * (Flag_Construction + Flag_Operations &gt; 0)</f>
        <v>0</v>
      </c>
      <c r="AL48" s="10">
        <f>SUM($K41:AL41) * 1 * (Flag_Construction + Flag_Operations &gt; 0)</f>
        <v>0</v>
      </c>
      <c r="AM48" s="10">
        <f>SUM($K41:AM41) * 1 * (Flag_Construction + Flag_Operations &gt; 0)</f>
        <v>0</v>
      </c>
      <c r="AN48" s="10">
        <f>SUM($K41:AN41) * 1 * (Flag_Construction + Flag_Operations &gt; 0)</f>
        <v>0</v>
      </c>
      <c r="AO48" s="10">
        <f>SUM($K41:AO41) * 1 * (Flag_Construction + Flag_Operations &gt; 0)</f>
        <v>0</v>
      </c>
      <c r="AP48" s="10">
        <f>SUM($K41:AP41) * 1 * (Flag_Construction + Flag_Operations &gt; 0)</f>
        <v>0</v>
      </c>
      <c r="AQ48" s="10">
        <f>SUM($K41:AQ41) * 1 * (Flag_Construction + Flag_Operations &gt; 0)</f>
        <v>0</v>
      </c>
      <c r="AR48" s="10">
        <f>SUM($K41:AR41) * 1 * (Flag_Construction + Flag_Operations &gt; 0)</f>
        <v>0</v>
      </c>
      <c r="AS48" s="10">
        <f>SUM($K41:AS41) * 1 * (Flag_Construction + Flag_Operations &gt; 0)</f>
        <v>0</v>
      </c>
      <c r="AT48" s="10">
        <f>SUM($K41:AT41) * 1 * (Flag_Construction + Flag_Operations &gt; 0)</f>
        <v>0</v>
      </c>
      <c r="AU48" s="10">
        <f>SUM($K41:AU41) * 1 * (Flag_Construction + Flag_Operations &gt; 0)</f>
        <v>0</v>
      </c>
      <c r="AV48" s="10">
        <f>SUM($K41:AV41) * 1 * (Flag_Construction + Flag_Operations &gt; 0)</f>
        <v>0</v>
      </c>
      <c r="AW48" s="10">
        <f>SUM($K41:AW41) * 1 * (Flag_Construction + Flag_Operations &gt; 0)</f>
        <v>0</v>
      </c>
      <c r="AX48" s="10">
        <f>SUM($K41:AX41) * 1 * (Flag_Construction + Flag_Operations &gt; 0)</f>
        <v>0</v>
      </c>
      <c r="AY48" s="10">
        <f>SUM($K41:AY41) * 1 * (Flag_Construction + Flag_Operations &gt; 0)</f>
        <v>0</v>
      </c>
      <c r="AZ48" s="10">
        <f>SUM($K41:AZ41) * 1 * (Flag_Construction + Flag_Operations &gt; 0)</f>
        <v>0</v>
      </c>
      <c r="BA48" s="10">
        <f>SUM($K41:BA41) * 1 * (Flag_Construction + Flag_Operations &gt; 0)</f>
        <v>0</v>
      </c>
      <c r="BB48" s="10">
        <f>SUM($K41:BB41) * 1 * (Flag_Construction + Flag_Operations &gt; 0)</f>
        <v>0</v>
      </c>
      <c r="BC48" s="10">
        <f>SUM($K41:BC41) * 1 * (Flag_Construction + Flag_Operations &gt; 0)</f>
        <v>0</v>
      </c>
      <c r="BD48" s="10">
        <f>SUM($K41:BD41) * 1 * (Flag_Construction + Flag_Operations &gt; 0)</f>
        <v>0</v>
      </c>
      <c r="BE48" s="10">
        <f>SUM($K41:BE41) * 1 * (Flag_Construction + Flag_Operations &gt; 0)</f>
        <v>0</v>
      </c>
      <c r="BF48" s="10">
        <f>SUM($K41:BF41) * 1 * (Flag_Construction + Flag_Operations &gt; 0)</f>
        <v>0</v>
      </c>
      <c r="BG48" s="10">
        <f>SUM($K41:BG41) * 1 * (Flag_Construction + Flag_Operations &gt; 0)</f>
        <v>0</v>
      </c>
      <c r="BH48" s="10">
        <f>SUM($K41:BH41) * 1 * (Flag_Construction + Flag_Operations &gt; 0)</f>
        <v>0</v>
      </c>
      <c r="BI48" s="10">
        <f>SUM($K41:BI41) * 1 * (Flag_Construction + Flag_Operations &gt; 0)</f>
        <v>0</v>
      </c>
      <c r="BJ48" s="10">
        <f>SUM($K41:BJ41) * 1 * (Flag_Construction + Flag_Operations &gt; 0)</f>
        <v>0</v>
      </c>
      <c r="BK48" s="10">
        <f>SUM($K41:BK41) * 1 * (Flag_Construction + Flag_Operations &gt; 0)</f>
        <v>0</v>
      </c>
      <c r="BL48" s="10">
        <f>SUM($K41:BL41) * 1 * (Flag_Construction + Flag_Operations &gt; 0)</f>
        <v>0</v>
      </c>
      <c r="BM48" s="10">
        <f>SUM($K41:BM41) * 1 * (Flag_Construction + Flag_Operations &gt; 0)</f>
        <v>0</v>
      </c>
      <c r="BN48" s="10">
        <f>SUM($K41:BN41) * 1 * (Flag_Construction + Flag_Operations &gt; 0)</f>
        <v>0</v>
      </c>
      <c r="BO48" s="10">
        <f>SUM($K41:BO41) * 1 * (Flag_Construction + Flag_Operations &gt; 0)</f>
        <v>0</v>
      </c>
      <c r="BP48" s="10">
        <f>SUM($K41:BP41) * 1 * (Flag_Construction + Flag_Operations &gt; 0)</f>
        <v>0</v>
      </c>
      <c r="BQ48" s="10">
        <f>SUM($K41:BQ41) * 1 * (Flag_Construction + Flag_Operations &gt; 0)</f>
        <v>0</v>
      </c>
      <c r="BR48" s="10">
        <f>SUM($K41:BR41) * 1 * (Flag_Construction + Flag_Operations &gt; 0)</f>
        <v>0</v>
      </c>
      <c r="BS48" s="10">
        <f>SUM($K41:BS41) * 1 * (Flag_Construction + Flag_Operations &gt; 0)</f>
        <v>0</v>
      </c>
      <c r="BT48" s="10">
        <f>SUM($K41:BT41) * 1 * (Flag_Construction + Flag_Operations &gt; 0)</f>
        <v>0</v>
      </c>
      <c r="BU48" s="10">
        <f>SUM($K41:BU41) * 1 * (Flag_Construction + Flag_Operations &gt; 0)</f>
        <v>0</v>
      </c>
      <c r="BV48" s="10">
        <f>SUM($K41:BV41) * 1 * (Flag_Construction + Flag_Operations &gt; 0)</f>
        <v>0</v>
      </c>
      <c r="BW48" s="10">
        <f>SUM($K41:BW41) * 1 * (Flag_Construction + Flag_Operations &gt; 0)</f>
        <v>0</v>
      </c>
      <c r="BX48" s="10">
        <f>SUM($K41:BX41) * 1 * (Flag_Construction + Flag_Operations &gt; 0)</f>
        <v>0</v>
      </c>
      <c r="BY48" s="10">
        <f>SUM($K41:BY41) * 1 * (Flag_Construction + Flag_Operations &gt; 0)</f>
        <v>0</v>
      </c>
      <c r="BZ48" s="10">
        <f>SUM($K41:BZ41) * 1 * (Flag_Construction + Flag_Operations &gt; 0)</f>
        <v>0</v>
      </c>
      <c r="CA48" s="10">
        <f>SUM($K41:CA41) * 1 * (Flag_Construction + Flag_Operations &gt; 0)</f>
        <v>0</v>
      </c>
      <c r="CB48" s="10">
        <f>SUM($K41:CB41) * 1 * (Flag_Construction + Flag_Operations &gt; 0)</f>
        <v>0</v>
      </c>
      <c r="CC48" s="10">
        <f>SUM($K41:CC41) * 1 * (Flag_Construction + Flag_Operations &gt; 0)</f>
        <v>0</v>
      </c>
      <c r="CD48" s="10">
        <f>SUM($K41:CD41) * 1 * (Flag_Construction + Flag_Operations &gt; 0)</f>
        <v>0</v>
      </c>
      <c r="CE48" s="10">
        <f>SUM($K41:CE41) * 1 * (Flag_Construction + Flag_Operations &gt; 0)</f>
        <v>0</v>
      </c>
      <c r="CF48" s="10">
        <f>SUM($K41:CF41) * 1 * (Flag_Construction + Flag_Operations &gt; 0)</f>
        <v>0</v>
      </c>
      <c r="CG48" s="10">
        <f>SUM($K41:CG41) * 1 * (Flag_Construction + Flag_Operations &gt; 0)</f>
        <v>0</v>
      </c>
      <c r="CH48" s="10">
        <f>SUM($K41:CH41) * 1 * (Flag_Construction + Flag_Operations &gt; 0)</f>
        <v>0</v>
      </c>
      <c r="CI48" s="10">
        <f>SUM($K41:CI41) * 1 * (Flag_Construction + Flag_Operations &gt; 0)</f>
        <v>0</v>
      </c>
      <c r="CJ48" s="10">
        <f>SUM($K41:CJ41) * 1 * (Flag_Construction + Flag_Operations &gt; 0)</f>
        <v>0</v>
      </c>
      <c r="CK48" s="10">
        <f>SUM($K41:CK41) * 1 * (Flag_Construction + Flag_Operations &gt; 0)</f>
        <v>0</v>
      </c>
      <c r="CL48" s="10">
        <f>SUM($K41:CL41) * 1 * (Flag_Construction + Flag_Operations &gt; 0)</f>
        <v>0</v>
      </c>
      <c r="CM48" s="10">
        <f>SUM($K41:CM41) * 1 * (Flag_Construction + Flag_Operations &gt; 0)</f>
        <v>0</v>
      </c>
      <c r="CN48" s="10">
        <f>SUM($K41:CN41) * 1 * (Flag_Construction + Flag_Operations &gt; 0)</f>
        <v>0</v>
      </c>
      <c r="CO48" s="10">
        <f>SUM($K41:CO41) * 1 * (Flag_Construction + Flag_Operations &gt; 0)</f>
        <v>0</v>
      </c>
    </row>
    <row r="49" spans="1:93">
      <c r="A49" s="10"/>
      <c r="B49" s="10"/>
      <c r="C49" s="17" t="str">
        <f>"Сегмент 1 - период эксплуатации - " &amp; C35</f>
        <v>Сегмент 1 - период эксплуатации - Объект размещения (отель)</v>
      </c>
      <c r="D49" s="10"/>
      <c r="E49" s="10"/>
      <c r="F49" s="10"/>
      <c r="G49" s="11" t="str">
        <f t="shared" si="306"/>
        <v>0..1</v>
      </c>
      <c r="H49" s="10"/>
      <c r="I49" s="23">
        <f t="shared" si="307"/>
        <v>65</v>
      </c>
      <c r="J49" s="149"/>
      <c r="K49" s="10"/>
      <c r="L49" s="10">
        <f>SUM($K42:L42) * 1 * (Flag_Construction + Flag_Operations &gt; 0)</f>
        <v>0</v>
      </c>
      <c r="M49" s="10">
        <f>SUM($K42:M42) * 1 * (Flag_Construction + Flag_Operations &gt; 0)</f>
        <v>0</v>
      </c>
      <c r="N49" s="10">
        <f>SUM($K42:N42) * 1 * (Flag_Construction + Flag_Operations &gt; 0)</f>
        <v>0</v>
      </c>
      <c r="O49" s="10">
        <f>SUM($K42:O42) * 1 * (Flag_Construction + Flag_Operations &gt; 0)</f>
        <v>0</v>
      </c>
      <c r="P49" s="10">
        <f>SUM($K42:P42) * 1 * (Flag_Construction + Flag_Operations &gt; 0)</f>
        <v>0</v>
      </c>
      <c r="Q49" s="10">
        <f>SUM($K42:Q42) * 1 * (Flag_Construction + Flag_Operations &gt; 0)</f>
        <v>0</v>
      </c>
      <c r="R49" s="10">
        <f>SUM($K42:R42) * 1 * (Flag_Construction + Flag_Operations &gt; 0)</f>
        <v>0</v>
      </c>
      <c r="S49" s="10">
        <f>SUM($K42:S42) * 1 * (Flag_Construction + Flag_Operations &gt; 0)</f>
        <v>0</v>
      </c>
      <c r="T49" s="10">
        <f>SUM($K42:T42) * 1 * (Flag_Construction + Flag_Operations &gt; 0)</f>
        <v>0</v>
      </c>
      <c r="U49" s="10">
        <f>SUM($K42:U42) * 1 * (Flag_Construction + Flag_Operations &gt; 0)</f>
        <v>0</v>
      </c>
      <c r="V49" s="10">
        <f>SUM($K42:V42) * 1 * (Flag_Construction + Flag_Operations &gt; 0)</f>
        <v>0</v>
      </c>
      <c r="W49" s="10">
        <f>SUM($K42:W42) * 1 * (Flag_Construction + Flag_Operations &gt; 0)</f>
        <v>0</v>
      </c>
      <c r="X49" s="10">
        <f>SUM($K42:X42) * 1 * (Flag_Construction + Flag_Operations &gt; 0)</f>
        <v>0</v>
      </c>
      <c r="Y49" s="10">
        <f>SUM($K42:Y42) * 1 * (Flag_Construction + Flag_Operations &gt; 0)</f>
        <v>0</v>
      </c>
      <c r="Z49" s="10">
        <f>SUM($K42:Z42) * 1 * (Flag_Construction + Flag_Operations &gt; 0)</f>
        <v>0</v>
      </c>
      <c r="AA49" s="10">
        <f>SUM($K42:AA42) * 1 * (Flag_Construction + Flag_Operations &gt; 0)</f>
        <v>0</v>
      </c>
      <c r="AB49" s="10">
        <f>SUM($K42:AB42) * 1 * (Flag_Construction + Flag_Operations &gt; 0)</f>
        <v>0</v>
      </c>
      <c r="AC49" s="10">
        <f>SUM($K42:AC42) * 1 * (Flag_Construction + Flag_Operations &gt; 0)</f>
        <v>1</v>
      </c>
      <c r="AD49" s="10">
        <f>SUM($K42:AD42) * 1 * (Flag_Construction + Flag_Operations &gt; 0)</f>
        <v>1</v>
      </c>
      <c r="AE49" s="10">
        <f>SUM($K42:AE42) * 1 * (Flag_Construction + Flag_Operations &gt; 0)</f>
        <v>1</v>
      </c>
      <c r="AF49" s="10">
        <f>SUM($K42:AF42) * 1 * (Flag_Construction + Flag_Operations &gt; 0)</f>
        <v>1</v>
      </c>
      <c r="AG49" s="10">
        <f>SUM($K42:AG42) * 1 * (Flag_Construction + Flag_Operations &gt; 0)</f>
        <v>1</v>
      </c>
      <c r="AH49" s="10">
        <f>SUM($K42:AH42) * 1 * (Flag_Construction + Flag_Operations &gt; 0)</f>
        <v>1</v>
      </c>
      <c r="AI49" s="10">
        <f>SUM($K42:AI42) * 1 * (Flag_Construction + Flag_Operations &gt; 0)</f>
        <v>1</v>
      </c>
      <c r="AJ49" s="10">
        <f>SUM($K42:AJ42) * 1 * (Flag_Construction + Flag_Operations &gt; 0)</f>
        <v>1</v>
      </c>
      <c r="AK49" s="10">
        <f>SUM($K42:AK42) * 1 * (Flag_Construction + Flag_Operations &gt; 0)</f>
        <v>1</v>
      </c>
      <c r="AL49" s="10">
        <f>SUM($K42:AL42) * 1 * (Flag_Construction + Flag_Operations &gt; 0)</f>
        <v>1</v>
      </c>
      <c r="AM49" s="10">
        <f>SUM($K42:AM42) * 1 * (Flag_Construction + Flag_Operations &gt; 0)</f>
        <v>1</v>
      </c>
      <c r="AN49" s="10">
        <f>SUM($K42:AN42) * 1 * (Flag_Construction + Flag_Operations &gt; 0)</f>
        <v>1</v>
      </c>
      <c r="AO49" s="10">
        <f>SUM($K42:AO42) * 1 * (Flag_Construction + Flag_Operations &gt; 0)</f>
        <v>1</v>
      </c>
      <c r="AP49" s="10">
        <f>SUM($K42:AP42) * 1 * (Flag_Construction + Flag_Operations &gt; 0)</f>
        <v>1</v>
      </c>
      <c r="AQ49" s="10">
        <f>SUM($K42:AQ42) * 1 * (Flag_Construction + Flag_Operations &gt; 0)</f>
        <v>1</v>
      </c>
      <c r="AR49" s="10">
        <f>SUM($K42:AR42) * 1 * (Flag_Construction + Flag_Operations &gt; 0)</f>
        <v>1</v>
      </c>
      <c r="AS49" s="10">
        <f>SUM($K42:AS42) * 1 * (Flag_Construction + Flag_Operations &gt; 0)</f>
        <v>1</v>
      </c>
      <c r="AT49" s="10">
        <f>SUM($K42:AT42) * 1 * (Flag_Construction + Flag_Operations &gt; 0)</f>
        <v>1</v>
      </c>
      <c r="AU49" s="10">
        <f>SUM($K42:AU42) * 1 * (Flag_Construction + Flag_Operations &gt; 0)</f>
        <v>1</v>
      </c>
      <c r="AV49" s="10">
        <f>SUM($K42:AV42) * 1 * (Flag_Construction + Flag_Operations &gt; 0)</f>
        <v>1</v>
      </c>
      <c r="AW49" s="10">
        <f>SUM($K42:AW42) * 1 * (Flag_Construction + Flag_Operations &gt; 0)</f>
        <v>1</v>
      </c>
      <c r="AX49" s="10">
        <f>SUM($K42:AX42) * 1 * (Flag_Construction + Flag_Operations &gt; 0)</f>
        <v>1</v>
      </c>
      <c r="AY49" s="10">
        <f>SUM($K42:AY42) * 1 * (Flag_Construction + Flag_Operations &gt; 0)</f>
        <v>1</v>
      </c>
      <c r="AZ49" s="10">
        <f>SUM($K42:AZ42) * 1 * (Flag_Construction + Flag_Operations &gt; 0)</f>
        <v>1</v>
      </c>
      <c r="BA49" s="10">
        <f>SUM($K42:BA42) * 1 * (Flag_Construction + Flag_Operations &gt; 0)</f>
        <v>1</v>
      </c>
      <c r="BB49" s="10">
        <f>SUM($K42:BB42) * 1 * (Flag_Construction + Flag_Operations &gt; 0)</f>
        <v>1</v>
      </c>
      <c r="BC49" s="10">
        <f>SUM($K42:BC42) * 1 * (Flag_Construction + Flag_Operations &gt; 0)</f>
        <v>1</v>
      </c>
      <c r="BD49" s="10">
        <f>SUM($K42:BD42) * 1 * (Flag_Construction + Flag_Operations &gt; 0)</f>
        <v>1</v>
      </c>
      <c r="BE49" s="10">
        <f>SUM($K42:BE42) * 1 * (Flag_Construction + Flag_Operations &gt; 0)</f>
        <v>1</v>
      </c>
      <c r="BF49" s="10">
        <f>SUM($K42:BF42) * 1 * (Flag_Construction + Flag_Operations &gt; 0)</f>
        <v>1</v>
      </c>
      <c r="BG49" s="10">
        <f>SUM($K42:BG42) * 1 * (Flag_Construction + Flag_Operations &gt; 0)</f>
        <v>1</v>
      </c>
      <c r="BH49" s="10">
        <f>SUM($K42:BH42) * 1 * (Flag_Construction + Flag_Operations &gt; 0)</f>
        <v>1</v>
      </c>
      <c r="BI49" s="10">
        <f>SUM($K42:BI42) * 1 * (Flag_Construction + Flag_Operations &gt; 0)</f>
        <v>1</v>
      </c>
      <c r="BJ49" s="10">
        <f>SUM($K42:BJ42) * 1 * (Flag_Construction + Flag_Operations &gt; 0)</f>
        <v>1</v>
      </c>
      <c r="BK49" s="10">
        <f>SUM($K42:BK42) * 1 * (Flag_Construction + Flag_Operations &gt; 0)</f>
        <v>1</v>
      </c>
      <c r="BL49" s="10">
        <f>SUM($K42:BL42) * 1 * (Flag_Construction + Flag_Operations &gt; 0)</f>
        <v>1</v>
      </c>
      <c r="BM49" s="10">
        <f>SUM($K42:BM42) * 1 * (Flag_Construction + Flag_Operations &gt; 0)</f>
        <v>1</v>
      </c>
      <c r="BN49" s="10">
        <f>SUM($K42:BN42) * 1 * (Flag_Construction + Flag_Operations &gt; 0)</f>
        <v>1</v>
      </c>
      <c r="BO49" s="10">
        <f>SUM($K42:BO42) * 1 * (Flag_Construction + Flag_Operations &gt; 0)</f>
        <v>1</v>
      </c>
      <c r="BP49" s="10">
        <f>SUM($K42:BP42) * 1 * (Flag_Construction + Flag_Operations &gt; 0)</f>
        <v>1</v>
      </c>
      <c r="BQ49" s="10">
        <f>SUM($K42:BQ42) * 1 * (Flag_Construction + Flag_Operations &gt; 0)</f>
        <v>1</v>
      </c>
      <c r="BR49" s="10">
        <f>SUM($K42:BR42) * 1 * (Flag_Construction + Flag_Operations &gt; 0)</f>
        <v>1</v>
      </c>
      <c r="BS49" s="10">
        <f>SUM($K42:BS42) * 1 * (Flag_Construction + Flag_Operations &gt; 0)</f>
        <v>1</v>
      </c>
      <c r="BT49" s="10">
        <f>SUM($K42:BT42) * 1 * (Flag_Construction + Flag_Operations &gt; 0)</f>
        <v>1</v>
      </c>
      <c r="BU49" s="10">
        <f>SUM($K42:BU42) * 1 * (Flag_Construction + Flag_Operations &gt; 0)</f>
        <v>1</v>
      </c>
      <c r="BV49" s="10">
        <f>SUM($K42:BV42) * 1 * (Flag_Construction + Flag_Operations &gt; 0)</f>
        <v>1</v>
      </c>
      <c r="BW49" s="10">
        <f>SUM($K42:BW42) * 1 * (Flag_Construction + Flag_Operations &gt; 0)</f>
        <v>1</v>
      </c>
      <c r="BX49" s="10">
        <f>SUM($K42:BX42) * 1 * (Flag_Construction + Flag_Operations &gt; 0)</f>
        <v>1</v>
      </c>
      <c r="BY49" s="10">
        <f>SUM($K42:BY42) * 1 * (Flag_Construction + Flag_Operations &gt; 0)</f>
        <v>1</v>
      </c>
      <c r="BZ49" s="10">
        <f>SUM($K42:BZ42) * 1 * (Flag_Construction + Flag_Operations &gt; 0)</f>
        <v>1</v>
      </c>
      <c r="CA49" s="10">
        <f>SUM($K42:CA42) * 1 * (Flag_Construction + Flag_Operations &gt; 0)</f>
        <v>1</v>
      </c>
      <c r="CB49" s="10">
        <f>SUM($K42:CB42) * 1 * (Flag_Construction + Flag_Operations &gt; 0)</f>
        <v>1</v>
      </c>
      <c r="CC49" s="10">
        <f>SUM($K42:CC42) * 1 * (Flag_Construction + Flag_Operations &gt; 0)</f>
        <v>1</v>
      </c>
      <c r="CD49" s="10">
        <f>SUM($K42:CD42) * 1 * (Flag_Construction + Flag_Operations &gt; 0)</f>
        <v>1</v>
      </c>
      <c r="CE49" s="10">
        <f>SUM($K42:CE42) * 1 * (Flag_Construction + Flag_Operations &gt; 0)</f>
        <v>1</v>
      </c>
      <c r="CF49" s="10">
        <f>SUM($K42:CF42) * 1 * (Flag_Construction + Flag_Operations &gt; 0)</f>
        <v>1</v>
      </c>
      <c r="CG49" s="10">
        <f>SUM($K42:CG42) * 1 * (Flag_Construction + Flag_Operations &gt; 0)</f>
        <v>1</v>
      </c>
      <c r="CH49" s="10">
        <f>SUM($K42:CH42) * 1 * (Flag_Construction + Flag_Operations &gt; 0)</f>
        <v>1</v>
      </c>
      <c r="CI49" s="10">
        <f>SUM($K42:CI42) * 1 * (Flag_Construction + Flag_Operations &gt; 0)</f>
        <v>1</v>
      </c>
      <c r="CJ49" s="10">
        <f>SUM($K42:CJ42) * 1 * (Flag_Construction + Flag_Operations &gt; 0)</f>
        <v>1</v>
      </c>
      <c r="CK49" s="10">
        <f>SUM($K42:CK42) * 1 * (Flag_Construction + Flag_Operations &gt; 0)</f>
        <v>1</v>
      </c>
      <c r="CL49" s="10">
        <f>SUM($K42:CL42) * 1 * (Flag_Construction + Flag_Operations &gt; 0)</f>
        <v>1</v>
      </c>
      <c r="CM49" s="10">
        <f>SUM($K42:CM42) * 1 * (Flag_Construction + Flag_Operations &gt; 0)</f>
        <v>1</v>
      </c>
      <c r="CN49" s="10">
        <f>SUM($K42:CN42) * 1 * (Flag_Construction + Flag_Operations &gt; 0)</f>
        <v>1</v>
      </c>
      <c r="CO49" s="10">
        <f>SUM($K42:CO42) * 1 * (Flag_Construction + Flag_Operations &gt; 0)</f>
        <v>1</v>
      </c>
    </row>
    <row r="50" spans="1:93">
      <c r="A50" s="10"/>
      <c r="B50" s="10"/>
      <c r="C50" s="17" t="str">
        <f>"Сегмент 2 - период эксплуатации - " &amp; C36</f>
        <v>Сегмент 2 - период эксплуатации - Развлекательный комплекс</v>
      </c>
      <c r="D50" s="10"/>
      <c r="E50" s="10"/>
      <c r="F50" s="10"/>
      <c r="G50" s="11" t="str">
        <f t="shared" si="306"/>
        <v>0..1</v>
      </c>
      <c r="H50" s="10"/>
      <c r="I50" s="23">
        <f t="shared" si="307"/>
        <v>66</v>
      </c>
      <c r="J50" s="149"/>
      <c r="K50" s="10"/>
      <c r="L50" s="10">
        <f>SUM($K43:L43) * 1 * (Flag_Construction + Flag_Operations &gt; 0)</f>
        <v>0</v>
      </c>
      <c r="M50" s="10">
        <f>SUM($K43:M43) * 1 * (Flag_Construction + Flag_Operations &gt; 0)</f>
        <v>0</v>
      </c>
      <c r="N50" s="10">
        <f>SUM($K43:N43) * 1 * (Flag_Construction + Flag_Operations &gt; 0)</f>
        <v>0</v>
      </c>
      <c r="O50" s="10">
        <f>SUM($K43:O43) * 1 * (Flag_Construction + Flag_Operations &gt; 0)</f>
        <v>0</v>
      </c>
      <c r="P50" s="10">
        <f>SUM($K43:P43) * 1 * (Flag_Construction + Flag_Operations &gt; 0)</f>
        <v>0</v>
      </c>
      <c r="Q50" s="10">
        <f>SUM($K43:Q43) * 1 * (Flag_Construction + Flag_Operations &gt; 0)</f>
        <v>0</v>
      </c>
      <c r="R50" s="10">
        <f>SUM($K43:R43) * 1 * (Flag_Construction + Flag_Operations &gt; 0)</f>
        <v>0</v>
      </c>
      <c r="S50" s="10">
        <f>SUM($K43:S43) * 1 * (Flag_Construction + Flag_Operations &gt; 0)</f>
        <v>0</v>
      </c>
      <c r="T50" s="10">
        <f>SUM($K43:T43) * 1 * (Flag_Construction + Flag_Operations &gt; 0)</f>
        <v>0</v>
      </c>
      <c r="U50" s="10">
        <f>SUM($K43:U43) * 1 * (Flag_Construction + Flag_Operations &gt; 0)</f>
        <v>0</v>
      </c>
      <c r="V50" s="10">
        <f>SUM($K43:V43) * 1 * (Flag_Construction + Flag_Operations &gt; 0)</f>
        <v>0</v>
      </c>
      <c r="W50" s="10">
        <f>SUM($K43:W43) * 1 * (Flag_Construction + Flag_Operations &gt; 0)</f>
        <v>0</v>
      </c>
      <c r="X50" s="10">
        <f>SUM($K43:X43) * 1 * (Flag_Construction + Flag_Operations &gt; 0)</f>
        <v>0</v>
      </c>
      <c r="Y50" s="10">
        <f>SUM($K43:Y43) * 1 * (Flag_Construction + Flag_Operations &gt; 0)</f>
        <v>0</v>
      </c>
      <c r="Z50" s="10">
        <f>SUM($K43:Z43) * 1 * (Flag_Construction + Flag_Operations &gt; 0)</f>
        <v>0</v>
      </c>
      <c r="AA50" s="10">
        <f>SUM($K43:AA43) * 1 * (Flag_Construction + Flag_Operations &gt; 0)</f>
        <v>0</v>
      </c>
      <c r="AB50" s="10">
        <f>SUM($K43:AB43) * 1 * (Flag_Construction + Flag_Operations &gt; 0)</f>
        <v>1</v>
      </c>
      <c r="AC50" s="10">
        <f>SUM($K43:AC43) * 1 * (Flag_Construction + Flag_Operations &gt; 0)</f>
        <v>1</v>
      </c>
      <c r="AD50" s="10">
        <f>SUM($K43:AD43) * 1 * (Flag_Construction + Flag_Operations &gt; 0)</f>
        <v>1</v>
      </c>
      <c r="AE50" s="10">
        <f>SUM($K43:AE43) * 1 * (Flag_Construction + Flag_Operations &gt; 0)</f>
        <v>1</v>
      </c>
      <c r="AF50" s="10">
        <f>SUM($K43:AF43) * 1 * (Flag_Construction + Flag_Operations &gt; 0)</f>
        <v>1</v>
      </c>
      <c r="AG50" s="10">
        <f>SUM($K43:AG43) * 1 * (Flag_Construction + Flag_Operations &gt; 0)</f>
        <v>1</v>
      </c>
      <c r="AH50" s="10">
        <f>SUM($K43:AH43) * 1 * (Flag_Construction + Flag_Operations &gt; 0)</f>
        <v>1</v>
      </c>
      <c r="AI50" s="10">
        <f>SUM($K43:AI43) * 1 * (Flag_Construction + Flag_Operations &gt; 0)</f>
        <v>1</v>
      </c>
      <c r="AJ50" s="10">
        <f>SUM($K43:AJ43) * 1 * (Flag_Construction + Flag_Operations &gt; 0)</f>
        <v>1</v>
      </c>
      <c r="AK50" s="10">
        <f>SUM($K43:AK43) * 1 * (Flag_Construction + Flag_Operations &gt; 0)</f>
        <v>1</v>
      </c>
      <c r="AL50" s="10">
        <f>SUM($K43:AL43) * 1 * (Flag_Construction + Flag_Operations &gt; 0)</f>
        <v>1</v>
      </c>
      <c r="AM50" s="10">
        <f>SUM($K43:AM43) * 1 * (Flag_Construction + Flag_Operations &gt; 0)</f>
        <v>1</v>
      </c>
      <c r="AN50" s="10">
        <f>SUM($K43:AN43) * 1 * (Flag_Construction + Flag_Operations &gt; 0)</f>
        <v>1</v>
      </c>
      <c r="AO50" s="10">
        <f>SUM($K43:AO43) * 1 * (Flag_Construction + Flag_Operations &gt; 0)</f>
        <v>1</v>
      </c>
      <c r="AP50" s="10">
        <f>SUM($K43:AP43) * 1 * (Flag_Construction + Flag_Operations &gt; 0)</f>
        <v>1</v>
      </c>
      <c r="AQ50" s="10">
        <f>SUM($K43:AQ43) * 1 * (Flag_Construction + Flag_Operations &gt; 0)</f>
        <v>1</v>
      </c>
      <c r="AR50" s="10">
        <f>SUM($K43:AR43) * 1 * (Flag_Construction + Flag_Operations &gt; 0)</f>
        <v>1</v>
      </c>
      <c r="AS50" s="10">
        <f>SUM($K43:AS43) * 1 * (Flag_Construction + Flag_Operations &gt; 0)</f>
        <v>1</v>
      </c>
      <c r="AT50" s="10">
        <f>SUM($K43:AT43) * 1 * (Flag_Construction + Flag_Operations &gt; 0)</f>
        <v>1</v>
      </c>
      <c r="AU50" s="10">
        <f>SUM($K43:AU43) * 1 * (Flag_Construction + Flag_Operations &gt; 0)</f>
        <v>1</v>
      </c>
      <c r="AV50" s="10">
        <f>SUM($K43:AV43) * 1 * (Flag_Construction + Flag_Operations &gt; 0)</f>
        <v>1</v>
      </c>
      <c r="AW50" s="10">
        <f>SUM($K43:AW43) * 1 * (Flag_Construction + Flag_Operations &gt; 0)</f>
        <v>1</v>
      </c>
      <c r="AX50" s="10">
        <f>SUM($K43:AX43) * 1 * (Flag_Construction + Flag_Operations &gt; 0)</f>
        <v>1</v>
      </c>
      <c r="AY50" s="10">
        <f>SUM($K43:AY43) * 1 * (Flag_Construction + Flag_Operations &gt; 0)</f>
        <v>1</v>
      </c>
      <c r="AZ50" s="10">
        <f>SUM($K43:AZ43) * 1 * (Flag_Construction + Flag_Operations &gt; 0)</f>
        <v>1</v>
      </c>
      <c r="BA50" s="10">
        <f>SUM($K43:BA43) * 1 * (Flag_Construction + Flag_Operations &gt; 0)</f>
        <v>1</v>
      </c>
      <c r="BB50" s="10">
        <f>SUM($K43:BB43) * 1 * (Flag_Construction + Flag_Operations &gt; 0)</f>
        <v>1</v>
      </c>
      <c r="BC50" s="10">
        <f>SUM($K43:BC43) * 1 * (Flag_Construction + Flag_Operations &gt; 0)</f>
        <v>1</v>
      </c>
      <c r="BD50" s="10">
        <f>SUM($K43:BD43) * 1 * (Flag_Construction + Flag_Operations &gt; 0)</f>
        <v>1</v>
      </c>
      <c r="BE50" s="10">
        <f>SUM($K43:BE43) * 1 * (Flag_Construction + Flag_Operations &gt; 0)</f>
        <v>1</v>
      </c>
      <c r="BF50" s="10">
        <f>SUM($K43:BF43) * 1 * (Flag_Construction + Flag_Operations &gt; 0)</f>
        <v>1</v>
      </c>
      <c r="BG50" s="10">
        <f>SUM($K43:BG43) * 1 * (Flag_Construction + Flag_Operations &gt; 0)</f>
        <v>1</v>
      </c>
      <c r="BH50" s="10">
        <f>SUM($K43:BH43) * 1 * (Flag_Construction + Flag_Operations &gt; 0)</f>
        <v>1</v>
      </c>
      <c r="BI50" s="10">
        <f>SUM($K43:BI43) * 1 * (Flag_Construction + Flag_Operations &gt; 0)</f>
        <v>1</v>
      </c>
      <c r="BJ50" s="10">
        <f>SUM($K43:BJ43) * 1 * (Flag_Construction + Flag_Operations &gt; 0)</f>
        <v>1</v>
      </c>
      <c r="BK50" s="10">
        <f>SUM($K43:BK43) * 1 * (Flag_Construction + Flag_Operations &gt; 0)</f>
        <v>1</v>
      </c>
      <c r="BL50" s="10">
        <f>SUM($K43:BL43) * 1 * (Flag_Construction + Flag_Operations &gt; 0)</f>
        <v>1</v>
      </c>
      <c r="BM50" s="10">
        <f>SUM($K43:BM43) * 1 * (Flag_Construction + Flag_Operations &gt; 0)</f>
        <v>1</v>
      </c>
      <c r="BN50" s="10">
        <f>SUM($K43:BN43) * 1 * (Flag_Construction + Flag_Operations &gt; 0)</f>
        <v>1</v>
      </c>
      <c r="BO50" s="10">
        <f>SUM($K43:BO43) * 1 * (Flag_Construction + Flag_Operations &gt; 0)</f>
        <v>1</v>
      </c>
      <c r="BP50" s="10">
        <f>SUM($K43:BP43) * 1 * (Flag_Construction + Flag_Operations &gt; 0)</f>
        <v>1</v>
      </c>
      <c r="BQ50" s="10">
        <f>SUM($K43:BQ43) * 1 * (Flag_Construction + Flag_Operations &gt; 0)</f>
        <v>1</v>
      </c>
      <c r="BR50" s="10">
        <f>SUM($K43:BR43) * 1 * (Flag_Construction + Flag_Operations &gt; 0)</f>
        <v>1</v>
      </c>
      <c r="BS50" s="10">
        <f>SUM($K43:BS43) * 1 * (Flag_Construction + Flag_Operations &gt; 0)</f>
        <v>1</v>
      </c>
      <c r="BT50" s="10">
        <f>SUM($K43:BT43) * 1 * (Flag_Construction + Flag_Operations &gt; 0)</f>
        <v>1</v>
      </c>
      <c r="BU50" s="10">
        <f>SUM($K43:BU43) * 1 * (Flag_Construction + Flag_Operations &gt; 0)</f>
        <v>1</v>
      </c>
      <c r="BV50" s="10">
        <f>SUM($K43:BV43) * 1 * (Flag_Construction + Flag_Operations &gt; 0)</f>
        <v>1</v>
      </c>
      <c r="BW50" s="10">
        <f>SUM($K43:BW43) * 1 * (Flag_Construction + Flag_Operations &gt; 0)</f>
        <v>1</v>
      </c>
      <c r="BX50" s="10">
        <f>SUM($K43:BX43) * 1 * (Flag_Construction + Flag_Operations &gt; 0)</f>
        <v>1</v>
      </c>
      <c r="BY50" s="10">
        <f>SUM($K43:BY43) * 1 * (Flag_Construction + Flag_Operations &gt; 0)</f>
        <v>1</v>
      </c>
      <c r="BZ50" s="10">
        <f>SUM($K43:BZ43) * 1 * (Flag_Construction + Flag_Operations &gt; 0)</f>
        <v>1</v>
      </c>
      <c r="CA50" s="10">
        <f>SUM($K43:CA43) * 1 * (Flag_Construction + Flag_Operations &gt; 0)</f>
        <v>1</v>
      </c>
      <c r="CB50" s="10">
        <f>SUM($K43:CB43) * 1 * (Flag_Construction + Flag_Operations &gt; 0)</f>
        <v>1</v>
      </c>
      <c r="CC50" s="10">
        <f>SUM($K43:CC43) * 1 * (Flag_Construction + Flag_Operations &gt; 0)</f>
        <v>1</v>
      </c>
      <c r="CD50" s="10">
        <f>SUM($K43:CD43) * 1 * (Flag_Construction + Flag_Operations &gt; 0)</f>
        <v>1</v>
      </c>
      <c r="CE50" s="10">
        <f>SUM($K43:CE43) * 1 * (Flag_Construction + Flag_Operations &gt; 0)</f>
        <v>1</v>
      </c>
      <c r="CF50" s="10">
        <f>SUM($K43:CF43) * 1 * (Flag_Construction + Flag_Operations &gt; 0)</f>
        <v>1</v>
      </c>
      <c r="CG50" s="10">
        <f>SUM($K43:CG43) * 1 * (Flag_Construction + Flag_Operations &gt; 0)</f>
        <v>1</v>
      </c>
      <c r="CH50" s="10">
        <f>SUM($K43:CH43) * 1 * (Flag_Construction + Flag_Operations &gt; 0)</f>
        <v>1</v>
      </c>
      <c r="CI50" s="10">
        <f>SUM($K43:CI43) * 1 * (Flag_Construction + Flag_Operations &gt; 0)</f>
        <v>1</v>
      </c>
      <c r="CJ50" s="10">
        <f>SUM($K43:CJ43) * 1 * (Flag_Construction + Flag_Operations &gt; 0)</f>
        <v>1</v>
      </c>
      <c r="CK50" s="10">
        <f>SUM($K43:CK43) * 1 * (Flag_Construction + Flag_Operations &gt; 0)</f>
        <v>1</v>
      </c>
      <c r="CL50" s="10">
        <f>SUM($K43:CL43) * 1 * (Flag_Construction + Flag_Operations &gt; 0)</f>
        <v>1</v>
      </c>
      <c r="CM50" s="10">
        <f>SUM($K43:CM43) * 1 * (Flag_Construction + Flag_Operations &gt; 0)</f>
        <v>1</v>
      </c>
      <c r="CN50" s="10">
        <f>SUM($K43:CN43) * 1 * (Flag_Construction + Flag_Operations &gt; 0)</f>
        <v>1</v>
      </c>
      <c r="CO50" s="10">
        <f>SUM($K43:CO43) * 1 * (Flag_Construction + Flag_Operations &gt; 0)</f>
        <v>1</v>
      </c>
    </row>
    <row r="51" spans="1:93">
      <c r="A51" s="10"/>
      <c r="B51" s="10"/>
      <c r="C51" s="17" t="str">
        <f>"Сегмент 3 - период эксплуатации - " &amp; C37</f>
        <v>Сегмент 3 - период эксплуатации - Крытый парк развлечений</v>
      </c>
      <c r="D51" s="10"/>
      <c r="E51" s="10"/>
      <c r="F51" s="10"/>
      <c r="G51" s="11" t="str">
        <f t="shared" si="306"/>
        <v>0..0</v>
      </c>
      <c r="H51" s="10"/>
      <c r="I51" s="23">
        <f t="shared" si="307"/>
        <v>0</v>
      </c>
      <c r="J51" s="149"/>
      <c r="K51" s="10"/>
      <c r="L51" s="10">
        <f>SUM($K44:L44) * 1 * (Flag_Construction + Flag_Operations &gt; 0)</f>
        <v>0</v>
      </c>
      <c r="M51" s="10">
        <f>SUM($K44:M44) * 1 * (Flag_Construction + Flag_Operations &gt; 0)</f>
        <v>0</v>
      </c>
      <c r="N51" s="10">
        <f>SUM($K44:N44) * 1 * (Flag_Construction + Flag_Operations &gt; 0)</f>
        <v>0</v>
      </c>
      <c r="O51" s="10">
        <f>SUM($K44:O44) * 1 * (Flag_Construction + Flag_Operations &gt; 0)</f>
        <v>0</v>
      </c>
      <c r="P51" s="10">
        <f>SUM($K44:P44) * 1 * (Flag_Construction + Flag_Operations &gt; 0)</f>
        <v>0</v>
      </c>
      <c r="Q51" s="10">
        <f>SUM($K44:Q44) * 1 * (Flag_Construction + Flag_Operations &gt; 0)</f>
        <v>0</v>
      </c>
      <c r="R51" s="10">
        <f>SUM($K44:R44) * 1 * (Flag_Construction + Flag_Operations &gt; 0)</f>
        <v>0</v>
      </c>
      <c r="S51" s="10">
        <f>SUM($K44:S44) * 1 * (Flag_Construction + Flag_Operations &gt; 0)</f>
        <v>0</v>
      </c>
      <c r="T51" s="10">
        <f>SUM($K44:T44) * 1 * (Flag_Construction + Flag_Operations &gt; 0)</f>
        <v>0</v>
      </c>
      <c r="U51" s="10">
        <f>SUM($K44:U44) * 1 * (Flag_Construction + Flag_Operations &gt; 0)</f>
        <v>0</v>
      </c>
      <c r="V51" s="10">
        <f>SUM($K44:V44) * 1 * (Flag_Construction + Flag_Operations &gt; 0)</f>
        <v>0</v>
      </c>
      <c r="W51" s="10">
        <f>SUM($K44:W44) * 1 * (Flag_Construction + Flag_Operations &gt; 0)</f>
        <v>0</v>
      </c>
      <c r="X51" s="10">
        <f>SUM($K44:X44) * 1 * (Flag_Construction + Flag_Operations &gt; 0)</f>
        <v>0</v>
      </c>
      <c r="Y51" s="10">
        <f>SUM($K44:Y44) * 1 * (Flag_Construction + Flag_Operations &gt; 0)</f>
        <v>0</v>
      </c>
      <c r="Z51" s="10">
        <f>SUM($K44:Z44) * 1 * (Flag_Construction + Flag_Operations &gt; 0)</f>
        <v>0</v>
      </c>
      <c r="AA51" s="10">
        <f>SUM($K44:AA44) * 1 * (Flag_Construction + Flag_Operations &gt; 0)</f>
        <v>0</v>
      </c>
      <c r="AB51" s="10">
        <f>SUM($K44:AB44) * 1 * (Flag_Construction + Flag_Operations &gt; 0)</f>
        <v>0</v>
      </c>
      <c r="AC51" s="10">
        <f>SUM($K44:AC44) * 1 * (Flag_Construction + Flag_Operations &gt; 0)</f>
        <v>0</v>
      </c>
      <c r="AD51" s="10">
        <f>SUM($K44:AD44) * 1 * (Flag_Construction + Flag_Operations &gt; 0)</f>
        <v>0</v>
      </c>
      <c r="AE51" s="10">
        <f>SUM($K44:AE44) * 1 * (Flag_Construction + Flag_Operations &gt; 0)</f>
        <v>0</v>
      </c>
      <c r="AF51" s="10">
        <f>SUM($K44:AF44) * 1 * (Flag_Construction + Flag_Operations &gt; 0)</f>
        <v>0</v>
      </c>
      <c r="AG51" s="10">
        <f>SUM($K44:AG44) * 1 * (Flag_Construction + Flag_Operations &gt; 0)</f>
        <v>0</v>
      </c>
      <c r="AH51" s="10">
        <f>SUM($K44:AH44) * 1 * (Flag_Construction + Flag_Operations &gt; 0)</f>
        <v>0</v>
      </c>
      <c r="AI51" s="10">
        <f>SUM($K44:AI44) * 1 * (Flag_Construction + Flag_Operations &gt; 0)</f>
        <v>0</v>
      </c>
      <c r="AJ51" s="10">
        <f>SUM($K44:AJ44) * 1 * (Flag_Construction + Flag_Operations &gt; 0)</f>
        <v>0</v>
      </c>
      <c r="AK51" s="10">
        <f>SUM($K44:AK44) * 1 * (Flag_Construction + Flag_Operations &gt; 0)</f>
        <v>0</v>
      </c>
      <c r="AL51" s="10">
        <f>SUM($K44:AL44) * 1 * (Flag_Construction + Flag_Operations &gt; 0)</f>
        <v>0</v>
      </c>
      <c r="AM51" s="10">
        <f>SUM($K44:AM44) * 1 * (Flag_Construction + Flag_Operations &gt; 0)</f>
        <v>0</v>
      </c>
      <c r="AN51" s="10">
        <f>SUM($K44:AN44) * 1 * (Flag_Construction + Flag_Operations &gt; 0)</f>
        <v>0</v>
      </c>
      <c r="AO51" s="10">
        <f>SUM($K44:AO44) * 1 * (Flag_Construction + Flag_Operations &gt; 0)</f>
        <v>0</v>
      </c>
      <c r="AP51" s="10">
        <f>SUM($K44:AP44) * 1 * (Flag_Construction + Flag_Operations &gt; 0)</f>
        <v>0</v>
      </c>
      <c r="AQ51" s="10">
        <f>SUM($K44:AQ44) * 1 * (Flag_Construction + Flag_Operations &gt; 0)</f>
        <v>0</v>
      </c>
      <c r="AR51" s="10">
        <f>SUM($K44:AR44) * 1 * (Flag_Construction + Flag_Operations &gt; 0)</f>
        <v>0</v>
      </c>
      <c r="AS51" s="10">
        <f>SUM($K44:AS44) * 1 * (Flag_Construction + Flag_Operations &gt; 0)</f>
        <v>0</v>
      </c>
      <c r="AT51" s="10">
        <f>SUM($K44:AT44) * 1 * (Flag_Construction + Flag_Operations &gt; 0)</f>
        <v>0</v>
      </c>
      <c r="AU51" s="10">
        <f>SUM($K44:AU44) * 1 * (Flag_Construction + Flag_Operations &gt; 0)</f>
        <v>0</v>
      </c>
      <c r="AV51" s="10">
        <f>SUM($K44:AV44) * 1 * (Flag_Construction + Flag_Operations &gt; 0)</f>
        <v>0</v>
      </c>
      <c r="AW51" s="10">
        <f>SUM($K44:AW44) * 1 * (Flag_Construction + Flag_Operations &gt; 0)</f>
        <v>0</v>
      </c>
      <c r="AX51" s="10">
        <f>SUM($K44:AX44) * 1 * (Flag_Construction + Flag_Operations &gt; 0)</f>
        <v>0</v>
      </c>
      <c r="AY51" s="10">
        <f>SUM($K44:AY44) * 1 * (Flag_Construction + Flag_Operations &gt; 0)</f>
        <v>0</v>
      </c>
      <c r="AZ51" s="10">
        <f>SUM($K44:AZ44) * 1 * (Flag_Construction + Flag_Operations &gt; 0)</f>
        <v>0</v>
      </c>
      <c r="BA51" s="10">
        <f>SUM($K44:BA44) * 1 * (Flag_Construction + Flag_Operations &gt; 0)</f>
        <v>0</v>
      </c>
      <c r="BB51" s="10">
        <f>SUM($K44:BB44) * 1 * (Flag_Construction + Flag_Operations &gt; 0)</f>
        <v>0</v>
      </c>
      <c r="BC51" s="10">
        <f>SUM($K44:BC44) * 1 * (Flag_Construction + Flag_Operations &gt; 0)</f>
        <v>0</v>
      </c>
      <c r="BD51" s="10">
        <f>SUM($K44:BD44) * 1 * (Flag_Construction + Flag_Operations &gt; 0)</f>
        <v>0</v>
      </c>
      <c r="BE51" s="10">
        <f>SUM($K44:BE44) * 1 * (Flag_Construction + Flag_Operations &gt; 0)</f>
        <v>0</v>
      </c>
      <c r="BF51" s="10">
        <f>SUM($K44:BF44) * 1 * (Flag_Construction + Flag_Operations &gt; 0)</f>
        <v>0</v>
      </c>
      <c r="BG51" s="10">
        <f>SUM($K44:BG44) * 1 * (Flag_Construction + Flag_Operations &gt; 0)</f>
        <v>0</v>
      </c>
      <c r="BH51" s="10">
        <f>SUM($K44:BH44) * 1 * (Flag_Construction + Flag_Operations &gt; 0)</f>
        <v>0</v>
      </c>
      <c r="BI51" s="10">
        <f>SUM($K44:BI44) * 1 * (Flag_Construction + Flag_Operations &gt; 0)</f>
        <v>0</v>
      </c>
      <c r="BJ51" s="10">
        <f>SUM($K44:BJ44) * 1 * (Flag_Construction + Flag_Operations &gt; 0)</f>
        <v>0</v>
      </c>
      <c r="BK51" s="10">
        <f>SUM($K44:BK44) * 1 * (Flag_Construction + Flag_Operations &gt; 0)</f>
        <v>0</v>
      </c>
      <c r="BL51" s="10">
        <f>SUM($K44:BL44) * 1 * (Flag_Construction + Flag_Operations &gt; 0)</f>
        <v>0</v>
      </c>
      <c r="BM51" s="10">
        <f>SUM($K44:BM44) * 1 * (Flag_Construction + Flag_Operations &gt; 0)</f>
        <v>0</v>
      </c>
      <c r="BN51" s="10">
        <f>SUM($K44:BN44) * 1 * (Flag_Construction + Flag_Operations &gt; 0)</f>
        <v>0</v>
      </c>
      <c r="BO51" s="10">
        <f>SUM($K44:BO44) * 1 * (Flag_Construction + Flag_Operations &gt; 0)</f>
        <v>0</v>
      </c>
      <c r="BP51" s="10">
        <f>SUM($K44:BP44) * 1 * (Flag_Construction + Flag_Operations &gt; 0)</f>
        <v>0</v>
      </c>
      <c r="BQ51" s="10">
        <f>SUM($K44:BQ44) * 1 * (Flag_Construction + Flag_Operations &gt; 0)</f>
        <v>0</v>
      </c>
      <c r="BR51" s="10">
        <f>SUM($K44:BR44) * 1 * (Flag_Construction + Flag_Operations &gt; 0)</f>
        <v>0</v>
      </c>
      <c r="BS51" s="10">
        <f>SUM($K44:BS44) * 1 * (Flag_Construction + Flag_Operations &gt; 0)</f>
        <v>0</v>
      </c>
      <c r="BT51" s="10">
        <f>SUM($K44:BT44) * 1 * (Flag_Construction + Flag_Operations &gt; 0)</f>
        <v>0</v>
      </c>
      <c r="BU51" s="10">
        <f>SUM($K44:BU44) * 1 * (Flag_Construction + Flag_Operations &gt; 0)</f>
        <v>0</v>
      </c>
      <c r="BV51" s="10">
        <f>SUM($K44:BV44) * 1 * (Flag_Construction + Flag_Operations &gt; 0)</f>
        <v>0</v>
      </c>
      <c r="BW51" s="10">
        <f>SUM($K44:BW44) * 1 * (Flag_Construction + Flag_Operations &gt; 0)</f>
        <v>0</v>
      </c>
      <c r="BX51" s="10">
        <f>SUM($K44:BX44) * 1 * (Flag_Construction + Flag_Operations &gt; 0)</f>
        <v>0</v>
      </c>
      <c r="BY51" s="10">
        <f>SUM($K44:BY44) * 1 * (Flag_Construction + Flag_Operations &gt; 0)</f>
        <v>0</v>
      </c>
      <c r="BZ51" s="10">
        <f>SUM($K44:BZ44) * 1 * (Flag_Construction + Flag_Operations &gt; 0)</f>
        <v>0</v>
      </c>
      <c r="CA51" s="10">
        <f>SUM($K44:CA44) * 1 * (Flag_Construction + Flag_Operations &gt; 0)</f>
        <v>0</v>
      </c>
      <c r="CB51" s="10">
        <f>SUM($K44:CB44) * 1 * (Flag_Construction + Flag_Operations &gt; 0)</f>
        <v>0</v>
      </c>
      <c r="CC51" s="10">
        <f>SUM($K44:CC44) * 1 * (Flag_Construction + Flag_Operations &gt; 0)</f>
        <v>0</v>
      </c>
      <c r="CD51" s="10">
        <f>SUM($K44:CD44) * 1 * (Flag_Construction + Flag_Operations &gt; 0)</f>
        <v>0</v>
      </c>
      <c r="CE51" s="10">
        <f>SUM($K44:CE44) * 1 * (Flag_Construction + Flag_Operations &gt; 0)</f>
        <v>0</v>
      </c>
      <c r="CF51" s="10">
        <f>SUM($K44:CF44) * 1 * (Flag_Construction + Flag_Operations &gt; 0)</f>
        <v>0</v>
      </c>
      <c r="CG51" s="10">
        <f>SUM($K44:CG44) * 1 * (Flag_Construction + Flag_Operations &gt; 0)</f>
        <v>0</v>
      </c>
      <c r="CH51" s="10">
        <f>SUM($K44:CH44) * 1 * (Flag_Construction + Flag_Operations &gt; 0)</f>
        <v>0</v>
      </c>
      <c r="CI51" s="10">
        <f>SUM($K44:CI44) * 1 * (Flag_Construction + Flag_Operations &gt; 0)</f>
        <v>0</v>
      </c>
      <c r="CJ51" s="10">
        <f>SUM($K44:CJ44) * 1 * (Flag_Construction + Flag_Operations &gt; 0)</f>
        <v>0</v>
      </c>
      <c r="CK51" s="10">
        <f>SUM($K44:CK44) * 1 * (Flag_Construction + Flag_Operations &gt; 0)</f>
        <v>0</v>
      </c>
      <c r="CL51" s="10">
        <f>SUM($K44:CL44) * 1 * (Flag_Construction + Flag_Operations &gt; 0)</f>
        <v>0</v>
      </c>
      <c r="CM51" s="10">
        <f>SUM($K44:CM44) * 1 * (Flag_Construction + Flag_Operations &gt; 0)</f>
        <v>0</v>
      </c>
      <c r="CN51" s="10">
        <f>SUM($K44:CN44) * 1 * (Flag_Construction + Flag_Operations &gt; 0)</f>
        <v>0</v>
      </c>
      <c r="CO51" s="10">
        <f>SUM($K44:CO44) * 1 * (Flag_Construction + Flag_Operations &gt; 0)</f>
        <v>0</v>
      </c>
    </row>
    <row r="52" spans="1:93">
      <c r="A52" s="10"/>
      <c r="B52" s="10"/>
      <c r="C52" s="17"/>
      <c r="D52" s="10"/>
      <c r="E52" s="10"/>
      <c r="F52" s="10"/>
      <c r="G52" s="11"/>
      <c r="H52" s="10"/>
      <c r="I52" s="10"/>
      <c r="J52" s="149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</row>
    <row r="53" spans="1:93">
      <c r="A53" s="10"/>
      <c r="B53" s="10"/>
      <c r="C53" s="17" t="s">
        <v>448</v>
      </c>
      <c r="D53" s="10"/>
      <c r="E53" s="10"/>
      <c r="F53" s="10"/>
      <c r="G53" s="11" t="str">
        <f t="shared" ref="G53:G58" si="309">MIN(L53:CO53) &amp; ".." &amp; MAX(L53:CO53)</f>
        <v>0..0</v>
      </c>
      <c r="H53" s="10"/>
      <c r="I53" s="23">
        <f t="shared" ref="I53:I58" si="310">SUM(L53:CO53)</f>
        <v>0</v>
      </c>
      <c r="J53" s="10"/>
      <c r="K53" s="10"/>
      <c r="L53" s="10">
        <f t="shared" ref="L53:AQ53" si="311">Flag_Historical*(M28=0)</f>
        <v>0</v>
      </c>
      <c r="M53" s="10">
        <f t="shared" si="311"/>
        <v>0</v>
      </c>
      <c r="N53" s="10">
        <f t="shared" si="311"/>
        <v>0</v>
      </c>
      <c r="O53" s="10">
        <f t="shared" si="311"/>
        <v>0</v>
      </c>
      <c r="P53" s="10">
        <f t="shared" si="311"/>
        <v>0</v>
      </c>
      <c r="Q53" s="10">
        <f t="shared" si="311"/>
        <v>0</v>
      </c>
      <c r="R53" s="10">
        <f t="shared" si="311"/>
        <v>0</v>
      </c>
      <c r="S53" s="10">
        <f t="shared" si="311"/>
        <v>0</v>
      </c>
      <c r="T53" s="10">
        <f t="shared" si="311"/>
        <v>0</v>
      </c>
      <c r="U53" s="10">
        <f t="shared" si="311"/>
        <v>0</v>
      </c>
      <c r="V53" s="10">
        <f t="shared" si="311"/>
        <v>0</v>
      </c>
      <c r="W53" s="10">
        <f t="shared" si="311"/>
        <v>0</v>
      </c>
      <c r="X53" s="10">
        <f t="shared" si="311"/>
        <v>0</v>
      </c>
      <c r="Y53" s="10">
        <f t="shared" si="311"/>
        <v>0</v>
      </c>
      <c r="Z53" s="10">
        <f t="shared" si="311"/>
        <v>0</v>
      </c>
      <c r="AA53" s="10">
        <f t="shared" si="311"/>
        <v>0</v>
      </c>
      <c r="AB53" s="10">
        <f t="shared" si="311"/>
        <v>0</v>
      </c>
      <c r="AC53" s="10">
        <f t="shared" si="311"/>
        <v>0</v>
      </c>
      <c r="AD53" s="10">
        <f t="shared" si="311"/>
        <v>0</v>
      </c>
      <c r="AE53" s="10">
        <f t="shared" si="311"/>
        <v>0</v>
      </c>
      <c r="AF53" s="10">
        <f t="shared" si="311"/>
        <v>0</v>
      </c>
      <c r="AG53" s="10">
        <f t="shared" si="311"/>
        <v>0</v>
      </c>
      <c r="AH53" s="10">
        <f t="shared" si="311"/>
        <v>0</v>
      </c>
      <c r="AI53" s="10">
        <f t="shared" si="311"/>
        <v>0</v>
      </c>
      <c r="AJ53" s="10">
        <f t="shared" si="311"/>
        <v>0</v>
      </c>
      <c r="AK53" s="10">
        <f t="shared" si="311"/>
        <v>0</v>
      </c>
      <c r="AL53" s="10">
        <f t="shared" si="311"/>
        <v>0</v>
      </c>
      <c r="AM53" s="10">
        <f t="shared" si="311"/>
        <v>0</v>
      </c>
      <c r="AN53" s="10">
        <f t="shared" si="311"/>
        <v>0</v>
      </c>
      <c r="AO53" s="10">
        <f t="shared" si="311"/>
        <v>0</v>
      </c>
      <c r="AP53" s="10">
        <f t="shared" si="311"/>
        <v>0</v>
      </c>
      <c r="AQ53" s="10">
        <f t="shared" si="311"/>
        <v>0</v>
      </c>
      <c r="AR53" s="10">
        <f t="shared" ref="AR53:BW53" si="312">Flag_Historical*(AS28=0)</f>
        <v>0</v>
      </c>
      <c r="AS53" s="10">
        <f t="shared" si="312"/>
        <v>0</v>
      </c>
      <c r="AT53" s="10">
        <f t="shared" si="312"/>
        <v>0</v>
      </c>
      <c r="AU53" s="10">
        <f t="shared" si="312"/>
        <v>0</v>
      </c>
      <c r="AV53" s="10">
        <f t="shared" si="312"/>
        <v>0</v>
      </c>
      <c r="AW53" s="10">
        <f t="shared" si="312"/>
        <v>0</v>
      </c>
      <c r="AX53" s="10">
        <f t="shared" si="312"/>
        <v>0</v>
      </c>
      <c r="AY53" s="10">
        <f t="shared" si="312"/>
        <v>0</v>
      </c>
      <c r="AZ53" s="10">
        <f t="shared" si="312"/>
        <v>0</v>
      </c>
      <c r="BA53" s="10">
        <f t="shared" si="312"/>
        <v>0</v>
      </c>
      <c r="BB53" s="10">
        <f t="shared" si="312"/>
        <v>0</v>
      </c>
      <c r="BC53" s="10">
        <f t="shared" si="312"/>
        <v>0</v>
      </c>
      <c r="BD53" s="10">
        <f t="shared" si="312"/>
        <v>0</v>
      </c>
      <c r="BE53" s="10">
        <f t="shared" si="312"/>
        <v>0</v>
      </c>
      <c r="BF53" s="10">
        <f t="shared" si="312"/>
        <v>0</v>
      </c>
      <c r="BG53" s="10">
        <f t="shared" si="312"/>
        <v>0</v>
      </c>
      <c r="BH53" s="10">
        <f t="shared" si="312"/>
        <v>0</v>
      </c>
      <c r="BI53" s="10">
        <f t="shared" si="312"/>
        <v>0</v>
      </c>
      <c r="BJ53" s="10">
        <f t="shared" si="312"/>
        <v>0</v>
      </c>
      <c r="BK53" s="10">
        <f t="shared" si="312"/>
        <v>0</v>
      </c>
      <c r="BL53" s="10">
        <f t="shared" si="312"/>
        <v>0</v>
      </c>
      <c r="BM53" s="10">
        <f t="shared" si="312"/>
        <v>0</v>
      </c>
      <c r="BN53" s="10">
        <f t="shared" si="312"/>
        <v>0</v>
      </c>
      <c r="BO53" s="10">
        <f t="shared" si="312"/>
        <v>0</v>
      </c>
      <c r="BP53" s="10">
        <f t="shared" si="312"/>
        <v>0</v>
      </c>
      <c r="BQ53" s="10">
        <f t="shared" si="312"/>
        <v>0</v>
      </c>
      <c r="BR53" s="10">
        <f t="shared" si="312"/>
        <v>0</v>
      </c>
      <c r="BS53" s="10">
        <f t="shared" si="312"/>
        <v>0</v>
      </c>
      <c r="BT53" s="10">
        <f t="shared" si="312"/>
        <v>0</v>
      </c>
      <c r="BU53" s="10">
        <f t="shared" si="312"/>
        <v>0</v>
      </c>
      <c r="BV53" s="10">
        <f t="shared" si="312"/>
        <v>0</v>
      </c>
      <c r="BW53" s="10">
        <f t="shared" si="312"/>
        <v>0</v>
      </c>
      <c r="BX53" s="10">
        <f t="shared" ref="BX53:CO53" si="313">Flag_Historical*(BY28=0)</f>
        <v>0</v>
      </c>
      <c r="BY53" s="10">
        <f t="shared" si="313"/>
        <v>0</v>
      </c>
      <c r="BZ53" s="10">
        <f t="shared" si="313"/>
        <v>0</v>
      </c>
      <c r="CA53" s="10">
        <f t="shared" si="313"/>
        <v>0</v>
      </c>
      <c r="CB53" s="10">
        <f t="shared" si="313"/>
        <v>0</v>
      </c>
      <c r="CC53" s="10">
        <f t="shared" si="313"/>
        <v>0</v>
      </c>
      <c r="CD53" s="10">
        <f t="shared" si="313"/>
        <v>0</v>
      </c>
      <c r="CE53" s="10">
        <f t="shared" si="313"/>
        <v>0</v>
      </c>
      <c r="CF53" s="10">
        <f t="shared" si="313"/>
        <v>0</v>
      </c>
      <c r="CG53" s="10">
        <f t="shared" si="313"/>
        <v>0</v>
      </c>
      <c r="CH53" s="10">
        <f t="shared" si="313"/>
        <v>0</v>
      </c>
      <c r="CI53" s="10">
        <f t="shared" si="313"/>
        <v>0</v>
      </c>
      <c r="CJ53" s="10">
        <f t="shared" si="313"/>
        <v>0</v>
      </c>
      <c r="CK53" s="10">
        <f t="shared" si="313"/>
        <v>0</v>
      </c>
      <c r="CL53" s="10">
        <f t="shared" si="313"/>
        <v>0</v>
      </c>
      <c r="CM53" s="10">
        <f t="shared" si="313"/>
        <v>0</v>
      </c>
      <c r="CN53" s="10">
        <f t="shared" si="313"/>
        <v>0</v>
      </c>
      <c r="CO53" s="10">
        <f t="shared" si="313"/>
        <v>0</v>
      </c>
    </row>
    <row r="54" spans="1:93">
      <c r="A54" s="10"/>
      <c r="B54" s="10"/>
      <c r="C54" s="17" t="s">
        <v>451</v>
      </c>
      <c r="D54" s="10"/>
      <c r="E54" s="10"/>
      <c r="F54" s="62" t="s">
        <v>1212</v>
      </c>
      <c r="G54" s="11" t="str">
        <f t="shared" si="309"/>
        <v>1..1</v>
      </c>
      <c r="H54" s="10"/>
      <c r="I54" s="23">
        <f t="shared" si="310"/>
        <v>82</v>
      </c>
      <c r="J54" s="52"/>
      <c r="K54" s="52"/>
      <c r="L54" s="10">
        <f t="shared" ref="L54:AQ54" si="314">Flag_Financial_Model*NOT(Flag_Historical)</f>
        <v>1</v>
      </c>
      <c r="M54" s="10">
        <f t="shared" si="314"/>
        <v>1</v>
      </c>
      <c r="N54" s="10">
        <f t="shared" si="314"/>
        <v>1</v>
      </c>
      <c r="O54" s="10">
        <f t="shared" si="314"/>
        <v>1</v>
      </c>
      <c r="P54" s="10">
        <f t="shared" si="314"/>
        <v>1</v>
      </c>
      <c r="Q54" s="10">
        <f t="shared" si="314"/>
        <v>1</v>
      </c>
      <c r="R54" s="10">
        <f t="shared" si="314"/>
        <v>1</v>
      </c>
      <c r="S54" s="10">
        <f t="shared" si="314"/>
        <v>1</v>
      </c>
      <c r="T54" s="10">
        <f t="shared" si="314"/>
        <v>1</v>
      </c>
      <c r="U54" s="10">
        <f t="shared" si="314"/>
        <v>1</v>
      </c>
      <c r="V54" s="10">
        <f t="shared" si="314"/>
        <v>1</v>
      </c>
      <c r="W54" s="10">
        <f t="shared" si="314"/>
        <v>1</v>
      </c>
      <c r="X54" s="10">
        <f t="shared" si="314"/>
        <v>1</v>
      </c>
      <c r="Y54" s="10">
        <f t="shared" si="314"/>
        <v>1</v>
      </c>
      <c r="Z54" s="10">
        <f t="shared" si="314"/>
        <v>1</v>
      </c>
      <c r="AA54" s="10">
        <f t="shared" si="314"/>
        <v>1</v>
      </c>
      <c r="AB54" s="10">
        <f t="shared" si="314"/>
        <v>1</v>
      </c>
      <c r="AC54" s="10">
        <f t="shared" si="314"/>
        <v>1</v>
      </c>
      <c r="AD54" s="10">
        <f t="shared" si="314"/>
        <v>1</v>
      </c>
      <c r="AE54" s="10">
        <f t="shared" si="314"/>
        <v>1</v>
      </c>
      <c r="AF54" s="10">
        <f t="shared" si="314"/>
        <v>1</v>
      </c>
      <c r="AG54" s="10">
        <f t="shared" si="314"/>
        <v>1</v>
      </c>
      <c r="AH54" s="10">
        <f t="shared" si="314"/>
        <v>1</v>
      </c>
      <c r="AI54" s="10">
        <f t="shared" si="314"/>
        <v>1</v>
      </c>
      <c r="AJ54" s="10">
        <f t="shared" si="314"/>
        <v>1</v>
      </c>
      <c r="AK54" s="10">
        <f t="shared" si="314"/>
        <v>1</v>
      </c>
      <c r="AL54" s="10">
        <f t="shared" si="314"/>
        <v>1</v>
      </c>
      <c r="AM54" s="10">
        <f t="shared" si="314"/>
        <v>1</v>
      </c>
      <c r="AN54" s="10">
        <f t="shared" si="314"/>
        <v>1</v>
      </c>
      <c r="AO54" s="10">
        <f t="shared" si="314"/>
        <v>1</v>
      </c>
      <c r="AP54" s="10">
        <f t="shared" si="314"/>
        <v>1</v>
      </c>
      <c r="AQ54" s="10">
        <f t="shared" si="314"/>
        <v>1</v>
      </c>
      <c r="AR54" s="10">
        <f t="shared" ref="AR54:BW54" si="315">Flag_Financial_Model*NOT(Flag_Historical)</f>
        <v>1</v>
      </c>
      <c r="AS54" s="10">
        <f t="shared" si="315"/>
        <v>1</v>
      </c>
      <c r="AT54" s="10">
        <f t="shared" si="315"/>
        <v>1</v>
      </c>
      <c r="AU54" s="10">
        <f t="shared" si="315"/>
        <v>1</v>
      </c>
      <c r="AV54" s="10">
        <f t="shared" si="315"/>
        <v>1</v>
      </c>
      <c r="AW54" s="10">
        <f t="shared" si="315"/>
        <v>1</v>
      </c>
      <c r="AX54" s="10">
        <f t="shared" si="315"/>
        <v>1</v>
      </c>
      <c r="AY54" s="10">
        <f t="shared" si="315"/>
        <v>1</v>
      </c>
      <c r="AZ54" s="10">
        <f t="shared" si="315"/>
        <v>1</v>
      </c>
      <c r="BA54" s="10">
        <f t="shared" si="315"/>
        <v>1</v>
      </c>
      <c r="BB54" s="10">
        <f t="shared" si="315"/>
        <v>1</v>
      </c>
      <c r="BC54" s="10">
        <f t="shared" si="315"/>
        <v>1</v>
      </c>
      <c r="BD54" s="10">
        <f t="shared" si="315"/>
        <v>1</v>
      </c>
      <c r="BE54" s="10">
        <f t="shared" si="315"/>
        <v>1</v>
      </c>
      <c r="BF54" s="10">
        <f t="shared" si="315"/>
        <v>1</v>
      </c>
      <c r="BG54" s="10">
        <f t="shared" si="315"/>
        <v>1</v>
      </c>
      <c r="BH54" s="10">
        <f t="shared" si="315"/>
        <v>1</v>
      </c>
      <c r="BI54" s="10">
        <f t="shared" si="315"/>
        <v>1</v>
      </c>
      <c r="BJ54" s="10">
        <f t="shared" si="315"/>
        <v>1</v>
      </c>
      <c r="BK54" s="10">
        <f t="shared" si="315"/>
        <v>1</v>
      </c>
      <c r="BL54" s="10">
        <f t="shared" si="315"/>
        <v>1</v>
      </c>
      <c r="BM54" s="10">
        <f t="shared" si="315"/>
        <v>1</v>
      </c>
      <c r="BN54" s="10">
        <f t="shared" si="315"/>
        <v>1</v>
      </c>
      <c r="BO54" s="10">
        <f t="shared" si="315"/>
        <v>1</v>
      </c>
      <c r="BP54" s="10">
        <f t="shared" si="315"/>
        <v>1</v>
      </c>
      <c r="BQ54" s="10">
        <f t="shared" si="315"/>
        <v>1</v>
      </c>
      <c r="BR54" s="10">
        <f t="shared" si="315"/>
        <v>1</v>
      </c>
      <c r="BS54" s="10">
        <f t="shared" si="315"/>
        <v>1</v>
      </c>
      <c r="BT54" s="10">
        <f t="shared" si="315"/>
        <v>1</v>
      </c>
      <c r="BU54" s="10">
        <f t="shared" si="315"/>
        <v>1</v>
      </c>
      <c r="BV54" s="10">
        <f t="shared" si="315"/>
        <v>1</v>
      </c>
      <c r="BW54" s="10">
        <f t="shared" si="315"/>
        <v>1</v>
      </c>
      <c r="BX54" s="10">
        <f t="shared" ref="BX54:CO54" si="316">Flag_Financial_Model*NOT(Flag_Historical)</f>
        <v>1</v>
      </c>
      <c r="BY54" s="10">
        <f t="shared" si="316"/>
        <v>1</v>
      </c>
      <c r="BZ54" s="10">
        <f t="shared" si="316"/>
        <v>1</v>
      </c>
      <c r="CA54" s="10">
        <f t="shared" si="316"/>
        <v>1</v>
      </c>
      <c r="CB54" s="10">
        <f t="shared" si="316"/>
        <v>1</v>
      </c>
      <c r="CC54" s="10">
        <f t="shared" si="316"/>
        <v>1</v>
      </c>
      <c r="CD54" s="10">
        <f t="shared" si="316"/>
        <v>1</v>
      </c>
      <c r="CE54" s="10">
        <f t="shared" si="316"/>
        <v>1</v>
      </c>
      <c r="CF54" s="10">
        <f t="shared" si="316"/>
        <v>1</v>
      </c>
      <c r="CG54" s="10">
        <f t="shared" si="316"/>
        <v>1</v>
      </c>
      <c r="CH54" s="10">
        <f t="shared" si="316"/>
        <v>1</v>
      </c>
      <c r="CI54" s="10">
        <f t="shared" si="316"/>
        <v>1</v>
      </c>
      <c r="CJ54" s="10">
        <f t="shared" si="316"/>
        <v>1</v>
      </c>
      <c r="CK54" s="10">
        <f t="shared" si="316"/>
        <v>1</v>
      </c>
      <c r="CL54" s="10">
        <f t="shared" si="316"/>
        <v>1</v>
      </c>
      <c r="CM54" s="10">
        <f t="shared" si="316"/>
        <v>1</v>
      </c>
      <c r="CN54" s="10">
        <f t="shared" si="316"/>
        <v>1</v>
      </c>
      <c r="CO54" s="10">
        <f t="shared" si="316"/>
        <v>1</v>
      </c>
    </row>
    <row r="55" spans="1:93">
      <c r="A55" s="10"/>
      <c r="B55" s="10"/>
      <c r="C55" s="17" t="s">
        <v>452</v>
      </c>
      <c r="D55" s="10"/>
      <c r="E55" s="10"/>
      <c r="F55" s="10"/>
      <c r="G55" s="11" t="str">
        <f t="shared" si="309"/>
        <v>0..1</v>
      </c>
      <c r="H55" s="10"/>
      <c r="I55" s="23">
        <f t="shared" si="310"/>
        <v>1</v>
      </c>
      <c r="J55" s="10"/>
      <c r="K55" s="10"/>
      <c r="L55" s="10">
        <f t="shared" ref="L55:AQ55" si="317">(K54=0)*Flag_Forecast</f>
        <v>1</v>
      </c>
      <c r="M55" s="10">
        <f t="shared" si="317"/>
        <v>0</v>
      </c>
      <c r="N55" s="10">
        <f t="shared" si="317"/>
        <v>0</v>
      </c>
      <c r="O55" s="10">
        <f t="shared" si="317"/>
        <v>0</v>
      </c>
      <c r="P55" s="10">
        <f t="shared" si="317"/>
        <v>0</v>
      </c>
      <c r="Q55" s="10">
        <f t="shared" si="317"/>
        <v>0</v>
      </c>
      <c r="R55" s="10">
        <f t="shared" si="317"/>
        <v>0</v>
      </c>
      <c r="S55" s="10">
        <f t="shared" si="317"/>
        <v>0</v>
      </c>
      <c r="T55" s="10">
        <f t="shared" si="317"/>
        <v>0</v>
      </c>
      <c r="U55" s="10">
        <f t="shared" si="317"/>
        <v>0</v>
      </c>
      <c r="V55" s="10">
        <f t="shared" si="317"/>
        <v>0</v>
      </c>
      <c r="W55" s="10">
        <f t="shared" si="317"/>
        <v>0</v>
      </c>
      <c r="X55" s="10">
        <f t="shared" si="317"/>
        <v>0</v>
      </c>
      <c r="Y55" s="10">
        <f t="shared" si="317"/>
        <v>0</v>
      </c>
      <c r="Z55" s="10">
        <f t="shared" si="317"/>
        <v>0</v>
      </c>
      <c r="AA55" s="10">
        <f t="shared" si="317"/>
        <v>0</v>
      </c>
      <c r="AB55" s="10">
        <f t="shared" si="317"/>
        <v>0</v>
      </c>
      <c r="AC55" s="10">
        <f t="shared" si="317"/>
        <v>0</v>
      </c>
      <c r="AD55" s="10">
        <f t="shared" si="317"/>
        <v>0</v>
      </c>
      <c r="AE55" s="10">
        <f t="shared" si="317"/>
        <v>0</v>
      </c>
      <c r="AF55" s="10">
        <f t="shared" si="317"/>
        <v>0</v>
      </c>
      <c r="AG55" s="10">
        <f t="shared" si="317"/>
        <v>0</v>
      </c>
      <c r="AH55" s="10">
        <f t="shared" si="317"/>
        <v>0</v>
      </c>
      <c r="AI55" s="10">
        <f t="shared" si="317"/>
        <v>0</v>
      </c>
      <c r="AJ55" s="10">
        <f t="shared" si="317"/>
        <v>0</v>
      </c>
      <c r="AK55" s="10">
        <f t="shared" si="317"/>
        <v>0</v>
      </c>
      <c r="AL55" s="10">
        <f t="shared" si="317"/>
        <v>0</v>
      </c>
      <c r="AM55" s="10">
        <f t="shared" si="317"/>
        <v>0</v>
      </c>
      <c r="AN55" s="10">
        <f t="shared" si="317"/>
        <v>0</v>
      </c>
      <c r="AO55" s="10">
        <f t="shared" si="317"/>
        <v>0</v>
      </c>
      <c r="AP55" s="10">
        <f t="shared" si="317"/>
        <v>0</v>
      </c>
      <c r="AQ55" s="10">
        <f t="shared" si="317"/>
        <v>0</v>
      </c>
      <c r="AR55" s="10">
        <f t="shared" ref="AR55:BW55" si="318">(AQ54=0)*Flag_Forecast</f>
        <v>0</v>
      </c>
      <c r="AS55" s="10">
        <f t="shared" si="318"/>
        <v>0</v>
      </c>
      <c r="AT55" s="10">
        <f t="shared" si="318"/>
        <v>0</v>
      </c>
      <c r="AU55" s="10">
        <f t="shared" si="318"/>
        <v>0</v>
      </c>
      <c r="AV55" s="10">
        <f t="shared" si="318"/>
        <v>0</v>
      </c>
      <c r="AW55" s="10">
        <f t="shared" si="318"/>
        <v>0</v>
      </c>
      <c r="AX55" s="10">
        <f t="shared" si="318"/>
        <v>0</v>
      </c>
      <c r="AY55" s="10">
        <f t="shared" si="318"/>
        <v>0</v>
      </c>
      <c r="AZ55" s="10">
        <f t="shared" si="318"/>
        <v>0</v>
      </c>
      <c r="BA55" s="10">
        <f t="shared" si="318"/>
        <v>0</v>
      </c>
      <c r="BB55" s="10">
        <f t="shared" si="318"/>
        <v>0</v>
      </c>
      <c r="BC55" s="10">
        <f t="shared" si="318"/>
        <v>0</v>
      </c>
      <c r="BD55" s="10">
        <f t="shared" si="318"/>
        <v>0</v>
      </c>
      <c r="BE55" s="10">
        <f t="shared" si="318"/>
        <v>0</v>
      </c>
      <c r="BF55" s="10">
        <f t="shared" si="318"/>
        <v>0</v>
      </c>
      <c r="BG55" s="10">
        <f t="shared" si="318"/>
        <v>0</v>
      </c>
      <c r="BH55" s="10">
        <f t="shared" si="318"/>
        <v>0</v>
      </c>
      <c r="BI55" s="10">
        <f t="shared" si="318"/>
        <v>0</v>
      </c>
      <c r="BJ55" s="10">
        <f t="shared" si="318"/>
        <v>0</v>
      </c>
      <c r="BK55" s="10">
        <f t="shared" si="318"/>
        <v>0</v>
      </c>
      <c r="BL55" s="10">
        <f t="shared" si="318"/>
        <v>0</v>
      </c>
      <c r="BM55" s="10">
        <f t="shared" si="318"/>
        <v>0</v>
      </c>
      <c r="BN55" s="10">
        <f t="shared" si="318"/>
        <v>0</v>
      </c>
      <c r="BO55" s="10">
        <f t="shared" si="318"/>
        <v>0</v>
      </c>
      <c r="BP55" s="10">
        <f t="shared" si="318"/>
        <v>0</v>
      </c>
      <c r="BQ55" s="10">
        <f t="shared" si="318"/>
        <v>0</v>
      </c>
      <c r="BR55" s="10">
        <f t="shared" si="318"/>
        <v>0</v>
      </c>
      <c r="BS55" s="10">
        <f t="shared" si="318"/>
        <v>0</v>
      </c>
      <c r="BT55" s="10">
        <f t="shared" si="318"/>
        <v>0</v>
      </c>
      <c r="BU55" s="10">
        <f t="shared" si="318"/>
        <v>0</v>
      </c>
      <c r="BV55" s="10">
        <f t="shared" si="318"/>
        <v>0</v>
      </c>
      <c r="BW55" s="10">
        <f t="shared" si="318"/>
        <v>0</v>
      </c>
      <c r="BX55" s="10">
        <f t="shared" ref="BX55:CO55" si="319">(BW54=0)*Flag_Forecast</f>
        <v>0</v>
      </c>
      <c r="BY55" s="10">
        <f t="shared" si="319"/>
        <v>0</v>
      </c>
      <c r="BZ55" s="10">
        <f t="shared" si="319"/>
        <v>0</v>
      </c>
      <c r="CA55" s="10">
        <f t="shared" si="319"/>
        <v>0</v>
      </c>
      <c r="CB55" s="10">
        <f t="shared" si="319"/>
        <v>0</v>
      </c>
      <c r="CC55" s="10">
        <f t="shared" si="319"/>
        <v>0</v>
      </c>
      <c r="CD55" s="10">
        <f t="shared" si="319"/>
        <v>0</v>
      </c>
      <c r="CE55" s="10">
        <f t="shared" si="319"/>
        <v>0</v>
      </c>
      <c r="CF55" s="10">
        <f t="shared" si="319"/>
        <v>0</v>
      </c>
      <c r="CG55" s="10">
        <f t="shared" si="319"/>
        <v>0</v>
      </c>
      <c r="CH55" s="10">
        <f t="shared" si="319"/>
        <v>0</v>
      </c>
      <c r="CI55" s="10">
        <f t="shared" si="319"/>
        <v>0</v>
      </c>
      <c r="CJ55" s="10">
        <f t="shared" si="319"/>
        <v>0</v>
      </c>
      <c r="CK55" s="10">
        <f t="shared" si="319"/>
        <v>0</v>
      </c>
      <c r="CL55" s="10">
        <f t="shared" si="319"/>
        <v>0</v>
      </c>
      <c r="CM55" s="10">
        <f t="shared" si="319"/>
        <v>0</v>
      </c>
      <c r="CN55" s="10">
        <f t="shared" si="319"/>
        <v>0</v>
      </c>
      <c r="CO55" s="10">
        <f t="shared" si="319"/>
        <v>0</v>
      </c>
    </row>
    <row r="56" spans="1:93">
      <c r="A56" s="10"/>
      <c r="B56" s="10"/>
      <c r="C56" s="17" t="s">
        <v>453</v>
      </c>
      <c r="D56" s="10"/>
      <c r="E56" s="10"/>
      <c r="F56" s="10"/>
      <c r="G56" s="11" t="str">
        <f t="shared" si="309"/>
        <v>0..1</v>
      </c>
      <c r="H56" s="10"/>
      <c r="I56" s="23">
        <f t="shared" si="310"/>
        <v>1</v>
      </c>
      <c r="J56" s="10"/>
      <c r="K56" s="10"/>
      <c r="L56" s="10">
        <f t="shared" ref="L56:AQ56" si="320">Flag_Forecast*(M54=0)</f>
        <v>0</v>
      </c>
      <c r="M56" s="10">
        <f t="shared" si="320"/>
        <v>0</v>
      </c>
      <c r="N56" s="10">
        <f t="shared" si="320"/>
        <v>0</v>
      </c>
      <c r="O56" s="10">
        <f t="shared" si="320"/>
        <v>0</v>
      </c>
      <c r="P56" s="10">
        <f t="shared" si="320"/>
        <v>0</v>
      </c>
      <c r="Q56" s="10">
        <f t="shared" si="320"/>
        <v>0</v>
      </c>
      <c r="R56" s="10">
        <f t="shared" si="320"/>
        <v>0</v>
      </c>
      <c r="S56" s="10">
        <f t="shared" si="320"/>
        <v>0</v>
      </c>
      <c r="T56" s="10">
        <f t="shared" si="320"/>
        <v>0</v>
      </c>
      <c r="U56" s="10">
        <f t="shared" si="320"/>
        <v>0</v>
      </c>
      <c r="V56" s="10">
        <f t="shared" si="320"/>
        <v>0</v>
      </c>
      <c r="W56" s="10">
        <f t="shared" si="320"/>
        <v>0</v>
      </c>
      <c r="X56" s="10">
        <f t="shared" si="320"/>
        <v>0</v>
      </c>
      <c r="Y56" s="10">
        <f t="shared" si="320"/>
        <v>0</v>
      </c>
      <c r="Z56" s="10">
        <f t="shared" si="320"/>
        <v>0</v>
      </c>
      <c r="AA56" s="10">
        <f t="shared" si="320"/>
        <v>0</v>
      </c>
      <c r="AB56" s="10">
        <f t="shared" si="320"/>
        <v>0</v>
      </c>
      <c r="AC56" s="10">
        <f t="shared" si="320"/>
        <v>0</v>
      </c>
      <c r="AD56" s="10">
        <f t="shared" si="320"/>
        <v>0</v>
      </c>
      <c r="AE56" s="10">
        <f t="shared" si="320"/>
        <v>0</v>
      </c>
      <c r="AF56" s="10">
        <f t="shared" si="320"/>
        <v>0</v>
      </c>
      <c r="AG56" s="10">
        <f t="shared" si="320"/>
        <v>0</v>
      </c>
      <c r="AH56" s="10">
        <f t="shared" si="320"/>
        <v>0</v>
      </c>
      <c r="AI56" s="10">
        <f t="shared" si="320"/>
        <v>0</v>
      </c>
      <c r="AJ56" s="10">
        <f t="shared" si="320"/>
        <v>0</v>
      </c>
      <c r="AK56" s="10">
        <f t="shared" si="320"/>
        <v>0</v>
      </c>
      <c r="AL56" s="10">
        <f t="shared" si="320"/>
        <v>0</v>
      </c>
      <c r="AM56" s="10">
        <f t="shared" si="320"/>
        <v>0</v>
      </c>
      <c r="AN56" s="10">
        <f t="shared" si="320"/>
        <v>0</v>
      </c>
      <c r="AO56" s="10">
        <f t="shared" si="320"/>
        <v>0</v>
      </c>
      <c r="AP56" s="10">
        <f t="shared" si="320"/>
        <v>0</v>
      </c>
      <c r="AQ56" s="10">
        <f t="shared" si="320"/>
        <v>0</v>
      </c>
      <c r="AR56" s="10">
        <f t="shared" ref="AR56:BW56" si="321">Flag_Forecast*(AS54=0)</f>
        <v>0</v>
      </c>
      <c r="AS56" s="10">
        <f t="shared" si="321"/>
        <v>0</v>
      </c>
      <c r="AT56" s="10">
        <f t="shared" si="321"/>
        <v>0</v>
      </c>
      <c r="AU56" s="10">
        <f t="shared" si="321"/>
        <v>0</v>
      </c>
      <c r="AV56" s="10">
        <f t="shared" si="321"/>
        <v>0</v>
      </c>
      <c r="AW56" s="10">
        <f t="shared" si="321"/>
        <v>0</v>
      </c>
      <c r="AX56" s="10">
        <f t="shared" si="321"/>
        <v>0</v>
      </c>
      <c r="AY56" s="10">
        <f t="shared" si="321"/>
        <v>0</v>
      </c>
      <c r="AZ56" s="10">
        <f t="shared" si="321"/>
        <v>0</v>
      </c>
      <c r="BA56" s="10">
        <f t="shared" si="321"/>
        <v>0</v>
      </c>
      <c r="BB56" s="10">
        <f t="shared" si="321"/>
        <v>0</v>
      </c>
      <c r="BC56" s="10">
        <f t="shared" si="321"/>
        <v>0</v>
      </c>
      <c r="BD56" s="10">
        <f t="shared" si="321"/>
        <v>0</v>
      </c>
      <c r="BE56" s="10">
        <f t="shared" si="321"/>
        <v>0</v>
      </c>
      <c r="BF56" s="10">
        <f t="shared" si="321"/>
        <v>0</v>
      </c>
      <c r="BG56" s="10">
        <f t="shared" si="321"/>
        <v>0</v>
      </c>
      <c r="BH56" s="10">
        <f t="shared" si="321"/>
        <v>0</v>
      </c>
      <c r="BI56" s="10">
        <f t="shared" si="321"/>
        <v>0</v>
      </c>
      <c r="BJ56" s="10">
        <f t="shared" si="321"/>
        <v>0</v>
      </c>
      <c r="BK56" s="10">
        <f t="shared" si="321"/>
        <v>0</v>
      </c>
      <c r="BL56" s="10">
        <f t="shared" si="321"/>
        <v>0</v>
      </c>
      <c r="BM56" s="10">
        <f t="shared" si="321"/>
        <v>0</v>
      </c>
      <c r="BN56" s="10">
        <f t="shared" si="321"/>
        <v>0</v>
      </c>
      <c r="BO56" s="10">
        <f t="shared" si="321"/>
        <v>0</v>
      </c>
      <c r="BP56" s="10">
        <f t="shared" si="321"/>
        <v>0</v>
      </c>
      <c r="BQ56" s="10">
        <f t="shared" si="321"/>
        <v>0</v>
      </c>
      <c r="BR56" s="10">
        <f t="shared" si="321"/>
        <v>0</v>
      </c>
      <c r="BS56" s="10">
        <f t="shared" si="321"/>
        <v>0</v>
      </c>
      <c r="BT56" s="10">
        <f t="shared" si="321"/>
        <v>0</v>
      </c>
      <c r="BU56" s="10">
        <f t="shared" si="321"/>
        <v>0</v>
      </c>
      <c r="BV56" s="10">
        <f t="shared" si="321"/>
        <v>0</v>
      </c>
      <c r="BW56" s="10">
        <f t="shared" si="321"/>
        <v>0</v>
      </c>
      <c r="BX56" s="10">
        <f t="shared" ref="BX56:CO56" si="322">Flag_Forecast*(BY54=0)</f>
        <v>0</v>
      </c>
      <c r="BY56" s="10">
        <f t="shared" si="322"/>
        <v>0</v>
      </c>
      <c r="BZ56" s="10">
        <f t="shared" si="322"/>
        <v>0</v>
      </c>
      <c r="CA56" s="10">
        <f t="shared" si="322"/>
        <v>0</v>
      </c>
      <c r="CB56" s="10">
        <f t="shared" si="322"/>
        <v>0</v>
      </c>
      <c r="CC56" s="10">
        <f t="shared" si="322"/>
        <v>0</v>
      </c>
      <c r="CD56" s="10">
        <f t="shared" si="322"/>
        <v>0</v>
      </c>
      <c r="CE56" s="10">
        <f t="shared" si="322"/>
        <v>0</v>
      </c>
      <c r="CF56" s="10">
        <f t="shared" si="322"/>
        <v>0</v>
      </c>
      <c r="CG56" s="10">
        <f t="shared" si="322"/>
        <v>0</v>
      </c>
      <c r="CH56" s="10">
        <f t="shared" si="322"/>
        <v>0</v>
      </c>
      <c r="CI56" s="10">
        <f t="shared" si="322"/>
        <v>0</v>
      </c>
      <c r="CJ56" s="10">
        <f t="shared" si="322"/>
        <v>0</v>
      </c>
      <c r="CK56" s="10">
        <f t="shared" si="322"/>
        <v>0</v>
      </c>
      <c r="CL56" s="10">
        <f t="shared" si="322"/>
        <v>0</v>
      </c>
      <c r="CM56" s="10">
        <f t="shared" si="322"/>
        <v>0</v>
      </c>
      <c r="CN56" s="10">
        <f t="shared" si="322"/>
        <v>0</v>
      </c>
      <c r="CO56" s="10">
        <f t="shared" si="322"/>
        <v>1</v>
      </c>
    </row>
    <row r="57" spans="1:93">
      <c r="A57" s="10"/>
      <c r="B57" s="10"/>
      <c r="C57" s="17" t="s">
        <v>454</v>
      </c>
      <c r="D57" s="10"/>
      <c r="E57" s="10"/>
      <c r="F57" s="62" t="s">
        <v>1215</v>
      </c>
      <c r="G57" s="11" t="str">
        <f t="shared" si="309"/>
        <v>1..1</v>
      </c>
      <c r="H57" s="10"/>
      <c r="I57" s="23">
        <f t="shared" si="310"/>
        <v>82</v>
      </c>
      <c r="J57" s="10"/>
      <c r="K57" s="10"/>
      <c r="L57" s="10">
        <f t="shared" ref="L57:AQ57" si="323">MIN(Flag_Construction+Flag_Operations,1)</f>
        <v>1</v>
      </c>
      <c r="M57" s="10">
        <f t="shared" si="323"/>
        <v>1</v>
      </c>
      <c r="N57" s="10">
        <f t="shared" si="323"/>
        <v>1</v>
      </c>
      <c r="O57" s="10">
        <f t="shared" si="323"/>
        <v>1</v>
      </c>
      <c r="P57" s="10">
        <f t="shared" si="323"/>
        <v>1</v>
      </c>
      <c r="Q57" s="10">
        <f t="shared" si="323"/>
        <v>1</v>
      </c>
      <c r="R57" s="10">
        <f t="shared" si="323"/>
        <v>1</v>
      </c>
      <c r="S57" s="10">
        <f t="shared" si="323"/>
        <v>1</v>
      </c>
      <c r="T57" s="10">
        <f t="shared" si="323"/>
        <v>1</v>
      </c>
      <c r="U57" s="10">
        <f t="shared" si="323"/>
        <v>1</v>
      </c>
      <c r="V57" s="10">
        <f t="shared" si="323"/>
        <v>1</v>
      </c>
      <c r="W57" s="10">
        <f t="shared" si="323"/>
        <v>1</v>
      </c>
      <c r="X57" s="10">
        <f t="shared" si="323"/>
        <v>1</v>
      </c>
      <c r="Y57" s="10">
        <f t="shared" si="323"/>
        <v>1</v>
      </c>
      <c r="Z57" s="10">
        <f t="shared" si="323"/>
        <v>1</v>
      </c>
      <c r="AA57" s="10">
        <f t="shared" si="323"/>
        <v>1</v>
      </c>
      <c r="AB57" s="10">
        <f t="shared" si="323"/>
        <v>1</v>
      </c>
      <c r="AC57" s="10">
        <f t="shared" si="323"/>
        <v>1</v>
      </c>
      <c r="AD57" s="10">
        <f t="shared" si="323"/>
        <v>1</v>
      </c>
      <c r="AE57" s="10">
        <f t="shared" si="323"/>
        <v>1</v>
      </c>
      <c r="AF57" s="10">
        <f t="shared" si="323"/>
        <v>1</v>
      </c>
      <c r="AG57" s="10">
        <f t="shared" si="323"/>
        <v>1</v>
      </c>
      <c r="AH57" s="10">
        <f t="shared" si="323"/>
        <v>1</v>
      </c>
      <c r="AI57" s="10">
        <f t="shared" si="323"/>
        <v>1</v>
      </c>
      <c r="AJ57" s="10">
        <f t="shared" si="323"/>
        <v>1</v>
      </c>
      <c r="AK57" s="10">
        <f t="shared" si="323"/>
        <v>1</v>
      </c>
      <c r="AL57" s="10">
        <f t="shared" si="323"/>
        <v>1</v>
      </c>
      <c r="AM57" s="10">
        <f t="shared" si="323"/>
        <v>1</v>
      </c>
      <c r="AN57" s="10">
        <f t="shared" si="323"/>
        <v>1</v>
      </c>
      <c r="AO57" s="10">
        <f t="shared" si="323"/>
        <v>1</v>
      </c>
      <c r="AP57" s="10">
        <f t="shared" si="323"/>
        <v>1</v>
      </c>
      <c r="AQ57" s="10">
        <f t="shared" si="323"/>
        <v>1</v>
      </c>
      <c r="AR57" s="10">
        <f t="shared" ref="AR57:BW57" si="324">MIN(Flag_Construction+Flag_Operations,1)</f>
        <v>1</v>
      </c>
      <c r="AS57" s="10">
        <f t="shared" si="324"/>
        <v>1</v>
      </c>
      <c r="AT57" s="10">
        <f t="shared" si="324"/>
        <v>1</v>
      </c>
      <c r="AU57" s="10">
        <f t="shared" si="324"/>
        <v>1</v>
      </c>
      <c r="AV57" s="10">
        <f t="shared" si="324"/>
        <v>1</v>
      </c>
      <c r="AW57" s="10">
        <f t="shared" si="324"/>
        <v>1</v>
      </c>
      <c r="AX57" s="10">
        <f t="shared" si="324"/>
        <v>1</v>
      </c>
      <c r="AY57" s="10">
        <f t="shared" si="324"/>
        <v>1</v>
      </c>
      <c r="AZ57" s="10">
        <f t="shared" si="324"/>
        <v>1</v>
      </c>
      <c r="BA57" s="10">
        <f t="shared" si="324"/>
        <v>1</v>
      </c>
      <c r="BB57" s="10">
        <f t="shared" si="324"/>
        <v>1</v>
      </c>
      <c r="BC57" s="10">
        <f t="shared" si="324"/>
        <v>1</v>
      </c>
      <c r="BD57" s="10">
        <f t="shared" si="324"/>
        <v>1</v>
      </c>
      <c r="BE57" s="10">
        <f t="shared" si="324"/>
        <v>1</v>
      </c>
      <c r="BF57" s="10">
        <f t="shared" si="324"/>
        <v>1</v>
      </c>
      <c r="BG57" s="10">
        <f t="shared" si="324"/>
        <v>1</v>
      </c>
      <c r="BH57" s="10">
        <f t="shared" si="324"/>
        <v>1</v>
      </c>
      <c r="BI57" s="10">
        <f t="shared" si="324"/>
        <v>1</v>
      </c>
      <c r="BJ57" s="10">
        <f t="shared" si="324"/>
        <v>1</v>
      </c>
      <c r="BK57" s="10">
        <f t="shared" si="324"/>
        <v>1</v>
      </c>
      <c r="BL57" s="10">
        <f t="shared" si="324"/>
        <v>1</v>
      </c>
      <c r="BM57" s="10">
        <f t="shared" si="324"/>
        <v>1</v>
      </c>
      <c r="BN57" s="10">
        <f t="shared" si="324"/>
        <v>1</v>
      </c>
      <c r="BO57" s="10">
        <f t="shared" si="324"/>
        <v>1</v>
      </c>
      <c r="BP57" s="10">
        <f t="shared" si="324"/>
        <v>1</v>
      </c>
      <c r="BQ57" s="10">
        <f t="shared" si="324"/>
        <v>1</v>
      </c>
      <c r="BR57" s="10">
        <f t="shared" si="324"/>
        <v>1</v>
      </c>
      <c r="BS57" s="10">
        <f t="shared" si="324"/>
        <v>1</v>
      </c>
      <c r="BT57" s="10">
        <f t="shared" si="324"/>
        <v>1</v>
      </c>
      <c r="BU57" s="10">
        <f t="shared" si="324"/>
        <v>1</v>
      </c>
      <c r="BV57" s="10">
        <f t="shared" si="324"/>
        <v>1</v>
      </c>
      <c r="BW57" s="10">
        <f t="shared" si="324"/>
        <v>1</v>
      </c>
      <c r="BX57" s="10">
        <f t="shared" ref="BX57:CO57" si="325">MIN(Flag_Construction+Flag_Operations,1)</f>
        <v>1</v>
      </c>
      <c r="BY57" s="10">
        <f t="shared" si="325"/>
        <v>1</v>
      </c>
      <c r="BZ57" s="10">
        <f t="shared" si="325"/>
        <v>1</v>
      </c>
      <c r="CA57" s="10">
        <f t="shared" si="325"/>
        <v>1</v>
      </c>
      <c r="CB57" s="10">
        <f t="shared" si="325"/>
        <v>1</v>
      </c>
      <c r="CC57" s="10">
        <f t="shared" si="325"/>
        <v>1</v>
      </c>
      <c r="CD57" s="10">
        <f t="shared" si="325"/>
        <v>1</v>
      </c>
      <c r="CE57" s="10">
        <f t="shared" si="325"/>
        <v>1</v>
      </c>
      <c r="CF57" s="10">
        <f t="shared" si="325"/>
        <v>1</v>
      </c>
      <c r="CG57" s="10">
        <f t="shared" si="325"/>
        <v>1</v>
      </c>
      <c r="CH57" s="10">
        <f t="shared" si="325"/>
        <v>1</v>
      </c>
      <c r="CI57" s="10">
        <f t="shared" si="325"/>
        <v>1</v>
      </c>
      <c r="CJ57" s="10">
        <f t="shared" si="325"/>
        <v>1</v>
      </c>
      <c r="CK57" s="10">
        <f t="shared" si="325"/>
        <v>1</v>
      </c>
      <c r="CL57" s="10">
        <f t="shared" si="325"/>
        <v>1</v>
      </c>
      <c r="CM57" s="10">
        <f t="shared" si="325"/>
        <v>1</v>
      </c>
      <c r="CN57" s="10">
        <f t="shared" si="325"/>
        <v>1</v>
      </c>
      <c r="CO57" s="10">
        <f t="shared" si="325"/>
        <v>1</v>
      </c>
    </row>
    <row r="58" spans="1:93">
      <c r="A58" s="10"/>
      <c r="B58" s="10"/>
      <c r="C58" s="17" t="s">
        <v>1213</v>
      </c>
      <c r="D58" s="10"/>
      <c r="E58" s="10"/>
      <c r="F58" s="62" t="s">
        <v>1214</v>
      </c>
      <c r="G58" s="11" t="str">
        <f t="shared" si="309"/>
        <v>0..1</v>
      </c>
      <c r="H58" s="10"/>
      <c r="I58" s="23">
        <f t="shared" si="310"/>
        <v>17</v>
      </c>
      <c r="J58" s="10"/>
      <c r="K58" s="10"/>
      <c r="L58" s="10">
        <f t="shared" ref="L58:AQ58" si="326">MIN(Flag_Historical+Flag_Construction,1)</f>
        <v>1</v>
      </c>
      <c r="M58" s="10">
        <f t="shared" si="326"/>
        <v>1</v>
      </c>
      <c r="N58" s="10">
        <f t="shared" si="326"/>
        <v>1</v>
      </c>
      <c r="O58" s="10">
        <f t="shared" si="326"/>
        <v>1</v>
      </c>
      <c r="P58" s="10">
        <f t="shared" si="326"/>
        <v>1</v>
      </c>
      <c r="Q58" s="10">
        <f t="shared" si="326"/>
        <v>1</v>
      </c>
      <c r="R58" s="10">
        <f t="shared" si="326"/>
        <v>1</v>
      </c>
      <c r="S58" s="10">
        <f t="shared" si="326"/>
        <v>1</v>
      </c>
      <c r="T58" s="10">
        <f t="shared" si="326"/>
        <v>1</v>
      </c>
      <c r="U58" s="10">
        <f t="shared" si="326"/>
        <v>1</v>
      </c>
      <c r="V58" s="10">
        <f t="shared" si="326"/>
        <v>1</v>
      </c>
      <c r="W58" s="10">
        <f t="shared" si="326"/>
        <v>1</v>
      </c>
      <c r="X58" s="10">
        <f t="shared" si="326"/>
        <v>1</v>
      </c>
      <c r="Y58" s="10">
        <f t="shared" si="326"/>
        <v>1</v>
      </c>
      <c r="Z58" s="10">
        <f t="shared" si="326"/>
        <v>1</v>
      </c>
      <c r="AA58" s="10">
        <f t="shared" si="326"/>
        <v>1</v>
      </c>
      <c r="AB58" s="10">
        <f t="shared" si="326"/>
        <v>1</v>
      </c>
      <c r="AC58" s="10">
        <f t="shared" si="326"/>
        <v>0</v>
      </c>
      <c r="AD58" s="10">
        <f t="shared" si="326"/>
        <v>0</v>
      </c>
      <c r="AE58" s="10">
        <f t="shared" si="326"/>
        <v>0</v>
      </c>
      <c r="AF58" s="10">
        <f t="shared" si="326"/>
        <v>0</v>
      </c>
      <c r="AG58" s="10">
        <f t="shared" si="326"/>
        <v>0</v>
      </c>
      <c r="AH58" s="10">
        <f t="shared" si="326"/>
        <v>0</v>
      </c>
      <c r="AI58" s="10">
        <f t="shared" si="326"/>
        <v>0</v>
      </c>
      <c r="AJ58" s="10">
        <f t="shared" si="326"/>
        <v>0</v>
      </c>
      <c r="AK58" s="10">
        <f t="shared" si="326"/>
        <v>0</v>
      </c>
      <c r="AL58" s="10">
        <f t="shared" si="326"/>
        <v>0</v>
      </c>
      <c r="AM58" s="10">
        <f t="shared" si="326"/>
        <v>0</v>
      </c>
      <c r="AN58" s="10">
        <f t="shared" si="326"/>
        <v>0</v>
      </c>
      <c r="AO58" s="10">
        <f t="shared" si="326"/>
        <v>0</v>
      </c>
      <c r="AP58" s="10">
        <f t="shared" si="326"/>
        <v>0</v>
      </c>
      <c r="AQ58" s="10">
        <f t="shared" si="326"/>
        <v>0</v>
      </c>
      <c r="AR58" s="10">
        <f t="shared" ref="AR58:BW58" si="327">MIN(Flag_Historical+Flag_Construction,1)</f>
        <v>0</v>
      </c>
      <c r="AS58" s="10">
        <f t="shared" si="327"/>
        <v>0</v>
      </c>
      <c r="AT58" s="10">
        <f t="shared" si="327"/>
        <v>0</v>
      </c>
      <c r="AU58" s="10">
        <f t="shared" si="327"/>
        <v>0</v>
      </c>
      <c r="AV58" s="10">
        <f t="shared" si="327"/>
        <v>0</v>
      </c>
      <c r="AW58" s="10">
        <f t="shared" si="327"/>
        <v>0</v>
      </c>
      <c r="AX58" s="10">
        <f t="shared" si="327"/>
        <v>0</v>
      </c>
      <c r="AY58" s="10">
        <f t="shared" si="327"/>
        <v>0</v>
      </c>
      <c r="AZ58" s="10">
        <f t="shared" si="327"/>
        <v>0</v>
      </c>
      <c r="BA58" s="10">
        <f t="shared" si="327"/>
        <v>0</v>
      </c>
      <c r="BB58" s="10">
        <f t="shared" si="327"/>
        <v>0</v>
      </c>
      <c r="BC58" s="10">
        <f t="shared" si="327"/>
        <v>0</v>
      </c>
      <c r="BD58" s="10">
        <f t="shared" si="327"/>
        <v>0</v>
      </c>
      <c r="BE58" s="10">
        <f t="shared" si="327"/>
        <v>0</v>
      </c>
      <c r="BF58" s="10">
        <f t="shared" si="327"/>
        <v>0</v>
      </c>
      <c r="BG58" s="10">
        <f t="shared" si="327"/>
        <v>0</v>
      </c>
      <c r="BH58" s="10">
        <f t="shared" si="327"/>
        <v>0</v>
      </c>
      <c r="BI58" s="10">
        <f t="shared" si="327"/>
        <v>0</v>
      </c>
      <c r="BJ58" s="10">
        <f t="shared" si="327"/>
        <v>0</v>
      </c>
      <c r="BK58" s="10">
        <f t="shared" si="327"/>
        <v>0</v>
      </c>
      <c r="BL58" s="10">
        <f t="shared" si="327"/>
        <v>0</v>
      </c>
      <c r="BM58" s="10">
        <f t="shared" si="327"/>
        <v>0</v>
      </c>
      <c r="BN58" s="10">
        <f t="shared" si="327"/>
        <v>0</v>
      </c>
      <c r="BO58" s="10">
        <f t="shared" si="327"/>
        <v>0</v>
      </c>
      <c r="BP58" s="10">
        <f t="shared" si="327"/>
        <v>0</v>
      </c>
      <c r="BQ58" s="10">
        <f t="shared" si="327"/>
        <v>0</v>
      </c>
      <c r="BR58" s="10">
        <f t="shared" si="327"/>
        <v>0</v>
      </c>
      <c r="BS58" s="10">
        <f t="shared" si="327"/>
        <v>0</v>
      </c>
      <c r="BT58" s="10">
        <f t="shared" si="327"/>
        <v>0</v>
      </c>
      <c r="BU58" s="10">
        <f t="shared" si="327"/>
        <v>0</v>
      </c>
      <c r="BV58" s="10">
        <f t="shared" si="327"/>
        <v>0</v>
      </c>
      <c r="BW58" s="10">
        <f t="shared" si="327"/>
        <v>0</v>
      </c>
      <c r="BX58" s="10">
        <f t="shared" ref="BX58:CO58" si="328">MIN(Flag_Historical+Flag_Construction,1)</f>
        <v>0</v>
      </c>
      <c r="BY58" s="10">
        <f t="shared" si="328"/>
        <v>0</v>
      </c>
      <c r="BZ58" s="10">
        <f t="shared" si="328"/>
        <v>0</v>
      </c>
      <c r="CA58" s="10">
        <f t="shared" si="328"/>
        <v>0</v>
      </c>
      <c r="CB58" s="10">
        <f t="shared" si="328"/>
        <v>0</v>
      </c>
      <c r="CC58" s="10">
        <f t="shared" si="328"/>
        <v>0</v>
      </c>
      <c r="CD58" s="10">
        <f t="shared" si="328"/>
        <v>0</v>
      </c>
      <c r="CE58" s="10">
        <f t="shared" si="328"/>
        <v>0</v>
      </c>
      <c r="CF58" s="10">
        <f t="shared" si="328"/>
        <v>0</v>
      </c>
      <c r="CG58" s="10">
        <f t="shared" si="328"/>
        <v>0</v>
      </c>
      <c r="CH58" s="10">
        <f t="shared" si="328"/>
        <v>0</v>
      </c>
      <c r="CI58" s="10">
        <f t="shared" si="328"/>
        <v>0</v>
      </c>
      <c r="CJ58" s="10">
        <f t="shared" si="328"/>
        <v>0</v>
      </c>
      <c r="CK58" s="10">
        <f t="shared" si="328"/>
        <v>0</v>
      </c>
      <c r="CL58" s="10">
        <f t="shared" si="328"/>
        <v>0</v>
      </c>
      <c r="CM58" s="10">
        <f t="shared" si="328"/>
        <v>0</v>
      </c>
      <c r="CN58" s="10">
        <f t="shared" si="328"/>
        <v>0</v>
      </c>
      <c r="CO58" s="10">
        <f t="shared" si="328"/>
        <v>0</v>
      </c>
    </row>
    <row r="59" spans="1:93">
      <c r="A59" s="10"/>
      <c r="B59" s="10"/>
      <c r="C59" s="17"/>
      <c r="D59" s="10"/>
      <c r="E59" s="10"/>
      <c r="F59" s="10"/>
      <c r="G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>
      <c r="A60" s="10"/>
      <c r="B60" s="10"/>
      <c r="C60" s="17" t="s">
        <v>864</v>
      </c>
      <c r="D60" s="10"/>
      <c r="E60" s="10"/>
      <c r="F60" s="10"/>
      <c r="G60" s="11" t="str">
        <f>MIN(L60:CO60) &amp; ".." &amp; MAX(L60:CO60)</f>
        <v>0..1</v>
      </c>
      <c r="H60" s="10"/>
      <c r="I60" s="23">
        <f>SUM(L60:CO60)</f>
        <v>1</v>
      </c>
      <c r="J60" s="10"/>
      <c r="K60" s="10"/>
      <c r="L60" s="10">
        <f t="shared" ref="L60" si="329">(K29&lt;L29)*(L29=1)</f>
        <v>1</v>
      </c>
      <c r="M60" s="10">
        <f t="shared" ref="M60" si="330">(L29&lt;M29)*(M29=1)</f>
        <v>0</v>
      </c>
      <c r="N60" s="10">
        <f t="shared" ref="N60" si="331">(M29&lt;N29)*(N29=1)</f>
        <v>0</v>
      </c>
      <c r="O60" s="10">
        <f t="shared" ref="O60" si="332">(N29&lt;O29)*(O29=1)</f>
        <v>0</v>
      </c>
      <c r="P60" s="10">
        <f t="shared" ref="P60" si="333">(O29&lt;P29)*(P29=1)</f>
        <v>0</v>
      </c>
      <c r="Q60" s="10">
        <f t="shared" ref="Q60" si="334">(P29&lt;Q29)*(Q29=1)</f>
        <v>0</v>
      </c>
      <c r="R60" s="10">
        <f t="shared" ref="R60" si="335">(Q29&lt;R29)*(R29=1)</f>
        <v>0</v>
      </c>
      <c r="S60" s="10">
        <f t="shared" ref="S60" si="336">(R29&lt;S29)*(S29=1)</f>
        <v>0</v>
      </c>
      <c r="T60" s="10">
        <f t="shared" ref="T60" si="337">(S29&lt;T29)*(T29=1)</f>
        <v>0</v>
      </c>
      <c r="U60" s="10">
        <f t="shared" ref="U60" si="338">(T29&lt;U29)*(U29=1)</f>
        <v>0</v>
      </c>
      <c r="V60" s="10">
        <f t="shared" ref="V60" si="339">(U29&lt;V29)*(V29=1)</f>
        <v>0</v>
      </c>
      <c r="W60" s="10">
        <f t="shared" ref="W60" si="340">(V29&lt;W29)*(W29=1)</f>
        <v>0</v>
      </c>
      <c r="X60" s="10">
        <f t="shared" ref="X60" si="341">(W29&lt;X29)*(X29=1)</f>
        <v>0</v>
      </c>
      <c r="Y60" s="10">
        <f t="shared" ref="Y60" si="342">(X29&lt;Y29)*(Y29=1)</f>
        <v>0</v>
      </c>
      <c r="Z60" s="10">
        <f t="shared" ref="Z60" si="343">(Y29&lt;Z29)*(Z29=1)</f>
        <v>0</v>
      </c>
      <c r="AA60" s="10">
        <f t="shared" ref="AA60" si="344">(Z29&lt;AA29)*(AA29=1)</f>
        <v>0</v>
      </c>
      <c r="AB60" s="10">
        <f t="shared" ref="AB60" si="345">(AA29&lt;AB29)*(AB29=1)</f>
        <v>0</v>
      </c>
      <c r="AC60" s="10">
        <f t="shared" ref="AC60" si="346">(AB29&lt;AC29)*(AC29=1)</f>
        <v>0</v>
      </c>
      <c r="AD60" s="10">
        <f t="shared" ref="AD60" si="347">(AC29&lt;AD29)*(AD29=1)</f>
        <v>0</v>
      </c>
      <c r="AE60" s="10">
        <f t="shared" ref="AE60" si="348">(AD29&lt;AE29)*(AE29=1)</f>
        <v>0</v>
      </c>
      <c r="AF60" s="10">
        <f t="shared" ref="AF60" si="349">(AE29&lt;AF29)*(AF29=1)</f>
        <v>0</v>
      </c>
      <c r="AG60" s="10">
        <f t="shared" ref="AG60" si="350">(AF29&lt;AG29)*(AG29=1)</f>
        <v>0</v>
      </c>
      <c r="AH60" s="10">
        <f t="shared" ref="AH60" si="351">(AG29&lt;AH29)*(AH29=1)</f>
        <v>0</v>
      </c>
      <c r="AI60" s="10">
        <f t="shared" ref="AI60" si="352">(AH29&lt;AI29)*(AI29=1)</f>
        <v>0</v>
      </c>
      <c r="AJ60" s="10">
        <f t="shared" ref="AJ60" si="353">(AI29&lt;AJ29)*(AJ29=1)</f>
        <v>0</v>
      </c>
      <c r="AK60" s="10">
        <f t="shared" ref="AK60" si="354">(AJ29&lt;AK29)*(AK29=1)</f>
        <v>0</v>
      </c>
      <c r="AL60" s="10">
        <f t="shared" ref="AL60" si="355">(AK29&lt;AL29)*(AL29=1)</f>
        <v>0</v>
      </c>
      <c r="AM60" s="10">
        <f t="shared" ref="AM60" si="356">(AL29&lt;AM29)*(AM29=1)</f>
        <v>0</v>
      </c>
      <c r="AN60" s="10">
        <f t="shared" ref="AN60" si="357">(AM29&lt;AN29)*(AN29=1)</f>
        <v>0</v>
      </c>
      <c r="AO60" s="10">
        <f t="shared" ref="AO60" si="358">(AN29&lt;AO29)*(AO29=1)</f>
        <v>0</v>
      </c>
      <c r="AP60" s="10">
        <f t="shared" ref="AP60" si="359">(AO29&lt;AP29)*(AP29=1)</f>
        <v>0</v>
      </c>
      <c r="AQ60" s="10">
        <f t="shared" ref="AQ60" si="360">(AP29&lt;AQ29)*(AQ29=1)</f>
        <v>0</v>
      </c>
      <c r="AR60" s="10">
        <f t="shared" ref="AR60" si="361">(AQ29&lt;AR29)*(AR29=1)</f>
        <v>0</v>
      </c>
      <c r="AS60" s="10">
        <f t="shared" ref="AS60" si="362">(AR29&lt;AS29)*(AS29=1)</f>
        <v>0</v>
      </c>
      <c r="AT60" s="10">
        <f t="shared" ref="AT60" si="363">(AS29&lt;AT29)*(AT29=1)</f>
        <v>0</v>
      </c>
      <c r="AU60" s="10">
        <f t="shared" ref="AU60" si="364">(AT29&lt;AU29)*(AU29=1)</f>
        <v>0</v>
      </c>
      <c r="AV60" s="10">
        <f t="shared" ref="AV60" si="365">(AU29&lt;AV29)*(AV29=1)</f>
        <v>0</v>
      </c>
      <c r="AW60" s="10">
        <f t="shared" ref="AW60" si="366">(AV29&lt;AW29)*(AW29=1)</f>
        <v>0</v>
      </c>
      <c r="AX60" s="10">
        <f t="shared" ref="AX60" si="367">(AW29&lt;AX29)*(AX29=1)</f>
        <v>0</v>
      </c>
      <c r="AY60" s="10">
        <f t="shared" ref="AY60" si="368">(AX29&lt;AY29)*(AY29=1)</f>
        <v>0</v>
      </c>
      <c r="AZ60" s="10">
        <f t="shared" ref="AZ60" si="369">(AY29&lt;AZ29)*(AZ29=1)</f>
        <v>0</v>
      </c>
      <c r="BA60" s="10">
        <f t="shared" ref="BA60" si="370">(AZ29&lt;BA29)*(BA29=1)</f>
        <v>0</v>
      </c>
      <c r="BB60" s="10">
        <f t="shared" ref="BB60" si="371">(BA29&lt;BB29)*(BB29=1)</f>
        <v>0</v>
      </c>
      <c r="BC60" s="10">
        <f t="shared" ref="BC60" si="372">(BB29&lt;BC29)*(BC29=1)</f>
        <v>0</v>
      </c>
      <c r="BD60" s="10">
        <f t="shared" ref="BD60" si="373">(BC29&lt;BD29)*(BD29=1)</f>
        <v>0</v>
      </c>
      <c r="BE60" s="10">
        <f t="shared" ref="BE60" si="374">(BD29&lt;BE29)*(BE29=1)</f>
        <v>0</v>
      </c>
      <c r="BF60" s="10">
        <f t="shared" ref="BF60" si="375">(BE29&lt;BF29)*(BF29=1)</f>
        <v>0</v>
      </c>
      <c r="BG60" s="10">
        <f t="shared" ref="BG60" si="376">(BF29&lt;BG29)*(BG29=1)</f>
        <v>0</v>
      </c>
      <c r="BH60" s="10">
        <f t="shared" ref="BH60" si="377">(BG29&lt;BH29)*(BH29=1)</f>
        <v>0</v>
      </c>
      <c r="BI60" s="10">
        <f t="shared" ref="BI60" si="378">(BH29&lt;BI29)*(BI29=1)</f>
        <v>0</v>
      </c>
      <c r="BJ60" s="10">
        <f t="shared" ref="BJ60" si="379">(BI29&lt;BJ29)*(BJ29=1)</f>
        <v>0</v>
      </c>
      <c r="BK60" s="10">
        <f t="shared" ref="BK60" si="380">(BJ29&lt;BK29)*(BK29=1)</f>
        <v>0</v>
      </c>
      <c r="BL60" s="10">
        <f t="shared" ref="BL60" si="381">(BK29&lt;BL29)*(BL29=1)</f>
        <v>0</v>
      </c>
      <c r="BM60" s="10">
        <f t="shared" ref="BM60" si="382">(BL29&lt;BM29)*(BM29=1)</f>
        <v>0</v>
      </c>
      <c r="BN60" s="10">
        <f t="shared" ref="BN60" si="383">(BM29&lt;BN29)*(BN29=1)</f>
        <v>0</v>
      </c>
      <c r="BO60" s="10">
        <f t="shared" ref="BO60" si="384">(BN29&lt;BO29)*(BO29=1)</f>
        <v>0</v>
      </c>
      <c r="BP60" s="10">
        <f t="shared" ref="BP60" si="385">(BO29&lt;BP29)*(BP29=1)</f>
        <v>0</v>
      </c>
      <c r="BQ60" s="10">
        <f t="shared" ref="BQ60" si="386">(BP29&lt;BQ29)*(BQ29=1)</f>
        <v>0</v>
      </c>
      <c r="BR60" s="10">
        <f t="shared" ref="BR60" si="387">(BQ29&lt;BR29)*(BR29=1)</f>
        <v>0</v>
      </c>
      <c r="BS60" s="10">
        <f t="shared" ref="BS60" si="388">(BR29&lt;BS29)*(BS29=1)</f>
        <v>0</v>
      </c>
      <c r="BT60" s="10">
        <f t="shared" ref="BT60" si="389">(BS29&lt;BT29)*(BT29=1)</f>
        <v>0</v>
      </c>
      <c r="BU60" s="10">
        <f t="shared" ref="BU60" si="390">(BT29&lt;BU29)*(BU29=1)</f>
        <v>0</v>
      </c>
      <c r="BV60" s="10">
        <f t="shared" ref="BV60" si="391">(BU29&lt;BV29)*(BV29=1)</f>
        <v>0</v>
      </c>
      <c r="BW60" s="10">
        <f t="shared" ref="BW60" si="392">(BV29&lt;BW29)*(BW29=1)</f>
        <v>0</v>
      </c>
      <c r="BX60" s="10">
        <f t="shared" ref="BX60" si="393">(BW29&lt;BX29)*(BX29=1)</f>
        <v>0</v>
      </c>
      <c r="BY60" s="10">
        <f t="shared" ref="BY60" si="394">(BX29&lt;BY29)*(BY29=1)</f>
        <v>0</v>
      </c>
      <c r="BZ60" s="10">
        <f t="shared" ref="BZ60" si="395">(BY29&lt;BZ29)*(BZ29=1)</f>
        <v>0</v>
      </c>
      <c r="CA60" s="10">
        <f t="shared" ref="CA60" si="396">(BZ29&lt;CA29)*(CA29=1)</f>
        <v>0</v>
      </c>
      <c r="CB60" s="10">
        <f t="shared" ref="CB60" si="397">(CA29&lt;CB29)*(CB29=1)</f>
        <v>0</v>
      </c>
      <c r="CC60" s="10">
        <f t="shared" ref="CC60" si="398">(CB29&lt;CC29)*(CC29=1)</f>
        <v>0</v>
      </c>
      <c r="CD60" s="10">
        <f t="shared" ref="CD60" si="399">(CC29&lt;CD29)*(CD29=1)</f>
        <v>0</v>
      </c>
      <c r="CE60" s="10">
        <f t="shared" ref="CE60" si="400">(CD29&lt;CE29)*(CE29=1)</f>
        <v>0</v>
      </c>
      <c r="CF60" s="10">
        <f t="shared" ref="CF60" si="401">(CE29&lt;CF29)*(CF29=1)</f>
        <v>0</v>
      </c>
      <c r="CG60" s="10">
        <f t="shared" ref="CG60" si="402">(CF29&lt;CG29)*(CG29=1)</f>
        <v>0</v>
      </c>
      <c r="CH60" s="10">
        <f t="shared" ref="CH60" si="403">(CG29&lt;CH29)*(CH29=1)</f>
        <v>0</v>
      </c>
      <c r="CI60" s="10">
        <f t="shared" ref="CI60" si="404">(CH29&lt;CI29)*(CI29=1)</f>
        <v>0</v>
      </c>
      <c r="CJ60" s="10">
        <f t="shared" ref="CJ60" si="405">(CI29&lt;CJ29)*(CJ29=1)</f>
        <v>0</v>
      </c>
      <c r="CK60" s="10">
        <f t="shared" ref="CK60" si="406">(CJ29&lt;CK29)*(CK29=1)</f>
        <v>0</v>
      </c>
      <c r="CL60" s="10">
        <f t="shared" ref="CL60" si="407">(CK29&lt;CL29)*(CL29=1)</f>
        <v>0</v>
      </c>
      <c r="CM60" s="10">
        <f t="shared" ref="CM60" si="408">(CL29&lt;CM29)*(CM29=1)</f>
        <v>0</v>
      </c>
      <c r="CN60" s="10">
        <f t="shared" ref="CN60" si="409">(CM29&lt;CN29)*(CN29=1)</f>
        <v>0</v>
      </c>
      <c r="CO60" s="10">
        <f t="shared" ref="CO60" si="410">(CN29&lt;CO29)*(CO29=1)</f>
        <v>0</v>
      </c>
    </row>
    <row r="61" spans="1:93">
      <c r="A61" s="10"/>
      <c r="B61" s="10"/>
      <c r="C61" s="17" t="s">
        <v>865</v>
      </c>
      <c r="D61" s="10"/>
      <c r="E61" s="10"/>
      <c r="F61" s="10"/>
      <c r="G61" s="11" t="str">
        <f>MIN(L61:CO61) &amp; ".." &amp; MAX(L61:CO61)</f>
        <v>0..1</v>
      </c>
      <c r="H61" s="10"/>
      <c r="I61" s="23">
        <f>SUM(L61:CO61)</f>
        <v>1</v>
      </c>
      <c r="J61" s="10"/>
      <c r="K61" s="10"/>
      <c r="L61" s="10">
        <f t="shared" ref="L61" si="411">(L29&lt;&gt;M29)*(L29=1)</f>
        <v>0</v>
      </c>
      <c r="M61" s="10">
        <f t="shared" ref="M61" si="412">(M29&lt;&gt;N29)*(M29=1)</f>
        <v>0</v>
      </c>
      <c r="N61" s="10">
        <f t="shared" ref="N61" si="413">(N29&lt;&gt;O29)*(N29=1)</f>
        <v>0</v>
      </c>
      <c r="O61" s="10">
        <f t="shared" ref="O61" si="414">(O29&lt;&gt;P29)*(O29=1)</f>
        <v>0</v>
      </c>
      <c r="P61" s="10">
        <f t="shared" ref="P61" si="415">(P29&lt;&gt;Q29)*(P29=1)</f>
        <v>0</v>
      </c>
      <c r="Q61" s="10">
        <f t="shared" ref="Q61" si="416">(Q29&lt;&gt;R29)*(Q29=1)</f>
        <v>0</v>
      </c>
      <c r="R61" s="10">
        <f t="shared" ref="R61" si="417">(R29&lt;&gt;S29)*(R29=1)</f>
        <v>0</v>
      </c>
      <c r="S61" s="10">
        <f t="shared" ref="S61" si="418">(S29&lt;&gt;T29)*(S29=1)</f>
        <v>0</v>
      </c>
      <c r="T61" s="10">
        <f t="shared" ref="T61" si="419">(T29&lt;&gt;U29)*(T29=1)</f>
        <v>0</v>
      </c>
      <c r="U61" s="10">
        <f t="shared" ref="U61" si="420">(U29&lt;&gt;V29)*(U29=1)</f>
        <v>0</v>
      </c>
      <c r="V61" s="10">
        <f t="shared" ref="V61" si="421">(V29&lt;&gt;W29)*(V29=1)</f>
        <v>0</v>
      </c>
      <c r="W61" s="10">
        <f t="shared" ref="W61" si="422">(W29&lt;&gt;X29)*(W29=1)</f>
        <v>0</v>
      </c>
      <c r="X61" s="10">
        <f t="shared" ref="X61" si="423">(X29&lt;&gt;Y29)*(X29=1)</f>
        <v>0</v>
      </c>
      <c r="Y61" s="10">
        <f t="shared" ref="Y61" si="424">(Y29&lt;&gt;Z29)*(Y29=1)</f>
        <v>0</v>
      </c>
      <c r="Z61" s="10">
        <f t="shared" ref="Z61" si="425">(Z29&lt;&gt;AA29)*(Z29=1)</f>
        <v>0</v>
      </c>
      <c r="AA61" s="10">
        <f t="shared" ref="AA61" si="426">(AA29&lt;&gt;AB29)*(AA29=1)</f>
        <v>0</v>
      </c>
      <c r="AB61" s="10">
        <f t="shared" ref="AB61" si="427">(AB29&lt;&gt;AC29)*(AB29=1)</f>
        <v>1</v>
      </c>
      <c r="AC61" s="10">
        <f t="shared" ref="AC61" si="428">(AC29&lt;&gt;AD29)*(AC29=1)</f>
        <v>0</v>
      </c>
      <c r="AD61" s="10">
        <f t="shared" ref="AD61" si="429">(AD29&lt;&gt;AE29)*(AD29=1)</f>
        <v>0</v>
      </c>
      <c r="AE61" s="10">
        <f t="shared" ref="AE61" si="430">(AE29&lt;&gt;AF29)*(AE29=1)</f>
        <v>0</v>
      </c>
      <c r="AF61" s="10">
        <f t="shared" ref="AF61" si="431">(AF29&lt;&gt;AG29)*(AF29=1)</f>
        <v>0</v>
      </c>
      <c r="AG61" s="10">
        <f t="shared" ref="AG61" si="432">(AG29&lt;&gt;AH29)*(AG29=1)</f>
        <v>0</v>
      </c>
      <c r="AH61" s="10">
        <f t="shared" ref="AH61" si="433">(AH29&lt;&gt;AI29)*(AH29=1)</f>
        <v>0</v>
      </c>
      <c r="AI61" s="10">
        <f t="shared" ref="AI61" si="434">(AI29&lt;&gt;AJ29)*(AI29=1)</f>
        <v>0</v>
      </c>
      <c r="AJ61" s="10">
        <f t="shared" ref="AJ61" si="435">(AJ29&lt;&gt;AK29)*(AJ29=1)</f>
        <v>0</v>
      </c>
      <c r="AK61" s="10">
        <f t="shared" ref="AK61" si="436">(AK29&lt;&gt;AL29)*(AK29=1)</f>
        <v>0</v>
      </c>
      <c r="AL61" s="10">
        <f t="shared" ref="AL61" si="437">(AL29&lt;&gt;AM29)*(AL29=1)</f>
        <v>0</v>
      </c>
      <c r="AM61" s="10">
        <f t="shared" ref="AM61" si="438">(AM29&lt;&gt;AN29)*(AM29=1)</f>
        <v>0</v>
      </c>
      <c r="AN61" s="10">
        <f t="shared" ref="AN61" si="439">(AN29&lt;&gt;AO29)*(AN29=1)</f>
        <v>0</v>
      </c>
      <c r="AO61" s="10">
        <f t="shared" ref="AO61" si="440">(AO29&lt;&gt;AP29)*(AO29=1)</f>
        <v>0</v>
      </c>
      <c r="AP61" s="10">
        <f t="shared" ref="AP61" si="441">(AP29&lt;&gt;AQ29)*(AP29=1)</f>
        <v>0</v>
      </c>
      <c r="AQ61" s="10">
        <f t="shared" ref="AQ61" si="442">(AQ29&lt;&gt;AR29)*(AQ29=1)</f>
        <v>0</v>
      </c>
      <c r="AR61" s="10">
        <f t="shared" ref="AR61" si="443">(AR29&lt;&gt;AS29)*(AR29=1)</f>
        <v>0</v>
      </c>
      <c r="AS61" s="10">
        <f t="shared" ref="AS61" si="444">(AS29&lt;&gt;AT29)*(AS29=1)</f>
        <v>0</v>
      </c>
      <c r="AT61" s="10">
        <f t="shared" ref="AT61" si="445">(AT29&lt;&gt;AU29)*(AT29=1)</f>
        <v>0</v>
      </c>
      <c r="AU61" s="10">
        <f t="shared" ref="AU61" si="446">(AU29&lt;&gt;AV29)*(AU29=1)</f>
        <v>0</v>
      </c>
      <c r="AV61" s="10">
        <f t="shared" ref="AV61" si="447">(AV29&lt;&gt;AW29)*(AV29=1)</f>
        <v>0</v>
      </c>
      <c r="AW61" s="10">
        <f t="shared" ref="AW61" si="448">(AW29&lt;&gt;AX29)*(AW29=1)</f>
        <v>0</v>
      </c>
      <c r="AX61" s="10">
        <f t="shared" ref="AX61" si="449">(AX29&lt;&gt;AY29)*(AX29=1)</f>
        <v>0</v>
      </c>
      <c r="AY61" s="10">
        <f t="shared" ref="AY61" si="450">(AY29&lt;&gt;AZ29)*(AY29=1)</f>
        <v>0</v>
      </c>
      <c r="AZ61" s="10">
        <f t="shared" ref="AZ61" si="451">(AZ29&lt;&gt;BA29)*(AZ29=1)</f>
        <v>0</v>
      </c>
      <c r="BA61" s="10">
        <f t="shared" ref="BA61" si="452">(BA29&lt;&gt;BB29)*(BA29=1)</f>
        <v>0</v>
      </c>
      <c r="BB61" s="10">
        <f t="shared" ref="BB61" si="453">(BB29&lt;&gt;BC29)*(BB29=1)</f>
        <v>0</v>
      </c>
      <c r="BC61" s="10">
        <f t="shared" ref="BC61" si="454">(BC29&lt;&gt;BD29)*(BC29=1)</f>
        <v>0</v>
      </c>
      <c r="BD61" s="10">
        <f t="shared" ref="BD61" si="455">(BD29&lt;&gt;BE29)*(BD29=1)</f>
        <v>0</v>
      </c>
      <c r="BE61" s="10">
        <f t="shared" ref="BE61" si="456">(BE29&lt;&gt;BF29)*(BE29=1)</f>
        <v>0</v>
      </c>
      <c r="BF61" s="10">
        <f t="shared" ref="BF61" si="457">(BF29&lt;&gt;BG29)*(BF29=1)</f>
        <v>0</v>
      </c>
      <c r="BG61" s="10">
        <f t="shared" ref="BG61" si="458">(BG29&lt;&gt;BH29)*(BG29=1)</f>
        <v>0</v>
      </c>
      <c r="BH61" s="10">
        <f t="shared" ref="BH61" si="459">(BH29&lt;&gt;BI29)*(BH29=1)</f>
        <v>0</v>
      </c>
      <c r="BI61" s="10">
        <f t="shared" ref="BI61" si="460">(BI29&lt;&gt;BJ29)*(BI29=1)</f>
        <v>0</v>
      </c>
      <c r="BJ61" s="10">
        <f t="shared" ref="BJ61" si="461">(BJ29&lt;&gt;BK29)*(BJ29=1)</f>
        <v>0</v>
      </c>
      <c r="BK61" s="10">
        <f t="shared" ref="BK61" si="462">(BK29&lt;&gt;BL29)*(BK29=1)</f>
        <v>0</v>
      </c>
      <c r="BL61" s="10">
        <f t="shared" ref="BL61" si="463">(BL29&lt;&gt;BM29)*(BL29=1)</f>
        <v>0</v>
      </c>
      <c r="BM61" s="10">
        <f t="shared" ref="BM61" si="464">(BM29&lt;&gt;BN29)*(BM29=1)</f>
        <v>0</v>
      </c>
      <c r="BN61" s="10">
        <f t="shared" ref="BN61" si="465">(BN29&lt;&gt;BO29)*(BN29=1)</f>
        <v>0</v>
      </c>
      <c r="BO61" s="10">
        <f t="shared" ref="BO61" si="466">(BO29&lt;&gt;BP29)*(BO29=1)</f>
        <v>0</v>
      </c>
      <c r="BP61" s="10">
        <f t="shared" ref="BP61" si="467">(BP29&lt;&gt;BQ29)*(BP29=1)</f>
        <v>0</v>
      </c>
      <c r="BQ61" s="10">
        <f t="shared" ref="BQ61" si="468">(BQ29&lt;&gt;BR29)*(BQ29=1)</f>
        <v>0</v>
      </c>
      <c r="BR61" s="10">
        <f t="shared" ref="BR61" si="469">(BR29&lt;&gt;BS29)*(BR29=1)</f>
        <v>0</v>
      </c>
      <c r="BS61" s="10">
        <f t="shared" ref="BS61" si="470">(BS29&lt;&gt;BT29)*(BS29=1)</f>
        <v>0</v>
      </c>
      <c r="BT61" s="10">
        <f t="shared" ref="BT61" si="471">(BT29&lt;&gt;BU29)*(BT29=1)</f>
        <v>0</v>
      </c>
      <c r="BU61" s="10">
        <f t="shared" ref="BU61" si="472">(BU29&lt;&gt;BV29)*(BU29=1)</f>
        <v>0</v>
      </c>
      <c r="BV61" s="10">
        <f t="shared" ref="BV61" si="473">(BV29&lt;&gt;BW29)*(BV29=1)</f>
        <v>0</v>
      </c>
      <c r="BW61" s="10">
        <f t="shared" ref="BW61" si="474">(BW29&lt;&gt;BX29)*(BW29=1)</f>
        <v>0</v>
      </c>
      <c r="BX61" s="10">
        <f t="shared" ref="BX61" si="475">(BX29&lt;&gt;BY29)*(BX29=1)</f>
        <v>0</v>
      </c>
      <c r="BY61" s="10">
        <f t="shared" ref="BY61" si="476">(BY29&lt;&gt;BZ29)*(BY29=1)</f>
        <v>0</v>
      </c>
      <c r="BZ61" s="10">
        <f t="shared" ref="BZ61" si="477">(BZ29&lt;&gt;CA29)*(BZ29=1)</f>
        <v>0</v>
      </c>
      <c r="CA61" s="10">
        <f t="shared" ref="CA61" si="478">(CA29&lt;&gt;CB29)*(CA29=1)</f>
        <v>0</v>
      </c>
      <c r="CB61" s="10">
        <f t="shared" ref="CB61" si="479">(CB29&lt;&gt;CC29)*(CB29=1)</f>
        <v>0</v>
      </c>
      <c r="CC61" s="10">
        <f t="shared" ref="CC61" si="480">(CC29&lt;&gt;CD29)*(CC29=1)</f>
        <v>0</v>
      </c>
      <c r="CD61" s="10">
        <f t="shared" ref="CD61" si="481">(CD29&lt;&gt;CE29)*(CD29=1)</f>
        <v>0</v>
      </c>
      <c r="CE61" s="10">
        <f t="shared" ref="CE61" si="482">(CE29&lt;&gt;CF29)*(CE29=1)</f>
        <v>0</v>
      </c>
      <c r="CF61" s="10">
        <f t="shared" ref="CF61" si="483">(CF29&lt;&gt;CG29)*(CF29=1)</f>
        <v>0</v>
      </c>
      <c r="CG61" s="10">
        <f t="shared" ref="CG61" si="484">(CG29&lt;&gt;CH29)*(CG29=1)</f>
        <v>0</v>
      </c>
      <c r="CH61" s="10">
        <f t="shared" ref="CH61" si="485">(CH29&lt;&gt;CI29)*(CH29=1)</f>
        <v>0</v>
      </c>
      <c r="CI61" s="10">
        <f t="shared" ref="CI61" si="486">(CI29&lt;&gt;CJ29)*(CI29=1)</f>
        <v>0</v>
      </c>
      <c r="CJ61" s="10">
        <f t="shared" ref="CJ61" si="487">(CJ29&lt;&gt;CK29)*(CJ29=1)</f>
        <v>0</v>
      </c>
      <c r="CK61" s="10">
        <f t="shared" ref="CK61" si="488">(CK29&lt;&gt;CL29)*(CK29=1)</f>
        <v>0</v>
      </c>
      <c r="CL61" s="10">
        <f t="shared" ref="CL61" si="489">(CL29&lt;&gt;CM29)*(CL29=1)</f>
        <v>0</v>
      </c>
      <c r="CM61" s="10">
        <f t="shared" ref="CM61" si="490">(CM29&lt;&gt;CN29)*(CM29=1)</f>
        <v>0</v>
      </c>
      <c r="CN61" s="10">
        <f t="shared" ref="CN61" si="491">(CN29&lt;&gt;CO29)*(CN29=1)</f>
        <v>0</v>
      </c>
      <c r="CO61" s="10">
        <f t="shared" ref="CO61" si="492">(CO29&lt;&gt;CP29)*(CO29=1)</f>
        <v>0</v>
      </c>
    </row>
    <row r="62" spans="1:93">
      <c r="A62" s="10"/>
      <c r="B62" s="10"/>
      <c r="C62" s="17" t="s">
        <v>568</v>
      </c>
      <c r="D62" s="10"/>
      <c r="E62" s="10"/>
      <c r="F62" s="10"/>
      <c r="G62" s="11" t="str">
        <f>MIN(L62:CO62) &amp; ".." &amp; MAX(L62:CO62)</f>
        <v>0..1</v>
      </c>
      <c r="H62" s="10"/>
      <c r="I62" s="23">
        <f>SUM(L62:CO62)</f>
        <v>1</v>
      </c>
      <c r="J62" s="10"/>
      <c r="K62" s="10"/>
      <c r="L62" s="10">
        <f t="shared" ref="L62" si="493">(L30&lt;&gt;K30)*(L30&lt;&gt;0)</f>
        <v>0</v>
      </c>
      <c r="M62" s="10">
        <f t="shared" ref="M62" si="494">(M30&lt;&gt;L30)*(M30&lt;&gt;0)</f>
        <v>0</v>
      </c>
      <c r="N62" s="10">
        <f t="shared" ref="N62" si="495">(N30&lt;&gt;M30)*(N30&lt;&gt;0)</f>
        <v>0</v>
      </c>
      <c r="O62" s="10">
        <f t="shared" ref="O62" si="496">(O30&lt;&gt;N30)*(O30&lt;&gt;0)</f>
        <v>0</v>
      </c>
      <c r="P62" s="10">
        <f t="shared" ref="P62" si="497">(P30&lt;&gt;O30)*(P30&lt;&gt;0)</f>
        <v>0</v>
      </c>
      <c r="Q62" s="10">
        <f t="shared" ref="Q62" si="498">(Q30&lt;&gt;P30)*(Q30&lt;&gt;0)</f>
        <v>0</v>
      </c>
      <c r="R62" s="10">
        <f t="shared" ref="R62" si="499">(R30&lt;&gt;Q30)*(R30&lt;&gt;0)</f>
        <v>0</v>
      </c>
      <c r="S62" s="10">
        <f t="shared" ref="S62" si="500">(S30&lt;&gt;R30)*(S30&lt;&gt;0)</f>
        <v>0</v>
      </c>
      <c r="T62" s="10">
        <f t="shared" ref="T62" si="501">(T30&lt;&gt;S30)*(T30&lt;&gt;0)</f>
        <v>0</v>
      </c>
      <c r="U62" s="10">
        <f t="shared" ref="U62" si="502">(U30&lt;&gt;T30)*(U30&lt;&gt;0)</f>
        <v>0</v>
      </c>
      <c r="V62" s="10">
        <f t="shared" ref="V62" si="503">(V30&lt;&gt;U30)*(V30&lt;&gt;0)</f>
        <v>0</v>
      </c>
      <c r="W62" s="10">
        <f t="shared" ref="W62" si="504">(W30&lt;&gt;V30)*(W30&lt;&gt;0)</f>
        <v>0</v>
      </c>
      <c r="X62" s="10">
        <f t="shared" ref="X62" si="505">(X30&lt;&gt;W30)*(X30&lt;&gt;0)</f>
        <v>0</v>
      </c>
      <c r="Y62" s="10">
        <f t="shared" ref="Y62" si="506">(Y30&lt;&gt;X30)*(Y30&lt;&gt;0)</f>
        <v>0</v>
      </c>
      <c r="Z62" s="10">
        <f t="shared" ref="Z62" si="507">(Z30&lt;&gt;Y30)*(Z30&lt;&gt;0)</f>
        <v>0</v>
      </c>
      <c r="AA62" s="10">
        <f t="shared" ref="AA62" si="508">(AA30&lt;&gt;Z30)*(AA30&lt;&gt;0)</f>
        <v>0</v>
      </c>
      <c r="AB62" s="10">
        <f t="shared" ref="AB62" si="509">(AB30&lt;&gt;AA30)*(AB30&lt;&gt;0)</f>
        <v>0</v>
      </c>
      <c r="AC62" s="10">
        <f t="shared" ref="AC62" si="510">(AC30&lt;&gt;AB30)*(AC30&lt;&gt;0)</f>
        <v>1</v>
      </c>
      <c r="AD62" s="10">
        <f t="shared" ref="AD62" si="511">(AD30&lt;&gt;AC30)*(AD30&lt;&gt;0)</f>
        <v>0</v>
      </c>
      <c r="AE62" s="10">
        <f t="shared" ref="AE62" si="512">(AE30&lt;&gt;AD30)*(AE30&lt;&gt;0)</f>
        <v>0</v>
      </c>
      <c r="AF62" s="10">
        <f t="shared" ref="AF62" si="513">(AF30&lt;&gt;AE30)*(AF30&lt;&gt;0)</f>
        <v>0</v>
      </c>
      <c r="AG62" s="10">
        <f t="shared" ref="AG62" si="514">(AG30&lt;&gt;AF30)*(AG30&lt;&gt;0)</f>
        <v>0</v>
      </c>
      <c r="AH62" s="10">
        <f t="shared" ref="AH62" si="515">(AH30&lt;&gt;AG30)*(AH30&lt;&gt;0)</f>
        <v>0</v>
      </c>
      <c r="AI62" s="10">
        <f t="shared" ref="AI62" si="516">(AI30&lt;&gt;AH30)*(AI30&lt;&gt;0)</f>
        <v>0</v>
      </c>
      <c r="AJ62" s="10">
        <f t="shared" ref="AJ62" si="517">(AJ30&lt;&gt;AI30)*(AJ30&lt;&gt;0)</f>
        <v>0</v>
      </c>
      <c r="AK62" s="10">
        <f t="shared" ref="AK62" si="518">(AK30&lt;&gt;AJ30)*(AK30&lt;&gt;0)</f>
        <v>0</v>
      </c>
      <c r="AL62" s="10">
        <f t="shared" ref="AL62" si="519">(AL30&lt;&gt;AK30)*(AL30&lt;&gt;0)</f>
        <v>0</v>
      </c>
      <c r="AM62" s="10">
        <f t="shared" ref="AM62" si="520">(AM30&lt;&gt;AL30)*(AM30&lt;&gt;0)</f>
        <v>0</v>
      </c>
      <c r="AN62" s="10">
        <f t="shared" ref="AN62" si="521">(AN30&lt;&gt;AM30)*(AN30&lt;&gt;0)</f>
        <v>0</v>
      </c>
      <c r="AO62" s="10">
        <f t="shared" ref="AO62" si="522">(AO30&lt;&gt;AN30)*(AO30&lt;&gt;0)</f>
        <v>0</v>
      </c>
      <c r="AP62" s="10">
        <f t="shared" ref="AP62" si="523">(AP30&lt;&gt;AO30)*(AP30&lt;&gt;0)</f>
        <v>0</v>
      </c>
      <c r="AQ62" s="10">
        <f t="shared" ref="AQ62" si="524">(AQ30&lt;&gt;AP30)*(AQ30&lt;&gt;0)</f>
        <v>0</v>
      </c>
      <c r="AR62" s="10">
        <f t="shared" ref="AR62" si="525">(AR30&lt;&gt;AQ30)*(AR30&lt;&gt;0)</f>
        <v>0</v>
      </c>
      <c r="AS62" s="10">
        <f t="shared" ref="AS62" si="526">(AS30&lt;&gt;AR30)*(AS30&lt;&gt;0)</f>
        <v>0</v>
      </c>
      <c r="AT62" s="10">
        <f t="shared" ref="AT62" si="527">(AT30&lt;&gt;AS30)*(AT30&lt;&gt;0)</f>
        <v>0</v>
      </c>
      <c r="AU62" s="10">
        <f t="shared" ref="AU62" si="528">(AU30&lt;&gt;AT30)*(AU30&lt;&gt;0)</f>
        <v>0</v>
      </c>
      <c r="AV62" s="10">
        <f t="shared" ref="AV62" si="529">(AV30&lt;&gt;AU30)*(AV30&lt;&gt;0)</f>
        <v>0</v>
      </c>
      <c r="AW62" s="10">
        <f t="shared" ref="AW62" si="530">(AW30&lt;&gt;AV30)*(AW30&lt;&gt;0)</f>
        <v>0</v>
      </c>
      <c r="AX62" s="10">
        <f t="shared" ref="AX62" si="531">(AX30&lt;&gt;AW30)*(AX30&lt;&gt;0)</f>
        <v>0</v>
      </c>
      <c r="AY62" s="10">
        <f t="shared" ref="AY62" si="532">(AY30&lt;&gt;AX30)*(AY30&lt;&gt;0)</f>
        <v>0</v>
      </c>
      <c r="AZ62" s="10">
        <f t="shared" ref="AZ62" si="533">(AZ30&lt;&gt;AY30)*(AZ30&lt;&gt;0)</f>
        <v>0</v>
      </c>
      <c r="BA62" s="10">
        <f t="shared" ref="BA62" si="534">(BA30&lt;&gt;AZ30)*(BA30&lt;&gt;0)</f>
        <v>0</v>
      </c>
      <c r="BB62" s="10">
        <f t="shared" ref="BB62" si="535">(BB30&lt;&gt;BA30)*(BB30&lt;&gt;0)</f>
        <v>0</v>
      </c>
      <c r="BC62" s="10">
        <f t="shared" ref="BC62" si="536">(BC30&lt;&gt;BB30)*(BC30&lt;&gt;0)</f>
        <v>0</v>
      </c>
      <c r="BD62" s="10">
        <f t="shared" ref="BD62" si="537">(BD30&lt;&gt;BC30)*(BD30&lt;&gt;0)</f>
        <v>0</v>
      </c>
      <c r="BE62" s="10">
        <f t="shared" ref="BE62" si="538">(BE30&lt;&gt;BD30)*(BE30&lt;&gt;0)</f>
        <v>0</v>
      </c>
      <c r="BF62" s="10">
        <f t="shared" ref="BF62" si="539">(BF30&lt;&gt;BE30)*(BF30&lt;&gt;0)</f>
        <v>0</v>
      </c>
      <c r="BG62" s="10">
        <f t="shared" ref="BG62" si="540">(BG30&lt;&gt;BF30)*(BG30&lt;&gt;0)</f>
        <v>0</v>
      </c>
      <c r="BH62" s="10">
        <f t="shared" ref="BH62" si="541">(BH30&lt;&gt;BG30)*(BH30&lt;&gt;0)</f>
        <v>0</v>
      </c>
      <c r="BI62" s="10">
        <f t="shared" ref="BI62" si="542">(BI30&lt;&gt;BH30)*(BI30&lt;&gt;0)</f>
        <v>0</v>
      </c>
      <c r="BJ62" s="10">
        <f t="shared" ref="BJ62" si="543">(BJ30&lt;&gt;BI30)*(BJ30&lt;&gt;0)</f>
        <v>0</v>
      </c>
      <c r="BK62" s="10">
        <f t="shared" ref="BK62" si="544">(BK30&lt;&gt;BJ30)*(BK30&lt;&gt;0)</f>
        <v>0</v>
      </c>
      <c r="BL62" s="10">
        <f t="shared" ref="BL62" si="545">(BL30&lt;&gt;BK30)*(BL30&lt;&gt;0)</f>
        <v>0</v>
      </c>
      <c r="BM62" s="10">
        <f t="shared" ref="BM62" si="546">(BM30&lt;&gt;BL30)*(BM30&lt;&gt;0)</f>
        <v>0</v>
      </c>
      <c r="BN62" s="10">
        <f t="shared" ref="BN62" si="547">(BN30&lt;&gt;BM30)*(BN30&lt;&gt;0)</f>
        <v>0</v>
      </c>
      <c r="BO62" s="10">
        <f t="shared" ref="BO62" si="548">(BO30&lt;&gt;BN30)*(BO30&lt;&gt;0)</f>
        <v>0</v>
      </c>
      <c r="BP62" s="10">
        <f t="shared" ref="BP62" si="549">(BP30&lt;&gt;BO30)*(BP30&lt;&gt;0)</f>
        <v>0</v>
      </c>
      <c r="BQ62" s="10">
        <f t="shared" ref="BQ62" si="550">(BQ30&lt;&gt;BP30)*(BQ30&lt;&gt;0)</f>
        <v>0</v>
      </c>
      <c r="BR62" s="10">
        <f t="shared" ref="BR62" si="551">(BR30&lt;&gt;BQ30)*(BR30&lt;&gt;0)</f>
        <v>0</v>
      </c>
      <c r="BS62" s="10">
        <f t="shared" ref="BS62" si="552">(BS30&lt;&gt;BR30)*(BS30&lt;&gt;0)</f>
        <v>0</v>
      </c>
      <c r="BT62" s="10">
        <f t="shared" ref="BT62" si="553">(BT30&lt;&gt;BS30)*(BT30&lt;&gt;0)</f>
        <v>0</v>
      </c>
      <c r="BU62" s="10">
        <f t="shared" ref="BU62" si="554">(BU30&lt;&gt;BT30)*(BU30&lt;&gt;0)</f>
        <v>0</v>
      </c>
      <c r="BV62" s="10">
        <f t="shared" ref="BV62" si="555">(BV30&lt;&gt;BU30)*(BV30&lt;&gt;0)</f>
        <v>0</v>
      </c>
      <c r="BW62" s="10">
        <f t="shared" ref="BW62" si="556">(BW30&lt;&gt;BV30)*(BW30&lt;&gt;0)</f>
        <v>0</v>
      </c>
      <c r="BX62" s="10">
        <f t="shared" ref="BX62" si="557">(BX30&lt;&gt;BW30)*(BX30&lt;&gt;0)</f>
        <v>0</v>
      </c>
      <c r="BY62" s="10">
        <f t="shared" ref="BY62" si="558">(BY30&lt;&gt;BX30)*(BY30&lt;&gt;0)</f>
        <v>0</v>
      </c>
      <c r="BZ62" s="10">
        <f t="shared" ref="BZ62" si="559">(BZ30&lt;&gt;BY30)*(BZ30&lt;&gt;0)</f>
        <v>0</v>
      </c>
      <c r="CA62" s="10">
        <f t="shared" ref="CA62" si="560">(CA30&lt;&gt;BZ30)*(CA30&lt;&gt;0)</f>
        <v>0</v>
      </c>
      <c r="CB62" s="10">
        <f t="shared" ref="CB62" si="561">(CB30&lt;&gt;CA30)*(CB30&lt;&gt;0)</f>
        <v>0</v>
      </c>
      <c r="CC62" s="10">
        <f t="shared" ref="CC62" si="562">(CC30&lt;&gt;CB30)*(CC30&lt;&gt;0)</f>
        <v>0</v>
      </c>
      <c r="CD62" s="10">
        <f t="shared" ref="CD62" si="563">(CD30&lt;&gt;CC30)*(CD30&lt;&gt;0)</f>
        <v>0</v>
      </c>
      <c r="CE62" s="10">
        <f t="shared" ref="CE62" si="564">(CE30&lt;&gt;CD30)*(CE30&lt;&gt;0)</f>
        <v>0</v>
      </c>
      <c r="CF62" s="10">
        <f t="shared" ref="CF62" si="565">(CF30&lt;&gt;CE30)*(CF30&lt;&gt;0)</f>
        <v>0</v>
      </c>
      <c r="CG62" s="10">
        <f t="shared" ref="CG62" si="566">(CG30&lt;&gt;CF30)*(CG30&lt;&gt;0)</f>
        <v>0</v>
      </c>
      <c r="CH62" s="10">
        <f t="shared" ref="CH62" si="567">(CH30&lt;&gt;CG30)*(CH30&lt;&gt;0)</f>
        <v>0</v>
      </c>
      <c r="CI62" s="10">
        <f t="shared" ref="CI62" si="568">(CI30&lt;&gt;CH30)*(CI30&lt;&gt;0)</f>
        <v>0</v>
      </c>
      <c r="CJ62" s="10">
        <f t="shared" ref="CJ62" si="569">(CJ30&lt;&gt;CI30)*(CJ30&lt;&gt;0)</f>
        <v>0</v>
      </c>
      <c r="CK62" s="10">
        <f t="shared" ref="CK62" si="570">(CK30&lt;&gt;CJ30)*(CK30&lt;&gt;0)</f>
        <v>0</v>
      </c>
      <c r="CL62" s="10">
        <f t="shared" ref="CL62" si="571">(CL30&lt;&gt;CK30)*(CL30&lt;&gt;0)</f>
        <v>0</v>
      </c>
      <c r="CM62" s="10">
        <f t="shared" ref="CM62" si="572">(CM30&lt;&gt;CL30)*(CM30&lt;&gt;0)</f>
        <v>0</v>
      </c>
      <c r="CN62" s="10">
        <f t="shared" ref="CN62" si="573">(CN30&lt;&gt;CM30)*(CN30&lt;&gt;0)</f>
        <v>0</v>
      </c>
      <c r="CO62" s="10">
        <f t="shared" ref="CO62" si="574">(CO30&lt;&gt;CN30)*(CO30&lt;&gt;0)</f>
        <v>0</v>
      </c>
    </row>
    <row r="63" spans="1:93">
      <c r="A63" s="10"/>
      <c r="B63" s="10"/>
      <c r="C63" s="17" t="s">
        <v>569</v>
      </c>
      <c r="D63" s="10"/>
      <c r="E63" s="10"/>
      <c r="F63" s="10"/>
      <c r="G63" s="11" t="str">
        <f>MIN(L63:CO63) &amp; ".." &amp; MAX(L63:CO63)</f>
        <v>0..1</v>
      </c>
      <c r="H63" s="10"/>
      <c r="I63" s="23">
        <f>SUM(L63:CO63)</f>
        <v>1</v>
      </c>
      <c r="J63" s="10"/>
      <c r="K63" s="10"/>
      <c r="L63" s="10">
        <f t="shared" ref="L63" si="575">(L30&gt;M30)*1</f>
        <v>0</v>
      </c>
      <c r="M63" s="10">
        <f t="shared" ref="M63" si="576">(M30&gt;N30)*1</f>
        <v>0</v>
      </c>
      <c r="N63" s="10">
        <f t="shared" ref="N63" si="577">(N30&gt;O30)*1</f>
        <v>0</v>
      </c>
      <c r="O63" s="10">
        <f t="shared" ref="O63" si="578">(O30&gt;P30)*1</f>
        <v>0</v>
      </c>
      <c r="P63" s="10">
        <f t="shared" ref="P63" si="579">(P30&gt;Q30)*1</f>
        <v>0</v>
      </c>
      <c r="Q63" s="10">
        <f t="shared" ref="Q63" si="580">(Q30&gt;R30)*1</f>
        <v>0</v>
      </c>
      <c r="R63" s="10">
        <f t="shared" ref="R63" si="581">(R30&gt;S30)*1</f>
        <v>0</v>
      </c>
      <c r="S63" s="10">
        <f t="shared" ref="S63" si="582">(S30&gt;T30)*1</f>
        <v>0</v>
      </c>
      <c r="T63" s="10">
        <f t="shared" ref="T63" si="583">(T30&gt;U30)*1</f>
        <v>0</v>
      </c>
      <c r="U63" s="10">
        <f t="shared" ref="U63" si="584">(U30&gt;V30)*1</f>
        <v>0</v>
      </c>
      <c r="V63" s="10">
        <f t="shared" ref="V63" si="585">(V30&gt;W30)*1</f>
        <v>0</v>
      </c>
      <c r="W63" s="10">
        <f t="shared" ref="W63" si="586">(W30&gt;X30)*1</f>
        <v>0</v>
      </c>
      <c r="X63" s="10">
        <f t="shared" ref="X63" si="587">(X30&gt;Y30)*1</f>
        <v>0</v>
      </c>
      <c r="Y63" s="10">
        <f t="shared" ref="Y63" si="588">(Y30&gt;Z30)*1</f>
        <v>0</v>
      </c>
      <c r="Z63" s="10">
        <f t="shared" ref="Z63" si="589">(Z30&gt;AA30)*1</f>
        <v>0</v>
      </c>
      <c r="AA63" s="10">
        <f t="shared" ref="AA63" si="590">(AA30&gt;AB30)*1</f>
        <v>0</v>
      </c>
      <c r="AB63" s="10">
        <f t="shared" ref="AB63" si="591">(AB30&gt;AC30)*1</f>
        <v>0</v>
      </c>
      <c r="AC63" s="10">
        <f t="shared" ref="AC63" si="592">(AC30&gt;AD30)*1</f>
        <v>0</v>
      </c>
      <c r="AD63" s="10">
        <f t="shared" ref="AD63" si="593">(AD30&gt;AE30)*1</f>
        <v>0</v>
      </c>
      <c r="AE63" s="10">
        <f t="shared" ref="AE63" si="594">(AE30&gt;AF30)*1</f>
        <v>0</v>
      </c>
      <c r="AF63" s="10">
        <f t="shared" ref="AF63" si="595">(AF30&gt;AG30)*1</f>
        <v>0</v>
      </c>
      <c r="AG63" s="10">
        <f t="shared" ref="AG63" si="596">(AG30&gt;AH30)*1</f>
        <v>0</v>
      </c>
      <c r="AH63" s="10">
        <f t="shared" ref="AH63" si="597">(AH30&gt;AI30)*1</f>
        <v>0</v>
      </c>
      <c r="AI63" s="10">
        <f t="shared" ref="AI63" si="598">(AI30&gt;AJ30)*1</f>
        <v>0</v>
      </c>
      <c r="AJ63" s="10">
        <f t="shared" ref="AJ63" si="599">(AJ30&gt;AK30)*1</f>
        <v>0</v>
      </c>
      <c r="AK63" s="10">
        <f t="shared" ref="AK63" si="600">(AK30&gt;AL30)*1</f>
        <v>0</v>
      </c>
      <c r="AL63" s="10">
        <f t="shared" ref="AL63" si="601">(AL30&gt;AM30)*1</f>
        <v>0</v>
      </c>
      <c r="AM63" s="10">
        <f t="shared" ref="AM63" si="602">(AM30&gt;AN30)*1</f>
        <v>0</v>
      </c>
      <c r="AN63" s="10">
        <f t="shared" ref="AN63" si="603">(AN30&gt;AO30)*1</f>
        <v>0</v>
      </c>
      <c r="AO63" s="10">
        <f t="shared" ref="AO63" si="604">(AO30&gt;AP30)*1</f>
        <v>0</v>
      </c>
      <c r="AP63" s="10">
        <f t="shared" ref="AP63" si="605">(AP30&gt;AQ30)*1</f>
        <v>0</v>
      </c>
      <c r="AQ63" s="10">
        <f t="shared" ref="AQ63" si="606">(AQ30&gt;AR30)*1</f>
        <v>0</v>
      </c>
      <c r="AR63" s="10">
        <f t="shared" ref="AR63" si="607">(AR30&gt;AS30)*1</f>
        <v>0</v>
      </c>
      <c r="AS63" s="10">
        <f t="shared" ref="AS63" si="608">(AS30&gt;AT30)*1</f>
        <v>0</v>
      </c>
      <c r="AT63" s="10">
        <f t="shared" ref="AT63" si="609">(AT30&gt;AU30)*1</f>
        <v>0</v>
      </c>
      <c r="AU63" s="10">
        <f t="shared" ref="AU63" si="610">(AU30&gt;AV30)*1</f>
        <v>0</v>
      </c>
      <c r="AV63" s="10">
        <f t="shared" ref="AV63" si="611">(AV30&gt;AW30)*1</f>
        <v>0</v>
      </c>
      <c r="AW63" s="10">
        <f t="shared" ref="AW63" si="612">(AW30&gt;AX30)*1</f>
        <v>0</v>
      </c>
      <c r="AX63" s="10">
        <f t="shared" ref="AX63" si="613">(AX30&gt;AY30)*1</f>
        <v>0</v>
      </c>
      <c r="AY63" s="10">
        <f t="shared" ref="AY63" si="614">(AY30&gt;AZ30)*1</f>
        <v>0</v>
      </c>
      <c r="AZ63" s="10">
        <f t="shared" ref="AZ63" si="615">(AZ30&gt;BA30)*1</f>
        <v>0</v>
      </c>
      <c r="BA63" s="10">
        <f t="shared" ref="BA63" si="616">(BA30&gt;BB30)*1</f>
        <v>0</v>
      </c>
      <c r="BB63" s="10">
        <f t="shared" ref="BB63" si="617">(BB30&gt;BC30)*1</f>
        <v>0</v>
      </c>
      <c r="BC63" s="10">
        <f t="shared" ref="BC63" si="618">(BC30&gt;BD30)*1</f>
        <v>0</v>
      </c>
      <c r="BD63" s="10">
        <f t="shared" ref="BD63" si="619">(BD30&gt;BE30)*1</f>
        <v>0</v>
      </c>
      <c r="BE63" s="10">
        <f t="shared" ref="BE63" si="620">(BE30&gt;BF30)*1</f>
        <v>0</v>
      </c>
      <c r="BF63" s="10">
        <f t="shared" ref="BF63" si="621">(BF30&gt;BG30)*1</f>
        <v>0</v>
      </c>
      <c r="BG63" s="10">
        <f t="shared" ref="BG63" si="622">(BG30&gt;BH30)*1</f>
        <v>0</v>
      </c>
      <c r="BH63" s="10">
        <f t="shared" ref="BH63" si="623">(BH30&gt;BI30)*1</f>
        <v>0</v>
      </c>
      <c r="BI63" s="10">
        <f t="shared" ref="BI63" si="624">(BI30&gt;BJ30)*1</f>
        <v>0</v>
      </c>
      <c r="BJ63" s="10">
        <f t="shared" ref="BJ63" si="625">(BJ30&gt;BK30)*1</f>
        <v>0</v>
      </c>
      <c r="BK63" s="10">
        <f t="shared" ref="BK63" si="626">(BK30&gt;BL30)*1</f>
        <v>0</v>
      </c>
      <c r="BL63" s="10">
        <f t="shared" ref="BL63" si="627">(BL30&gt;BM30)*1</f>
        <v>0</v>
      </c>
      <c r="BM63" s="10">
        <f t="shared" ref="BM63" si="628">(BM30&gt;BN30)*1</f>
        <v>0</v>
      </c>
      <c r="BN63" s="10">
        <f t="shared" ref="BN63" si="629">(BN30&gt;BO30)*1</f>
        <v>0</v>
      </c>
      <c r="BO63" s="10">
        <f t="shared" ref="BO63" si="630">(BO30&gt;BP30)*1</f>
        <v>0</v>
      </c>
      <c r="BP63" s="10">
        <f t="shared" ref="BP63" si="631">(BP30&gt;BQ30)*1</f>
        <v>0</v>
      </c>
      <c r="BQ63" s="10">
        <f t="shared" ref="BQ63" si="632">(BQ30&gt;BR30)*1</f>
        <v>0</v>
      </c>
      <c r="BR63" s="10">
        <f t="shared" ref="BR63" si="633">(BR30&gt;BS30)*1</f>
        <v>0</v>
      </c>
      <c r="BS63" s="10">
        <f t="shared" ref="BS63" si="634">(BS30&gt;BT30)*1</f>
        <v>0</v>
      </c>
      <c r="BT63" s="10">
        <f t="shared" ref="BT63" si="635">(BT30&gt;BU30)*1</f>
        <v>0</v>
      </c>
      <c r="BU63" s="10">
        <f t="shared" ref="BU63" si="636">(BU30&gt;BV30)*1</f>
        <v>0</v>
      </c>
      <c r="BV63" s="10">
        <f t="shared" ref="BV63" si="637">(BV30&gt;BW30)*1</f>
        <v>0</v>
      </c>
      <c r="BW63" s="10">
        <f t="shared" ref="BW63" si="638">(BW30&gt;BX30)*1</f>
        <v>0</v>
      </c>
      <c r="BX63" s="10">
        <f t="shared" ref="BX63" si="639">(BX30&gt;BY30)*1</f>
        <v>0</v>
      </c>
      <c r="BY63" s="10">
        <f t="shared" ref="BY63" si="640">(BY30&gt;BZ30)*1</f>
        <v>0</v>
      </c>
      <c r="BZ63" s="10">
        <f t="shared" ref="BZ63" si="641">(BZ30&gt;CA30)*1</f>
        <v>0</v>
      </c>
      <c r="CA63" s="10">
        <f t="shared" ref="CA63" si="642">(CA30&gt;CB30)*1</f>
        <v>0</v>
      </c>
      <c r="CB63" s="10">
        <f t="shared" ref="CB63" si="643">(CB30&gt;CC30)*1</f>
        <v>0</v>
      </c>
      <c r="CC63" s="10">
        <f t="shared" ref="CC63" si="644">(CC30&gt;CD30)*1</f>
        <v>0</v>
      </c>
      <c r="CD63" s="10">
        <f t="shared" ref="CD63" si="645">(CD30&gt;CE30)*1</f>
        <v>0</v>
      </c>
      <c r="CE63" s="10">
        <f t="shared" ref="CE63" si="646">(CE30&gt;CF30)*1</f>
        <v>0</v>
      </c>
      <c r="CF63" s="10">
        <f t="shared" ref="CF63" si="647">(CF30&gt;CG30)*1</f>
        <v>0</v>
      </c>
      <c r="CG63" s="10">
        <f t="shared" ref="CG63" si="648">(CG30&gt;CH30)*1</f>
        <v>0</v>
      </c>
      <c r="CH63" s="10">
        <f t="shared" ref="CH63" si="649">(CH30&gt;CI30)*1</f>
        <v>0</v>
      </c>
      <c r="CI63" s="10">
        <f t="shared" ref="CI63" si="650">(CI30&gt;CJ30)*1</f>
        <v>0</v>
      </c>
      <c r="CJ63" s="10">
        <f t="shared" ref="CJ63" si="651">(CJ30&gt;CK30)*1</f>
        <v>0</v>
      </c>
      <c r="CK63" s="10">
        <f t="shared" ref="CK63" si="652">(CK30&gt;CL30)*1</f>
        <v>0</v>
      </c>
      <c r="CL63" s="10">
        <f t="shared" ref="CL63" si="653">(CL30&gt;CM30)*1</f>
        <v>0</v>
      </c>
      <c r="CM63" s="10">
        <f t="shared" ref="CM63" si="654">(CM30&gt;CN30)*1</f>
        <v>0</v>
      </c>
      <c r="CN63" s="10">
        <f t="shared" ref="CN63" si="655">(CN30&gt;CO30)*1</f>
        <v>0</v>
      </c>
      <c r="CO63" s="10">
        <f t="shared" ref="CO63" si="656">(CO30&gt;CP30)*1</f>
        <v>1</v>
      </c>
    </row>
    <row r="64" spans="1:93">
      <c r="A64" s="10"/>
      <c r="B64" s="10"/>
      <c r="C64" s="17"/>
      <c r="D64" s="10"/>
      <c r="E64" s="10"/>
      <c r="F64" s="10"/>
      <c r="G64" s="11"/>
      <c r="H64" s="10"/>
      <c r="I64" s="10"/>
      <c r="J64" s="149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</row>
    <row r="65" spans="1:93">
      <c r="A65" s="10"/>
      <c r="B65" s="10"/>
      <c r="C65" s="17" t="s">
        <v>446</v>
      </c>
      <c r="D65" s="10"/>
      <c r="E65" s="10"/>
      <c r="F65" s="10"/>
      <c r="G65" s="11" t="str">
        <f>MIN(L65:CO65) &amp; ".." &amp; MAX(L65:CO65)</f>
        <v>1..82</v>
      </c>
      <c r="H65" s="10"/>
      <c r="I65" s="10"/>
      <c r="J65" s="10"/>
      <c r="K65" s="10"/>
      <c r="L65" s="10">
        <f t="shared" ref="L65" si="657">K65+Flag_Forecast</f>
        <v>1</v>
      </c>
      <c r="M65" s="10">
        <f t="shared" ref="M65" si="658">L65+Flag_Forecast</f>
        <v>2</v>
      </c>
      <c r="N65" s="10">
        <f t="shared" ref="N65" si="659">M65+Flag_Forecast</f>
        <v>3</v>
      </c>
      <c r="O65" s="10">
        <f t="shared" ref="O65" si="660">N65+Flag_Forecast</f>
        <v>4</v>
      </c>
      <c r="P65" s="10">
        <f t="shared" ref="P65" si="661">O65+Flag_Forecast</f>
        <v>5</v>
      </c>
      <c r="Q65" s="10">
        <f t="shared" ref="Q65" si="662">P65+Flag_Forecast</f>
        <v>6</v>
      </c>
      <c r="R65" s="10">
        <f t="shared" ref="R65" si="663">Q65+Flag_Forecast</f>
        <v>7</v>
      </c>
      <c r="S65" s="10">
        <f t="shared" ref="S65" si="664">R65+Flag_Forecast</f>
        <v>8</v>
      </c>
      <c r="T65" s="10">
        <f t="shared" ref="T65" si="665">S65+Flag_Forecast</f>
        <v>9</v>
      </c>
      <c r="U65" s="10">
        <f t="shared" ref="U65" si="666">T65+Flag_Forecast</f>
        <v>10</v>
      </c>
      <c r="V65" s="10">
        <f t="shared" ref="V65" si="667">U65+Flag_Forecast</f>
        <v>11</v>
      </c>
      <c r="W65" s="10">
        <f t="shared" ref="W65" si="668">V65+Flag_Forecast</f>
        <v>12</v>
      </c>
      <c r="X65" s="10">
        <f t="shared" ref="X65" si="669">W65+Flag_Forecast</f>
        <v>13</v>
      </c>
      <c r="Y65" s="10">
        <f t="shared" ref="Y65" si="670">X65+Flag_Forecast</f>
        <v>14</v>
      </c>
      <c r="Z65" s="10">
        <f t="shared" ref="Z65" si="671">Y65+Flag_Forecast</f>
        <v>15</v>
      </c>
      <c r="AA65" s="10">
        <f t="shared" ref="AA65" si="672">Z65+Flag_Forecast</f>
        <v>16</v>
      </c>
      <c r="AB65" s="10">
        <f t="shared" ref="AB65" si="673">AA65+Flag_Forecast</f>
        <v>17</v>
      </c>
      <c r="AC65" s="10">
        <f t="shared" ref="AC65" si="674">AB65+Flag_Forecast</f>
        <v>18</v>
      </c>
      <c r="AD65" s="10">
        <f t="shared" ref="AD65" si="675">AC65+Flag_Forecast</f>
        <v>19</v>
      </c>
      <c r="AE65" s="10">
        <f t="shared" ref="AE65" si="676">AD65+Flag_Forecast</f>
        <v>20</v>
      </c>
      <c r="AF65" s="10">
        <f t="shared" ref="AF65" si="677">AE65+Flag_Forecast</f>
        <v>21</v>
      </c>
      <c r="AG65" s="10">
        <f t="shared" ref="AG65" si="678">AF65+Flag_Forecast</f>
        <v>22</v>
      </c>
      <c r="AH65" s="10">
        <f t="shared" ref="AH65" si="679">AG65+Flag_Forecast</f>
        <v>23</v>
      </c>
      <c r="AI65" s="10">
        <f t="shared" ref="AI65" si="680">AH65+Flag_Forecast</f>
        <v>24</v>
      </c>
      <c r="AJ65" s="10">
        <f t="shared" ref="AJ65" si="681">AI65+Flag_Forecast</f>
        <v>25</v>
      </c>
      <c r="AK65" s="10">
        <f t="shared" ref="AK65" si="682">AJ65+Flag_Forecast</f>
        <v>26</v>
      </c>
      <c r="AL65" s="10">
        <f t="shared" ref="AL65" si="683">AK65+Flag_Forecast</f>
        <v>27</v>
      </c>
      <c r="AM65" s="10">
        <f t="shared" ref="AM65" si="684">AL65+Flag_Forecast</f>
        <v>28</v>
      </c>
      <c r="AN65" s="10">
        <f t="shared" ref="AN65" si="685">AM65+Flag_Forecast</f>
        <v>29</v>
      </c>
      <c r="AO65" s="10">
        <f t="shared" ref="AO65" si="686">AN65+Flag_Forecast</f>
        <v>30</v>
      </c>
      <c r="AP65" s="10">
        <f t="shared" ref="AP65" si="687">AO65+Flag_Forecast</f>
        <v>31</v>
      </c>
      <c r="AQ65" s="10">
        <f t="shared" ref="AQ65" si="688">AP65+Flag_Forecast</f>
        <v>32</v>
      </c>
      <c r="AR65" s="10">
        <f t="shared" ref="AR65" si="689">AQ65+Flag_Forecast</f>
        <v>33</v>
      </c>
      <c r="AS65" s="10">
        <f t="shared" ref="AS65" si="690">AR65+Flag_Forecast</f>
        <v>34</v>
      </c>
      <c r="AT65" s="10">
        <f t="shared" ref="AT65" si="691">AS65+Flag_Forecast</f>
        <v>35</v>
      </c>
      <c r="AU65" s="10">
        <f t="shared" ref="AU65" si="692">AT65+Flag_Forecast</f>
        <v>36</v>
      </c>
      <c r="AV65" s="10">
        <f t="shared" ref="AV65" si="693">AU65+Flag_Forecast</f>
        <v>37</v>
      </c>
      <c r="AW65" s="10">
        <f t="shared" ref="AW65" si="694">AV65+Flag_Forecast</f>
        <v>38</v>
      </c>
      <c r="AX65" s="10">
        <f t="shared" ref="AX65" si="695">AW65+Flag_Forecast</f>
        <v>39</v>
      </c>
      <c r="AY65" s="10">
        <f t="shared" ref="AY65" si="696">AX65+Flag_Forecast</f>
        <v>40</v>
      </c>
      <c r="AZ65" s="10">
        <f t="shared" ref="AZ65" si="697">AY65+Flag_Forecast</f>
        <v>41</v>
      </c>
      <c r="BA65" s="10">
        <f t="shared" ref="BA65" si="698">AZ65+Flag_Forecast</f>
        <v>42</v>
      </c>
      <c r="BB65" s="10">
        <f t="shared" ref="BB65" si="699">BA65+Flag_Forecast</f>
        <v>43</v>
      </c>
      <c r="BC65" s="10">
        <f t="shared" ref="BC65" si="700">BB65+Flag_Forecast</f>
        <v>44</v>
      </c>
      <c r="BD65" s="10">
        <f t="shared" ref="BD65" si="701">BC65+Flag_Forecast</f>
        <v>45</v>
      </c>
      <c r="BE65" s="10">
        <f t="shared" ref="BE65" si="702">BD65+Flag_Forecast</f>
        <v>46</v>
      </c>
      <c r="BF65" s="10">
        <f t="shared" ref="BF65" si="703">BE65+Flag_Forecast</f>
        <v>47</v>
      </c>
      <c r="BG65" s="10">
        <f t="shared" ref="BG65" si="704">BF65+Flag_Forecast</f>
        <v>48</v>
      </c>
      <c r="BH65" s="10">
        <f t="shared" ref="BH65" si="705">BG65+Flag_Forecast</f>
        <v>49</v>
      </c>
      <c r="BI65" s="10">
        <f t="shared" ref="BI65" si="706">BH65+Flag_Forecast</f>
        <v>50</v>
      </c>
      <c r="BJ65" s="10">
        <f t="shared" ref="BJ65" si="707">BI65+Flag_Forecast</f>
        <v>51</v>
      </c>
      <c r="BK65" s="10">
        <f t="shared" ref="BK65" si="708">BJ65+Flag_Forecast</f>
        <v>52</v>
      </c>
      <c r="BL65" s="10">
        <f t="shared" ref="BL65" si="709">BK65+Flag_Forecast</f>
        <v>53</v>
      </c>
      <c r="BM65" s="10">
        <f t="shared" ref="BM65" si="710">BL65+Flag_Forecast</f>
        <v>54</v>
      </c>
      <c r="BN65" s="10">
        <f t="shared" ref="BN65" si="711">BM65+Flag_Forecast</f>
        <v>55</v>
      </c>
      <c r="BO65" s="10">
        <f t="shared" ref="BO65" si="712">BN65+Flag_Forecast</f>
        <v>56</v>
      </c>
      <c r="BP65" s="10">
        <f t="shared" ref="BP65" si="713">BO65+Flag_Forecast</f>
        <v>57</v>
      </c>
      <c r="BQ65" s="10">
        <f t="shared" ref="BQ65" si="714">BP65+Flag_Forecast</f>
        <v>58</v>
      </c>
      <c r="BR65" s="10">
        <f t="shared" ref="BR65" si="715">BQ65+Flag_Forecast</f>
        <v>59</v>
      </c>
      <c r="BS65" s="10">
        <f t="shared" ref="BS65" si="716">BR65+Flag_Forecast</f>
        <v>60</v>
      </c>
      <c r="BT65" s="10">
        <f t="shared" ref="BT65" si="717">BS65+Flag_Forecast</f>
        <v>61</v>
      </c>
      <c r="BU65" s="10">
        <f t="shared" ref="BU65" si="718">BT65+Flag_Forecast</f>
        <v>62</v>
      </c>
      <c r="BV65" s="10">
        <f t="shared" ref="BV65" si="719">BU65+Flag_Forecast</f>
        <v>63</v>
      </c>
      <c r="BW65" s="10">
        <f t="shared" ref="BW65" si="720">BV65+Flag_Forecast</f>
        <v>64</v>
      </c>
      <c r="BX65" s="10">
        <f t="shared" ref="BX65" si="721">BW65+Flag_Forecast</f>
        <v>65</v>
      </c>
      <c r="BY65" s="10">
        <f t="shared" ref="BY65" si="722">BX65+Flag_Forecast</f>
        <v>66</v>
      </c>
      <c r="BZ65" s="10">
        <f t="shared" ref="BZ65" si="723">BY65+Flag_Forecast</f>
        <v>67</v>
      </c>
      <c r="CA65" s="10">
        <f t="shared" ref="CA65" si="724">BZ65+Flag_Forecast</f>
        <v>68</v>
      </c>
      <c r="CB65" s="10">
        <f t="shared" ref="CB65" si="725">CA65+Flag_Forecast</f>
        <v>69</v>
      </c>
      <c r="CC65" s="10">
        <f t="shared" ref="CC65" si="726">CB65+Flag_Forecast</f>
        <v>70</v>
      </c>
      <c r="CD65" s="10">
        <f t="shared" ref="CD65" si="727">CC65+Flag_Forecast</f>
        <v>71</v>
      </c>
      <c r="CE65" s="10">
        <f t="shared" ref="CE65" si="728">CD65+Flag_Forecast</f>
        <v>72</v>
      </c>
      <c r="CF65" s="10">
        <f t="shared" ref="CF65" si="729">CE65+Flag_Forecast</f>
        <v>73</v>
      </c>
      <c r="CG65" s="10">
        <f t="shared" ref="CG65" si="730">CF65+Flag_Forecast</f>
        <v>74</v>
      </c>
      <c r="CH65" s="10">
        <f t="shared" ref="CH65" si="731">CG65+Flag_Forecast</f>
        <v>75</v>
      </c>
      <c r="CI65" s="10">
        <f t="shared" ref="CI65" si="732">CH65+Flag_Forecast</f>
        <v>76</v>
      </c>
      <c r="CJ65" s="10">
        <f t="shared" ref="CJ65" si="733">CI65+Flag_Forecast</f>
        <v>77</v>
      </c>
      <c r="CK65" s="10">
        <f t="shared" ref="CK65" si="734">CJ65+Flag_Forecast</f>
        <v>78</v>
      </c>
      <c r="CL65" s="10">
        <f t="shared" ref="CL65" si="735">CK65+Flag_Forecast</f>
        <v>79</v>
      </c>
      <c r="CM65" s="10">
        <f t="shared" ref="CM65" si="736">CL65+Flag_Forecast</f>
        <v>80</v>
      </c>
      <c r="CN65" s="10">
        <f t="shared" ref="CN65" si="737">CM65+Flag_Forecast</f>
        <v>81</v>
      </c>
      <c r="CO65" s="10">
        <f t="shared" ref="CO65" si="738">CN65+Flag_Forecast</f>
        <v>82</v>
      </c>
    </row>
    <row r="66" spans="1:93">
      <c r="A66" s="10"/>
      <c r="B66" s="10"/>
      <c r="C66" s="17" t="s">
        <v>570</v>
      </c>
      <c r="D66" s="10"/>
      <c r="E66" s="10"/>
      <c r="F66" s="10"/>
      <c r="G66" s="11" t="str">
        <f>MIN(L66:CO66) &amp; ".." &amp; MAX(L66:CO66)</f>
        <v>0..17</v>
      </c>
      <c r="H66" s="10"/>
      <c r="I66" s="10"/>
      <c r="J66" s="10"/>
      <c r="K66" s="10"/>
      <c r="L66" s="10">
        <f t="shared" ref="L66:AQ66" si="739">(K66+L29)*L29</f>
        <v>1</v>
      </c>
      <c r="M66" s="10">
        <f t="shared" si="739"/>
        <v>2</v>
      </c>
      <c r="N66" s="10">
        <f t="shared" si="739"/>
        <v>3</v>
      </c>
      <c r="O66" s="10">
        <f t="shared" si="739"/>
        <v>4</v>
      </c>
      <c r="P66" s="10">
        <f t="shared" si="739"/>
        <v>5</v>
      </c>
      <c r="Q66" s="10">
        <f t="shared" si="739"/>
        <v>6</v>
      </c>
      <c r="R66" s="10">
        <f t="shared" si="739"/>
        <v>7</v>
      </c>
      <c r="S66" s="10">
        <f t="shared" si="739"/>
        <v>8</v>
      </c>
      <c r="T66" s="10">
        <f t="shared" si="739"/>
        <v>9</v>
      </c>
      <c r="U66" s="10">
        <f t="shared" si="739"/>
        <v>10</v>
      </c>
      <c r="V66" s="10">
        <f t="shared" si="739"/>
        <v>11</v>
      </c>
      <c r="W66" s="10">
        <f t="shared" si="739"/>
        <v>12</v>
      </c>
      <c r="X66" s="10">
        <f t="shared" si="739"/>
        <v>13</v>
      </c>
      <c r="Y66" s="10">
        <f t="shared" si="739"/>
        <v>14</v>
      </c>
      <c r="Z66" s="10">
        <f t="shared" si="739"/>
        <v>15</v>
      </c>
      <c r="AA66" s="10">
        <f t="shared" si="739"/>
        <v>16</v>
      </c>
      <c r="AB66" s="10">
        <f t="shared" si="739"/>
        <v>17</v>
      </c>
      <c r="AC66" s="10">
        <f t="shared" si="739"/>
        <v>0</v>
      </c>
      <c r="AD66" s="10">
        <f t="shared" si="739"/>
        <v>0</v>
      </c>
      <c r="AE66" s="10">
        <f t="shared" si="739"/>
        <v>0</v>
      </c>
      <c r="AF66" s="10">
        <f t="shared" si="739"/>
        <v>0</v>
      </c>
      <c r="AG66" s="10">
        <f t="shared" si="739"/>
        <v>0</v>
      </c>
      <c r="AH66" s="10">
        <f t="shared" si="739"/>
        <v>0</v>
      </c>
      <c r="AI66" s="10">
        <f t="shared" si="739"/>
        <v>0</v>
      </c>
      <c r="AJ66" s="10">
        <f t="shared" si="739"/>
        <v>0</v>
      </c>
      <c r="AK66" s="10">
        <f t="shared" si="739"/>
        <v>0</v>
      </c>
      <c r="AL66" s="10">
        <f t="shared" si="739"/>
        <v>0</v>
      </c>
      <c r="AM66" s="10">
        <f t="shared" si="739"/>
        <v>0</v>
      </c>
      <c r="AN66" s="10">
        <f t="shared" si="739"/>
        <v>0</v>
      </c>
      <c r="AO66" s="10">
        <f t="shared" si="739"/>
        <v>0</v>
      </c>
      <c r="AP66" s="10">
        <f t="shared" si="739"/>
        <v>0</v>
      </c>
      <c r="AQ66" s="10">
        <f t="shared" si="739"/>
        <v>0</v>
      </c>
      <c r="AR66" s="10">
        <f t="shared" ref="AR66:BW66" si="740">(AQ66+AR29)*AR29</f>
        <v>0</v>
      </c>
      <c r="AS66" s="10">
        <f t="shared" si="740"/>
        <v>0</v>
      </c>
      <c r="AT66" s="10">
        <f t="shared" si="740"/>
        <v>0</v>
      </c>
      <c r="AU66" s="10">
        <f t="shared" si="740"/>
        <v>0</v>
      </c>
      <c r="AV66" s="10">
        <f t="shared" si="740"/>
        <v>0</v>
      </c>
      <c r="AW66" s="10">
        <f t="shared" si="740"/>
        <v>0</v>
      </c>
      <c r="AX66" s="10">
        <f t="shared" si="740"/>
        <v>0</v>
      </c>
      <c r="AY66" s="10">
        <f t="shared" si="740"/>
        <v>0</v>
      </c>
      <c r="AZ66" s="10">
        <f t="shared" si="740"/>
        <v>0</v>
      </c>
      <c r="BA66" s="10">
        <f t="shared" si="740"/>
        <v>0</v>
      </c>
      <c r="BB66" s="10">
        <f t="shared" si="740"/>
        <v>0</v>
      </c>
      <c r="BC66" s="10">
        <f t="shared" si="740"/>
        <v>0</v>
      </c>
      <c r="BD66" s="10">
        <f t="shared" si="740"/>
        <v>0</v>
      </c>
      <c r="BE66" s="10">
        <f t="shared" si="740"/>
        <v>0</v>
      </c>
      <c r="BF66" s="10">
        <f t="shared" si="740"/>
        <v>0</v>
      </c>
      <c r="BG66" s="10">
        <f t="shared" si="740"/>
        <v>0</v>
      </c>
      <c r="BH66" s="10">
        <f t="shared" si="740"/>
        <v>0</v>
      </c>
      <c r="BI66" s="10">
        <f t="shared" si="740"/>
        <v>0</v>
      </c>
      <c r="BJ66" s="10">
        <f t="shared" si="740"/>
        <v>0</v>
      </c>
      <c r="BK66" s="10">
        <f t="shared" si="740"/>
        <v>0</v>
      </c>
      <c r="BL66" s="10">
        <f t="shared" si="740"/>
        <v>0</v>
      </c>
      <c r="BM66" s="10">
        <f t="shared" si="740"/>
        <v>0</v>
      </c>
      <c r="BN66" s="10">
        <f t="shared" si="740"/>
        <v>0</v>
      </c>
      <c r="BO66" s="10">
        <f t="shared" si="740"/>
        <v>0</v>
      </c>
      <c r="BP66" s="10">
        <f t="shared" si="740"/>
        <v>0</v>
      </c>
      <c r="BQ66" s="10">
        <f t="shared" si="740"/>
        <v>0</v>
      </c>
      <c r="BR66" s="10">
        <f t="shared" si="740"/>
        <v>0</v>
      </c>
      <c r="BS66" s="10">
        <f t="shared" si="740"/>
        <v>0</v>
      </c>
      <c r="BT66" s="10">
        <f t="shared" si="740"/>
        <v>0</v>
      </c>
      <c r="BU66" s="10">
        <f t="shared" si="740"/>
        <v>0</v>
      </c>
      <c r="BV66" s="10">
        <f t="shared" si="740"/>
        <v>0</v>
      </c>
      <c r="BW66" s="10">
        <f t="shared" si="740"/>
        <v>0</v>
      </c>
      <c r="BX66" s="10">
        <f t="shared" ref="BX66:CO66" si="741">(BW66+BX29)*BX29</f>
        <v>0</v>
      </c>
      <c r="BY66" s="10">
        <f t="shared" si="741"/>
        <v>0</v>
      </c>
      <c r="BZ66" s="10">
        <f t="shared" si="741"/>
        <v>0</v>
      </c>
      <c r="CA66" s="10">
        <f t="shared" si="741"/>
        <v>0</v>
      </c>
      <c r="CB66" s="10">
        <f t="shared" si="741"/>
        <v>0</v>
      </c>
      <c r="CC66" s="10">
        <f t="shared" si="741"/>
        <v>0</v>
      </c>
      <c r="CD66" s="10">
        <f t="shared" si="741"/>
        <v>0</v>
      </c>
      <c r="CE66" s="10">
        <f t="shared" si="741"/>
        <v>0</v>
      </c>
      <c r="CF66" s="10">
        <f t="shared" si="741"/>
        <v>0</v>
      </c>
      <c r="CG66" s="10">
        <f t="shared" si="741"/>
        <v>0</v>
      </c>
      <c r="CH66" s="10">
        <f t="shared" si="741"/>
        <v>0</v>
      </c>
      <c r="CI66" s="10">
        <f t="shared" si="741"/>
        <v>0</v>
      </c>
      <c r="CJ66" s="10">
        <f t="shared" si="741"/>
        <v>0</v>
      </c>
      <c r="CK66" s="10">
        <f t="shared" si="741"/>
        <v>0</v>
      </c>
      <c r="CL66" s="10">
        <f t="shared" si="741"/>
        <v>0</v>
      </c>
      <c r="CM66" s="10">
        <f t="shared" si="741"/>
        <v>0</v>
      </c>
      <c r="CN66" s="10">
        <f t="shared" si="741"/>
        <v>0</v>
      </c>
      <c r="CO66" s="10">
        <f t="shared" si="741"/>
        <v>0</v>
      </c>
    </row>
    <row r="67" spans="1:93">
      <c r="A67" s="10"/>
      <c r="B67" s="10"/>
      <c r="C67" s="17" t="s">
        <v>571</v>
      </c>
      <c r="D67" s="10"/>
      <c r="E67" s="10"/>
      <c r="F67" s="10"/>
      <c r="G67" s="11" t="str">
        <f>MIN(L67:CO67) &amp; ".." &amp; MAX(L67:CO67)</f>
        <v>0..65</v>
      </c>
      <c r="H67" s="10"/>
      <c r="I67" s="10"/>
      <c r="J67" s="10"/>
      <c r="K67" s="10"/>
      <c r="L67" s="10">
        <f t="shared" ref="L67:AQ67" si="742">(K67+L30)*L30</f>
        <v>0</v>
      </c>
      <c r="M67" s="10">
        <f t="shared" si="742"/>
        <v>0</v>
      </c>
      <c r="N67" s="10">
        <f t="shared" si="742"/>
        <v>0</v>
      </c>
      <c r="O67" s="10">
        <f t="shared" si="742"/>
        <v>0</v>
      </c>
      <c r="P67" s="10">
        <f t="shared" si="742"/>
        <v>0</v>
      </c>
      <c r="Q67" s="10">
        <f t="shared" si="742"/>
        <v>0</v>
      </c>
      <c r="R67" s="10">
        <f t="shared" si="742"/>
        <v>0</v>
      </c>
      <c r="S67" s="10">
        <f t="shared" si="742"/>
        <v>0</v>
      </c>
      <c r="T67" s="10">
        <f t="shared" si="742"/>
        <v>0</v>
      </c>
      <c r="U67" s="10">
        <f t="shared" si="742"/>
        <v>0</v>
      </c>
      <c r="V67" s="10">
        <f t="shared" si="742"/>
        <v>0</v>
      </c>
      <c r="W67" s="10">
        <f t="shared" si="742"/>
        <v>0</v>
      </c>
      <c r="X67" s="10">
        <f t="shared" si="742"/>
        <v>0</v>
      </c>
      <c r="Y67" s="10">
        <f t="shared" si="742"/>
        <v>0</v>
      </c>
      <c r="Z67" s="10">
        <f t="shared" si="742"/>
        <v>0</v>
      </c>
      <c r="AA67" s="10">
        <f t="shared" si="742"/>
        <v>0</v>
      </c>
      <c r="AB67" s="10">
        <f t="shared" si="742"/>
        <v>0</v>
      </c>
      <c r="AC67" s="10">
        <f t="shared" si="742"/>
        <v>1</v>
      </c>
      <c r="AD67" s="10">
        <f t="shared" si="742"/>
        <v>2</v>
      </c>
      <c r="AE67" s="10">
        <f t="shared" si="742"/>
        <v>3</v>
      </c>
      <c r="AF67" s="10">
        <f t="shared" si="742"/>
        <v>4</v>
      </c>
      <c r="AG67" s="10">
        <f t="shared" si="742"/>
        <v>5</v>
      </c>
      <c r="AH67" s="10">
        <f t="shared" si="742"/>
        <v>6</v>
      </c>
      <c r="AI67" s="10">
        <f t="shared" si="742"/>
        <v>7</v>
      </c>
      <c r="AJ67" s="10">
        <f t="shared" si="742"/>
        <v>8</v>
      </c>
      <c r="AK67" s="10">
        <f t="shared" si="742"/>
        <v>9</v>
      </c>
      <c r="AL67" s="10">
        <f t="shared" si="742"/>
        <v>10</v>
      </c>
      <c r="AM67" s="10">
        <f t="shared" si="742"/>
        <v>11</v>
      </c>
      <c r="AN67" s="10">
        <f t="shared" si="742"/>
        <v>12</v>
      </c>
      <c r="AO67" s="10">
        <f t="shared" si="742"/>
        <v>13</v>
      </c>
      <c r="AP67" s="10">
        <f t="shared" si="742"/>
        <v>14</v>
      </c>
      <c r="AQ67" s="10">
        <f t="shared" si="742"/>
        <v>15</v>
      </c>
      <c r="AR67" s="10">
        <f t="shared" ref="AR67:BW67" si="743">(AQ67+AR30)*AR30</f>
        <v>16</v>
      </c>
      <c r="AS67" s="10">
        <f t="shared" si="743"/>
        <v>17</v>
      </c>
      <c r="AT67" s="10">
        <f t="shared" si="743"/>
        <v>18</v>
      </c>
      <c r="AU67" s="10">
        <f t="shared" si="743"/>
        <v>19</v>
      </c>
      <c r="AV67" s="10">
        <f t="shared" si="743"/>
        <v>20</v>
      </c>
      <c r="AW67" s="10">
        <f t="shared" si="743"/>
        <v>21</v>
      </c>
      <c r="AX67" s="10">
        <f t="shared" si="743"/>
        <v>22</v>
      </c>
      <c r="AY67" s="10">
        <f t="shared" si="743"/>
        <v>23</v>
      </c>
      <c r="AZ67" s="10">
        <f t="shared" si="743"/>
        <v>24</v>
      </c>
      <c r="BA67" s="10">
        <f t="shared" si="743"/>
        <v>25</v>
      </c>
      <c r="BB67" s="10">
        <f t="shared" si="743"/>
        <v>26</v>
      </c>
      <c r="BC67" s="10">
        <f t="shared" si="743"/>
        <v>27</v>
      </c>
      <c r="BD67" s="10">
        <f t="shared" si="743"/>
        <v>28</v>
      </c>
      <c r="BE67" s="10">
        <f t="shared" si="743"/>
        <v>29</v>
      </c>
      <c r="BF67" s="10">
        <f t="shared" si="743"/>
        <v>30</v>
      </c>
      <c r="BG67" s="10">
        <f t="shared" si="743"/>
        <v>31</v>
      </c>
      <c r="BH67" s="10">
        <f t="shared" si="743"/>
        <v>32</v>
      </c>
      <c r="BI67" s="10">
        <f t="shared" si="743"/>
        <v>33</v>
      </c>
      <c r="BJ67" s="10">
        <f t="shared" si="743"/>
        <v>34</v>
      </c>
      <c r="BK67" s="10">
        <f t="shared" si="743"/>
        <v>35</v>
      </c>
      <c r="BL67" s="10">
        <f t="shared" si="743"/>
        <v>36</v>
      </c>
      <c r="BM67" s="10">
        <f t="shared" si="743"/>
        <v>37</v>
      </c>
      <c r="BN67" s="10">
        <f t="shared" si="743"/>
        <v>38</v>
      </c>
      <c r="BO67" s="10">
        <f t="shared" si="743"/>
        <v>39</v>
      </c>
      <c r="BP67" s="10">
        <f t="shared" si="743"/>
        <v>40</v>
      </c>
      <c r="BQ67" s="10">
        <f t="shared" si="743"/>
        <v>41</v>
      </c>
      <c r="BR67" s="10">
        <f t="shared" si="743"/>
        <v>42</v>
      </c>
      <c r="BS67" s="10">
        <f t="shared" si="743"/>
        <v>43</v>
      </c>
      <c r="BT67" s="10">
        <f t="shared" si="743"/>
        <v>44</v>
      </c>
      <c r="BU67" s="10">
        <f t="shared" si="743"/>
        <v>45</v>
      </c>
      <c r="BV67" s="10">
        <f t="shared" si="743"/>
        <v>46</v>
      </c>
      <c r="BW67" s="10">
        <f t="shared" si="743"/>
        <v>47</v>
      </c>
      <c r="BX67" s="10">
        <f t="shared" ref="BX67:CO67" si="744">(BW67+BX30)*BX30</f>
        <v>48</v>
      </c>
      <c r="BY67" s="10">
        <f t="shared" si="744"/>
        <v>49</v>
      </c>
      <c r="BZ67" s="10">
        <f t="shared" si="744"/>
        <v>50</v>
      </c>
      <c r="CA67" s="10">
        <f t="shared" si="744"/>
        <v>51</v>
      </c>
      <c r="CB67" s="10">
        <f t="shared" si="744"/>
        <v>52</v>
      </c>
      <c r="CC67" s="10">
        <f t="shared" si="744"/>
        <v>53</v>
      </c>
      <c r="CD67" s="10">
        <f t="shared" si="744"/>
        <v>54</v>
      </c>
      <c r="CE67" s="10">
        <f t="shared" si="744"/>
        <v>55</v>
      </c>
      <c r="CF67" s="10">
        <f t="shared" si="744"/>
        <v>56</v>
      </c>
      <c r="CG67" s="10">
        <f t="shared" si="744"/>
        <v>57</v>
      </c>
      <c r="CH67" s="10">
        <f t="shared" si="744"/>
        <v>58</v>
      </c>
      <c r="CI67" s="10">
        <f t="shared" si="744"/>
        <v>59</v>
      </c>
      <c r="CJ67" s="10">
        <f t="shared" si="744"/>
        <v>60</v>
      </c>
      <c r="CK67" s="10">
        <f t="shared" si="744"/>
        <v>61</v>
      </c>
      <c r="CL67" s="10">
        <f t="shared" si="744"/>
        <v>62</v>
      </c>
      <c r="CM67" s="10">
        <f t="shared" si="744"/>
        <v>63</v>
      </c>
      <c r="CN67" s="10">
        <f t="shared" si="744"/>
        <v>64</v>
      </c>
      <c r="CO67" s="10">
        <f t="shared" si="744"/>
        <v>65</v>
      </c>
    </row>
    <row r="68" spans="1:93">
      <c r="A68" s="10"/>
      <c r="B68" s="10"/>
      <c r="C68" s="17" t="s">
        <v>572</v>
      </c>
      <c r="D68" s="10"/>
      <c r="E68" s="10"/>
      <c r="F68" s="10"/>
      <c r="G68" s="11" t="str">
        <f>MIN(L68:CO68) &amp; ".." &amp; MAX(L68:CO68)</f>
        <v>0..17</v>
      </c>
      <c r="H68" s="10"/>
      <c r="I68" s="10"/>
      <c r="J68" s="10"/>
      <c r="K68" s="10"/>
      <c r="L68" s="10">
        <f t="shared" ref="L68" si="745">(INT(K67/Periods_in_Year)+1)*Flag_Operations</f>
        <v>0</v>
      </c>
      <c r="M68" s="10">
        <f t="shared" ref="M68" si="746">(INT(L67/Periods_in_Year)+1)*Flag_Operations</f>
        <v>0</v>
      </c>
      <c r="N68" s="10">
        <f t="shared" ref="N68" si="747">(INT(M67/Periods_in_Year)+1)*Flag_Operations</f>
        <v>0</v>
      </c>
      <c r="O68" s="10">
        <f t="shared" ref="O68" si="748">(INT(N67/Periods_in_Year)+1)*Flag_Operations</f>
        <v>0</v>
      </c>
      <c r="P68" s="10">
        <f t="shared" ref="P68" si="749">(INT(O67/Periods_in_Year)+1)*Flag_Operations</f>
        <v>0</v>
      </c>
      <c r="Q68" s="10">
        <f t="shared" ref="Q68" si="750">(INT(P67/Periods_in_Year)+1)*Flag_Operations</f>
        <v>0</v>
      </c>
      <c r="R68" s="10">
        <f t="shared" ref="R68" si="751">(INT(Q67/Periods_in_Year)+1)*Flag_Operations</f>
        <v>0</v>
      </c>
      <c r="S68" s="10">
        <f t="shared" ref="S68" si="752">(INT(R67/Periods_in_Year)+1)*Flag_Operations</f>
        <v>0</v>
      </c>
      <c r="T68" s="10">
        <f t="shared" ref="T68" si="753">(INT(S67/Periods_in_Year)+1)*Flag_Operations</f>
        <v>0</v>
      </c>
      <c r="U68" s="10">
        <f t="shared" ref="U68" si="754">(INT(T67/Periods_in_Year)+1)*Flag_Operations</f>
        <v>0</v>
      </c>
      <c r="V68" s="10">
        <f t="shared" ref="V68" si="755">(INT(U67/Periods_in_Year)+1)*Flag_Operations</f>
        <v>0</v>
      </c>
      <c r="W68" s="10">
        <f t="shared" ref="W68" si="756">(INT(V67/Periods_in_Year)+1)*Flag_Operations</f>
        <v>0</v>
      </c>
      <c r="X68" s="10">
        <f t="shared" ref="X68" si="757">(INT(W67/Periods_in_Year)+1)*Flag_Operations</f>
        <v>0</v>
      </c>
      <c r="Y68" s="10">
        <f t="shared" ref="Y68" si="758">(INT(X67/Periods_in_Year)+1)*Flag_Operations</f>
        <v>0</v>
      </c>
      <c r="Z68" s="10">
        <f t="shared" ref="Z68" si="759">(INT(Y67/Periods_in_Year)+1)*Flag_Operations</f>
        <v>0</v>
      </c>
      <c r="AA68" s="10">
        <f t="shared" ref="AA68" si="760">(INT(Z67/Periods_in_Year)+1)*Flag_Operations</f>
        <v>0</v>
      </c>
      <c r="AB68" s="10">
        <f t="shared" ref="AB68" si="761">(INT(AA67/Periods_in_Year)+1)*Flag_Operations</f>
        <v>0</v>
      </c>
      <c r="AC68" s="10">
        <f t="shared" ref="AC68" si="762">(INT(AB67/Periods_in_Year)+1)*Flag_Operations</f>
        <v>1</v>
      </c>
      <c r="AD68" s="10">
        <f t="shared" ref="AD68" si="763">(INT(AC67/Periods_in_Year)+1)*Flag_Operations</f>
        <v>1</v>
      </c>
      <c r="AE68" s="10">
        <f t="shared" ref="AE68" si="764">(INT(AD67/Periods_in_Year)+1)*Flag_Operations</f>
        <v>1</v>
      </c>
      <c r="AF68" s="10">
        <f t="shared" ref="AF68" si="765">(INT(AE67/Periods_in_Year)+1)*Flag_Operations</f>
        <v>1</v>
      </c>
      <c r="AG68" s="10">
        <f t="shared" ref="AG68" si="766">(INT(AF67/Periods_in_Year)+1)*Flag_Operations</f>
        <v>2</v>
      </c>
      <c r="AH68" s="10">
        <f t="shared" ref="AH68" si="767">(INT(AG67/Periods_in_Year)+1)*Flag_Operations</f>
        <v>2</v>
      </c>
      <c r="AI68" s="10">
        <f t="shared" ref="AI68" si="768">(INT(AH67/Periods_in_Year)+1)*Flag_Operations</f>
        <v>2</v>
      </c>
      <c r="AJ68" s="10">
        <f t="shared" ref="AJ68" si="769">(INT(AI67/Periods_in_Year)+1)*Flag_Operations</f>
        <v>2</v>
      </c>
      <c r="AK68" s="10">
        <f t="shared" ref="AK68" si="770">(INT(AJ67/Periods_in_Year)+1)*Flag_Operations</f>
        <v>3</v>
      </c>
      <c r="AL68" s="10">
        <f t="shared" ref="AL68" si="771">(INT(AK67/Periods_in_Year)+1)*Flag_Operations</f>
        <v>3</v>
      </c>
      <c r="AM68" s="10">
        <f t="shared" ref="AM68" si="772">(INT(AL67/Periods_in_Year)+1)*Flag_Operations</f>
        <v>3</v>
      </c>
      <c r="AN68" s="10">
        <f t="shared" ref="AN68" si="773">(INT(AM67/Periods_in_Year)+1)*Flag_Operations</f>
        <v>3</v>
      </c>
      <c r="AO68" s="10">
        <f t="shared" ref="AO68" si="774">(INT(AN67/Periods_in_Year)+1)*Flag_Operations</f>
        <v>4</v>
      </c>
      <c r="AP68" s="10">
        <f t="shared" ref="AP68" si="775">(INT(AO67/Periods_in_Year)+1)*Flag_Operations</f>
        <v>4</v>
      </c>
      <c r="AQ68" s="10">
        <f t="shared" ref="AQ68" si="776">(INT(AP67/Periods_in_Year)+1)*Flag_Operations</f>
        <v>4</v>
      </c>
      <c r="AR68" s="10">
        <f t="shared" ref="AR68" si="777">(INT(AQ67/Periods_in_Year)+1)*Flag_Operations</f>
        <v>4</v>
      </c>
      <c r="AS68" s="10">
        <f t="shared" ref="AS68" si="778">(INT(AR67/Periods_in_Year)+1)*Flag_Operations</f>
        <v>5</v>
      </c>
      <c r="AT68" s="10">
        <f t="shared" ref="AT68" si="779">(INT(AS67/Periods_in_Year)+1)*Flag_Operations</f>
        <v>5</v>
      </c>
      <c r="AU68" s="10">
        <f t="shared" ref="AU68" si="780">(INT(AT67/Periods_in_Year)+1)*Flag_Operations</f>
        <v>5</v>
      </c>
      <c r="AV68" s="10">
        <f t="shared" ref="AV68" si="781">(INT(AU67/Periods_in_Year)+1)*Flag_Operations</f>
        <v>5</v>
      </c>
      <c r="AW68" s="10">
        <f t="shared" ref="AW68" si="782">(INT(AV67/Periods_in_Year)+1)*Flag_Operations</f>
        <v>6</v>
      </c>
      <c r="AX68" s="10">
        <f t="shared" ref="AX68" si="783">(INT(AW67/Periods_in_Year)+1)*Flag_Operations</f>
        <v>6</v>
      </c>
      <c r="AY68" s="10">
        <f t="shared" ref="AY68" si="784">(INT(AX67/Periods_in_Year)+1)*Flag_Operations</f>
        <v>6</v>
      </c>
      <c r="AZ68" s="10">
        <f t="shared" ref="AZ68" si="785">(INT(AY67/Periods_in_Year)+1)*Flag_Operations</f>
        <v>6</v>
      </c>
      <c r="BA68" s="10">
        <f t="shared" ref="BA68" si="786">(INT(AZ67/Periods_in_Year)+1)*Flag_Operations</f>
        <v>7</v>
      </c>
      <c r="BB68" s="10">
        <f t="shared" ref="BB68" si="787">(INT(BA67/Periods_in_Year)+1)*Flag_Operations</f>
        <v>7</v>
      </c>
      <c r="BC68" s="10">
        <f t="shared" ref="BC68" si="788">(INT(BB67/Periods_in_Year)+1)*Flag_Operations</f>
        <v>7</v>
      </c>
      <c r="BD68" s="10">
        <f t="shared" ref="BD68" si="789">(INT(BC67/Periods_in_Year)+1)*Flag_Operations</f>
        <v>7</v>
      </c>
      <c r="BE68" s="10">
        <f t="shared" ref="BE68" si="790">(INT(BD67/Periods_in_Year)+1)*Flag_Operations</f>
        <v>8</v>
      </c>
      <c r="BF68" s="10">
        <f t="shared" ref="BF68" si="791">(INT(BE67/Periods_in_Year)+1)*Flag_Operations</f>
        <v>8</v>
      </c>
      <c r="BG68" s="10">
        <f t="shared" ref="BG68" si="792">(INT(BF67/Periods_in_Year)+1)*Flag_Operations</f>
        <v>8</v>
      </c>
      <c r="BH68" s="10">
        <f t="shared" ref="BH68" si="793">(INT(BG67/Periods_in_Year)+1)*Flag_Operations</f>
        <v>8</v>
      </c>
      <c r="BI68" s="10">
        <f t="shared" ref="BI68" si="794">(INT(BH67/Periods_in_Year)+1)*Flag_Operations</f>
        <v>9</v>
      </c>
      <c r="BJ68" s="10">
        <f t="shared" ref="BJ68" si="795">(INT(BI67/Periods_in_Year)+1)*Flag_Operations</f>
        <v>9</v>
      </c>
      <c r="BK68" s="10">
        <f t="shared" ref="BK68" si="796">(INT(BJ67/Periods_in_Year)+1)*Flag_Operations</f>
        <v>9</v>
      </c>
      <c r="BL68" s="10">
        <f t="shared" ref="BL68" si="797">(INT(BK67/Periods_in_Year)+1)*Flag_Operations</f>
        <v>9</v>
      </c>
      <c r="BM68" s="10">
        <f t="shared" ref="BM68" si="798">(INT(BL67/Periods_in_Year)+1)*Flag_Operations</f>
        <v>10</v>
      </c>
      <c r="BN68" s="10">
        <f t="shared" ref="BN68" si="799">(INT(BM67/Periods_in_Year)+1)*Flag_Operations</f>
        <v>10</v>
      </c>
      <c r="BO68" s="10">
        <f t="shared" ref="BO68" si="800">(INT(BN67/Periods_in_Year)+1)*Flag_Operations</f>
        <v>10</v>
      </c>
      <c r="BP68" s="10">
        <f t="shared" ref="BP68" si="801">(INT(BO67/Periods_in_Year)+1)*Flag_Operations</f>
        <v>10</v>
      </c>
      <c r="BQ68" s="10">
        <f t="shared" ref="BQ68" si="802">(INT(BP67/Periods_in_Year)+1)*Flag_Operations</f>
        <v>11</v>
      </c>
      <c r="BR68" s="10">
        <f t="shared" ref="BR68" si="803">(INT(BQ67/Periods_in_Year)+1)*Flag_Operations</f>
        <v>11</v>
      </c>
      <c r="BS68" s="10">
        <f t="shared" ref="BS68" si="804">(INT(BR67/Periods_in_Year)+1)*Flag_Operations</f>
        <v>11</v>
      </c>
      <c r="BT68" s="10">
        <f t="shared" ref="BT68" si="805">(INT(BS67/Periods_in_Year)+1)*Flag_Operations</f>
        <v>11</v>
      </c>
      <c r="BU68" s="10">
        <f t="shared" ref="BU68" si="806">(INT(BT67/Periods_in_Year)+1)*Flag_Operations</f>
        <v>12</v>
      </c>
      <c r="BV68" s="10">
        <f t="shared" ref="BV68" si="807">(INT(BU67/Periods_in_Year)+1)*Flag_Operations</f>
        <v>12</v>
      </c>
      <c r="BW68" s="10">
        <f t="shared" ref="BW68" si="808">(INT(BV67/Periods_in_Year)+1)*Flag_Operations</f>
        <v>12</v>
      </c>
      <c r="BX68" s="10">
        <f t="shared" ref="BX68" si="809">(INT(BW67/Periods_in_Year)+1)*Flag_Operations</f>
        <v>12</v>
      </c>
      <c r="BY68" s="10">
        <f t="shared" ref="BY68" si="810">(INT(BX67/Periods_in_Year)+1)*Flag_Operations</f>
        <v>13</v>
      </c>
      <c r="BZ68" s="10">
        <f t="shared" ref="BZ68" si="811">(INT(BY67/Periods_in_Year)+1)*Flag_Operations</f>
        <v>13</v>
      </c>
      <c r="CA68" s="10">
        <f t="shared" ref="CA68" si="812">(INT(BZ67/Periods_in_Year)+1)*Flag_Operations</f>
        <v>13</v>
      </c>
      <c r="CB68" s="10">
        <f t="shared" ref="CB68" si="813">(INT(CA67/Periods_in_Year)+1)*Flag_Operations</f>
        <v>13</v>
      </c>
      <c r="CC68" s="10">
        <f t="shared" ref="CC68" si="814">(INT(CB67/Periods_in_Year)+1)*Flag_Operations</f>
        <v>14</v>
      </c>
      <c r="CD68" s="10">
        <f t="shared" ref="CD68" si="815">(INT(CC67/Periods_in_Year)+1)*Flag_Operations</f>
        <v>14</v>
      </c>
      <c r="CE68" s="10">
        <f t="shared" ref="CE68" si="816">(INT(CD67/Periods_in_Year)+1)*Flag_Operations</f>
        <v>14</v>
      </c>
      <c r="CF68" s="10">
        <f t="shared" ref="CF68" si="817">(INT(CE67/Periods_in_Year)+1)*Flag_Operations</f>
        <v>14</v>
      </c>
      <c r="CG68" s="10">
        <f t="shared" ref="CG68" si="818">(INT(CF67/Periods_in_Year)+1)*Flag_Operations</f>
        <v>15</v>
      </c>
      <c r="CH68" s="10">
        <f t="shared" ref="CH68" si="819">(INT(CG67/Periods_in_Year)+1)*Flag_Operations</f>
        <v>15</v>
      </c>
      <c r="CI68" s="10">
        <f t="shared" ref="CI68" si="820">(INT(CH67/Periods_in_Year)+1)*Flag_Operations</f>
        <v>15</v>
      </c>
      <c r="CJ68" s="10">
        <f t="shared" ref="CJ68" si="821">(INT(CI67/Periods_in_Year)+1)*Flag_Operations</f>
        <v>15</v>
      </c>
      <c r="CK68" s="10">
        <f t="shared" ref="CK68" si="822">(INT(CJ67/Periods_in_Year)+1)*Flag_Operations</f>
        <v>16</v>
      </c>
      <c r="CL68" s="10">
        <f t="shared" ref="CL68" si="823">(INT(CK67/Periods_in_Year)+1)*Flag_Operations</f>
        <v>16</v>
      </c>
      <c r="CM68" s="10">
        <f t="shared" ref="CM68" si="824">(INT(CL67/Periods_in_Year)+1)*Flag_Operations</f>
        <v>16</v>
      </c>
      <c r="CN68" s="10">
        <f t="shared" ref="CN68" si="825">(INT(CM67/Periods_in_Year)+1)*Flag_Operations</f>
        <v>16</v>
      </c>
      <c r="CO68" s="10">
        <f t="shared" ref="CO68" si="826">(INT(CN67/Periods_in_Year)+1)*Flag_Operations</f>
        <v>17</v>
      </c>
    </row>
    <row r="69" spans="1:93">
      <c r="A69" s="10"/>
      <c r="B69" s="10"/>
      <c r="C69" s="17"/>
      <c r="D69" s="10"/>
      <c r="E69" s="10"/>
      <c r="F69" s="10"/>
      <c r="G69" s="11"/>
      <c r="H69" s="10"/>
      <c r="I69" s="10"/>
      <c r="J69" s="149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</row>
    <row r="70" spans="1:93">
      <c r="A70" s="10"/>
      <c r="B70" s="10"/>
      <c r="C70" s="17" t="s">
        <v>573</v>
      </c>
      <c r="D70" s="10"/>
      <c r="E70" s="10"/>
      <c r="F70" s="10"/>
      <c r="G70" s="11" t="str">
        <f>MIN(L70:CO70) &amp; ".." &amp; MAX(L70:CO70)</f>
        <v>0..17</v>
      </c>
      <c r="H70" s="10"/>
      <c r="I70" s="10"/>
      <c r="J70" s="10"/>
      <c r="K70" s="10"/>
      <c r="L70" s="10">
        <f>(QUOTIENT(SUM($K30:K30),Periods_in_Year)+1)*Flag_Operations</f>
        <v>0</v>
      </c>
      <c r="M70" s="10">
        <f>(QUOTIENT(SUM($K30:L30),Periods_in_Year)+1)*Flag_Operations</f>
        <v>0</v>
      </c>
      <c r="N70" s="10">
        <f>(QUOTIENT(SUM($K30:M30),Periods_in_Year)+1)*Flag_Operations</f>
        <v>0</v>
      </c>
      <c r="O70" s="10">
        <f>(QUOTIENT(SUM($K30:N30),Periods_in_Year)+1)*Flag_Operations</f>
        <v>0</v>
      </c>
      <c r="P70" s="10">
        <f>(QUOTIENT(SUM($K30:O30),Periods_in_Year)+1)*Flag_Operations</f>
        <v>0</v>
      </c>
      <c r="Q70" s="10">
        <f>(QUOTIENT(SUM($K30:P30),Periods_in_Year)+1)*Flag_Operations</f>
        <v>0</v>
      </c>
      <c r="R70" s="10">
        <f>(QUOTIENT(SUM($K30:Q30),Periods_in_Year)+1)*Flag_Operations</f>
        <v>0</v>
      </c>
      <c r="S70" s="10">
        <f>(QUOTIENT(SUM($K30:R30),Periods_in_Year)+1)*Flag_Operations</f>
        <v>0</v>
      </c>
      <c r="T70" s="10">
        <f>(QUOTIENT(SUM($K30:S30),Periods_in_Year)+1)*Flag_Operations</f>
        <v>0</v>
      </c>
      <c r="U70" s="10">
        <f>(QUOTIENT(SUM($K30:T30),Periods_in_Year)+1)*Flag_Operations</f>
        <v>0</v>
      </c>
      <c r="V70" s="10">
        <f>(QUOTIENT(SUM($K30:U30),Periods_in_Year)+1)*Flag_Operations</f>
        <v>0</v>
      </c>
      <c r="W70" s="10">
        <f>(QUOTIENT(SUM($K30:V30),Periods_in_Year)+1)*Flag_Operations</f>
        <v>0</v>
      </c>
      <c r="X70" s="10">
        <f>(QUOTIENT(SUM($K30:W30),Periods_in_Year)+1)*Flag_Operations</f>
        <v>0</v>
      </c>
      <c r="Y70" s="10">
        <f>(QUOTIENT(SUM($K30:X30),Periods_in_Year)+1)*Flag_Operations</f>
        <v>0</v>
      </c>
      <c r="Z70" s="10">
        <f>(QUOTIENT(SUM($K30:Y30),Periods_in_Year)+1)*Flag_Operations</f>
        <v>0</v>
      </c>
      <c r="AA70" s="10">
        <f>(QUOTIENT(SUM($K30:Z30),Periods_in_Year)+1)*Flag_Operations</f>
        <v>0</v>
      </c>
      <c r="AB70" s="10">
        <f>(QUOTIENT(SUM($K30:AA30),Periods_in_Year)+1)*Flag_Operations</f>
        <v>0</v>
      </c>
      <c r="AC70" s="10">
        <f>(QUOTIENT(SUM($K30:AB30),Periods_in_Year)+1)*Flag_Operations</f>
        <v>1</v>
      </c>
      <c r="AD70" s="10">
        <f>(QUOTIENT(SUM($K30:AC30),Periods_in_Year)+1)*Flag_Operations</f>
        <v>1</v>
      </c>
      <c r="AE70" s="10">
        <f>(QUOTIENT(SUM($K30:AD30),Periods_in_Year)+1)*Flag_Operations</f>
        <v>1</v>
      </c>
      <c r="AF70" s="10">
        <f>(QUOTIENT(SUM($K30:AE30),Periods_in_Year)+1)*Flag_Operations</f>
        <v>1</v>
      </c>
      <c r="AG70" s="10">
        <f>(QUOTIENT(SUM($K30:AF30),Periods_in_Year)+1)*Flag_Operations</f>
        <v>2</v>
      </c>
      <c r="AH70" s="10">
        <f>(QUOTIENT(SUM($K30:AG30),Periods_in_Year)+1)*Flag_Operations</f>
        <v>2</v>
      </c>
      <c r="AI70" s="10">
        <f>(QUOTIENT(SUM($K30:AH30),Periods_in_Year)+1)*Flag_Operations</f>
        <v>2</v>
      </c>
      <c r="AJ70" s="10">
        <f>(QUOTIENT(SUM($K30:AI30),Periods_in_Year)+1)*Flag_Operations</f>
        <v>2</v>
      </c>
      <c r="AK70" s="10">
        <f>(QUOTIENT(SUM($K30:AJ30),Periods_in_Year)+1)*Flag_Operations</f>
        <v>3</v>
      </c>
      <c r="AL70" s="10">
        <f>(QUOTIENT(SUM($K30:AK30),Periods_in_Year)+1)*Flag_Operations</f>
        <v>3</v>
      </c>
      <c r="AM70" s="10">
        <f>(QUOTIENT(SUM($K30:AL30),Periods_in_Year)+1)*Flag_Operations</f>
        <v>3</v>
      </c>
      <c r="AN70" s="10">
        <f>(QUOTIENT(SUM($K30:AM30),Periods_in_Year)+1)*Flag_Operations</f>
        <v>3</v>
      </c>
      <c r="AO70" s="10">
        <f>(QUOTIENT(SUM($K30:AN30),Periods_in_Year)+1)*Flag_Operations</f>
        <v>4</v>
      </c>
      <c r="AP70" s="10">
        <f>(QUOTIENT(SUM($K30:AO30),Periods_in_Year)+1)*Flag_Operations</f>
        <v>4</v>
      </c>
      <c r="AQ70" s="10">
        <f>(QUOTIENT(SUM($K30:AP30),Periods_in_Year)+1)*Flag_Operations</f>
        <v>4</v>
      </c>
      <c r="AR70" s="10">
        <f>(QUOTIENT(SUM($K30:AQ30),Periods_in_Year)+1)*Flag_Operations</f>
        <v>4</v>
      </c>
      <c r="AS70" s="10">
        <f>(QUOTIENT(SUM($K30:AR30),Periods_in_Year)+1)*Flag_Operations</f>
        <v>5</v>
      </c>
      <c r="AT70" s="10">
        <f>(QUOTIENT(SUM($K30:AS30),Periods_in_Year)+1)*Flag_Operations</f>
        <v>5</v>
      </c>
      <c r="AU70" s="10">
        <f>(QUOTIENT(SUM($K30:AT30),Periods_in_Year)+1)*Flag_Operations</f>
        <v>5</v>
      </c>
      <c r="AV70" s="10">
        <f>(QUOTIENT(SUM($K30:AU30),Periods_in_Year)+1)*Flag_Operations</f>
        <v>5</v>
      </c>
      <c r="AW70" s="10">
        <f>(QUOTIENT(SUM($K30:AV30),Periods_in_Year)+1)*Flag_Operations</f>
        <v>6</v>
      </c>
      <c r="AX70" s="10">
        <f>(QUOTIENT(SUM($K30:AW30),Periods_in_Year)+1)*Flag_Operations</f>
        <v>6</v>
      </c>
      <c r="AY70" s="10">
        <f>(QUOTIENT(SUM($K30:AX30),Periods_in_Year)+1)*Flag_Operations</f>
        <v>6</v>
      </c>
      <c r="AZ70" s="10">
        <f>(QUOTIENT(SUM($K30:AY30),Periods_in_Year)+1)*Flag_Operations</f>
        <v>6</v>
      </c>
      <c r="BA70" s="10">
        <f>(QUOTIENT(SUM($K30:AZ30),Periods_in_Year)+1)*Flag_Operations</f>
        <v>7</v>
      </c>
      <c r="BB70" s="10">
        <f>(QUOTIENT(SUM($K30:BA30),Periods_in_Year)+1)*Flag_Operations</f>
        <v>7</v>
      </c>
      <c r="BC70" s="10">
        <f>(QUOTIENT(SUM($K30:BB30),Periods_in_Year)+1)*Flag_Operations</f>
        <v>7</v>
      </c>
      <c r="BD70" s="10">
        <f>(QUOTIENT(SUM($K30:BC30),Periods_in_Year)+1)*Flag_Operations</f>
        <v>7</v>
      </c>
      <c r="BE70" s="10">
        <f>(QUOTIENT(SUM($K30:BD30),Periods_in_Year)+1)*Flag_Operations</f>
        <v>8</v>
      </c>
      <c r="BF70" s="10">
        <f>(QUOTIENT(SUM($K30:BE30),Periods_in_Year)+1)*Flag_Operations</f>
        <v>8</v>
      </c>
      <c r="BG70" s="10">
        <f>(QUOTIENT(SUM($K30:BF30),Periods_in_Year)+1)*Flag_Operations</f>
        <v>8</v>
      </c>
      <c r="BH70" s="10">
        <f>(QUOTIENT(SUM($K30:BG30),Periods_in_Year)+1)*Flag_Operations</f>
        <v>8</v>
      </c>
      <c r="BI70" s="10">
        <f>(QUOTIENT(SUM($K30:BH30),Periods_in_Year)+1)*Flag_Operations</f>
        <v>9</v>
      </c>
      <c r="BJ70" s="10">
        <f>(QUOTIENT(SUM($K30:BI30),Periods_in_Year)+1)*Flag_Operations</f>
        <v>9</v>
      </c>
      <c r="BK70" s="10">
        <f>(QUOTIENT(SUM($K30:BJ30),Periods_in_Year)+1)*Flag_Operations</f>
        <v>9</v>
      </c>
      <c r="BL70" s="10">
        <f>(QUOTIENT(SUM($K30:BK30),Periods_in_Year)+1)*Flag_Operations</f>
        <v>9</v>
      </c>
      <c r="BM70" s="10">
        <f>(QUOTIENT(SUM($K30:BL30),Periods_in_Year)+1)*Flag_Operations</f>
        <v>10</v>
      </c>
      <c r="BN70" s="10">
        <f>(QUOTIENT(SUM($K30:BM30),Periods_in_Year)+1)*Flag_Operations</f>
        <v>10</v>
      </c>
      <c r="BO70" s="10">
        <f>(QUOTIENT(SUM($K30:BN30),Periods_in_Year)+1)*Flag_Operations</f>
        <v>10</v>
      </c>
      <c r="BP70" s="10">
        <f>(QUOTIENT(SUM($K30:BO30),Periods_in_Year)+1)*Flag_Operations</f>
        <v>10</v>
      </c>
      <c r="BQ70" s="10">
        <f>(QUOTIENT(SUM($K30:BP30),Periods_in_Year)+1)*Flag_Operations</f>
        <v>11</v>
      </c>
      <c r="BR70" s="10">
        <f>(QUOTIENT(SUM($K30:BQ30),Periods_in_Year)+1)*Flag_Operations</f>
        <v>11</v>
      </c>
      <c r="BS70" s="10">
        <f>(QUOTIENT(SUM($K30:BR30),Periods_in_Year)+1)*Flag_Operations</f>
        <v>11</v>
      </c>
      <c r="BT70" s="10">
        <f>(QUOTIENT(SUM($K30:BS30),Periods_in_Year)+1)*Flag_Operations</f>
        <v>11</v>
      </c>
      <c r="BU70" s="10">
        <f>(QUOTIENT(SUM($K30:BT30),Periods_in_Year)+1)*Flag_Operations</f>
        <v>12</v>
      </c>
      <c r="BV70" s="10">
        <f>(QUOTIENT(SUM($K30:BU30),Periods_in_Year)+1)*Flag_Operations</f>
        <v>12</v>
      </c>
      <c r="BW70" s="10">
        <f>(QUOTIENT(SUM($K30:BV30),Periods_in_Year)+1)*Flag_Operations</f>
        <v>12</v>
      </c>
      <c r="BX70" s="10">
        <f>(QUOTIENT(SUM($K30:BW30),Periods_in_Year)+1)*Flag_Operations</f>
        <v>12</v>
      </c>
      <c r="BY70" s="10">
        <f>(QUOTIENT(SUM($K30:BX30),Periods_in_Year)+1)*Flag_Operations</f>
        <v>13</v>
      </c>
      <c r="BZ70" s="10">
        <f>(QUOTIENT(SUM($K30:BY30),Periods_in_Year)+1)*Flag_Operations</f>
        <v>13</v>
      </c>
      <c r="CA70" s="10">
        <f>(QUOTIENT(SUM($K30:BZ30),Periods_in_Year)+1)*Flag_Operations</f>
        <v>13</v>
      </c>
      <c r="CB70" s="10">
        <f>(QUOTIENT(SUM($K30:CA30),Periods_in_Year)+1)*Flag_Operations</f>
        <v>13</v>
      </c>
      <c r="CC70" s="10">
        <f>(QUOTIENT(SUM($K30:CB30),Periods_in_Year)+1)*Flag_Operations</f>
        <v>14</v>
      </c>
      <c r="CD70" s="10">
        <f>(QUOTIENT(SUM($K30:CC30),Periods_in_Year)+1)*Flag_Operations</f>
        <v>14</v>
      </c>
      <c r="CE70" s="10">
        <f>(QUOTIENT(SUM($K30:CD30),Periods_in_Year)+1)*Flag_Operations</f>
        <v>14</v>
      </c>
      <c r="CF70" s="10">
        <f>(QUOTIENT(SUM($K30:CE30),Periods_in_Year)+1)*Flag_Operations</f>
        <v>14</v>
      </c>
      <c r="CG70" s="10">
        <f>(QUOTIENT(SUM($K30:CF30),Periods_in_Year)+1)*Flag_Operations</f>
        <v>15</v>
      </c>
      <c r="CH70" s="10">
        <f>(QUOTIENT(SUM($K30:CG30),Periods_in_Year)+1)*Flag_Operations</f>
        <v>15</v>
      </c>
      <c r="CI70" s="10">
        <f>(QUOTIENT(SUM($K30:CH30),Periods_in_Year)+1)*Flag_Operations</f>
        <v>15</v>
      </c>
      <c r="CJ70" s="10">
        <f>(QUOTIENT(SUM($K30:CI30),Periods_in_Year)+1)*Flag_Operations</f>
        <v>15</v>
      </c>
      <c r="CK70" s="10">
        <f>(QUOTIENT(SUM($K30:CJ30),Periods_in_Year)+1)*Flag_Operations</f>
        <v>16</v>
      </c>
      <c r="CL70" s="10">
        <f>(QUOTIENT(SUM($K30:CK30),Periods_in_Year)+1)*Flag_Operations</f>
        <v>16</v>
      </c>
      <c r="CM70" s="10">
        <f>(QUOTIENT(SUM($K30:CL30),Periods_in_Year)+1)*Flag_Operations</f>
        <v>16</v>
      </c>
      <c r="CN70" s="10">
        <f>(QUOTIENT(SUM($K30:CM30),Periods_in_Year)+1)*Flag_Operations</f>
        <v>16</v>
      </c>
      <c r="CO70" s="10">
        <f>(QUOTIENT(SUM($K30:CN30),Periods_in_Year)+1)*Flag_Operations</f>
        <v>17</v>
      </c>
    </row>
    <row r="71" spans="1:93">
      <c r="A71" s="77"/>
      <c r="B71" s="10"/>
      <c r="C71" s="17"/>
      <c r="D71" s="22"/>
      <c r="E71" s="62"/>
      <c r="F71" s="22"/>
      <c r="G71" s="11"/>
      <c r="H71" s="150"/>
      <c r="I71" s="150"/>
      <c r="J71" s="150"/>
      <c r="K71" s="150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/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</row>
    <row r="72" spans="1:93" ht="16" thickBot="1">
      <c r="A72" s="77"/>
      <c r="B72" s="13"/>
      <c r="C72" s="12" t="s">
        <v>382</v>
      </c>
      <c r="D72" s="12"/>
      <c r="E72" s="12"/>
      <c r="F72" s="12"/>
      <c r="G72" s="362"/>
      <c r="H72" s="12"/>
      <c r="I72" s="12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</row>
    <row r="73" spans="1:93">
      <c r="A73" s="77"/>
      <c r="B73" s="11"/>
      <c r="C73" s="17"/>
      <c r="D73" s="11"/>
      <c r="E73" s="11"/>
      <c r="F73" s="11"/>
      <c r="G73" s="11"/>
      <c r="H73" s="11"/>
      <c r="I73" s="15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366"/>
      <c r="CK73" s="10"/>
      <c r="CL73" s="10"/>
      <c r="CM73" s="10"/>
      <c r="CN73" s="10"/>
      <c r="CO73" s="10"/>
    </row>
    <row r="74" spans="1:93">
      <c r="A74" s="77"/>
      <c r="B74" s="11"/>
      <c r="C74" s="41" t="s">
        <v>440</v>
      </c>
      <c r="D74" s="11"/>
      <c r="E74" s="11"/>
      <c r="F74" s="11"/>
      <c r="G74" s="11"/>
      <c r="H74" s="11"/>
      <c r="I74" s="15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</row>
    <row r="75" spans="1:93">
      <c r="A75" s="77"/>
      <c r="B75" s="13"/>
      <c r="C75" s="17" t="s">
        <v>301</v>
      </c>
      <c r="D75" s="10"/>
      <c r="E75" s="62"/>
      <c r="F75" s="11"/>
      <c r="G75" s="11" t="s">
        <v>378</v>
      </c>
      <c r="H75" s="10"/>
      <c r="I75" s="150"/>
      <c r="J75" s="10"/>
      <c r="K75" s="10"/>
      <c r="L75" s="148">
        <f ca="1">(1+SUMIF(Year_Unic,Year,Предпосылки!$L$58:$AY$58))^(Months_in_Period/Months_in_Year)</f>
        <v>1.014194887410651</v>
      </c>
      <c r="M75" s="148">
        <f ca="1">(1+SUMIF(Year_Unic,Year,Предпосылки!$L$58:$AY$58))^(Months_in_Period/Months_in_Year)</f>
        <v>1.014194887410651</v>
      </c>
      <c r="N75" s="148">
        <f ca="1">(1+SUMIF(Year_Unic,Year,Предпосылки!$L$58:$AY$58))^(Months_in_Period/Months_in_Year)</f>
        <v>1.014194887410651</v>
      </c>
      <c r="O75" s="148">
        <f ca="1">(1+SUMIF(Year_Unic,Year,Предпосылки!$L$58:$AY$58))^(Months_in_Period/Months_in_Year)</f>
        <v>1.014194887410651</v>
      </c>
      <c r="P75" s="148">
        <f ca="1">(1+SUMIF(Year_Unic,Year,Предпосылки!$L$58:$AY$58))^(Months_in_Period/Months_in_Year)</f>
        <v>1.0098534065489688</v>
      </c>
      <c r="Q75" s="148">
        <f ca="1">(1+SUMIF(Year_Unic,Year,Предпосылки!$L$58:$AY$58))^(Months_in_Period/Months_in_Year)</f>
        <v>1.0098534065489688</v>
      </c>
      <c r="R75" s="148">
        <f ca="1">(1+SUMIF(Year_Unic,Year,Предпосылки!$L$58:$AY$58))^(Months_in_Period/Months_in_Year)</f>
        <v>1.0098534065489688</v>
      </c>
      <c r="S75" s="148">
        <f ca="1">(1+SUMIF(Year_Unic,Year,Предпосылки!$L$58:$AY$58))^(Months_in_Period/Months_in_Year)</f>
        <v>1.0098534065489688</v>
      </c>
      <c r="T75" s="148">
        <f ca="1">(1+SUMIF(Year_Unic,Year,Предпосылки!$L$58:$AY$58))^(Months_in_Period/Months_in_Year)</f>
        <v>1.0098534065489688</v>
      </c>
      <c r="U75" s="148">
        <f ca="1">(1+SUMIF(Year_Unic,Year,Предпосылки!$L$58:$AY$58))^(Months_in_Period/Months_in_Year)</f>
        <v>1.0098534065489688</v>
      </c>
      <c r="V75" s="148">
        <f ca="1">(1+SUMIF(Year_Unic,Year,Предпосылки!$L$58:$AY$58))^(Months_in_Period/Months_in_Year)</f>
        <v>1.0098534065489688</v>
      </c>
      <c r="W75" s="148">
        <f ca="1">(1+SUMIF(Year_Unic,Year,Предпосылки!$L$58:$AY$58))^(Months_in_Period/Months_in_Year)</f>
        <v>1.0098534065489688</v>
      </c>
      <c r="X75" s="148">
        <f ca="1">(1+SUMIF(Year_Unic,Year,Предпосылки!$L$58:$AY$58))^(Months_in_Period/Months_in_Year)</f>
        <v>1.0098534065489688</v>
      </c>
      <c r="Y75" s="148">
        <f ca="1">(1+SUMIF(Year_Unic,Year,Предпосылки!$L$58:$AY$58))^(Months_in_Period/Months_in_Year)</f>
        <v>1.0098534065489688</v>
      </c>
      <c r="Z75" s="148">
        <f ca="1">(1+SUMIF(Year_Unic,Year,Предпосылки!$L$58:$AY$58))^(Months_in_Period/Months_in_Year)</f>
        <v>1.0098534065489688</v>
      </c>
      <c r="AA75" s="148">
        <f ca="1">(1+SUMIF(Year_Unic,Year,Предпосылки!$L$58:$AY$58))^(Months_in_Period/Months_in_Year)</f>
        <v>1.0098534065489688</v>
      </c>
      <c r="AB75" s="148">
        <f ca="1">(1+SUMIF(Year_Unic,Year,Предпосылки!$L$58:$AY$58))^(Months_in_Period/Months_in_Year)</f>
        <v>1.0098534065489688</v>
      </c>
      <c r="AC75" s="148">
        <f ca="1">(1+SUMIF(Year_Unic,Year,Предпосылки!$L$58:$AY$58))^(Months_in_Period/Months_in_Year)</f>
        <v>1.0098534065489688</v>
      </c>
      <c r="AD75" s="148">
        <f ca="1">(1+SUMIF(Year_Unic,Year,Предпосылки!$L$58:$AY$58))^(Months_in_Period/Months_in_Year)</f>
        <v>1.0098534065489688</v>
      </c>
      <c r="AE75" s="148">
        <f ca="1">(1+SUMIF(Year_Unic,Year,Предпосылки!$L$58:$AY$58))^(Months_in_Period/Months_in_Year)</f>
        <v>1.0098534065489688</v>
      </c>
      <c r="AF75" s="148">
        <f ca="1">(1+SUMIF(Year_Unic,Year,Предпосылки!$L$58:$AY$58))^(Months_in_Period/Months_in_Year)</f>
        <v>1.0098534065489688</v>
      </c>
      <c r="AG75" s="148">
        <f ca="1">(1+SUMIF(Year_Unic,Year,Предпосылки!$L$58:$AY$58))^(Months_in_Period/Months_in_Year)</f>
        <v>1.0098534065489688</v>
      </c>
      <c r="AH75" s="148">
        <f ca="1">(1+SUMIF(Year_Unic,Year,Предпосылки!$L$58:$AY$58))^(Months_in_Period/Months_in_Year)</f>
        <v>1.0098534065489688</v>
      </c>
      <c r="AI75" s="148">
        <f ca="1">(1+SUMIF(Year_Unic,Year,Предпосылки!$L$58:$AY$58))^(Months_in_Period/Months_in_Year)</f>
        <v>1.0098534065489688</v>
      </c>
      <c r="AJ75" s="148">
        <f ca="1">(1+SUMIF(Year_Unic,Year,Предпосылки!$L$58:$AY$58))^(Months_in_Period/Months_in_Year)</f>
        <v>1.0098534065489688</v>
      </c>
      <c r="AK75" s="148">
        <f ca="1">(1+SUMIF(Year_Unic,Year,Предпосылки!$L$58:$AY$58))^(Months_in_Period/Months_in_Year)</f>
        <v>1.0098534065489688</v>
      </c>
      <c r="AL75" s="148">
        <f ca="1">(1+SUMIF(Year_Unic,Year,Предпосылки!$L$58:$AY$58))^(Months_in_Period/Months_in_Year)</f>
        <v>1.0098534065489688</v>
      </c>
      <c r="AM75" s="148">
        <f ca="1">(1+SUMIF(Year_Unic,Year,Предпосылки!$L$58:$AY$58))^(Months_in_Period/Months_in_Year)</f>
        <v>1.0098534065489688</v>
      </c>
      <c r="AN75" s="148">
        <f ca="1">(1+SUMIF(Year_Unic,Year,Предпосылки!$L$58:$AY$58))^(Months_in_Period/Months_in_Year)</f>
        <v>1.0098534065489688</v>
      </c>
      <c r="AO75" s="148">
        <f ca="1">(1+SUMIF(Year_Unic,Year,Предпосылки!$L$58:$AY$58))^(Months_in_Period/Months_in_Year)</f>
        <v>1.0098534065489688</v>
      </c>
      <c r="AP75" s="148">
        <f ca="1">(1+SUMIF(Year_Unic,Year,Предпосылки!$L$58:$AY$58))^(Months_in_Period/Months_in_Year)</f>
        <v>1.0098534065489688</v>
      </c>
      <c r="AQ75" s="148">
        <f ca="1">(1+SUMIF(Year_Unic,Year,Предпосылки!$L$58:$AY$58))^(Months_in_Period/Months_in_Year)</f>
        <v>1.0098534065489688</v>
      </c>
      <c r="AR75" s="148">
        <f ca="1">(1+SUMIF(Year_Unic,Year,Предпосылки!$L$58:$AY$58))^(Months_in_Period/Months_in_Year)</f>
        <v>1.0098534065489688</v>
      </c>
      <c r="AS75" s="148">
        <f ca="1">(1+SUMIF(Year_Unic,Year,Предпосылки!$L$58:$AY$58))^(Months_in_Period/Months_in_Year)</f>
        <v>1.0098534065489688</v>
      </c>
      <c r="AT75" s="148">
        <f ca="1">(1+SUMIF(Year_Unic,Year,Предпосылки!$L$58:$AY$58))^(Months_in_Period/Months_in_Year)</f>
        <v>1.0098534065489688</v>
      </c>
      <c r="AU75" s="148">
        <f ca="1">(1+SUMIF(Year_Unic,Year,Предпосылки!$L$58:$AY$58))^(Months_in_Period/Months_in_Year)</f>
        <v>1.0098534065489688</v>
      </c>
      <c r="AV75" s="148">
        <f ca="1">(1+SUMIF(Year_Unic,Year,Предпосылки!$L$58:$AY$58))^(Months_in_Period/Months_in_Year)</f>
        <v>1.0098534065489688</v>
      </c>
      <c r="AW75" s="148">
        <f ca="1">(1+SUMIF(Year_Unic,Year,Предпосылки!$L$58:$AY$58))^(Months_in_Period/Months_in_Year)</f>
        <v>1.0098534065489688</v>
      </c>
      <c r="AX75" s="148">
        <f ca="1">(1+SUMIF(Year_Unic,Year,Предпосылки!$L$58:$AY$58))^(Months_in_Period/Months_in_Year)</f>
        <v>1.0098534065489688</v>
      </c>
      <c r="AY75" s="148">
        <f ca="1">(1+SUMIF(Year_Unic,Year,Предпосылки!$L$58:$AY$58))^(Months_in_Period/Months_in_Year)</f>
        <v>1.0098534065489688</v>
      </c>
      <c r="AZ75" s="148">
        <f ca="1">(1+SUMIF(Year_Unic,Year,Предпосылки!$L$58:$AY$58))^(Months_in_Period/Months_in_Year)</f>
        <v>1.0098534065489688</v>
      </c>
      <c r="BA75" s="148">
        <f ca="1">(1+SUMIF(Year_Unic,Year,Предпосылки!$L$58:$AY$58))^(Months_in_Period/Months_in_Year)</f>
        <v>1.0098534065489688</v>
      </c>
      <c r="BB75" s="148">
        <f ca="1">(1+SUMIF(Year_Unic,Year,Предпосылки!$L$58:$AY$58))^(Months_in_Period/Months_in_Year)</f>
        <v>1.0098534065489688</v>
      </c>
      <c r="BC75" s="148">
        <f ca="1">(1+SUMIF(Year_Unic,Year,Предпосылки!$L$58:$AY$58))^(Months_in_Period/Months_in_Year)</f>
        <v>1.0098534065489688</v>
      </c>
      <c r="BD75" s="148">
        <f ca="1">(1+SUMIF(Year_Unic,Year,Предпосылки!$L$58:$AY$58))^(Months_in_Period/Months_in_Year)</f>
        <v>1.0098534065489688</v>
      </c>
      <c r="BE75" s="148">
        <f ca="1">(1+SUMIF(Year_Unic,Year,Предпосылки!$L$58:$AY$58))^(Months_in_Period/Months_in_Year)</f>
        <v>1.0098534065489688</v>
      </c>
      <c r="BF75" s="148">
        <f ca="1">(1+SUMIF(Year_Unic,Year,Предпосылки!$L$58:$AY$58))^(Months_in_Period/Months_in_Year)</f>
        <v>1.0098534065489688</v>
      </c>
      <c r="BG75" s="148">
        <f ca="1">(1+SUMIF(Year_Unic,Year,Предпосылки!$L$58:$AY$58))^(Months_in_Period/Months_in_Year)</f>
        <v>1.0098534065489688</v>
      </c>
      <c r="BH75" s="148">
        <f ca="1">(1+SUMIF(Year_Unic,Year,Предпосылки!$L$58:$AY$58))^(Months_in_Period/Months_in_Year)</f>
        <v>1.0098534065489688</v>
      </c>
      <c r="BI75" s="148">
        <f ca="1">(1+SUMIF(Year_Unic,Year,Предпосылки!$L$58:$AY$58))^(Months_in_Period/Months_in_Year)</f>
        <v>1.0098534065489688</v>
      </c>
      <c r="BJ75" s="148">
        <f ca="1">(1+SUMIF(Year_Unic,Year,Предпосылки!$L$58:$AY$58))^(Months_in_Period/Months_in_Year)</f>
        <v>1.0098534065489688</v>
      </c>
      <c r="BK75" s="148">
        <f ca="1">(1+SUMIF(Year_Unic,Year,Предпосылки!$L$58:$AY$58))^(Months_in_Period/Months_in_Year)</f>
        <v>1.0098534065489688</v>
      </c>
      <c r="BL75" s="148">
        <f ca="1">(1+SUMIF(Year_Unic,Year,Предпосылки!$L$58:$AY$58))^(Months_in_Period/Months_in_Year)</f>
        <v>1.0098534065489688</v>
      </c>
      <c r="BM75" s="148">
        <f ca="1">(1+SUMIF(Year_Unic,Year,Предпосылки!$L$58:$AY$58))^(Months_in_Period/Months_in_Year)</f>
        <v>1.0098534065489688</v>
      </c>
      <c r="BN75" s="148">
        <f ca="1">(1+SUMIF(Year_Unic,Year,Предпосылки!$L$58:$AY$58))^(Months_in_Period/Months_in_Year)</f>
        <v>1.0098534065489688</v>
      </c>
      <c r="BO75" s="148">
        <f ca="1">(1+SUMIF(Year_Unic,Year,Предпосылки!$L$58:$AY$58))^(Months_in_Period/Months_in_Year)</f>
        <v>1.0098534065489688</v>
      </c>
      <c r="BP75" s="148">
        <f ca="1">(1+SUMIF(Year_Unic,Year,Предпосылки!$L$58:$AY$58))^(Months_in_Period/Months_in_Year)</f>
        <v>1.0098534065489688</v>
      </c>
      <c r="BQ75" s="148">
        <f ca="1">(1+SUMIF(Year_Unic,Year,Предпосылки!$L$58:$AY$58))^(Months_in_Period/Months_in_Year)</f>
        <v>1.0098534065489688</v>
      </c>
      <c r="BR75" s="148">
        <f ca="1">(1+SUMIF(Year_Unic,Year,Предпосылки!$L$58:$AY$58))^(Months_in_Period/Months_in_Year)</f>
        <v>1.0098534065489688</v>
      </c>
      <c r="BS75" s="148">
        <f ca="1">(1+SUMIF(Year_Unic,Year,Предпосылки!$L$58:$AY$58))^(Months_in_Period/Months_in_Year)</f>
        <v>1.0098534065489688</v>
      </c>
      <c r="BT75" s="148">
        <f ca="1">(1+SUMIF(Year_Unic,Year,Предпосылки!$L$58:$AY$58))^(Months_in_Period/Months_in_Year)</f>
        <v>1.0098534065489688</v>
      </c>
      <c r="BU75" s="148">
        <f ca="1">(1+SUMIF(Year_Unic,Year,Предпосылки!$L$58:$AY$58))^(Months_in_Period/Months_in_Year)</f>
        <v>1.0098534065489688</v>
      </c>
      <c r="BV75" s="148">
        <f ca="1">(1+SUMIF(Year_Unic,Year,Предпосылки!$L$58:$AY$58))^(Months_in_Period/Months_in_Year)</f>
        <v>1.0098534065489688</v>
      </c>
      <c r="BW75" s="148">
        <f ca="1">(1+SUMIF(Year_Unic,Year,Предпосылки!$L$58:$AY$58))^(Months_in_Period/Months_in_Year)</f>
        <v>1.0098534065489688</v>
      </c>
      <c r="BX75" s="148">
        <f ca="1">(1+SUMIF(Year_Unic,Year,Предпосылки!$L$58:$AY$58))^(Months_in_Period/Months_in_Year)</f>
        <v>1.0098534065489688</v>
      </c>
      <c r="BY75" s="148">
        <f ca="1">(1+SUMIF(Year_Unic,Year,Предпосылки!$L$58:$AY$58))^(Months_in_Period/Months_in_Year)</f>
        <v>1.0098534065489688</v>
      </c>
      <c r="BZ75" s="148">
        <f ca="1">(1+SUMIF(Year_Unic,Year,Предпосылки!$L$58:$AY$58))^(Months_in_Period/Months_in_Year)</f>
        <v>1.0098534065489688</v>
      </c>
      <c r="CA75" s="148">
        <f ca="1">(1+SUMIF(Year_Unic,Year,Предпосылки!$L$58:$AY$58))^(Months_in_Period/Months_in_Year)</f>
        <v>1.0098534065489688</v>
      </c>
      <c r="CB75" s="148">
        <f ca="1">(1+SUMIF(Year_Unic,Year,Предпосылки!$L$58:$AY$58))^(Months_in_Period/Months_in_Year)</f>
        <v>1.0098534065489688</v>
      </c>
      <c r="CC75" s="148">
        <f ca="1">(1+SUMIF(Year_Unic,Year,Предпосылки!$L$58:$AY$58))^(Months_in_Period/Months_in_Year)</f>
        <v>1.0098534065489688</v>
      </c>
      <c r="CD75" s="148">
        <f ca="1">(1+SUMIF(Year_Unic,Year,Предпосылки!$L$58:$AY$58))^(Months_in_Period/Months_in_Year)</f>
        <v>1.0098534065489688</v>
      </c>
      <c r="CE75" s="148">
        <f ca="1">(1+SUMIF(Year_Unic,Year,Предпосылки!$L$58:$AY$58))^(Months_in_Period/Months_in_Year)</f>
        <v>1.0098534065489688</v>
      </c>
      <c r="CF75" s="148">
        <f ca="1">(1+SUMIF(Year_Unic,Year,Предпосылки!$L$58:$AY$58))^(Months_in_Period/Months_in_Year)</f>
        <v>1.0098534065489688</v>
      </c>
      <c r="CG75" s="148">
        <f ca="1">(1+SUMIF(Year_Unic,Year,Предпосылки!$L$58:$AY$58))^(Months_in_Period/Months_in_Year)</f>
        <v>1.0098534065489688</v>
      </c>
      <c r="CH75" s="148">
        <f ca="1">(1+SUMIF(Year_Unic,Year,Предпосылки!$L$58:$AY$58))^(Months_in_Period/Months_in_Year)</f>
        <v>1.0098534065489688</v>
      </c>
      <c r="CI75" s="148">
        <f ca="1">(1+SUMIF(Year_Unic,Year,Предпосылки!$L$58:$AY$58))^(Months_in_Period/Months_in_Year)</f>
        <v>1.0098534065489688</v>
      </c>
      <c r="CJ75" s="148">
        <f ca="1">(1+SUMIF(Year_Unic,Year,Предпосылки!$L$58:$AY$58))^(Months_in_Period/Months_in_Year)</f>
        <v>1.0098534065489688</v>
      </c>
      <c r="CK75" s="148">
        <f ca="1">(1+SUMIF(Year_Unic,Year,Предпосылки!$L$58:$AY$58))^(Months_in_Period/Months_in_Year)</f>
        <v>1.0098534065489688</v>
      </c>
      <c r="CL75" s="148">
        <f ca="1">(1+SUMIF(Year_Unic,Year,Предпосылки!$L$58:$AY$58))^(Months_in_Period/Months_in_Year)</f>
        <v>1.0098534065489688</v>
      </c>
      <c r="CM75" s="148">
        <f ca="1">(1+SUMIF(Year_Unic,Year,Предпосылки!$L$58:$AY$58))^(Months_in_Period/Months_in_Year)</f>
        <v>1.0098534065489688</v>
      </c>
      <c r="CN75" s="148">
        <f ca="1">(1+SUMIF(Year_Unic,Year,Предпосылки!$L$58:$AY$58))^(Months_in_Period/Months_in_Year)</f>
        <v>1.0098534065489688</v>
      </c>
      <c r="CO75" s="148">
        <f ca="1">(1+SUMIF(Year_Unic,Year,Предпосылки!$L$58:$AY$58))^(Months_in_Period/Months_in_Year)</f>
        <v>1.0098534065489688</v>
      </c>
    </row>
    <row r="76" spans="1:93">
      <c r="A76" s="77"/>
      <c r="B76" s="13"/>
      <c r="C76" s="17" t="s">
        <v>49</v>
      </c>
      <c r="D76" s="10"/>
      <c r="E76" s="62"/>
      <c r="F76" s="11"/>
      <c r="G76" s="11" t="s">
        <v>378</v>
      </c>
      <c r="H76" s="10"/>
      <c r="I76" s="150"/>
      <c r="J76" s="10"/>
      <c r="K76" s="10"/>
      <c r="L76" s="148">
        <f t="shared" ref="L76:R76" ca="1" si="827">IF(Flag_Historical,1,L75)</f>
        <v>1.014194887410651</v>
      </c>
      <c r="M76" s="148">
        <f t="shared" ca="1" si="827"/>
        <v>1.014194887410651</v>
      </c>
      <c r="N76" s="148">
        <f t="shared" ca="1" si="827"/>
        <v>1.014194887410651</v>
      </c>
      <c r="O76" s="148">
        <f t="shared" ca="1" si="827"/>
        <v>1.014194887410651</v>
      </c>
      <c r="P76" s="148">
        <f t="shared" ca="1" si="827"/>
        <v>1.0098534065489688</v>
      </c>
      <c r="Q76" s="148">
        <f t="shared" ca="1" si="827"/>
        <v>1.0098534065489688</v>
      </c>
      <c r="R76" s="148">
        <f t="shared" ca="1" si="827"/>
        <v>1.0098534065489688</v>
      </c>
      <c r="S76" s="148">
        <f t="shared" ref="S76" ca="1" si="828">IF(Flag_Historical,1,S75)</f>
        <v>1.0098534065489688</v>
      </c>
      <c r="T76" s="148">
        <f t="shared" ref="T76:CE76" ca="1" si="829">IF(Flag_Historical,1,T75)</f>
        <v>1.0098534065489688</v>
      </c>
      <c r="U76" s="148">
        <f t="shared" ca="1" si="829"/>
        <v>1.0098534065489688</v>
      </c>
      <c r="V76" s="148">
        <f t="shared" ca="1" si="829"/>
        <v>1.0098534065489688</v>
      </c>
      <c r="W76" s="148">
        <f t="shared" ca="1" si="829"/>
        <v>1.0098534065489688</v>
      </c>
      <c r="X76" s="148">
        <f t="shared" ca="1" si="829"/>
        <v>1.0098534065489688</v>
      </c>
      <c r="Y76" s="148">
        <f t="shared" ca="1" si="829"/>
        <v>1.0098534065489688</v>
      </c>
      <c r="Z76" s="148">
        <f t="shared" ca="1" si="829"/>
        <v>1.0098534065489688</v>
      </c>
      <c r="AA76" s="148">
        <f t="shared" ca="1" si="829"/>
        <v>1.0098534065489688</v>
      </c>
      <c r="AB76" s="148">
        <f t="shared" ca="1" si="829"/>
        <v>1.0098534065489688</v>
      </c>
      <c r="AC76" s="148">
        <f t="shared" ca="1" si="829"/>
        <v>1.0098534065489688</v>
      </c>
      <c r="AD76" s="148">
        <f t="shared" ca="1" si="829"/>
        <v>1.0098534065489688</v>
      </c>
      <c r="AE76" s="148">
        <f t="shared" ca="1" si="829"/>
        <v>1.0098534065489688</v>
      </c>
      <c r="AF76" s="148">
        <f t="shared" ca="1" si="829"/>
        <v>1.0098534065489688</v>
      </c>
      <c r="AG76" s="148">
        <f t="shared" ca="1" si="829"/>
        <v>1.0098534065489688</v>
      </c>
      <c r="AH76" s="148">
        <f t="shared" ca="1" si="829"/>
        <v>1.0098534065489688</v>
      </c>
      <c r="AI76" s="148">
        <f t="shared" ca="1" si="829"/>
        <v>1.0098534065489688</v>
      </c>
      <c r="AJ76" s="148">
        <f t="shared" ca="1" si="829"/>
        <v>1.0098534065489688</v>
      </c>
      <c r="AK76" s="148">
        <f t="shared" ca="1" si="829"/>
        <v>1.0098534065489688</v>
      </c>
      <c r="AL76" s="148">
        <f t="shared" ca="1" si="829"/>
        <v>1.0098534065489688</v>
      </c>
      <c r="AM76" s="148">
        <f t="shared" ca="1" si="829"/>
        <v>1.0098534065489688</v>
      </c>
      <c r="AN76" s="148">
        <f t="shared" ca="1" si="829"/>
        <v>1.0098534065489688</v>
      </c>
      <c r="AO76" s="148">
        <f t="shared" ca="1" si="829"/>
        <v>1.0098534065489688</v>
      </c>
      <c r="AP76" s="148">
        <f t="shared" ca="1" si="829"/>
        <v>1.0098534065489688</v>
      </c>
      <c r="AQ76" s="148">
        <f t="shared" ca="1" si="829"/>
        <v>1.0098534065489688</v>
      </c>
      <c r="AR76" s="148">
        <f t="shared" ca="1" si="829"/>
        <v>1.0098534065489688</v>
      </c>
      <c r="AS76" s="148">
        <f t="shared" ca="1" si="829"/>
        <v>1.0098534065489688</v>
      </c>
      <c r="AT76" s="148">
        <f t="shared" ca="1" si="829"/>
        <v>1.0098534065489688</v>
      </c>
      <c r="AU76" s="148">
        <f t="shared" ca="1" si="829"/>
        <v>1.0098534065489688</v>
      </c>
      <c r="AV76" s="148">
        <f t="shared" ca="1" si="829"/>
        <v>1.0098534065489688</v>
      </c>
      <c r="AW76" s="148">
        <f t="shared" ca="1" si="829"/>
        <v>1.0098534065489688</v>
      </c>
      <c r="AX76" s="148">
        <f t="shared" ca="1" si="829"/>
        <v>1.0098534065489688</v>
      </c>
      <c r="AY76" s="148">
        <f t="shared" ca="1" si="829"/>
        <v>1.0098534065489688</v>
      </c>
      <c r="AZ76" s="148">
        <f t="shared" ca="1" si="829"/>
        <v>1.0098534065489688</v>
      </c>
      <c r="BA76" s="148">
        <f t="shared" ca="1" si="829"/>
        <v>1.0098534065489688</v>
      </c>
      <c r="BB76" s="148">
        <f t="shared" ca="1" si="829"/>
        <v>1.0098534065489688</v>
      </c>
      <c r="BC76" s="148">
        <f t="shared" ca="1" si="829"/>
        <v>1.0098534065489688</v>
      </c>
      <c r="BD76" s="148">
        <f t="shared" ca="1" si="829"/>
        <v>1.0098534065489688</v>
      </c>
      <c r="BE76" s="148">
        <f t="shared" ca="1" si="829"/>
        <v>1.0098534065489688</v>
      </c>
      <c r="BF76" s="148">
        <f t="shared" ca="1" si="829"/>
        <v>1.0098534065489688</v>
      </c>
      <c r="BG76" s="148">
        <f t="shared" ca="1" si="829"/>
        <v>1.0098534065489688</v>
      </c>
      <c r="BH76" s="148">
        <f t="shared" ca="1" si="829"/>
        <v>1.0098534065489688</v>
      </c>
      <c r="BI76" s="148">
        <f t="shared" ca="1" si="829"/>
        <v>1.0098534065489688</v>
      </c>
      <c r="BJ76" s="148">
        <f t="shared" ca="1" si="829"/>
        <v>1.0098534065489688</v>
      </c>
      <c r="BK76" s="148">
        <f t="shared" ca="1" si="829"/>
        <v>1.0098534065489688</v>
      </c>
      <c r="BL76" s="148">
        <f t="shared" ca="1" si="829"/>
        <v>1.0098534065489688</v>
      </c>
      <c r="BM76" s="148">
        <f t="shared" ca="1" si="829"/>
        <v>1.0098534065489688</v>
      </c>
      <c r="BN76" s="148">
        <f t="shared" ca="1" si="829"/>
        <v>1.0098534065489688</v>
      </c>
      <c r="BO76" s="148">
        <f t="shared" ca="1" si="829"/>
        <v>1.0098534065489688</v>
      </c>
      <c r="BP76" s="148">
        <f t="shared" ca="1" si="829"/>
        <v>1.0098534065489688</v>
      </c>
      <c r="BQ76" s="148">
        <f t="shared" ca="1" si="829"/>
        <v>1.0098534065489688</v>
      </c>
      <c r="BR76" s="148">
        <f t="shared" ca="1" si="829"/>
        <v>1.0098534065489688</v>
      </c>
      <c r="BS76" s="148">
        <f t="shared" ca="1" si="829"/>
        <v>1.0098534065489688</v>
      </c>
      <c r="BT76" s="148">
        <f t="shared" ca="1" si="829"/>
        <v>1.0098534065489688</v>
      </c>
      <c r="BU76" s="148">
        <f t="shared" ca="1" si="829"/>
        <v>1.0098534065489688</v>
      </c>
      <c r="BV76" s="148">
        <f t="shared" ca="1" si="829"/>
        <v>1.0098534065489688</v>
      </c>
      <c r="BW76" s="148">
        <f t="shared" ca="1" si="829"/>
        <v>1.0098534065489688</v>
      </c>
      <c r="BX76" s="148">
        <f t="shared" ca="1" si="829"/>
        <v>1.0098534065489688</v>
      </c>
      <c r="BY76" s="148">
        <f t="shared" ca="1" si="829"/>
        <v>1.0098534065489688</v>
      </c>
      <c r="BZ76" s="148">
        <f t="shared" ca="1" si="829"/>
        <v>1.0098534065489688</v>
      </c>
      <c r="CA76" s="148">
        <f t="shared" ca="1" si="829"/>
        <v>1.0098534065489688</v>
      </c>
      <c r="CB76" s="148">
        <f t="shared" ca="1" si="829"/>
        <v>1.0098534065489688</v>
      </c>
      <c r="CC76" s="148">
        <f t="shared" ca="1" si="829"/>
        <v>1.0098534065489688</v>
      </c>
      <c r="CD76" s="148">
        <f t="shared" ca="1" si="829"/>
        <v>1.0098534065489688</v>
      </c>
      <c r="CE76" s="148">
        <f t="shared" ca="1" si="829"/>
        <v>1.0098534065489688</v>
      </c>
      <c r="CF76" s="148">
        <f t="shared" ref="CF76:CO76" ca="1" si="830">IF(Flag_Historical,1,CF75)</f>
        <v>1.0098534065489688</v>
      </c>
      <c r="CG76" s="148">
        <f t="shared" ca="1" si="830"/>
        <v>1.0098534065489688</v>
      </c>
      <c r="CH76" s="148">
        <f t="shared" ca="1" si="830"/>
        <v>1.0098534065489688</v>
      </c>
      <c r="CI76" s="148">
        <f t="shared" ca="1" si="830"/>
        <v>1.0098534065489688</v>
      </c>
      <c r="CJ76" s="148">
        <f t="shared" ca="1" si="830"/>
        <v>1.0098534065489688</v>
      </c>
      <c r="CK76" s="148">
        <f t="shared" ca="1" si="830"/>
        <v>1.0098534065489688</v>
      </c>
      <c r="CL76" s="148">
        <f t="shared" ca="1" si="830"/>
        <v>1.0098534065489688</v>
      </c>
      <c r="CM76" s="148">
        <f t="shared" ca="1" si="830"/>
        <v>1.0098534065489688</v>
      </c>
      <c r="CN76" s="148">
        <f t="shared" ca="1" si="830"/>
        <v>1.0098534065489688</v>
      </c>
      <c r="CO76" s="148">
        <f t="shared" ca="1" si="830"/>
        <v>1.0098534065489688</v>
      </c>
    </row>
    <row r="77" spans="1:93">
      <c r="A77" s="77"/>
      <c r="B77" s="13"/>
      <c r="C77" s="17" t="s">
        <v>143</v>
      </c>
      <c r="D77" s="10"/>
      <c r="E77" s="62"/>
      <c r="F77" s="11"/>
      <c r="G77" s="11" t="s">
        <v>378</v>
      </c>
      <c r="H77" s="10"/>
      <c r="I77" s="150"/>
      <c r="J77" s="10"/>
      <c r="K77" s="10"/>
      <c r="L77" s="148">
        <f t="shared" ref="L77" si="831">IF(K77,K77*L76,1)</f>
        <v>1</v>
      </c>
      <c r="M77" s="148">
        <f t="shared" ref="M77" ca="1" si="832">IF(L77,L77*M76,1)</f>
        <v>1.014194887410651</v>
      </c>
      <c r="N77" s="148">
        <f t="shared" ref="N77" ca="1" si="833">IF(M77,M77*N76,1)</f>
        <v>1.0285912696499031</v>
      </c>
      <c r="O77" s="148">
        <f t="shared" ref="O77" ca="1" si="834">IF(N77,N77*O76,1)</f>
        <v>1.043192006914162</v>
      </c>
      <c r="P77" s="148">
        <f t="shared" ref="P77" ca="1" si="835">IF(O77,O77*P76,1)</f>
        <v>1.053471001866922</v>
      </c>
      <c r="Q77" s="148">
        <f t="shared" ref="Q77" ca="1" si="836">IF(P77,P77*Q76,1)</f>
        <v>1.0638512799358664</v>
      </c>
      <c r="R77" s="148">
        <f t="shared" ref="R77" ca="1" si="837">IF(Q77,Q77*R76,1)</f>
        <v>1.0743338391047152</v>
      </c>
      <c r="S77" s="148">
        <f t="shared" ref="S77" ca="1" si="838">IF(R77,R77*S76,1)</f>
        <v>1.0849196871907285</v>
      </c>
      <c r="T77" s="148">
        <f t="shared" ref="T77" ca="1" si="839">IF(S77,S77*T76,1)</f>
        <v>1.0956098419415989</v>
      </c>
      <c r="U77" s="148">
        <f t="shared" ref="U77" ca="1" si="840">IF(T77,T77*U76,1)</f>
        <v>1.1064053311333011</v>
      </c>
      <c r="V77" s="148">
        <f t="shared" ref="V77" ca="1" si="841">IF(U77,U77*V76,1)</f>
        <v>1.117307192668904</v>
      </c>
      <c r="W77" s="148">
        <f t="shared" ref="W77" ca="1" si="842">IF(V77,V77*W76,1)</f>
        <v>1.1283164746783578</v>
      </c>
      <c r="X77" s="148">
        <f t="shared" ref="X77" ca="1" si="843">IF(W77,W77*X76,1)</f>
        <v>1.139434235619263</v>
      </c>
      <c r="Y77" s="148">
        <f t="shared" ref="Y77" ca="1" si="844">IF(X77,X77*Y76,1)</f>
        <v>1.1506615443786332</v>
      </c>
      <c r="Z77" s="148">
        <f t="shared" ref="Z77" ca="1" si="845">IF(Y77,Y77*Z76,1)</f>
        <v>1.1619994803756601</v>
      </c>
      <c r="AA77" s="148">
        <f t="shared" ref="AA77" ca="1" si="846">IF(Z77,Z77*AA76,1)</f>
        <v>1.173449133665492</v>
      </c>
      <c r="AB77" s="148">
        <f t="shared" ref="AB77" ca="1" si="847">IF(AA77,AA77*AB76,1)</f>
        <v>1.1850116050440334</v>
      </c>
      <c r="AC77" s="148">
        <f t="shared" ref="AC77" ca="1" si="848">IF(AB77,AB77*AC76,1)</f>
        <v>1.1966880061537783</v>
      </c>
      <c r="AD77" s="148">
        <f t="shared" ref="AD77" ca="1" si="849">IF(AC77,AC77*AD76,1)</f>
        <v>1.2084794595906865</v>
      </c>
      <c r="AE77" s="148">
        <f t="shared" ref="AE77" ca="1" si="850">IF(AD77,AD77*AE76,1)</f>
        <v>1.2203870990121117</v>
      </c>
      <c r="AF77" s="148">
        <f t="shared" ref="AF77" ca="1" si="851">IF(AE77,AE77*AF76,1)</f>
        <v>1.2324120692457947</v>
      </c>
      <c r="AG77" s="148">
        <f t="shared" ref="AG77" ca="1" si="852">IF(AF77,AF77*AG76,1)</f>
        <v>1.2445555263999295</v>
      </c>
      <c r="AH77" s="148">
        <f t="shared" ref="AH77" ca="1" si="853">IF(AG77,AG77*AH76,1)</f>
        <v>1.2568186379743138</v>
      </c>
      <c r="AI77" s="148">
        <f t="shared" ref="AI77" ca="1" si="854">IF(AH77,AH77*AI76,1)</f>
        <v>1.2692025829725959</v>
      </c>
      <c r="AJ77" s="148">
        <f t="shared" ref="AJ77" ca="1" si="855">IF(AI77,AI77*AJ76,1)</f>
        <v>1.2817085520156262</v>
      </c>
      <c r="AK77" s="148">
        <f t="shared" ref="AK77" ca="1" si="856">IF(AJ77,AJ77*AK76,1)</f>
        <v>1.2943377474559263</v>
      </c>
      <c r="AL77" s="148">
        <f t="shared" ref="AL77" ca="1" si="857">IF(AK77,AK77*AL76,1)</f>
        <v>1.307091383493286</v>
      </c>
      <c r="AM77" s="148">
        <f t="shared" ref="AM77" ca="1" si="858">IF(AL77,AL77*AM76,1)</f>
        <v>1.3199706862914995</v>
      </c>
      <c r="AN77" s="148">
        <f t="shared" ref="AN77" ca="1" si="859">IF(AM77,AM77*AN76,1)</f>
        <v>1.332976894096251</v>
      </c>
      <c r="AO77" s="148">
        <f t="shared" ref="AO77" ca="1" si="860">IF(AN77,AN77*AO76,1)</f>
        <v>1.3461112573541631</v>
      </c>
      <c r="AP77" s="148">
        <f t="shared" ref="AP77" ca="1" si="861">IF(AO77,AO77*AP76,1)</f>
        <v>1.3593750388330172</v>
      </c>
      <c r="AQ77" s="148">
        <f t="shared" ref="AQ77" ca="1" si="862">IF(AP77,AP77*AQ76,1)</f>
        <v>1.3727695137431593</v>
      </c>
      <c r="AR77" s="148">
        <f t="shared" ref="AR77" ca="1" si="863">IF(AQ77,AQ77*AR76,1)</f>
        <v>1.386295969860101</v>
      </c>
      <c r="AS77" s="148">
        <f t="shared" ref="AS77" ca="1" si="864">IF(AR77,AR77*AS76,1)</f>
        <v>1.3999557076483296</v>
      </c>
      <c r="AT77" s="148">
        <f t="shared" ref="AT77" ca="1" si="865">IF(AS77,AS77*AT76,1)</f>
        <v>1.4137500403863379</v>
      </c>
      <c r="AU77" s="148">
        <f t="shared" ref="AU77" ca="1" si="866">IF(AT77,AT77*AU76,1)</f>
        <v>1.4276802942928857</v>
      </c>
      <c r="AV77" s="148">
        <f t="shared" ref="AV77" ca="1" si="867">IF(AU77,AU77*AV76,1)</f>
        <v>1.441747808654505</v>
      </c>
      <c r="AW77" s="148">
        <f t="shared" ref="AW77" ca="1" si="868">IF(AV77,AV77*AW76,1)</f>
        <v>1.4559539359542628</v>
      </c>
      <c r="AX77" s="148">
        <f t="shared" ref="AX77" ca="1" si="869">IF(AW77,AW77*AX76,1)</f>
        <v>1.4703000420017915</v>
      </c>
      <c r="AY77" s="148">
        <f t="shared" ref="AY77" ca="1" si="870">IF(AX77,AX77*AY76,1)</f>
        <v>1.4847875060646012</v>
      </c>
      <c r="AZ77" s="148">
        <f t="shared" ref="AZ77" ca="1" si="871">IF(AY77,AY77*AZ76,1)</f>
        <v>1.4994177210006852</v>
      </c>
      <c r="BA77" s="148">
        <f t="shared" ref="BA77" ca="1" si="872">IF(AZ77,AZ77*BA76,1)</f>
        <v>1.5141920933924333</v>
      </c>
      <c r="BB77" s="148">
        <f t="shared" ref="BB77" ca="1" si="873">IF(BA77,BA77*BB76,1)</f>
        <v>1.529112043681863</v>
      </c>
      <c r="BC77" s="148">
        <f t="shared" ref="BC77" ca="1" si="874">IF(BB77,BB77*BC76,1)</f>
        <v>1.544179006307185</v>
      </c>
      <c r="BD77" s="148">
        <f t="shared" ref="BD77" ca="1" si="875">IF(BC77,BC77*BD76,1)</f>
        <v>1.5593944298407123</v>
      </c>
      <c r="BE77" s="148">
        <f t="shared" ref="BE77" ca="1" si="876">IF(BD77,BD77*BE76,1)</f>
        <v>1.5747597771281303</v>
      </c>
      <c r="BF77" s="148">
        <f t="shared" ref="BF77" ca="1" si="877">IF(BE77,BE77*BF76,1)</f>
        <v>1.5902765254291373</v>
      </c>
      <c r="BG77" s="148">
        <f t="shared" ref="BG77" ca="1" si="878">IF(BF77,BF77*BG76,1)</f>
        <v>1.6059461665594721</v>
      </c>
      <c r="BH77" s="148">
        <f t="shared" ref="BH77" ca="1" si="879">IF(BG77,BG77*BH76,1)</f>
        <v>1.6217702070343405</v>
      </c>
      <c r="BI77" s="148">
        <f t="shared" ref="BI77" ca="1" si="880">IF(BH77,BH77*BI76,1)</f>
        <v>1.6377501682132551</v>
      </c>
      <c r="BJ77" s="148">
        <f t="shared" ref="BJ77" ca="1" si="881">IF(BI77,BI77*BJ76,1)</f>
        <v>1.6538875864463025</v>
      </c>
      <c r="BK77" s="148">
        <f t="shared" ref="BK77" ca="1" si="882">IF(BJ77,BJ77*BK76,1)</f>
        <v>1.6701840132218508</v>
      </c>
      <c r="BL77" s="148">
        <f t="shared" ref="BL77" ca="1" si="883">IF(BK77,BK77*BL76,1)</f>
        <v>1.6866410153157141</v>
      </c>
      <c r="BM77" s="148">
        <f t="shared" ref="BM77" ca="1" si="884">IF(BL77,BL77*BM76,1)</f>
        <v>1.7032601749417853</v>
      </c>
      <c r="BN77" s="148">
        <f t="shared" ref="BN77" ca="1" si="885">IF(BM77,BM77*BN76,1)</f>
        <v>1.7200430899041546</v>
      </c>
      <c r="BO77" s="148">
        <f t="shared" ref="BO77" ca="1" si="886">IF(BN77,BN77*BO76,1)</f>
        <v>1.7369913737507248</v>
      </c>
      <c r="BP77" s="148">
        <f t="shared" ref="BP77" ca="1" si="887">IF(BO77,BO77*BP76,1)</f>
        <v>1.7541066559283425</v>
      </c>
      <c r="BQ77" s="148">
        <f t="shared" ref="BQ77" ca="1" si="888">IF(BP77,BP77*BQ76,1)</f>
        <v>1.7713905819394566</v>
      </c>
      <c r="BR77" s="148">
        <f t="shared" ref="BR77" ca="1" si="889">IF(BQ77,BQ77*BR76,1)</f>
        <v>1.7888448135003205</v>
      </c>
      <c r="BS77" s="148">
        <f t="shared" ref="BS77" ca="1" si="890">IF(BR77,BR77*BS76,1)</f>
        <v>1.8064710287007535</v>
      </c>
      <c r="BT77" s="148">
        <f t="shared" ref="BT77" ca="1" si="891">IF(BS77,BS77*BT76,1)</f>
        <v>1.824270922165476</v>
      </c>
      <c r="BU77" s="148">
        <f t="shared" ref="BU77" ca="1" si="892">IF(BT77,BT77*BU76,1)</f>
        <v>1.8422462052170347</v>
      </c>
      <c r="BV77" s="148">
        <f t="shared" ref="BV77" ca="1" si="893">IF(BU77,BU77*BV76,1)</f>
        <v>1.8603986060403332</v>
      </c>
      <c r="BW77" s="148">
        <f t="shared" ref="BW77" ca="1" si="894">IF(BV77,BV77*BW76,1)</f>
        <v>1.8787298698487835</v>
      </c>
      <c r="BX77" s="148">
        <f t="shared" ref="BX77" ca="1" si="895">IF(BW77,BW77*BX76,1)</f>
        <v>1.8972417590520949</v>
      </c>
      <c r="BY77" s="148">
        <f t="shared" ref="BY77" ca="1" si="896">IF(BX77,BX77*BY76,1)</f>
        <v>1.9159360534257159</v>
      </c>
      <c r="BZ77" s="148">
        <f t="shared" ref="BZ77" ca="1" si="897">IF(BY77,BY77*BZ76,1)</f>
        <v>1.9348145502819463</v>
      </c>
      <c r="CA77" s="148">
        <f t="shared" ref="CA77" ca="1" si="898">IF(BZ77,BZ77*CA76,1)</f>
        <v>1.9538790646427346</v>
      </c>
      <c r="CB77" s="148">
        <f t="shared" ref="CB77" ca="1" si="899">IF(CA77,CA77*CB76,1)</f>
        <v>1.9731314294141784</v>
      </c>
      <c r="CC77" s="148">
        <f t="shared" ref="CC77" ca="1" si="900">IF(CB77,CB77*CC76,1)</f>
        <v>1.9925734955627443</v>
      </c>
      <c r="CD77" s="148">
        <f t="shared" ref="CD77" ca="1" si="901">IF(CC77,CC77*CD76,1)</f>
        <v>2.012207132293224</v>
      </c>
      <c r="CE77" s="148">
        <f t="shared" ref="CE77" ca="1" si="902">IF(CD77,CD77*CE76,1)</f>
        <v>2.032034227228444</v>
      </c>
      <c r="CF77" s="148">
        <f t="shared" ref="CF77" ca="1" si="903">IF(CE77,CE77*CF76,1)</f>
        <v>2.0520566865907455</v>
      </c>
      <c r="CG77" s="148">
        <f t="shared" ref="CG77" ca="1" si="904">IF(CF77,CF77*CG76,1)</f>
        <v>2.0722764353852541</v>
      </c>
      <c r="CH77" s="148">
        <f t="shared" ref="CH77" ca="1" si="905">IF(CG77,CG77*CH76,1)</f>
        <v>2.0926954175849528</v>
      </c>
      <c r="CI77" s="148">
        <f t="shared" ref="CI77" ca="1" si="906">IF(CH77,CH77*CI76,1)</f>
        <v>2.1133155963175816</v>
      </c>
      <c r="CJ77" s="148">
        <f t="shared" ref="CJ77" ca="1" si="907">IF(CI77,CI77*CJ76,1)</f>
        <v>2.1341389540543751</v>
      </c>
      <c r="CK77" s="148">
        <f t="shared" ref="CK77" ca="1" si="908">IF(CJ77,CJ77*CK76,1)</f>
        <v>2.1551674928006639</v>
      </c>
      <c r="CL77" s="148">
        <f t="shared" ref="CL77" ca="1" si="909">IF(CK77,CK77*CL76,1)</f>
        <v>2.1764032342883506</v>
      </c>
      <c r="CM77" s="148">
        <f t="shared" ref="CM77" ca="1" si="910">IF(CL77,CL77*CM76,1)</f>
        <v>2.1978482201702843</v>
      </c>
      <c r="CN77" s="148">
        <f t="shared" ref="CN77" ca="1" si="911">IF(CM77,CM77*CN76,1)</f>
        <v>2.2195045122165498</v>
      </c>
      <c r="CO77" s="148">
        <f t="shared" ref="CO77" ca="1" si="912">IF(CN77,CN77*CO76,1)</f>
        <v>2.2413741925126902</v>
      </c>
    </row>
    <row r="78" spans="1:93">
      <c r="A78" s="77"/>
      <c r="B78" s="13"/>
      <c r="C78" s="17" t="s">
        <v>509</v>
      </c>
      <c r="D78" s="10"/>
      <c r="E78" s="62"/>
      <c r="F78" s="11"/>
      <c r="G78" s="11" t="s">
        <v>378</v>
      </c>
      <c r="H78" s="10"/>
      <c r="I78" s="150"/>
      <c r="J78" s="10"/>
      <c r="K78" s="10"/>
      <c r="L78" s="148">
        <f t="shared" ref="L78" si="913">IF(K78,K78*L75,1)</f>
        <v>1</v>
      </c>
      <c r="M78" s="148">
        <f t="shared" ref="M78" ca="1" si="914">IF(L78,L78*M75,1)</f>
        <v>1.014194887410651</v>
      </c>
      <c r="N78" s="148">
        <f t="shared" ref="N78" ca="1" si="915">IF(M78,M78*N75,1)</f>
        <v>1.0285912696499031</v>
      </c>
      <c r="O78" s="148">
        <f t="shared" ref="O78" ca="1" si="916">IF(N78,N78*O75,1)</f>
        <v>1.043192006914162</v>
      </c>
      <c r="P78" s="148">
        <f t="shared" ref="P78" ca="1" si="917">IF(O78,O78*P75,1)</f>
        <v>1.053471001866922</v>
      </c>
      <c r="Q78" s="148">
        <f t="shared" ref="Q78" ca="1" si="918">IF(P78,P78*Q75,1)</f>
        <v>1.0638512799358664</v>
      </c>
      <c r="R78" s="148">
        <f t="shared" ref="R78" ca="1" si="919">IF(Q78,Q78*R75,1)</f>
        <v>1.0743338391047152</v>
      </c>
      <c r="S78" s="148">
        <f t="shared" ref="S78" ca="1" si="920">IF(R78,R78*S75,1)</f>
        <v>1.0849196871907285</v>
      </c>
      <c r="T78" s="148">
        <f t="shared" ref="T78" ca="1" si="921">IF(S78,S78*T75,1)</f>
        <v>1.0956098419415989</v>
      </c>
      <c r="U78" s="148">
        <f t="shared" ref="U78" ca="1" si="922">IF(T78,T78*U75,1)</f>
        <v>1.1064053311333011</v>
      </c>
      <c r="V78" s="148">
        <f t="shared" ref="V78" ca="1" si="923">IF(U78,U78*V75,1)</f>
        <v>1.117307192668904</v>
      </c>
      <c r="W78" s="148">
        <f t="shared" ref="W78" ca="1" si="924">IF(V78,V78*W75,1)</f>
        <v>1.1283164746783578</v>
      </c>
      <c r="X78" s="148">
        <f t="shared" ref="X78" ca="1" si="925">IF(W78,W78*X75,1)</f>
        <v>1.139434235619263</v>
      </c>
      <c r="Y78" s="148">
        <f t="shared" ref="Y78" ca="1" si="926">IF(X78,X78*Y75,1)</f>
        <v>1.1506615443786332</v>
      </c>
      <c r="Z78" s="148">
        <f t="shared" ref="Z78" ca="1" si="927">IF(Y78,Y78*Z75,1)</f>
        <v>1.1619994803756601</v>
      </c>
      <c r="AA78" s="148">
        <f t="shared" ref="AA78" ca="1" si="928">IF(Z78,Z78*AA75,1)</f>
        <v>1.173449133665492</v>
      </c>
      <c r="AB78" s="148">
        <f t="shared" ref="AB78" ca="1" si="929">IF(AA78,AA78*AB75,1)</f>
        <v>1.1850116050440334</v>
      </c>
      <c r="AC78" s="148">
        <f t="shared" ref="AC78" ca="1" si="930">IF(AB78,AB78*AC75,1)</f>
        <v>1.1966880061537783</v>
      </c>
      <c r="AD78" s="148">
        <f t="shared" ref="AD78" ca="1" si="931">IF(AC78,AC78*AD75,1)</f>
        <v>1.2084794595906865</v>
      </c>
      <c r="AE78" s="148">
        <f t="shared" ref="AE78" ca="1" si="932">IF(AD78,AD78*AE75,1)</f>
        <v>1.2203870990121117</v>
      </c>
      <c r="AF78" s="148">
        <f t="shared" ref="AF78" ca="1" si="933">IF(AE78,AE78*AF75,1)</f>
        <v>1.2324120692457947</v>
      </c>
      <c r="AG78" s="148">
        <f t="shared" ref="AG78" ca="1" si="934">IF(AF78,AF78*AG75,1)</f>
        <v>1.2445555263999295</v>
      </c>
      <c r="AH78" s="148">
        <f t="shared" ref="AH78" ca="1" si="935">IF(AG78,AG78*AH75,1)</f>
        <v>1.2568186379743138</v>
      </c>
      <c r="AI78" s="148">
        <f t="shared" ref="AI78" ca="1" si="936">IF(AH78,AH78*AI75,1)</f>
        <v>1.2692025829725959</v>
      </c>
      <c r="AJ78" s="148">
        <f t="shared" ref="AJ78" ca="1" si="937">IF(AI78,AI78*AJ75,1)</f>
        <v>1.2817085520156262</v>
      </c>
      <c r="AK78" s="148">
        <f t="shared" ref="AK78" ca="1" si="938">IF(AJ78,AJ78*AK75,1)</f>
        <v>1.2943377474559263</v>
      </c>
      <c r="AL78" s="148">
        <f t="shared" ref="AL78" ca="1" si="939">IF(AK78,AK78*AL75,1)</f>
        <v>1.307091383493286</v>
      </c>
      <c r="AM78" s="148">
        <f t="shared" ref="AM78" ca="1" si="940">IF(AL78,AL78*AM75,1)</f>
        <v>1.3199706862914995</v>
      </c>
      <c r="AN78" s="148">
        <f t="shared" ref="AN78" ca="1" si="941">IF(AM78,AM78*AN75,1)</f>
        <v>1.332976894096251</v>
      </c>
      <c r="AO78" s="148">
        <f t="shared" ref="AO78" ca="1" si="942">IF(AN78,AN78*AO75,1)</f>
        <v>1.3461112573541631</v>
      </c>
      <c r="AP78" s="148">
        <f t="shared" ref="AP78" ca="1" si="943">IF(AO78,AO78*AP75,1)</f>
        <v>1.3593750388330172</v>
      </c>
      <c r="AQ78" s="148">
        <f t="shared" ref="AQ78" ca="1" si="944">IF(AP78,AP78*AQ75,1)</f>
        <v>1.3727695137431593</v>
      </c>
      <c r="AR78" s="148">
        <f t="shared" ref="AR78" ca="1" si="945">IF(AQ78,AQ78*AR75,1)</f>
        <v>1.386295969860101</v>
      </c>
      <c r="AS78" s="148">
        <f t="shared" ref="AS78" ca="1" si="946">IF(AR78,AR78*AS75,1)</f>
        <v>1.3999557076483296</v>
      </c>
      <c r="AT78" s="148">
        <f t="shared" ref="AT78" ca="1" si="947">IF(AS78,AS78*AT75,1)</f>
        <v>1.4137500403863379</v>
      </c>
      <c r="AU78" s="148">
        <f t="shared" ref="AU78" ca="1" si="948">IF(AT78,AT78*AU75,1)</f>
        <v>1.4276802942928857</v>
      </c>
      <c r="AV78" s="148">
        <f t="shared" ref="AV78" ca="1" si="949">IF(AU78,AU78*AV75,1)</f>
        <v>1.441747808654505</v>
      </c>
      <c r="AW78" s="148">
        <f t="shared" ref="AW78" ca="1" si="950">IF(AV78,AV78*AW75,1)</f>
        <v>1.4559539359542628</v>
      </c>
      <c r="AX78" s="148">
        <f t="shared" ref="AX78" ca="1" si="951">IF(AW78,AW78*AX75,1)</f>
        <v>1.4703000420017915</v>
      </c>
      <c r="AY78" s="148">
        <f t="shared" ref="AY78" ca="1" si="952">IF(AX78,AX78*AY75,1)</f>
        <v>1.4847875060646012</v>
      </c>
      <c r="AZ78" s="148">
        <f t="shared" ref="AZ78" ca="1" si="953">IF(AY78,AY78*AZ75,1)</f>
        <v>1.4994177210006852</v>
      </c>
      <c r="BA78" s="148">
        <f t="shared" ref="BA78" ca="1" si="954">IF(AZ78,AZ78*BA75,1)</f>
        <v>1.5141920933924333</v>
      </c>
      <c r="BB78" s="148">
        <f t="shared" ref="BB78" ca="1" si="955">IF(BA78,BA78*BB75,1)</f>
        <v>1.529112043681863</v>
      </c>
      <c r="BC78" s="148">
        <f t="shared" ref="BC78" ca="1" si="956">IF(BB78,BB78*BC75,1)</f>
        <v>1.544179006307185</v>
      </c>
      <c r="BD78" s="148">
        <f t="shared" ref="BD78" ca="1" si="957">IF(BC78,BC78*BD75,1)</f>
        <v>1.5593944298407123</v>
      </c>
      <c r="BE78" s="148">
        <f t="shared" ref="BE78" ca="1" si="958">IF(BD78,BD78*BE75,1)</f>
        <v>1.5747597771281303</v>
      </c>
      <c r="BF78" s="148">
        <f t="shared" ref="BF78" ca="1" si="959">IF(BE78,BE78*BF75,1)</f>
        <v>1.5902765254291373</v>
      </c>
      <c r="BG78" s="148">
        <f t="shared" ref="BG78" ca="1" si="960">IF(BF78,BF78*BG75,1)</f>
        <v>1.6059461665594721</v>
      </c>
      <c r="BH78" s="148">
        <f t="shared" ref="BH78" ca="1" si="961">IF(BG78,BG78*BH75,1)</f>
        <v>1.6217702070343405</v>
      </c>
      <c r="BI78" s="148">
        <f t="shared" ref="BI78" ca="1" si="962">IF(BH78,BH78*BI75,1)</f>
        <v>1.6377501682132551</v>
      </c>
      <c r="BJ78" s="148">
        <f t="shared" ref="BJ78" ca="1" si="963">IF(BI78,BI78*BJ75,1)</f>
        <v>1.6538875864463025</v>
      </c>
      <c r="BK78" s="148">
        <f t="shared" ref="BK78" ca="1" si="964">IF(BJ78,BJ78*BK75,1)</f>
        <v>1.6701840132218508</v>
      </c>
      <c r="BL78" s="148">
        <f t="shared" ref="BL78" ca="1" si="965">IF(BK78,BK78*BL75,1)</f>
        <v>1.6866410153157141</v>
      </c>
      <c r="BM78" s="148">
        <f t="shared" ref="BM78" ca="1" si="966">IF(BL78,BL78*BM75,1)</f>
        <v>1.7032601749417853</v>
      </c>
      <c r="BN78" s="148">
        <f t="shared" ref="BN78" ca="1" si="967">IF(BM78,BM78*BN75,1)</f>
        <v>1.7200430899041546</v>
      </c>
      <c r="BO78" s="148">
        <f t="shared" ref="BO78" ca="1" si="968">IF(BN78,BN78*BO75,1)</f>
        <v>1.7369913737507248</v>
      </c>
      <c r="BP78" s="148">
        <f t="shared" ref="BP78" ca="1" si="969">IF(BO78,BO78*BP75,1)</f>
        <v>1.7541066559283425</v>
      </c>
      <c r="BQ78" s="148">
        <f t="shared" ref="BQ78" ca="1" si="970">IF(BP78,BP78*BQ75,1)</f>
        <v>1.7713905819394566</v>
      </c>
      <c r="BR78" s="148">
        <f t="shared" ref="BR78" ca="1" si="971">IF(BQ78,BQ78*BR75,1)</f>
        <v>1.7888448135003205</v>
      </c>
      <c r="BS78" s="148">
        <f t="shared" ref="BS78" ca="1" si="972">IF(BR78,BR78*BS75,1)</f>
        <v>1.8064710287007535</v>
      </c>
      <c r="BT78" s="148">
        <f t="shared" ref="BT78" ca="1" si="973">IF(BS78,BS78*BT75,1)</f>
        <v>1.824270922165476</v>
      </c>
      <c r="BU78" s="148">
        <f t="shared" ref="BU78" ca="1" si="974">IF(BT78,BT78*BU75,1)</f>
        <v>1.8422462052170347</v>
      </c>
      <c r="BV78" s="148">
        <f t="shared" ref="BV78" ca="1" si="975">IF(BU78,BU78*BV75,1)</f>
        <v>1.8603986060403332</v>
      </c>
      <c r="BW78" s="148">
        <f t="shared" ref="BW78" ca="1" si="976">IF(BV78,BV78*BW75,1)</f>
        <v>1.8787298698487835</v>
      </c>
      <c r="BX78" s="148">
        <f t="shared" ref="BX78" ca="1" si="977">IF(BW78,BW78*BX75,1)</f>
        <v>1.8972417590520949</v>
      </c>
      <c r="BY78" s="148">
        <f t="shared" ref="BY78" ca="1" si="978">IF(BX78,BX78*BY75,1)</f>
        <v>1.9159360534257159</v>
      </c>
      <c r="BZ78" s="148">
        <f t="shared" ref="BZ78" ca="1" si="979">IF(BY78,BY78*BZ75,1)</f>
        <v>1.9348145502819463</v>
      </c>
      <c r="CA78" s="148">
        <f t="shared" ref="CA78" ca="1" si="980">IF(BZ78,BZ78*CA75,1)</f>
        <v>1.9538790646427346</v>
      </c>
      <c r="CB78" s="148">
        <f t="shared" ref="CB78" ca="1" si="981">IF(CA78,CA78*CB75,1)</f>
        <v>1.9731314294141784</v>
      </c>
      <c r="CC78" s="148">
        <f t="shared" ref="CC78" ca="1" si="982">IF(CB78,CB78*CC75,1)</f>
        <v>1.9925734955627443</v>
      </c>
      <c r="CD78" s="148">
        <f t="shared" ref="CD78" ca="1" si="983">IF(CC78,CC78*CD75,1)</f>
        <v>2.012207132293224</v>
      </c>
      <c r="CE78" s="148">
        <f t="shared" ref="CE78" ca="1" si="984">IF(CD78,CD78*CE75,1)</f>
        <v>2.032034227228444</v>
      </c>
      <c r="CF78" s="148">
        <f t="shared" ref="CF78" ca="1" si="985">IF(CE78,CE78*CF75,1)</f>
        <v>2.0520566865907455</v>
      </c>
      <c r="CG78" s="148">
        <f t="shared" ref="CG78" ca="1" si="986">IF(CF78,CF78*CG75,1)</f>
        <v>2.0722764353852541</v>
      </c>
      <c r="CH78" s="148">
        <f t="shared" ref="CH78" ca="1" si="987">IF(CG78,CG78*CH75,1)</f>
        <v>2.0926954175849528</v>
      </c>
      <c r="CI78" s="148">
        <f t="shared" ref="CI78" ca="1" si="988">IF(CH78,CH78*CI75,1)</f>
        <v>2.1133155963175816</v>
      </c>
      <c r="CJ78" s="148">
        <f t="shared" ref="CJ78" ca="1" si="989">IF(CI78,CI78*CJ75,1)</f>
        <v>2.1341389540543751</v>
      </c>
      <c r="CK78" s="148">
        <f t="shared" ref="CK78" ca="1" si="990">IF(CJ78,CJ78*CK75,1)</f>
        <v>2.1551674928006639</v>
      </c>
      <c r="CL78" s="148">
        <f t="shared" ref="CL78" ca="1" si="991">IF(CK78,CK78*CL75,1)</f>
        <v>2.1764032342883506</v>
      </c>
      <c r="CM78" s="148">
        <f t="shared" ref="CM78" ca="1" si="992">IF(CL78,CL78*CM75,1)</f>
        <v>2.1978482201702843</v>
      </c>
      <c r="CN78" s="148">
        <f t="shared" ref="CN78" ca="1" si="993">IF(CM78,CM78*CN75,1)</f>
        <v>2.2195045122165498</v>
      </c>
      <c r="CO78" s="148">
        <f t="shared" ref="CO78" ca="1" si="994">IF(CN78,CN78*CO75,1)</f>
        <v>2.2413741925126902</v>
      </c>
    </row>
    <row r="79" spans="1:93">
      <c r="A79" s="77"/>
      <c r="B79" s="13"/>
      <c r="C79" s="17" t="str">
        <f xml:space="preserve"> "накопленный ИПЦ с " &amp; TEXT(E79,"ДД.ММ.ГГ") &amp; " - по периодам"</f>
        <v>накопленный ИПЦ с 01.01.25 - по периодам</v>
      </c>
      <c r="D79" s="10"/>
      <c r="E79" s="71">
        <f xml:space="preserve"> Date_Forecast_Start</f>
        <v>45658</v>
      </c>
      <c r="F79" s="11"/>
      <c r="G79" s="11" t="s">
        <v>378</v>
      </c>
      <c r="H79" s="10"/>
      <c r="I79" s="150"/>
      <c r="J79" s="10"/>
      <c r="K79" s="10"/>
      <c r="L79" s="148">
        <f t="shared" ref="L79:AQ79" ca="1" si="995">IF(Beginning_of_period &lt; $E79,1, IF(Beginning_of_period = $E79, L75, L75 * K79))</f>
        <v>1.014194887410651</v>
      </c>
      <c r="M79" s="148">
        <f t="shared" ca="1" si="995"/>
        <v>1.0285912696499031</v>
      </c>
      <c r="N79" s="148">
        <f t="shared" ca="1" si="995"/>
        <v>1.043192006914162</v>
      </c>
      <c r="O79" s="148">
        <f t="shared" ca="1" si="995"/>
        <v>1.0579999999999996</v>
      </c>
      <c r="P79" s="148">
        <f t="shared" ca="1" si="995"/>
        <v>1.0684249041288085</v>
      </c>
      <c r="Q79" s="148">
        <f t="shared" ca="1" si="995"/>
        <v>1.0789525290762327</v>
      </c>
      <c r="R79" s="148">
        <f t="shared" ca="1" si="995"/>
        <v>1.0895838869922589</v>
      </c>
      <c r="S79" s="148">
        <f t="shared" ca="1" si="995"/>
        <v>1.1003199999999993</v>
      </c>
      <c r="T79" s="148">
        <f t="shared" ca="1" si="995"/>
        <v>1.1111619002939606</v>
      </c>
      <c r="U79" s="148">
        <f t="shared" ca="1" si="995"/>
        <v>1.1221106302392818</v>
      </c>
      <c r="V79" s="148">
        <f t="shared" ca="1" si="995"/>
        <v>1.133167242471949</v>
      </c>
      <c r="W79" s="148">
        <f t="shared" ca="1" si="995"/>
        <v>1.144332799999999</v>
      </c>
      <c r="X79" s="148">
        <f t="shared" ca="1" si="995"/>
        <v>1.1556083763057188</v>
      </c>
      <c r="Y79" s="148">
        <f t="shared" ca="1" si="995"/>
        <v>1.1669950554488528</v>
      </c>
      <c r="Z79" s="148">
        <f t="shared" ca="1" si="995"/>
        <v>1.1784939321708268</v>
      </c>
      <c r="AA79" s="148">
        <f t="shared" ca="1" si="995"/>
        <v>1.1901061119999987</v>
      </c>
      <c r="AB79" s="148">
        <f t="shared" ca="1" si="995"/>
        <v>1.2018327113579472</v>
      </c>
      <c r="AC79" s="148">
        <f t="shared" ca="1" si="995"/>
        <v>1.2136748576668066</v>
      </c>
      <c r="AD79" s="148">
        <f t="shared" ca="1" si="995"/>
        <v>1.2256336894576596</v>
      </c>
      <c r="AE79" s="148">
        <f t="shared" ca="1" si="995"/>
        <v>1.2377103564799985</v>
      </c>
      <c r="AF79" s="148">
        <f t="shared" ca="1" si="995"/>
        <v>1.2499060198122651</v>
      </c>
      <c r="AG79" s="148">
        <f t="shared" ca="1" si="995"/>
        <v>1.2622218519734789</v>
      </c>
      <c r="AH79" s="148">
        <f t="shared" ca="1" si="995"/>
        <v>1.2746590370359661</v>
      </c>
      <c r="AI79" s="148">
        <f t="shared" ca="1" si="995"/>
        <v>1.2872187707391984</v>
      </c>
      <c r="AJ79" s="148">
        <f t="shared" ca="1" si="995"/>
        <v>1.2999022606047557</v>
      </c>
      <c r="AK79" s="148">
        <f t="shared" ca="1" si="995"/>
        <v>1.312710726052418</v>
      </c>
      <c r="AL79" s="148">
        <f t="shared" ca="1" si="995"/>
        <v>1.3256453985174046</v>
      </c>
      <c r="AM79" s="148">
        <f t="shared" ca="1" si="995"/>
        <v>1.3387075215687663</v>
      </c>
      <c r="AN79" s="148">
        <f t="shared" ca="1" si="995"/>
        <v>1.3518983510289457</v>
      </c>
      <c r="AO79" s="148">
        <f t="shared" ca="1" si="995"/>
        <v>1.3652191550945145</v>
      </c>
      <c r="AP79" s="148">
        <f t="shared" ca="1" si="995"/>
        <v>1.3786712144581006</v>
      </c>
      <c r="AQ79" s="148">
        <f t="shared" ca="1" si="995"/>
        <v>1.3922558224315169</v>
      </c>
      <c r="AR79" s="148">
        <f t="shared" ref="AR79:BW79" ca="1" si="996">IF(Beginning_of_period &lt; $E79,1, IF(Beginning_of_period = $E79, AR75, AR75 * AQ79))</f>
        <v>1.4059742850701036</v>
      </c>
      <c r="AS79" s="148">
        <f t="shared" ca="1" si="996"/>
        <v>1.4198279212982952</v>
      </c>
      <c r="AT79" s="148">
        <f t="shared" ca="1" si="996"/>
        <v>1.4338180630364246</v>
      </c>
      <c r="AU79" s="148">
        <f t="shared" ca="1" si="996"/>
        <v>1.4479460553287775</v>
      </c>
      <c r="AV79" s="148">
        <f t="shared" ca="1" si="996"/>
        <v>1.4622132564729076</v>
      </c>
      <c r="AW79" s="148">
        <f t="shared" ca="1" si="996"/>
        <v>1.4766210381502267</v>
      </c>
      <c r="AX79" s="148">
        <f t="shared" ca="1" si="996"/>
        <v>1.4911707855578813</v>
      </c>
      <c r="AY79" s="148">
        <f t="shared" ca="1" si="996"/>
        <v>1.5058638975419283</v>
      </c>
      <c r="AZ79" s="148">
        <f t="shared" ca="1" si="996"/>
        <v>1.5207017867318235</v>
      </c>
      <c r="BA79" s="148">
        <f t="shared" ca="1" si="996"/>
        <v>1.5356858796762354</v>
      </c>
      <c r="BB79" s="148">
        <f t="shared" ca="1" si="996"/>
        <v>1.5508176169801962</v>
      </c>
      <c r="BC79" s="148">
        <f t="shared" ca="1" si="996"/>
        <v>1.5660984534436051</v>
      </c>
      <c r="BD79" s="148">
        <f t="shared" ca="1" si="996"/>
        <v>1.5815298582010964</v>
      </c>
      <c r="BE79" s="148">
        <f t="shared" ca="1" si="996"/>
        <v>1.5971133148632848</v>
      </c>
      <c r="BF79" s="148">
        <f t="shared" ca="1" si="996"/>
        <v>1.6128503216594039</v>
      </c>
      <c r="BG79" s="148">
        <f t="shared" ca="1" si="996"/>
        <v>1.628742391581349</v>
      </c>
      <c r="BH79" s="148">
        <f t="shared" ca="1" si="996"/>
        <v>1.6447910525291398</v>
      </c>
      <c r="BI79" s="148">
        <f t="shared" ca="1" si="996"/>
        <v>1.6609978474578158</v>
      </c>
      <c r="BJ79" s="148">
        <f t="shared" ca="1" si="996"/>
        <v>1.6773643345257798</v>
      </c>
      <c r="BK79" s="148">
        <f t="shared" ca="1" si="996"/>
        <v>1.6938920872446028</v>
      </c>
      <c r="BL79" s="148">
        <f t="shared" ca="1" si="996"/>
        <v>1.7105826946303053</v>
      </c>
      <c r="BM79" s="148">
        <f t="shared" ca="1" si="996"/>
        <v>1.7274377613561283</v>
      </c>
      <c r="BN79" s="148">
        <f t="shared" ca="1" si="996"/>
        <v>1.7444589079068107</v>
      </c>
      <c r="BO79" s="148">
        <f t="shared" ca="1" si="996"/>
        <v>1.7616477707343867</v>
      </c>
      <c r="BP79" s="148">
        <f t="shared" ca="1" si="996"/>
        <v>1.7790060024155172</v>
      </c>
      <c r="BQ79" s="148">
        <f t="shared" ca="1" si="996"/>
        <v>1.7965352718103731</v>
      </c>
      <c r="BR79" s="148">
        <f t="shared" ca="1" si="996"/>
        <v>1.8142372642230828</v>
      </c>
      <c r="BS79" s="148">
        <f t="shared" ca="1" si="996"/>
        <v>1.8321136815637618</v>
      </c>
      <c r="BT79" s="148">
        <f t="shared" ca="1" si="996"/>
        <v>1.8501662425121375</v>
      </c>
      <c r="BU79" s="148">
        <f t="shared" ca="1" si="996"/>
        <v>1.8683966826827876</v>
      </c>
      <c r="BV79" s="148">
        <f t="shared" ca="1" si="996"/>
        <v>1.8868067547920058</v>
      </c>
      <c r="BW79" s="148">
        <f t="shared" ca="1" si="996"/>
        <v>1.9053982288263118</v>
      </c>
      <c r="BX79" s="148">
        <f t="shared" ref="BX79:CO79" ca="1" si="997">IF(Beginning_of_period &lt; $E79,1, IF(Beginning_of_period = $E79, BX75, BX75 * BW79))</f>
        <v>1.9241728922126227</v>
      </c>
      <c r="BY79" s="148">
        <f t="shared" ca="1" si="997"/>
        <v>1.9431325499900989</v>
      </c>
      <c r="BZ79" s="148">
        <f t="shared" ca="1" si="997"/>
        <v>1.9622790249836859</v>
      </c>
      <c r="CA79" s="148">
        <f t="shared" ca="1" si="997"/>
        <v>1.9816141579793642</v>
      </c>
      <c r="CB79" s="148">
        <f t="shared" ca="1" si="997"/>
        <v>2.0011398079011276</v>
      </c>
      <c r="CC79" s="148">
        <f t="shared" ca="1" si="997"/>
        <v>2.0208578519897027</v>
      </c>
      <c r="CD79" s="148">
        <f t="shared" ca="1" si="997"/>
        <v>2.0407701859830332</v>
      </c>
      <c r="CE79" s="148">
        <f t="shared" ca="1" si="997"/>
        <v>2.0608787242985387</v>
      </c>
      <c r="CF79" s="148">
        <f t="shared" ca="1" si="997"/>
        <v>2.0811854002171724</v>
      </c>
      <c r="CG79" s="148">
        <f t="shared" ca="1" si="997"/>
        <v>2.1016921660692907</v>
      </c>
      <c r="CH79" s="148">
        <f t="shared" ca="1" si="997"/>
        <v>2.1224009934223544</v>
      </c>
      <c r="CI79" s="148">
        <f t="shared" ca="1" si="997"/>
        <v>2.1433138732704804</v>
      </c>
      <c r="CJ79" s="148">
        <f t="shared" ca="1" si="997"/>
        <v>2.1644328162258595</v>
      </c>
      <c r="CK79" s="148">
        <f t="shared" ca="1" si="997"/>
        <v>2.1857598527120623</v>
      </c>
      <c r="CL79" s="148">
        <f t="shared" ca="1" si="997"/>
        <v>2.2072970331592483</v>
      </c>
      <c r="CM79" s="148">
        <f t="shared" ca="1" si="997"/>
        <v>2.2290464282012992</v>
      </c>
      <c r="CN79" s="148">
        <f t="shared" ca="1" si="997"/>
        <v>2.2510101288748934</v>
      </c>
      <c r="CO79" s="148">
        <f t="shared" ca="1" si="997"/>
        <v>2.2731902468205445</v>
      </c>
    </row>
    <row r="80" spans="1:93">
      <c r="A80" s="77"/>
      <c r="B80" s="13"/>
      <c r="C80" s="10"/>
      <c r="D80" s="10"/>
      <c r="E80" s="62"/>
      <c r="F80" s="11"/>
      <c r="G80" s="11"/>
      <c r="H80" s="10"/>
      <c r="I80" s="150"/>
      <c r="J80" s="10"/>
      <c r="K80" s="10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</row>
    <row r="81" spans="1:93">
      <c r="A81" s="77"/>
      <c r="B81" s="13"/>
      <c r="C81" s="41" t="s">
        <v>441</v>
      </c>
      <c r="D81" s="10"/>
      <c r="E81" s="62"/>
      <c r="F81" s="11"/>
      <c r="G81" s="11"/>
      <c r="H81" s="10"/>
      <c r="I81" s="150"/>
      <c r="J81" s="10"/>
      <c r="K81" s="10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</row>
    <row r="82" spans="1:93">
      <c r="A82" s="77"/>
      <c r="B82" s="13"/>
      <c r="C82" s="17" t="s">
        <v>478</v>
      </c>
      <c r="D82" s="10"/>
      <c r="E82" s="62"/>
      <c r="F82" s="11"/>
      <c r="G82" s="11" t="s">
        <v>378</v>
      </c>
      <c r="H82" s="10"/>
      <c r="I82" s="150"/>
      <c r="J82" s="10"/>
      <c r="K82" s="10"/>
      <c r="L82" s="148">
        <f ca="1">(1+SUMIF(Year_Unic,Year,Предпосылки!$L$59:$AY$59))^(Months_in_Period/Months_in_Year)</f>
        <v>1.014194887410651</v>
      </c>
      <c r="M82" s="148">
        <f ca="1">(1+SUMIF(Year_Unic,Year,Предпосылки!$L$59:$AY$59))^(Months_in_Period/Months_in_Year)</f>
        <v>1.014194887410651</v>
      </c>
      <c r="N82" s="148">
        <f ca="1">(1+SUMIF(Year_Unic,Year,Предпосылки!$L$59:$AY$59))^(Months_in_Period/Months_in_Year)</f>
        <v>1.014194887410651</v>
      </c>
      <c r="O82" s="148">
        <f ca="1">(1+SUMIF(Year_Unic,Year,Предпосылки!$L$59:$AY$59))^(Months_in_Period/Months_in_Year)</f>
        <v>1.014194887410651</v>
      </c>
      <c r="P82" s="148">
        <f ca="1">(1+SUMIF(Year_Unic,Year,Предпосылки!$L$59:$AY$59))^(Months_in_Period/Months_in_Year)</f>
        <v>1.0098534065489688</v>
      </c>
      <c r="Q82" s="148">
        <f ca="1">(1+SUMIF(Year_Unic,Year,Предпосылки!$L$59:$AY$59))^(Months_in_Period/Months_in_Year)</f>
        <v>1.0098534065489688</v>
      </c>
      <c r="R82" s="148">
        <f ca="1">(1+SUMIF(Year_Unic,Year,Предпосылки!$L$59:$AY$59))^(Months_in_Period/Months_in_Year)</f>
        <v>1.0098534065489688</v>
      </c>
      <c r="S82" s="148">
        <f ca="1">(1+SUMIF(Year_Unic,Year,Предпосылки!$L$59:$AY$59))^(Months_in_Period/Months_in_Year)</f>
        <v>1.0098534065489688</v>
      </c>
      <c r="T82" s="148">
        <f ca="1">(1+SUMIF(Year_Unic,Year,Предпосылки!$L$59:$AY$59))^(Months_in_Period/Months_in_Year)</f>
        <v>1.0098534065489688</v>
      </c>
      <c r="U82" s="148">
        <f ca="1">(1+SUMIF(Year_Unic,Year,Предпосылки!$L$59:$AY$59))^(Months_in_Period/Months_in_Year)</f>
        <v>1.0098534065489688</v>
      </c>
      <c r="V82" s="148">
        <f ca="1">(1+SUMIF(Year_Unic,Year,Предпосылки!$L$59:$AY$59))^(Months_in_Period/Months_in_Year)</f>
        <v>1.0098534065489688</v>
      </c>
      <c r="W82" s="148">
        <f ca="1">(1+SUMIF(Year_Unic,Year,Предпосылки!$L$59:$AY$59))^(Months_in_Period/Months_in_Year)</f>
        <v>1.0098534065489688</v>
      </c>
      <c r="X82" s="148">
        <f ca="1">(1+SUMIF(Year_Unic,Year,Предпосылки!$L$59:$AY$59))^(Months_in_Period/Months_in_Year)</f>
        <v>1.0098534065489688</v>
      </c>
      <c r="Y82" s="148">
        <f ca="1">(1+SUMIF(Year_Unic,Year,Предпосылки!$L$59:$AY$59))^(Months_in_Period/Months_in_Year)</f>
        <v>1.0098534065489688</v>
      </c>
      <c r="Z82" s="148">
        <f ca="1">(1+SUMIF(Year_Unic,Year,Предпосылки!$L$59:$AY$59))^(Months_in_Period/Months_in_Year)</f>
        <v>1.0098534065489688</v>
      </c>
      <c r="AA82" s="148">
        <f ca="1">(1+SUMIF(Year_Unic,Year,Предпосылки!$L$59:$AY$59))^(Months_in_Period/Months_in_Year)</f>
        <v>1.0098534065489688</v>
      </c>
      <c r="AB82" s="148">
        <f ca="1">(1+SUMIF(Year_Unic,Year,Предпосылки!$L$59:$AY$59))^(Months_in_Period/Months_in_Year)</f>
        <v>1.0098534065489688</v>
      </c>
      <c r="AC82" s="148">
        <f ca="1">(1+SUMIF(Year_Unic,Year,Предпосылки!$L$59:$AY$59))^(Months_in_Period/Months_in_Year)</f>
        <v>1.0098534065489688</v>
      </c>
      <c r="AD82" s="148">
        <f ca="1">(1+SUMIF(Year_Unic,Year,Предпосылки!$L$59:$AY$59))^(Months_in_Period/Months_in_Year)</f>
        <v>1.0098534065489688</v>
      </c>
      <c r="AE82" s="148">
        <f ca="1">(1+SUMIF(Year_Unic,Year,Предпосылки!$L$59:$AY$59))^(Months_in_Period/Months_in_Year)</f>
        <v>1.0098534065489688</v>
      </c>
      <c r="AF82" s="148">
        <f ca="1">(1+SUMIF(Year_Unic,Year,Предпосылки!$L$59:$AY$59))^(Months_in_Period/Months_in_Year)</f>
        <v>1.0098534065489688</v>
      </c>
      <c r="AG82" s="148">
        <f ca="1">(1+SUMIF(Year_Unic,Year,Предпосылки!$L$59:$AY$59))^(Months_in_Period/Months_in_Year)</f>
        <v>1.0098534065489688</v>
      </c>
      <c r="AH82" s="148">
        <f ca="1">(1+SUMIF(Year_Unic,Year,Предпосылки!$L$59:$AY$59))^(Months_in_Period/Months_in_Year)</f>
        <v>1.0098534065489688</v>
      </c>
      <c r="AI82" s="148">
        <f ca="1">(1+SUMIF(Year_Unic,Year,Предпосылки!$L$59:$AY$59))^(Months_in_Period/Months_in_Year)</f>
        <v>1.0098534065489688</v>
      </c>
      <c r="AJ82" s="148">
        <f ca="1">(1+SUMIF(Year_Unic,Year,Предпосылки!$L$59:$AY$59))^(Months_in_Period/Months_in_Year)</f>
        <v>1.0099263814900195</v>
      </c>
      <c r="AK82" s="148">
        <f ca="1">(1+SUMIF(Year_Unic,Year,Предпосылки!$L$59:$AY$59))^(Months_in_Period/Months_in_Year)</f>
        <v>1.0099263814900195</v>
      </c>
      <c r="AL82" s="148">
        <f ca="1">(1+SUMIF(Year_Unic,Year,Предпосылки!$L$59:$AY$59))^(Months_in_Period/Months_in_Year)</f>
        <v>1.0099263814900195</v>
      </c>
      <c r="AM82" s="148">
        <f ca="1">(1+SUMIF(Year_Unic,Year,Предпосылки!$L$59:$AY$59))^(Months_in_Period/Months_in_Year)</f>
        <v>1.0099263814900195</v>
      </c>
      <c r="AN82" s="148">
        <f ca="1">(1+SUMIF(Year_Unic,Year,Предпосылки!$L$59:$AY$59))^(Months_in_Period/Months_in_Year)</f>
        <v>1.0099263814900195</v>
      </c>
      <c r="AO82" s="148">
        <f ca="1">(1+SUMIF(Year_Unic,Year,Предпосылки!$L$59:$AY$59))^(Months_in_Period/Months_in_Year)</f>
        <v>1.0099263814900195</v>
      </c>
      <c r="AP82" s="148">
        <f ca="1">(1+SUMIF(Year_Unic,Year,Предпосылки!$L$59:$AY$59))^(Months_in_Period/Months_in_Year)</f>
        <v>1.0099263814900195</v>
      </c>
      <c r="AQ82" s="148">
        <f ca="1">(1+SUMIF(Year_Unic,Year,Предпосылки!$L$59:$AY$59))^(Months_in_Period/Months_in_Year)</f>
        <v>1.0099263814900195</v>
      </c>
      <c r="AR82" s="148">
        <f ca="1">(1+SUMIF(Year_Unic,Year,Предпосылки!$L$59:$AY$59))^(Months_in_Period/Months_in_Year)</f>
        <v>1.0099263814900195</v>
      </c>
      <c r="AS82" s="148">
        <f ca="1">(1+SUMIF(Year_Unic,Year,Предпосылки!$L$59:$AY$59))^(Months_in_Period/Months_in_Year)</f>
        <v>1.0099263814900195</v>
      </c>
      <c r="AT82" s="148">
        <f ca="1">(1+SUMIF(Year_Unic,Year,Предпосылки!$L$59:$AY$59))^(Months_in_Period/Months_in_Year)</f>
        <v>1.0099263814900195</v>
      </c>
      <c r="AU82" s="148">
        <f ca="1">(1+SUMIF(Year_Unic,Year,Предпосылки!$L$59:$AY$59))^(Months_in_Period/Months_in_Year)</f>
        <v>1.0099263814900195</v>
      </c>
      <c r="AV82" s="148">
        <f ca="1">(1+SUMIF(Year_Unic,Year,Предпосылки!$L$59:$AY$59))^(Months_in_Period/Months_in_Year)</f>
        <v>1.0099263814900195</v>
      </c>
      <c r="AW82" s="148">
        <f ca="1">(1+SUMIF(Year_Unic,Year,Предпосылки!$L$59:$AY$59))^(Months_in_Period/Months_in_Year)</f>
        <v>1.0099263814900195</v>
      </c>
      <c r="AX82" s="148">
        <f ca="1">(1+SUMIF(Year_Unic,Year,Предпосылки!$L$59:$AY$59))^(Months_in_Period/Months_in_Year)</f>
        <v>1.0099263814900195</v>
      </c>
      <c r="AY82" s="148">
        <f ca="1">(1+SUMIF(Year_Unic,Year,Предпосылки!$L$59:$AY$59))^(Months_in_Period/Months_in_Year)</f>
        <v>1.0099263814900195</v>
      </c>
      <c r="AZ82" s="148">
        <f ca="1">(1+SUMIF(Year_Unic,Year,Предпосылки!$L$59:$AY$59))^(Months_in_Period/Months_in_Year)</f>
        <v>1.0099263814900195</v>
      </c>
      <c r="BA82" s="148">
        <f ca="1">(1+SUMIF(Year_Unic,Year,Предпосылки!$L$59:$AY$59))^(Months_in_Period/Months_in_Year)</f>
        <v>1.0099263814900195</v>
      </c>
      <c r="BB82" s="148">
        <f ca="1">(1+SUMIF(Year_Unic,Year,Предпосылки!$L$59:$AY$59))^(Months_in_Period/Months_in_Year)</f>
        <v>1.0099263814900195</v>
      </c>
      <c r="BC82" s="148">
        <f ca="1">(1+SUMIF(Year_Unic,Year,Предпосылки!$L$59:$AY$59))^(Months_in_Period/Months_in_Year)</f>
        <v>1.0099263814900195</v>
      </c>
      <c r="BD82" s="148">
        <f ca="1">(1+SUMIF(Year_Unic,Year,Предпосылки!$L$59:$AY$59))^(Months_in_Period/Months_in_Year)</f>
        <v>1.0099263814900195</v>
      </c>
      <c r="BE82" s="148">
        <f ca="1">(1+SUMIF(Year_Unic,Year,Предпосылки!$L$59:$AY$59))^(Months_in_Period/Months_in_Year)</f>
        <v>1.0099263814900195</v>
      </c>
      <c r="BF82" s="148">
        <f ca="1">(1+SUMIF(Year_Unic,Year,Предпосылки!$L$59:$AY$59))^(Months_in_Period/Months_in_Year)</f>
        <v>1.0099263814900195</v>
      </c>
      <c r="BG82" s="148">
        <f ca="1">(1+SUMIF(Year_Unic,Year,Предпосылки!$L$59:$AY$59))^(Months_in_Period/Months_in_Year)</f>
        <v>1.0099263814900195</v>
      </c>
      <c r="BH82" s="148">
        <f ca="1">(1+SUMIF(Year_Unic,Year,Предпосылки!$L$59:$AY$59))^(Months_in_Period/Months_in_Year)</f>
        <v>1.0099263814900195</v>
      </c>
      <c r="BI82" s="148">
        <f ca="1">(1+SUMIF(Year_Unic,Year,Предпосылки!$L$59:$AY$59))^(Months_in_Period/Months_in_Year)</f>
        <v>1.0099263814900195</v>
      </c>
      <c r="BJ82" s="148">
        <f ca="1">(1+SUMIF(Year_Unic,Year,Предпосылки!$L$59:$AY$59))^(Months_in_Period/Months_in_Year)</f>
        <v>1.0099263814900195</v>
      </c>
      <c r="BK82" s="148">
        <f ca="1">(1+SUMIF(Year_Unic,Year,Предпосылки!$L$59:$AY$59))^(Months_in_Period/Months_in_Year)</f>
        <v>1.0099263814900195</v>
      </c>
      <c r="BL82" s="148">
        <f ca="1">(1+SUMIF(Year_Unic,Year,Предпосылки!$L$59:$AY$59))^(Months_in_Period/Months_in_Year)</f>
        <v>1.0099263814900195</v>
      </c>
      <c r="BM82" s="148">
        <f ca="1">(1+SUMIF(Year_Unic,Year,Предпосылки!$L$59:$AY$59))^(Months_in_Period/Months_in_Year)</f>
        <v>1.0099263814900195</v>
      </c>
      <c r="BN82" s="148">
        <f ca="1">(1+SUMIF(Year_Unic,Year,Предпосылки!$L$59:$AY$59))^(Months_in_Period/Months_in_Year)</f>
        <v>1.0099263814900195</v>
      </c>
      <c r="BO82" s="148">
        <f ca="1">(1+SUMIF(Year_Unic,Year,Предпосылки!$L$59:$AY$59))^(Months_in_Period/Months_in_Year)</f>
        <v>1.0099263814900195</v>
      </c>
      <c r="BP82" s="148">
        <f ca="1">(1+SUMIF(Year_Unic,Year,Предпосылки!$L$59:$AY$59))^(Months_in_Period/Months_in_Year)</f>
        <v>1.0099263814900195</v>
      </c>
      <c r="BQ82" s="148">
        <f ca="1">(1+SUMIF(Year_Unic,Year,Предпосылки!$L$59:$AY$59))^(Months_in_Period/Months_in_Year)</f>
        <v>1.0099263814900195</v>
      </c>
      <c r="BR82" s="148">
        <f ca="1">(1+SUMIF(Year_Unic,Year,Предпосылки!$L$59:$AY$59))^(Months_in_Period/Months_in_Year)</f>
        <v>1.0099263814900195</v>
      </c>
      <c r="BS82" s="148">
        <f ca="1">(1+SUMIF(Year_Unic,Year,Предпосылки!$L$59:$AY$59))^(Months_in_Period/Months_in_Year)</f>
        <v>1.0099263814900195</v>
      </c>
      <c r="BT82" s="148">
        <f ca="1">(1+SUMIF(Year_Unic,Year,Предпосылки!$L$59:$AY$59))^(Months_in_Period/Months_in_Year)</f>
        <v>1.0099263814900195</v>
      </c>
      <c r="BU82" s="148">
        <f ca="1">(1+SUMIF(Year_Unic,Year,Предпосылки!$L$59:$AY$59))^(Months_in_Period/Months_in_Year)</f>
        <v>1.0099263814900195</v>
      </c>
      <c r="BV82" s="148">
        <f ca="1">(1+SUMIF(Year_Unic,Year,Предпосылки!$L$59:$AY$59))^(Months_in_Period/Months_in_Year)</f>
        <v>1.0099263814900195</v>
      </c>
      <c r="BW82" s="148">
        <f ca="1">(1+SUMIF(Year_Unic,Year,Предпосылки!$L$59:$AY$59))^(Months_in_Period/Months_in_Year)</f>
        <v>1.0099263814900195</v>
      </c>
      <c r="BX82" s="148">
        <f ca="1">(1+SUMIF(Year_Unic,Year,Предпосылки!$L$59:$AY$59))^(Months_in_Period/Months_in_Year)</f>
        <v>1.0099263814900195</v>
      </c>
      <c r="BY82" s="148">
        <f ca="1">(1+SUMIF(Year_Unic,Year,Предпосылки!$L$59:$AY$59))^(Months_in_Period/Months_in_Year)</f>
        <v>1.0099263814900195</v>
      </c>
      <c r="BZ82" s="148">
        <f ca="1">(1+SUMIF(Year_Unic,Year,Предпосылки!$L$59:$AY$59))^(Months_in_Period/Months_in_Year)</f>
        <v>1.0099263814900195</v>
      </c>
      <c r="CA82" s="148">
        <f ca="1">(1+SUMIF(Year_Unic,Year,Предпосылки!$L$59:$AY$59))^(Months_in_Period/Months_in_Year)</f>
        <v>1.0099263814900195</v>
      </c>
      <c r="CB82" s="148">
        <f ca="1">(1+SUMIF(Year_Unic,Year,Предпосылки!$L$59:$AY$59))^(Months_in_Period/Months_in_Year)</f>
        <v>1.0099263814900195</v>
      </c>
      <c r="CC82" s="148">
        <f ca="1">(1+SUMIF(Year_Unic,Year,Предпосылки!$L$59:$AY$59))^(Months_in_Period/Months_in_Year)</f>
        <v>1.0099263814900195</v>
      </c>
      <c r="CD82" s="148">
        <f ca="1">(1+SUMIF(Year_Unic,Year,Предпосылки!$L$59:$AY$59))^(Months_in_Period/Months_in_Year)</f>
        <v>1.0099263814900195</v>
      </c>
      <c r="CE82" s="148">
        <f ca="1">(1+SUMIF(Year_Unic,Year,Предпосылки!$L$59:$AY$59))^(Months_in_Period/Months_in_Year)</f>
        <v>1.0099263814900195</v>
      </c>
      <c r="CF82" s="148">
        <f ca="1">(1+SUMIF(Year_Unic,Year,Предпосылки!$L$59:$AY$59))^(Months_in_Period/Months_in_Year)</f>
        <v>1.0099263814900195</v>
      </c>
      <c r="CG82" s="148">
        <f ca="1">(1+SUMIF(Year_Unic,Year,Предпосылки!$L$59:$AY$59))^(Months_in_Period/Months_in_Year)</f>
        <v>1.0099263814900195</v>
      </c>
      <c r="CH82" s="148">
        <f ca="1">(1+SUMIF(Year_Unic,Year,Предпосылки!$L$59:$AY$59))^(Months_in_Period/Months_in_Year)</f>
        <v>1.0099263814900195</v>
      </c>
      <c r="CI82" s="148">
        <f ca="1">(1+SUMIF(Year_Unic,Year,Предпосылки!$L$59:$AY$59))^(Months_in_Period/Months_in_Year)</f>
        <v>1.0099263814900195</v>
      </c>
      <c r="CJ82" s="148">
        <f ca="1">(1+SUMIF(Year_Unic,Year,Предпосылки!$L$59:$AY$59))^(Months_in_Period/Months_in_Year)</f>
        <v>1.0099263814900195</v>
      </c>
      <c r="CK82" s="148">
        <f ca="1">(1+SUMIF(Year_Unic,Year,Предпосылки!$L$59:$AY$59))^(Months_in_Period/Months_in_Year)</f>
        <v>1.0099263814900195</v>
      </c>
      <c r="CL82" s="148">
        <f ca="1">(1+SUMIF(Year_Unic,Year,Предпосылки!$L$59:$AY$59))^(Months_in_Period/Months_in_Year)</f>
        <v>1.0099263814900195</v>
      </c>
      <c r="CM82" s="148">
        <f ca="1">(1+SUMIF(Year_Unic,Year,Предпосылки!$L$59:$AY$59))^(Months_in_Period/Months_in_Year)</f>
        <v>1.0099263814900195</v>
      </c>
      <c r="CN82" s="148">
        <f ca="1">(1+SUMIF(Year_Unic,Year,Предпосылки!$L$59:$AY$59))^(Months_in_Period/Months_in_Year)</f>
        <v>1.0099263814900195</v>
      </c>
      <c r="CO82" s="148">
        <f ca="1">(1+SUMIF(Year_Unic,Year,Предпосылки!$L$59:$AY$59))^(Months_in_Period/Months_in_Year)</f>
        <v>1.0099263814900195</v>
      </c>
    </row>
    <row r="83" spans="1:93">
      <c r="A83" s="77"/>
      <c r="B83" s="13"/>
      <c r="C83" s="17" t="s">
        <v>479</v>
      </c>
      <c r="D83" s="10"/>
      <c r="E83" s="62"/>
      <c r="F83" s="11"/>
      <c r="G83" s="11" t="s">
        <v>378</v>
      </c>
      <c r="H83" s="10"/>
      <c r="I83" s="150"/>
      <c r="J83" s="10"/>
      <c r="K83" s="10"/>
      <c r="L83" s="148">
        <f t="shared" ref="L83:R83" ca="1" si="998">IF(Flag_Historical,1,L82)</f>
        <v>1.014194887410651</v>
      </c>
      <c r="M83" s="148">
        <f t="shared" ca="1" si="998"/>
        <v>1.014194887410651</v>
      </c>
      <c r="N83" s="148">
        <f t="shared" ca="1" si="998"/>
        <v>1.014194887410651</v>
      </c>
      <c r="O83" s="148">
        <f t="shared" ca="1" si="998"/>
        <v>1.014194887410651</v>
      </c>
      <c r="P83" s="148">
        <f t="shared" ca="1" si="998"/>
        <v>1.0098534065489688</v>
      </c>
      <c r="Q83" s="148">
        <f t="shared" ca="1" si="998"/>
        <v>1.0098534065489688</v>
      </c>
      <c r="R83" s="148">
        <f t="shared" ca="1" si="998"/>
        <v>1.0098534065489688</v>
      </c>
      <c r="S83" s="148">
        <f t="shared" ref="S83" ca="1" si="999">IF(Flag_Historical,1,S82)</f>
        <v>1.0098534065489688</v>
      </c>
      <c r="T83" s="148">
        <f t="shared" ref="T83:CE83" ca="1" si="1000">IF(Flag_Historical,1,T82)</f>
        <v>1.0098534065489688</v>
      </c>
      <c r="U83" s="148">
        <f t="shared" ca="1" si="1000"/>
        <v>1.0098534065489688</v>
      </c>
      <c r="V83" s="148">
        <f t="shared" ca="1" si="1000"/>
        <v>1.0098534065489688</v>
      </c>
      <c r="W83" s="148">
        <f t="shared" ca="1" si="1000"/>
        <v>1.0098534065489688</v>
      </c>
      <c r="X83" s="148">
        <f t="shared" ca="1" si="1000"/>
        <v>1.0098534065489688</v>
      </c>
      <c r="Y83" s="148">
        <f t="shared" ca="1" si="1000"/>
        <v>1.0098534065489688</v>
      </c>
      <c r="Z83" s="148">
        <f t="shared" ca="1" si="1000"/>
        <v>1.0098534065489688</v>
      </c>
      <c r="AA83" s="148">
        <f t="shared" ca="1" si="1000"/>
        <v>1.0098534065489688</v>
      </c>
      <c r="AB83" s="148">
        <f t="shared" ca="1" si="1000"/>
        <v>1.0098534065489688</v>
      </c>
      <c r="AC83" s="148">
        <f t="shared" ca="1" si="1000"/>
        <v>1.0098534065489688</v>
      </c>
      <c r="AD83" s="148">
        <f t="shared" ca="1" si="1000"/>
        <v>1.0098534065489688</v>
      </c>
      <c r="AE83" s="148">
        <f t="shared" ca="1" si="1000"/>
        <v>1.0098534065489688</v>
      </c>
      <c r="AF83" s="148">
        <f t="shared" ca="1" si="1000"/>
        <v>1.0098534065489688</v>
      </c>
      <c r="AG83" s="148">
        <f t="shared" ca="1" si="1000"/>
        <v>1.0098534065489688</v>
      </c>
      <c r="AH83" s="148">
        <f t="shared" ca="1" si="1000"/>
        <v>1.0098534065489688</v>
      </c>
      <c r="AI83" s="148">
        <f t="shared" ca="1" si="1000"/>
        <v>1.0098534065489688</v>
      </c>
      <c r="AJ83" s="148">
        <f t="shared" ca="1" si="1000"/>
        <v>1.0099263814900195</v>
      </c>
      <c r="AK83" s="148">
        <f t="shared" ca="1" si="1000"/>
        <v>1.0099263814900195</v>
      </c>
      <c r="AL83" s="148">
        <f t="shared" ca="1" si="1000"/>
        <v>1.0099263814900195</v>
      </c>
      <c r="AM83" s="148">
        <f t="shared" ca="1" si="1000"/>
        <v>1.0099263814900195</v>
      </c>
      <c r="AN83" s="148">
        <f t="shared" ca="1" si="1000"/>
        <v>1.0099263814900195</v>
      </c>
      <c r="AO83" s="148">
        <f t="shared" ca="1" si="1000"/>
        <v>1.0099263814900195</v>
      </c>
      <c r="AP83" s="148">
        <f t="shared" ca="1" si="1000"/>
        <v>1.0099263814900195</v>
      </c>
      <c r="AQ83" s="148">
        <f t="shared" ca="1" si="1000"/>
        <v>1.0099263814900195</v>
      </c>
      <c r="AR83" s="148">
        <f t="shared" ca="1" si="1000"/>
        <v>1.0099263814900195</v>
      </c>
      <c r="AS83" s="148">
        <f t="shared" ca="1" si="1000"/>
        <v>1.0099263814900195</v>
      </c>
      <c r="AT83" s="148">
        <f t="shared" ca="1" si="1000"/>
        <v>1.0099263814900195</v>
      </c>
      <c r="AU83" s="148">
        <f t="shared" ca="1" si="1000"/>
        <v>1.0099263814900195</v>
      </c>
      <c r="AV83" s="148">
        <f t="shared" ca="1" si="1000"/>
        <v>1.0099263814900195</v>
      </c>
      <c r="AW83" s="148">
        <f t="shared" ca="1" si="1000"/>
        <v>1.0099263814900195</v>
      </c>
      <c r="AX83" s="148">
        <f t="shared" ca="1" si="1000"/>
        <v>1.0099263814900195</v>
      </c>
      <c r="AY83" s="148">
        <f t="shared" ca="1" si="1000"/>
        <v>1.0099263814900195</v>
      </c>
      <c r="AZ83" s="148">
        <f t="shared" ca="1" si="1000"/>
        <v>1.0099263814900195</v>
      </c>
      <c r="BA83" s="148">
        <f t="shared" ca="1" si="1000"/>
        <v>1.0099263814900195</v>
      </c>
      <c r="BB83" s="148">
        <f t="shared" ca="1" si="1000"/>
        <v>1.0099263814900195</v>
      </c>
      <c r="BC83" s="148">
        <f t="shared" ca="1" si="1000"/>
        <v>1.0099263814900195</v>
      </c>
      <c r="BD83" s="148">
        <f t="shared" ca="1" si="1000"/>
        <v>1.0099263814900195</v>
      </c>
      <c r="BE83" s="148">
        <f t="shared" ca="1" si="1000"/>
        <v>1.0099263814900195</v>
      </c>
      <c r="BF83" s="148">
        <f t="shared" ca="1" si="1000"/>
        <v>1.0099263814900195</v>
      </c>
      <c r="BG83" s="148">
        <f t="shared" ca="1" si="1000"/>
        <v>1.0099263814900195</v>
      </c>
      <c r="BH83" s="148">
        <f t="shared" ca="1" si="1000"/>
        <v>1.0099263814900195</v>
      </c>
      <c r="BI83" s="148">
        <f t="shared" ca="1" si="1000"/>
        <v>1.0099263814900195</v>
      </c>
      <c r="BJ83" s="148">
        <f t="shared" ca="1" si="1000"/>
        <v>1.0099263814900195</v>
      </c>
      <c r="BK83" s="148">
        <f t="shared" ca="1" si="1000"/>
        <v>1.0099263814900195</v>
      </c>
      <c r="BL83" s="148">
        <f t="shared" ca="1" si="1000"/>
        <v>1.0099263814900195</v>
      </c>
      <c r="BM83" s="148">
        <f t="shared" ca="1" si="1000"/>
        <v>1.0099263814900195</v>
      </c>
      <c r="BN83" s="148">
        <f t="shared" ca="1" si="1000"/>
        <v>1.0099263814900195</v>
      </c>
      <c r="BO83" s="148">
        <f t="shared" ca="1" si="1000"/>
        <v>1.0099263814900195</v>
      </c>
      <c r="BP83" s="148">
        <f t="shared" ca="1" si="1000"/>
        <v>1.0099263814900195</v>
      </c>
      <c r="BQ83" s="148">
        <f t="shared" ca="1" si="1000"/>
        <v>1.0099263814900195</v>
      </c>
      <c r="BR83" s="148">
        <f t="shared" ca="1" si="1000"/>
        <v>1.0099263814900195</v>
      </c>
      <c r="BS83" s="148">
        <f t="shared" ca="1" si="1000"/>
        <v>1.0099263814900195</v>
      </c>
      <c r="BT83" s="148">
        <f t="shared" ca="1" si="1000"/>
        <v>1.0099263814900195</v>
      </c>
      <c r="BU83" s="148">
        <f t="shared" ca="1" si="1000"/>
        <v>1.0099263814900195</v>
      </c>
      <c r="BV83" s="148">
        <f t="shared" ca="1" si="1000"/>
        <v>1.0099263814900195</v>
      </c>
      <c r="BW83" s="148">
        <f t="shared" ca="1" si="1000"/>
        <v>1.0099263814900195</v>
      </c>
      <c r="BX83" s="148">
        <f t="shared" ca="1" si="1000"/>
        <v>1.0099263814900195</v>
      </c>
      <c r="BY83" s="148">
        <f t="shared" ca="1" si="1000"/>
        <v>1.0099263814900195</v>
      </c>
      <c r="BZ83" s="148">
        <f t="shared" ca="1" si="1000"/>
        <v>1.0099263814900195</v>
      </c>
      <c r="CA83" s="148">
        <f t="shared" ca="1" si="1000"/>
        <v>1.0099263814900195</v>
      </c>
      <c r="CB83" s="148">
        <f t="shared" ca="1" si="1000"/>
        <v>1.0099263814900195</v>
      </c>
      <c r="CC83" s="148">
        <f t="shared" ca="1" si="1000"/>
        <v>1.0099263814900195</v>
      </c>
      <c r="CD83" s="148">
        <f t="shared" ca="1" si="1000"/>
        <v>1.0099263814900195</v>
      </c>
      <c r="CE83" s="148">
        <f t="shared" ca="1" si="1000"/>
        <v>1.0099263814900195</v>
      </c>
      <c r="CF83" s="148">
        <f t="shared" ref="CF83:CO83" ca="1" si="1001">IF(Flag_Historical,1,CF82)</f>
        <v>1.0099263814900195</v>
      </c>
      <c r="CG83" s="148">
        <f t="shared" ca="1" si="1001"/>
        <v>1.0099263814900195</v>
      </c>
      <c r="CH83" s="148">
        <f t="shared" ca="1" si="1001"/>
        <v>1.0099263814900195</v>
      </c>
      <c r="CI83" s="148">
        <f t="shared" ca="1" si="1001"/>
        <v>1.0099263814900195</v>
      </c>
      <c r="CJ83" s="148">
        <f t="shared" ca="1" si="1001"/>
        <v>1.0099263814900195</v>
      </c>
      <c r="CK83" s="148">
        <f t="shared" ca="1" si="1001"/>
        <v>1.0099263814900195</v>
      </c>
      <c r="CL83" s="148">
        <f t="shared" ca="1" si="1001"/>
        <v>1.0099263814900195</v>
      </c>
      <c r="CM83" s="148">
        <f t="shared" ca="1" si="1001"/>
        <v>1.0099263814900195</v>
      </c>
      <c r="CN83" s="148">
        <f t="shared" ca="1" si="1001"/>
        <v>1.0099263814900195</v>
      </c>
      <c r="CO83" s="148">
        <f t="shared" ca="1" si="1001"/>
        <v>1.0099263814900195</v>
      </c>
    </row>
    <row r="84" spans="1:93">
      <c r="A84" s="77"/>
      <c r="B84" s="13"/>
      <c r="C84" s="17" t="s">
        <v>480</v>
      </c>
      <c r="D84" s="10"/>
      <c r="E84" s="62"/>
      <c r="F84" s="11"/>
      <c r="G84" s="11" t="s">
        <v>378</v>
      </c>
      <c r="H84" s="10"/>
      <c r="I84" s="150"/>
      <c r="J84" s="10"/>
      <c r="K84" s="10"/>
      <c r="L84" s="148">
        <f t="shared" ref="L84" si="1002">IF(K84,K84*L83,1)</f>
        <v>1</v>
      </c>
      <c r="M84" s="148">
        <f t="shared" ref="M84" ca="1" si="1003">IF(L84,L84*M83,1)</f>
        <v>1.014194887410651</v>
      </c>
      <c r="N84" s="148">
        <f t="shared" ref="N84" ca="1" si="1004">IF(M84,M84*N83,1)</f>
        <v>1.0285912696499031</v>
      </c>
      <c r="O84" s="148">
        <f t="shared" ref="O84" ca="1" si="1005">IF(N84,N84*O83,1)</f>
        <v>1.043192006914162</v>
      </c>
      <c r="P84" s="148">
        <f t="shared" ref="P84" ca="1" si="1006">IF(O84,O84*P83,1)</f>
        <v>1.053471001866922</v>
      </c>
      <c r="Q84" s="148">
        <f t="shared" ref="Q84" ca="1" si="1007">IF(P84,P84*Q83,1)</f>
        <v>1.0638512799358664</v>
      </c>
      <c r="R84" s="148">
        <f t="shared" ref="R84" ca="1" si="1008">IF(Q84,Q84*R83,1)</f>
        <v>1.0743338391047152</v>
      </c>
      <c r="S84" s="148">
        <f t="shared" ref="S84" ca="1" si="1009">IF(R84,R84*S83,1)</f>
        <v>1.0849196871907285</v>
      </c>
      <c r="T84" s="148">
        <f t="shared" ref="T84" ca="1" si="1010">IF(S84,S84*T83,1)</f>
        <v>1.0956098419415989</v>
      </c>
      <c r="U84" s="148">
        <f t="shared" ref="U84" ca="1" si="1011">IF(T84,T84*U83,1)</f>
        <v>1.1064053311333011</v>
      </c>
      <c r="V84" s="148">
        <f t="shared" ref="V84" ca="1" si="1012">IF(U84,U84*V83,1)</f>
        <v>1.117307192668904</v>
      </c>
      <c r="W84" s="148">
        <f t="shared" ref="W84" ca="1" si="1013">IF(V84,V84*W83,1)</f>
        <v>1.1283164746783578</v>
      </c>
      <c r="X84" s="148">
        <f t="shared" ref="X84" ca="1" si="1014">IF(W84,W84*X83,1)</f>
        <v>1.139434235619263</v>
      </c>
      <c r="Y84" s="148">
        <f t="shared" ref="Y84" ca="1" si="1015">IF(X84,X84*Y83,1)</f>
        <v>1.1506615443786332</v>
      </c>
      <c r="Z84" s="148">
        <f t="shared" ref="Z84" ca="1" si="1016">IF(Y84,Y84*Z83,1)</f>
        <v>1.1619994803756601</v>
      </c>
      <c r="AA84" s="148">
        <f t="shared" ref="AA84" ca="1" si="1017">IF(Z84,Z84*AA83,1)</f>
        <v>1.173449133665492</v>
      </c>
      <c r="AB84" s="148">
        <f t="shared" ref="AB84" ca="1" si="1018">IF(AA84,AA84*AB83,1)</f>
        <v>1.1850116050440334</v>
      </c>
      <c r="AC84" s="148">
        <f t="shared" ref="AC84" ca="1" si="1019">IF(AB84,AB84*AC83,1)</f>
        <v>1.1966880061537783</v>
      </c>
      <c r="AD84" s="148">
        <f t="shared" ref="AD84" ca="1" si="1020">IF(AC84,AC84*AD83,1)</f>
        <v>1.2084794595906865</v>
      </c>
      <c r="AE84" s="148">
        <f t="shared" ref="AE84" ca="1" si="1021">IF(AD84,AD84*AE83,1)</f>
        <v>1.2203870990121117</v>
      </c>
      <c r="AF84" s="148">
        <f t="shared" ref="AF84" ca="1" si="1022">IF(AE84,AE84*AF83,1)</f>
        <v>1.2324120692457947</v>
      </c>
      <c r="AG84" s="148">
        <f t="shared" ref="AG84" ca="1" si="1023">IF(AF84,AF84*AG83,1)</f>
        <v>1.2445555263999295</v>
      </c>
      <c r="AH84" s="148">
        <f t="shared" ref="AH84" ca="1" si="1024">IF(AG84,AG84*AH83,1)</f>
        <v>1.2568186379743138</v>
      </c>
      <c r="AI84" s="148">
        <f t="shared" ref="AI84" ca="1" si="1025">IF(AH84,AH84*AI83,1)</f>
        <v>1.2692025829725959</v>
      </c>
      <c r="AJ84" s="148">
        <f t="shared" ref="AJ84" ca="1" si="1026">IF(AI84,AI84*AJ83,1)</f>
        <v>1.2818011719992999</v>
      </c>
      <c r="AK84" s="148">
        <f t="shared" ref="AK84" ca="1" si="1027">IF(AJ84,AJ84*AK83,1)</f>
        <v>1.294524819426919</v>
      </c>
      <c r="AL84" s="148">
        <f t="shared" ref="AL84" ca="1" si="1028">IF(AK84,AK84*AL83,1)</f>
        <v>1.3073747666328492</v>
      </c>
      <c r="AM84" s="148">
        <f t="shared" ref="AM84" ca="1" si="1029">IF(AL84,AL84*AM83,1)</f>
        <v>1.3203522673168722</v>
      </c>
      <c r="AN84" s="148">
        <f t="shared" ref="AN84" ca="1" si="1030">IF(AM84,AM84*AN83,1)</f>
        <v>1.3334585876234717</v>
      </c>
      <c r="AO84" s="148">
        <f t="shared" ref="AO84" ca="1" si="1031">IF(AN84,AN84*AO83,1)</f>
        <v>1.3466950062653649</v>
      </c>
      <c r="AP84" s="148">
        <f t="shared" ref="AP84" ca="1" si="1032">IF(AO84,AO84*AP83,1)</f>
        <v>1.360062814648259</v>
      </c>
      <c r="AQ84" s="148">
        <f t="shared" ref="AQ84" ca="1" si="1033">IF(AP84,AP84*AQ83,1)</f>
        <v>1.3735633169968471</v>
      </c>
      <c r="AR84" s="148">
        <f t="shared" ref="AR84" ca="1" si="1034">IF(AQ84,AQ84*AR83,1)</f>
        <v>1.3871978304820543</v>
      </c>
      <c r="AS84" s="148">
        <f t="shared" ref="AS84" ca="1" si="1035">IF(AR84,AR84*AS83,1)</f>
        <v>1.4009676853495465</v>
      </c>
      <c r="AT84" s="148">
        <f t="shared" ref="AT84" ca="1" si="1036">IF(AS84,AS84*AT83,1)</f>
        <v>1.4148742250495157</v>
      </c>
      <c r="AU84" s="148">
        <f t="shared" ref="AU84" ca="1" si="1037">IF(AT84,AT84*AU83,1)</f>
        <v>1.4289188063677527</v>
      </c>
      <c r="AV84" s="148">
        <f t="shared" ref="AV84" ca="1" si="1038">IF(AU84,AU84*AV83,1)</f>
        <v>1.4431027995580223</v>
      </c>
      <c r="AW84" s="148">
        <f t="shared" ref="AW84" ca="1" si="1039">IF(AV84,AV84*AW83,1)</f>
        <v>1.4574275884757504</v>
      </c>
      <c r="AX84" s="148">
        <f t="shared" ref="AX84" ca="1" si="1040">IF(AW84,AW84*AX83,1)</f>
        <v>1.4718945707130398</v>
      </c>
      <c r="AY84" s="148">
        <f t="shared" ref="AY84" ca="1" si="1041">IF(AX84,AX84*AY83,1)</f>
        <v>1.4865051577350259</v>
      </c>
      <c r="AZ84" s="148">
        <f t="shared" ref="AZ84" ca="1" si="1042">IF(AY84,AY84*AZ83,1)</f>
        <v>1.5012607750175853</v>
      </c>
      <c r="BA84" s="148">
        <f t="shared" ref="BA84" ca="1" si="1043">IF(AZ84,AZ84*BA83,1)</f>
        <v>1.5161628621864121</v>
      </c>
      <c r="BB84" s="148">
        <f t="shared" ref="BB84" ca="1" si="1044">IF(BA84,BA84*BB83,1)</f>
        <v>1.5312128731574741</v>
      </c>
      <c r="BC84" s="148">
        <f t="shared" ref="BC84" ca="1" si="1045">IF(BB84,BB84*BC83,1)</f>
        <v>1.5464122762788639</v>
      </c>
      <c r="BD84" s="148">
        <f t="shared" ref="BD84" ca="1" si="1046">IF(BC84,BC84*BD83,1)</f>
        <v>1.5617625544740572</v>
      </c>
      <c r="BE84" s="148">
        <f t="shared" ref="BE84" ca="1" si="1047">IF(BD84,BD84*BE83,1)</f>
        <v>1.5772652053865941</v>
      </c>
      <c r="BF84" s="148">
        <f t="shared" ref="BF84" ca="1" si="1048">IF(BE84,BE84*BF83,1)</f>
        <v>1.5929217415261954</v>
      </c>
      <c r="BG84" s="148">
        <f t="shared" ref="BG84" ca="1" si="1049">IF(BF84,BF84*BG83,1)</f>
        <v>1.6087336904163305</v>
      </c>
      <c r="BH84" s="148">
        <f t="shared" ref="BH84" ca="1" si="1050">IF(BG84,BG84*BH83,1)</f>
        <v>1.6247025947432499</v>
      </c>
      <c r="BI84" s="148">
        <f t="shared" ref="BI84" ca="1" si="1051">IF(BH84,BH84*BI83,1)</f>
        <v>1.6408300125064958</v>
      </c>
      <c r="BJ84" s="148">
        <f t="shared" ref="BJ84" ca="1" si="1052">IF(BI84,BI84*BJ83,1)</f>
        <v>1.6571175171709087</v>
      </c>
      <c r="BK84" s="148">
        <f t="shared" ref="BK84" ca="1" si="1053">IF(BJ84,BJ84*BK83,1)</f>
        <v>1.6735666978201411</v>
      </c>
      <c r="BL84" s="148">
        <f t="shared" ref="BL84" ca="1" si="1054">IF(BK84,BK84*BL83,1)</f>
        <v>1.6901791593116959</v>
      </c>
      <c r="BM84" s="148">
        <f t="shared" ref="BM84" ca="1" si="1055">IF(BL84,BL84*BM83,1)</f>
        <v>1.7069565224335042</v>
      </c>
      <c r="BN84" s="148">
        <f t="shared" ref="BN84" ca="1" si="1056">IF(BM84,BM84*BN83,1)</f>
        <v>1.7239004240620561</v>
      </c>
      <c r="BO84" s="148">
        <f t="shared" ref="BO84" ca="1" si="1057">IF(BN84,BN84*BO83,1)</f>
        <v>1.7410125173221025</v>
      </c>
      <c r="BP84" s="148">
        <f t="shared" ref="BP84" ca="1" si="1058">IF(BO84,BO84*BP83,1)</f>
        <v>1.7582944717479407</v>
      </c>
      <c r="BQ84" s="148">
        <f t="shared" ref="BQ84" ca="1" si="1059">IF(BP84,BP84*BQ83,1)</f>
        <v>1.7757479734463031</v>
      </c>
      <c r="BR84" s="148">
        <f t="shared" ref="BR84" ca="1" si="1060">IF(BQ84,BQ84*BR83,1)</f>
        <v>1.7933747252608601</v>
      </c>
      <c r="BS84" s="148">
        <f t="shared" ref="BS84" ca="1" si="1061">IF(BR84,BR84*BS83,1)</f>
        <v>1.8111764469383582</v>
      </c>
      <c r="BT84" s="148">
        <f t="shared" ref="BT84" ca="1" si="1062">IF(BS84,BS84*BT83,1)</f>
        <v>1.8291548752964064</v>
      </c>
      <c r="BU84" s="148">
        <f t="shared" ref="BU84" ca="1" si="1063">IF(BT84,BT84*BU83,1)</f>
        <v>1.8473117643929275</v>
      </c>
      <c r="BV84" s="148">
        <f t="shared" ref="BV84" ca="1" si="1064">IF(BU84,BU84*BV83,1)</f>
        <v>1.8656488856972926</v>
      </c>
      <c r="BW84" s="148">
        <f t="shared" ref="BW84" ca="1" si="1065">IF(BV84,BV84*BW83,1)</f>
        <v>1.8841680282631537</v>
      </c>
      <c r="BX84" s="148">
        <f t="shared" ref="BX84" ca="1" si="1066">IF(BW84,BW84*BX83,1)</f>
        <v>1.9028709989029915</v>
      </c>
      <c r="BY84" s="148">
        <f t="shared" ref="BY84" ca="1" si="1067">IF(BX84,BX84*BY83,1)</f>
        <v>1.9217596223643969</v>
      </c>
      <c r="BZ84" s="148">
        <f t="shared" ref="BZ84" ca="1" si="1068">IF(BY84,BY84*BZ83,1)</f>
        <v>1.9408357415081017</v>
      </c>
      <c r="CA84" s="148">
        <f t="shared" ref="CA84" ca="1" si="1069">IF(BZ84,BZ84*CA83,1)</f>
        <v>1.9601012174877759</v>
      </c>
      <c r="CB84" s="148">
        <f t="shared" ref="CB84" ca="1" si="1070">IF(CA84,CA84*CB83,1)</f>
        <v>1.9795579299316111</v>
      </c>
      <c r="CC84" s="148">
        <f t="shared" ref="CC84" ca="1" si="1071">IF(CB84,CB84*CC83,1)</f>
        <v>1.9992077771257055</v>
      </c>
      <c r="CD84" s="148">
        <f t="shared" ref="CD84" ca="1" si="1072">IF(CC84,CC84*CD83,1)</f>
        <v>2.0190526761992689</v>
      </c>
      <c r="CE84" s="148">
        <f t="shared" ref="CE84" ca="1" si="1073">IF(CD84,CD84*CE83,1)</f>
        <v>2.0390945633116675</v>
      </c>
      <c r="CF84" s="148">
        <f t="shared" ref="CF84" ca="1" si="1074">IF(CE84,CE84*CF83,1)</f>
        <v>2.0593353938413239</v>
      </c>
      <c r="CG84" s="148">
        <f t="shared" ref="CG84" ca="1" si="1075">IF(CF84,CF84*CG83,1)</f>
        <v>2.0797771425764924</v>
      </c>
      <c r="CH84" s="148">
        <f t="shared" ref="CH84" ca="1" si="1076">IF(CG84,CG84*CH83,1)</f>
        <v>2.1004218039079294</v>
      </c>
      <c r="CI84" s="148">
        <f t="shared" ref="CI84" ca="1" si="1077">IF(CH84,CH84*CI83,1)</f>
        <v>2.1212713920234743</v>
      </c>
      <c r="CJ84" s="148">
        <f t="shared" ref="CJ84" ca="1" si="1078">IF(CI84,CI84*CJ83,1)</f>
        <v>2.1423279411045639</v>
      </c>
      <c r="CK84" s="148">
        <f t="shared" ref="CK84" ca="1" si="1079">IF(CJ84,CJ84*CK83,1)</f>
        <v>2.1635935055246955</v>
      </c>
      <c r="CL84" s="148">
        <f t="shared" ref="CL84" ca="1" si="1080">IF(CK84,CK84*CL83,1)</f>
        <v>2.1850701600498623</v>
      </c>
      <c r="CM84" s="148">
        <f t="shared" ref="CM84" ca="1" si="1081">IF(CL84,CL84*CM83,1)</f>
        <v>2.2067600000409753</v>
      </c>
      <c r="CN84" s="148">
        <f t="shared" ref="CN84" ca="1" si="1082">IF(CM84,CM84*CN83,1)</f>
        <v>2.2286651416582974</v>
      </c>
      <c r="CO84" s="148">
        <f t="shared" ref="CO84" ca="1" si="1083">IF(CN84,CN84*CO83,1)</f>
        <v>2.2507877220679058</v>
      </c>
    </row>
    <row r="85" spans="1:93">
      <c r="A85" s="77"/>
      <c r="B85" s="13"/>
      <c r="C85" s="17" t="str">
        <f xml:space="preserve"> "накопленный индекс стоимости капитальных вложений с " &amp; TEXT(E85,"ДД.ММ.ГГ") &amp; " - по периодам"</f>
        <v>накопленный индекс стоимости капитальных вложений с 01.01.25 - по периодам</v>
      </c>
      <c r="D85" s="10"/>
      <c r="E85" s="71">
        <f xml:space="preserve"> Date_Forecast_Start</f>
        <v>45658</v>
      </c>
      <c r="F85" s="11"/>
      <c r="G85" s="11" t="s">
        <v>378</v>
      </c>
      <c r="H85" s="10"/>
      <c r="I85" s="150"/>
      <c r="J85" s="10"/>
      <c r="K85" s="10"/>
      <c r="L85" s="148">
        <f t="shared" ref="L85:AQ85" ca="1" si="1084">IF(Beginning_of_period &lt; $E85,1, IF(Beginning_of_period = $E85, L82, L82 * K85))</f>
        <v>1.014194887410651</v>
      </c>
      <c r="M85" s="148">
        <f t="shared" ca="1" si="1084"/>
        <v>1.0285912696499031</v>
      </c>
      <c r="N85" s="148">
        <f t="shared" ca="1" si="1084"/>
        <v>1.043192006914162</v>
      </c>
      <c r="O85" s="148">
        <f t="shared" ca="1" si="1084"/>
        <v>1.0579999999999996</v>
      </c>
      <c r="P85" s="148">
        <f t="shared" ca="1" si="1084"/>
        <v>1.0684249041288085</v>
      </c>
      <c r="Q85" s="148">
        <f t="shared" ca="1" si="1084"/>
        <v>1.0789525290762327</v>
      </c>
      <c r="R85" s="148">
        <f t="shared" ca="1" si="1084"/>
        <v>1.0895838869922589</v>
      </c>
      <c r="S85" s="148">
        <f t="shared" ca="1" si="1084"/>
        <v>1.1003199999999993</v>
      </c>
      <c r="T85" s="148">
        <f t="shared" ca="1" si="1084"/>
        <v>1.1111619002939606</v>
      </c>
      <c r="U85" s="148">
        <f t="shared" ca="1" si="1084"/>
        <v>1.1221106302392818</v>
      </c>
      <c r="V85" s="148">
        <f t="shared" ca="1" si="1084"/>
        <v>1.133167242471949</v>
      </c>
      <c r="W85" s="148">
        <f t="shared" ca="1" si="1084"/>
        <v>1.144332799999999</v>
      </c>
      <c r="X85" s="148">
        <f t="shared" ca="1" si="1084"/>
        <v>1.1556083763057188</v>
      </c>
      <c r="Y85" s="148">
        <f t="shared" ca="1" si="1084"/>
        <v>1.1669950554488528</v>
      </c>
      <c r="Z85" s="148">
        <f t="shared" ca="1" si="1084"/>
        <v>1.1784939321708268</v>
      </c>
      <c r="AA85" s="148">
        <f t="shared" ca="1" si="1084"/>
        <v>1.1901061119999987</v>
      </c>
      <c r="AB85" s="148">
        <f t="shared" ca="1" si="1084"/>
        <v>1.2018327113579472</v>
      </c>
      <c r="AC85" s="148">
        <f t="shared" ca="1" si="1084"/>
        <v>1.2136748576668066</v>
      </c>
      <c r="AD85" s="148">
        <f t="shared" ca="1" si="1084"/>
        <v>1.2256336894576596</v>
      </c>
      <c r="AE85" s="148">
        <f t="shared" ca="1" si="1084"/>
        <v>1.2377103564799985</v>
      </c>
      <c r="AF85" s="148">
        <f t="shared" ca="1" si="1084"/>
        <v>1.2499060198122651</v>
      </c>
      <c r="AG85" s="148">
        <f t="shared" ca="1" si="1084"/>
        <v>1.2622218519734789</v>
      </c>
      <c r="AH85" s="148">
        <f t="shared" ca="1" si="1084"/>
        <v>1.2746590370359661</v>
      </c>
      <c r="AI85" s="148">
        <f t="shared" ca="1" si="1084"/>
        <v>1.2872187707391984</v>
      </c>
      <c r="AJ85" s="148">
        <f t="shared" ca="1" si="1084"/>
        <v>1.2999961953186696</v>
      </c>
      <c r="AK85" s="148">
        <f t="shared" ca="1" si="1084"/>
        <v>1.3129004534889765</v>
      </c>
      <c r="AL85" s="148">
        <f t="shared" ca="1" si="1084"/>
        <v>1.3259328042487277</v>
      </c>
      <c r="AM85" s="148">
        <f t="shared" ca="1" si="1084"/>
        <v>1.3390945190938319</v>
      </c>
      <c r="AN85" s="148">
        <f t="shared" ca="1" si="1084"/>
        <v>1.3523868821415514</v>
      </c>
      <c r="AO85" s="148">
        <f t="shared" ca="1" si="1084"/>
        <v>1.3658111902557866</v>
      </c>
      <c r="AP85" s="148">
        <f t="shared" ca="1" si="1084"/>
        <v>1.379368753173603</v>
      </c>
      <c r="AQ85" s="148">
        <f t="shared" ca="1" si="1084"/>
        <v>1.3930608936330167</v>
      </c>
      <c r="AR85" s="148">
        <f t="shared" ref="AR85:BW85" ca="1" si="1085">IF(Beginning_of_period &lt; $E85,1, IF(Beginning_of_period = $E85, AR82, AR82 * AQ85))</f>
        <v>1.4068889475020454</v>
      </c>
      <c r="AS85" s="148">
        <f t="shared" ca="1" si="1085"/>
        <v>1.4208542639090427</v>
      </c>
      <c r="AT85" s="148">
        <f t="shared" ca="1" si="1085"/>
        <v>1.4349582053743246</v>
      </c>
      <c r="AU85" s="148">
        <f t="shared" ca="1" si="1085"/>
        <v>1.4492021479431039</v>
      </c>
      <c r="AV85" s="148">
        <f t="shared" ca="1" si="1085"/>
        <v>1.4635874813197427</v>
      </c>
      <c r="AW85" s="148">
        <f t="shared" ca="1" si="1085"/>
        <v>1.4781156090033392</v>
      </c>
      <c r="AX85" s="148">
        <f t="shared" ca="1" si="1085"/>
        <v>1.4927879484246587</v>
      </c>
      <c r="AY85" s="148">
        <f t="shared" ca="1" si="1085"/>
        <v>1.5076059310844254</v>
      </c>
      <c r="AZ85" s="148">
        <f t="shared" ca="1" si="1085"/>
        <v>1.5225710026929855</v>
      </c>
      <c r="BA85" s="148">
        <f t="shared" ca="1" si="1085"/>
        <v>1.5376846233113575</v>
      </c>
      <c r="BB85" s="148">
        <f t="shared" ca="1" si="1085"/>
        <v>1.5529482674936828</v>
      </c>
      <c r="BC85" s="148">
        <f t="shared" ca="1" si="1085"/>
        <v>1.5683634244310898</v>
      </c>
      <c r="BD85" s="148">
        <f t="shared" ca="1" si="1085"/>
        <v>1.5839315980969861</v>
      </c>
      <c r="BE85" s="148">
        <f t="shared" ca="1" si="1085"/>
        <v>1.599654307393793</v>
      </c>
      <c r="BF85" s="148">
        <f t="shared" ca="1" si="1085"/>
        <v>1.6155330863011366</v>
      </c>
      <c r="BG85" s="148">
        <f t="shared" ca="1" si="1085"/>
        <v>1.6315694840255102</v>
      </c>
      <c r="BH85" s="148">
        <f t="shared" ca="1" si="1085"/>
        <v>1.6477650651514215</v>
      </c>
      <c r="BI85" s="148">
        <f t="shared" ca="1" si="1085"/>
        <v>1.6641214097940413</v>
      </c>
      <c r="BJ85" s="148">
        <f t="shared" ca="1" si="1085"/>
        <v>1.680640113753366</v>
      </c>
      <c r="BK85" s="148">
        <f t="shared" ca="1" si="1085"/>
        <v>1.6973227886699116</v>
      </c>
      <c r="BL85" s="148">
        <f t="shared" ca="1" si="1085"/>
        <v>1.7141710621819528</v>
      </c>
      <c r="BM85" s="148">
        <f t="shared" ca="1" si="1085"/>
        <v>1.7311865780843227</v>
      </c>
      <c r="BN85" s="148">
        <f t="shared" ca="1" si="1085"/>
        <v>1.748370996488789</v>
      </c>
      <c r="BO85" s="148">
        <f t="shared" ca="1" si="1085"/>
        <v>1.7657259939860221</v>
      </c>
      <c r="BP85" s="148">
        <f t="shared" ca="1" si="1085"/>
        <v>1.7832532638091712</v>
      </c>
      <c r="BQ85" s="148">
        <f t="shared" ca="1" si="1085"/>
        <v>1.8009545159990632</v>
      </c>
      <c r="BR85" s="148">
        <f t="shared" ca="1" si="1085"/>
        <v>1.8188314775710432</v>
      </c>
      <c r="BS85" s="148">
        <f t="shared" ca="1" si="1085"/>
        <v>1.8368858926834692</v>
      </c>
      <c r="BT85" s="148">
        <f t="shared" ca="1" si="1085"/>
        <v>1.8551195228078803</v>
      </c>
      <c r="BU85" s="148">
        <f t="shared" ca="1" si="1085"/>
        <v>1.8735341469008542</v>
      </c>
      <c r="BV85" s="148">
        <f t="shared" ca="1" si="1085"/>
        <v>1.8921315615775702</v>
      </c>
      <c r="BW85" s="148">
        <f t="shared" ca="1" si="1085"/>
        <v>1.9109135812870954</v>
      </c>
      <c r="BX85" s="148">
        <f t="shared" ref="BX85:CO85" ca="1" si="1086">IF(Beginning_of_period &lt; $E85,1, IF(Beginning_of_period = $E85, BX82, BX82 * BW85))</f>
        <v>1.9298820384894104</v>
      </c>
      <c r="BY85" s="148">
        <f t="shared" ca="1" si="1086"/>
        <v>1.9490387838341927</v>
      </c>
      <c r="BZ85" s="148">
        <f t="shared" ca="1" si="1086"/>
        <v>1.9683856863413745</v>
      </c>
      <c r="CA85" s="148">
        <f t="shared" ca="1" si="1086"/>
        <v>1.9879246335834928</v>
      </c>
      <c r="CB85" s="148">
        <f t="shared" ca="1" si="1086"/>
        <v>2.0076575318698495</v>
      </c>
      <c r="CC85" s="148">
        <f t="shared" ca="1" si="1086"/>
        <v>2.0275863064325006</v>
      </c>
      <c r="CD85" s="148">
        <f t="shared" ca="1" si="1086"/>
        <v>2.0477129016140889</v>
      </c>
      <c r="CE85" s="148">
        <f t="shared" ca="1" si="1086"/>
        <v>2.068039281057545</v>
      </c>
      <c r="CF85" s="148">
        <f t="shared" ca="1" si="1086"/>
        <v>2.0885674278976678</v>
      </c>
      <c r="CG85" s="148">
        <f t="shared" ca="1" si="1086"/>
        <v>2.1092993449546089</v>
      </c>
      <c r="CH85" s="148">
        <f t="shared" ca="1" si="1086"/>
        <v>2.1302370549292764</v>
      </c>
      <c r="CI85" s="148">
        <f t="shared" ca="1" si="1086"/>
        <v>2.1513826006006798</v>
      </c>
      <c r="CJ85" s="148">
        <f t="shared" ca="1" si="1086"/>
        <v>2.1727380450252323</v>
      </c>
      <c r="CK85" s="148">
        <f t="shared" ca="1" si="1086"/>
        <v>2.1943054717380317</v>
      </c>
      <c r="CL85" s="148">
        <f t="shared" ca="1" si="1086"/>
        <v>2.2160869849561404</v>
      </c>
      <c r="CM85" s="148">
        <f t="shared" ca="1" si="1086"/>
        <v>2.2380847097838821</v>
      </c>
      <c r="CN85" s="148">
        <f t="shared" ca="1" si="1086"/>
        <v>2.2603007924201766</v>
      </c>
      <c r="CO85" s="148">
        <f t="shared" ca="1" si="1086"/>
        <v>2.2827374003679326</v>
      </c>
    </row>
    <row r="86" spans="1:93">
      <c r="A86" s="77"/>
      <c r="B86" s="13"/>
      <c r="C86" s="17"/>
      <c r="D86" s="10"/>
      <c r="E86" s="62"/>
      <c r="F86" s="11"/>
      <c r="G86" s="11"/>
      <c r="H86" s="10"/>
      <c r="I86" s="11"/>
      <c r="J86" s="10"/>
      <c r="K86" s="10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</row>
    <row r="87" spans="1:93">
      <c r="A87" s="77"/>
      <c r="B87" s="13"/>
      <c r="C87" s="87" t="s">
        <v>383</v>
      </c>
      <c r="D87" s="10"/>
      <c r="E87" s="62"/>
      <c r="F87" s="11"/>
      <c r="G87" s="11"/>
      <c r="H87" s="10"/>
      <c r="I87" s="11"/>
      <c r="J87" s="10"/>
      <c r="K87" s="10"/>
      <c r="L87" s="412"/>
      <c r="M87" s="412"/>
      <c r="N87" s="412"/>
      <c r="O87" s="412"/>
      <c r="P87" s="412"/>
      <c r="Q87" s="412"/>
      <c r="R87" s="412"/>
      <c r="S87" s="412"/>
      <c r="T87" s="412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</row>
    <row r="88" spans="1:93">
      <c r="A88" s="77"/>
      <c r="B88" s="13"/>
      <c r="C88" s="17" t="s">
        <v>384</v>
      </c>
      <c r="D88" s="10"/>
      <c r="E88" s="62"/>
      <c r="F88" s="11"/>
      <c r="G88" s="11" t="s">
        <v>28</v>
      </c>
      <c r="H88" s="10"/>
      <c r="I88" s="11"/>
      <c r="J88" s="10"/>
      <c r="K88" s="10"/>
      <c r="L88" s="84">
        <f>SUMIF(Year_Unic,Year,Предпосылки!$L$60:$CO$60)*Period_length</f>
        <v>3.9452054794520547E-2</v>
      </c>
      <c r="M88" s="84">
        <f>SUMIF(Year_Unic,Year,Предпосылки!$L$60:$CO$60)*Period_length</f>
        <v>3.989041095890411E-2</v>
      </c>
      <c r="N88" s="84">
        <f>SUMIF(Year_Unic,Year,Предпосылки!$L$60:$CO$60)*Period_length</f>
        <v>4.0328767123287673E-2</v>
      </c>
      <c r="O88" s="84">
        <f>SUMIF(Year_Unic,Year,Предпосылки!$L$60:$CO$60)*Period_length</f>
        <v>4.0328767123287673E-2</v>
      </c>
      <c r="P88" s="84">
        <f>SUMIF(Year_Unic,Year,Предпосылки!$L$60:$CO$60)*Period_length</f>
        <v>2.7123287671232874E-2</v>
      </c>
      <c r="Q88" s="84">
        <f>SUMIF(Year_Unic,Year,Предпосылки!$L$60:$CO$60)*Period_length</f>
        <v>2.7424657534246576E-2</v>
      </c>
      <c r="R88" s="84">
        <f>SUMIF(Year_Unic,Year,Предпосылки!$L$60:$CO$60)*Period_length</f>
        <v>2.7726027397260277E-2</v>
      </c>
      <c r="S88" s="84">
        <f>SUMIF(Year_Unic,Year,Предпосылки!$L$60:$CO$60)*Period_length</f>
        <v>2.7726027397260277E-2</v>
      </c>
      <c r="T88" s="84">
        <f>SUMIF(Year_Unic,Year,Предпосылки!$L$60:$CO$60)*Period_length</f>
        <v>2.0958904109589043E-2</v>
      </c>
      <c r="U88" s="84">
        <f>SUMIF(Year_Unic,Year,Предпосылки!$L$60:$CO$60)*Period_length</f>
        <v>2.1191780821917808E-2</v>
      </c>
      <c r="V88" s="84">
        <f>SUMIF(Year_Unic,Year,Предпосылки!$L$60:$CO$60)*Period_length</f>
        <v>2.1424657534246577E-2</v>
      </c>
      <c r="W88" s="84">
        <f>SUMIF(Year_Unic,Year,Предпосылки!$L$60:$CO$60)*Period_length</f>
        <v>2.1424657534246577E-2</v>
      </c>
      <c r="X88" s="84">
        <f>SUMIF(Year_Unic,Year,Предпосылки!$L$60:$CO$60)*Period_length</f>
        <v>2.1133879781420766E-2</v>
      </c>
      <c r="Y88" s="84">
        <f>SUMIF(Year_Unic,Year,Предпосылки!$L$60:$CO$60)*Period_length</f>
        <v>2.1133879781420766E-2</v>
      </c>
      <c r="Z88" s="84">
        <f>SUMIF(Year_Unic,Year,Предпосылки!$L$60:$CO$60)*Period_length</f>
        <v>2.1366120218579237E-2</v>
      </c>
      <c r="AA88" s="84">
        <f>SUMIF(Year_Unic,Year,Предпосылки!$L$60:$CO$60)*Period_length</f>
        <v>2.1366120218579237E-2</v>
      </c>
      <c r="AB88" s="84">
        <f>SUMIF(Year_Unic,Year,Предпосылки!$L$60:$CO$60)*Period_length</f>
        <v>2.0958904109589043E-2</v>
      </c>
      <c r="AC88" s="84">
        <f>SUMIF(Year_Unic,Year,Предпосылки!$L$60:$CO$60)*Period_length</f>
        <v>2.1191780821917808E-2</v>
      </c>
      <c r="AD88" s="84">
        <f>SUMIF(Year_Unic,Year,Предпосылки!$L$60:$CO$60)*Period_length</f>
        <v>2.1424657534246577E-2</v>
      </c>
      <c r="AE88" s="84">
        <f>SUMIF(Year_Unic,Year,Предпосылки!$L$60:$CO$60)*Period_length</f>
        <v>2.1424657534246577E-2</v>
      </c>
      <c r="AF88" s="84">
        <f>SUMIF(Year_Unic,Year,Предпосылки!$L$60:$CO$60)*Period_length</f>
        <v>2.0958904109589043E-2</v>
      </c>
      <c r="AG88" s="84">
        <f>SUMIF(Year_Unic,Year,Предпосылки!$L$60:$CO$60)*Period_length</f>
        <v>2.1191780821917808E-2</v>
      </c>
      <c r="AH88" s="84">
        <f>SUMIF(Year_Unic,Year,Предпосылки!$L$60:$CO$60)*Period_length</f>
        <v>2.1424657534246577E-2</v>
      </c>
      <c r="AI88" s="84">
        <f>SUMIF(Year_Unic,Year,Предпосылки!$L$60:$CO$60)*Period_length</f>
        <v>2.1424657534246577E-2</v>
      </c>
      <c r="AJ88" s="84">
        <f>SUMIF(Year_Unic,Year,Предпосылки!$L$60:$CO$60)*Period_length</f>
        <v>2.0958904109589043E-2</v>
      </c>
      <c r="AK88" s="84">
        <f>SUMIF(Year_Unic,Year,Предпосылки!$L$60:$CO$60)*Period_length</f>
        <v>2.1191780821917808E-2</v>
      </c>
      <c r="AL88" s="84">
        <f>SUMIF(Year_Unic,Year,Предпосылки!$L$60:$CO$60)*Period_length</f>
        <v>2.1424657534246577E-2</v>
      </c>
      <c r="AM88" s="84">
        <f>SUMIF(Year_Unic,Year,Предпосылки!$L$60:$CO$60)*Period_length</f>
        <v>2.1424657534246577E-2</v>
      </c>
      <c r="AN88" s="84">
        <f>SUMIF(Year_Unic,Year,Предпосылки!$L$60:$CO$60)*Period_length</f>
        <v>2.1133879781420766E-2</v>
      </c>
      <c r="AO88" s="84">
        <f>SUMIF(Year_Unic,Year,Предпосылки!$L$60:$CO$60)*Period_length</f>
        <v>2.1133879781420766E-2</v>
      </c>
      <c r="AP88" s="84">
        <f>SUMIF(Year_Unic,Year,Предпосылки!$L$60:$CO$60)*Period_length</f>
        <v>2.1366120218579237E-2</v>
      </c>
      <c r="AQ88" s="84">
        <f>SUMIF(Year_Unic,Year,Предпосылки!$L$60:$CO$60)*Period_length</f>
        <v>2.1366120218579237E-2</v>
      </c>
      <c r="AR88" s="84">
        <f>SUMIF(Year_Unic,Year,Предпосылки!$L$60:$CO$60)*Period_length</f>
        <v>2.0958904109589043E-2</v>
      </c>
      <c r="AS88" s="84">
        <f>SUMIF(Year_Unic,Year,Предпосылки!$L$60:$CO$60)*Period_length</f>
        <v>2.1191780821917808E-2</v>
      </c>
      <c r="AT88" s="84">
        <f>SUMIF(Year_Unic,Year,Предпосылки!$L$60:$CO$60)*Period_length</f>
        <v>2.1424657534246577E-2</v>
      </c>
      <c r="AU88" s="84">
        <f>SUMIF(Year_Unic,Year,Предпосылки!$L$60:$CO$60)*Period_length</f>
        <v>2.1424657534246577E-2</v>
      </c>
      <c r="AV88" s="84">
        <f>SUMIF(Year_Unic,Year,Предпосылки!$L$60:$CO$60)*Period_length</f>
        <v>2.0958904109589043E-2</v>
      </c>
      <c r="AW88" s="84">
        <f>SUMIF(Year_Unic,Year,Предпосылки!$L$60:$CO$60)*Period_length</f>
        <v>2.1191780821917808E-2</v>
      </c>
      <c r="AX88" s="84">
        <f>SUMIF(Year_Unic,Year,Предпосылки!$L$60:$CO$60)*Period_length</f>
        <v>2.1424657534246577E-2</v>
      </c>
      <c r="AY88" s="84">
        <f>SUMIF(Year_Unic,Year,Предпосылки!$L$60:$CO$60)*Period_length</f>
        <v>2.1424657534246577E-2</v>
      </c>
      <c r="AZ88" s="84">
        <f>SUMIF(Year_Unic,Year,Предпосылки!$L$60:$CO$60)*Period_length</f>
        <v>2.0958904109589043E-2</v>
      </c>
      <c r="BA88" s="84">
        <f>SUMIF(Year_Unic,Year,Предпосылки!$L$60:$CO$60)*Period_length</f>
        <v>2.1191780821917808E-2</v>
      </c>
      <c r="BB88" s="84">
        <f>SUMIF(Year_Unic,Year,Предпосылки!$L$60:$CO$60)*Period_length</f>
        <v>2.1424657534246577E-2</v>
      </c>
      <c r="BC88" s="84">
        <f>SUMIF(Year_Unic,Year,Предпосылки!$L$60:$CO$60)*Period_length</f>
        <v>2.1424657534246577E-2</v>
      </c>
      <c r="BD88" s="84">
        <f>SUMIF(Year_Unic,Year,Предпосылки!$L$60:$CO$60)*Period_length</f>
        <v>2.1133879781420766E-2</v>
      </c>
      <c r="BE88" s="84">
        <f>SUMIF(Year_Unic,Year,Предпосылки!$L$60:$CO$60)*Period_length</f>
        <v>2.1133879781420766E-2</v>
      </c>
      <c r="BF88" s="84">
        <f>SUMIF(Year_Unic,Year,Предпосылки!$L$60:$CO$60)*Period_length</f>
        <v>2.1366120218579237E-2</v>
      </c>
      <c r="BG88" s="84">
        <f>SUMIF(Year_Unic,Year,Предпосылки!$L$60:$CO$60)*Period_length</f>
        <v>2.1366120218579237E-2</v>
      </c>
      <c r="BH88" s="84">
        <f>SUMIF(Year_Unic,Year,Предпосылки!$L$60:$CO$60)*Period_length</f>
        <v>2.0958904109589043E-2</v>
      </c>
      <c r="BI88" s="84">
        <f>SUMIF(Year_Unic,Year,Предпосылки!$L$60:$CO$60)*Period_length</f>
        <v>2.1191780821917808E-2</v>
      </c>
      <c r="BJ88" s="84">
        <f>SUMIF(Year_Unic,Year,Предпосылки!$L$60:$CO$60)*Period_length</f>
        <v>2.1424657534246577E-2</v>
      </c>
      <c r="BK88" s="84">
        <f>SUMIF(Year_Unic,Year,Предпосылки!$L$60:$CO$60)*Period_length</f>
        <v>2.1424657534246577E-2</v>
      </c>
      <c r="BL88" s="84">
        <f>SUMIF(Year_Unic,Year,Предпосылки!$L$60:$CO$60)*Period_length</f>
        <v>2.0958904109589043E-2</v>
      </c>
      <c r="BM88" s="84">
        <f>SUMIF(Year_Unic,Year,Предпосылки!$L$60:$CO$60)*Period_length</f>
        <v>2.1191780821917808E-2</v>
      </c>
      <c r="BN88" s="84">
        <f>SUMIF(Year_Unic,Year,Предпосылки!$L$60:$CO$60)*Period_length</f>
        <v>2.1424657534246577E-2</v>
      </c>
      <c r="BO88" s="84">
        <f>SUMIF(Year_Unic,Year,Предпосылки!$L$60:$CO$60)*Period_length</f>
        <v>2.1424657534246577E-2</v>
      </c>
      <c r="BP88" s="84">
        <f>SUMIF(Year_Unic,Year,Предпосылки!$L$60:$CO$60)*Period_length</f>
        <v>2.0958904109589043E-2</v>
      </c>
      <c r="BQ88" s="84">
        <f>SUMIF(Year_Unic,Year,Предпосылки!$L$60:$CO$60)*Period_length</f>
        <v>2.1191780821917808E-2</v>
      </c>
      <c r="BR88" s="84">
        <f>SUMIF(Year_Unic,Year,Предпосылки!$L$60:$CO$60)*Period_length</f>
        <v>2.1424657534246577E-2</v>
      </c>
      <c r="BS88" s="84">
        <f>SUMIF(Year_Unic,Year,Предпосылки!$L$60:$CO$60)*Period_length</f>
        <v>2.1424657534246577E-2</v>
      </c>
      <c r="BT88" s="84">
        <f>SUMIF(Year_Unic,Year,Предпосылки!$L$60:$CO$60)*Period_length</f>
        <v>2.1133879781420766E-2</v>
      </c>
      <c r="BU88" s="84">
        <f>SUMIF(Year_Unic,Year,Предпосылки!$L$60:$CO$60)*Period_length</f>
        <v>2.1133879781420766E-2</v>
      </c>
      <c r="BV88" s="84">
        <f>SUMIF(Year_Unic,Year,Предпосылки!$L$60:$CO$60)*Period_length</f>
        <v>2.1366120218579237E-2</v>
      </c>
      <c r="BW88" s="84">
        <f>SUMIF(Year_Unic,Year,Предпосылки!$L$60:$CO$60)*Period_length</f>
        <v>2.1366120218579237E-2</v>
      </c>
      <c r="BX88" s="84">
        <f>SUMIF(Year_Unic,Year,Предпосылки!$L$60:$CO$60)*Period_length</f>
        <v>2.0958904109589043E-2</v>
      </c>
      <c r="BY88" s="84">
        <f>SUMIF(Year_Unic,Year,Предпосылки!$L$60:$CO$60)*Period_length</f>
        <v>2.1191780821917808E-2</v>
      </c>
      <c r="BZ88" s="84">
        <f>SUMIF(Year_Unic,Year,Предпосылки!$L$60:$CO$60)*Period_length</f>
        <v>2.1424657534246577E-2</v>
      </c>
      <c r="CA88" s="84">
        <f>SUMIF(Year_Unic,Year,Предпосылки!$L$60:$CO$60)*Period_length</f>
        <v>2.1424657534246577E-2</v>
      </c>
      <c r="CB88" s="84">
        <f>SUMIF(Year_Unic,Year,Предпосылки!$L$60:$CO$60)*Period_length</f>
        <v>2.0958904109589043E-2</v>
      </c>
      <c r="CC88" s="84">
        <f>SUMIF(Year_Unic,Year,Предпосылки!$L$60:$CO$60)*Period_length</f>
        <v>2.1191780821917808E-2</v>
      </c>
      <c r="CD88" s="84">
        <f>SUMIF(Year_Unic,Year,Предпосылки!$L$60:$CO$60)*Period_length</f>
        <v>2.1424657534246577E-2</v>
      </c>
      <c r="CE88" s="84">
        <f>SUMIF(Year_Unic,Year,Предпосылки!$L$60:$CO$60)*Period_length</f>
        <v>2.1424657534246577E-2</v>
      </c>
      <c r="CF88" s="84">
        <f>SUMIF(Year_Unic,Year,Предпосылки!$L$60:$CO$60)*Period_length</f>
        <v>2.0958904109589043E-2</v>
      </c>
      <c r="CG88" s="84">
        <f>SUMIF(Year_Unic,Year,Предпосылки!$L$60:$CO$60)*Period_length</f>
        <v>2.1191780821917808E-2</v>
      </c>
      <c r="CH88" s="84">
        <f>SUMIF(Year_Unic,Year,Предпосылки!$L$60:$CO$60)*Period_length</f>
        <v>2.1424657534246577E-2</v>
      </c>
      <c r="CI88" s="84">
        <f>SUMIF(Year_Unic,Year,Предпосылки!$L$60:$CO$60)*Period_length</f>
        <v>2.1424657534246577E-2</v>
      </c>
      <c r="CJ88" s="84">
        <f>SUMIF(Year_Unic,Year,Предпосылки!$L$60:$CO$60)*Period_length</f>
        <v>2.1133879781420766E-2</v>
      </c>
      <c r="CK88" s="84">
        <f>SUMIF(Year_Unic,Year,Предпосылки!$L$60:$CO$60)*Period_length</f>
        <v>2.1133879781420766E-2</v>
      </c>
      <c r="CL88" s="84">
        <f>SUMIF(Year_Unic,Year,Предпосылки!$L$60:$CO$60)*Period_length</f>
        <v>2.1366120218579237E-2</v>
      </c>
      <c r="CM88" s="84">
        <f>SUMIF(Year_Unic,Year,Предпосылки!$L$60:$CO$60)*Period_length</f>
        <v>2.1366120218579237E-2</v>
      </c>
      <c r="CN88" s="84">
        <f>SUMIF(Year_Unic,Year,Предпосылки!$L$60:$CO$60)*Period_length</f>
        <v>2.0958904109589043E-2</v>
      </c>
      <c r="CO88" s="84">
        <f>SUMIF(Year_Unic,Year,Предпосылки!$L$60:$CO$60)*Period_length</f>
        <v>2.1191780821917808E-2</v>
      </c>
    </row>
    <row r="89" spans="1:93">
      <c r="A89" s="77"/>
      <c r="B89" s="13"/>
      <c r="C89" s="21"/>
      <c r="D89" s="10"/>
      <c r="E89" s="62"/>
      <c r="F89" s="11"/>
      <c r="G89" s="11"/>
      <c r="H89" s="10"/>
      <c r="I89" s="10"/>
      <c r="J89" s="10"/>
      <c r="K89" s="10"/>
      <c r="L89" s="477"/>
      <c r="M89" s="477"/>
      <c r="N89" s="477"/>
      <c r="O89" s="477"/>
      <c r="P89" s="477"/>
      <c r="Q89" s="477"/>
      <c r="R89" s="477"/>
      <c r="S89" s="477"/>
      <c r="T89" s="477"/>
      <c r="U89" s="477"/>
      <c r="V89" s="477"/>
      <c r="W89" s="477"/>
      <c r="X89" s="477"/>
      <c r="Y89" s="477"/>
      <c r="Z89" s="477"/>
      <c r="AA89" s="477"/>
      <c r="AB89" s="477"/>
      <c r="AC89" s="477"/>
      <c r="AD89" s="477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</row>
    <row r="90" spans="1:93" ht="22.5" customHeight="1">
      <c r="A90" s="77"/>
      <c r="B90" s="5" t="s">
        <v>574</v>
      </c>
      <c r="C90" s="5"/>
      <c r="D90" s="15"/>
      <c r="E90" s="15"/>
      <c r="F90" s="31"/>
      <c r="G90" s="18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</row>
    <row r="91" spans="1:93">
      <c r="A91" s="77"/>
      <c r="B91" s="168"/>
      <c r="C91" s="169"/>
      <c r="D91" s="10"/>
      <c r="E91" s="62"/>
      <c r="F91" s="11"/>
      <c r="G91" s="11"/>
      <c r="H91" s="10"/>
      <c r="I91" s="10"/>
      <c r="J91" s="10"/>
      <c r="K91" s="1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  <c r="AP91" s="170"/>
      <c r="AQ91" s="170"/>
      <c r="AR91" s="170"/>
      <c r="AS91" s="170"/>
      <c r="AT91" s="170"/>
      <c r="AU91" s="170"/>
      <c r="AV91" s="170"/>
      <c r="AW91" s="170"/>
      <c r="AX91" s="170"/>
      <c r="AY91" s="170"/>
      <c r="AZ91" s="170"/>
      <c r="BA91" s="170"/>
      <c r="BB91" s="170"/>
      <c r="BC91" s="170"/>
      <c r="BD91" s="170"/>
      <c r="BE91" s="170"/>
      <c r="BF91" s="170"/>
      <c r="BG91" s="170"/>
      <c r="BH91" s="170"/>
      <c r="BI91" s="170"/>
      <c r="BJ91" s="170"/>
      <c r="BK91" s="170"/>
      <c r="BL91" s="170"/>
      <c r="BM91" s="170"/>
      <c r="BN91" s="170"/>
      <c r="BO91" s="170"/>
      <c r="BP91" s="170"/>
      <c r="BQ91" s="170"/>
      <c r="BR91" s="170"/>
      <c r="BS91" s="170"/>
      <c r="BT91" s="170"/>
      <c r="BU91" s="170"/>
      <c r="BV91" s="170"/>
      <c r="BW91" s="170"/>
      <c r="BX91" s="170"/>
      <c r="BY91" s="170"/>
      <c r="BZ91" s="170"/>
      <c r="CA91" s="170"/>
      <c r="CB91" s="170"/>
      <c r="CC91" s="170"/>
      <c r="CD91" s="170"/>
      <c r="CE91" s="170"/>
      <c r="CF91" s="170"/>
      <c r="CG91" s="170"/>
      <c r="CH91" s="170"/>
      <c r="CI91" s="170"/>
      <c r="CJ91" s="170"/>
      <c r="CK91" s="170"/>
      <c r="CL91" s="170"/>
      <c r="CM91" s="170"/>
      <c r="CN91" s="170"/>
      <c r="CO91" s="170"/>
    </row>
    <row r="92" spans="1:93" ht="16" thickBot="1">
      <c r="A92" s="77"/>
      <c r="B92" s="101"/>
      <c r="C92" s="12" t="s">
        <v>887</v>
      </c>
      <c r="D92" s="12"/>
      <c r="E92" s="12"/>
      <c r="F92" s="12"/>
      <c r="G92" s="362"/>
      <c r="H92" s="12"/>
      <c r="I92" s="12"/>
      <c r="J92" s="69"/>
      <c r="K92" s="69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/>
      <c r="CL92" s="103"/>
      <c r="CM92" s="103"/>
      <c r="CN92" s="103"/>
      <c r="CO92" s="103"/>
    </row>
    <row r="93" spans="1:93" s="133" customFormat="1" ht="14">
      <c r="A93" s="9"/>
      <c r="B93" s="10"/>
      <c r="C93" s="21"/>
      <c r="D93" s="10"/>
      <c r="E93" s="10"/>
      <c r="F93" s="10"/>
      <c r="G93" s="11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</row>
    <row r="94" spans="1:93" s="133" customFormat="1" ht="14">
      <c r="A94" s="9"/>
      <c r="B94" s="10"/>
      <c r="C94" s="87" t="s">
        <v>863</v>
      </c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">
      <c r="A95" s="9"/>
      <c r="B95" s="10"/>
      <c r="C95" s="21" t="str">
        <f>"Сегмент 1: " &amp; C35</f>
        <v>Сегмент 1: Объект размещения (отель)</v>
      </c>
      <c r="D95" s="10"/>
      <c r="E95" s="311" t="str">
        <f>Контр_панель!G30</f>
        <v>в проекте</v>
      </c>
      <c r="F95" s="10"/>
      <c r="G95" s="207"/>
      <c r="H95" s="10"/>
      <c r="I95" s="296">
        <f xml:space="preserve"> (E95 = "в проекте") * 1</f>
        <v>1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</row>
    <row r="96" spans="1:93" s="133" customFormat="1" ht="14">
      <c r="A96" s="9"/>
      <c r="B96" s="10"/>
      <c r="C96" s="21" t="str">
        <f>"Сегмент 2: " &amp; C36</f>
        <v>Сегмент 2: Развлекательный комплекс</v>
      </c>
      <c r="D96" s="10"/>
      <c r="E96" s="311" t="str">
        <f>Контр_панель!G31</f>
        <v>в проекте</v>
      </c>
      <c r="F96" s="10"/>
      <c r="G96" s="207"/>
      <c r="H96" s="10"/>
      <c r="I96" s="296">
        <f xml:space="preserve"> (E96 = "в проекте") * 1</f>
        <v>1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</row>
    <row r="97" spans="1:93" s="133" customFormat="1" ht="14">
      <c r="A97" s="9"/>
      <c r="B97" s="10"/>
      <c r="C97" s="21" t="str">
        <f>"Сегмент 3: " &amp; C37</f>
        <v>Сегмент 3: Крытый парк развлечений</v>
      </c>
      <c r="D97" s="10"/>
      <c r="E97" s="311" t="str">
        <f>Контр_панель!G32</f>
        <v>в проекте</v>
      </c>
      <c r="F97" s="10"/>
      <c r="G97" s="207"/>
      <c r="H97" s="10"/>
      <c r="I97" s="296">
        <f xml:space="preserve"> (E97 = "в проекте") * 1</f>
        <v>1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</row>
    <row r="98" spans="1:93" s="133" customFormat="1" ht="14">
      <c r="A98" s="9"/>
      <c r="B98" s="10"/>
      <c r="C98" s="21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133" customFormat="1" ht="14">
      <c r="A99" s="9"/>
      <c r="B99" s="10"/>
      <c r="C99" s="87" t="s">
        <v>862</v>
      </c>
      <c r="D99" s="10"/>
      <c r="E99" s="10"/>
      <c r="F99" s="10"/>
      <c r="G99" s="1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</row>
    <row r="100" spans="1:93" s="141" customFormat="1" ht="13">
      <c r="A100" s="9"/>
      <c r="B100" s="10"/>
      <c r="C100" s="21" t="str">
        <f>C95</f>
        <v>Сегмент 1: Объект размещения (отель)</v>
      </c>
      <c r="D100" s="10"/>
      <c r="E100" s="184">
        <f xml:space="preserve"> Предпосылки!E293</f>
        <v>4171044.8385369605</v>
      </c>
      <c r="F100" s="10"/>
      <c r="G100" s="11" t="str">
        <f>Monetary_Unit</f>
        <v>тыс. руб.</v>
      </c>
      <c r="H100" s="10"/>
      <c r="I100" s="309">
        <f xml:space="preserve"> E100 / SUM($E$100:$E$102)</f>
        <v>1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</row>
    <row r="101" spans="1:93" s="141" customFormat="1" ht="13">
      <c r="A101" s="9"/>
      <c r="B101" s="10"/>
      <c r="C101" s="21" t="str">
        <f t="shared" ref="C101:C102" si="1087">C96</f>
        <v>Сегмент 2: Развлекательный комплекс</v>
      </c>
      <c r="D101" s="10"/>
      <c r="E101" s="184">
        <f xml:space="preserve"> Предпосылки!E326</f>
        <v>0</v>
      </c>
      <c r="F101" s="10"/>
      <c r="G101" s="11" t="str">
        <f>Monetary_Unit</f>
        <v>тыс. руб.</v>
      </c>
      <c r="H101" s="10"/>
      <c r="I101" s="309">
        <f xml:space="preserve"> E101 / SUM($E$100:$E$102)</f>
        <v>0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</row>
    <row r="102" spans="1:93" s="141" customFormat="1" ht="13">
      <c r="A102" s="9"/>
      <c r="B102" s="10"/>
      <c r="C102" s="21" t="str">
        <f t="shared" si="1087"/>
        <v>Сегмент 3: Крытый парк развлечений</v>
      </c>
      <c r="D102" s="10"/>
      <c r="E102" s="184">
        <f xml:space="preserve"> Предпосылки!E352</f>
        <v>0</v>
      </c>
      <c r="F102" s="10"/>
      <c r="G102" s="11" t="str">
        <f>Monetary_Unit</f>
        <v>тыс. руб.</v>
      </c>
      <c r="H102" s="10"/>
      <c r="I102" s="309">
        <f xml:space="preserve"> E102 / SUM($E$100:$E$102)</f>
        <v>0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</row>
    <row r="103" spans="1:93" s="141" customFormat="1" ht="13">
      <c r="A103" s="9"/>
      <c r="B103" s="10"/>
      <c r="C103" s="21"/>
      <c r="D103" s="10"/>
      <c r="E103" s="10"/>
      <c r="F103" s="10"/>
      <c r="G103" s="11"/>
      <c r="H103" s="10"/>
      <c r="I103" s="225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</row>
    <row r="104" spans="1:93" s="141" customFormat="1" ht="13">
      <c r="A104" s="9"/>
      <c r="B104" s="10"/>
      <c r="C104" s="21" t="s">
        <v>1216</v>
      </c>
      <c r="D104" s="10"/>
      <c r="E104" s="311" t="str">
        <f xml:space="preserve"> Контр_панель!G34</f>
        <v>да</v>
      </c>
      <c r="F104" s="10"/>
      <c r="G104" s="243" t="s">
        <v>28</v>
      </c>
      <c r="H104" s="10"/>
      <c r="I104" s="309">
        <f xml:space="preserve"> IF(E104="да",I95 * I100 + I96 * I101 + I97 * I102,100%)</f>
        <v>1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</row>
    <row r="105" spans="1:93" s="141" customFormat="1" ht="12.5">
      <c r="A105" s="9"/>
      <c r="B105" s="10"/>
      <c r="C105" s="21"/>
      <c r="D105" s="10"/>
      <c r="E105" s="10"/>
      <c r="F105" s="10"/>
      <c r="G105" s="11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</row>
    <row r="106" spans="1:93" s="141" customFormat="1" ht="14">
      <c r="A106" s="9"/>
      <c r="B106" s="10"/>
      <c r="C106" s="87" t="s">
        <v>1172</v>
      </c>
      <c r="D106" s="10"/>
      <c r="E106" s="10"/>
      <c r="F106" s="10"/>
      <c r="G106" s="11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</row>
    <row r="107" spans="1:93" s="141" customFormat="1" ht="13">
      <c r="A107" s="9"/>
      <c r="B107" s="10"/>
      <c r="C107" s="21" t="str">
        <f>"Изменение затрат на " &amp; C32</f>
        <v>Изменение затрат на Транспортная инфраструктура</v>
      </c>
      <c r="D107" s="10"/>
      <c r="E107" s="310">
        <f>Контр_панель!G42</f>
        <v>0</v>
      </c>
      <c r="F107" s="10"/>
      <c r="G107" s="11" t="s">
        <v>28</v>
      </c>
      <c r="H107" s="10"/>
      <c r="I107" s="467">
        <f xml:space="preserve"> (1 + E107) * (1 + Capex_sens)</f>
        <v>1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</row>
    <row r="108" spans="1:93" s="141" customFormat="1" ht="13">
      <c r="A108" s="9"/>
      <c r="B108" s="10"/>
      <c r="C108" s="21" t="str">
        <f>"Изменение затрат на " &amp; C33</f>
        <v>Изменение затрат на Коммунальная инфраструктура</v>
      </c>
      <c r="D108" s="10"/>
      <c r="E108" s="310">
        <f>Контр_панель!G43</f>
        <v>0</v>
      </c>
      <c r="F108" s="10"/>
      <c r="G108" s="11" t="s">
        <v>28</v>
      </c>
      <c r="H108" s="10"/>
      <c r="I108" s="467">
        <f xml:space="preserve"> (1 + E108) * (1 + Capex_sens)</f>
        <v>1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</row>
    <row r="109" spans="1:93" s="141" customFormat="1" ht="13">
      <c r="A109" s="9"/>
      <c r="B109" s="10"/>
      <c r="C109" s="21" t="str">
        <f>"Изменение затрат на " &amp; C34</f>
        <v>Изменение затрат на Прочая обеспечивающая инфраструктура</v>
      </c>
      <c r="D109" s="10"/>
      <c r="E109" s="310">
        <f>Контр_панель!G44</f>
        <v>0</v>
      </c>
      <c r="F109" s="10"/>
      <c r="G109" s="11" t="s">
        <v>28</v>
      </c>
      <c r="H109" s="10"/>
      <c r="I109" s="467">
        <f xml:space="preserve"> (1 + E109) * (1 + Capex_sens)</f>
        <v>1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</row>
    <row r="110" spans="1:93" s="141" customFormat="1" ht="12.5">
      <c r="A110" s="9"/>
      <c r="B110" s="10"/>
      <c r="C110" s="21"/>
      <c r="D110" s="10"/>
      <c r="E110" s="10"/>
      <c r="F110" s="10"/>
      <c r="G110" s="11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</row>
    <row r="111" spans="1:93" s="141" customFormat="1" ht="14">
      <c r="A111" s="9"/>
      <c r="B111" s="10"/>
      <c r="C111" s="87" t="s">
        <v>1173</v>
      </c>
      <c r="D111" s="10"/>
      <c r="E111" s="10"/>
      <c r="F111" s="10"/>
      <c r="G111" s="11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</row>
    <row r="112" spans="1:93" s="141" customFormat="1" ht="13">
      <c r="A112" s="9"/>
      <c r="B112" s="10"/>
      <c r="C112" s="21" t="str">
        <f>"Изменение затрат на " &amp; C35</f>
        <v>Изменение затрат на Объект размещения (отель)</v>
      </c>
      <c r="D112" s="10"/>
      <c r="E112" s="310">
        <f>Контр_панель!G38</f>
        <v>0</v>
      </c>
      <c r="F112" s="10"/>
      <c r="G112" s="11" t="s">
        <v>28</v>
      </c>
      <c r="H112" s="10"/>
      <c r="I112" s="467">
        <f xml:space="preserve"> (1 + E112) * (1 + Capex_sens)</f>
        <v>1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</row>
    <row r="113" spans="1:93" s="141" customFormat="1" ht="13">
      <c r="A113" s="9"/>
      <c r="B113" s="10"/>
      <c r="C113" s="21" t="str">
        <f>"Изменение затрат на " &amp; C36</f>
        <v>Изменение затрат на Развлекательный комплекс</v>
      </c>
      <c r="D113" s="10"/>
      <c r="E113" s="310">
        <f>Контр_панель!G39</f>
        <v>0</v>
      </c>
      <c r="F113" s="10"/>
      <c r="G113" s="11" t="s">
        <v>28</v>
      </c>
      <c r="H113" s="10"/>
      <c r="I113" s="467">
        <f xml:space="preserve"> (1 + E113) * (1 + Capex_sens)</f>
        <v>1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</row>
    <row r="114" spans="1:93" s="141" customFormat="1" ht="13">
      <c r="A114" s="9"/>
      <c r="B114" s="10"/>
      <c r="C114" s="21" t="str">
        <f>"Изменение затрат на " &amp; C37</f>
        <v>Изменение затрат на Крытый парк развлечений</v>
      </c>
      <c r="D114" s="10"/>
      <c r="E114" s="310">
        <f>Контр_панель!G40</f>
        <v>0</v>
      </c>
      <c r="F114" s="10"/>
      <c r="G114" s="11" t="s">
        <v>28</v>
      </c>
      <c r="H114" s="10"/>
      <c r="I114" s="467">
        <f xml:space="preserve"> (1 + E114) * (1 + Capex_sens)</f>
        <v>1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</row>
    <row r="115" spans="1:93" s="141" customFormat="1" ht="12.5">
      <c r="A115" s="9"/>
      <c r="B115" s="10"/>
      <c r="C115" s="21"/>
      <c r="D115" s="10"/>
      <c r="E115" s="10"/>
      <c r="F115" s="10"/>
      <c r="G115" s="11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</row>
    <row r="116" spans="1:93" ht="15" customHeight="1">
      <c r="A116" s="10"/>
      <c r="B116" s="3"/>
      <c r="C116" s="384" t="str">
        <f>Предпосылки!C158</f>
        <v>Сегмент 0: Общая поддерживающая инфраструктура</v>
      </c>
      <c r="D116" s="273"/>
      <c r="E116" s="273"/>
      <c r="F116" s="273"/>
      <c r="G116" s="274"/>
      <c r="H116" s="273"/>
      <c r="I116" s="273"/>
      <c r="J116" s="273"/>
      <c r="K116" s="273"/>
      <c r="L116" s="273"/>
      <c r="M116" s="273"/>
      <c r="N116" s="273"/>
      <c r="O116" s="273"/>
      <c r="P116" s="273"/>
      <c r="Q116" s="273"/>
      <c r="R116" s="273"/>
      <c r="S116" s="273"/>
      <c r="T116" s="273"/>
      <c r="U116" s="273"/>
      <c r="V116" s="273"/>
      <c r="W116" s="273"/>
      <c r="X116" s="273"/>
      <c r="Y116" s="273"/>
      <c r="Z116" s="273"/>
      <c r="AA116" s="273"/>
      <c r="AB116" s="273"/>
      <c r="AC116" s="273"/>
      <c r="AD116" s="273"/>
      <c r="AE116" s="273"/>
      <c r="AF116" s="273"/>
      <c r="AG116" s="273"/>
      <c r="AH116" s="273"/>
      <c r="AI116" s="273"/>
      <c r="AJ116" s="273"/>
      <c r="AK116" s="273"/>
      <c r="AL116" s="273"/>
      <c r="AM116" s="273"/>
      <c r="AN116" s="273"/>
      <c r="AO116" s="273"/>
      <c r="AP116" s="273"/>
      <c r="AQ116" s="273"/>
      <c r="AR116" s="273"/>
      <c r="AS116" s="273"/>
      <c r="AT116" s="273"/>
      <c r="AU116" s="273"/>
      <c r="AV116" s="273"/>
      <c r="AW116" s="273"/>
      <c r="AX116" s="273"/>
      <c r="AY116" s="273"/>
      <c r="AZ116" s="273"/>
      <c r="BA116" s="273"/>
      <c r="BB116" s="273"/>
      <c r="BC116" s="273"/>
      <c r="BD116" s="273"/>
      <c r="BE116" s="273"/>
      <c r="BF116" s="273"/>
      <c r="BG116" s="273"/>
      <c r="BH116" s="273"/>
      <c r="BI116" s="273"/>
      <c r="BJ116" s="273"/>
      <c r="BK116" s="273"/>
      <c r="BL116" s="273"/>
      <c r="BM116" s="273"/>
      <c r="BN116" s="273"/>
      <c r="BO116" s="273"/>
      <c r="BP116" s="273"/>
      <c r="BQ116" s="273"/>
      <c r="BR116" s="273"/>
      <c r="BS116" s="273"/>
      <c r="BT116" s="273"/>
      <c r="BU116" s="273"/>
      <c r="BV116" s="273"/>
      <c r="BW116" s="273"/>
      <c r="BX116" s="273"/>
      <c r="BY116" s="273"/>
      <c r="BZ116" s="273"/>
      <c r="CA116" s="273"/>
      <c r="CB116" s="273"/>
      <c r="CC116" s="273"/>
      <c r="CD116" s="273"/>
      <c r="CE116" s="273"/>
      <c r="CF116" s="273"/>
      <c r="CG116" s="273"/>
      <c r="CH116" s="273"/>
      <c r="CI116" s="273"/>
      <c r="CJ116" s="273"/>
      <c r="CK116" s="273"/>
      <c r="CL116" s="273"/>
      <c r="CM116" s="273"/>
      <c r="CN116" s="273"/>
      <c r="CO116" s="273"/>
    </row>
    <row r="117" spans="1:93" s="141" customFormat="1" ht="12.5">
      <c r="A117" s="9"/>
      <c r="B117" s="10"/>
      <c r="C117" s="21"/>
      <c r="D117" s="10"/>
      <c r="E117" s="10"/>
      <c r="F117" s="10"/>
      <c r="G117" s="11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</row>
    <row r="118" spans="1:93" ht="16" thickBot="1">
      <c r="A118" s="77"/>
      <c r="B118" s="168"/>
      <c r="C118" s="12" t="s">
        <v>651</v>
      </c>
      <c r="D118" s="12"/>
      <c r="E118" s="12"/>
      <c r="F118" s="12"/>
      <c r="G118" s="362"/>
      <c r="H118" s="12"/>
      <c r="I118" s="12"/>
      <c r="J118" s="10"/>
      <c r="K118" s="10"/>
      <c r="L118" s="170"/>
      <c r="M118" s="170"/>
      <c r="N118" s="170"/>
      <c r="O118" s="170"/>
      <c r="P118" s="170"/>
      <c r="Q118" s="170"/>
      <c r="R118" s="170"/>
      <c r="S118" s="170"/>
      <c r="T118" s="170"/>
      <c r="U118" s="170"/>
      <c r="V118" s="170"/>
      <c r="W118" s="170"/>
      <c r="X118" s="170"/>
      <c r="Y118" s="170"/>
      <c r="Z118" s="170"/>
      <c r="AA118" s="170"/>
      <c r="AB118" s="170"/>
      <c r="AC118" s="170"/>
      <c r="AD118" s="170"/>
      <c r="AE118" s="170"/>
      <c r="AF118" s="170"/>
      <c r="AG118" s="170"/>
      <c r="AH118" s="170"/>
      <c r="AI118" s="170"/>
      <c r="AJ118" s="170"/>
      <c r="AK118" s="170"/>
      <c r="AL118" s="170"/>
      <c r="AM118" s="170"/>
      <c r="AN118" s="170"/>
      <c r="AO118" s="170"/>
      <c r="AP118" s="170"/>
      <c r="AQ118" s="170"/>
      <c r="AR118" s="170"/>
      <c r="AS118" s="170"/>
      <c r="AT118" s="170"/>
      <c r="AU118" s="170"/>
      <c r="AV118" s="170"/>
      <c r="AW118" s="170"/>
      <c r="AX118" s="170"/>
      <c r="AY118" s="170"/>
      <c r="AZ118" s="170"/>
      <c r="BA118" s="170"/>
      <c r="BB118" s="170"/>
      <c r="BC118" s="170"/>
      <c r="BD118" s="170"/>
      <c r="BE118" s="170"/>
      <c r="BF118" s="170"/>
      <c r="BG118" s="170"/>
      <c r="BH118" s="170"/>
      <c r="BI118" s="170"/>
      <c r="BJ118" s="170"/>
      <c r="BK118" s="170"/>
      <c r="BL118" s="170"/>
      <c r="BM118" s="170"/>
      <c r="BN118" s="170"/>
      <c r="BO118" s="170"/>
      <c r="BP118" s="170"/>
      <c r="BQ118" s="170"/>
      <c r="BR118" s="170"/>
      <c r="BS118" s="170"/>
      <c r="BT118" s="170"/>
      <c r="BU118" s="170"/>
      <c r="BV118" s="170"/>
      <c r="BW118" s="170"/>
      <c r="BX118" s="170"/>
      <c r="BY118" s="170"/>
      <c r="BZ118" s="170"/>
      <c r="CA118" s="170"/>
      <c r="CB118" s="170"/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  <c r="CN118" s="170"/>
      <c r="CO118" s="170"/>
    </row>
    <row r="119" spans="1:93">
      <c r="A119" s="77"/>
      <c r="B119" s="168"/>
      <c r="C119" s="169"/>
      <c r="D119" s="10"/>
      <c r="E119" s="62"/>
      <c r="F119" s="11"/>
      <c r="G119" s="11"/>
      <c r="H119" s="10"/>
      <c r="I119" s="10"/>
      <c r="J119" s="10"/>
      <c r="K119" s="1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  <c r="AP119" s="170"/>
      <c r="AQ119" s="170"/>
      <c r="AR119" s="170"/>
      <c r="AS119" s="170"/>
      <c r="AT119" s="170"/>
      <c r="AU119" s="170"/>
      <c r="AV119" s="170"/>
      <c r="AW119" s="170"/>
      <c r="AX119" s="170"/>
      <c r="AY119" s="170"/>
      <c r="AZ119" s="170"/>
      <c r="BA119" s="170"/>
      <c r="BB119" s="170"/>
      <c r="BC119" s="170"/>
      <c r="BD119" s="170"/>
      <c r="BE119" s="170"/>
      <c r="BF119" s="170"/>
      <c r="BG119" s="170"/>
      <c r="BH119" s="170"/>
      <c r="BI119" s="170"/>
      <c r="BJ119" s="170"/>
      <c r="BK119" s="170"/>
      <c r="BL119" s="170"/>
      <c r="BM119" s="170"/>
      <c r="BN119" s="170"/>
      <c r="BO119" s="170"/>
      <c r="BP119" s="170"/>
      <c r="BQ119" s="170"/>
      <c r="BR119" s="170"/>
      <c r="BS119" s="170"/>
      <c r="BT119" s="170"/>
      <c r="BU119" s="170"/>
      <c r="BV119" s="170"/>
      <c r="BW119" s="170"/>
      <c r="BX119" s="170"/>
      <c r="BY119" s="170"/>
      <c r="BZ119" s="170"/>
      <c r="CA119" s="170"/>
      <c r="CB119" s="17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  <c r="CN119" s="170"/>
      <c r="CO119" s="170"/>
    </row>
    <row r="120" spans="1:93">
      <c r="A120" s="77"/>
      <c r="B120" s="168"/>
      <c r="C120" s="87" t="str">
        <f xml:space="preserve"> "Затраты на создание объектов " &amp; C32</f>
        <v>Затраты на создание объектов Транспортная инфраструктура</v>
      </c>
      <c r="D120" s="10"/>
      <c r="E120" s="62"/>
      <c r="F120" s="11"/>
      <c r="G120" s="11"/>
      <c r="H120" s="10"/>
      <c r="I120" s="10"/>
      <c r="J120" s="10"/>
      <c r="K120" s="1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0"/>
      <c r="BD120" s="170"/>
      <c r="BE120" s="170"/>
      <c r="BF120" s="170"/>
      <c r="BG120" s="170"/>
      <c r="BH120" s="170"/>
      <c r="BI120" s="170"/>
      <c r="BJ120" s="170"/>
      <c r="BK120" s="170"/>
      <c r="BL120" s="170"/>
      <c r="BM120" s="170"/>
      <c r="BN120" s="170"/>
      <c r="BO120" s="170"/>
      <c r="BP120" s="170"/>
      <c r="BQ120" s="170"/>
      <c r="BR120" s="170"/>
      <c r="BS120" s="170"/>
      <c r="BT120" s="170"/>
      <c r="BU120" s="170"/>
      <c r="BV120" s="170"/>
      <c r="BW120" s="170"/>
      <c r="BX120" s="170"/>
      <c r="BY120" s="170"/>
      <c r="BZ120" s="170"/>
      <c r="CA120" s="170"/>
      <c r="CB120" s="170"/>
      <c r="CC120" s="170"/>
      <c r="CD120" s="170"/>
      <c r="CE120" s="170"/>
      <c r="CF120" s="170"/>
      <c r="CG120" s="170"/>
      <c r="CH120" s="170"/>
      <c r="CI120" s="170"/>
      <c r="CJ120" s="170"/>
      <c r="CK120" s="170"/>
      <c r="CL120" s="170"/>
      <c r="CM120" s="170"/>
      <c r="CN120" s="170"/>
      <c r="CO120" s="170"/>
    </row>
    <row r="121" spans="1:93">
      <c r="A121" s="77"/>
      <c r="B121" s="168"/>
      <c r="C121" s="17" t="s">
        <v>632</v>
      </c>
      <c r="D121" s="10"/>
      <c r="E121" s="184">
        <f xml:space="preserve"> Предпосылки!E177 * $I$104 * $I$107</f>
        <v>918.64</v>
      </c>
      <c r="F121" s="11"/>
      <c r="G121" s="11" t="str">
        <f>Monetary_Unit</f>
        <v>тыс. руб.</v>
      </c>
      <c r="H121" s="10"/>
      <c r="I121" s="10"/>
      <c r="J121" s="10"/>
      <c r="K121" s="10"/>
      <c r="L121" s="171">
        <f>Предпосылки!L184</f>
        <v>0.25</v>
      </c>
      <c r="M121" s="171">
        <f>Предпосылки!M184</f>
        <v>0.25</v>
      </c>
      <c r="N121" s="171">
        <f>Предпосылки!N184</f>
        <v>0.25</v>
      </c>
      <c r="O121" s="171">
        <f>Предпосылки!O184</f>
        <v>0.25</v>
      </c>
      <c r="P121" s="171">
        <f>Предпосылки!P184</f>
        <v>0</v>
      </c>
      <c r="Q121" s="171">
        <f>Предпосылки!Q184</f>
        <v>0</v>
      </c>
      <c r="R121" s="171">
        <f>Предпосылки!R184</f>
        <v>0</v>
      </c>
      <c r="S121" s="171">
        <f>Предпосылки!S184</f>
        <v>0</v>
      </c>
      <c r="T121" s="171">
        <f>Предпосылки!T184</f>
        <v>0</v>
      </c>
      <c r="U121" s="171">
        <f>Предпосылки!U184</f>
        <v>0</v>
      </c>
      <c r="V121" s="171">
        <f>Предпосылки!V184</f>
        <v>0</v>
      </c>
      <c r="W121" s="171">
        <f>Предпосылки!W184</f>
        <v>0</v>
      </c>
      <c r="X121" s="171">
        <f>Предпосылки!X184</f>
        <v>0</v>
      </c>
      <c r="Y121" s="171">
        <f>Предпосылки!Y184</f>
        <v>0</v>
      </c>
      <c r="Z121" s="171">
        <f>Предпосылки!Z184</f>
        <v>0</v>
      </c>
      <c r="AA121" s="171">
        <f>Предпосылки!AA184</f>
        <v>0</v>
      </c>
      <c r="AB121" s="171">
        <f>Предпосылки!AB184</f>
        <v>0</v>
      </c>
      <c r="AC121" s="171">
        <f>Предпосылки!AC184</f>
        <v>0</v>
      </c>
      <c r="AD121" s="171">
        <f>Предпосылки!AD184</f>
        <v>0</v>
      </c>
      <c r="AE121" s="171">
        <f>Предпосылки!AE184</f>
        <v>0</v>
      </c>
      <c r="AF121" s="171">
        <f>Предпосылки!AF184</f>
        <v>0</v>
      </c>
      <c r="AG121" s="171">
        <f>Предпосылки!AG184</f>
        <v>0</v>
      </c>
      <c r="AH121" s="171">
        <f>Предпосылки!AH184</f>
        <v>0</v>
      </c>
      <c r="AI121" s="171">
        <f>Предпосылки!AI184</f>
        <v>0</v>
      </c>
      <c r="AJ121" s="171">
        <f>Предпосылки!AJ184</f>
        <v>0</v>
      </c>
      <c r="AK121" s="171">
        <f>Предпосылки!AK184</f>
        <v>0</v>
      </c>
      <c r="AL121" s="171">
        <f>Предпосылки!AL184</f>
        <v>0</v>
      </c>
      <c r="AM121" s="171">
        <f>Предпосылки!AM184</f>
        <v>0</v>
      </c>
      <c r="AN121" s="171">
        <f>Предпосылки!AN184</f>
        <v>0</v>
      </c>
      <c r="AO121" s="171">
        <f>Предпосылки!AO184</f>
        <v>0</v>
      </c>
      <c r="AP121" s="171">
        <f>Предпосылки!AP184</f>
        <v>0</v>
      </c>
      <c r="AQ121" s="171">
        <f>Предпосылки!AQ184</f>
        <v>0</v>
      </c>
      <c r="AR121" s="171">
        <f>Предпосылки!AR184</f>
        <v>0</v>
      </c>
      <c r="AS121" s="171">
        <f>Предпосылки!AS184</f>
        <v>0</v>
      </c>
      <c r="AT121" s="171">
        <f>Предпосылки!AT184</f>
        <v>0</v>
      </c>
      <c r="AU121" s="171">
        <f>Предпосылки!AU184</f>
        <v>0</v>
      </c>
      <c r="AV121" s="171">
        <f>Предпосылки!AV184</f>
        <v>0</v>
      </c>
      <c r="AW121" s="171">
        <f>Предпосылки!AW184</f>
        <v>0</v>
      </c>
      <c r="AX121" s="171">
        <f>Предпосылки!AX184</f>
        <v>0</v>
      </c>
      <c r="AY121" s="171">
        <f>Предпосылки!AY184</f>
        <v>0</v>
      </c>
      <c r="AZ121" s="171">
        <f>Предпосылки!AZ184</f>
        <v>0</v>
      </c>
      <c r="BA121" s="171">
        <f>Предпосылки!BA184</f>
        <v>0</v>
      </c>
      <c r="BB121" s="171">
        <f>Предпосылки!BB184</f>
        <v>0</v>
      </c>
      <c r="BC121" s="171">
        <f>Предпосылки!BC184</f>
        <v>0</v>
      </c>
      <c r="BD121" s="171">
        <f>Предпосылки!BD184</f>
        <v>0</v>
      </c>
      <c r="BE121" s="171">
        <f>Предпосылки!BE184</f>
        <v>0</v>
      </c>
      <c r="BF121" s="171">
        <f>Предпосылки!BF184</f>
        <v>0</v>
      </c>
      <c r="BG121" s="171">
        <f>Предпосылки!BG184</f>
        <v>0</v>
      </c>
      <c r="BH121" s="171">
        <f>Предпосылки!BH184</f>
        <v>0</v>
      </c>
      <c r="BI121" s="171">
        <f>Предпосылки!BI184</f>
        <v>0</v>
      </c>
      <c r="BJ121" s="171">
        <f>Предпосылки!BJ184</f>
        <v>0</v>
      </c>
      <c r="BK121" s="171">
        <f>Предпосылки!BK184</f>
        <v>0</v>
      </c>
      <c r="BL121" s="171">
        <f>Предпосылки!BL184</f>
        <v>0</v>
      </c>
      <c r="BM121" s="171">
        <f>Предпосылки!BM184</f>
        <v>0</v>
      </c>
      <c r="BN121" s="171">
        <f>Предпосылки!BN184</f>
        <v>0</v>
      </c>
      <c r="BO121" s="171">
        <f>Предпосылки!BO184</f>
        <v>0</v>
      </c>
      <c r="BP121" s="171">
        <f>Предпосылки!BP184</f>
        <v>0</v>
      </c>
      <c r="BQ121" s="171">
        <f>Предпосылки!BQ184</f>
        <v>0</v>
      </c>
      <c r="BR121" s="171">
        <f>Предпосылки!BR184</f>
        <v>0</v>
      </c>
      <c r="BS121" s="171">
        <f>Предпосылки!BS184</f>
        <v>0</v>
      </c>
      <c r="BT121" s="171">
        <f>Предпосылки!BT184</f>
        <v>0</v>
      </c>
      <c r="BU121" s="171">
        <f>Предпосылки!BU184</f>
        <v>0</v>
      </c>
      <c r="BV121" s="171">
        <f>Предпосылки!BV184</f>
        <v>0</v>
      </c>
      <c r="BW121" s="171">
        <f>Предпосылки!BW184</f>
        <v>0</v>
      </c>
      <c r="BX121" s="171">
        <f>Предпосылки!BX184</f>
        <v>0</v>
      </c>
      <c r="BY121" s="171">
        <f>Предпосылки!BY184</f>
        <v>0</v>
      </c>
      <c r="BZ121" s="171">
        <f>Предпосылки!BZ184</f>
        <v>0</v>
      </c>
      <c r="CA121" s="171">
        <f>Предпосылки!CA184</f>
        <v>0</v>
      </c>
      <c r="CB121" s="171">
        <f>Предпосылки!CB184</f>
        <v>0</v>
      </c>
      <c r="CC121" s="171">
        <f>Предпосылки!CC184</f>
        <v>0</v>
      </c>
      <c r="CD121" s="171">
        <f>Предпосылки!CD184</f>
        <v>0</v>
      </c>
      <c r="CE121" s="171">
        <f>Предпосылки!CE184</f>
        <v>0</v>
      </c>
      <c r="CF121" s="171">
        <f>Предпосылки!CF184</f>
        <v>0</v>
      </c>
      <c r="CG121" s="171">
        <f>Предпосылки!CG184</f>
        <v>0</v>
      </c>
      <c r="CH121" s="171">
        <f>Предпосылки!CH184</f>
        <v>0</v>
      </c>
      <c r="CI121" s="171">
        <f>Предпосылки!CI184</f>
        <v>0</v>
      </c>
      <c r="CJ121" s="171">
        <f>Предпосылки!CJ184</f>
        <v>0</v>
      </c>
      <c r="CK121" s="171">
        <f>Предпосылки!CK184</f>
        <v>0</v>
      </c>
      <c r="CL121" s="171">
        <f>Предпосылки!CL184</f>
        <v>0</v>
      </c>
      <c r="CM121" s="171">
        <f>Предпосылки!CM184</f>
        <v>0</v>
      </c>
      <c r="CN121" s="171">
        <f>Предпосылки!CN184</f>
        <v>0</v>
      </c>
      <c r="CO121" s="171">
        <f>Предпосылки!CO184</f>
        <v>0</v>
      </c>
    </row>
    <row r="122" spans="1:93">
      <c r="A122" s="77"/>
      <c r="B122" s="168"/>
      <c r="C122" s="17" t="s">
        <v>634</v>
      </c>
      <c r="D122" s="10"/>
      <c r="E122" s="184">
        <f xml:space="preserve"> Предпосылки!E178 * $I$104 * $I$107</f>
        <v>0</v>
      </c>
      <c r="F122" s="11"/>
      <c r="G122" s="11" t="str">
        <f>Monetary_Unit</f>
        <v>тыс. руб.</v>
      </c>
      <c r="H122" s="10"/>
      <c r="I122" s="10"/>
      <c r="J122" s="10"/>
      <c r="K122" s="10"/>
      <c r="L122" s="171">
        <f>Предпосылки!L185</f>
        <v>0.25</v>
      </c>
      <c r="M122" s="171">
        <f>Предпосылки!M185</f>
        <v>0.25</v>
      </c>
      <c r="N122" s="171">
        <f>Предпосылки!N185</f>
        <v>0.25</v>
      </c>
      <c r="O122" s="171">
        <f>Предпосылки!O185</f>
        <v>0.25</v>
      </c>
      <c r="P122" s="171">
        <f>Предпосылки!P185</f>
        <v>0</v>
      </c>
      <c r="Q122" s="171">
        <f>Предпосылки!Q185</f>
        <v>0</v>
      </c>
      <c r="R122" s="171">
        <f>Предпосылки!R185</f>
        <v>0</v>
      </c>
      <c r="S122" s="171">
        <f>Предпосылки!S185</f>
        <v>0</v>
      </c>
      <c r="T122" s="171">
        <f>Предпосылки!T185</f>
        <v>0</v>
      </c>
      <c r="U122" s="171">
        <f>Предпосылки!U185</f>
        <v>0</v>
      </c>
      <c r="V122" s="171">
        <f>Предпосылки!V185</f>
        <v>0</v>
      </c>
      <c r="W122" s="171">
        <f>Предпосылки!W185</f>
        <v>0</v>
      </c>
      <c r="X122" s="171">
        <f>Предпосылки!X185</f>
        <v>0</v>
      </c>
      <c r="Y122" s="171">
        <f>Предпосылки!Y185</f>
        <v>0</v>
      </c>
      <c r="Z122" s="171">
        <f>Предпосылки!Z185</f>
        <v>0</v>
      </c>
      <c r="AA122" s="171">
        <f>Предпосылки!AA185</f>
        <v>0</v>
      </c>
      <c r="AB122" s="171">
        <f>Предпосылки!AB185</f>
        <v>0</v>
      </c>
      <c r="AC122" s="171">
        <f>Предпосылки!AC185</f>
        <v>0</v>
      </c>
      <c r="AD122" s="171">
        <f>Предпосылки!AD185</f>
        <v>0</v>
      </c>
      <c r="AE122" s="171">
        <f>Предпосылки!AE185</f>
        <v>0</v>
      </c>
      <c r="AF122" s="171">
        <f>Предпосылки!AF185</f>
        <v>0</v>
      </c>
      <c r="AG122" s="171">
        <f>Предпосылки!AG185</f>
        <v>0</v>
      </c>
      <c r="AH122" s="171">
        <f>Предпосылки!AH185</f>
        <v>0</v>
      </c>
      <c r="AI122" s="171">
        <f>Предпосылки!AI185</f>
        <v>0</v>
      </c>
      <c r="AJ122" s="171">
        <f>Предпосылки!AJ185</f>
        <v>0</v>
      </c>
      <c r="AK122" s="171">
        <f>Предпосылки!AK185</f>
        <v>0</v>
      </c>
      <c r="AL122" s="171">
        <f>Предпосылки!AL185</f>
        <v>0</v>
      </c>
      <c r="AM122" s="171">
        <f>Предпосылки!AM185</f>
        <v>0</v>
      </c>
      <c r="AN122" s="171">
        <f>Предпосылки!AN185</f>
        <v>0</v>
      </c>
      <c r="AO122" s="171">
        <f>Предпосылки!AO185</f>
        <v>0</v>
      </c>
      <c r="AP122" s="171">
        <f>Предпосылки!AP185</f>
        <v>0</v>
      </c>
      <c r="AQ122" s="171">
        <f>Предпосылки!AQ185</f>
        <v>0</v>
      </c>
      <c r="AR122" s="171">
        <f>Предпосылки!AR185</f>
        <v>0</v>
      </c>
      <c r="AS122" s="171">
        <f>Предпосылки!AS185</f>
        <v>0</v>
      </c>
      <c r="AT122" s="171">
        <f>Предпосылки!AT185</f>
        <v>0</v>
      </c>
      <c r="AU122" s="171">
        <f>Предпосылки!AU185</f>
        <v>0</v>
      </c>
      <c r="AV122" s="171">
        <f>Предпосылки!AV185</f>
        <v>0</v>
      </c>
      <c r="AW122" s="171">
        <f>Предпосылки!AW185</f>
        <v>0</v>
      </c>
      <c r="AX122" s="171">
        <f>Предпосылки!AX185</f>
        <v>0</v>
      </c>
      <c r="AY122" s="171">
        <f>Предпосылки!AY185</f>
        <v>0</v>
      </c>
      <c r="AZ122" s="171">
        <f>Предпосылки!AZ185</f>
        <v>0</v>
      </c>
      <c r="BA122" s="171">
        <f>Предпосылки!BA185</f>
        <v>0</v>
      </c>
      <c r="BB122" s="171">
        <f>Предпосылки!BB185</f>
        <v>0</v>
      </c>
      <c r="BC122" s="171">
        <f>Предпосылки!BC185</f>
        <v>0</v>
      </c>
      <c r="BD122" s="171">
        <f>Предпосылки!BD185</f>
        <v>0</v>
      </c>
      <c r="BE122" s="171">
        <f>Предпосылки!BE185</f>
        <v>0</v>
      </c>
      <c r="BF122" s="171">
        <f>Предпосылки!BF185</f>
        <v>0</v>
      </c>
      <c r="BG122" s="171">
        <f>Предпосылки!BG185</f>
        <v>0</v>
      </c>
      <c r="BH122" s="171">
        <f>Предпосылки!BH185</f>
        <v>0</v>
      </c>
      <c r="BI122" s="171">
        <f>Предпосылки!BI185</f>
        <v>0</v>
      </c>
      <c r="BJ122" s="171">
        <f>Предпосылки!BJ185</f>
        <v>0</v>
      </c>
      <c r="BK122" s="171">
        <f>Предпосылки!BK185</f>
        <v>0</v>
      </c>
      <c r="BL122" s="171">
        <f>Предпосылки!BL185</f>
        <v>0</v>
      </c>
      <c r="BM122" s="171">
        <f>Предпосылки!BM185</f>
        <v>0</v>
      </c>
      <c r="BN122" s="171">
        <f>Предпосылки!BN185</f>
        <v>0</v>
      </c>
      <c r="BO122" s="171">
        <f>Предпосылки!BO185</f>
        <v>0</v>
      </c>
      <c r="BP122" s="171">
        <f>Предпосылки!BP185</f>
        <v>0</v>
      </c>
      <c r="BQ122" s="171">
        <f>Предпосылки!BQ185</f>
        <v>0</v>
      </c>
      <c r="BR122" s="171">
        <f>Предпосылки!BR185</f>
        <v>0</v>
      </c>
      <c r="BS122" s="171">
        <f>Предпосылки!BS185</f>
        <v>0</v>
      </c>
      <c r="BT122" s="171">
        <f>Предпосылки!BT185</f>
        <v>0</v>
      </c>
      <c r="BU122" s="171">
        <f>Предпосылки!BU185</f>
        <v>0</v>
      </c>
      <c r="BV122" s="171">
        <f>Предпосылки!BV185</f>
        <v>0</v>
      </c>
      <c r="BW122" s="171">
        <f>Предпосылки!BW185</f>
        <v>0</v>
      </c>
      <c r="BX122" s="171">
        <f>Предпосылки!BX185</f>
        <v>0</v>
      </c>
      <c r="BY122" s="171">
        <f>Предпосылки!BY185</f>
        <v>0</v>
      </c>
      <c r="BZ122" s="171">
        <f>Предпосылки!BZ185</f>
        <v>0</v>
      </c>
      <c r="CA122" s="171">
        <f>Предпосылки!CA185</f>
        <v>0</v>
      </c>
      <c r="CB122" s="171">
        <f>Предпосылки!CB185</f>
        <v>0</v>
      </c>
      <c r="CC122" s="171">
        <f>Предпосылки!CC185</f>
        <v>0</v>
      </c>
      <c r="CD122" s="171">
        <f>Предпосылки!CD185</f>
        <v>0</v>
      </c>
      <c r="CE122" s="171">
        <f>Предпосылки!CE185</f>
        <v>0</v>
      </c>
      <c r="CF122" s="171">
        <f>Предпосылки!CF185</f>
        <v>0</v>
      </c>
      <c r="CG122" s="171">
        <f>Предпосылки!CG185</f>
        <v>0</v>
      </c>
      <c r="CH122" s="171">
        <f>Предпосылки!CH185</f>
        <v>0</v>
      </c>
      <c r="CI122" s="171">
        <f>Предпосылки!CI185</f>
        <v>0</v>
      </c>
      <c r="CJ122" s="171">
        <f>Предпосылки!CJ185</f>
        <v>0</v>
      </c>
      <c r="CK122" s="171">
        <f>Предпосылки!CK185</f>
        <v>0</v>
      </c>
      <c r="CL122" s="171">
        <f>Предпосылки!CL185</f>
        <v>0</v>
      </c>
      <c r="CM122" s="171">
        <f>Предпосылки!CM185</f>
        <v>0</v>
      </c>
      <c r="CN122" s="171">
        <f>Предпосылки!CN185</f>
        <v>0</v>
      </c>
      <c r="CO122" s="171">
        <f>Предпосылки!CO185</f>
        <v>0</v>
      </c>
    </row>
    <row r="123" spans="1:93">
      <c r="A123" s="77"/>
      <c r="B123" s="168"/>
      <c r="C123" s="17" t="s">
        <v>848</v>
      </c>
      <c r="D123" s="10"/>
      <c r="E123" s="184">
        <f xml:space="preserve"> Предпосылки!E179 * $I$104 * $I$107</f>
        <v>22966</v>
      </c>
      <c r="F123" s="11"/>
      <c r="G123" s="11" t="str">
        <f>Monetary_Unit</f>
        <v>тыс. руб.</v>
      </c>
      <c r="H123" s="10"/>
      <c r="I123" s="10"/>
      <c r="J123" s="10"/>
      <c r="K123" s="10"/>
      <c r="L123" s="171">
        <f>Предпосылки!L186</f>
        <v>0</v>
      </c>
      <c r="M123" s="171">
        <f>Предпосылки!M186</f>
        <v>0</v>
      </c>
      <c r="N123" s="171">
        <f>Предпосылки!N186</f>
        <v>0</v>
      </c>
      <c r="O123" s="171">
        <f>Предпосылки!O186</f>
        <v>0</v>
      </c>
      <c r="P123" s="171">
        <f>Предпосылки!P186</f>
        <v>7.6923076923076927E-2</v>
      </c>
      <c r="Q123" s="171">
        <f>Предпосылки!Q186</f>
        <v>7.6923076923076927E-2</v>
      </c>
      <c r="R123" s="171">
        <f>Предпосылки!R186</f>
        <v>7.6923076923076927E-2</v>
      </c>
      <c r="S123" s="171">
        <f>Предпосылки!S186</f>
        <v>7.6923076923076913E-2</v>
      </c>
      <c r="T123" s="171">
        <f>Предпосылки!T186</f>
        <v>7.6923076923076927E-2</v>
      </c>
      <c r="U123" s="171">
        <f>Предпосылки!U186</f>
        <v>7.6923076923076927E-2</v>
      </c>
      <c r="V123" s="171">
        <f>Предпосылки!V186</f>
        <v>7.6923076923076913E-2</v>
      </c>
      <c r="W123" s="171">
        <f>Предпосылки!W186</f>
        <v>7.6923076923076927E-2</v>
      </c>
      <c r="X123" s="171">
        <f>Предпосылки!X186</f>
        <v>7.6923076923076913E-2</v>
      </c>
      <c r="Y123" s="171">
        <f>Предпосылки!Y186</f>
        <v>7.6923076923076927E-2</v>
      </c>
      <c r="Z123" s="171">
        <f>Предпосылки!Z186</f>
        <v>7.6923076923076941E-2</v>
      </c>
      <c r="AA123" s="171">
        <f>Предпосылки!AA186</f>
        <v>7.6923076923076927E-2</v>
      </c>
      <c r="AB123" s="171">
        <f>Предпосылки!AB186</f>
        <v>7.6923076923076872E-2</v>
      </c>
      <c r="AC123" s="171">
        <f>Предпосылки!AC186</f>
        <v>0</v>
      </c>
      <c r="AD123" s="171">
        <f>Предпосылки!AD186</f>
        <v>0</v>
      </c>
      <c r="AE123" s="171">
        <f>Предпосылки!AE186</f>
        <v>0</v>
      </c>
      <c r="AF123" s="171">
        <f>Предпосылки!AF186</f>
        <v>0</v>
      </c>
      <c r="AG123" s="171">
        <f>Предпосылки!AG186</f>
        <v>0</v>
      </c>
      <c r="AH123" s="171">
        <f>Предпосылки!AH186</f>
        <v>0</v>
      </c>
      <c r="AI123" s="171">
        <f>Предпосылки!AI186</f>
        <v>0</v>
      </c>
      <c r="AJ123" s="171">
        <f>Предпосылки!AJ186</f>
        <v>0</v>
      </c>
      <c r="AK123" s="171">
        <f>Предпосылки!AK186</f>
        <v>0</v>
      </c>
      <c r="AL123" s="171">
        <f>Предпосылки!AL186</f>
        <v>0</v>
      </c>
      <c r="AM123" s="171">
        <f>Предпосылки!AM186</f>
        <v>0</v>
      </c>
      <c r="AN123" s="171">
        <f>Предпосылки!AN186</f>
        <v>0</v>
      </c>
      <c r="AO123" s="171">
        <f>Предпосылки!AO186</f>
        <v>0</v>
      </c>
      <c r="AP123" s="171">
        <f>Предпосылки!AP186</f>
        <v>0</v>
      </c>
      <c r="AQ123" s="171">
        <f>Предпосылки!AQ186</f>
        <v>0</v>
      </c>
      <c r="AR123" s="171">
        <f>Предпосылки!AR186</f>
        <v>0</v>
      </c>
      <c r="AS123" s="171">
        <f>Предпосылки!AS186</f>
        <v>0</v>
      </c>
      <c r="AT123" s="171">
        <f>Предпосылки!AT186</f>
        <v>0</v>
      </c>
      <c r="AU123" s="171">
        <f>Предпосылки!AU186</f>
        <v>0</v>
      </c>
      <c r="AV123" s="171">
        <f>Предпосылки!AV186</f>
        <v>0</v>
      </c>
      <c r="AW123" s="171">
        <f>Предпосылки!AW186</f>
        <v>0</v>
      </c>
      <c r="AX123" s="171">
        <f>Предпосылки!AX186</f>
        <v>0</v>
      </c>
      <c r="AY123" s="171">
        <f>Предпосылки!AY186</f>
        <v>0</v>
      </c>
      <c r="AZ123" s="171">
        <f>Предпосылки!AZ186</f>
        <v>0</v>
      </c>
      <c r="BA123" s="171">
        <f>Предпосылки!BA186</f>
        <v>0</v>
      </c>
      <c r="BB123" s="171">
        <f>Предпосылки!BB186</f>
        <v>0</v>
      </c>
      <c r="BC123" s="171">
        <f>Предпосылки!BC186</f>
        <v>0</v>
      </c>
      <c r="BD123" s="171">
        <f>Предпосылки!BD186</f>
        <v>0</v>
      </c>
      <c r="BE123" s="171">
        <f>Предпосылки!BE186</f>
        <v>0</v>
      </c>
      <c r="BF123" s="171">
        <f>Предпосылки!BF186</f>
        <v>0</v>
      </c>
      <c r="BG123" s="171">
        <f>Предпосылки!BG186</f>
        <v>0</v>
      </c>
      <c r="BH123" s="171">
        <f>Предпосылки!BH186</f>
        <v>0</v>
      </c>
      <c r="BI123" s="171">
        <f>Предпосылки!BI186</f>
        <v>0</v>
      </c>
      <c r="BJ123" s="171">
        <f>Предпосылки!BJ186</f>
        <v>0</v>
      </c>
      <c r="BK123" s="171">
        <f>Предпосылки!BK186</f>
        <v>0</v>
      </c>
      <c r="BL123" s="171">
        <f>Предпосылки!BL186</f>
        <v>0</v>
      </c>
      <c r="BM123" s="171">
        <f>Предпосылки!BM186</f>
        <v>0</v>
      </c>
      <c r="BN123" s="171">
        <f>Предпосылки!BN186</f>
        <v>0</v>
      </c>
      <c r="BO123" s="171">
        <f>Предпосылки!BO186</f>
        <v>0</v>
      </c>
      <c r="BP123" s="171">
        <f>Предпосылки!BP186</f>
        <v>0</v>
      </c>
      <c r="BQ123" s="171">
        <f>Предпосылки!BQ186</f>
        <v>0</v>
      </c>
      <c r="BR123" s="171">
        <f>Предпосылки!BR186</f>
        <v>0</v>
      </c>
      <c r="BS123" s="171">
        <f>Предпосылки!BS186</f>
        <v>0</v>
      </c>
      <c r="BT123" s="171">
        <f>Предпосылки!BT186</f>
        <v>0</v>
      </c>
      <c r="BU123" s="171">
        <f>Предпосылки!BU186</f>
        <v>0</v>
      </c>
      <c r="BV123" s="171">
        <f>Предпосылки!BV186</f>
        <v>0</v>
      </c>
      <c r="BW123" s="171">
        <f>Предпосылки!BW186</f>
        <v>0</v>
      </c>
      <c r="BX123" s="171">
        <f>Предпосылки!BX186</f>
        <v>0</v>
      </c>
      <c r="BY123" s="171">
        <f>Предпосылки!BY186</f>
        <v>0</v>
      </c>
      <c r="BZ123" s="171">
        <f>Предпосылки!BZ186</f>
        <v>0</v>
      </c>
      <c r="CA123" s="171">
        <f>Предпосылки!CA186</f>
        <v>0</v>
      </c>
      <c r="CB123" s="171">
        <f>Предпосылки!CB186</f>
        <v>0</v>
      </c>
      <c r="CC123" s="171">
        <f>Предпосылки!CC186</f>
        <v>0</v>
      </c>
      <c r="CD123" s="171">
        <f>Предпосылки!CD186</f>
        <v>0</v>
      </c>
      <c r="CE123" s="171">
        <f>Предпосылки!CE186</f>
        <v>0</v>
      </c>
      <c r="CF123" s="171">
        <f>Предпосылки!CF186</f>
        <v>0</v>
      </c>
      <c r="CG123" s="171">
        <f>Предпосылки!CG186</f>
        <v>0</v>
      </c>
      <c r="CH123" s="171">
        <f>Предпосылки!CH186</f>
        <v>0</v>
      </c>
      <c r="CI123" s="171">
        <f>Предпосылки!CI186</f>
        <v>0</v>
      </c>
      <c r="CJ123" s="171">
        <f>Предпосылки!CJ186</f>
        <v>0</v>
      </c>
      <c r="CK123" s="171">
        <f>Предпосылки!CK186</f>
        <v>0</v>
      </c>
      <c r="CL123" s="171">
        <f>Предпосылки!CL186</f>
        <v>0</v>
      </c>
      <c r="CM123" s="171">
        <f>Предпосылки!CM186</f>
        <v>0</v>
      </c>
      <c r="CN123" s="171">
        <f>Предпосылки!CN186</f>
        <v>0</v>
      </c>
      <c r="CO123" s="171">
        <f>Предпосылки!CO186</f>
        <v>0</v>
      </c>
    </row>
    <row r="124" spans="1:93">
      <c r="A124" s="77"/>
      <c r="B124" s="168"/>
      <c r="C124" s="17" t="s">
        <v>824</v>
      </c>
      <c r="D124" s="10"/>
      <c r="E124" s="232">
        <f xml:space="preserve"> Предпосылки!E174</f>
        <v>0.03</v>
      </c>
      <c r="F124" s="11"/>
      <c r="G124" s="11" t="s">
        <v>627</v>
      </c>
      <c r="H124" s="10"/>
      <c r="I124" s="10"/>
      <c r="J124" s="10"/>
      <c r="K124" s="1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  <c r="V124" s="170"/>
      <c r="W124" s="170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  <c r="AI124" s="170"/>
      <c r="AJ124" s="170"/>
      <c r="AK124" s="170"/>
      <c r="AL124" s="170"/>
      <c r="AM124" s="170"/>
      <c r="AN124" s="170"/>
      <c r="AO124" s="170"/>
      <c r="AP124" s="170"/>
      <c r="AQ124" s="170"/>
      <c r="AR124" s="170"/>
      <c r="AS124" s="170"/>
      <c r="AT124" s="170"/>
      <c r="AU124" s="170"/>
      <c r="AV124" s="170"/>
      <c r="AW124" s="170"/>
      <c r="AX124" s="170"/>
      <c r="AY124" s="170"/>
      <c r="AZ124" s="170"/>
      <c r="BA124" s="170"/>
      <c r="BB124" s="170"/>
      <c r="BC124" s="170"/>
      <c r="BD124" s="170"/>
      <c r="BE124" s="170"/>
      <c r="BF124" s="170"/>
      <c r="BG124" s="170"/>
      <c r="BH124" s="170"/>
      <c r="BI124" s="170"/>
      <c r="BJ124" s="170"/>
      <c r="BK124" s="170"/>
      <c r="BL124" s="170"/>
      <c r="BM124" s="170"/>
      <c r="BN124" s="170"/>
      <c r="BO124" s="170"/>
      <c r="BP124" s="170"/>
      <c r="BQ124" s="170"/>
      <c r="BR124" s="170"/>
      <c r="BS124" s="170"/>
      <c r="BT124" s="170"/>
      <c r="BU124" s="170"/>
      <c r="BV124" s="170"/>
      <c r="BW124" s="170"/>
      <c r="BX124" s="170"/>
      <c r="BY124" s="170"/>
      <c r="BZ124" s="170"/>
      <c r="CA124" s="170"/>
      <c r="CB124" s="170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  <c r="CN124" s="170"/>
      <c r="CO124" s="170"/>
    </row>
    <row r="125" spans="1:93">
      <c r="A125" s="77"/>
      <c r="B125" s="168"/>
      <c r="C125" s="169"/>
      <c r="D125" s="10"/>
      <c r="E125" s="62"/>
      <c r="F125" s="11"/>
      <c r="G125" s="11"/>
      <c r="H125" s="10"/>
      <c r="I125" s="10"/>
      <c r="J125" s="10"/>
      <c r="K125" s="1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  <c r="AP125" s="170"/>
      <c r="AQ125" s="170"/>
      <c r="AR125" s="170"/>
      <c r="AS125" s="170"/>
      <c r="AT125" s="170"/>
      <c r="AU125" s="170"/>
      <c r="AV125" s="170"/>
      <c r="AW125" s="170"/>
      <c r="AX125" s="170"/>
      <c r="AY125" s="170"/>
      <c r="AZ125" s="170"/>
      <c r="BA125" s="170"/>
      <c r="BB125" s="170"/>
      <c r="BC125" s="170"/>
      <c r="BD125" s="170"/>
      <c r="BE125" s="170"/>
      <c r="BF125" s="170"/>
      <c r="BG125" s="170"/>
      <c r="BH125" s="170"/>
      <c r="BI125" s="170"/>
      <c r="BJ125" s="170"/>
      <c r="BK125" s="170"/>
      <c r="BL125" s="170"/>
      <c r="BM125" s="170"/>
      <c r="BN125" s="170"/>
      <c r="BO125" s="170"/>
      <c r="BP125" s="170"/>
      <c r="BQ125" s="170"/>
      <c r="BR125" s="170"/>
      <c r="BS125" s="170"/>
      <c r="BT125" s="170"/>
      <c r="BU125" s="170"/>
      <c r="BV125" s="170"/>
      <c r="BW125" s="170"/>
      <c r="BX125" s="170"/>
      <c r="BY125" s="170"/>
      <c r="BZ125" s="170"/>
      <c r="CA125" s="170"/>
      <c r="CB125" s="170"/>
      <c r="CC125" s="170"/>
      <c r="CD125" s="170"/>
      <c r="CE125" s="170"/>
      <c r="CF125" s="170"/>
      <c r="CG125" s="170"/>
      <c r="CH125" s="170"/>
      <c r="CI125" s="170"/>
      <c r="CJ125" s="170"/>
      <c r="CK125" s="170"/>
      <c r="CL125" s="170"/>
      <c r="CM125" s="170"/>
      <c r="CN125" s="170"/>
      <c r="CO125" s="170"/>
    </row>
    <row r="126" spans="1:93">
      <c r="A126" s="77"/>
      <c r="B126" s="168"/>
      <c r="C126" s="17" t="s">
        <v>632</v>
      </c>
      <c r="D126" s="10"/>
      <c r="E126" s="62"/>
      <c r="F126" s="11"/>
      <c r="G126" s="11" t="str">
        <f>Monetary_Unit</f>
        <v>тыс. руб.</v>
      </c>
      <c r="H126" s="10"/>
      <c r="I126" s="23">
        <f>SUM(L126:CO126)</f>
        <v>918.64</v>
      </c>
      <c r="J126" s="10"/>
      <c r="K126" s="10"/>
      <c r="L126" s="10">
        <f t="shared" ref="L126:R126" si="1088" xml:space="preserve"> $E121 * L121</f>
        <v>229.66</v>
      </c>
      <c r="M126" s="10">
        <f t="shared" si="1088"/>
        <v>229.66</v>
      </c>
      <c r="N126" s="10">
        <f t="shared" si="1088"/>
        <v>229.66</v>
      </c>
      <c r="O126" s="10">
        <f t="shared" si="1088"/>
        <v>229.66</v>
      </c>
      <c r="P126" s="10">
        <f t="shared" si="1088"/>
        <v>0</v>
      </c>
      <c r="Q126" s="10">
        <f t="shared" si="1088"/>
        <v>0</v>
      </c>
      <c r="R126" s="10">
        <f t="shared" si="1088"/>
        <v>0</v>
      </c>
      <c r="S126" s="10">
        <f t="shared" ref="S126" si="1089" xml:space="preserve"> $E121 * S121</f>
        <v>0</v>
      </c>
      <c r="T126" s="10">
        <f t="shared" ref="T126:CE126" si="1090" xml:space="preserve"> $E121 * T121</f>
        <v>0</v>
      </c>
      <c r="U126" s="10">
        <f t="shared" si="1090"/>
        <v>0</v>
      </c>
      <c r="V126" s="10">
        <f t="shared" si="1090"/>
        <v>0</v>
      </c>
      <c r="W126" s="10">
        <f t="shared" si="1090"/>
        <v>0</v>
      </c>
      <c r="X126" s="10">
        <f t="shared" si="1090"/>
        <v>0</v>
      </c>
      <c r="Y126" s="10">
        <f t="shared" si="1090"/>
        <v>0</v>
      </c>
      <c r="Z126" s="10">
        <f t="shared" si="1090"/>
        <v>0</v>
      </c>
      <c r="AA126" s="10">
        <f t="shared" si="1090"/>
        <v>0</v>
      </c>
      <c r="AB126" s="10">
        <f t="shared" si="1090"/>
        <v>0</v>
      </c>
      <c r="AC126" s="10">
        <f t="shared" si="1090"/>
        <v>0</v>
      </c>
      <c r="AD126" s="10">
        <f t="shared" si="1090"/>
        <v>0</v>
      </c>
      <c r="AE126" s="10">
        <f t="shared" si="1090"/>
        <v>0</v>
      </c>
      <c r="AF126" s="10">
        <f t="shared" si="1090"/>
        <v>0</v>
      </c>
      <c r="AG126" s="10">
        <f t="shared" si="1090"/>
        <v>0</v>
      </c>
      <c r="AH126" s="10">
        <f t="shared" si="1090"/>
        <v>0</v>
      </c>
      <c r="AI126" s="10">
        <f t="shared" si="1090"/>
        <v>0</v>
      </c>
      <c r="AJ126" s="10">
        <f t="shared" si="1090"/>
        <v>0</v>
      </c>
      <c r="AK126" s="10">
        <f t="shared" si="1090"/>
        <v>0</v>
      </c>
      <c r="AL126" s="10">
        <f t="shared" si="1090"/>
        <v>0</v>
      </c>
      <c r="AM126" s="10">
        <f t="shared" si="1090"/>
        <v>0</v>
      </c>
      <c r="AN126" s="10">
        <f t="shared" si="1090"/>
        <v>0</v>
      </c>
      <c r="AO126" s="10">
        <f t="shared" si="1090"/>
        <v>0</v>
      </c>
      <c r="AP126" s="10">
        <f t="shared" si="1090"/>
        <v>0</v>
      </c>
      <c r="AQ126" s="10">
        <f t="shared" si="1090"/>
        <v>0</v>
      </c>
      <c r="AR126" s="10">
        <f t="shared" si="1090"/>
        <v>0</v>
      </c>
      <c r="AS126" s="10">
        <f t="shared" si="1090"/>
        <v>0</v>
      </c>
      <c r="AT126" s="10">
        <f t="shared" si="1090"/>
        <v>0</v>
      </c>
      <c r="AU126" s="10">
        <f t="shared" si="1090"/>
        <v>0</v>
      </c>
      <c r="AV126" s="10">
        <f t="shared" si="1090"/>
        <v>0</v>
      </c>
      <c r="AW126" s="10">
        <f t="shared" si="1090"/>
        <v>0</v>
      </c>
      <c r="AX126" s="10">
        <f t="shared" si="1090"/>
        <v>0</v>
      </c>
      <c r="AY126" s="10">
        <f t="shared" si="1090"/>
        <v>0</v>
      </c>
      <c r="AZ126" s="10">
        <f t="shared" si="1090"/>
        <v>0</v>
      </c>
      <c r="BA126" s="10">
        <f t="shared" si="1090"/>
        <v>0</v>
      </c>
      <c r="BB126" s="10">
        <f t="shared" si="1090"/>
        <v>0</v>
      </c>
      <c r="BC126" s="10">
        <f t="shared" si="1090"/>
        <v>0</v>
      </c>
      <c r="BD126" s="10">
        <f t="shared" si="1090"/>
        <v>0</v>
      </c>
      <c r="BE126" s="10">
        <f t="shared" si="1090"/>
        <v>0</v>
      </c>
      <c r="BF126" s="10">
        <f t="shared" si="1090"/>
        <v>0</v>
      </c>
      <c r="BG126" s="10">
        <f t="shared" si="1090"/>
        <v>0</v>
      </c>
      <c r="BH126" s="10">
        <f t="shared" si="1090"/>
        <v>0</v>
      </c>
      <c r="BI126" s="10">
        <f t="shared" si="1090"/>
        <v>0</v>
      </c>
      <c r="BJ126" s="10">
        <f t="shared" si="1090"/>
        <v>0</v>
      </c>
      <c r="BK126" s="10">
        <f t="shared" si="1090"/>
        <v>0</v>
      </c>
      <c r="BL126" s="10">
        <f t="shared" si="1090"/>
        <v>0</v>
      </c>
      <c r="BM126" s="10">
        <f t="shared" si="1090"/>
        <v>0</v>
      </c>
      <c r="BN126" s="10">
        <f t="shared" si="1090"/>
        <v>0</v>
      </c>
      <c r="BO126" s="10">
        <f t="shared" si="1090"/>
        <v>0</v>
      </c>
      <c r="BP126" s="10">
        <f t="shared" si="1090"/>
        <v>0</v>
      </c>
      <c r="BQ126" s="10">
        <f t="shared" si="1090"/>
        <v>0</v>
      </c>
      <c r="BR126" s="10">
        <f t="shared" si="1090"/>
        <v>0</v>
      </c>
      <c r="BS126" s="10">
        <f t="shared" si="1090"/>
        <v>0</v>
      </c>
      <c r="BT126" s="10">
        <f t="shared" si="1090"/>
        <v>0</v>
      </c>
      <c r="BU126" s="10">
        <f t="shared" si="1090"/>
        <v>0</v>
      </c>
      <c r="BV126" s="10">
        <f t="shared" si="1090"/>
        <v>0</v>
      </c>
      <c r="BW126" s="10">
        <f t="shared" si="1090"/>
        <v>0</v>
      </c>
      <c r="BX126" s="10">
        <f t="shared" si="1090"/>
        <v>0</v>
      </c>
      <c r="BY126" s="10">
        <f t="shared" si="1090"/>
        <v>0</v>
      </c>
      <c r="BZ126" s="10">
        <f t="shared" si="1090"/>
        <v>0</v>
      </c>
      <c r="CA126" s="10">
        <f t="shared" si="1090"/>
        <v>0</v>
      </c>
      <c r="CB126" s="10">
        <f t="shared" si="1090"/>
        <v>0</v>
      </c>
      <c r="CC126" s="10">
        <f t="shared" si="1090"/>
        <v>0</v>
      </c>
      <c r="CD126" s="10">
        <f t="shared" si="1090"/>
        <v>0</v>
      </c>
      <c r="CE126" s="10">
        <f t="shared" si="1090"/>
        <v>0</v>
      </c>
      <c r="CF126" s="10">
        <f t="shared" ref="CF126:CO126" si="1091" xml:space="preserve"> $E121 * CF121</f>
        <v>0</v>
      </c>
      <c r="CG126" s="10">
        <f t="shared" si="1091"/>
        <v>0</v>
      </c>
      <c r="CH126" s="10">
        <f t="shared" si="1091"/>
        <v>0</v>
      </c>
      <c r="CI126" s="10">
        <f t="shared" si="1091"/>
        <v>0</v>
      </c>
      <c r="CJ126" s="10">
        <f t="shared" si="1091"/>
        <v>0</v>
      </c>
      <c r="CK126" s="10">
        <f t="shared" si="1091"/>
        <v>0</v>
      </c>
      <c r="CL126" s="10">
        <f t="shared" si="1091"/>
        <v>0</v>
      </c>
      <c r="CM126" s="10">
        <f t="shared" si="1091"/>
        <v>0</v>
      </c>
      <c r="CN126" s="10">
        <f t="shared" si="1091"/>
        <v>0</v>
      </c>
      <c r="CO126" s="10">
        <f t="shared" si="1091"/>
        <v>0</v>
      </c>
    </row>
    <row r="127" spans="1:93">
      <c r="A127" s="77"/>
      <c r="B127" s="168"/>
      <c r="C127" s="17" t="s">
        <v>634</v>
      </c>
      <c r="D127" s="10"/>
      <c r="E127" s="62"/>
      <c r="F127" s="11"/>
      <c r="G127" s="11" t="str">
        <f>Monetary_Unit</f>
        <v>тыс. руб.</v>
      </c>
      <c r="H127" s="10"/>
      <c r="I127" s="23">
        <f>SUM(L127:CO127)</f>
        <v>0</v>
      </c>
      <c r="J127" s="10"/>
      <c r="K127" s="10"/>
      <c r="L127" s="10">
        <f t="shared" ref="L127:R127" si="1092" xml:space="preserve"> $E122 * L122</f>
        <v>0</v>
      </c>
      <c r="M127" s="10">
        <f t="shared" si="1092"/>
        <v>0</v>
      </c>
      <c r="N127" s="10">
        <f t="shared" si="1092"/>
        <v>0</v>
      </c>
      <c r="O127" s="10">
        <f t="shared" si="1092"/>
        <v>0</v>
      </c>
      <c r="P127" s="10">
        <f t="shared" si="1092"/>
        <v>0</v>
      </c>
      <c r="Q127" s="10">
        <f t="shared" si="1092"/>
        <v>0</v>
      </c>
      <c r="R127" s="10">
        <f t="shared" si="1092"/>
        <v>0</v>
      </c>
      <c r="S127" s="10">
        <f t="shared" ref="S127" si="1093" xml:space="preserve"> $E122 * S122</f>
        <v>0</v>
      </c>
      <c r="T127" s="10">
        <f t="shared" ref="T127:CE127" si="1094" xml:space="preserve"> $E122 * T122</f>
        <v>0</v>
      </c>
      <c r="U127" s="10">
        <f t="shared" si="1094"/>
        <v>0</v>
      </c>
      <c r="V127" s="10">
        <f t="shared" si="1094"/>
        <v>0</v>
      </c>
      <c r="W127" s="10">
        <f t="shared" si="1094"/>
        <v>0</v>
      </c>
      <c r="X127" s="10">
        <f t="shared" si="1094"/>
        <v>0</v>
      </c>
      <c r="Y127" s="10">
        <f t="shared" si="1094"/>
        <v>0</v>
      </c>
      <c r="Z127" s="10">
        <f t="shared" si="1094"/>
        <v>0</v>
      </c>
      <c r="AA127" s="10">
        <f t="shared" si="1094"/>
        <v>0</v>
      </c>
      <c r="AB127" s="10">
        <f t="shared" si="1094"/>
        <v>0</v>
      </c>
      <c r="AC127" s="10">
        <f t="shared" si="1094"/>
        <v>0</v>
      </c>
      <c r="AD127" s="10">
        <f t="shared" si="1094"/>
        <v>0</v>
      </c>
      <c r="AE127" s="10">
        <f t="shared" si="1094"/>
        <v>0</v>
      </c>
      <c r="AF127" s="10">
        <f t="shared" si="1094"/>
        <v>0</v>
      </c>
      <c r="AG127" s="10">
        <f t="shared" si="1094"/>
        <v>0</v>
      </c>
      <c r="AH127" s="10">
        <f t="shared" si="1094"/>
        <v>0</v>
      </c>
      <c r="AI127" s="10">
        <f t="shared" si="1094"/>
        <v>0</v>
      </c>
      <c r="AJ127" s="10">
        <f t="shared" si="1094"/>
        <v>0</v>
      </c>
      <c r="AK127" s="10">
        <f t="shared" si="1094"/>
        <v>0</v>
      </c>
      <c r="AL127" s="10">
        <f t="shared" si="1094"/>
        <v>0</v>
      </c>
      <c r="AM127" s="10">
        <f t="shared" si="1094"/>
        <v>0</v>
      </c>
      <c r="AN127" s="10">
        <f t="shared" si="1094"/>
        <v>0</v>
      </c>
      <c r="AO127" s="10">
        <f t="shared" si="1094"/>
        <v>0</v>
      </c>
      <c r="AP127" s="10">
        <f t="shared" si="1094"/>
        <v>0</v>
      </c>
      <c r="AQ127" s="10">
        <f t="shared" si="1094"/>
        <v>0</v>
      </c>
      <c r="AR127" s="10">
        <f t="shared" si="1094"/>
        <v>0</v>
      </c>
      <c r="AS127" s="10">
        <f t="shared" si="1094"/>
        <v>0</v>
      </c>
      <c r="AT127" s="10">
        <f t="shared" si="1094"/>
        <v>0</v>
      </c>
      <c r="AU127" s="10">
        <f t="shared" si="1094"/>
        <v>0</v>
      </c>
      <c r="AV127" s="10">
        <f t="shared" si="1094"/>
        <v>0</v>
      </c>
      <c r="AW127" s="10">
        <f t="shared" si="1094"/>
        <v>0</v>
      </c>
      <c r="AX127" s="10">
        <f t="shared" si="1094"/>
        <v>0</v>
      </c>
      <c r="AY127" s="10">
        <f t="shared" si="1094"/>
        <v>0</v>
      </c>
      <c r="AZ127" s="10">
        <f t="shared" si="1094"/>
        <v>0</v>
      </c>
      <c r="BA127" s="10">
        <f t="shared" si="1094"/>
        <v>0</v>
      </c>
      <c r="BB127" s="10">
        <f t="shared" si="1094"/>
        <v>0</v>
      </c>
      <c r="BC127" s="10">
        <f t="shared" si="1094"/>
        <v>0</v>
      </c>
      <c r="BD127" s="10">
        <f t="shared" si="1094"/>
        <v>0</v>
      </c>
      <c r="BE127" s="10">
        <f t="shared" si="1094"/>
        <v>0</v>
      </c>
      <c r="BF127" s="10">
        <f t="shared" si="1094"/>
        <v>0</v>
      </c>
      <c r="BG127" s="10">
        <f t="shared" si="1094"/>
        <v>0</v>
      </c>
      <c r="BH127" s="10">
        <f t="shared" si="1094"/>
        <v>0</v>
      </c>
      <c r="BI127" s="10">
        <f t="shared" si="1094"/>
        <v>0</v>
      </c>
      <c r="BJ127" s="10">
        <f t="shared" si="1094"/>
        <v>0</v>
      </c>
      <c r="BK127" s="10">
        <f t="shared" si="1094"/>
        <v>0</v>
      </c>
      <c r="BL127" s="10">
        <f t="shared" si="1094"/>
        <v>0</v>
      </c>
      <c r="BM127" s="10">
        <f t="shared" si="1094"/>
        <v>0</v>
      </c>
      <c r="BN127" s="10">
        <f t="shared" si="1094"/>
        <v>0</v>
      </c>
      <c r="BO127" s="10">
        <f t="shared" si="1094"/>
        <v>0</v>
      </c>
      <c r="BP127" s="10">
        <f t="shared" si="1094"/>
        <v>0</v>
      </c>
      <c r="BQ127" s="10">
        <f t="shared" si="1094"/>
        <v>0</v>
      </c>
      <c r="BR127" s="10">
        <f t="shared" si="1094"/>
        <v>0</v>
      </c>
      <c r="BS127" s="10">
        <f t="shared" si="1094"/>
        <v>0</v>
      </c>
      <c r="BT127" s="10">
        <f t="shared" si="1094"/>
        <v>0</v>
      </c>
      <c r="BU127" s="10">
        <f t="shared" si="1094"/>
        <v>0</v>
      </c>
      <c r="BV127" s="10">
        <f t="shared" si="1094"/>
        <v>0</v>
      </c>
      <c r="BW127" s="10">
        <f t="shared" si="1094"/>
        <v>0</v>
      </c>
      <c r="BX127" s="10">
        <f t="shared" si="1094"/>
        <v>0</v>
      </c>
      <c r="BY127" s="10">
        <f t="shared" si="1094"/>
        <v>0</v>
      </c>
      <c r="BZ127" s="10">
        <f t="shared" si="1094"/>
        <v>0</v>
      </c>
      <c r="CA127" s="10">
        <f t="shared" si="1094"/>
        <v>0</v>
      </c>
      <c r="CB127" s="10">
        <f t="shared" si="1094"/>
        <v>0</v>
      </c>
      <c r="CC127" s="10">
        <f t="shared" si="1094"/>
        <v>0</v>
      </c>
      <c r="CD127" s="10">
        <f t="shared" si="1094"/>
        <v>0</v>
      </c>
      <c r="CE127" s="10">
        <f t="shared" si="1094"/>
        <v>0</v>
      </c>
      <c r="CF127" s="10">
        <f t="shared" ref="CF127:CO127" si="1095" xml:space="preserve"> $E122 * CF122</f>
        <v>0</v>
      </c>
      <c r="CG127" s="10">
        <f t="shared" si="1095"/>
        <v>0</v>
      </c>
      <c r="CH127" s="10">
        <f t="shared" si="1095"/>
        <v>0</v>
      </c>
      <c r="CI127" s="10">
        <f t="shared" si="1095"/>
        <v>0</v>
      </c>
      <c r="CJ127" s="10">
        <f t="shared" si="1095"/>
        <v>0</v>
      </c>
      <c r="CK127" s="10">
        <f t="shared" si="1095"/>
        <v>0</v>
      </c>
      <c r="CL127" s="10">
        <f t="shared" si="1095"/>
        <v>0</v>
      </c>
      <c r="CM127" s="10">
        <f t="shared" si="1095"/>
        <v>0</v>
      </c>
      <c r="CN127" s="10">
        <f t="shared" si="1095"/>
        <v>0</v>
      </c>
      <c r="CO127" s="10">
        <f t="shared" si="1095"/>
        <v>0</v>
      </c>
    </row>
    <row r="128" spans="1:93">
      <c r="A128" s="77"/>
      <c r="B128" s="168"/>
      <c r="C128" s="17" t="s">
        <v>848</v>
      </c>
      <c r="D128" s="10"/>
      <c r="E128" s="62"/>
      <c r="F128" s="11"/>
      <c r="G128" s="11" t="str">
        <f>Monetary_Unit</f>
        <v>тыс. руб.</v>
      </c>
      <c r="H128" s="10"/>
      <c r="I128" s="23">
        <f>SUM(L128:CO128)</f>
        <v>22966</v>
      </c>
      <c r="J128" s="10"/>
      <c r="K128" s="10"/>
      <c r="L128" s="10">
        <f t="shared" ref="L128:R128" si="1096" xml:space="preserve"> $E123 * L123</f>
        <v>0</v>
      </c>
      <c r="M128" s="10">
        <f t="shared" si="1096"/>
        <v>0</v>
      </c>
      <c r="N128" s="10">
        <f t="shared" si="1096"/>
        <v>0</v>
      </c>
      <c r="O128" s="10">
        <f t="shared" si="1096"/>
        <v>0</v>
      </c>
      <c r="P128" s="10">
        <f t="shared" si="1096"/>
        <v>1766.6153846153848</v>
      </c>
      <c r="Q128" s="10">
        <f t="shared" si="1096"/>
        <v>1766.6153846153848</v>
      </c>
      <c r="R128" s="10">
        <f t="shared" si="1096"/>
        <v>1766.6153846153848</v>
      </c>
      <c r="S128" s="10">
        <f t="shared" ref="S128" si="1097" xml:space="preserve"> $E123 * S123</f>
        <v>1766.6153846153843</v>
      </c>
      <c r="T128" s="10">
        <f t="shared" ref="T128:CE128" si="1098" xml:space="preserve"> $E123 * T123</f>
        <v>1766.6153846153848</v>
      </c>
      <c r="U128" s="10">
        <f t="shared" si="1098"/>
        <v>1766.6153846153848</v>
      </c>
      <c r="V128" s="10">
        <f t="shared" si="1098"/>
        <v>1766.6153846153843</v>
      </c>
      <c r="W128" s="10">
        <f t="shared" si="1098"/>
        <v>1766.6153846153848</v>
      </c>
      <c r="X128" s="10">
        <f t="shared" si="1098"/>
        <v>1766.6153846153843</v>
      </c>
      <c r="Y128" s="10">
        <f t="shared" si="1098"/>
        <v>1766.6153846153848</v>
      </c>
      <c r="Z128" s="10">
        <f t="shared" si="1098"/>
        <v>1766.615384615385</v>
      </c>
      <c r="AA128" s="10">
        <f t="shared" si="1098"/>
        <v>1766.6153846153848</v>
      </c>
      <c r="AB128" s="10">
        <f t="shared" si="1098"/>
        <v>1766.6153846153834</v>
      </c>
      <c r="AC128" s="10">
        <f t="shared" si="1098"/>
        <v>0</v>
      </c>
      <c r="AD128" s="10">
        <f t="shared" si="1098"/>
        <v>0</v>
      </c>
      <c r="AE128" s="10">
        <f t="shared" si="1098"/>
        <v>0</v>
      </c>
      <c r="AF128" s="10">
        <f t="shared" si="1098"/>
        <v>0</v>
      </c>
      <c r="AG128" s="10">
        <f t="shared" si="1098"/>
        <v>0</v>
      </c>
      <c r="AH128" s="10">
        <f t="shared" si="1098"/>
        <v>0</v>
      </c>
      <c r="AI128" s="10">
        <f t="shared" si="1098"/>
        <v>0</v>
      </c>
      <c r="AJ128" s="10">
        <f t="shared" si="1098"/>
        <v>0</v>
      </c>
      <c r="AK128" s="10">
        <f t="shared" si="1098"/>
        <v>0</v>
      </c>
      <c r="AL128" s="10">
        <f t="shared" si="1098"/>
        <v>0</v>
      </c>
      <c r="AM128" s="10">
        <f t="shared" si="1098"/>
        <v>0</v>
      </c>
      <c r="AN128" s="10">
        <f t="shared" si="1098"/>
        <v>0</v>
      </c>
      <c r="AO128" s="10">
        <f t="shared" si="1098"/>
        <v>0</v>
      </c>
      <c r="AP128" s="10">
        <f t="shared" si="1098"/>
        <v>0</v>
      </c>
      <c r="AQ128" s="10">
        <f t="shared" si="1098"/>
        <v>0</v>
      </c>
      <c r="AR128" s="10">
        <f t="shared" si="1098"/>
        <v>0</v>
      </c>
      <c r="AS128" s="10">
        <f t="shared" si="1098"/>
        <v>0</v>
      </c>
      <c r="AT128" s="10">
        <f t="shared" si="1098"/>
        <v>0</v>
      </c>
      <c r="AU128" s="10">
        <f t="shared" si="1098"/>
        <v>0</v>
      </c>
      <c r="AV128" s="10">
        <f t="shared" si="1098"/>
        <v>0</v>
      </c>
      <c r="AW128" s="10">
        <f t="shared" si="1098"/>
        <v>0</v>
      </c>
      <c r="AX128" s="10">
        <f t="shared" si="1098"/>
        <v>0</v>
      </c>
      <c r="AY128" s="10">
        <f t="shared" si="1098"/>
        <v>0</v>
      </c>
      <c r="AZ128" s="10">
        <f t="shared" si="1098"/>
        <v>0</v>
      </c>
      <c r="BA128" s="10">
        <f t="shared" si="1098"/>
        <v>0</v>
      </c>
      <c r="BB128" s="10">
        <f t="shared" si="1098"/>
        <v>0</v>
      </c>
      <c r="BC128" s="10">
        <f t="shared" si="1098"/>
        <v>0</v>
      </c>
      <c r="BD128" s="10">
        <f t="shared" si="1098"/>
        <v>0</v>
      </c>
      <c r="BE128" s="10">
        <f t="shared" si="1098"/>
        <v>0</v>
      </c>
      <c r="BF128" s="10">
        <f t="shared" si="1098"/>
        <v>0</v>
      </c>
      <c r="BG128" s="10">
        <f t="shared" si="1098"/>
        <v>0</v>
      </c>
      <c r="BH128" s="10">
        <f t="shared" si="1098"/>
        <v>0</v>
      </c>
      <c r="BI128" s="10">
        <f t="shared" si="1098"/>
        <v>0</v>
      </c>
      <c r="BJ128" s="10">
        <f t="shared" si="1098"/>
        <v>0</v>
      </c>
      <c r="BK128" s="10">
        <f t="shared" si="1098"/>
        <v>0</v>
      </c>
      <c r="BL128" s="10">
        <f t="shared" si="1098"/>
        <v>0</v>
      </c>
      <c r="BM128" s="10">
        <f t="shared" si="1098"/>
        <v>0</v>
      </c>
      <c r="BN128" s="10">
        <f t="shared" si="1098"/>
        <v>0</v>
      </c>
      <c r="BO128" s="10">
        <f t="shared" si="1098"/>
        <v>0</v>
      </c>
      <c r="BP128" s="10">
        <f t="shared" si="1098"/>
        <v>0</v>
      </c>
      <c r="BQ128" s="10">
        <f t="shared" si="1098"/>
        <v>0</v>
      </c>
      <c r="BR128" s="10">
        <f t="shared" si="1098"/>
        <v>0</v>
      </c>
      <c r="BS128" s="10">
        <f t="shared" si="1098"/>
        <v>0</v>
      </c>
      <c r="BT128" s="10">
        <f t="shared" si="1098"/>
        <v>0</v>
      </c>
      <c r="BU128" s="10">
        <f t="shared" si="1098"/>
        <v>0</v>
      </c>
      <c r="BV128" s="10">
        <f t="shared" si="1098"/>
        <v>0</v>
      </c>
      <c r="BW128" s="10">
        <f t="shared" si="1098"/>
        <v>0</v>
      </c>
      <c r="BX128" s="10">
        <f t="shared" si="1098"/>
        <v>0</v>
      </c>
      <c r="BY128" s="10">
        <f t="shared" si="1098"/>
        <v>0</v>
      </c>
      <c r="BZ128" s="10">
        <f t="shared" si="1098"/>
        <v>0</v>
      </c>
      <c r="CA128" s="10">
        <f t="shared" si="1098"/>
        <v>0</v>
      </c>
      <c r="CB128" s="10">
        <f t="shared" si="1098"/>
        <v>0</v>
      </c>
      <c r="CC128" s="10">
        <f t="shared" si="1098"/>
        <v>0</v>
      </c>
      <c r="CD128" s="10">
        <f t="shared" si="1098"/>
        <v>0</v>
      </c>
      <c r="CE128" s="10">
        <f t="shared" si="1098"/>
        <v>0</v>
      </c>
      <c r="CF128" s="10">
        <f t="shared" ref="CF128:CO128" si="1099" xml:space="preserve"> $E123 * CF123</f>
        <v>0</v>
      </c>
      <c r="CG128" s="10">
        <f t="shared" si="1099"/>
        <v>0</v>
      </c>
      <c r="CH128" s="10">
        <f t="shared" si="1099"/>
        <v>0</v>
      </c>
      <c r="CI128" s="10">
        <f t="shared" si="1099"/>
        <v>0</v>
      </c>
      <c r="CJ128" s="10">
        <f t="shared" si="1099"/>
        <v>0</v>
      </c>
      <c r="CK128" s="10">
        <f t="shared" si="1099"/>
        <v>0</v>
      </c>
      <c r="CL128" s="10">
        <f t="shared" si="1099"/>
        <v>0</v>
      </c>
      <c r="CM128" s="10">
        <f t="shared" si="1099"/>
        <v>0</v>
      </c>
      <c r="CN128" s="10">
        <f t="shared" si="1099"/>
        <v>0</v>
      </c>
      <c r="CO128" s="10">
        <f t="shared" si="1099"/>
        <v>0</v>
      </c>
    </row>
    <row r="129" spans="1:93" ht="15" thickBot="1">
      <c r="A129" s="77"/>
      <c r="B129" s="168"/>
      <c r="C129" s="17" t="s">
        <v>824</v>
      </c>
      <c r="D129" s="10"/>
      <c r="E129" s="62"/>
      <c r="F129" s="11"/>
      <c r="G129" s="11" t="str">
        <f>Monetary_Unit</f>
        <v>тыс. руб.</v>
      </c>
      <c r="H129" s="10"/>
      <c r="I129" s="23">
        <f>SUM(L129:CO129)</f>
        <v>688.98</v>
      </c>
      <c r="J129" s="10"/>
      <c r="K129" s="10"/>
      <c r="L129" s="10">
        <f t="shared" ref="L129:R129" si="1100" xml:space="preserve"> L128 * $E$124</f>
        <v>0</v>
      </c>
      <c r="M129" s="10">
        <f t="shared" si="1100"/>
        <v>0</v>
      </c>
      <c r="N129" s="10">
        <f t="shared" si="1100"/>
        <v>0</v>
      </c>
      <c r="O129" s="10">
        <f t="shared" si="1100"/>
        <v>0</v>
      </c>
      <c r="P129" s="10">
        <f t="shared" si="1100"/>
        <v>52.998461538461541</v>
      </c>
      <c r="Q129" s="10">
        <f t="shared" si="1100"/>
        <v>52.998461538461541</v>
      </c>
      <c r="R129" s="10">
        <f t="shared" si="1100"/>
        <v>52.998461538461541</v>
      </c>
      <c r="S129" s="10">
        <f t="shared" ref="S129" si="1101" xml:space="preserve"> S128 * $E$124</f>
        <v>52.998461538461527</v>
      </c>
      <c r="T129" s="10">
        <f t="shared" ref="T129:CE129" si="1102" xml:space="preserve"> T128 * $E$124</f>
        <v>52.998461538461541</v>
      </c>
      <c r="U129" s="10">
        <f t="shared" si="1102"/>
        <v>52.998461538461541</v>
      </c>
      <c r="V129" s="10">
        <f t="shared" si="1102"/>
        <v>52.998461538461527</v>
      </c>
      <c r="W129" s="10">
        <f t="shared" si="1102"/>
        <v>52.998461538461541</v>
      </c>
      <c r="X129" s="10">
        <f t="shared" si="1102"/>
        <v>52.998461538461527</v>
      </c>
      <c r="Y129" s="10">
        <f t="shared" si="1102"/>
        <v>52.998461538461541</v>
      </c>
      <c r="Z129" s="10">
        <f t="shared" si="1102"/>
        <v>52.998461538461548</v>
      </c>
      <c r="AA129" s="10">
        <f t="shared" si="1102"/>
        <v>52.998461538461541</v>
      </c>
      <c r="AB129" s="10">
        <f t="shared" si="1102"/>
        <v>52.998461538461498</v>
      </c>
      <c r="AC129" s="10">
        <f t="shared" si="1102"/>
        <v>0</v>
      </c>
      <c r="AD129" s="10">
        <f t="shared" si="1102"/>
        <v>0</v>
      </c>
      <c r="AE129" s="10">
        <f t="shared" si="1102"/>
        <v>0</v>
      </c>
      <c r="AF129" s="10">
        <f t="shared" si="1102"/>
        <v>0</v>
      </c>
      <c r="AG129" s="10">
        <f t="shared" si="1102"/>
        <v>0</v>
      </c>
      <c r="AH129" s="10">
        <f t="shared" si="1102"/>
        <v>0</v>
      </c>
      <c r="AI129" s="10">
        <f t="shared" si="1102"/>
        <v>0</v>
      </c>
      <c r="AJ129" s="10">
        <f t="shared" si="1102"/>
        <v>0</v>
      </c>
      <c r="AK129" s="10">
        <f t="shared" si="1102"/>
        <v>0</v>
      </c>
      <c r="AL129" s="10">
        <f t="shared" si="1102"/>
        <v>0</v>
      </c>
      <c r="AM129" s="10">
        <f t="shared" si="1102"/>
        <v>0</v>
      </c>
      <c r="AN129" s="10">
        <f t="shared" si="1102"/>
        <v>0</v>
      </c>
      <c r="AO129" s="10">
        <f t="shared" si="1102"/>
        <v>0</v>
      </c>
      <c r="AP129" s="10">
        <f t="shared" si="1102"/>
        <v>0</v>
      </c>
      <c r="AQ129" s="10">
        <f t="shared" si="1102"/>
        <v>0</v>
      </c>
      <c r="AR129" s="10">
        <f t="shared" si="1102"/>
        <v>0</v>
      </c>
      <c r="AS129" s="10">
        <f t="shared" si="1102"/>
        <v>0</v>
      </c>
      <c r="AT129" s="10">
        <f t="shared" si="1102"/>
        <v>0</v>
      </c>
      <c r="AU129" s="10">
        <f t="shared" si="1102"/>
        <v>0</v>
      </c>
      <c r="AV129" s="10">
        <f t="shared" si="1102"/>
        <v>0</v>
      </c>
      <c r="AW129" s="10">
        <f t="shared" si="1102"/>
        <v>0</v>
      </c>
      <c r="AX129" s="10">
        <f t="shared" si="1102"/>
        <v>0</v>
      </c>
      <c r="AY129" s="10">
        <f t="shared" si="1102"/>
        <v>0</v>
      </c>
      <c r="AZ129" s="10">
        <f t="shared" si="1102"/>
        <v>0</v>
      </c>
      <c r="BA129" s="10">
        <f t="shared" si="1102"/>
        <v>0</v>
      </c>
      <c r="BB129" s="10">
        <f t="shared" si="1102"/>
        <v>0</v>
      </c>
      <c r="BC129" s="10">
        <f t="shared" si="1102"/>
        <v>0</v>
      </c>
      <c r="BD129" s="10">
        <f t="shared" si="1102"/>
        <v>0</v>
      </c>
      <c r="BE129" s="10">
        <f t="shared" si="1102"/>
        <v>0</v>
      </c>
      <c r="BF129" s="10">
        <f t="shared" si="1102"/>
        <v>0</v>
      </c>
      <c r="BG129" s="10">
        <f t="shared" si="1102"/>
        <v>0</v>
      </c>
      <c r="BH129" s="10">
        <f t="shared" si="1102"/>
        <v>0</v>
      </c>
      <c r="BI129" s="10">
        <f t="shared" si="1102"/>
        <v>0</v>
      </c>
      <c r="BJ129" s="10">
        <f t="shared" si="1102"/>
        <v>0</v>
      </c>
      <c r="BK129" s="10">
        <f t="shared" si="1102"/>
        <v>0</v>
      </c>
      <c r="BL129" s="10">
        <f t="shared" si="1102"/>
        <v>0</v>
      </c>
      <c r="BM129" s="10">
        <f t="shared" si="1102"/>
        <v>0</v>
      </c>
      <c r="BN129" s="10">
        <f t="shared" si="1102"/>
        <v>0</v>
      </c>
      <c r="BO129" s="10">
        <f t="shared" si="1102"/>
        <v>0</v>
      </c>
      <c r="BP129" s="10">
        <f t="shared" si="1102"/>
        <v>0</v>
      </c>
      <c r="BQ129" s="10">
        <f t="shared" si="1102"/>
        <v>0</v>
      </c>
      <c r="BR129" s="10">
        <f t="shared" si="1102"/>
        <v>0</v>
      </c>
      <c r="BS129" s="10">
        <f t="shared" si="1102"/>
        <v>0</v>
      </c>
      <c r="BT129" s="10">
        <f t="shared" si="1102"/>
        <v>0</v>
      </c>
      <c r="BU129" s="10">
        <f t="shared" si="1102"/>
        <v>0</v>
      </c>
      <c r="BV129" s="10">
        <f t="shared" si="1102"/>
        <v>0</v>
      </c>
      <c r="BW129" s="10">
        <f t="shared" si="1102"/>
        <v>0</v>
      </c>
      <c r="BX129" s="10">
        <f t="shared" si="1102"/>
        <v>0</v>
      </c>
      <c r="BY129" s="10">
        <f t="shared" si="1102"/>
        <v>0</v>
      </c>
      <c r="BZ129" s="10">
        <f t="shared" si="1102"/>
        <v>0</v>
      </c>
      <c r="CA129" s="10">
        <f t="shared" si="1102"/>
        <v>0</v>
      </c>
      <c r="CB129" s="10">
        <f t="shared" si="1102"/>
        <v>0</v>
      </c>
      <c r="CC129" s="10">
        <f t="shared" si="1102"/>
        <v>0</v>
      </c>
      <c r="CD129" s="10">
        <f t="shared" si="1102"/>
        <v>0</v>
      </c>
      <c r="CE129" s="10">
        <f t="shared" si="1102"/>
        <v>0</v>
      </c>
      <c r="CF129" s="10">
        <f t="shared" ref="CF129:CO129" si="1103" xml:space="preserve"> CF128 * $E$124</f>
        <v>0</v>
      </c>
      <c r="CG129" s="10">
        <f t="shared" si="1103"/>
        <v>0</v>
      </c>
      <c r="CH129" s="10">
        <f t="shared" si="1103"/>
        <v>0</v>
      </c>
      <c r="CI129" s="10">
        <f t="shared" si="1103"/>
        <v>0</v>
      </c>
      <c r="CJ129" s="10">
        <f t="shared" si="1103"/>
        <v>0</v>
      </c>
      <c r="CK129" s="10">
        <f t="shared" si="1103"/>
        <v>0</v>
      </c>
      <c r="CL129" s="10">
        <f t="shared" si="1103"/>
        <v>0</v>
      </c>
      <c r="CM129" s="10">
        <f t="shared" si="1103"/>
        <v>0</v>
      </c>
      <c r="CN129" s="10">
        <f t="shared" si="1103"/>
        <v>0</v>
      </c>
      <c r="CO129" s="10">
        <f t="shared" si="1103"/>
        <v>0</v>
      </c>
    </row>
    <row r="130" spans="1:93" ht="15" thickTop="1">
      <c r="A130" s="77"/>
      <c r="B130" s="101"/>
      <c r="C130" s="49" t="s">
        <v>859</v>
      </c>
      <c r="D130" s="49"/>
      <c r="E130" s="136"/>
      <c r="F130" s="49"/>
      <c r="G130" s="159" t="str">
        <f xml:space="preserve"> Monetary_Unit</f>
        <v>тыс. руб.</v>
      </c>
      <c r="H130" s="49"/>
      <c r="I130" s="23">
        <f>SUM(L130:CO130)</f>
        <v>24573.620000000003</v>
      </c>
      <c r="J130" s="49"/>
      <c r="K130" s="49"/>
      <c r="L130" s="49">
        <f t="shared" ref="L130:R130" si="1104" xml:space="preserve"> SUM(L126:L129)</f>
        <v>229.66</v>
      </c>
      <c r="M130" s="49">
        <f t="shared" si="1104"/>
        <v>229.66</v>
      </c>
      <c r="N130" s="49">
        <f t="shared" si="1104"/>
        <v>229.66</v>
      </c>
      <c r="O130" s="49">
        <f t="shared" si="1104"/>
        <v>229.66</v>
      </c>
      <c r="P130" s="49">
        <f t="shared" si="1104"/>
        <v>1819.6138461538462</v>
      </c>
      <c r="Q130" s="49">
        <f t="shared" si="1104"/>
        <v>1819.6138461538462</v>
      </c>
      <c r="R130" s="49">
        <f t="shared" si="1104"/>
        <v>1819.6138461538462</v>
      </c>
      <c r="S130" s="49">
        <f t="shared" ref="S130" si="1105" xml:space="preserve"> SUM(S126:S129)</f>
        <v>1819.6138461538458</v>
      </c>
      <c r="T130" s="49">
        <f t="shared" ref="T130:CE130" si="1106" xml:space="preserve"> SUM(T126:T129)</f>
        <v>1819.6138461538462</v>
      </c>
      <c r="U130" s="49">
        <f t="shared" si="1106"/>
        <v>1819.6138461538462</v>
      </c>
      <c r="V130" s="49">
        <f t="shared" si="1106"/>
        <v>1819.6138461538458</v>
      </c>
      <c r="W130" s="49">
        <f t="shared" si="1106"/>
        <v>1819.6138461538462</v>
      </c>
      <c r="X130" s="49">
        <f t="shared" si="1106"/>
        <v>1819.6138461538458</v>
      </c>
      <c r="Y130" s="49">
        <f t="shared" si="1106"/>
        <v>1819.6138461538462</v>
      </c>
      <c r="Z130" s="49">
        <f t="shared" si="1106"/>
        <v>1819.6138461538465</v>
      </c>
      <c r="AA130" s="49">
        <f t="shared" si="1106"/>
        <v>1819.6138461538462</v>
      </c>
      <c r="AB130" s="49">
        <f t="shared" si="1106"/>
        <v>1819.6138461538449</v>
      </c>
      <c r="AC130" s="49">
        <f t="shared" si="1106"/>
        <v>0</v>
      </c>
      <c r="AD130" s="49">
        <f t="shared" si="1106"/>
        <v>0</v>
      </c>
      <c r="AE130" s="49">
        <f t="shared" si="1106"/>
        <v>0</v>
      </c>
      <c r="AF130" s="49">
        <f t="shared" si="1106"/>
        <v>0</v>
      </c>
      <c r="AG130" s="49">
        <f t="shared" si="1106"/>
        <v>0</v>
      </c>
      <c r="AH130" s="49">
        <f t="shared" si="1106"/>
        <v>0</v>
      </c>
      <c r="AI130" s="49">
        <f t="shared" si="1106"/>
        <v>0</v>
      </c>
      <c r="AJ130" s="49">
        <f t="shared" si="1106"/>
        <v>0</v>
      </c>
      <c r="AK130" s="49">
        <f t="shared" si="1106"/>
        <v>0</v>
      </c>
      <c r="AL130" s="49">
        <f t="shared" si="1106"/>
        <v>0</v>
      </c>
      <c r="AM130" s="49">
        <f t="shared" si="1106"/>
        <v>0</v>
      </c>
      <c r="AN130" s="49">
        <f t="shared" si="1106"/>
        <v>0</v>
      </c>
      <c r="AO130" s="49">
        <f t="shared" si="1106"/>
        <v>0</v>
      </c>
      <c r="AP130" s="49">
        <f t="shared" si="1106"/>
        <v>0</v>
      </c>
      <c r="AQ130" s="49">
        <f t="shared" si="1106"/>
        <v>0</v>
      </c>
      <c r="AR130" s="49">
        <f t="shared" si="1106"/>
        <v>0</v>
      </c>
      <c r="AS130" s="49">
        <f t="shared" si="1106"/>
        <v>0</v>
      </c>
      <c r="AT130" s="49">
        <f t="shared" si="1106"/>
        <v>0</v>
      </c>
      <c r="AU130" s="49">
        <f t="shared" si="1106"/>
        <v>0</v>
      </c>
      <c r="AV130" s="49">
        <f t="shared" si="1106"/>
        <v>0</v>
      </c>
      <c r="AW130" s="49">
        <f t="shared" si="1106"/>
        <v>0</v>
      </c>
      <c r="AX130" s="49">
        <f t="shared" si="1106"/>
        <v>0</v>
      </c>
      <c r="AY130" s="49">
        <f t="shared" si="1106"/>
        <v>0</v>
      </c>
      <c r="AZ130" s="49">
        <f t="shared" si="1106"/>
        <v>0</v>
      </c>
      <c r="BA130" s="49">
        <f t="shared" si="1106"/>
        <v>0</v>
      </c>
      <c r="BB130" s="49">
        <f t="shared" si="1106"/>
        <v>0</v>
      </c>
      <c r="BC130" s="49">
        <f t="shared" si="1106"/>
        <v>0</v>
      </c>
      <c r="BD130" s="49">
        <f t="shared" si="1106"/>
        <v>0</v>
      </c>
      <c r="BE130" s="49">
        <f t="shared" si="1106"/>
        <v>0</v>
      </c>
      <c r="BF130" s="49">
        <f t="shared" si="1106"/>
        <v>0</v>
      </c>
      <c r="BG130" s="49">
        <f t="shared" si="1106"/>
        <v>0</v>
      </c>
      <c r="BH130" s="49">
        <f t="shared" si="1106"/>
        <v>0</v>
      </c>
      <c r="BI130" s="49">
        <f t="shared" si="1106"/>
        <v>0</v>
      </c>
      <c r="BJ130" s="49">
        <f t="shared" si="1106"/>
        <v>0</v>
      </c>
      <c r="BK130" s="49">
        <f t="shared" si="1106"/>
        <v>0</v>
      </c>
      <c r="BL130" s="49">
        <f t="shared" si="1106"/>
        <v>0</v>
      </c>
      <c r="BM130" s="49">
        <f t="shared" si="1106"/>
        <v>0</v>
      </c>
      <c r="BN130" s="49">
        <f t="shared" si="1106"/>
        <v>0</v>
      </c>
      <c r="BO130" s="49">
        <f t="shared" si="1106"/>
        <v>0</v>
      </c>
      <c r="BP130" s="49">
        <f t="shared" si="1106"/>
        <v>0</v>
      </c>
      <c r="BQ130" s="49">
        <f t="shared" si="1106"/>
        <v>0</v>
      </c>
      <c r="BR130" s="49">
        <f t="shared" si="1106"/>
        <v>0</v>
      </c>
      <c r="BS130" s="49">
        <f t="shared" si="1106"/>
        <v>0</v>
      </c>
      <c r="BT130" s="49">
        <f t="shared" si="1106"/>
        <v>0</v>
      </c>
      <c r="BU130" s="49">
        <f t="shared" si="1106"/>
        <v>0</v>
      </c>
      <c r="BV130" s="49">
        <f t="shared" si="1106"/>
        <v>0</v>
      </c>
      <c r="BW130" s="49">
        <f t="shared" si="1106"/>
        <v>0</v>
      </c>
      <c r="BX130" s="49">
        <f t="shared" si="1106"/>
        <v>0</v>
      </c>
      <c r="BY130" s="49">
        <f t="shared" si="1106"/>
        <v>0</v>
      </c>
      <c r="BZ130" s="49">
        <f t="shared" si="1106"/>
        <v>0</v>
      </c>
      <c r="CA130" s="49">
        <f t="shared" si="1106"/>
        <v>0</v>
      </c>
      <c r="CB130" s="49">
        <f t="shared" si="1106"/>
        <v>0</v>
      </c>
      <c r="CC130" s="49">
        <f t="shared" si="1106"/>
        <v>0</v>
      </c>
      <c r="CD130" s="49">
        <f t="shared" si="1106"/>
        <v>0</v>
      </c>
      <c r="CE130" s="49">
        <f t="shared" si="1106"/>
        <v>0</v>
      </c>
      <c r="CF130" s="49">
        <f t="shared" ref="CF130:CO130" si="1107" xml:space="preserve"> SUM(CF126:CF129)</f>
        <v>0</v>
      </c>
      <c r="CG130" s="49">
        <f t="shared" si="1107"/>
        <v>0</v>
      </c>
      <c r="CH130" s="49">
        <f t="shared" si="1107"/>
        <v>0</v>
      </c>
      <c r="CI130" s="49">
        <f t="shared" si="1107"/>
        <v>0</v>
      </c>
      <c r="CJ130" s="49">
        <f t="shared" si="1107"/>
        <v>0</v>
      </c>
      <c r="CK130" s="49">
        <f t="shared" si="1107"/>
        <v>0</v>
      </c>
      <c r="CL130" s="49">
        <f t="shared" si="1107"/>
        <v>0</v>
      </c>
      <c r="CM130" s="49">
        <f t="shared" si="1107"/>
        <v>0</v>
      </c>
      <c r="CN130" s="49">
        <f t="shared" si="1107"/>
        <v>0</v>
      </c>
      <c r="CO130" s="49">
        <f t="shared" si="1107"/>
        <v>0</v>
      </c>
    </row>
    <row r="131" spans="1:93">
      <c r="A131" s="77"/>
      <c r="B131" s="168"/>
      <c r="C131" s="169"/>
      <c r="D131" s="10"/>
      <c r="E131" s="62"/>
      <c r="F131" s="11"/>
      <c r="G131" s="11"/>
      <c r="H131" s="10"/>
      <c r="I131" s="10" t="str">
        <f>IF(IFERROR(I130=Предпосылки!E181*I107*$I$104,I130=0),"")</f>
        <v/>
      </c>
      <c r="J131" s="10"/>
      <c r="K131" s="10"/>
      <c r="L131" s="170"/>
      <c r="M131" s="170"/>
      <c r="N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Z131" s="170"/>
      <c r="AA131" s="170"/>
      <c r="AB131" s="170"/>
      <c r="AC131" s="170"/>
      <c r="AD131" s="170"/>
      <c r="AE131" s="170"/>
      <c r="AF131" s="170"/>
      <c r="AG131" s="170"/>
      <c r="AH131" s="170"/>
      <c r="AI131" s="170"/>
      <c r="AJ131" s="170"/>
      <c r="AK131" s="170"/>
      <c r="AL131" s="170"/>
      <c r="AM131" s="170"/>
      <c r="AN131" s="170"/>
      <c r="AO131" s="170"/>
      <c r="AP131" s="170"/>
      <c r="AQ131" s="170"/>
      <c r="AR131" s="170"/>
      <c r="AS131" s="170"/>
      <c r="AT131" s="170"/>
      <c r="AU131" s="170"/>
      <c r="AV131" s="170"/>
      <c r="AW131" s="170"/>
      <c r="AX131" s="170"/>
      <c r="AY131" s="170"/>
      <c r="AZ131" s="170"/>
      <c r="BA131" s="170"/>
      <c r="BB131" s="170"/>
      <c r="BC131" s="170"/>
      <c r="BD131" s="170"/>
      <c r="BE131" s="170"/>
      <c r="BF131" s="170"/>
      <c r="BG131" s="170"/>
      <c r="BH131" s="170"/>
      <c r="BI131" s="170"/>
      <c r="BJ131" s="170"/>
      <c r="BK131" s="170"/>
      <c r="BL131" s="170"/>
      <c r="BM131" s="170"/>
      <c r="BN131" s="170"/>
      <c r="BO131" s="170"/>
      <c r="BP131" s="170"/>
      <c r="BQ131" s="170"/>
      <c r="BR131" s="170"/>
      <c r="BS131" s="170"/>
      <c r="BT131" s="170"/>
      <c r="BU131" s="170"/>
      <c r="BV131" s="170"/>
      <c r="BW131" s="170"/>
      <c r="BX131" s="170"/>
      <c r="BY131" s="170"/>
      <c r="BZ131" s="170"/>
      <c r="CA131" s="170"/>
      <c r="CB131" s="170"/>
      <c r="CC131" s="170"/>
      <c r="CD131" s="170"/>
      <c r="CE131" s="170"/>
      <c r="CF131" s="170"/>
      <c r="CG131" s="170"/>
      <c r="CH131" s="170"/>
      <c r="CI131" s="170"/>
      <c r="CJ131" s="170"/>
      <c r="CK131" s="170"/>
      <c r="CL131" s="170"/>
      <c r="CM131" s="170"/>
      <c r="CN131" s="170"/>
      <c r="CO131" s="170"/>
    </row>
    <row r="132" spans="1:93">
      <c r="A132" s="77"/>
      <c r="B132" s="168"/>
      <c r="C132" s="87" t="str">
        <f xml:space="preserve"> "Затраты на создание объектов " &amp; C33</f>
        <v>Затраты на создание объектов Коммунальная инфраструктура</v>
      </c>
      <c r="D132" s="10"/>
      <c r="E132" s="62"/>
      <c r="F132" s="11"/>
      <c r="G132" s="11"/>
      <c r="H132" s="10"/>
      <c r="I132" s="10"/>
      <c r="J132" s="10"/>
      <c r="K132" s="10"/>
      <c r="L132" s="170"/>
      <c r="M132" s="170"/>
      <c r="N132" s="170"/>
      <c r="O132" s="170"/>
      <c r="P132" s="170"/>
      <c r="Q132" s="170"/>
      <c r="R132" s="170"/>
      <c r="S132" s="170"/>
      <c r="T132" s="170"/>
      <c r="U132" s="170"/>
      <c r="V132" s="170"/>
      <c r="W132" s="170"/>
      <c r="X132" s="170"/>
      <c r="Y132" s="170"/>
      <c r="Z132" s="170"/>
      <c r="AA132" s="170"/>
      <c r="AB132" s="170"/>
      <c r="AC132" s="170"/>
      <c r="AD132" s="170"/>
      <c r="AE132" s="170"/>
      <c r="AF132" s="170"/>
      <c r="AG132" s="170"/>
      <c r="AH132" s="170"/>
      <c r="AI132" s="170"/>
      <c r="AJ132" s="170"/>
      <c r="AK132" s="170"/>
      <c r="AL132" s="170"/>
      <c r="AM132" s="170"/>
      <c r="AN132" s="170"/>
      <c r="AO132" s="170"/>
      <c r="AP132" s="170"/>
      <c r="AQ132" s="170"/>
      <c r="AR132" s="170"/>
      <c r="AS132" s="170"/>
      <c r="AT132" s="170"/>
      <c r="AU132" s="170"/>
      <c r="AV132" s="170"/>
      <c r="AW132" s="170"/>
      <c r="AX132" s="170"/>
      <c r="AY132" s="170"/>
      <c r="AZ132" s="170"/>
      <c r="BA132" s="170"/>
      <c r="BB132" s="170"/>
      <c r="BC132" s="170"/>
      <c r="BD132" s="170"/>
      <c r="BE132" s="170"/>
      <c r="BF132" s="170"/>
      <c r="BG132" s="170"/>
      <c r="BH132" s="170"/>
      <c r="BI132" s="170"/>
      <c r="BJ132" s="170"/>
      <c r="BK132" s="170"/>
      <c r="BL132" s="170"/>
      <c r="BM132" s="170"/>
      <c r="BN132" s="170"/>
      <c r="BO132" s="170"/>
      <c r="BP132" s="170"/>
      <c r="BQ132" s="170"/>
      <c r="BR132" s="170"/>
      <c r="BS132" s="170"/>
      <c r="BT132" s="170"/>
      <c r="BU132" s="170"/>
      <c r="BV132" s="170"/>
      <c r="BW132" s="170"/>
      <c r="BX132" s="170"/>
      <c r="BY132" s="170"/>
      <c r="BZ132" s="170"/>
      <c r="CA132" s="170"/>
      <c r="CB132" s="170"/>
      <c r="CC132" s="170"/>
      <c r="CD132" s="170"/>
      <c r="CE132" s="170"/>
      <c r="CF132" s="170"/>
      <c r="CG132" s="170"/>
      <c r="CH132" s="170"/>
      <c r="CI132" s="170"/>
      <c r="CJ132" s="170"/>
      <c r="CK132" s="170"/>
      <c r="CL132" s="170"/>
      <c r="CM132" s="170"/>
      <c r="CN132" s="170"/>
      <c r="CO132" s="170"/>
    </row>
    <row r="133" spans="1:93">
      <c r="A133" s="77"/>
      <c r="B133" s="168"/>
      <c r="C133" s="17" t="s">
        <v>632</v>
      </c>
      <c r="D133" s="10"/>
      <c r="E133" s="184">
        <f xml:space="preserve"> Предпосылки!E209 * $I$104 * $I$108</f>
        <v>0</v>
      </c>
      <c r="F133" s="11"/>
      <c r="G133" s="11" t="str">
        <f>Monetary_Unit</f>
        <v>тыс. руб.</v>
      </c>
      <c r="H133" s="10"/>
      <c r="I133" s="10"/>
      <c r="J133" s="10"/>
      <c r="K133" s="10"/>
      <c r="L133" s="171">
        <f xml:space="preserve"> Предпосылки!L216</f>
        <v>0</v>
      </c>
      <c r="M133" s="171">
        <f xml:space="preserve"> Предпосылки!M216</f>
        <v>0</v>
      </c>
      <c r="N133" s="171">
        <f xml:space="preserve"> Предпосылки!N216</f>
        <v>0</v>
      </c>
      <c r="O133" s="171">
        <f xml:space="preserve"> Предпосылки!O216</f>
        <v>0</v>
      </c>
      <c r="P133" s="171">
        <f xml:space="preserve"> Предпосылки!P216</f>
        <v>0</v>
      </c>
      <c r="Q133" s="171">
        <f xml:space="preserve"> Предпосылки!Q216</f>
        <v>0</v>
      </c>
      <c r="R133" s="171">
        <f xml:space="preserve"> Предпосылки!R216</f>
        <v>0</v>
      </c>
      <c r="S133" s="171">
        <f xml:space="preserve"> Предпосылки!S216</f>
        <v>0</v>
      </c>
      <c r="T133" s="171">
        <f xml:space="preserve"> Предпосылки!T216</f>
        <v>0</v>
      </c>
      <c r="U133" s="171">
        <f xml:space="preserve"> Предпосылки!U216</f>
        <v>0</v>
      </c>
      <c r="V133" s="171">
        <f xml:space="preserve"> Предпосылки!V216</f>
        <v>0</v>
      </c>
      <c r="W133" s="171">
        <f xml:space="preserve"> Предпосылки!W216</f>
        <v>0</v>
      </c>
      <c r="X133" s="171">
        <f xml:space="preserve"> Предпосылки!X216</f>
        <v>0</v>
      </c>
      <c r="Y133" s="171">
        <f xml:space="preserve"> Предпосылки!Y216</f>
        <v>0</v>
      </c>
      <c r="Z133" s="171">
        <f xml:space="preserve"> Предпосылки!Z216</f>
        <v>0</v>
      </c>
      <c r="AA133" s="171">
        <f xml:space="preserve"> Предпосылки!AA216</f>
        <v>0</v>
      </c>
      <c r="AB133" s="171">
        <f xml:space="preserve"> Предпосылки!AB216</f>
        <v>0</v>
      </c>
      <c r="AC133" s="171">
        <f xml:space="preserve"> Предпосылки!AC216</f>
        <v>0</v>
      </c>
      <c r="AD133" s="171">
        <f xml:space="preserve"> Предпосылки!AD216</f>
        <v>0</v>
      </c>
      <c r="AE133" s="171">
        <f xml:space="preserve"> Предпосылки!AE216</f>
        <v>0</v>
      </c>
      <c r="AF133" s="171">
        <f xml:space="preserve"> Предпосылки!AF216</f>
        <v>0</v>
      </c>
      <c r="AG133" s="171">
        <f xml:space="preserve"> Предпосылки!AG216</f>
        <v>0</v>
      </c>
      <c r="AH133" s="171">
        <f xml:space="preserve"> Предпосылки!AH216</f>
        <v>0</v>
      </c>
      <c r="AI133" s="171">
        <f xml:space="preserve"> Предпосылки!AI216</f>
        <v>0</v>
      </c>
      <c r="AJ133" s="171">
        <f xml:space="preserve"> Предпосылки!AJ216</f>
        <v>0</v>
      </c>
      <c r="AK133" s="171">
        <f xml:space="preserve"> Предпосылки!AK216</f>
        <v>0</v>
      </c>
      <c r="AL133" s="171">
        <f xml:space="preserve"> Предпосылки!AL216</f>
        <v>0</v>
      </c>
      <c r="AM133" s="171">
        <f xml:space="preserve"> Предпосылки!AM216</f>
        <v>0</v>
      </c>
      <c r="AN133" s="171">
        <f xml:space="preserve"> Предпосылки!AN216</f>
        <v>0</v>
      </c>
      <c r="AO133" s="171">
        <f xml:space="preserve"> Предпосылки!AO216</f>
        <v>0</v>
      </c>
      <c r="AP133" s="171">
        <f xml:space="preserve"> Предпосылки!AP216</f>
        <v>0</v>
      </c>
      <c r="AQ133" s="171">
        <f xml:space="preserve"> Предпосылки!AQ216</f>
        <v>0</v>
      </c>
      <c r="AR133" s="171">
        <f xml:space="preserve"> Предпосылки!AR216</f>
        <v>0</v>
      </c>
      <c r="AS133" s="171">
        <f xml:space="preserve"> Предпосылки!AS216</f>
        <v>0</v>
      </c>
      <c r="AT133" s="171">
        <f xml:space="preserve"> Предпосылки!AT216</f>
        <v>0</v>
      </c>
      <c r="AU133" s="171">
        <f xml:space="preserve"> Предпосылки!AU216</f>
        <v>0</v>
      </c>
      <c r="AV133" s="171">
        <f xml:space="preserve"> Предпосылки!AV216</f>
        <v>0</v>
      </c>
      <c r="AW133" s="171">
        <f xml:space="preserve"> Предпосылки!AW216</f>
        <v>0</v>
      </c>
      <c r="AX133" s="171">
        <f xml:space="preserve"> Предпосылки!AX216</f>
        <v>0</v>
      </c>
      <c r="AY133" s="171">
        <f xml:space="preserve"> Предпосылки!AY216</f>
        <v>0</v>
      </c>
      <c r="AZ133" s="171">
        <f xml:space="preserve"> Предпосылки!AZ216</f>
        <v>0</v>
      </c>
      <c r="BA133" s="171">
        <f xml:space="preserve"> Предпосылки!BA216</f>
        <v>0</v>
      </c>
      <c r="BB133" s="171">
        <f xml:space="preserve"> Предпосылки!BB216</f>
        <v>0</v>
      </c>
      <c r="BC133" s="171">
        <f xml:space="preserve"> Предпосылки!BC216</f>
        <v>0</v>
      </c>
      <c r="BD133" s="171">
        <f xml:space="preserve"> Предпосылки!BD216</f>
        <v>0</v>
      </c>
      <c r="BE133" s="171">
        <f xml:space="preserve"> Предпосылки!BE216</f>
        <v>0</v>
      </c>
      <c r="BF133" s="171">
        <f xml:space="preserve"> Предпосылки!BF216</f>
        <v>0</v>
      </c>
      <c r="BG133" s="171">
        <f xml:space="preserve"> Предпосылки!BG216</f>
        <v>0</v>
      </c>
      <c r="BH133" s="171">
        <f xml:space="preserve"> Предпосылки!BH216</f>
        <v>0</v>
      </c>
      <c r="BI133" s="171">
        <f xml:space="preserve"> Предпосылки!BI216</f>
        <v>0</v>
      </c>
      <c r="BJ133" s="171">
        <f xml:space="preserve"> Предпосылки!BJ216</f>
        <v>0</v>
      </c>
      <c r="BK133" s="171">
        <f xml:space="preserve"> Предпосылки!BK216</f>
        <v>0</v>
      </c>
      <c r="BL133" s="171">
        <f xml:space="preserve"> Предпосылки!BL216</f>
        <v>0</v>
      </c>
      <c r="BM133" s="171">
        <f xml:space="preserve"> Предпосылки!BM216</f>
        <v>0</v>
      </c>
      <c r="BN133" s="171">
        <f xml:space="preserve"> Предпосылки!BN216</f>
        <v>0</v>
      </c>
      <c r="BO133" s="171">
        <f xml:space="preserve"> Предпосылки!BO216</f>
        <v>0</v>
      </c>
      <c r="BP133" s="171">
        <f xml:space="preserve"> Предпосылки!BP216</f>
        <v>0</v>
      </c>
      <c r="BQ133" s="171">
        <f xml:space="preserve"> Предпосылки!BQ216</f>
        <v>0</v>
      </c>
      <c r="BR133" s="171">
        <f xml:space="preserve"> Предпосылки!BR216</f>
        <v>0</v>
      </c>
      <c r="BS133" s="171">
        <f xml:space="preserve"> Предпосылки!BS216</f>
        <v>0</v>
      </c>
      <c r="BT133" s="171">
        <f xml:space="preserve"> Предпосылки!BT216</f>
        <v>0</v>
      </c>
      <c r="BU133" s="171">
        <f xml:space="preserve"> Предпосылки!BU216</f>
        <v>0</v>
      </c>
      <c r="BV133" s="171">
        <f xml:space="preserve"> Предпосылки!BV216</f>
        <v>0</v>
      </c>
      <c r="BW133" s="171">
        <f xml:space="preserve"> Предпосылки!BW216</f>
        <v>0</v>
      </c>
      <c r="BX133" s="171">
        <f xml:space="preserve"> Предпосылки!BX216</f>
        <v>0</v>
      </c>
      <c r="BY133" s="171">
        <f xml:space="preserve"> Предпосылки!BY216</f>
        <v>0</v>
      </c>
      <c r="BZ133" s="171">
        <f xml:space="preserve"> Предпосылки!BZ216</f>
        <v>0</v>
      </c>
      <c r="CA133" s="171">
        <f xml:space="preserve"> Предпосылки!CA216</f>
        <v>0</v>
      </c>
      <c r="CB133" s="171">
        <f xml:space="preserve"> Предпосылки!CB216</f>
        <v>0</v>
      </c>
      <c r="CC133" s="171">
        <f xml:space="preserve"> Предпосылки!CC216</f>
        <v>0</v>
      </c>
      <c r="CD133" s="171">
        <f xml:space="preserve"> Предпосылки!CD216</f>
        <v>0</v>
      </c>
      <c r="CE133" s="171">
        <f xml:space="preserve"> Предпосылки!CE216</f>
        <v>0</v>
      </c>
      <c r="CF133" s="171">
        <f xml:space="preserve"> Предпосылки!CF216</f>
        <v>0</v>
      </c>
      <c r="CG133" s="171">
        <f xml:space="preserve"> Предпосылки!CG216</f>
        <v>0</v>
      </c>
      <c r="CH133" s="171">
        <f xml:space="preserve"> Предпосылки!CH216</f>
        <v>0</v>
      </c>
      <c r="CI133" s="171">
        <f xml:space="preserve"> Предпосылки!CI216</f>
        <v>0</v>
      </c>
      <c r="CJ133" s="171">
        <f xml:space="preserve"> Предпосылки!CJ216</f>
        <v>0</v>
      </c>
      <c r="CK133" s="171">
        <f xml:space="preserve"> Предпосылки!CK216</f>
        <v>0</v>
      </c>
      <c r="CL133" s="171">
        <f xml:space="preserve"> Предпосылки!CL216</f>
        <v>0</v>
      </c>
      <c r="CM133" s="171">
        <f xml:space="preserve"> Предпосылки!CM216</f>
        <v>0</v>
      </c>
      <c r="CN133" s="171">
        <f xml:space="preserve"> Предпосылки!CN216</f>
        <v>0</v>
      </c>
      <c r="CO133" s="171">
        <f xml:space="preserve"> Предпосылки!CO216</f>
        <v>0</v>
      </c>
    </row>
    <row r="134" spans="1:93">
      <c r="A134" s="77"/>
      <c r="B134" s="168"/>
      <c r="C134" s="17" t="s">
        <v>634</v>
      </c>
      <c r="D134" s="10"/>
      <c r="E134" s="184">
        <f xml:space="preserve"> Предпосылки!E210 * $I$104 * $I$108</f>
        <v>0</v>
      </c>
      <c r="F134" s="11"/>
      <c r="G134" s="11" t="str">
        <f>Monetary_Unit</f>
        <v>тыс. руб.</v>
      </c>
      <c r="H134" s="10"/>
      <c r="I134" s="10"/>
      <c r="J134" s="10"/>
      <c r="K134" s="10"/>
      <c r="L134" s="171">
        <f xml:space="preserve"> Предпосылки!L217</f>
        <v>0</v>
      </c>
      <c r="M134" s="171">
        <f xml:space="preserve"> Предпосылки!M217</f>
        <v>0</v>
      </c>
      <c r="N134" s="171">
        <f xml:space="preserve"> Предпосылки!N217</f>
        <v>0</v>
      </c>
      <c r="O134" s="171">
        <f xml:space="preserve"> Предпосылки!O217</f>
        <v>0</v>
      </c>
      <c r="P134" s="171">
        <f xml:space="preserve"> Предпосылки!P217</f>
        <v>0</v>
      </c>
      <c r="Q134" s="171">
        <f xml:space="preserve"> Предпосылки!Q217</f>
        <v>0</v>
      </c>
      <c r="R134" s="171">
        <f xml:space="preserve"> Предпосылки!R217</f>
        <v>0</v>
      </c>
      <c r="S134" s="171">
        <f xml:space="preserve"> Предпосылки!S217</f>
        <v>0</v>
      </c>
      <c r="T134" s="171">
        <f xml:space="preserve"> Предпосылки!T217</f>
        <v>0</v>
      </c>
      <c r="U134" s="171">
        <f xml:space="preserve"> Предпосылки!U217</f>
        <v>0</v>
      </c>
      <c r="V134" s="171">
        <f xml:space="preserve"> Предпосылки!V217</f>
        <v>0</v>
      </c>
      <c r="W134" s="171">
        <f xml:space="preserve"> Предпосылки!W217</f>
        <v>0</v>
      </c>
      <c r="X134" s="171">
        <f xml:space="preserve"> Предпосылки!X217</f>
        <v>0</v>
      </c>
      <c r="Y134" s="171">
        <f xml:space="preserve"> Предпосылки!Y217</f>
        <v>0</v>
      </c>
      <c r="Z134" s="171">
        <f xml:space="preserve"> Предпосылки!Z217</f>
        <v>0</v>
      </c>
      <c r="AA134" s="171">
        <f xml:space="preserve"> Предпосылки!AA217</f>
        <v>0</v>
      </c>
      <c r="AB134" s="171">
        <f xml:space="preserve"> Предпосылки!AB217</f>
        <v>0</v>
      </c>
      <c r="AC134" s="171">
        <f xml:space="preserve"> Предпосылки!AC217</f>
        <v>0</v>
      </c>
      <c r="AD134" s="171">
        <f xml:space="preserve"> Предпосылки!AD217</f>
        <v>0</v>
      </c>
      <c r="AE134" s="171">
        <f xml:space="preserve"> Предпосылки!AE217</f>
        <v>0</v>
      </c>
      <c r="AF134" s="171">
        <f xml:space="preserve"> Предпосылки!AF217</f>
        <v>0</v>
      </c>
      <c r="AG134" s="171">
        <f xml:space="preserve"> Предпосылки!AG217</f>
        <v>0</v>
      </c>
      <c r="AH134" s="171">
        <f xml:space="preserve"> Предпосылки!AH217</f>
        <v>0</v>
      </c>
      <c r="AI134" s="171">
        <f xml:space="preserve"> Предпосылки!AI217</f>
        <v>0</v>
      </c>
      <c r="AJ134" s="171">
        <f xml:space="preserve"> Предпосылки!AJ217</f>
        <v>0</v>
      </c>
      <c r="AK134" s="171">
        <f xml:space="preserve"> Предпосылки!AK217</f>
        <v>0</v>
      </c>
      <c r="AL134" s="171">
        <f xml:space="preserve"> Предпосылки!AL217</f>
        <v>0</v>
      </c>
      <c r="AM134" s="171">
        <f xml:space="preserve"> Предпосылки!AM217</f>
        <v>0</v>
      </c>
      <c r="AN134" s="171">
        <f xml:space="preserve"> Предпосылки!AN217</f>
        <v>0</v>
      </c>
      <c r="AO134" s="171">
        <f xml:space="preserve"> Предпосылки!AO217</f>
        <v>0</v>
      </c>
      <c r="AP134" s="171">
        <f xml:space="preserve"> Предпосылки!AP217</f>
        <v>0</v>
      </c>
      <c r="AQ134" s="171">
        <f xml:space="preserve"> Предпосылки!AQ217</f>
        <v>0</v>
      </c>
      <c r="AR134" s="171">
        <f xml:space="preserve"> Предпосылки!AR217</f>
        <v>0</v>
      </c>
      <c r="AS134" s="171">
        <f xml:space="preserve"> Предпосылки!AS217</f>
        <v>0</v>
      </c>
      <c r="AT134" s="171">
        <f xml:space="preserve"> Предпосылки!AT217</f>
        <v>0</v>
      </c>
      <c r="AU134" s="171">
        <f xml:space="preserve"> Предпосылки!AU217</f>
        <v>0</v>
      </c>
      <c r="AV134" s="171">
        <f xml:space="preserve"> Предпосылки!AV217</f>
        <v>0</v>
      </c>
      <c r="AW134" s="171">
        <f xml:space="preserve"> Предпосылки!AW217</f>
        <v>0</v>
      </c>
      <c r="AX134" s="171">
        <f xml:space="preserve"> Предпосылки!AX217</f>
        <v>0</v>
      </c>
      <c r="AY134" s="171">
        <f xml:space="preserve"> Предпосылки!AY217</f>
        <v>0</v>
      </c>
      <c r="AZ134" s="171">
        <f xml:space="preserve"> Предпосылки!AZ217</f>
        <v>0</v>
      </c>
      <c r="BA134" s="171">
        <f xml:space="preserve"> Предпосылки!BA217</f>
        <v>0</v>
      </c>
      <c r="BB134" s="171">
        <f xml:space="preserve"> Предпосылки!BB217</f>
        <v>0</v>
      </c>
      <c r="BC134" s="171">
        <f xml:space="preserve"> Предпосылки!BC217</f>
        <v>0</v>
      </c>
      <c r="BD134" s="171">
        <f xml:space="preserve"> Предпосылки!BD217</f>
        <v>0</v>
      </c>
      <c r="BE134" s="171">
        <f xml:space="preserve"> Предпосылки!BE217</f>
        <v>0</v>
      </c>
      <c r="BF134" s="171">
        <f xml:space="preserve"> Предпосылки!BF217</f>
        <v>0</v>
      </c>
      <c r="BG134" s="171">
        <f xml:space="preserve"> Предпосылки!BG217</f>
        <v>0</v>
      </c>
      <c r="BH134" s="171">
        <f xml:space="preserve"> Предпосылки!BH217</f>
        <v>0</v>
      </c>
      <c r="BI134" s="171">
        <f xml:space="preserve"> Предпосылки!BI217</f>
        <v>0</v>
      </c>
      <c r="BJ134" s="171">
        <f xml:space="preserve"> Предпосылки!BJ217</f>
        <v>0</v>
      </c>
      <c r="BK134" s="171">
        <f xml:space="preserve"> Предпосылки!BK217</f>
        <v>0</v>
      </c>
      <c r="BL134" s="171">
        <f xml:space="preserve"> Предпосылки!BL217</f>
        <v>0</v>
      </c>
      <c r="BM134" s="171">
        <f xml:space="preserve"> Предпосылки!BM217</f>
        <v>0</v>
      </c>
      <c r="BN134" s="171">
        <f xml:space="preserve"> Предпосылки!BN217</f>
        <v>0</v>
      </c>
      <c r="BO134" s="171">
        <f xml:space="preserve"> Предпосылки!BO217</f>
        <v>0</v>
      </c>
      <c r="BP134" s="171">
        <f xml:space="preserve"> Предпосылки!BP217</f>
        <v>0</v>
      </c>
      <c r="BQ134" s="171">
        <f xml:space="preserve"> Предпосылки!BQ217</f>
        <v>0</v>
      </c>
      <c r="BR134" s="171">
        <f xml:space="preserve"> Предпосылки!BR217</f>
        <v>0</v>
      </c>
      <c r="BS134" s="171">
        <f xml:space="preserve"> Предпосылки!BS217</f>
        <v>0</v>
      </c>
      <c r="BT134" s="171">
        <f xml:space="preserve"> Предпосылки!BT217</f>
        <v>0</v>
      </c>
      <c r="BU134" s="171">
        <f xml:space="preserve"> Предпосылки!BU217</f>
        <v>0</v>
      </c>
      <c r="BV134" s="171">
        <f xml:space="preserve"> Предпосылки!BV217</f>
        <v>0</v>
      </c>
      <c r="BW134" s="171">
        <f xml:space="preserve"> Предпосылки!BW217</f>
        <v>0</v>
      </c>
      <c r="BX134" s="171">
        <f xml:space="preserve"> Предпосылки!BX217</f>
        <v>0</v>
      </c>
      <c r="BY134" s="171">
        <f xml:space="preserve"> Предпосылки!BY217</f>
        <v>0</v>
      </c>
      <c r="BZ134" s="171">
        <f xml:space="preserve"> Предпосылки!BZ217</f>
        <v>0</v>
      </c>
      <c r="CA134" s="171">
        <f xml:space="preserve"> Предпосылки!CA217</f>
        <v>0</v>
      </c>
      <c r="CB134" s="171">
        <f xml:space="preserve"> Предпосылки!CB217</f>
        <v>0</v>
      </c>
      <c r="CC134" s="171">
        <f xml:space="preserve"> Предпосылки!CC217</f>
        <v>0</v>
      </c>
      <c r="CD134" s="171">
        <f xml:space="preserve"> Предпосылки!CD217</f>
        <v>0</v>
      </c>
      <c r="CE134" s="171">
        <f xml:space="preserve"> Предпосылки!CE217</f>
        <v>0</v>
      </c>
      <c r="CF134" s="171">
        <f xml:space="preserve"> Предпосылки!CF217</f>
        <v>0</v>
      </c>
      <c r="CG134" s="171">
        <f xml:space="preserve"> Предпосылки!CG217</f>
        <v>0</v>
      </c>
      <c r="CH134" s="171">
        <f xml:space="preserve"> Предпосылки!CH217</f>
        <v>0</v>
      </c>
      <c r="CI134" s="171">
        <f xml:space="preserve"> Предпосылки!CI217</f>
        <v>0</v>
      </c>
      <c r="CJ134" s="171">
        <f xml:space="preserve"> Предпосылки!CJ217</f>
        <v>0</v>
      </c>
      <c r="CK134" s="171">
        <f xml:space="preserve"> Предпосылки!CK217</f>
        <v>0</v>
      </c>
      <c r="CL134" s="171">
        <f xml:space="preserve"> Предпосылки!CL217</f>
        <v>0</v>
      </c>
      <c r="CM134" s="171">
        <f xml:space="preserve"> Предпосылки!CM217</f>
        <v>0</v>
      </c>
      <c r="CN134" s="171">
        <f xml:space="preserve"> Предпосылки!CN217</f>
        <v>0</v>
      </c>
      <c r="CO134" s="171">
        <f xml:space="preserve"> Предпосылки!CO217</f>
        <v>0</v>
      </c>
    </row>
    <row r="135" spans="1:93">
      <c r="A135" s="77"/>
      <c r="B135" s="168"/>
      <c r="C135" s="17" t="s">
        <v>848</v>
      </c>
      <c r="D135" s="10"/>
      <c r="E135" s="184">
        <f xml:space="preserve"> Предпосылки!E211 * $I$104 * $I$108</f>
        <v>0</v>
      </c>
      <c r="F135" s="11"/>
      <c r="G135" s="11" t="str">
        <f>Monetary_Unit</f>
        <v>тыс. руб.</v>
      </c>
      <c r="H135" s="10"/>
      <c r="I135" s="10"/>
      <c r="J135" s="10"/>
      <c r="K135" s="10"/>
      <c r="L135" s="171">
        <f xml:space="preserve"> Предпосылки!L218</f>
        <v>0</v>
      </c>
      <c r="M135" s="171">
        <f xml:space="preserve"> Предпосылки!M218</f>
        <v>0</v>
      </c>
      <c r="N135" s="171">
        <f xml:space="preserve"> Предпосылки!N218</f>
        <v>0</v>
      </c>
      <c r="O135" s="171">
        <f xml:space="preserve"> Предпосылки!O218</f>
        <v>0</v>
      </c>
      <c r="P135" s="171">
        <f xml:space="preserve"> Предпосылки!P218</f>
        <v>0</v>
      </c>
      <c r="Q135" s="171">
        <f xml:space="preserve"> Предпосылки!Q218</f>
        <v>0</v>
      </c>
      <c r="R135" s="171">
        <f xml:space="preserve"> Предпосылки!R218</f>
        <v>0</v>
      </c>
      <c r="S135" s="171">
        <f xml:space="preserve"> Предпосылки!S218</f>
        <v>0</v>
      </c>
      <c r="T135" s="171">
        <f xml:space="preserve"> Предпосылки!T218</f>
        <v>0</v>
      </c>
      <c r="U135" s="171">
        <f xml:space="preserve"> Предпосылки!U218</f>
        <v>0</v>
      </c>
      <c r="V135" s="171">
        <f xml:space="preserve"> Предпосылки!V218</f>
        <v>0</v>
      </c>
      <c r="W135" s="171">
        <f xml:space="preserve"> Предпосылки!W218</f>
        <v>0</v>
      </c>
      <c r="X135" s="171">
        <f xml:space="preserve"> Предпосылки!X218</f>
        <v>0</v>
      </c>
      <c r="Y135" s="171">
        <f xml:space="preserve"> Предпосылки!Y218</f>
        <v>0</v>
      </c>
      <c r="Z135" s="171">
        <f xml:space="preserve"> Предпосылки!Z218</f>
        <v>0</v>
      </c>
      <c r="AA135" s="171">
        <f xml:space="preserve"> Предпосылки!AA218</f>
        <v>0</v>
      </c>
      <c r="AB135" s="171">
        <f xml:space="preserve"> Предпосылки!AB218</f>
        <v>0</v>
      </c>
      <c r="AC135" s="171">
        <f xml:space="preserve"> Предпосылки!AC218</f>
        <v>0</v>
      </c>
      <c r="AD135" s="171">
        <f xml:space="preserve"> Предпосылки!AD218</f>
        <v>0</v>
      </c>
      <c r="AE135" s="171">
        <f xml:space="preserve"> Предпосылки!AE218</f>
        <v>0</v>
      </c>
      <c r="AF135" s="171">
        <f xml:space="preserve"> Предпосылки!AF218</f>
        <v>0</v>
      </c>
      <c r="AG135" s="171">
        <f xml:space="preserve"> Предпосылки!AG218</f>
        <v>0</v>
      </c>
      <c r="AH135" s="171">
        <f xml:space="preserve"> Предпосылки!AH218</f>
        <v>0</v>
      </c>
      <c r="AI135" s="171">
        <f xml:space="preserve"> Предпосылки!AI218</f>
        <v>0</v>
      </c>
      <c r="AJ135" s="171">
        <f xml:space="preserve"> Предпосылки!AJ218</f>
        <v>0</v>
      </c>
      <c r="AK135" s="171">
        <f xml:space="preserve"> Предпосылки!AK218</f>
        <v>0</v>
      </c>
      <c r="AL135" s="171">
        <f xml:space="preserve"> Предпосылки!AL218</f>
        <v>0</v>
      </c>
      <c r="AM135" s="171">
        <f xml:space="preserve"> Предпосылки!AM218</f>
        <v>0</v>
      </c>
      <c r="AN135" s="171">
        <f xml:space="preserve"> Предпосылки!AN218</f>
        <v>0</v>
      </c>
      <c r="AO135" s="171">
        <f xml:space="preserve"> Предпосылки!AO218</f>
        <v>0</v>
      </c>
      <c r="AP135" s="171">
        <f xml:space="preserve"> Предпосылки!AP218</f>
        <v>0</v>
      </c>
      <c r="AQ135" s="171">
        <f xml:space="preserve"> Предпосылки!AQ218</f>
        <v>0</v>
      </c>
      <c r="AR135" s="171">
        <f xml:space="preserve"> Предпосылки!AR218</f>
        <v>0</v>
      </c>
      <c r="AS135" s="171">
        <f xml:space="preserve"> Предпосылки!AS218</f>
        <v>0</v>
      </c>
      <c r="AT135" s="171">
        <f xml:space="preserve"> Предпосылки!AT218</f>
        <v>0</v>
      </c>
      <c r="AU135" s="171">
        <f xml:space="preserve"> Предпосылки!AU218</f>
        <v>0</v>
      </c>
      <c r="AV135" s="171">
        <f xml:space="preserve"> Предпосылки!AV218</f>
        <v>0</v>
      </c>
      <c r="AW135" s="171">
        <f xml:space="preserve"> Предпосылки!AW218</f>
        <v>0</v>
      </c>
      <c r="AX135" s="171">
        <f xml:space="preserve"> Предпосылки!AX218</f>
        <v>0</v>
      </c>
      <c r="AY135" s="171">
        <f xml:space="preserve"> Предпосылки!AY218</f>
        <v>0</v>
      </c>
      <c r="AZ135" s="171">
        <f xml:space="preserve"> Предпосылки!AZ218</f>
        <v>0</v>
      </c>
      <c r="BA135" s="171">
        <f xml:space="preserve"> Предпосылки!BA218</f>
        <v>0</v>
      </c>
      <c r="BB135" s="171">
        <f xml:space="preserve"> Предпосылки!BB218</f>
        <v>0</v>
      </c>
      <c r="BC135" s="171">
        <f xml:space="preserve"> Предпосылки!BC218</f>
        <v>0</v>
      </c>
      <c r="BD135" s="171">
        <f xml:space="preserve"> Предпосылки!BD218</f>
        <v>0</v>
      </c>
      <c r="BE135" s="171">
        <f xml:space="preserve"> Предпосылки!BE218</f>
        <v>0</v>
      </c>
      <c r="BF135" s="171">
        <f xml:space="preserve"> Предпосылки!BF218</f>
        <v>0</v>
      </c>
      <c r="BG135" s="171">
        <f xml:space="preserve"> Предпосылки!BG218</f>
        <v>0</v>
      </c>
      <c r="BH135" s="171">
        <f xml:space="preserve"> Предпосылки!BH218</f>
        <v>0</v>
      </c>
      <c r="BI135" s="171">
        <f xml:space="preserve"> Предпосылки!BI218</f>
        <v>0</v>
      </c>
      <c r="BJ135" s="171">
        <f xml:space="preserve"> Предпосылки!BJ218</f>
        <v>0</v>
      </c>
      <c r="BK135" s="171">
        <f xml:space="preserve"> Предпосылки!BK218</f>
        <v>0</v>
      </c>
      <c r="BL135" s="171">
        <f xml:space="preserve"> Предпосылки!BL218</f>
        <v>0</v>
      </c>
      <c r="BM135" s="171">
        <f xml:space="preserve"> Предпосылки!BM218</f>
        <v>0</v>
      </c>
      <c r="BN135" s="171">
        <f xml:space="preserve"> Предпосылки!BN218</f>
        <v>0</v>
      </c>
      <c r="BO135" s="171">
        <f xml:space="preserve"> Предпосылки!BO218</f>
        <v>0</v>
      </c>
      <c r="BP135" s="171">
        <f xml:space="preserve"> Предпосылки!BP218</f>
        <v>0</v>
      </c>
      <c r="BQ135" s="171">
        <f xml:space="preserve"> Предпосылки!BQ218</f>
        <v>0</v>
      </c>
      <c r="BR135" s="171">
        <f xml:space="preserve"> Предпосылки!BR218</f>
        <v>0</v>
      </c>
      <c r="BS135" s="171">
        <f xml:space="preserve"> Предпосылки!BS218</f>
        <v>0</v>
      </c>
      <c r="BT135" s="171">
        <f xml:space="preserve"> Предпосылки!BT218</f>
        <v>0</v>
      </c>
      <c r="BU135" s="171">
        <f xml:space="preserve"> Предпосылки!BU218</f>
        <v>0</v>
      </c>
      <c r="BV135" s="171">
        <f xml:space="preserve"> Предпосылки!BV218</f>
        <v>0</v>
      </c>
      <c r="BW135" s="171">
        <f xml:space="preserve"> Предпосылки!BW218</f>
        <v>0</v>
      </c>
      <c r="BX135" s="171">
        <f xml:space="preserve"> Предпосылки!BX218</f>
        <v>0</v>
      </c>
      <c r="BY135" s="171">
        <f xml:space="preserve"> Предпосылки!BY218</f>
        <v>0</v>
      </c>
      <c r="BZ135" s="171">
        <f xml:space="preserve"> Предпосылки!BZ218</f>
        <v>0</v>
      </c>
      <c r="CA135" s="171">
        <f xml:space="preserve"> Предпосылки!CA218</f>
        <v>0</v>
      </c>
      <c r="CB135" s="171">
        <f xml:space="preserve"> Предпосылки!CB218</f>
        <v>0</v>
      </c>
      <c r="CC135" s="171">
        <f xml:space="preserve"> Предпосылки!CC218</f>
        <v>0</v>
      </c>
      <c r="CD135" s="171">
        <f xml:space="preserve"> Предпосылки!CD218</f>
        <v>0</v>
      </c>
      <c r="CE135" s="171">
        <f xml:space="preserve"> Предпосылки!CE218</f>
        <v>0</v>
      </c>
      <c r="CF135" s="171">
        <f xml:space="preserve"> Предпосылки!CF218</f>
        <v>0</v>
      </c>
      <c r="CG135" s="171">
        <f xml:space="preserve"> Предпосылки!CG218</f>
        <v>0</v>
      </c>
      <c r="CH135" s="171">
        <f xml:space="preserve"> Предпосылки!CH218</f>
        <v>0</v>
      </c>
      <c r="CI135" s="171">
        <f xml:space="preserve"> Предпосылки!CI218</f>
        <v>0</v>
      </c>
      <c r="CJ135" s="171">
        <f xml:space="preserve"> Предпосылки!CJ218</f>
        <v>0</v>
      </c>
      <c r="CK135" s="171">
        <f xml:space="preserve"> Предпосылки!CK218</f>
        <v>0</v>
      </c>
      <c r="CL135" s="171">
        <f xml:space="preserve"> Предпосылки!CL218</f>
        <v>0</v>
      </c>
      <c r="CM135" s="171">
        <f xml:space="preserve"> Предпосылки!CM218</f>
        <v>0</v>
      </c>
      <c r="CN135" s="171">
        <f xml:space="preserve"> Предпосылки!CN218</f>
        <v>0</v>
      </c>
      <c r="CO135" s="171">
        <f xml:space="preserve"> Предпосылки!CO218</f>
        <v>0</v>
      </c>
    </row>
    <row r="136" spans="1:93">
      <c r="A136" s="77"/>
      <c r="B136" s="168"/>
      <c r="C136" s="17" t="s">
        <v>824</v>
      </c>
      <c r="D136" s="10"/>
      <c r="E136" s="232">
        <f xml:space="preserve"> Предпосылки!E206</f>
        <v>0</v>
      </c>
      <c r="F136" s="11"/>
      <c r="G136" s="11" t="s">
        <v>627</v>
      </c>
      <c r="H136" s="10"/>
      <c r="I136" s="10"/>
      <c r="J136" s="10"/>
      <c r="K136" s="10"/>
      <c r="L136" s="170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  <c r="Z136" s="170"/>
      <c r="AA136" s="170"/>
      <c r="AB136" s="170"/>
      <c r="AC136" s="170"/>
      <c r="AD136" s="170"/>
      <c r="AE136" s="170"/>
      <c r="AF136" s="170"/>
      <c r="AG136" s="170"/>
      <c r="AH136" s="170"/>
      <c r="AI136" s="170"/>
      <c r="AJ136" s="170"/>
      <c r="AK136" s="170"/>
      <c r="AL136" s="170"/>
      <c r="AM136" s="170"/>
      <c r="AN136" s="170"/>
      <c r="AO136" s="170"/>
      <c r="AP136" s="170"/>
      <c r="AQ136" s="170"/>
      <c r="AR136" s="170"/>
      <c r="AS136" s="170"/>
      <c r="AT136" s="170"/>
      <c r="AU136" s="170"/>
      <c r="AV136" s="170"/>
      <c r="AW136" s="170"/>
      <c r="AX136" s="170"/>
      <c r="AY136" s="170"/>
      <c r="AZ136" s="170"/>
      <c r="BA136" s="170"/>
      <c r="BB136" s="170"/>
      <c r="BC136" s="170"/>
      <c r="BD136" s="170"/>
      <c r="BE136" s="170"/>
      <c r="BF136" s="170"/>
      <c r="BG136" s="170"/>
      <c r="BH136" s="170"/>
      <c r="BI136" s="170"/>
      <c r="BJ136" s="170"/>
      <c r="BK136" s="170"/>
      <c r="BL136" s="170"/>
      <c r="BM136" s="170"/>
      <c r="BN136" s="170"/>
      <c r="BO136" s="170"/>
      <c r="BP136" s="170"/>
      <c r="BQ136" s="170"/>
      <c r="BR136" s="170"/>
      <c r="BS136" s="170"/>
      <c r="BT136" s="170"/>
      <c r="BU136" s="170"/>
      <c r="BV136" s="170"/>
      <c r="BW136" s="170"/>
      <c r="BX136" s="170"/>
      <c r="BY136" s="170"/>
      <c r="BZ136" s="170"/>
      <c r="CA136" s="170"/>
      <c r="CB136" s="170"/>
      <c r="CC136" s="170"/>
      <c r="CD136" s="170"/>
      <c r="CE136" s="170"/>
      <c r="CF136" s="170"/>
      <c r="CG136" s="170"/>
      <c r="CH136" s="170"/>
      <c r="CI136" s="170"/>
      <c r="CJ136" s="170"/>
      <c r="CK136" s="170"/>
      <c r="CL136" s="170"/>
      <c r="CM136" s="170"/>
      <c r="CN136" s="170"/>
      <c r="CO136" s="170"/>
    </row>
    <row r="137" spans="1:93">
      <c r="A137" s="77"/>
      <c r="B137" s="168"/>
      <c r="C137" s="169"/>
      <c r="D137" s="10"/>
      <c r="E137" s="62"/>
      <c r="F137" s="11"/>
      <c r="G137" s="11"/>
      <c r="H137" s="10"/>
      <c r="I137" s="10"/>
      <c r="J137" s="10"/>
      <c r="K137" s="1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  <c r="AP137" s="170"/>
      <c r="AQ137" s="170"/>
      <c r="AR137" s="170"/>
      <c r="AS137" s="170"/>
      <c r="AT137" s="170"/>
      <c r="AU137" s="170"/>
      <c r="AV137" s="170"/>
      <c r="AW137" s="170"/>
      <c r="AX137" s="170"/>
      <c r="AY137" s="170"/>
      <c r="AZ137" s="170"/>
      <c r="BA137" s="170"/>
      <c r="BB137" s="170"/>
      <c r="BC137" s="170"/>
      <c r="BD137" s="170"/>
      <c r="BE137" s="170"/>
      <c r="BF137" s="170"/>
      <c r="BG137" s="170"/>
      <c r="BH137" s="170"/>
      <c r="BI137" s="170"/>
      <c r="BJ137" s="170"/>
      <c r="BK137" s="170"/>
      <c r="BL137" s="170"/>
      <c r="BM137" s="170"/>
      <c r="BN137" s="170"/>
      <c r="BO137" s="170"/>
      <c r="BP137" s="170"/>
      <c r="BQ137" s="170"/>
      <c r="BR137" s="170"/>
      <c r="BS137" s="170"/>
      <c r="BT137" s="170"/>
      <c r="BU137" s="170"/>
      <c r="BV137" s="170"/>
      <c r="BW137" s="170"/>
      <c r="BX137" s="170"/>
      <c r="BY137" s="170"/>
      <c r="BZ137" s="170"/>
      <c r="CA137" s="170"/>
      <c r="CB137" s="170"/>
      <c r="CC137" s="170"/>
      <c r="CD137" s="170"/>
      <c r="CE137" s="170"/>
      <c r="CF137" s="170"/>
      <c r="CG137" s="170"/>
      <c r="CH137" s="170"/>
      <c r="CI137" s="170"/>
      <c r="CJ137" s="170"/>
      <c r="CK137" s="170"/>
      <c r="CL137" s="170"/>
      <c r="CM137" s="170"/>
      <c r="CN137" s="170"/>
      <c r="CO137" s="170"/>
    </row>
    <row r="138" spans="1:93">
      <c r="A138" s="77"/>
      <c r="B138" s="168"/>
      <c r="C138" s="17" t="s">
        <v>632</v>
      </c>
      <c r="D138" s="10"/>
      <c r="E138" s="62"/>
      <c r="F138" s="11"/>
      <c r="G138" s="11" t="str">
        <f>Monetary_Unit</f>
        <v>тыс. руб.</v>
      </c>
      <c r="H138" s="10"/>
      <c r="I138" s="23">
        <f>SUM(L138:CO138)</f>
        <v>0</v>
      </c>
      <c r="J138" s="10"/>
      <c r="K138" s="10"/>
      <c r="L138" s="10">
        <f t="shared" ref="L138:R138" si="1108" xml:space="preserve"> $E133 * L133</f>
        <v>0</v>
      </c>
      <c r="M138" s="10">
        <f t="shared" si="1108"/>
        <v>0</v>
      </c>
      <c r="N138" s="10">
        <f t="shared" si="1108"/>
        <v>0</v>
      </c>
      <c r="O138" s="10">
        <f t="shared" si="1108"/>
        <v>0</v>
      </c>
      <c r="P138" s="10">
        <f t="shared" si="1108"/>
        <v>0</v>
      </c>
      <c r="Q138" s="10">
        <f t="shared" si="1108"/>
        <v>0</v>
      </c>
      <c r="R138" s="10">
        <f t="shared" si="1108"/>
        <v>0</v>
      </c>
      <c r="S138" s="10">
        <f t="shared" ref="S138" si="1109" xml:space="preserve"> $E133 * S133</f>
        <v>0</v>
      </c>
      <c r="T138" s="10">
        <f t="shared" ref="T138:CE138" si="1110" xml:space="preserve"> $E133 * T133</f>
        <v>0</v>
      </c>
      <c r="U138" s="10">
        <f t="shared" si="1110"/>
        <v>0</v>
      </c>
      <c r="V138" s="10">
        <f t="shared" si="1110"/>
        <v>0</v>
      </c>
      <c r="W138" s="10">
        <f t="shared" si="1110"/>
        <v>0</v>
      </c>
      <c r="X138" s="10">
        <f t="shared" si="1110"/>
        <v>0</v>
      </c>
      <c r="Y138" s="10">
        <f t="shared" si="1110"/>
        <v>0</v>
      </c>
      <c r="Z138" s="10">
        <f t="shared" si="1110"/>
        <v>0</v>
      </c>
      <c r="AA138" s="10">
        <f t="shared" si="1110"/>
        <v>0</v>
      </c>
      <c r="AB138" s="10">
        <f t="shared" si="1110"/>
        <v>0</v>
      </c>
      <c r="AC138" s="10">
        <f t="shared" si="1110"/>
        <v>0</v>
      </c>
      <c r="AD138" s="10">
        <f t="shared" si="1110"/>
        <v>0</v>
      </c>
      <c r="AE138" s="10">
        <f t="shared" si="1110"/>
        <v>0</v>
      </c>
      <c r="AF138" s="10">
        <f t="shared" si="1110"/>
        <v>0</v>
      </c>
      <c r="AG138" s="10">
        <f t="shared" si="1110"/>
        <v>0</v>
      </c>
      <c r="AH138" s="10">
        <f t="shared" si="1110"/>
        <v>0</v>
      </c>
      <c r="AI138" s="10">
        <f t="shared" si="1110"/>
        <v>0</v>
      </c>
      <c r="AJ138" s="10">
        <f t="shared" si="1110"/>
        <v>0</v>
      </c>
      <c r="AK138" s="10">
        <f t="shared" si="1110"/>
        <v>0</v>
      </c>
      <c r="AL138" s="10">
        <f t="shared" si="1110"/>
        <v>0</v>
      </c>
      <c r="AM138" s="10">
        <f t="shared" si="1110"/>
        <v>0</v>
      </c>
      <c r="AN138" s="10">
        <f t="shared" si="1110"/>
        <v>0</v>
      </c>
      <c r="AO138" s="10">
        <f t="shared" si="1110"/>
        <v>0</v>
      </c>
      <c r="AP138" s="10">
        <f t="shared" si="1110"/>
        <v>0</v>
      </c>
      <c r="AQ138" s="10">
        <f t="shared" si="1110"/>
        <v>0</v>
      </c>
      <c r="AR138" s="10">
        <f t="shared" si="1110"/>
        <v>0</v>
      </c>
      <c r="AS138" s="10">
        <f t="shared" si="1110"/>
        <v>0</v>
      </c>
      <c r="AT138" s="10">
        <f t="shared" si="1110"/>
        <v>0</v>
      </c>
      <c r="AU138" s="10">
        <f t="shared" si="1110"/>
        <v>0</v>
      </c>
      <c r="AV138" s="10">
        <f t="shared" si="1110"/>
        <v>0</v>
      </c>
      <c r="AW138" s="10">
        <f t="shared" si="1110"/>
        <v>0</v>
      </c>
      <c r="AX138" s="10">
        <f t="shared" si="1110"/>
        <v>0</v>
      </c>
      <c r="AY138" s="10">
        <f t="shared" si="1110"/>
        <v>0</v>
      </c>
      <c r="AZ138" s="10">
        <f t="shared" si="1110"/>
        <v>0</v>
      </c>
      <c r="BA138" s="10">
        <f t="shared" si="1110"/>
        <v>0</v>
      </c>
      <c r="BB138" s="10">
        <f t="shared" si="1110"/>
        <v>0</v>
      </c>
      <c r="BC138" s="10">
        <f t="shared" si="1110"/>
        <v>0</v>
      </c>
      <c r="BD138" s="10">
        <f t="shared" si="1110"/>
        <v>0</v>
      </c>
      <c r="BE138" s="10">
        <f t="shared" si="1110"/>
        <v>0</v>
      </c>
      <c r="BF138" s="10">
        <f t="shared" si="1110"/>
        <v>0</v>
      </c>
      <c r="BG138" s="10">
        <f t="shared" si="1110"/>
        <v>0</v>
      </c>
      <c r="BH138" s="10">
        <f t="shared" si="1110"/>
        <v>0</v>
      </c>
      <c r="BI138" s="10">
        <f t="shared" si="1110"/>
        <v>0</v>
      </c>
      <c r="BJ138" s="10">
        <f t="shared" si="1110"/>
        <v>0</v>
      </c>
      <c r="BK138" s="10">
        <f t="shared" si="1110"/>
        <v>0</v>
      </c>
      <c r="BL138" s="10">
        <f t="shared" si="1110"/>
        <v>0</v>
      </c>
      <c r="BM138" s="10">
        <f t="shared" si="1110"/>
        <v>0</v>
      </c>
      <c r="BN138" s="10">
        <f t="shared" si="1110"/>
        <v>0</v>
      </c>
      <c r="BO138" s="10">
        <f t="shared" si="1110"/>
        <v>0</v>
      </c>
      <c r="BP138" s="10">
        <f t="shared" si="1110"/>
        <v>0</v>
      </c>
      <c r="BQ138" s="10">
        <f t="shared" si="1110"/>
        <v>0</v>
      </c>
      <c r="BR138" s="10">
        <f t="shared" si="1110"/>
        <v>0</v>
      </c>
      <c r="BS138" s="10">
        <f t="shared" si="1110"/>
        <v>0</v>
      </c>
      <c r="BT138" s="10">
        <f t="shared" si="1110"/>
        <v>0</v>
      </c>
      <c r="BU138" s="10">
        <f t="shared" si="1110"/>
        <v>0</v>
      </c>
      <c r="BV138" s="10">
        <f t="shared" si="1110"/>
        <v>0</v>
      </c>
      <c r="BW138" s="10">
        <f t="shared" si="1110"/>
        <v>0</v>
      </c>
      <c r="BX138" s="10">
        <f t="shared" si="1110"/>
        <v>0</v>
      </c>
      <c r="BY138" s="10">
        <f t="shared" si="1110"/>
        <v>0</v>
      </c>
      <c r="BZ138" s="10">
        <f t="shared" si="1110"/>
        <v>0</v>
      </c>
      <c r="CA138" s="10">
        <f t="shared" si="1110"/>
        <v>0</v>
      </c>
      <c r="CB138" s="10">
        <f t="shared" si="1110"/>
        <v>0</v>
      </c>
      <c r="CC138" s="10">
        <f t="shared" si="1110"/>
        <v>0</v>
      </c>
      <c r="CD138" s="10">
        <f t="shared" si="1110"/>
        <v>0</v>
      </c>
      <c r="CE138" s="10">
        <f t="shared" si="1110"/>
        <v>0</v>
      </c>
      <c r="CF138" s="10">
        <f t="shared" ref="CF138:CO138" si="1111" xml:space="preserve"> $E133 * CF133</f>
        <v>0</v>
      </c>
      <c r="CG138" s="10">
        <f t="shared" si="1111"/>
        <v>0</v>
      </c>
      <c r="CH138" s="10">
        <f t="shared" si="1111"/>
        <v>0</v>
      </c>
      <c r="CI138" s="10">
        <f t="shared" si="1111"/>
        <v>0</v>
      </c>
      <c r="CJ138" s="10">
        <f t="shared" si="1111"/>
        <v>0</v>
      </c>
      <c r="CK138" s="10">
        <f t="shared" si="1111"/>
        <v>0</v>
      </c>
      <c r="CL138" s="10">
        <f t="shared" si="1111"/>
        <v>0</v>
      </c>
      <c r="CM138" s="10">
        <f t="shared" si="1111"/>
        <v>0</v>
      </c>
      <c r="CN138" s="10">
        <f t="shared" si="1111"/>
        <v>0</v>
      </c>
      <c r="CO138" s="10">
        <f t="shared" si="1111"/>
        <v>0</v>
      </c>
    </row>
    <row r="139" spans="1:93">
      <c r="A139" s="77"/>
      <c r="B139" s="168"/>
      <c r="C139" s="17" t="s">
        <v>634</v>
      </c>
      <c r="D139" s="10"/>
      <c r="E139" s="62"/>
      <c r="F139" s="11"/>
      <c r="G139" s="11" t="str">
        <f>Monetary_Unit</f>
        <v>тыс. руб.</v>
      </c>
      <c r="H139" s="10"/>
      <c r="I139" s="23">
        <f>SUM(L139:CO139)</f>
        <v>0</v>
      </c>
      <c r="J139" s="10"/>
      <c r="K139" s="10"/>
      <c r="L139" s="10">
        <f t="shared" ref="L139:R139" si="1112" xml:space="preserve"> $E134 * L134</f>
        <v>0</v>
      </c>
      <c r="M139" s="10">
        <f t="shared" si="1112"/>
        <v>0</v>
      </c>
      <c r="N139" s="10">
        <f t="shared" si="1112"/>
        <v>0</v>
      </c>
      <c r="O139" s="10">
        <f t="shared" si="1112"/>
        <v>0</v>
      </c>
      <c r="P139" s="10">
        <f t="shared" si="1112"/>
        <v>0</v>
      </c>
      <c r="Q139" s="10">
        <f t="shared" si="1112"/>
        <v>0</v>
      </c>
      <c r="R139" s="10">
        <f t="shared" si="1112"/>
        <v>0</v>
      </c>
      <c r="S139" s="10">
        <f t="shared" ref="S139" si="1113" xml:space="preserve"> $E134 * S134</f>
        <v>0</v>
      </c>
      <c r="T139" s="10">
        <f t="shared" ref="T139:CE139" si="1114" xml:space="preserve"> $E134 * T134</f>
        <v>0</v>
      </c>
      <c r="U139" s="10">
        <f t="shared" si="1114"/>
        <v>0</v>
      </c>
      <c r="V139" s="10">
        <f t="shared" si="1114"/>
        <v>0</v>
      </c>
      <c r="W139" s="10">
        <f t="shared" si="1114"/>
        <v>0</v>
      </c>
      <c r="X139" s="10">
        <f t="shared" si="1114"/>
        <v>0</v>
      </c>
      <c r="Y139" s="10">
        <f t="shared" si="1114"/>
        <v>0</v>
      </c>
      <c r="Z139" s="10">
        <f t="shared" si="1114"/>
        <v>0</v>
      </c>
      <c r="AA139" s="10">
        <f t="shared" si="1114"/>
        <v>0</v>
      </c>
      <c r="AB139" s="10">
        <f t="shared" si="1114"/>
        <v>0</v>
      </c>
      <c r="AC139" s="10">
        <f t="shared" si="1114"/>
        <v>0</v>
      </c>
      <c r="AD139" s="10">
        <f t="shared" si="1114"/>
        <v>0</v>
      </c>
      <c r="AE139" s="10">
        <f t="shared" si="1114"/>
        <v>0</v>
      </c>
      <c r="AF139" s="10">
        <f t="shared" si="1114"/>
        <v>0</v>
      </c>
      <c r="AG139" s="10">
        <f t="shared" si="1114"/>
        <v>0</v>
      </c>
      <c r="AH139" s="10">
        <f t="shared" si="1114"/>
        <v>0</v>
      </c>
      <c r="AI139" s="10">
        <f t="shared" si="1114"/>
        <v>0</v>
      </c>
      <c r="AJ139" s="10">
        <f t="shared" si="1114"/>
        <v>0</v>
      </c>
      <c r="AK139" s="10">
        <f t="shared" si="1114"/>
        <v>0</v>
      </c>
      <c r="AL139" s="10">
        <f t="shared" si="1114"/>
        <v>0</v>
      </c>
      <c r="AM139" s="10">
        <f t="shared" si="1114"/>
        <v>0</v>
      </c>
      <c r="AN139" s="10">
        <f t="shared" si="1114"/>
        <v>0</v>
      </c>
      <c r="AO139" s="10">
        <f t="shared" si="1114"/>
        <v>0</v>
      </c>
      <c r="AP139" s="10">
        <f t="shared" si="1114"/>
        <v>0</v>
      </c>
      <c r="AQ139" s="10">
        <f t="shared" si="1114"/>
        <v>0</v>
      </c>
      <c r="AR139" s="10">
        <f t="shared" si="1114"/>
        <v>0</v>
      </c>
      <c r="AS139" s="10">
        <f t="shared" si="1114"/>
        <v>0</v>
      </c>
      <c r="AT139" s="10">
        <f t="shared" si="1114"/>
        <v>0</v>
      </c>
      <c r="AU139" s="10">
        <f t="shared" si="1114"/>
        <v>0</v>
      </c>
      <c r="AV139" s="10">
        <f t="shared" si="1114"/>
        <v>0</v>
      </c>
      <c r="AW139" s="10">
        <f t="shared" si="1114"/>
        <v>0</v>
      </c>
      <c r="AX139" s="10">
        <f t="shared" si="1114"/>
        <v>0</v>
      </c>
      <c r="AY139" s="10">
        <f t="shared" si="1114"/>
        <v>0</v>
      </c>
      <c r="AZ139" s="10">
        <f t="shared" si="1114"/>
        <v>0</v>
      </c>
      <c r="BA139" s="10">
        <f t="shared" si="1114"/>
        <v>0</v>
      </c>
      <c r="BB139" s="10">
        <f t="shared" si="1114"/>
        <v>0</v>
      </c>
      <c r="BC139" s="10">
        <f t="shared" si="1114"/>
        <v>0</v>
      </c>
      <c r="BD139" s="10">
        <f t="shared" si="1114"/>
        <v>0</v>
      </c>
      <c r="BE139" s="10">
        <f t="shared" si="1114"/>
        <v>0</v>
      </c>
      <c r="BF139" s="10">
        <f t="shared" si="1114"/>
        <v>0</v>
      </c>
      <c r="BG139" s="10">
        <f t="shared" si="1114"/>
        <v>0</v>
      </c>
      <c r="BH139" s="10">
        <f t="shared" si="1114"/>
        <v>0</v>
      </c>
      <c r="BI139" s="10">
        <f t="shared" si="1114"/>
        <v>0</v>
      </c>
      <c r="BJ139" s="10">
        <f t="shared" si="1114"/>
        <v>0</v>
      </c>
      <c r="BK139" s="10">
        <f t="shared" si="1114"/>
        <v>0</v>
      </c>
      <c r="BL139" s="10">
        <f t="shared" si="1114"/>
        <v>0</v>
      </c>
      <c r="BM139" s="10">
        <f t="shared" si="1114"/>
        <v>0</v>
      </c>
      <c r="BN139" s="10">
        <f t="shared" si="1114"/>
        <v>0</v>
      </c>
      <c r="BO139" s="10">
        <f t="shared" si="1114"/>
        <v>0</v>
      </c>
      <c r="BP139" s="10">
        <f t="shared" si="1114"/>
        <v>0</v>
      </c>
      <c r="BQ139" s="10">
        <f t="shared" si="1114"/>
        <v>0</v>
      </c>
      <c r="BR139" s="10">
        <f t="shared" si="1114"/>
        <v>0</v>
      </c>
      <c r="BS139" s="10">
        <f t="shared" si="1114"/>
        <v>0</v>
      </c>
      <c r="BT139" s="10">
        <f t="shared" si="1114"/>
        <v>0</v>
      </c>
      <c r="BU139" s="10">
        <f t="shared" si="1114"/>
        <v>0</v>
      </c>
      <c r="BV139" s="10">
        <f t="shared" si="1114"/>
        <v>0</v>
      </c>
      <c r="BW139" s="10">
        <f t="shared" si="1114"/>
        <v>0</v>
      </c>
      <c r="BX139" s="10">
        <f t="shared" si="1114"/>
        <v>0</v>
      </c>
      <c r="BY139" s="10">
        <f t="shared" si="1114"/>
        <v>0</v>
      </c>
      <c r="BZ139" s="10">
        <f t="shared" si="1114"/>
        <v>0</v>
      </c>
      <c r="CA139" s="10">
        <f t="shared" si="1114"/>
        <v>0</v>
      </c>
      <c r="CB139" s="10">
        <f t="shared" si="1114"/>
        <v>0</v>
      </c>
      <c r="CC139" s="10">
        <f t="shared" si="1114"/>
        <v>0</v>
      </c>
      <c r="CD139" s="10">
        <f t="shared" si="1114"/>
        <v>0</v>
      </c>
      <c r="CE139" s="10">
        <f t="shared" si="1114"/>
        <v>0</v>
      </c>
      <c r="CF139" s="10">
        <f t="shared" ref="CF139:CO139" si="1115" xml:space="preserve"> $E134 * CF134</f>
        <v>0</v>
      </c>
      <c r="CG139" s="10">
        <f t="shared" si="1115"/>
        <v>0</v>
      </c>
      <c r="CH139" s="10">
        <f t="shared" si="1115"/>
        <v>0</v>
      </c>
      <c r="CI139" s="10">
        <f t="shared" si="1115"/>
        <v>0</v>
      </c>
      <c r="CJ139" s="10">
        <f t="shared" si="1115"/>
        <v>0</v>
      </c>
      <c r="CK139" s="10">
        <f t="shared" si="1115"/>
        <v>0</v>
      </c>
      <c r="CL139" s="10">
        <f t="shared" si="1115"/>
        <v>0</v>
      </c>
      <c r="CM139" s="10">
        <f t="shared" si="1115"/>
        <v>0</v>
      </c>
      <c r="CN139" s="10">
        <f t="shared" si="1115"/>
        <v>0</v>
      </c>
      <c r="CO139" s="10">
        <f t="shared" si="1115"/>
        <v>0</v>
      </c>
    </row>
    <row r="140" spans="1:93">
      <c r="A140" s="77"/>
      <c r="B140" s="168"/>
      <c r="C140" s="17" t="s">
        <v>848</v>
      </c>
      <c r="D140" s="10"/>
      <c r="E140" s="62"/>
      <c r="F140" s="11"/>
      <c r="G140" s="11" t="str">
        <f>Monetary_Unit</f>
        <v>тыс. руб.</v>
      </c>
      <c r="H140" s="10"/>
      <c r="I140" s="23">
        <f>SUM(L140:CO140)</f>
        <v>0</v>
      </c>
      <c r="J140" s="10"/>
      <c r="K140" s="10"/>
      <c r="L140" s="10">
        <f t="shared" ref="L140:R140" si="1116" xml:space="preserve"> $E135 * L135</f>
        <v>0</v>
      </c>
      <c r="M140" s="10">
        <f t="shared" si="1116"/>
        <v>0</v>
      </c>
      <c r="N140" s="10">
        <f t="shared" si="1116"/>
        <v>0</v>
      </c>
      <c r="O140" s="10">
        <f t="shared" si="1116"/>
        <v>0</v>
      </c>
      <c r="P140" s="10">
        <f t="shared" si="1116"/>
        <v>0</v>
      </c>
      <c r="Q140" s="10">
        <f t="shared" si="1116"/>
        <v>0</v>
      </c>
      <c r="R140" s="10">
        <f t="shared" si="1116"/>
        <v>0</v>
      </c>
      <c r="S140" s="10">
        <f t="shared" ref="S140" si="1117" xml:space="preserve"> $E135 * S135</f>
        <v>0</v>
      </c>
      <c r="T140" s="10">
        <f t="shared" ref="T140:CE140" si="1118" xml:space="preserve"> $E135 * T135</f>
        <v>0</v>
      </c>
      <c r="U140" s="10">
        <f t="shared" si="1118"/>
        <v>0</v>
      </c>
      <c r="V140" s="10">
        <f t="shared" si="1118"/>
        <v>0</v>
      </c>
      <c r="W140" s="10">
        <f t="shared" si="1118"/>
        <v>0</v>
      </c>
      <c r="X140" s="10">
        <f t="shared" si="1118"/>
        <v>0</v>
      </c>
      <c r="Y140" s="10">
        <f t="shared" si="1118"/>
        <v>0</v>
      </c>
      <c r="Z140" s="10">
        <f t="shared" si="1118"/>
        <v>0</v>
      </c>
      <c r="AA140" s="10">
        <f t="shared" si="1118"/>
        <v>0</v>
      </c>
      <c r="AB140" s="10">
        <f t="shared" si="1118"/>
        <v>0</v>
      </c>
      <c r="AC140" s="10">
        <f t="shared" si="1118"/>
        <v>0</v>
      </c>
      <c r="AD140" s="10">
        <f t="shared" si="1118"/>
        <v>0</v>
      </c>
      <c r="AE140" s="10">
        <f t="shared" si="1118"/>
        <v>0</v>
      </c>
      <c r="AF140" s="10">
        <f t="shared" si="1118"/>
        <v>0</v>
      </c>
      <c r="AG140" s="10">
        <f t="shared" si="1118"/>
        <v>0</v>
      </c>
      <c r="AH140" s="10">
        <f t="shared" si="1118"/>
        <v>0</v>
      </c>
      <c r="AI140" s="10">
        <f t="shared" si="1118"/>
        <v>0</v>
      </c>
      <c r="AJ140" s="10">
        <f t="shared" si="1118"/>
        <v>0</v>
      </c>
      <c r="AK140" s="10">
        <f t="shared" si="1118"/>
        <v>0</v>
      </c>
      <c r="AL140" s="10">
        <f t="shared" si="1118"/>
        <v>0</v>
      </c>
      <c r="AM140" s="10">
        <f t="shared" si="1118"/>
        <v>0</v>
      </c>
      <c r="AN140" s="10">
        <f t="shared" si="1118"/>
        <v>0</v>
      </c>
      <c r="AO140" s="10">
        <f t="shared" si="1118"/>
        <v>0</v>
      </c>
      <c r="AP140" s="10">
        <f t="shared" si="1118"/>
        <v>0</v>
      </c>
      <c r="AQ140" s="10">
        <f t="shared" si="1118"/>
        <v>0</v>
      </c>
      <c r="AR140" s="10">
        <f t="shared" si="1118"/>
        <v>0</v>
      </c>
      <c r="AS140" s="10">
        <f t="shared" si="1118"/>
        <v>0</v>
      </c>
      <c r="AT140" s="10">
        <f t="shared" si="1118"/>
        <v>0</v>
      </c>
      <c r="AU140" s="10">
        <f t="shared" si="1118"/>
        <v>0</v>
      </c>
      <c r="AV140" s="10">
        <f t="shared" si="1118"/>
        <v>0</v>
      </c>
      <c r="AW140" s="10">
        <f t="shared" si="1118"/>
        <v>0</v>
      </c>
      <c r="AX140" s="10">
        <f t="shared" si="1118"/>
        <v>0</v>
      </c>
      <c r="AY140" s="10">
        <f t="shared" si="1118"/>
        <v>0</v>
      </c>
      <c r="AZ140" s="10">
        <f t="shared" si="1118"/>
        <v>0</v>
      </c>
      <c r="BA140" s="10">
        <f t="shared" si="1118"/>
        <v>0</v>
      </c>
      <c r="BB140" s="10">
        <f t="shared" si="1118"/>
        <v>0</v>
      </c>
      <c r="BC140" s="10">
        <f t="shared" si="1118"/>
        <v>0</v>
      </c>
      <c r="BD140" s="10">
        <f t="shared" si="1118"/>
        <v>0</v>
      </c>
      <c r="BE140" s="10">
        <f t="shared" si="1118"/>
        <v>0</v>
      </c>
      <c r="BF140" s="10">
        <f t="shared" si="1118"/>
        <v>0</v>
      </c>
      <c r="BG140" s="10">
        <f t="shared" si="1118"/>
        <v>0</v>
      </c>
      <c r="BH140" s="10">
        <f t="shared" si="1118"/>
        <v>0</v>
      </c>
      <c r="BI140" s="10">
        <f t="shared" si="1118"/>
        <v>0</v>
      </c>
      <c r="BJ140" s="10">
        <f t="shared" si="1118"/>
        <v>0</v>
      </c>
      <c r="BK140" s="10">
        <f t="shared" si="1118"/>
        <v>0</v>
      </c>
      <c r="BL140" s="10">
        <f t="shared" si="1118"/>
        <v>0</v>
      </c>
      <c r="BM140" s="10">
        <f t="shared" si="1118"/>
        <v>0</v>
      </c>
      <c r="BN140" s="10">
        <f t="shared" si="1118"/>
        <v>0</v>
      </c>
      <c r="BO140" s="10">
        <f t="shared" si="1118"/>
        <v>0</v>
      </c>
      <c r="BP140" s="10">
        <f t="shared" si="1118"/>
        <v>0</v>
      </c>
      <c r="BQ140" s="10">
        <f t="shared" si="1118"/>
        <v>0</v>
      </c>
      <c r="BR140" s="10">
        <f t="shared" si="1118"/>
        <v>0</v>
      </c>
      <c r="BS140" s="10">
        <f t="shared" si="1118"/>
        <v>0</v>
      </c>
      <c r="BT140" s="10">
        <f t="shared" si="1118"/>
        <v>0</v>
      </c>
      <c r="BU140" s="10">
        <f t="shared" si="1118"/>
        <v>0</v>
      </c>
      <c r="BV140" s="10">
        <f t="shared" si="1118"/>
        <v>0</v>
      </c>
      <c r="BW140" s="10">
        <f t="shared" si="1118"/>
        <v>0</v>
      </c>
      <c r="BX140" s="10">
        <f t="shared" si="1118"/>
        <v>0</v>
      </c>
      <c r="BY140" s="10">
        <f t="shared" si="1118"/>
        <v>0</v>
      </c>
      <c r="BZ140" s="10">
        <f t="shared" si="1118"/>
        <v>0</v>
      </c>
      <c r="CA140" s="10">
        <f t="shared" si="1118"/>
        <v>0</v>
      </c>
      <c r="CB140" s="10">
        <f t="shared" si="1118"/>
        <v>0</v>
      </c>
      <c r="CC140" s="10">
        <f t="shared" si="1118"/>
        <v>0</v>
      </c>
      <c r="CD140" s="10">
        <f t="shared" si="1118"/>
        <v>0</v>
      </c>
      <c r="CE140" s="10">
        <f t="shared" si="1118"/>
        <v>0</v>
      </c>
      <c r="CF140" s="10">
        <f t="shared" ref="CF140:CO140" si="1119" xml:space="preserve"> $E135 * CF135</f>
        <v>0</v>
      </c>
      <c r="CG140" s="10">
        <f t="shared" si="1119"/>
        <v>0</v>
      </c>
      <c r="CH140" s="10">
        <f t="shared" si="1119"/>
        <v>0</v>
      </c>
      <c r="CI140" s="10">
        <f t="shared" si="1119"/>
        <v>0</v>
      </c>
      <c r="CJ140" s="10">
        <f t="shared" si="1119"/>
        <v>0</v>
      </c>
      <c r="CK140" s="10">
        <f t="shared" si="1119"/>
        <v>0</v>
      </c>
      <c r="CL140" s="10">
        <f t="shared" si="1119"/>
        <v>0</v>
      </c>
      <c r="CM140" s="10">
        <f t="shared" si="1119"/>
        <v>0</v>
      </c>
      <c r="CN140" s="10">
        <f t="shared" si="1119"/>
        <v>0</v>
      </c>
      <c r="CO140" s="10">
        <f t="shared" si="1119"/>
        <v>0</v>
      </c>
    </row>
    <row r="141" spans="1:93" ht="15" thickBot="1">
      <c r="A141" s="77"/>
      <c r="B141" s="168"/>
      <c r="C141" s="17" t="s">
        <v>824</v>
      </c>
      <c r="D141" s="10"/>
      <c r="E141" s="62"/>
      <c r="F141" s="11"/>
      <c r="G141" s="11" t="str">
        <f>Monetary_Unit</f>
        <v>тыс. руб.</v>
      </c>
      <c r="H141" s="10"/>
      <c r="I141" s="23">
        <f>SUM(L141:CO141)</f>
        <v>0</v>
      </c>
      <c r="J141" s="10"/>
      <c r="K141" s="10"/>
      <c r="L141" s="10">
        <f xml:space="preserve"> L140 * $E$136</f>
        <v>0</v>
      </c>
      <c r="M141" s="10">
        <f t="shared" ref="M141:BX141" si="1120" xml:space="preserve"> M140 * $E$136</f>
        <v>0</v>
      </c>
      <c r="N141" s="10">
        <f t="shared" si="1120"/>
        <v>0</v>
      </c>
      <c r="O141" s="10">
        <f t="shared" si="1120"/>
        <v>0</v>
      </c>
      <c r="P141" s="10">
        <f t="shared" si="1120"/>
        <v>0</v>
      </c>
      <c r="Q141" s="10">
        <f t="shared" si="1120"/>
        <v>0</v>
      </c>
      <c r="R141" s="10">
        <f t="shared" si="1120"/>
        <v>0</v>
      </c>
      <c r="S141" s="10">
        <f t="shared" si="1120"/>
        <v>0</v>
      </c>
      <c r="T141" s="10">
        <f t="shared" si="1120"/>
        <v>0</v>
      </c>
      <c r="U141" s="10">
        <f t="shared" si="1120"/>
        <v>0</v>
      </c>
      <c r="V141" s="10">
        <f t="shared" si="1120"/>
        <v>0</v>
      </c>
      <c r="W141" s="10">
        <f t="shared" si="1120"/>
        <v>0</v>
      </c>
      <c r="X141" s="10">
        <f t="shared" si="1120"/>
        <v>0</v>
      </c>
      <c r="Y141" s="10">
        <f t="shared" si="1120"/>
        <v>0</v>
      </c>
      <c r="Z141" s="10">
        <f t="shared" si="1120"/>
        <v>0</v>
      </c>
      <c r="AA141" s="10">
        <f t="shared" si="1120"/>
        <v>0</v>
      </c>
      <c r="AB141" s="10">
        <f t="shared" si="1120"/>
        <v>0</v>
      </c>
      <c r="AC141" s="10">
        <f t="shared" si="1120"/>
        <v>0</v>
      </c>
      <c r="AD141" s="10">
        <f t="shared" si="1120"/>
        <v>0</v>
      </c>
      <c r="AE141" s="10">
        <f t="shared" si="1120"/>
        <v>0</v>
      </c>
      <c r="AF141" s="10">
        <f t="shared" si="1120"/>
        <v>0</v>
      </c>
      <c r="AG141" s="10">
        <f t="shared" si="1120"/>
        <v>0</v>
      </c>
      <c r="AH141" s="10">
        <f t="shared" si="1120"/>
        <v>0</v>
      </c>
      <c r="AI141" s="10">
        <f t="shared" si="1120"/>
        <v>0</v>
      </c>
      <c r="AJ141" s="10">
        <f t="shared" si="1120"/>
        <v>0</v>
      </c>
      <c r="AK141" s="10">
        <f t="shared" si="1120"/>
        <v>0</v>
      </c>
      <c r="AL141" s="10">
        <f t="shared" si="1120"/>
        <v>0</v>
      </c>
      <c r="AM141" s="10">
        <f t="shared" si="1120"/>
        <v>0</v>
      </c>
      <c r="AN141" s="10">
        <f t="shared" si="1120"/>
        <v>0</v>
      </c>
      <c r="AO141" s="10">
        <f t="shared" si="1120"/>
        <v>0</v>
      </c>
      <c r="AP141" s="10">
        <f t="shared" si="1120"/>
        <v>0</v>
      </c>
      <c r="AQ141" s="10">
        <f t="shared" si="1120"/>
        <v>0</v>
      </c>
      <c r="AR141" s="10">
        <f t="shared" si="1120"/>
        <v>0</v>
      </c>
      <c r="AS141" s="10">
        <f t="shared" si="1120"/>
        <v>0</v>
      </c>
      <c r="AT141" s="10">
        <f t="shared" si="1120"/>
        <v>0</v>
      </c>
      <c r="AU141" s="10">
        <f t="shared" si="1120"/>
        <v>0</v>
      </c>
      <c r="AV141" s="10">
        <f t="shared" si="1120"/>
        <v>0</v>
      </c>
      <c r="AW141" s="10">
        <f t="shared" si="1120"/>
        <v>0</v>
      </c>
      <c r="AX141" s="10">
        <f t="shared" si="1120"/>
        <v>0</v>
      </c>
      <c r="AY141" s="10">
        <f t="shared" si="1120"/>
        <v>0</v>
      </c>
      <c r="AZ141" s="10">
        <f t="shared" si="1120"/>
        <v>0</v>
      </c>
      <c r="BA141" s="10">
        <f t="shared" si="1120"/>
        <v>0</v>
      </c>
      <c r="BB141" s="10">
        <f t="shared" si="1120"/>
        <v>0</v>
      </c>
      <c r="BC141" s="10">
        <f t="shared" si="1120"/>
        <v>0</v>
      </c>
      <c r="BD141" s="10">
        <f t="shared" si="1120"/>
        <v>0</v>
      </c>
      <c r="BE141" s="10">
        <f t="shared" si="1120"/>
        <v>0</v>
      </c>
      <c r="BF141" s="10">
        <f t="shared" si="1120"/>
        <v>0</v>
      </c>
      <c r="BG141" s="10">
        <f t="shared" si="1120"/>
        <v>0</v>
      </c>
      <c r="BH141" s="10">
        <f t="shared" si="1120"/>
        <v>0</v>
      </c>
      <c r="BI141" s="10">
        <f t="shared" si="1120"/>
        <v>0</v>
      </c>
      <c r="BJ141" s="10">
        <f t="shared" si="1120"/>
        <v>0</v>
      </c>
      <c r="BK141" s="10">
        <f t="shared" si="1120"/>
        <v>0</v>
      </c>
      <c r="BL141" s="10">
        <f t="shared" si="1120"/>
        <v>0</v>
      </c>
      <c r="BM141" s="10">
        <f t="shared" si="1120"/>
        <v>0</v>
      </c>
      <c r="BN141" s="10">
        <f t="shared" si="1120"/>
        <v>0</v>
      </c>
      <c r="BO141" s="10">
        <f t="shared" si="1120"/>
        <v>0</v>
      </c>
      <c r="BP141" s="10">
        <f t="shared" si="1120"/>
        <v>0</v>
      </c>
      <c r="BQ141" s="10">
        <f t="shared" si="1120"/>
        <v>0</v>
      </c>
      <c r="BR141" s="10">
        <f t="shared" si="1120"/>
        <v>0</v>
      </c>
      <c r="BS141" s="10">
        <f t="shared" si="1120"/>
        <v>0</v>
      </c>
      <c r="BT141" s="10">
        <f t="shared" si="1120"/>
        <v>0</v>
      </c>
      <c r="BU141" s="10">
        <f t="shared" si="1120"/>
        <v>0</v>
      </c>
      <c r="BV141" s="10">
        <f t="shared" si="1120"/>
        <v>0</v>
      </c>
      <c r="BW141" s="10">
        <f t="shared" si="1120"/>
        <v>0</v>
      </c>
      <c r="BX141" s="10">
        <f t="shared" si="1120"/>
        <v>0</v>
      </c>
      <c r="BY141" s="10">
        <f t="shared" ref="BY141:CO141" si="1121" xml:space="preserve"> BY140 * $E$136</f>
        <v>0</v>
      </c>
      <c r="BZ141" s="10">
        <f t="shared" si="1121"/>
        <v>0</v>
      </c>
      <c r="CA141" s="10">
        <f t="shared" si="1121"/>
        <v>0</v>
      </c>
      <c r="CB141" s="10">
        <f t="shared" si="1121"/>
        <v>0</v>
      </c>
      <c r="CC141" s="10">
        <f t="shared" si="1121"/>
        <v>0</v>
      </c>
      <c r="CD141" s="10">
        <f t="shared" si="1121"/>
        <v>0</v>
      </c>
      <c r="CE141" s="10">
        <f t="shared" si="1121"/>
        <v>0</v>
      </c>
      <c r="CF141" s="10">
        <f t="shared" si="1121"/>
        <v>0</v>
      </c>
      <c r="CG141" s="10">
        <f t="shared" si="1121"/>
        <v>0</v>
      </c>
      <c r="CH141" s="10">
        <f t="shared" si="1121"/>
        <v>0</v>
      </c>
      <c r="CI141" s="10">
        <f t="shared" si="1121"/>
        <v>0</v>
      </c>
      <c r="CJ141" s="10">
        <f t="shared" si="1121"/>
        <v>0</v>
      </c>
      <c r="CK141" s="10">
        <f t="shared" si="1121"/>
        <v>0</v>
      </c>
      <c r="CL141" s="10">
        <f t="shared" si="1121"/>
        <v>0</v>
      </c>
      <c r="CM141" s="10">
        <f t="shared" si="1121"/>
        <v>0</v>
      </c>
      <c r="CN141" s="10">
        <f t="shared" si="1121"/>
        <v>0</v>
      </c>
      <c r="CO141" s="10">
        <f t="shared" si="1121"/>
        <v>0</v>
      </c>
    </row>
    <row r="142" spans="1:93" ht="15" thickTop="1">
      <c r="A142" s="77"/>
      <c r="B142" s="101"/>
      <c r="C142" s="49" t="s">
        <v>859</v>
      </c>
      <c r="D142" s="49"/>
      <c r="E142" s="136"/>
      <c r="F142" s="49"/>
      <c r="G142" s="159" t="str">
        <f xml:space="preserve"> Monetary_Unit</f>
        <v>тыс. руб.</v>
      </c>
      <c r="H142" s="49"/>
      <c r="I142" s="23">
        <f>SUM(L142:CO142)</f>
        <v>0</v>
      </c>
      <c r="J142" s="49"/>
      <c r="K142" s="49"/>
      <c r="L142" s="49">
        <f t="shared" ref="L142:R142" si="1122" xml:space="preserve"> SUM(L138:L141)</f>
        <v>0</v>
      </c>
      <c r="M142" s="49">
        <f t="shared" si="1122"/>
        <v>0</v>
      </c>
      <c r="N142" s="49">
        <f t="shared" si="1122"/>
        <v>0</v>
      </c>
      <c r="O142" s="49">
        <f t="shared" si="1122"/>
        <v>0</v>
      </c>
      <c r="P142" s="49">
        <f t="shared" si="1122"/>
        <v>0</v>
      </c>
      <c r="Q142" s="49">
        <f t="shared" si="1122"/>
        <v>0</v>
      </c>
      <c r="R142" s="49">
        <f t="shared" si="1122"/>
        <v>0</v>
      </c>
      <c r="S142" s="49">
        <f t="shared" ref="S142" si="1123" xml:space="preserve"> SUM(S138:S141)</f>
        <v>0</v>
      </c>
      <c r="T142" s="49">
        <f t="shared" ref="T142:CE142" si="1124" xml:space="preserve"> SUM(T138:T141)</f>
        <v>0</v>
      </c>
      <c r="U142" s="49">
        <f t="shared" si="1124"/>
        <v>0</v>
      </c>
      <c r="V142" s="49">
        <f t="shared" si="1124"/>
        <v>0</v>
      </c>
      <c r="W142" s="49">
        <f t="shared" si="1124"/>
        <v>0</v>
      </c>
      <c r="X142" s="49">
        <f t="shared" si="1124"/>
        <v>0</v>
      </c>
      <c r="Y142" s="49">
        <f t="shared" si="1124"/>
        <v>0</v>
      </c>
      <c r="Z142" s="49">
        <f t="shared" si="1124"/>
        <v>0</v>
      </c>
      <c r="AA142" s="49">
        <f t="shared" si="1124"/>
        <v>0</v>
      </c>
      <c r="AB142" s="49">
        <f t="shared" si="1124"/>
        <v>0</v>
      </c>
      <c r="AC142" s="49">
        <f t="shared" si="1124"/>
        <v>0</v>
      </c>
      <c r="AD142" s="49">
        <f t="shared" si="1124"/>
        <v>0</v>
      </c>
      <c r="AE142" s="49">
        <f t="shared" si="1124"/>
        <v>0</v>
      </c>
      <c r="AF142" s="49">
        <f t="shared" si="1124"/>
        <v>0</v>
      </c>
      <c r="AG142" s="49">
        <f t="shared" si="1124"/>
        <v>0</v>
      </c>
      <c r="AH142" s="49">
        <f t="shared" si="1124"/>
        <v>0</v>
      </c>
      <c r="AI142" s="49">
        <f t="shared" si="1124"/>
        <v>0</v>
      </c>
      <c r="AJ142" s="49">
        <f t="shared" si="1124"/>
        <v>0</v>
      </c>
      <c r="AK142" s="49">
        <f t="shared" si="1124"/>
        <v>0</v>
      </c>
      <c r="AL142" s="49">
        <f t="shared" si="1124"/>
        <v>0</v>
      </c>
      <c r="AM142" s="49">
        <f t="shared" si="1124"/>
        <v>0</v>
      </c>
      <c r="AN142" s="49">
        <f t="shared" si="1124"/>
        <v>0</v>
      </c>
      <c r="AO142" s="49">
        <f t="shared" si="1124"/>
        <v>0</v>
      </c>
      <c r="AP142" s="49">
        <f t="shared" si="1124"/>
        <v>0</v>
      </c>
      <c r="AQ142" s="49">
        <f t="shared" si="1124"/>
        <v>0</v>
      </c>
      <c r="AR142" s="49">
        <f t="shared" si="1124"/>
        <v>0</v>
      </c>
      <c r="AS142" s="49">
        <f t="shared" si="1124"/>
        <v>0</v>
      </c>
      <c r="AT142" s="49">
        <f t="shared" si="1124"/>
        <v>0</v>
      </c>
      <c r="AU142" s="49">
        <f t="shared" si="1124"/>
        <v>0</v>
      </c>
      <c r="AV142" s="49">
        <f t="shared" si="1124"/>
        <v>0</v>
      </c>
      <c r="AW142" s="49">
        <f t="shared" si="1124"/>
        <v>0</v>
      </c>
      <c r="AX142" s="49">
        <f t="shared" si="1124"/>
        <v>0</v>
      </c>
      <c r="AY142" s="49">
        <f t="shared" si="1124"/>
        <v>0</v>
      </c>
      <c r="AZ142" s="49">
        <f t="shared" si="1124"/>
        <v>0</v>
      </c>
      <c r="BA142" s="49">
        <f t="shared" si="1124"/>
        <v>0</v>
      </c>
      <c r="BB142" s="49">
        <f t="shared" si="1124"/>
        <v>0</v>
      </c>
      <c r="BC142" s="49">
        <f t="shared" si="1124"/>
        <v>0</v>
      </c>
      <c r="BD142" s="49">
        <f t="shared" si="1124"/>
        <v>0</v>
      </c>
      <c r="BE142" s="49">
        <f t="shared" si="1124"/>
        <v>0</v>
      </c>
      <c r="BF142" s="49">
        <f t="shared" si="1124"/>
        <v>0</v>
      </c>
      <c r="BG142" s="49">
        <f t="shared" si="1124"/>
        <v>0</v>
      </c>
      <c r="BH142" s="49">
        <f t="shared" si="1124"/>
        <v>0</v>
      </c>
      <c r="BI142" s="49">
        <f t="shared" si="1124"/>
        <v>0</v>
      </c>
      <c r="BJ142" s="49">
        <f t="shared" si="1124"/>
        <v>0</v>
      </c>
      <c r="BK142" s="49">
        <f t="shared" si="1124"/>
        <v>0</v>
      </c>
      <c r="BL142" s="49">
        <f t="shared" si="1124"/>
        <v>0</v>
      </c>
      <c r="BM142" s="49">
        <f t="shared" si="1124"/>
        <v>0</v>
      </c>
      <c r="BN142" s="49">
        <f t="shared" si="1124"/>
        <v>0</v>
      </c>
      <c r="BO142" s="49">
        <f t="shared" si="1124"/>
        <v>0</v>
      </c>
      <c r="BP142" s="49">
        <f t="shared" si="1124"/>
        <v>0</v>
      </c>
      <c r="BQ142" s="49">
        <f t="shared" si="1124"/>
        <v>0</v>
      </c>
      <c r="BR142" s="49">
        <f t="shared" si="1124"/>
        <v>0</v>
      </c>
      <c r="BS142" s="49">
        <f t="shared" si="1124"/>
        <v>0</v>
      </c>
      <c r="BT142" s="49">
        <f t="shared" si="1124"/>
        <v>0</v>
      </c>
      <c r="BU142" s="49">
        <f t="shared" si="1124"/>
        <v>0</v>
      </c>
      <c r="BV142" s="49">
        <f t="shared" si="1124"/>
        <v>0</v>
      </c>
      <c r="BW142" s="49">
        <f t="shared" si="1124"/>
        <v>0</v>
      </c>
      <c r="BX142" s="49">
        <f t="shared" si="1124"/>
        <v>0</v>
      </c>
      <c r="BY142" s="49">
        <f t="shared" si="1124"/>
        <v>0</v>
      </c>
      <c r="BZ142" s="49">
        <f t="shared" si="1124"/>
        <v>0</v>
      </c>
      <c r="CA142" s="49">
        <f t="shared" si="1124"/>
        <v>0</v>
      </c>
      <c r="CB142" s="49">
        <f t="shared" si="1124"/>
        <v>0</v>
      </c>
      <c r="CC142" s="49">
        <f t="shared" si="1124"/>
        <v>0</v>
      </c>
      <c r="CD142" s="49">
        <f t="shared" si="1124"/>
        <v>0</v>
      </c>
      <c r="CE142" s="49">
        <f t="shared" si="1124"/>
        <v>0</v>
      </c>
      <c r="CF142" s="49">
        <f t="shared" ref="CF142:CO142" si="1125" xml:space="preserve"> SUM(CF138:CF141)</f>
        <v>0</v>
      </c>
      <c r="CG142" s="49">
        <f t="shared" si="1125"/>
        <v>0</v>
      </c>
      <c r="CH142" s="49">
        <f t="shared" si="1125"/>
        <v>0</v>
      </c>
      <c r="CI142" s="49">
        <f t="shared" si="1125"/>
        <v>0</v>
      </c>
      <c r="CJ142" s="49">
        <f t="shared" si="1125"/>
        <v>0</v>
      </c>
      <c r="CK142" s="49">
        <f t="shared" si="1125"/>
        <v>0</v>
      </c>
      <c r="CL142" s="49">
        <f t="shared" si="1125"/>
        <v>0</v>
      </c>
      <c r="CM142" s="49">
        <f t="shared" si="1125"/>
        <v>0</v>
      </c>
      <c r="CN142" s="49">
        <f t="shared" si="1125"/>
        <v>0</v>
      </c>
      <c r="CO142" s="49">
        <f t="shared" si="1125"/>
        <v>0</v>
      </c>
    </row>
    <row r="143" spans="1:93">
      <c r="A143" s="77"/>
      <c r="B143" s="168"/>
      <c r="C143" s="169"/>
      <c r="D143" s="10"/>
      <c r="E143" s="62"/>
      <c r="F143" s="11"/>
      <c r="G143" s="11"/>
      <c r="H143" s="10"/>
      <c r="I143" s="10" t="str">
        <f>IF(IFERROR(I142=Предпосылки!E213*I108*$I$104,I142=0),"")</f>
        <v/>
      </c>
      <c r="J143" s="10"/>
      <c r="K143" s="1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0"/>
      <c r="AM143" s="170"/>
      <c r="AN143" s="170"/>
      <c r="AO143" s="170"/>
      <c r="AP143" s="170"/>
      <c r="AQ143" s="170"/>
      <c r="AR143" s="170"/>
      <c r="AS143" s="170"/>
      <c r="AT143" s="170"/>
      <c r="AU143" s="170"/>
      <c r="AV143" s="170"/>
      <c r="AW143" s="170"/>
      <c r="AX143" s="170"/>
      <c r="AY143" s="170"/>
      <c r="AZ143" s="170"/>
      <c r="BA143" s="170"/>
      <c r="BB143" s="170"/>
      <c r="BC143" s="170"/>
      <c r="BD143" s="170"/>
      <c r="BE143" s="170"/>
      <c r="BF143" s="170"/>
      <c r="BG143" s="170"/>
      <c r="BH143" s="170"/>
      <c r="BI143" s="170"/>
      <c r="BJ143" s="170"/>
      <c r="BK143" s="170"/>
      <c r="BL143" s="170"/>
      <c r="BM143" s="170"/>
      <c r="BN143" s="170"/>
      <c r="BO143" s="170"/>
      <c r="BP143" s="170"/>
      <c r="BQ143" s="170"/>
      <c r="BR143" s="170"/>
      <c r="BS143" s="170"/>
      <c r="BT143" s="170"/>
      <c r="BU143" s="170"/>
      <c r="BV143" s="170"/>
      <c r="BW143" s="170"/>
      <c r="BX143" s="170"/>
      <c r="BY143" s="170"/>
      <c r="BZ143" s="170"/>
      <c r="CA143" s="170"/>
      <c r="CB143" s="170"/>
      <c r="CC143" s="170"/>
      <c r="CD143" s="170"/>
      <c r="CE143" s="170"/>
      <c r="CF143" s="170"/>
      <c r="CG143" s="170"/>
      <c r="CH143" s="170"/>
      <c r="CI143" s="170"/>
      <c r="CJ143" s="170"/>
      <c r="CK143" s="170"/>
      <c r="CL143" s="170"/>
      <c r="CM143" s="170"/>
      <c r="CN143" s="170"/>
      <c r="CO143" s="170"/>
    </row>
    <row r="144" spans="1:93">
      <c r="A144" s="77"/>
      <c r="B144" s="168"/>
      <c r="C144" s="87" t="str">
        <f xml:space="preserve"> "Затраты на создание объектов " &amp; C34</f>
        <v>Затраты на создание объектов Прочая обеспечивающая инфраструктура</v>
      </c>
      <c r="D144" s="10"/>
      <c r="E144" s="62"/>
      <c r="F144" s="11"/>
      <c r="G144" s="11"/>
      <c r="H144" s="10"/>
      <c r="I144" s="10"/>
      <c r="J144" s="10"/>
      <c r="K144" s="1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  <c r="Z144" s="170"/>
      <c r="AA144" s="170"/>
      <c r="AB144" s="170"/>
      <c r="AC144" s="170"/>
      <c r="AD144" s="170"/>
      <c r="AE144" s="170"/>
      <c r="AF144" s="170"/>
      <c r="AG144" s="170"/>
      <c r="AH144" s="170"/>
      <c r="AI144" s="170"/>
      <c r="AJ144" s="170"/>
      <c r="AK144" s="170"/>
      <c r="AL144" s="170"/>
      <c r="AM144" s="170"/>
      <c r="AN144" s="170"/>
      <c r="AO144" s="170"/>
      <c r="AP144" s="170"/>
      <c r="AQ144" s="170"/>
      <c r="AR144" s="170"/>
      <c r="AS144" s="170"/>
      <c r="AT144" s="170"/>
      <c r="AU144" s="170"/>
      <c r="AV144" s="170"/>
      <c r="AW144" s="170"/>
      <c r="AX144" s="170"/>
      <c r="AY144" s="170"/>
      <c r="AZ144" s="170"/>
      <c r="BA144" s="170"/>
      <c r="BB144" s="170"/>
      <c r="BC144" s="170"/>
      <c r="BD144" s="170"/>
      <c r="BE144" s="170"/>
      <c r="BF144" s="170"/>
      <c r="BG144" s="170"/>
      <c r="BH144" s="170"/>
      <c r="BI144" s="170"/>
      <c r="BJ144" s="170"/>
      <c r="BK144" s="170"/>
      <c r="BL144" s="170"/>
      <c r="BM144" s="170"/>
      <c r="BN144" s="170"/>
      <c r="BO144" s="170"/>
      <c r="BP144" s="170"/>
      <c r="BQ144" s="170"/>
      <c r="BR144" s="170"/>
      <c r="BS144" s="170"/>
      <c r="BT144" s="170"/>
      <c r="BU144" s="170"/>
      <c r="BV144" s="170"/>
      <c r="BW144" s="170"/>
      <c r="BX144" s="170"/>
      <c r="BY144" s="170"/>
      <c r="BZ144" s="170"/>
      <c r="CA144" s="170"/>
      <c r="CB144" s="170"/>
      <c r="CC144" s="170"/>
      <c r="CD144" s="170"/>
      <c r="CE144" s="170"/>
      <c r="CF144" s="170"/>
      <c r="CG144" s="170"/>
      <c r="CH144" s="170"/>
      <c r="CI144" s="170"/>
      <c r="CJ144" s="170"/>
      <c r="CK144" s="170"/>
      <c r="CL144" s="170"/>
      <c r="CM144" s="170"/>
      <c r="CN144" s="170"/>
      <c r="CO144" s="170"/>
    </row>
    <row r="145" spans="1:93">
      <c r="A145" s="77"/>
      <c r="B145" s="168"/>
      <c r="C145" s="17" t="s">
        <v>632</v>
      </c>
      <c r="D145" s="10"/>
      <c r="E145" s="184">
        <f xml:space="preserve"> Предпосылки!E233 * $I$104 * $I$109</f>
        <v>0</v>
      </c>
      <c r="F145" s="11"/>
      <c r="G145" s="11" t="str">
        <f>Monetary_Unit</f>
        <v>тыс. руб.</v>
      </c>
      <c r="H145" s="10"/>
      <c r="I145" s="10"/>
      <c r="J145" s="10"/>
      <c r="K145" s="10"/>
      <c r="L145" s="171">
        <f xml:space="preserve"> Предпосылки!L240</f>
        <v>0</v>
      </c>
      <c r="M145" s="171">
        <f xml:space="preserve"> Предпосылки!M240</f>
        <v>0</v>
      </c>
      <c r="N145" s="171">
        <f xml:space="preserve"> Предпосылки!N240</f>
        <v>0</v>
      </c>
      <c r="O145" s="171">
        <f xml:space="preserve"> Предпосылки!O240</f>
        <v>0</v>
      </c>
      <c r="P145" s="171">
        <f xml:space="preserve"> Предпосылки!P240</f>
        <v>0</v>
      </c>
      <c r="Q145" s="171">
        <f xml:space="preserve"> Предпосылки!Q240</f>
        <v>0</v>
      </c>
      <c r="R145" s="171">
        <f xml:space="preserve"> Предпосылки!R240</f>
        <v>0</v>
      </c>
      <c r="S145" s="171">
        <f xml:space="preserve"> Предпосылки!S240</f>
        <v>0</v>
      </c>
      <c r="T145" s="171">
        <f xml:space="preserve"> Предпосылки!T240</f>
        <v>0</v>
      </c>
      <c r="U145" s="171">
        <f xml:space="preserve"> Предпосылки!U240</f>
        <v>0</v>
      </c>
      <c r="V145" s="171">
        <f xml:space="preserve"> Предпосылки!V240</f>
        <v>0</v>
      </c>
      <c r="W145" s="171">
        <f xml:space="preserve"> Предпосылки!W240</f>
        <v>0</v>
      </c>
      <c r="X145" s="171">
        <f xml:space="preserve"> Предпосылки!X240</f>
        <v>0</v>
      </c>
      <c r="Y145" s="171">
        <f xml:space="preserve"> Предпосылки!Y240</f>
        <v>0</v>
      </c>
      <c r="Z145" s="171">
        <f xml:space="preserve"> Предпосылки!Z240</f>
        <v>0</v>
      </c>
      <c r="AA145" s="171">
        <f xml:space="preserve"> Предпосылки!AA240</f>
        <v>0</v>
      </c>
      <c r="AB145" s="171">
        <f xml:space="preserve"> Предпосылки!AB240</f>
        <v>0</v>
      </c>
      <c r="AC145" s="171">
        <f xml:space="preserve"> Предпосылки!AC240</f>
        <v>0</v>
      </c>
      <c r="AD145" s="171">
        <f xml:space="preserve"> Предпосылки!AD240</f>
        <v>0</v>
      </c>
      <c r="AE145" s="171">
        <f xml:space="preserve"> Предпосылки!AE240</f>
        <v>0</v>
      </c>
      <c r="AF145" s="171">
        <f xml:space="preserve"> Предпосылки!AF240</f>
        <v>0</v>
      </c>
      <c r="AG145" s="171">
        <f xml:space="preserve"> Предпосылки!AG240</f>
        <v>0</v>
      </c>
      <c r="AH145" s="171">
        <f xml:space="preserve"> Предпосылки!AH240</f>
        <v>0</v>
      </c>
      <c r="AI145" s="171">
        <f xml:space="preserve"> Предпосылки!AI240</f>
        <v>0</v>
      </c>
      <c r="AJ145" s="171">
        <f xml:space="preserve"> Предпосылки!AJ240</f>
        <v>0</v>
      </c>
      <c r="AK145" s="171">
        <f xml:space="preserve"> Предпосылки!AK240</f>
        <v>0</v>
      </c>
      <c r="AL145" s="171">
        <f xml:space="preserve"> Предпосылки!AL240</f>
        <v>0</v>
      </c>
      <c r="AM145" s="171">
        <f xml:space="preserve"> Предпосылки!AM240</f>
        <v>0</v>
      </c>
      <c r="AN145" s="171">
        <f xml:space="preserve"> Предпосылки!AN240</f>
        <v>0</v>
      </c>
      <c r="AO145" s="171">
        <f xml:space="preserve"> Предпосылки!AO240</f>
        <v>0</v>
      </c>
      <c r="AP145" s="171">
        <f xml:space="preserve"> Предпосылки!AP240</f>
        <v>0</v>
      </c>
      <c r="AQ145" s="171">
        <f xml:space="preserve"> Предпосылки!AQ240</f>
        <v>0</v>
      </c>
      <c r="AR145" s="171">
        <f xml:space="preserve"> Предпосылки!AR240</f>
        <v>0</v>
      </c>
      <c r="AS145" s="171">
        <f xml:space="preserve"> Предпосылки!AS240</f>
        <v>0</v>
      </c>
      <c r="AT145" s="171">
        <f xml:space="preserve"> Предпосылки!AT240</f>
        <v>0</v>
      </c>
      <c r="AU145" s="171">
        <f xml:space="preserve"> Предпосылки!AU240</f>
        <v>0</v>
      </c>
      <c r="AV145" s="171">
        <f xml:space="preserve"> Предпосылки!AV240</f>
        <v>0</v>
      </c>
      <c r="AW145" s="171">
        <f xml:space="preserve"> Предпосылки!AW240</f>
        <v>0</v>
      </c>
      <c r="AX145" s="171">
        <f xml:space="preserve"> Предпосылки!AX240</f>
        <v>0</v>
      </c>
      <c r="AY145" s="171">
        <f xml:space="preserve"> Предпосылки!AY240</f>
        <v>0</v>
      </c>
      <c r="AZ145" s="171">
        <f xml:space="preserve"> Предпосылки!AZ240</f>
        <v>0</v>
      </c>
      <c r="BA145" s="171">
        <f xml:space="preserve"> Предпосылки!BA240</f>
        <v>0</v>
      </c>
      <c r="BB145" s="171">
        <f xml:space="preserve"> Предпосылки!BB240</f>
        <v>0</v>
      </c>
      <c r="BC145" s="171">
        <f xml:space="preserve"> Предпосылки!BC240</f>
        <v>0</v>
      </c>
      <c r="BD145" s="171">
        <f xml:space="preserve"> Предпосылки!BD240</f>
        <v>0</v>
      </c>
      <c r="BE145" s="171">
        <f xml:space="preserve"> Предпосылки!BE240</f>
        <v>0</v>
      </c>
      <c r="BF145" s="171">
        <f xml:space="preserve"> Предпосылки!BF240</f>
        <v>0</v>
      </c>
      <c r="BG145" s="171">
        <f xml:space="preserve"> Предпосылки!BG240</f>
        <v>0</v>
      </c>
      <c r="BH145" s="171">
        <f xml:space="preserve"> Предпосылки!BH240</f>
        <v>0</v>
      </c>
      <c r="BI145" s="171">
        <f xml:space="preserve"> Предпосылки!BI240</f>
        <v>0</v>
      </c>
      <c r="BJ145" s="171">
        <f xml:space="preserve"> Предпосылки!BJ240</f>
        <v>0</v>
      </c>
      <c r="BK145" s="171">
        <f xml:space="preserve"> Предпосылки!BK240</f>
        <v>0</v>
      </c>
      <c r="BL145" s="171">
        <f xml:space="preserve"> Предпосылки!BL240</f>
        <v>0</v>
      </c>
      <c r="BM145" s="171">
        <f xml:space="preserve"> Предпосылки!BM240</f>
        <v>0</v>
      </c>
      <c r="BN145" s="171">
        <f xml:space="preserve"> Предпосылки!BN240</f>
        <v>0</v>
      </c>
      <c r="BO145" s="171">
        <f xml:space="preserve"> Предпосылки!BO240</f>
        <v>0</v>
      </c>
      <c r="BP145" s="171">
        <f xml:space="preserve"> Предпосылки!BP240</f>
        <v>0</v>
      </c>
      <c r="BQ145" s="171">
        <f xml:space="preserve"> Предпосылки!BQ240</f>
        <v>0</v>
      </c>
      <c r="BR145" s="171">
        <f xml:space="preserve"> Предпосылки!BR240</f>
        <v>0</v>
      </c>
      <c r="BS145" s="171">
        <f xml:space="preserve"> Предпосылки!BS240</f>
        <v>0</v>
      </c>
      <c r="BT145" s="171">
        <f xml:space="preserve"> Предпосылки!BT240</f>
        <v>0</v>
      </c>
      <c r="BU145" s="171">
        <f xml:space="preserve"> Предпосылки!BU240</f>
        <v>0</v>
      </c>
      <c r="BV145" s="171">
        <f xml:space="preserve"> Предпосылки!BV240</f>
        <v>0</v>
      </c>
      <c r="BW145" s="171">
        <f xml:space="preserve"> Предпосылки!BW240</f>
        <v>0</v>
      </c>
      <c r="BX145" s="171">
        <f xml:space="preserve"> Предпосылки!BX240</f>
        <v>0</v>
      </c>
      <c r="BY145" s="171">
        <f xml:space="preserve"> Предпосылки!BY240</f>
        <v>0</v>
      </c>
      <c r="BZ145" s="171">
        <f xml:space="preserve"> Предпосылки!BZ240</f>
        <v>0</v>
      </c>
      <c r="CA145" s="171">
        <f xml:space="preserve"> Предпосылки!CA240</f>
        <v>0</v>
      </c>
      <c r="CB145" s="171">
        <f xml:space="preserve"> Предпосылки!CB240</f>
        <v>0</v>
      </c>
      <c r="CC145" s="171">
        <f xml:space="preserve"> Предпосылки!CC240</f>
        <v>0</v>
      </c>
      <c r="CD145" s="171">
        <f xml:space="preserve"> Предпосылки!CD240</f>
        <v>0</v>
      </c>
      <c r="CE145" s="171">
        <f xml:space="preserve"> Предпосылки!CE240</f>
        <v>0</v>
      </c>
      <c r="CF145" s="171">
        <f xml:space="preserve"> Предпосылки!CF240</f>
        <v>0</v>
      </c>
      <c r="CG145" s="171">
        <f xml:space="preserve"> Предпосылки!CG240</f>
        <v>0</v>
      </c>
      <c r="CH145" s="171">
        <f xml:space="preserve"> Предпосылки!CH240</f>
        <v>0</v>
      </c>
      <c r="CI145" s="171">
        <f xml:space="preserve"> Предпосылки!CI240</f>
        <v>0</v>
      </c>
      <c r="CJ145" s="171">
        <f xml:space="preserve"> Предпосылки!CJ240</f>
        <v>0</v>
      </c>
      <c r="CK145" s="171">
        <f xml:space="preserve"> Предпосылки!CK240</f>
        <v>0</v>
      </c>
      <c r="CL145" s="171">
        <f xml:space="preserve"> Предпосылки!CL240</f>
        <v>0</v>
      </c>
      <c r="CM145" s="171">
        <f xml:space="preserve"> Предпосылки!CM240</f>
        <v>0</v>
      </c>
      <c r="CN145" s="171">
        <f xml:space="preserve"> Предпосылки!CN240</f>
        <v>0</v>
      </c>
      <c r="CO145" s="171">
        <f xml:space="preserve"> Предпосылки!CO240</f>
        <v>0</v>
      </c>
    </row>
    <row r="146" spans="1:93">
      <c r="A146" s="77"/>
      <c r="B146" s="168"/>
      <c r="C146" s="17" t="s">
        <v>634</v>
      </c>
      <c r="D146" s="10"/>
      <c r="E146" s="184">
        <f xml:space="preserve"> Предпосылки!E234 * $I$104 * $I$109</f>
        <v>0</v>
      </c>
      <c r="F146" s="11"/>
      <c r="G146" s="11" t="str">
        <f>Monetary_Unit</f>
        <v>тыс. руб.</v>
      </c>
      <c r="H146" s="10"/>
      <c r="I146" s="10"/>
      <c r="J146" s="10"/>
      <c r="K146" s="10"/>
      <c r="L146" s="171">
        <f xml:space="preserve"> Предпосылки!L241</f>
        <v>0</v>
      </c>
      <c r="M146" s="171">
        <f xml:space="preserve"> Предпосылки!M241</f>
        <v>0</v>
      </c>
      <c r="N146" s="171">
        <f xml:space="preserve"> Предпосылки!N241</f>
        <v>0</v>
      </c>
      <c r="O146" s="171">
        <f xml:space="preserve"> Предпосылки!O241</f>
        <v>0</v>
      </c>
      <c r="P146" s="171">
        <f xml:space="preserve"> Предпосылки!P241</f>
        <v>0</v>
      </c>
      <c r="Q146" s="171">
        <f xml:space="preserve"> Предпосылки!Q241</f>
        <v>0</v>
      </c>
      <c r="R146" s="171">
        <f xml:space="preserve"> Предпосылки!R241</f>
        <v>0</v>
      </c>
      <c r="S146" s="171">
        <f xml:space="preserve"> Предпосылки!S241</f>
        <v>0</v>
      </c>
      <c r="T146" s="171">
        <f xml:space="preserve"> Предпосылки!T241</f>
        <v>0</v>
      </c>
      <c r="U146" s="171">
        <f xml:space="preserve"> Предпосылки!U241</f>
        <v>0</v>
      </c>
      <c r="V146" s="171">
        <f xml:space="preserve"> Предпосылки!V241</f>
        <v>0</v>
      </c>
      <c r="W146" s="171">
        <f xml:space="preserve"> Предпосылки!W241</f>
        <v>0</v>
      </c>
      <c r="X146" s="171">
        <f xml:space="preserve"> Предпосылки!X241</f>
        <v>0</v>
      </c>
      <c r="Y146" s="171">
        <f xml:space="preserve"> Предпосылки!Y241</f>
        <v>0</v>
      </c>
      <c r="Z146" s="171">
        <f xml:space="preserve"> Предпосылки!Z241</f>
        <v>0</v>
      </c>
      <c r="AA146" s="171">
        <f xml:space="preserve"> Предпосылки!AA241</f>
        <v>0</v>
      </c>
      <c r="AB146" s="171">
        <f xml:space="preserve"> Предпосылки!AB241</f>
        <v>0</v>
      </c>
      <c r="AC146" s="171">
        <f xml:space="preserve"> Предпосылки!AC241</f>
        <v>0</v>
      </c>
      <c r="AD146" s="171">
        <f xml:space="preserve"> Предпосылки!AD241</f>
        <v>0</v>
      </c>
      <c r="AE146" s="171">
        <f xml:space="preserve"> Предпосылки!AE241</f>
        <v>0</v>
      </c>
      <c r="AF146" s="171">
        <f xml:space="preserve"> Предпосылки!AF241</f>
        <v>0</v>
      </c>
      <c r="AG146" s="171">
        <f xml:space="preserve"> Предпосылки!AG241</f>
        <v>0</v>
      </c>
      <c r="AH146" s="171">
        <f xml:space="preserve"> Предпосылки!AH241</f>
        <v>0</v>
      </c>
      <c r="AI146" s="171">
        <f xml:space="preserve"> Предпосылки!AI241</f>
        <v>0</v>
      </c>
      <c r="AJ146" s="171">
        <f xml:space="preserve"> Предпосылки!AJ241</f>
        <v>0</v>
      </c>
      <c r="AK146" s="171">
        <f xml:space="preserve"> Предпосылки!AK241</f>
        <v>0</v>
      </c>
      <c r="AL146" s="171">
        <f xml:space="preserve"> Предпосылки!AL241</f>
        <v>0</v>
      </c>
      <c r="AM146" s="171">
        <f xml:space="preserve"> Предпосылки!AM241</f>
        <v>0</v>
      </c>
      <c r="AN146" s="171">
        <f xml:space="preserve"> Предпосылки!AN241</f>
        <v>0</v>
      </c>
      <c r="AO146" s="171">
        <f xml:space="preserve"> Предпосылки!AO241</f>
        <v>0</v>
      </c>
      <c r="AP146" s="171">
        <f xml:space="preserve"> Предпосылки!AP241</f>
        <v>0</v>
      </c>
      <c r="AQ146" s="171">
        <f xml:space="preserve"> Предпосылки!AQ241</f>
        <v>0</v>
      </c>
      <c r="AR146" s="171">
        <f xml:space="preserve"> Предпосылки!AR241</f>
        <v>0</v>
      </c>
      <c r="AS146" s="171">
        <f xml:space="preserve"> Предпосылки!AS241</f>
        <v>0</v>
      </c>
      <c r="AT146" s="171">
        <f xml:space="preserve"> Предпосылки!AT241</f>
        <v>0</v>
      </c>
      <c r="AU146" s="171">
        <f xml:space="preserve"> Предпосылки!AU241</f>
        <v>0</v>
      </c>
      <c r="AV146" s="171">
        <f xml:space="preserve"> Предпосылки!AV241</f>
        <v>0</v>
      </c>
      <c r="AW146" s="171">
        <f xml:space="preserve"> Предпосылки!AW241</f>
        <v>0</v>
      </c>
      <c r="AX146" s="171">
        <f xml:space="preserve"> Предпосылки!AX241</f>
        <v>0</v>
      </c>
      <c r="AY146" s="171">
        <f xml:space="preserve"> Предпосылки!AY241</f>
        <v>0</v>
      </c>
      <c r="AZ146" s="171">
        <f xml:space="preserve"> Предпосылки!AZ241</f>
        <v>0</v>
      </c>
      <c r="BA146" s="171">
        <f xml:space="preserve"> Предпосылки!BA241</f>
        <v>0</v>
      </c>
      <c r="BB146" s="171">
        <f xml:space="preserve"> Предпосылки!BB241</f>
        <v>0</v>
      </c>
      <c r="BC146" s="171">
        <f xml:space="preserve"> Предпосылки!BC241</f>
        <v>0</v>
      </c>
      <c r="BD146" s="171">
        <f xml:space="preserve"> Предпосылки!BD241</f>
        <v>0</v>
      </c>
      <c r="BE146" s="171">
        <f xml:space="preserve"> Предпосылки!BE241</f>
        <v>0</v>
      </c>
      <c r="BF146" s="171">
        <f xml:space="preserve"> Предпосылки!BF241</f>
        <v>0</v>
      </c>
      <c r="BG146" s="171">
        <f xml:space="preserve"> Предпосылки!BG241</f>
        <v>0</v>
      </c>
      <c r="BH146" s="171">
        <f xml:space="preserve"> Предпосылки!BH241</f>
        <v>0</v>
      </c>
      <c r="BI146" s="171">
        <f xml:space="preserve"> Предпосылки!BI241</f>
        <v>0</v>
      </c>
      <c r="BJ146" s="171">
        <f xml:space="preserve"> Предпосылки!BJ241</f>
        <v>0</v>
      </c>
      <c r="BK146" s="171">
        <f xml:space="preserve"> Предпосылки!BK241</f>
        <v>0</v>
      </c>
      <c r="BL146" s="171">
        <f xml:space="preserve"> Предпосылки!BL241</f>
        <v>0</v>
      </c>
      <c r="BM146" s="171">
        <f xml:space="preserve"> Предпосылки!BM241</f>
        <v>0</v>
      </c>
      <c r="BN146" s="171">
        <f xml:space="preserve"> Предпосылки!BN241</f>
        <v>0</v>
      </c>
      <c r="BO146" s="171">
        <f xml:space="preserve"> Предпосылки!BO241</f>
        <v>0</v>
      </c>
      <c r="BP146" s="171">
        <f xml:space="preserve"> Предпосылки!BP241</f>
        <v>0</v>
      </c>
      <c r="BQ146" s="171">
        <f xml:space="preserve"> Предпосылки!BQ241</f>
        <v>0</v>
      </c>
      <c r="BR146" s="171">
        <f xml:space="preserve"> Предпосылки!BR241</f>
        <v>0</v>
      </c>
      <c r="BS146" s="171">
        <f xml:space="preserve"> Предпосылки!BS241</f>
        <v>0</v>
      </c>
      <c r="BT146" s="171">
        <f xml:space="preserve"> Предпосылки!BT241</f>
        <v>0</v>
      </c>
      <c r="BU146" s="171">
        <f xml:space="preserve"> Предпосылки!BU241</f>
        <v>0</v>
      </c>
      <c r="BV146" s="171">
        <f xml:space="preserve"> Предпосылки!BV241</f>
        <v>0</v>
      </c>
      <c r="BW146" s="171">
        <f xml:space="preserve"> Предпосылки!BW241</f>
        <v>0</v>
      </c>
      <c r="BX146" s="171">
        <f xml:space="preserve"> Предпосылки!BX241</f>
        <v>0</v>
      </c>
      <c r="BY146" s="171">
        <f xml:space="preserve"> Предпосылки!BY241</f>
        <v>0</v>
      </c>
      <c r="BZ146" s="171">
        <f xml:space="preserve"> Предпосылки!BZ241</f>
        <v>0</v>
      </c>
      <c r="CA146" s="171">
        <f xml:space="preserve"> Предпосылки!CA241</f>
        <v>0</v>
      </c>
      <c r="CB146" s="171">
        <f xml:space="preserve"> Предпосылки!CB241</f>
        <v>0</v>
      </c>
      <c r="CC146" s="171">
        <f xml:space="preserve"> Предпосылки!CC241</f>
        <v>0</v>
      </c>
      <c r="CD146" s="171">
        <f xml:space="preserve"> Предпосылки!CD241</f>
        <v>0</v>
      </c>
      <c r="CE146" s="171">
        <f xml:space="preserve"> Предпосылки!CE241</f>
        <v>0</v>
      </c>
      <c r="CF146" s="171">
        <f xml:space="preserve"> Предпосылки!CF241</f>
        <v>0</v>
      </c>
      <c r="CG146" s="171">
        <f xml:space="preserve"> Предпосылки!CG241</f>
        <v>0</v>
      </c>
      <c r="CH146" s="171">
        <f xml:space="preserve"> Предпосылки!CH241</f>
        <v>0</v>
      </c>
      <c r="CI146" s="171">
        <f xml:space="preserve"> Предпосылки!CI241</f>
        <v>0</v>
      </c>
      <c r="CJ146" s="171">
        <f xml:space="preserve"> Предпосылки!CJ241</f>
        <v>0</v>
      </c>
      <c r="CK146" s="171">
        <f xml:space="preserve"> Предпосылки!CK241</f>
        <v>0</v>
      </c>
      <c r="CL146" s="171">
        <f xml:space="preserve"> Предпосылки!CL241</f>
        <v>0</v>
      </c>
      <c r="CM146" s="171">
        <f xml:space="preserve"> Предпосылки!CM241</f>
        <v>0</v>
      </c>
      <c r="CN146" s="171">
        <f xml:space="preserve"> Предпосылки!CN241</f>
        <v>0</v>
      </c>
      <c r="CO146" s="171">
        <f xml:space="preserve"> Предпосылки!CO241</f>
        <v>0</v>
      </c>
    </row>
    <row r="147" spans="1:93">
      <c r="A147" s="77"/>
      <c r="B147" s="168"/>
      <c r="C147" s="17" t="s">
        <v>848</v>
      </c>
      <c r="D147" s="10"/>
      <c r="E147" s="184">
        <f xml:space="preserve"> Предпосылки!E235 * $I$104 * $I$109</f>
        <v>0</v>
      </c>
      <c r="F147" s="11"/>
      <c r="G147" s="11" t="str">
        <f>Monetary_Unit</f>
        <v>тыс. руб.</v>
      </c>
      <c r="H147" s="10"/>
      <c r="I147" s="10"/>
      <c r="J147" s="10"/>
      <c r="K147" s="10"/>
      <c r="L147" s="171">
        <f xml:space="preserve"> Предпосылки!L242</f>
        <v>0</v>
      </c>
      <c r="M147" s="171">
        <f xml:space="preserve"> Предпосылки!M242</f>
        <v>0</v>
      </c>
      <c r="N147" s="171">
        <f xml:space="preserve"> Предпосылки!N242</f>
        <v>0</v>
      </c>
      <c r="O147" s="171">
        <f xml:space="preserve"> Предпосылки!O242</f>
        <v>0</v>
      </c>
      <c r="P147" s="171">
        <f xml:space="preserve"> Предпосылки!P242</f>
        <v>0</v>
      </c>
      <c r="Q147" s="171">
        <f xml:space="preserve"> Предпосылки!Q242</f>
        <v>0</v>
      </c>
      <c r="R147" s="171">
        <f xml:space="preserve"> Предпосылки!R242</f>
        <v>0</v>
      </c>
      <c r="S147" s="171">
        <f xml:space="preserve"> Предпосылки!S242</f>
        <v>0</v>
      </c>
      <c r="T147" s="171">
        <f xml:space="preserve"> Предпосылки!T242</f>
        <v>0</v>
      </c>
      <c r="U147" s="171">
        <f xml:space="preserve"> Предпосылки!U242</f>
        <v>0</v>
      </c>
      <c r="V147" s="171">
        <f xml:space="preserve"> Предпосылки!V242</f>
        <v>0</v>
      </c>
      <c r="W147" s="171">
        <f xml:space="preserve"> Предпосылки!W242</f>
        <v>0</v>
      </c>
      <c r="X147" s="171">
        <f xml:space="preserve"> Предпосылки!X242</f>
        <v>0</v>
      </c>
      <c r="Y147" s="171">
        <f xml:space="preserve"> Предпосылки!Y242</f>
        <v>0</v>
      </c>
      <c r="Z147" s="171">
        <f xml:space="preserve"> Предпосылки!Z242</f>
        <v>0</v>
      </c>
      <c r="AA147" s="171">
        <f xml:space="preserve"> Предпосылки!AA242</f>
        <v>0</v>
      </c>
      <c r="AB147" s="171">
        <f xml:space="preserve"> Предпосылки!AB242</f>
        <v>0</v>
      </c>
      <c r="AC147" s="171">
        <f xml:space="preserve"> Предпосылки!AC242</f>
        <v>0</v>
      </c>
      <c r="AD147" s="171">
        <f xml:space="preserve"> Предпосылки!AD242</f>
        <v>0</v>
      </c>
      <c r="AE147" s="171">
        <f xml:space="preserve"> Предпосылки!AE242</f>
        <v>0</v>
      </c>
      <c r="AF147" s="171">
        <f xml:space="preserve"> Предпосылки!AF242</f>
        <v>0</v>
      </c>
      <c r="AG147" s="171">
        <f xml:space="preserve"> Предпосылки!AG242</f>
        <v>0</v>
      </c>
      <c r="AH147" s="171">
        <f xml:space="preserve"> Предпосылки!AH242</f>
        <v>0</v>
      </c>
      <c r="AI147" s="171">
        <f xml:space="preserve"> Предпосылки!AI242</f>
        <v>0</v>
      </c>
      <c r="AJ147" s="171">
        <f xml:space="preserve"> Предпосылки!AJ242</f>
        <v>0</v>
      </c>
      <c r="AK147" s="171">
        <f xml:space="preserve"> Предпосылки!AK242</f>
        <v>0</v>
      </c>
      <c r="AL147" s="171">
        <f xml:space="preserve"> Предпосылки!AL242</f>
        <v>0</v>
      </c>
      <c r="AM147" s="171">
        <f xml:space="preserve"> Предпосылки!AM242</f>
        <v>0</v>
      </c>
      <c r="AN147" s="171">
        <f xml:space="preserve"> Предпосылки!AN242</f>
        <v>0</v>
      </c>
      <c r="AO147" s="171">
        <f xml:space="preserve"> Предпосылки!AO242</f>
        <v>0</v>
      </c>
      <c r="AP147" s="171">
        <f xml:space="preserve"> Предпосылки!AP242</f>
        <v>0</v>
      </c>
      <c r="AQ147" s="171">
        <f xml:space="preserve"> Предпосылки!AQ242</f>
        <v>0</v>
      </c>
      <c r="AR147" s="171">
        <f xml:space="preserve"> Предпосылки!AR242</f>
        <v>0</v>
      </c>
      <c r="AS147" s="171">
        <f xml:space="preserve"> Предпосылки!AS242</f>
        <v>0</v>
      </c>
      <c r="AT147" s="171">
        <f xml:space="preserve"> Предпосылки!AT242</f>
        <v>0</v>
      </c>
      <c r="AU147" s="171">
        <f xml:space="preserve"> Предпосылки!AU242</f>
        <v>0</v>
      </c>
      <c r="AV147" s="171">
        <f xml:space="preserve"> Предпосылки!AV242</f>
        <v>0</v>
      </c>
      <c r="AW147" s="171">
        <f xml:space="preserve"> Предпосылки!AW242</f>
        <v>0</v>
      </c>
      <c r="AX147" s="171">
        <f xml:space="preserve"> Предпосылки!AX242</f>
        <v>0</v>
      </c>
      <c r="AY147" s="171">
        <f xml:space="preserve"> Предпосылки!AY242</f>
        <v>0</v>
      </c>
      <c r="AZ147" s="171">
        <f xml:space="preserve"> Предпосылки!AZ242</f>
        <v>0</v>
      </c>
      <c r="BA147" s="171">
        <f xml:space="preserve"> Предпосылки!BA242</f>
        <v>0</v>
      </c>
      <c r="BB147" s="171">
        <f xml:space="preserve"> Предпосылки!BB242</f>
        <v>0</v>
      </c>
      <c r="BC147" s="171">
        <f xml:space="preserve"> Предпосылки!BC242</f>
        <v>0</v>
      </c>
      <c r="BD147" s="171">
        <f xml:space="preserve"> Предпосылки!BD242</f>
        <v>0</v>
      </c>
      <c r="BE147" s="171">
        <f xml:space="preserve"> Предпосылки!BE242</f>
        <v>0</v>
      </c>
      <c r="BF147" s="171">
        <f xml:space="preserve"> Предпосылки!BF242</f>
        <v>0</v>
      </c>
      <c r="BG147" s="171">
        <f xml:space="preserve"> Предпосылки!BG242</f>
        <v>0</v>
      </c>
      <c r="BH147" s="171">
        <f xml:space="preserve"> Предпосылки!BH242</f>
        <v>0</v>
      </c>
      <c r="BI147" s="171">
        <f xml:space="preserve"> Предпосылки!BI242</f>
        <v>0</v>
      </c>
      <c r="BJ147" s="171">
        <f xml:space="preserve"> Предпосылки!BJ242</f>
        <v>0</v>
      </c>
      <c r="BK147" s="171">
        <f xml:space="preserve"> Предпосылки!BK242</f>
        <v>0</v>
      </c>
      <c r="BL147" s="171">
        <f xml:space="preserve"> Предпосылки!BL242</f>
        <v>0</v>
      </c>
      <c r="BM147" s="171">
        <f xml:space="preserve"> Предпосылки!BM242</f>
        <v>0</v>
      </c>
      <c r="BN147" s="171">
        <f xml:space="preserve"> Предпосылки!BN242</f>
        <v>0</v>
      </c>
      <c r="BO147" s="171">
        <f xml:space="preserve"> Предпосылки!BO242</f>
        <v>0</v>
      </c>
      <c r="BP147" s="171">
        <f xml:space="preserve"> Предпосылки!BP242</f>
        <v>0</v>
      </c>
      <c r="BQ147" s="171">
        <f xml:space="preserve"> Предпосылки!BQ242</f>
        <v>0</v>
      </c>
      <c r="BR147" s="171">
        <f xml:space="preserve"> Предпосылки!BR242</f>
        <v>0</v>
      </c>
      <c r="BS147" s="171">
        <f xml:space="preserve"> Предпосылки!BS242</f>
        <v>0</v>
      </c>
      <c r="BT147" s="171">
        <f xml:space="preserve"> Предпосылки!BT242</f>
        <v>0</v>
      </c>
      <c r="BU147" s="171">
        <f xml:space="preserve"> Предпосылки!BU242</f>
        <v>0</v>
      </c>
      <c r="BV147" s="171">
        <f xml:space="preserve"> Предпосылки!BV242</f>
        <v>0</v>
      </c>
      <c r="BW147" s="171">
        <f xml:space="preserve"> Предпосылки!BW242</f>
        <v>0</v>
      </c>
      <c r="BX147" s="171">
        <f xml:space="preserve"> Предпосылки!BX242</f>
        <v>0</v>
      </c>
      <c r="BY147" s="171">
        <f xml:space="preserve"> Предпосылки!BY242</f>
        <v>0</v>
      </c>
      <c r="BZ147" s="171">
        <f xml:space="preserve"> Предпосылки!BZ242</f>
        <v>0</v>
      </c>
      <c r="CA147" s="171">
        <f xml:space="preserve"> Предпосылки!CA242</f>
        <v>0</v>
      </c>
      <c r="CB147" s="171">
        <f xml:space="preserve"> Предпосылки!CB242</f>
        <v>0</v>
      </c>
      <c r="CC147" s="171">
        <f xml:space="preserve"> Предпосылки!CC242</f>
        <v>0</v>
      </c>
      <c r="CD147" s="171">
        <f xml:space="preserve"> Предпосылки!CD242</f>
        <v>0</v>
      </c>
      <c r="CE147" s="171">
        <f xml:space="preserve"> Предпосылки!CE242</f>
        <v>0</v>
      </c>
      <c r="CF147" s="171">
        <f xml:space="preserve"> Предпосылки!CF242</f>
        <v>0</v>
      </c>
      <c r="CG147" s="171">
        <f xml:space="preserve"> Предпосылки!CG242</f>
        <v>0</v>
      </c>
      <c r="CH147" s="171">
        <f xml:space="preserve"> Предпосылки!CH242</f>
        <v>0</v>
      </c>
      <c r="CI147" s="171">
        <f xml:space="preserve"> Предпосылки!CI242</f>
        <v>0</v>
      </c>
      <c r="CJ147" s="171">
        <f xml:space="preserve"> Предпосылки!CJ242</f>
        <v>0</v>
      </c>
      <c r="CK147" s="171">
        <f xml:space="preserve"> Предпосылки!CK242</f>
        <v>0</v>
      </c>
      <c r="CL147" s="171">
        <f xml:space="preserve"> Предпосылки!CL242</f>
        <v>0</v>
      </c>
      <c r="CM147" s="171">
        <f xml:space="preserve"> Предпосылки!CM242</f>
        <v>0</v>
      </c>
      <c r="CN147" s="171">
        <f xml:space="preserve"> Предпосылки!CN242</f>
        <v>0</v>
      </c>
      <c r="CO147" s="171">
        <f xml:space="preserve"> Предпосылки!CO242</f>
        <v>0</v>
      </c>
    </row>
    <row r="148" spans="1:93">
      <c r="A148" s="77"/>
      <c r="B148" s="168"/>
      <c r="C148" s="17" t="s">
        <v>824</v>
      </c>
      <c r="D148" s="10"/>
      <c r="E148" s="232">
        <f xml:space="preserve"> Предпосылки!E230</f>
        <v>0</v>
      </c>
      <c r="F148" s="11"/>
      <c r="G148" s="11" t="s">
        <v>631</v>
      </c>
      <c r="H148" s="10"/>
      <c r="I148" s="10"/>
      <c r="J148" s="10"/>
      <c r="K148" s="1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170"/>
      <c r="BF148" s="170"/>
      <c r="BG148" s="170"/>
      <c r="BH148" s="170"/>
      <c r="BI148" s="170"/>
      <c r="BJ148" s="170"/>
      <c r="BK148" s="170"/>
      <c r="BL148" s="170"/>
      <c r="BM148" s="170"/>
      <c r="BN148" s="170"/>
      <c r="BO148" s="170"/>
      <c r="BP148" s="170"/>
      <c r="BQ148" s="170"/>
      <c r="BR148" s="170"/>
      <c r="BS148" s="170"/>
      <c r="BT148" s="170"/>
      <c r="BU148" s="170"/>
      <c r="BV148" s="170"/>
      <c r="BW148" s="170"/>
      <c r="BX148" s="170"/>
      <c r="BY148" s="170"/>
      <c r="BZ148" s="170"/>
      <c r="CA148" s="170"/>
      <c r="CB148" s="170"/>
      <c r="CC148" s="170"/>
      <c r="CD148" s="170"/>
      <c r="CE148" s="170"/>
      <c r="CF148" s="170"/>
      <c r="CG148" s="170"/>
      <c r="CH148" s="170"/>
      <c r="CI148" s="170"/>
      <c r="CJ148" s="170"/>
      <c r="CK148" s="170"/>
      <c r="CL148" s="170"/>
      <c r="CM148" s="170"/>
      <c r="CN148" s="170"/>
      <c r="CO148" s="170"/>
    </row>
    <row r="149" spans="1:93">
      <c r="A149" s="77"/>
      <c r="B149" s="168"/>
      <c r="C149" s="169"/>
      <c r="D149" s="10"/>
      <c r="E149" s="62"/>
      <c r="F149" s="11"/>
      <c r="G149" s="11"/>
      <c r="H149" s="10"/>
      <c r="I149" s="10"/>
      <c r="J149" s="10"/>
      <c r="K149" s="1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170"/>
      <c r="BF149" s="170"/>
      <c r="BG149" s="170"/>
      <c r="BH149" s="170"/>
      <c r="BI149" s="170"/>
      <c r="BJ149" s="170"/>
      <c r="BK149" s="170"/>
      <c r="BL149" s="170"/>
      <c r="BM149" s="170"/>
      <c r="BN149" s="170"/>
      <c r="BO149" s="170"/>
      <c r="BP149" s="170"/>
      <c r="BQ149" s="170"/>
      <c r="BR149" s="170"/>
      <c r="BS149" s="170"/>
      <c r="BT149" s="170"/>
      <c r="BU149" s="170"/>
      <c r="BV149" s="170"/>
      <c r="BW149" s="170"/>
      <c r="BX149" s="170"/>
      <c r="BY149" s="170"/>
      <c r="BZ149" s="170"/>
      <c r="CA149" s="170"/>
      <c r="CB149" s="170"/>
      <c r="CC149" s="170"/>
      <c r="CD149" s="170"/>
      <c r="CE149" s="170"/>
      <c r="CF149" s="170"/>
      <c r="CG149" s="170"/>
      <c r="CH149" s="170"/>
      <c r="CI149" s="170"/>
      <c r="CJ149" s="170"/>
      <c r="CK149" s="170"/>
      <c r="CL149" s="170"/>
      <c r="CM149" s="170"/>
      <c r="CN149" s="170"/>
      <c r="CO149" s="170"/>
    </row>
    <row r="150" spans="1:93">
      <c r="A150" s="77"/>
      <c r="B150" s="168"/>
      <c r="C150" s="17" t="s">
        <v>632</v>
      </c>
      <c r="D150" s="10"/>
      <c r="E150" s="62"/>
      <c r="F150" s="11"/>
      <c r="G150" s="11" t="str">
        <f>Monetary_Unit</f>
        <v>тыс. руб.</v>
      </c>
      <c r="H150" s="10"/>
      <c r="I150" s="23">
        <f>SUM(L150:CO150)</f>
        <v>0</v>
      </c>
      <c r="J150" s="10"/>
      <c r="K150" s="10"/>
      <c r="L150" s="10">
        <f t="shared" ref="L150:R150" si="1126" xml:space="preserve"> $E145 * L145</f>
        <v>0</v>
      </c>
      <c r="M150" s="10">
        <f t="shared" si="1126"/>
        <v>0</v>
      </c>
      <c r="N150" s="10">
        <f t="shared" si="1126"/>
        <v>0</v>
      </c>
      <c r="O150" s="10">
        <f t="shared" si="1126"/>
        <v>0</v>
      </c>
      <c r="P150" s="10">
        <f t="shared" si="1126"/>
        <v>0</v>
      </c>
      <c r="Q150" s="10">
        <f t="shared" si="1126"/>
        <v>0</v>
      </c>
      <c r="R150" s="10">
        <f t="shared" si="1126"/>
        <v>0</v>
      </c>
      <c r="S150" s="10">
        <f t="shared" ref="S150" si="1127" xml:space="preserve"> $E145 * S145</f>
        <v>0</v>
      </c>
      <c r="T150" s="10">
        <f t="shared" ref="T150:CE150" si="1128" xml:space="preserve"> $E145 * T145</f>
        <v>0</v>
      </c>
      <c r="U150" s="10">
        <f t="shared" si="1128"/>
        <v>0</v>
      </c>
      <c r="V150" s="10">
        <f t="shared" si="1128"/>
        <v>0</v>
      </c>
      <c r="W150" s="10">
        <f t="shared" si="1128"/>
        <v>0</v>
      </c>
      <c r="X150" s="10">
        <f t="shared" si="1128"/>
        <v>0</v>
      </c>
      <c r="Y150" s="10">
        <f t="shared" si="1128"/>
        <v>0</v>
      </c>
      <c r="Z150" s="10">
        <f t="shared" si="1128"/>
        <v>0</v>
      </c>
      <c r="AA150" s="10">
        <f t="shared" si="1128"/>
        <v>0</v>
      </c>
      <c r="AB150" s="10">
        <f t="shared" si="1128"/>
        <v>0</v>
      </c>
      <c r="AC150" s="10">
        <f t="shared" si="1128"/>
        <v>0</v>
      </c>
      <c r="AD150" s="10">
        <f t="shared" si="1128"/>
        <v>0</v>
      </c>
      <c r="AE150" s="10">
        <f t="shared" si="1128"/>
        <v>0</v>
      </c>
      <c r="AF150" s="10">
        <f t="shared" si="1128"/>
        <v>0</v>
      </c>
      <c r="AG150" s="10">
        <f t="shared" si="1128"/>
        <v>0</v>
      </c>
      <c r="AH150" s="10">
        <f t="shared" si="1128"/>
        <v>0</v>
      </c>
      <c r="AI150" s="10">
        <f t="shared" si="1128"/>
        <v>0</v>
      </c>
      <c r="AJ150" s="10">
        <f t="shared" si="1128"/>
        <v>0</v>
      </c>
      <c r="AK150" s="10">
        <f t="shared" si="1128"/>
        <v>0</v>
      </c>
      <c r="AL150" s="10">
        <f t="shared" si="1128"/>
        <v>0</v>
      </c>
      <c r="AM150" s="10">
        <f t="shared" si="1128"/>
        <v>0</v>
      </c>
      <c r="AN150" s="10">
        <f t="shared" si="1128"/>
        <v>0</v>
      </c>
      <c r="AO150" s="10">
        <f t="shared" si="1128"/>
        <v>0</v>
      </c>
      <c r="AP150" s="10">
        <f t="shared" si="1128"/>
        <v>0</v>
      </c>
      <c r="AQ150" s="10">
        <f t="shared" si="1128"/>
        <v>0</v>
      </c>
      <c r="AR150" s="10">
        <f t="shared" si="1128"/>
        <v>0</v>
      </c>
      <c r="AS150" s="10">
        <f t="shared" si="1128"/>
        <v>0</v>
      </c>
      <c r="AT150" s="10">
        <f t="shared" si="1128"/>
        <v>0</v>
      </c>
      <c r="AU150" s="10">
        <f t="shared" si="1128"/>
        <v>0</v>
      </c>
      <c r="AV150" s="10">
        <f t="shared" si="1128"/>
        <v>0</v>
      </c>
      <c r="AW150" s="10">
        <f t="shared" si="1128"/>
        <v>0</v>
      </c>
      <c r="AX150" s="10">
        <f t="shared" si="1128"/>
        <v>0</v>
      </c>
      <c r="AY150" s="10">
        <f t="shared" si="1128"/>
        <v>0</v>
      </c>
      <c r="AZ150" s="10">
        <f t="shared" si="1128"/>
        <v>0</v>
      </c>
      <c r="BA150" s="10">
        <f t="shared" si="1128"/>
        <v>0</v>
      </c>
      <c r="BB150" s="10">
        <f t="shared" si="1128"/>
        <v>0</v>
      </c>
      <c r="BC150" s="10">
        <f t="shared" si="1128"/>
        <v>0</v>
      </c>
      <c r="BD150" s="10">
        <f t="shared" si="1128"/>
        <v>0</v>
      </c>
      <c r="BE150" s="10">
        <f t="shared" si="1128"/>
        <v>0</v>
      </c>
      <c r="BF150" s="10">
        <f t="shared" si="1128"/>
        <v>0</v>
      </c>
      <c r="BG150" s="10">
        <f t="shared" si="1128"/>
        <v>0</v>
      </c>
      <c r="BH150" s="10">
        <f t="shared" si="1128"/>
        <v>0</v>
      </c>
      <c r="BI150" s="10">
        <f t="shared" si="1128"/>
        <v>0</v>
      </c>
      <c r="BJ150" s="10">
        <f t="shared" si="1128"/>
        <v>0</v>
      </c>
      <c r="BK150" s="10">
        <f t="shared" si="1128"/>
        <v>0</v>
      </c>
      <c r="BL150" s="10">
        <f t="shared" si="1128"/>
        <v>0</v>
      </c>
      <c r="BM150" s="10">
        <f t="shared" si="1128"/>
        <v>0</v>
      </c>
      <c r="BN150" s="10">
        <f t="shared" si="1128"/>
        <v>0</v>
      </c>
      <c r="BO150" s="10">
        <f t="shared" si="1128"/>
        <v>0</v>
      </c>
      <c r="BP150" s="10">
        <f t="shared" si="1128"/>
        <v>0</v>
      </c>
      <c r="BQ150" s="10">
        <f t="shared" si="1128"/>
        <v>0</v>
      </c>
      <c r="BR150" s="10">
        <f t="shared" si="1128"/>
        <v>0</v>
      </c>
      <c r="BS150" s="10">
        <f t="shared" si="1128"/>
        <v>0</v>
      </c>
      <c r="BT150" s="10">
        <f t="shared" si="1128"/>
        <v>0</v>
      </c>
      <c r="BU150" s="10">
        <f t="shared" si="1128"/>
        <v>0</v>
      </c>
      <c r="BV150" s="10">
        <f t="shared" si="1128"/>
        <v>0</v>
      </c>
      <c r="BW150" s="10">
        <f t="shared" si="1128"/>
        <v>0</v>
      </c>
      <c r="BX150" s="10">
        <f t="shared" si="1128"/>
        <v>0</v>
      </c>
      <c r="BY150" s="10">
        <f t="shared" si="1128"/>
        <v>0</v>
      </c>
      <c r="BZ150" s="10">
        <f t="shared" si="1128"/>
        <v>0</v>
      </c>
      <c r="CA150" s="10">
        <f t="shared" si="1128"/>
        <v>0</v>
      </c>
      <c r="CB150" s="10">
        <f t="shared" si="1128"/>
        <v>0</v>
      </c>
      <c r="CC150" s="10">
        <f t="shared" si="1128"/>
        <v>0</v>
      </c>
      <c r="CD150" s="10">
        <f t="shared" si="1128"/>
        <v>0</v>
      </c>
      <c r="CE150" s="10">
        <f t="shared" si="1128"/>
        <v>0</v>
      </c>
      <c r="CF150" s="10">
        <f t="shared" ref="CF150:CO150" si="1129" xml:space="preserve"> $E145 * CF145</f>
        <v>0</v>
      </c>
      <c r="CG150" s="10">
        <f t="shared" si="1129"/>
        <v>0</v>
      </c>
      <c r="CH150" s="10">
        <f t="shared" si="1129"/>
        <v>0</v>
      </c>
      <c r="CI150" s="10">
        <f t="shared" si="1129"/>
        <v>0</v>
      </c>
      <c r="CJ150" s="10">
        <f t="shared" si="1129"/>
        <v>0</v>
      </c>
      <c r="CK150" s="10">
        <f t="shared" si="1129"/>
        <v>0</v>
      </c>
      <c r="CL150" s="10">
        <f t="shared" si="1129"/>
        <v>0</v>
      </c>
      <c r="CM150" s="10">
        <f t="shared" si="1129"/>
        <v>0</v>
      </c>
      <c r="CN150" s="10">
        <f t="shared" si="1129"/>
        <v>0</v>
      </c>
      <c r="CO150" s="10">
        <f t="shared" si="1129"/>
        <v>0</v>
      </c>
    </row>
    <row r="151" spans="1:93">
      <c r="A151" s="77"/>
      <c r="B151" s="168"/>
      <c r="C151" s="17" t="s">
        <v>634</v>
      </c>
      <c r="D151" s="10"/>
      <c r="E151" s="62"/>
      <c r="F151" s="11"/>
      <c r="G151" s="11" t="str">
        <f>Monetary_Unit</f>
        <v>тыс. руб.</v>
      </c>
      <c r="H151" s="10"/>
      <c r="I151" s="23">
        <f>SUM(L151:CO151)</f>
        <v>0</v>
      </c>
      <c r="J151" s="10"/>
      <c r="K151" s="10"/>
      <c r="L151" s="10">
        <f t="shared" ref="L151:R151" si="1130" xml:space="preserve"> $E146 * L146</f>
        <v>0</v>
      </c>
      <c r="M151" s="10">
        <f t="shared" si="1130"/>
        <v>0</v>
      </c>
      <c r="N151" s="10">
        <f t="shared" si="1130"/>
        <v>0</v>
      </c>
      <c r="O151" s="10">
        <f t="shared" si="1130"/>
        <v>0</v>
      </c>
      <c r="P151" s="10">
        <f t="shared" si="1130"/>
        <v>0</v>
      </c>
      <c r="Q151" s="10">
        <f t="shared" si="1130"/>
        <v>0</v>
      </c>
      <c r="R151" s="10">
        <f t="shared" si="1130"/>
        <v>0</v>
      </c>
      <c r="S151" s="10">
        <f t="shared" ref="S151" si="1131" xml:space="preserve"> $E146 * S146</f>
        <v>0</v>
      </c>
      <c r="T151" s="10">
        <f t="shared" ref="T151:CE151" si="1132" xml:space="preserve"> $E146 * T146</f>
        <v>0</v>
      </c>
      <c r="U151" s="10">
        <f t="shared" si="1132"/>
        <v>0</v>
      </c>
      <c r="V151" s="10">
        <f t="shared" si="1132"/>
        <v>0</v>
      </c>
      <c r="W151" s="10">
        <f t="shared" si="1132"/>
        <v>0</v>
      </c>
      <c r="X151" s="10">
        <f t="shared" si="1132"/>
        <v>0</v>
      </c>
      <c r="Y151" s="10">
        <f t="shared" si="1132"/>
        <v>0</v>
      </c>
      <c r="Z151" s="10">
        <f t="shared" si="1132"/>
        <v>0</v>
      </c>
      <c r="AA151" s="10">
        <f t="shared" si="1132"/>
        <v>0</v>
      </c>
      <c r="AB151" s="10">
        <f t="shared" si="1132"/>
        <v>0</v>
      </c>
      <c r="AC151" s="10">
        <f t="shared" si="1132"/>
        <v>0</v>
      </c>
      <c r="AD151" s="10">
        <f t="shared" si="1132"/>
        <v>0</v>
      </c>
      <c r="AE151" s="10">
        <f t="shared" si="1132"/>
        <v>0</v>
      </c>
      <c r="AF151" s="10">
        <f t="shared" si="1132"/>
        <v>0</v>
      </c>
      <c r="AG151" s="10">
        <f t="shared" si="1132"/>
        <v>0</v>
      </c>
      <c r="AH151" s="10">
        <f t="shared" si="1132"/>
        <v>0</v>
      </c>
      <c r="AI151" s="10">
        <f t="shared" si="1132"/>
        <v>0</v>
      </c>
      <c r="AJ151" s="10">
        <f t="shared" si="1132"/>
        <v>0</v>
      </c>
      <c r="AK151" s="10">
        <f t="shared" si="1132"/>
        <v>0</v>
      </c>
      <c r="AL151" s="10">
        <f t="shared" si="1132"/>
        <v>0</v>
      </c>
      <c r="AM151" s="10">
        <f t="shared" si="1132"/>
        <v>0</v>
      </c>
      <c r="AN151" s="10">
        <f t="shared" si="1132"/>
        <v>0</v>
      </c>
      <c r="AO151" s="10">
        <f t="shared" si="1132"/>
        <v>0</v>
      </c>
      <c r="AP151" s="10">
        <f t="shared" si="1132"/>
        <v>0</v>
      </c>
      <c r="AQ151" s="10">
        <f t="shared" si="1132"/>
        <v>0</v>
      </c>
      <c r="AR151" s="10">
        <f t="shared" si="1132"/>
        <v>0</v>
      </c>
      <c r="AS151" s="10">
        <f t="shared" si="1132"/>
        <v>0</v>
      </c>
      <c r="AT151" s="10">
        <f t="shared" si="1132"/>
        <v>0</v>
      </c>
      <c r="AU151" s="10">
        <f t="shared" si="1132"/>
        <v>0</v>
      </c>
      <c r="AV151" s="10">
        <f t="shared" si="1132"/>
        <v>0</v>
      </c>
      <c r="AW151" s="10">
        <f t="shared" si="1132"/>
        <v>0</v>
      </c>
      <c r="AX151" s="10">
        <f t="shared" si="1132"/>
        <v>0</v>
      </c>
      <c r="AY151" s="10">
        <f t="shared" si="1132"/>
        <v>0</v>
      </c>
      <c r="AZ151" s="10">
        <f t="shared" si="1132"/>
        <v>0</v>
      </c>
      <c r="BA151" s="10">
        <f t="shared" si="1132"/>
        <v>0</v>
      </c>
      <c r="BB151" s="10">
        <f t="shared" si="1132"/>
        <v>0</v>
      </c>
      <c r="BC151" s="10">
        <f t="shared" si="1132"/>
        <v>0</v>
      </c>
      <c r="BD151" s="10">
        <f t="shared" si="1132"/>
        <v>0</v>
      </c>
      <c r="BE151" s="10">
        <f t="shared" si="1132"/>
        <v>0</v>
      </c>
      <c r="BF151" s="10">
        <f t="shared" si="1132"/>
        <v>0</v>
      </c>
      <c r="BG151" s="10">
        <f t="shared" si="1132"/>
        <v>0</v>
      </c>
      <c r="BH151" s="10">
        <f t="shared" si="1132"/>
        <v>0</v>
      </c>
      <c r="BI151" s="10">
        <f t="shared" si="1132"/>
        <v>0</v>
      </c>
      <c r="BJ151" s="10">
        <f t="shared" si="1132"/>
        <v>0</v>
      </c>
      <c r="BK151" s="10">
        <f t="shared" si="1132"/>
        <v>0</v>
      </c>
      <c r="BL151" s="10">
        <f t="shared" si="1132"/>
        <v>0</v>
      </c>
      <c r="BM151" s="10">
        <f t="shared" si="1132"/>
        <v>0</v>
      </c>
      <c r="BN151" s="10">
        <f t="shared" si="1132"/>
        <v>0</v>
      </c>
      <c r="BO151" s="10">
        <f t="shared" si="1132"/>
        <v>0</v>
      </c>
      <c r="BP151" s="10">
        <f t="shared" si="1132"/>
        <v>0</v>
      </c>
      <c r="BQ151" s="10">
        <f t="shared" si="1132"/>
        <v>0</v>
      </c>
      <c r="BR151" s="10">
        <f t="shared" si="1132"/>
        <v>0</v>
      </c>
      <c r="BS151" s="10">
        <f t="shared" si="1132"/>
        <v>0</v>
      </c>
      <c r="BT151" s="10">
        <f t="shared" si="1132"/>
        <v>0</v>
      </c>
      <c r="BU151" s="10">
        <f t="shared" si="1132"/>
        <v>0</v>
      </c>
      <c r="BV151" s="10">
        <f t="shared" si="1132"/>
        <v>0</v>
      </c>
      <c r="BW151" s="10">
        <f t="shared" si="1132"/>
        <v>0</v>
      </c>
      <c r="BX151" s="10">
        <f t="shared" si="1132"/>
        <v>0</v>
      </c>
      <c r="BY151" s="10">
        <f t="shared" si="1132"/>
        <v>0</v>
      </c>
      <c r="BZ151" s="10">
        <f t="shared" si="1132"/>
        <v>0</v>
      </c>
      <c r="CA151" s="10">
        <f t="shared" si="1132"/>
        <v>0</v>
      </c>
      <c r="CB151" s="10">
        <f t="shared" si="1132"/>
        <v>0</v>
      </c>
      <c r="CC151" s="10">
        <f t="shared" si="1132"/>
        <v>0</v>
      </c>
      <c r="CD151" s="10">
        <f t="shared" si="1132"/>
        <v>0</v>
      </c>
      <c r="CE151" s="10">
        <f t="shared" si="1132"/>
        <v>0</v>
      </c>
      <c r="CF151" s="10">
        <f t="shared" ref="CF151:CO151" si="1133" xml:space="preserve"> $E146 * CF146</f>
        <v>0</v>
      </c>
      <c r="CG151" s="10">
        <f t="shared" si="1133"/>
        <v>0</v>
      </c>
      <c r="CH151" s="10">
        <f t="shared" si="1133"/>
        <v>0</v>
      </c>
      <c r="CI151" s="10">
        <f t="shared" si="1133"/>
        <v>0</v>
      </c>
      <c r="CJ151" s="10">
        <f t="shared" si="1133"/>
        <v>0</v>
      </c>
      <c r="CK151" s="10">
        <f t="shared" si="1133"/>
        <v>0</v>
      </c>
      <c r="CL151" s="10">
        <f t="shared" si="1133"/>
        <v>0</v>
      </c>
      <c r="CM151" s="10">
        <f t="shared" si="1133"/>
        <v>0</v>
      </c>
      <c r="CN151" s="10">
        <f t="shared" si="1133"/>
        <v>0</v>
      </c>
      <c r="CO151" s="10">
        <f t="shared" si="1133"/>
        <v>0</v>
      </c>
    </row>
    <row r="152" spans="1:93">
      <c r="A152" s="77"/>
      <c r="B152" s="168"/>
      <c r="C152" s="17" t="s">
        <v>848</v>
      </c>
      <c r="D152" s="10"/>
      <c r="E152" s="62"/>
      <c r="F152" s="11"/>
      <c r="G152" s="11" t="str">
        <f>Monetary_Unit</f>
        <v>тыс. руб.</v>
      </c>
      <c r="H152" s="10"/>
      <c r="I152" s="23">
        <f>SUM(L152:CO152)</f>
        <v>0</v>
      </c>
      <c r="J152" s="10"/>
      <c r="K152" s="10"/>
      <c r="L152" s="10">
        <f t="shared" ref="L152:R152" si="1134" xml:space="preserve"> $E147 * L147</f>
        <v>0</v>
      </c>
      <c r="M152" s="10">
        <f t="shared" si="1134"/>
        <v>0</v>
      </c>
      <c r="N152" s="10">
        <f t="shared" si="1134"/>
        <v>0</v>
      </c>
      <c r="O152" s="10">
        <f t="shared" si="1134"/>
        <v>0</v>
      </c>
      <c r="P152" s="10">
        <f t="shared" si="1134"/>
        <v>0</v>
      </c>
      <c r="Q152" s="10">
        <f t="shared" si="1134"/>
        <v>0</v>
      </c>
      <c r="R152" s="10">
        <f t="shared" si="1134"/>
        <v>0</v>
      </c>
      <c r="S152" s="10">
        <f t="shared" ref="S152" si="1135" xml:space="preserve"> $E147 * S147</f>
        <v>0</v>
      </c>
      <c r="T152" s="10">
        <f t="shared" ref="T152:CE152" si="1136" xml:space="preserve"> $E147 * T147</f>
        <v>0</v>
      </c>
      <c r="U152" s="10">
        <f t="shared" si="1136"/>
        <v>0</v>
      </c>
      <c r="V152" s="10">
        <f t="shared" si="1136"/>
        <v>0</v>
      </c>
      <c r="W152" s="10">
        <f t="shared" si="1136"/>
        <v>0</v>
      </c>
      <c r="X152" s="10">
        <f t="shared" si="1136"/>
        <v>0</v>
      </c>
      <c r="Y152" s="10">
        <f t="shared" si="1136"/>
        <v>0</v>
      </c>
      <c r="Z152" s="10">
        <f t="shared" si="1136"/>
        <v>0</v>
      </c>
      <c r="AA152" s="10">
        <f t="shared" si="1136"/>
        <v>0</v>
      </c>
      <c r="AB152" s="10">
        <f t="shared" si="1136"/>
        <v>0</v>
      </c>
      <c r="AC152" s="10">
        <f t="shared" si="1136"/>
        <v>0</v>
      </c>
      <c r="AD152" s="10">
        <f t="shared" si="1136"/>
        <v>0</v>
      </c>
      <c r="AE152" s="10">
        <f t="shared" si="1136"/>
        <v>0</v>
      </c>
      <c r="AF152" s="10">
        <f t="shared" si="1136"/>
        <v>0</v>
      </c>
      <c r="AG152" s="10">
        <f t="shared" si="1136"/>
        <v>0</v>
      </c>
      <c r="AH152" s="10">
        <f t="shared" si="1136"/>
        <v>0</v>
      </c>
      <c r="AI152" s="10">
        <f t="shared" si="1136"/>
        <v>0</v>
      </c>
      <c r="AJ152" s="10">
        <f t="shared" si="1136"/>
        <v>0</v>
      </c>
      <c r="AK152" s="10">
        <f t="shared" si="1136"/>
        <v>0</v>
      </c>
      <c r="AL152" s="10">
        <f t="shared" si="1136"/>
        <v>0</v>
      </c>
      <c r="AM152" s="10">
        <f t="shared" si="1136"/>
        <v>0</v>
      </c>
      <c r="AN152" s="10">
        <f t="shared" si="1136"/>
        <v>0</v>
      </c>
      <c r="AO152" s="10">
        <f t="shared" si="1136"/>
        <v>0</v>
      </c>
      <c r="AP152" s="10">
        <f t="shared" si="1136"/>
        <v>0</v>
      </c>
      <c r="AQ152" s="10">
        <f t="shared" si="1136"/>
        <v>0</v>
      </c>
      <c r="AR152" s="10">
        <f t="shared" si="1136"/>
        <v>0</v>
      </c>
      <c r="AS152" s="10">
        <f t="shared" si="1136"/>
        <v>0</v>
      </c>
      <c r="AT152" s="10">
        <f t="shared" si="1136"/>
        <v>0</v>
      </c>
      <c r="AU152" s="10">
        <f t="shared" si="1136"/>
        <v>0</v>
      </c>
      <c r="AV152" s="10">
        <f t="shared" si="1136"/>
        <v>0</v>
      </c>
      <c r="AW152" s="10">
        <f t="shared" si="1136"/>
        <v>0</v>
      </c>
      <c r="AX152" s="10">
        <f t="shared" si="1136"/>
        <v>0</v>
      </c>
      <c r="AY152" s="10">
        <f t="shared" si="1136"/>
        <v>0</v>
      </c>
      <c r="AZ152" s="10">
        <f t="shared" si="1136"/>
        <v>0</v>
      </c>
      <c r="BA152" s="10">
        <f t="shared" si="1136"/>
        <v>0</v>
      </c>
      <c r="BB152" s="10">
        <f t="shared" si="1136"/>
        <v>0</v>
      </c>
      <c r="BC152" s="10">
        <f t="shared" si="1136"/>
        <v>0</v>
      </c>
      <c r="BD152" s="10">
        <f t="shared" si="1136"/>
        <v>0</v>
      </c>
      <c r="BE152" s="10">
        <f t="shared" si="1136"/>
        <v>0</v>
      </c>
      <c r="BF152" s="10">
        <f t="shared" si="1136"/>
        <v>0</v>
      </c>
      <c r="BG152" s="10">
        <f t="shared" si="1136"/>
        <v>0</v>
      </c>
      <c r="BH152" s="10">
        <f t="shared" si="1136"/>
        <v>0</v>
      </c>
      <c r="BI152" s="10">
        <f t="shared" si="1136"/>
        <v>0</v>
      </c>
      <c r="BJ152" s="10">
        <f t="shared" si="1136"/>
        <v>0</v>
      </c>
      <c r="BK152" s="10">
        <f t="shared" si="1136"/>
        <v>0</v>
      </c>
      <c r="BL152" s="10">
        <f t="shared" si="1136"/>
        <v>0</v>
      </c>
      <c r="BM152" s="10">
        <f t="shared" si="1136"/>
        <v>0</v>
      </c>
      <c r="BN152" s="10">
        <f t="shared" si="1136"/>
        <v>0</v>
      </c>
      <c r="BO152" s="10">
        <f t="shared" si="1136"/>
        <v>0</v>
      </c>
      <c r="BP152" s="10">
        <f t="shared" si="1136"/>
        <v>0</v>
      </c>
      <c r="BQ152" s="10">
        <f t="shared" si="1136"/>
        <v>0</v>
      </c>
      <c r="BR152" s="10">
        <f t="shared" si="1136"/>
        <v>0</v>
      </c>
      <c r="BS152" s="10">
        <f t="shared" si="1136"/>
        <v>0</v>
      </c>
      <c r="BT152" s="10">
        <f t="shared" si="1136"/>
        <v>0</v>
      </c>
      <c r="BU152" s="10">
        <f t="shared" si="1136"/>
        <v>0</v>
      </c>
      <c r="BV152" s="10">
        <f t="shared" si="1136"/>
        <v>0</v>
      </c>
      <c r="BW152" s="10">
        <f t="shared" si="1136"/>
        <v>0</v>
      </c>
      <c r="BX152" s="10">
        <f t="shared" si="1136"/>
        <v>0</v>
      </c>
      <c r="BY152" s="10">
        <f t="shared" si="1136"/>
        <v>0</v>
      </c>
      <c r="BZ152" s="10">
        <f t="shared" si="1136"/>
        <v>0</v>
      </c>
      <c r="CA152" s="10">
        <f t="shared" si="1136"/>
        <v>0</v>
      </c>
      <c r="CB152" s="10">
        <f t="shared" si="1136"/>
        <v>0</v>
      </c>
      <c r="CC152" s="10">
        <f t="shared" si="1136"/>
        <v>0</v>
      </c>
      <c r="CD152" s="10">
        <f t="shared" si="1136"/>
        <v>0</v>
      </c>
      <c r="CE152" s="10">
        <f t="shared" si="1136"/>
        <v>0</v>
      </c>
      <c r="CF152" s="10">
        <f t="shared" ref="CF152:CO152" si="1137" xml:space="preserve"> $E147 * CF147</f>
        <v>0</v>
      </c>
      <c r="CG152" s="10">
        <f t="shared" si="1137"/>
        <v>0</v>
      </c>
      <c r="CH152" s="10">
        <f t="shared" si="1137"/>
        <v>0</v>
      </c>
      <c r="CI152" s="10">
        <f t="shared" si="1137"/>
        <v>0</v>
      </c>
      <c r="CJ152" s="10">
        <f t="shared" si="1137"/>
        <v>0</v>
      </c>
      <c r="CK152" s="10">
        <f t="shared" si="1137"/>
        <v>0</v>
      </c>
      <c r="CL152" s="10">
        <f t="shared" si="1137"/>
        <v>0</v>
      </c>
      <c r="CM152" s="10">
        <f t="shared" si="1137"/>
        <v>0</v>
      </c>
      <c r="CN152" s="10">
        <f t="shared" si="1137"/>
        <v>0</v>
      </c>
      <c r="CO152" s="10">
        <f t="shared" si="1137"/>
        <v>0</v>
      </c>
    </row>
    <row r="153" spans="1:93" ht="15" thickBot="1">
      <c r="A153" s="77"/>
      <c r="B153" s="168"/>
      <c r="C153" s="17" t="s">
        <v>848</v>
      </c>
      <c r="D153" s="10"/>
      <c r="E153" s="62"/>
      <c r="F153" s="11"/>
      <c r="G153" s="11" t="str">
        <f>Monetary_Unit</f>
        <v>тыс. руб.</v>
      </c>
      <c r="H153" s="10"/>
      <c r="I153" s="23">
        <f>SUM(L153:CO153)</f>
        <v>0</v>
      </c>
      <c r="J153" s="10"/>
      <c r="K153" s="10"/>
      <c r="L153" s="10">
        <f xml:space="preserve"> SUM(L150:L152)* $E$148</f>
        <v>0</v>
      </c>
      <c r="M153" s="10">
        <f t="shared" ref="M153:BX153" si="1138" xml:space="preserve"> SUM(M150:M152)* $E$148</f>
        <v>0</v>
      </c>
      <c r="N153" s="10">
        <f t="shared" si="1138"/>
        <v>0</v>
      </c>
      <c r="O153" s="10">
        <f t="shared" si="1138"/>
        <v>0</v>
      </c>
      <c r="P153" s="10">
        <f t="shared" si="1138"/>
        <v>0</v>
      </c>
      <c r="Q153" s="10">
        <f t="shared" si="1138"/>
        <v>0</v>
      </c>
      <c r="R153" s="10">
        <f t="shared" si="1138"/>
        <v>0</v>
      </c>
      <c r="S153" s="10">
        <f t="shared" si="1138"/>
        <v>0</v>
      </c>
      <c r="T153" s="10">
        <f t="shared" si="1138"/>
        <v>0</v>
      </c>
      <c r="U153" s="10">
        <f t="shared" si="1138"/>
        <v>0</v>
      </c>
      <c r="V153" s="10">
        <f t="shared" si="1138"/>
        <v>0</v>
      </c>
      <c r="W153" s="10">
        <f t="shared" si="1138"/>
        <v>0</v>
      </c>
      <c r="X153" s="10">
        <f t="shared" si="1138"/>
        <v>0</v>
      </c>
      <c r="Y153" s="10">
        <f t="shared" si="1138"/>
        <v>0</v>
      </c>
      <c r="Z153" s="10">
        <f t="shared" si="1138"/>
        <v>0</v>
      </c>
      <c r="AA153" s="10">
        <f t="shared" si="1138"/>
        <v>0</v>
      </c>
      <c r="AB153" s="10">
        <f t="shared" si="1138"/>
        <v>0</v>
      </c>
      <c r="AC153" s="10">
        <f t="shared" si="1138"/>
        <v>0</v>
      </c>
      <c r="AD153" s="10">
        <f t="shared" si="1138"/>
        <v>0</v>
      </c>
      <c r="AE153" s="10">
        <f t="shared" si="1138"/>
        <v>0</v>
      </c>
      <c r="AF153" s="10">
        <f t="shared" si="1138"/>
        <v>0</v>
      </c>
      <c r="AG153" s="10">
        <f t="shared" si="1138"/>
        <v>0</v>
      </c>
      <c r="AH153" s="10">
        <f t="shared" si="1138"/>
        <v>0</v>
      </c>
      <c r="AI153" s="10">
        <f t="shared" si="1138"/>
        <v>0</v>
      </c>
      <c r="AJ153" s="10">
        <f t="shared" si="1138"/>
        <v>0</v>
      </c>
      <c r="AK153" s="10">
        <f t="shared" si="1138"/>
        <v>0</v>
      </c>
      <c r="AL153" s="10">
        <f t="shared" si="1138"/>
        <v>0</v>
      </c>
      <c r="AM153" s="10">
        <f t="shared" si="1138"/>
        <v>0</v>
      </c>
      <c r="AN153" s="10">
        <f t="shared" si="1138"/>
        <v>0</v>
      </c>
      <c r="AO153" s="10">
        <f t="shared" si="1138"/>
        <v>0</v>
      </c>
      <c r="AP153" s="10">
        <f t="shared" si="1138"/>
        <v>0</v>
      </c>
      <c r="AQ153" s="10">
        <f t="shared" si="1138"/>
        <v>0</v>
      </c>
      <c r="AR153" s="10">
        <f t="shared" si="1138"/>
        <v>0</v>
      </c>
      <c r="AS153" s="10">
        <f t="shared" si="1138"/>
        <v>0</v>
      </c>
      <c r="AT153" s="10">
        <f t="shared" si="1138"/>
        <v>0</v>
      </c>
      <c r="AU153" s="10">
        <f t="shared" si="1138"/>
        <v>0</v>
      </c>
      <c r="AV153" s="10">
        <f t="shared" si="1138"/>
        <v>0</v>
      </c>
      <c r="AW153" s="10">
        <f t="shared" si="1138"/>
        <v>0</v>
      </c>
      <c r="AX153" s="10">
        <f t="shared" si="1138"/>
        <v>0</v>
      </c>
      <c r="AY153" s="10">
        <f t="shared" si="1138"/>
        <v>0</v>
      </c>
      <c r="AZ153" s="10">
        <f t="shared" si="1138"/>
        <v>0</v>
      </c>
      <c r="BA153" s="10">
        <f t="shared" si="1138"/>
        <v>0</v>
      </c>
      <c r="BB153" s="10">
        <f t="shared" si="1138"/>
        <v>0</v>
      </c>
      <c r="BC153" s="10">
        <f t="shared" si="1138"/>
        <v>0</v>
      </c>
      <c r="BD153" s="10">
        <f t="shared" si="1138"/>
        <v>0</v>
      </c>
      <c r="BE153" s="10">
        <f t="shared" si="1138"/>
        <v>0</v>
      </c>
      <c r="BF153" s="10">
        <f t="shared" si="1138"/>
        <v>0</v>
      </c>
      <c r="BG153" s="10">
        <f t="shared" si="1138"/>
        <v>0</v>
      </c>
      <c r="BH153" s="10">
        <f t="shared" si="1138"/>
        <v>0</v>
      </c>
      <c r="BI153" s="10">
        <f t="shared" si="1138"/>
        <v>0</v>
      </c>
      <c r="BJ153" s="10">
        <f t="shared" si="1138"/>
        <v>0</v>
      </c>
      <c r="BK153" s="10">
        <f t="shared" si="1138"/>
        <v>0</v>
      </c>
      <c r="BL153" s="10">
        <f t="shared" si="1138"/>
        <v>0</v>
      </c>
      <c r="BM153" s="10">
        <f t="shared" si="1138"/>
        <v>0</v>
      </c>
      <c r="BN153" s="10">
        <f t="shared" si="1138"/>
        <v>0</v>
      </c>
      <c r="BO153" s="10">
        <f t="shared" si="1138"/>
        <v>0</v>
      </c>
      <c r="BP153" s="10">
        <f t="shared" si="1138"/>
        <v>0</v>
      </c>
      <c r="BQ153" s="10">
        <f t="shared" si="1138"/>
        <v>0</v>
      </c>
      <c r="BR153" s="10">
        <f t="shared" si="1138"/>
        <v>0</v>
      </c>
      <c r="BS153" s="10">
        <f t="shared" si="1138"/>
        <v>0</v>
      </c>
      <c r="BT153" s="10">
        <f t="shared" si="1138"/>
        <v>0</v>
      </c>
      <c r="BU153" s="10">
        <f t="shared" si="1138"/>
        <v>0</v>
      </c>
      <c r="BV153" s="10">
        <f t="shared" si="1138"/>
        <v>0</v>
      </c>
      <c r="BW153" s="10">
        <f t="shared" si="1138"/>
        <v>0</v>
      </c>
      <c r="BX153" s="10">
        <f t="shared" si="1138"/>
        <v>0</v>
      </c>
      <c r="BY153" s="10">
        <f t="shared" ref="BY153:CO153" si="1139" xml:space="preserve"> SUM(BY150:BY152)* $E$148</f>
        <v>0</v>
      </c>
      <c r="BZ153" s="10">
        <f t="shared" si="1139"/>
        <v>0</v>
      </c>
      <c r="CA153" s="10">
        <f t="shared" si="1139"/>
        <v>0</v>
      </c>
      <c r="CB153" s="10">
        <f t="shared" si="1139"/>
        <v>0</v>
      </c>
      <c r="CC153" s="10">
        <f t="shared" si="1139"/>
        <v>0</v>
      </c>
      <c r="CD153" s="10">
        <f t="shared" si="1139"/>
        <v>0</v>
      </c>
      <c r="CE153" s="10">
        <f t="shared" si="1139"/>
        <v>0</v>
      </c>
      <c r="CF153" s="10">
        <f t="shared" si="1139"/>
        <v>0</v>
      </c>
      <c r="CG153" s="10">
        <f t="shared" si="1139"/>
        <v>0</v>
      </c>
      <c r="CH153" s="10">
        <f t="shared" si="1139"/>
        <v>0</v>
      </c>
      <c r="CI153" s="10">
        <f t="shared" si="1139"/>
        <v>0</v>
      </c>
      <c r="CJ153" s="10">
        <f t="shared" si="1139"/>
        <v>0</v>
      </c>
      <c r="CK153" s="10">
        <f t="shared" si="1139"/>
        <v>0</v>
      </c>
      <c r="CL153" s="10">
        <f t="shared" si="1139"/>
        <v>0</v>
      </c>
      <c r="CM153" s="10">
        <f t="shared" si="1139"/>
        <v>0</v>
      </c>
      <c r="CN153" s="10">
        <f t="shared" si="1139"/>
        <v>0</v>
      </c>
      <c r="CO153" s="10">
        <f t="shared" si="1139"/>
        <v>0</v>
      </c>
    </row>
    <row r="154" spans="1:93" ht="15" thickTop="1">
      <c r="A154" s="77"/>
      <c r="B154" s="101"/>
      <c r="C154" s="49" t="s">
        <v>859</v>
      </c>
      <c r="D154" s="49"/>
      <c r="E154" s="136"/>
      <c r="F154" s="49"/>
      <c r="G154" s="159" t="str">
        <f xml:space="preserve"> Monetary_Unit</f>
        <v>тыс. руб.</v>
      </c>
      <c r="H154" s="49"/>
      <c r="I154" s="23">
        <f>SUM(L154:CO154)</f>
        <v>0</v>
      </c>
      <c r="J154" s="49"/>
      <c r="K154" s="49"/>
      <c r="L154" s="49">
        <f t="shared" ref="L154:R154" si="1140" xml:space="preserve"> SUM(L150:L153)</f>
        <v>0</v>
      </c>
      <c r="M154" s="49">
        <f t="shared" si="1140"/>
        <v>0</v>
      </c>
      <c r="N154" s="49">
        <f t="shared" si="1140"/>
        <v>0</v>
      </c>
      <c r="O154" s="49">
        <f t="shared" si="1140"/>
        <v>0</v>
      </c>
      <c r="P154" s="49">
        <f t="shared" si="1140"/>
        <v>0</v>
      </c>
      <c r="Q154" s="49">
        <f t="shared" si="1140"/>
        <v>0</v>
      </c>
      <c r="R154" s="49">
        <f t="shared" si="1140"/>
        <v>0</v>
      </c>
      <c r="S154" s="49">
        <f t="shared" ref="S154" si="1141" xml:space="preserve"> SUM(S150:S153)</f>
        <v>0</v>
      </c>
      <c r="T154" s="49">
        <f t="shared" ref="T154:CE154" si="1142" xml:space="preserve"> SUM(T150:T153)</f>
        <v>0</v>
      </c>
      <c r="U154" s="49">
        <f t="shared" si="1142"/>
        <v>0</v>
      </c>
      <c r="V154" s="49">
        <f t="shared" si="1142"/>
        <v>0</v>
      </c>
      <c r="W154" s="49">
        <f t="shared" si="1142"/>
        <v>0</v>
      </c>
      <c r="X154" s="49">
        <f t="shared" si="1142"/>
        <v>0</v>
      </c>
      <c r="Y154" s="49">
        <f t="shared" si="1142"/>
        <v>0</v>
      </c>
      <c r="Z154" s="49">
        <f t="shared" si="1142"/>
        <v>0</v>
      </c>
      <c r="AA154" s="49">
        <f t="shared" si="1142"/>
        <v>0</v>
      </c>
      <c r="AB154" s="49">
        <f t="shared" si="1142"/>
        <v>0</v>
      </c>
      <c r="AC154" s="49">
        <f t="shared" si="1142"/>
        <v>0</v>
      </c>
      <c r="AD154" s="49">
        <f t="shared" si="1142"/>
        <v>0</v>
      </c>
      <c r="AE154" s="49">
        <f t="shared" si="1142"/>
        <v>0</v>
      </c>
      <c r="AF154" s="49">
        <f t="shared" si="1142"/>
        <v>0</v>
      </c>
      <c r="AG154" s="49">
        <f t="shared" si="1142"/>
        <v>0</v>
      </c>
      <c r="AH154" s="49">
        <f t="shared" si="1142"/>
        <v>0</v>
      </c>
      <c r="AI154" s="49">
        <f t="shared" si="1142"/>
        <v>0</v>
      </c>
      <c r="AJ154" s="49">
        <f t="shared" si="1142"/>
        <v>0</v>
      </c>
      <c r="AK154" s="49">
        <f t="shared" si="1142"/>
        <v>0</v>
      </c>
      <c r="AL154" s="49">
        <f t="shared" si="1142"/>
        <v>0</v>
      </c>
      <c r="AM154" s="49">
        <f t="shared" si="1142"/>
        <v>0</v>
      </c>
      <c r="AN154" s="49">
        <f t="shared" si="1142"/>
        <v>0</v>
      </c>
      <c r="AO154" s="49">
        <f t="shared" si="1142"/>
        <v>0</v>
      </c>
      <c r="AP154" s="49">
        <f t="shared" si="1142"/>
        <v>0</v>
      </c>
      <c r="AQ154" s="49">
        <f t="shared" si="1142"/>
        <v>0</v>
      </c>
      <c r="AR154" s="49">
        <f t="shared" si="1142"/>
        <v>0</v>
      </c>
      <c r="AS154" s="49">
        <f t="shared" si="1142"/>
        <v>0</v>
      </c>
      <c r="AT154" s="49">
        <f t="shared" si="1142"/>
        <v>0</v>
      </c>
      <c r="AU154" s="49">
        <f t="shared" si="1142"/>
        <v>0</v>
      </c>
      <c r="AV154" s="49">
        <f t="shared" si="1142"/>
        <v>0</v>
      </c>
      <c r="AW154" s="49">
        <f t="shared" si="1142"/>
        <v>0</v>
      </c>
      <c r="AX154" s="49">
        <f t="shared" si="1142"/>
        <v>0</v>
      </c>
      <c r="AY154" s="49">
        <f t="shared" si="1142"/>
        <v>0</v>
      </c>
      <c r="AZ154" s="49">
        <f t="shared" si="1142"/>
        <v>0</v>
      </c>
      <c r="BA154" s="49">
        <f t="shared" si="1142"/>
        <v>0</v>
      </c>
      <c r="BB154" s="49">
        <f t="shared" si="1142"/>
        <v>0</v>
      </c>
      <c r="BC154" s="49">
        <f t="shared" si="1142"/>
        <v>0</v>
      </c>
      <c r="BD154" s="49">
        <f t="shared" si="1142"/>
        <v>0</v>
      </c>
      <c r="BE154" s="49">
        <f t="shared" si="1142"/>
        <v>0</v>
      </c>
      <c r="BF154" s="49">
        <f t="shared" si="1142"/>
        <v>0</v>
      </c>
      <c r="BG154" s="49">
        <f t="shared" si="1142"/>
        <v>0</v>
      </c>
      <c r="BH154" s="49">
        <f t="shared" si="1142"/>
        <v>0</v>
      </c>
      <c r="BI154" s="49">
        <f t="shared" si="1142"/>
        <v>0</v>
      </c>
      <c r="BJ154" s="49">
        <f t="shared" si="1142"/>
        <v>0</v>
      </c>
      <c r="BK154" s="49">
        <f t="shared" si="1142"/>
        <v>0</v>
      </c>
      <c r="BL154" s="49">
        <f t="shared" si="1142"/>
        <v>0</v>
      </c>
      <c r="BM154" s="49">
        <f t="shared" si="1142"/>
        <v>0</v>
      </c>
      <c r="BN154" s="49">
        <f t="shared" si="1142"/>
        <v>0</v>
      </c>
      <c r="BO154" s="49">
        <f t="shared" si="1142"/>
        <v>0</v>
      </c>
      <c r="BP154" s="49">
        <f t="shared" si="1142"/>
        <v>0</v>
      </c>
      <c r="BQ154" s="49">
        <f t="shared" si="1142"/>
        <v>0</v>
      </c>
      <c r="BR154" s="49">
        <f t="shared" si="1142"/>
        <v>0</v>
      </c>
      <c r="BS154" s="49">
        <f t="shared" si="1142"/>
        <v>0</v>
      </c>
      <c r="BT154" s="49">
        <f t="shared" si="1142"/>
        <v>0</v>
      </c>
      <c r="BU154" s="49">
        <f t="shared" si="1142"/>
        <v>0</v>
      </c>
      <c r="BV154" s="49">
        <f t="shared" si="1142"/>
        <v>0</v>
      </c>
      <c r="BW154" s="49">
        <f t="shared" si="1142"/>
        <v>0</v>
      </c>
      <c r="BX154" s="49">
        <f t="shared" si="1142"/>
        <v>0</v>
      </c>
      <c r="BY154" s="49">
        <f t="shared" si="1142"/>
        <v>0</v>
      </c>
      <c r="BZ154" s="49">
        <f t="shared" si="1142"/>
        <v>0</v>
      </c>
      <c r="CA154" s="49">
        <f t="shared" si="1142"/>
        <v>0</v>
      </c>
      <c r="CB154" s="49">
        <f t="shared" si="1142"/>
        <v>0</v>
      </c>
      <c r="CC154" s="49">
        <f t="shared" si="1142"/>
        <v>0</v>
      </c>
      <c r="CD154" s="49">
        <f t="shared" si="1142"/>
        <v>0</v>
      </c>
      <c r="CE154" s="49">
        <f t="shared" si="1142"/>
        <v>0</v>
      </c>
      <c r="CF154" s="49">
        <f t="shared" ref="CF154:CO154" si="1143" xml:space="preserve"> SUM(CF150:CF153)</f>
        <v>0</v>
      </c>
      <c r="CG154" s="49">
        <f t="shared" si="1143"/>
        <v>0</v>
      </c>
      <c r="CH154" s="49">
        <f t="shared" si="1143"/>
        <v>0</v>
      </c>
      <c r="CI154" s="49">
        <f t="shared" si="1143"/>
        <v>0</v>
      </c>
      <c r="CJ154" s="49">
        <f t="shared" si="1143"/>
        <v>0</v>
      </c>
      <c r="CK154" s="49">
        <f t="shared" si="1143"/>
        <v>0</v>
      </c>
      <c r="CL154" s="49">
        <f t="shared" si="1143"/>
        <v>0</v>
      </c>
      <c r="CM154" s="49">
        <f t="shared" si="1143"/>
        <v>0</v>
      </c>
      <c r="CN154" s="49">
        <f t="shared" si="1143"/>
        <v>0</v>
      </c>
      <c r="CO154" s="49">
        <f t="shared" si="1143"/>
        <v>0</v>
      </c>
    </row>
    <row r="155" spans="1:93">
      <c r="A155" s="77"/>
      <c r="B155" s="168"/>
      <c r="C155" s="169"/>
      <c r="D155" s="10"/>
      <c r="E155" s="62"/>
      <c r="F155" s="11"/>
      <c r="G155" s="11"/>
      <c r="H155" s="10"/>
      <c r="I155" s="10" t="str">
        <f>IF(IFERROR(I154=Предпосылки!E237*I109*$I$104,I154=0),"")</f>
        <v/>
      </c>
      <c r="J155" s="10"/>
      <c r="K155" s="1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170"/>
      <c r="AK155" s="170"/>
      <c r="AL155" s="170"/>
      <c r="AM155" s="170"/>
      <c r="AN155" s="170"/>
      <c r="AO155" s="170"/>
      <c r="AP155" s="170"/>
      <c r="AQ155" s="170"/>
      <c r="AR155" s="170"/>
      <c r="AS155" s="170"/>
      <c r="AT155" s="170"/>
      <c r="AU155" s="170"/>
      <c r="AV155" s="170"/>
      <c r="AW155" s="170"/>
      <c r="AX155" s="170"/>
      <c r="AY155" s="170"/>
      <c r="AZ155" s="170"/>
      <c r="BA155" s="170"/>
      <c r="BB155" s="170"/>
      <c r="BC155" s="170"/>
      <c r="BD155" s="170"/>
      <c r="BE155" s="170"/>
      <c r="BF155" s="170"/>
      <c r="BG155" s="170"/>
      <c r="BH155" s="170"/>
      <c r="BI155" s="170"/>
      <c r="BJ155" s="170"/>
      <c r="BK155" s="170"/>
      <c r="BL155" s="170"/>
      <c r="BM155" s="170"/>
      <c r="BN155" s="170"/>
      <c r="BO155" s="170"/>
      <c r="BP155" s="170"/>
      <c r="BQ155" s="170"/>
      <c r="BR155" s="170"/>
      <c r="BS155" s="170"/>
      <c r="BT155" s="170"/>
      <c r="BU155" s="170"/>
      <c r="BV155" s="170"/>
      <c r="BW155" s="170"/>
      <c r="BX155" s="170"/>
      <c r="BY155" s="170"/>
      <c r="BZ155" s="170"/>
      <c r="CA155" s="170"/>
      <c r="CB155" s="170"/>
      <c r="CC155" s="170"/>
      <c r="CD155" s="170"/>
      <c r="CE155" s="170"/>
      <c r="CF155" s="170"/>
      <c r="CG155" s="170"/>
      <c r="CH155" s="170"/>
      <c r="CI155" s="170"/>
      <c r="CJ155" s="170"/>
      <c r="CK155" s="170"/>
      <c r="CL155" s="170"/>
      <c r="CM155" s="170"/>
      <c r="CN155" s="170"/>
      <c r="CO155" s="170"/>
    </row>
    <row r="156" spans="1:93" ht="16" thickBot="1">
      <c r="A156" s="9"/>
      <c r="B156" s="168"/>
      <c r="C156" s="12" t="s">
        <v>652</v>
      </c>
      <c r="D156" s="12"/>
      <c r="E156" s="12"/>
      <c r="F156" s="12"/>
      <c r="G156" s="362"/>
      <c r="H156" s="12"/>
      <c r="I156" s="12"/>
      <c r="J156" s="10"/>
      <c r="K156" s="1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Z156" s="170"/>
      <c r="AA156" s="170"/>
      <c r="AB156" s="170"/>
      <c r="AC156" s="170"/>
      <c r="AD156" s="170"/>
      <c r="AE156" s="170"/>
      <c r="AF156" s="170"/>
      <c r="AG156" s="170"/>
      <c r="AH156" s="170"/>
      <c r="AI156" s="170"/>
      <c r="AJ156" s="170"/>
      <c r="AK156" s="170"/>
      <c r="AL156" s="170"/>
      <c r="AM156" s="170"/>
      <c r="AN156" s="170"/>
      <c r="AO156" s="170"/>
      <c r="AP156" s="170"/>
      <c r="AQ156" s="170"/>
      <c r="AR156" s="170"/>
      <c r="AS156" s="170"/>
      <c r="AT156" s="170"/>
      <c r="AU156" s="170"/>
      <c r="AV156" s="170"/>
      <c r="AW156" s="170"/>
      <c r="AX156" s="170"/>
      <c r="AY156" s="170"/>
      <c r="AZ156" s="170"/>
      <c r="BA156" s="170"/>
      <c r="BB156" s="170"/>
      <c r="BC156" s="170"/>
      <c r="BD156" s="170"/>
      <c r="BE156" s="170"/>
      <c r="BF156" s="170"/>
      <c r="BG156" s="170"/>
      <c r="BH156" s="170"/>
      <c r="BI156" s="170"/>
      <c r="BJ156" s="170"/>
      <c r="BK156" s="170"/>
      <c r="BL156" s="170"/>
      <c r="BM156" s="170"/>
      <c r="BN156" s="170"/>
      <c r="BO156" s="170"/>
      <c r="BP156" s="170"/>
      <c r="BQ156" s="170"/>
      <c r="BR156" s="170"/>
      <c r="BS156" s="170"/>
      <c r="BT156" s="170"/>
      <c r="BU156" s="170"/>
      <c r="BV156" s="170"/>
      <c r="BW156" s="170"/>
      <c r="BX156" s="170"/>
      <c r="BY156" s="170"/>
      <c r="BZ156" s="170"/>
      <c r="CA156" s="170"/>
      <c r="CB156" s="170"/>
      <c r="CC156" s="170"/>
      <c r="CD156" s="170"/>
      <c r="CE156" s="170"/>
      <c r="CF156" s="170"/>
      <c r="CG156" s="170"/>
      <c r="CH156" s="170"/>
      <c r="CI156" s="170"/>
      <c r="CJ156" s="170"/>
      <c r="CK156" s="170"/>
      <c r="CL156" s="170"/>
      <c r="CM156" s="170"/>
      <c r="CN156" s="170"/>
      <c r="CO156" s="170"/>
    </row>
    <row r="157" spans="1:93">
      <c r="A157" s="9"/>
      <c r="B157" s="168"/>
      <c r="C157" s="169"/>
      <c r="D157" s="10"/>
      <c r="E157" s="62"/>
      <c r="F157" s="11"/>
      <c r="G157" s="11"/>
      <c r="H157" s="10"/>
      <c r="I157" s="10"/>
      <c r="J157" s="10"/>
      <c r="K157" s="1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  <c r="AP157" s="170"/>
      <c r="AQ157" s="170"/>
      <c r="AR157" s="170"/>
      <c r="AS157" s="170"/>
      <c r="AT157" s="170"/>
      <c r="AU157" s="170"/>
      <c r="AV157" s="170"/>
      <c r="AW157" s="170"/>
      <c r="AX157" s="170"/>
      <c r="AY157" s="170"/>
      <c r="AZ157" s="170"/>
      <c r="BA157" s="170"/>
      <c r="BB157" s="170"/>
      <c r="BC157" s="170"/>
      <c r="BD157" s="170"/>
      <c r="BE157" s="170"/>
      <c r="BF157" s="170"/>
      <c r="BG157" s="170"/>
      <c r="BH157" s="170"/>
      <c r="BI157" s="170"/>
      <c r="BJ157" s="170"/>
      <c r="BK157" s="170"/>
      <c r="BL157" s="170"/>
      <c r="BM157" s="170"/>
      <c r="BN157" s="170"/>
      <c r="BO157" s="170"/>
      <c r="BP157" s="170"/>
      <c r="BQ157" s="170"/>
      <c r="BR157" s="170"/>
      <c r="BS157" s="170"/>
      <c r="BT157" s="170"/>
      <c r="BU157" s="170"/>
      <c r="BV157" s="170"/>
      <c r="BW157" s="170"/>
      <c r="BX157" s="170"/>
      <c r="BY157" s="170"/>
      <c r="BZ157" s="170"/>
      <c r="CA157" s="170"/>
      <c r="CB157" s="170"/>
      <c r="CC157" s="170"/>
      <c r="CD157" s="170"/>
      <c r="CE157" s="170"/>
      <c r="CF157" s="170"/>
      <c r="CG157" s="170"/>
      <c r="CH157" s="170"/>
      <c r="CI157" s="170"/>
      <c r="CJ157" s="170"/>
      <c r="CK157" s="170"/>
      <c r="CL157" s="170"/>
      <c r="CM157" s="170"/>
      <c r="CN157" s="170"/>
      <c r="CO157" s="170"/>
    </row>
    <row r="158" spans="1:93">
      <c r="A158" s="9"/>
      <c r="B158" s="168"/>
      <c r="C158" s="87" t="str">
        <f>C120</f>
        <v>Затраты на создание объектов Транспортная инфраструктура</v>
      </c>
      <c r="D158" s="10"/>
      <c r="E158" s="62"/>
      <c r="F158" s="11"/>
      <c r="G158" s="11"/>
      <c r="H158" s="10"/>
      <c r="I158" s="10"/>
      <c r="J158" s="10"/>
      <c r="K158" s="1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/>
      <c r="AR158" s="170"/>
      <c r="AS158" s="170"/>
      <c r="AT158" s="170"/>
      <c r="AU158" s="170"/>
      <c r="AV158" s="170"/>
      <c r="AW158" s="170"/>
      <c r="AX158" s="170"/>
      <c r="AY158" s="170"/>
      <c r="AZ158" s="170"/>
      <c r="BA158" s="170"/>
      <c r="BB158" s="170"/>
      <c r="BC158" s="170"/>
      <c r="BD158" s="170"/>
      <c r="BE158" s="170"/>
      <c r="BF158" s="170"/>
      <c r="BG158" s="170"/>
      <c r="BH158" s="170"/>
      <c r="BI158" s="170"/>
      <c r="BJ158" s="170"/>
      <c r="BK158" s="170"/>
      <c r="BL158" s="170"/>
      <c r="BM158" s="170"/>
      <c r="BN158" s="170"/>
      <c r="BO158" s="170"/>
      <c r="BP158" s="170"/>
      <c r="BQ158" s="170"/>
      <c r="BR158" s="170"/>
      <c r="BS158" s="170"/>
      <c r="BT158" s="170"/>
      <c r="BU158" s="170"/>
      <c r="BV158" s="170"/>
      <c r="BW158" s="170"/>
      <c r="BX158" s="170"/>
      <c r="BY158" s="170"/>
      <c r="BZ158" s="170"/>
      <c r="CA158" s="170"/>
      <c r="CB158" s="170"/>
      <c r="CC158" s="170"/>
      <c r="CD158" s="170"/>
      <c r="CE158" s="170"/>
      <c r="CF158" s="170"/>
      <c r="CG158" s="170"/>
      <c r="CH158" s="170"/>
      <c r="CI158" s="170"/>
      <c r="CJ158" s="170"/>
      <c r="CK158" s="170"/>
      <c r="CL158" s="170"/>
      <c r="CM158" s="170"/>
      <c r="CN158" s="170"/>
      <c r="CO158" s="170"/>
    </row>
    <row r="159" spans="1:93">
      <c r="A159" s="9"/>
      <c r="B159" s="168"/>
      <c r="C159" s="17" t="s">
        <v>632</v>
      </c>
      <c r="D159" s="10"/>
      <c r="E159" s="62"/>
      <c r="F159" s="11"/>
      <c r="G159" s="11" t="str">
        <f>Monetary_Unit</f>
        <v>тыс. руб.</v>
      </c>
      <c r="H159" s="10"/>
      <c r="I159" s="23">
        <f ca="1">SUM(L159:CO159)</f>
        <v>951.70602513843323</v>
      </c>
      <c r="J159" s="10"/>
      <c r="K159" s="10"/>
      <c r="L159" s="10">
        <f t="shared" ref="L159:AQ159" ca="1" si="1144" xml:space="preserve"> L126 * CAPEX_Accumulated_From_Date</f>
        <v>232.91999784273011</v>
      </c>
      <c r="M159" s="10">
        <f t="shared" ca="1" si="1144"/>
        <v>236.22627098779674</v>
      </c>
      <c r="N159" s="10">
        <f t="shared" ca="1" si="1144"/>
        <v>239.57947630790645</v>
      </c>
      <c r="O159" s="10">
        <f t="shared" ca="1" si="1144"/>
        <v>242.98027999999991</v>
      </c>
      <c r="P159" s="10">
        <f t="shared" ca="1" si="1144"/>
        <v>0</v>
      </c>
      <c r="Q159" s="10">
        <f t="shared" ca="1" si="1144"/>
        <v>0</v>
      </c>
      <c r="R159" s="10">
        <f t="shared" ca="1" si="1144"/>
        <v>0</v>
      </c>
      <c r="S159" s="10">
        <f t="shared" ca="1" si="1144"/>
        <v>0</v>
      </c>
      <c r="T159" s="10">
        <f t="shared" ca="1" si="1144"/>
        <v>0</v>
      </c>
      <c r="U159" s="10">
        <f t="shared" ca="1" si="1144"/>
        <v>0</v>
      </c>
      <c r="V159" s="10">
        <f t="shared" ca="1" si="1144"/>
        <v>0</v>
      </c>
      <c r="W159" s="10">
        <f t="shared" ca="1" si="1144"/>
        <v>0</v>
      </c>
      <c r="X159" s="10">
        <f t="shared" ca="1" si="1144"/>
        <v>0</v>
      </c>
      <c r="Y159" s="10">
        <f t="shared" ca="1" si="1144"/>
        <v>0</v>
      </c>
      <c r="Z159" s="10">
        <f t="shared" ca="1" si="1144"/>
        <v>0</v>
      </c>
      <c r="AA159" s="10">
        <f t="shared" ca="1" si="1144"/>
        <v>0</v>
      </c>
      <c r="AB159" s="10">
        <f t="shared" ca="1" si="1144"/>
        <v>0</v>
      </c>
      <c r="AC159" s="10">
        <f t="shared" ca="1" si="1144"/>
        <v>0</v>
      </c>
      <c r="AD159" s="10">
        <f t="shared" ca="1" si="1144"/>
        <v>0</v>
      </c>
      <c r="AE159" s="10">
        <f t="shared" ca="1" si="1144"/>
        <v>0</v>
      </c>
      <c r="AF159" s="10">
        <f t="shared" ca="1" si="1144"/>
        <v>0</v>
      </c>
      <c r="AG159" s="10">
        <f t="shared" ca="1" si="1144"/>
        <v>0</v>
      </c>
      <c r="AH159" s="10">
        <f t="shared" ca="1" si="1144"/>
        <v>0</v>
      </c>
      <c r="AI159" s="10">
        <f t="shared" ca="1" si="1144"/>
        <v>0</v>
      </c>
      <c r="AJ159" s="10">
        <f t="shared" ca="1" si="1144"/>
        <v>0</v>
      </c>
      <c r="AK159" s="10">
        <f t="shared" ca="1" si="1144"/>
        <v>0</v>
      </c>
      <c r="AL159" s="10">
        <f t="shared" ca="1" si="1144"/>
        <v>0</v>
      </c>
      <c r="AM159" s="10">
        <f t="shared" ca="1" si="1144"/>
        <v>0</v>
      </c>
      <c r="AN159" s="10">
        <f t="shared" ca="1" si="1144"/>
        <v>0</v>
      </c>
      <c r="AO159" s="10">
        <f t="shared" ca="1" si="1144"/>
        <v>0</v>
      </c>
      <c r="AP159" s="10">
        <f t="shared" ca="1" si="1144"/>
        <v>0</v>
      </c>
      <c r="AQ159" s="10">
        <f t="shared" ca="1" si="1144"/>
        <v>0</v>
      </c>
      <c r="AR159" s="10">
        <f t="shared" ref="AR159:BW159" ca="1" si="1145" xml:space="preserve"> AR126 * CAPEX_Accumulated_From_Date</f>
        <v>0</v>
      </c>
      <c r="AS159" s="10">
        <f t="shared" ca="1" si="1145"/>
        <v>0</v>
      </c>
      <c r="AT159" s="10">
        <f t="shared" ca="1" si="1145"/>
        <v>0</v>
      </c>
      <c r="AU159" s="10">
        <f t="shared" ca="1" si="1145"/>
        <v>0</v>
      </c>
      <c r="AV159" s="10">
        <f t="shared" ca="1" si="1145"/>
        <v>0</v>
      </c>
      <c r="AW159" s="10">
        <f t="shared" ca="1" si="1145"/>
        <v>0</v>
      </c>
      <c r="AX159" s="10">
        <f t="shared" ca="1" si="1145"/>
        <v>0</v>
      </c>
      <c r="AY159" s="10">
        <f t="shared" ca="1" si="1145"/>
        <v>0</v>
      </c>
      <c r="AZ159" s="10">
        <f t="shared" ca="1" si="1145"/>
        <v>0</v>
      </c>
      <c r="BA159" s="10">
        <f t="shared" ca="1" si="1145"/>
        <v>0</v>
      </c>
      <c r="BB159" s="10">
        <f t="shared" ca="1" si="1145"/>
        <v>0</v>
      </c>
      <c r="BC159" s="10">
        <f t="shared" ca="1" si="1145"/>
        <v>0</v>
      </c>
      <c r="BD159" s="10">
        <f t="shared" ca="1" si="1145"/>
        <v>0</v>
      </c>
      <c r="BE159" s="10">
        <f t="shared" ca="1" si="1145"/>
        <v>0</v>
      </c>
      <c r="BF159" s="10">
        <f t="shared" ca="1" si="1145"/>
        <v>0</v>
      </c>
      <c r="BG159" s="10">
        <f t="shared" ca="1" si="1145"/>
        <v>0</v>
      </c>
      <c r="BH159" s="10">
        <f t="shared" ca="1" si="1145"/>
        <v>0</v>
      </c>
      <c r="BI159" s="10">
        <f t="shared" ca="1" si="1145"/>
        <v>0</v>
      </c>
      <c r="BJ159" s="10">
        <f t="shared" ca="1" si="1145"/>
        <v>0</v>
      </c>
      <c r="BK159" s="10">
        <f t="shared" ca="1" si="1145"/>
        <v>0</v>
      </c>
      <c r="BL159" s="10">
        <f t="shared" ca="1" si="1145"/>
        <v>0</v>
      </c>
      <c r="BM159" s="10">
        <f t="shared" ca="1" si="1145"/>
        <v>0</v>
      </c>
      <c r="BN159" s="10">
        <f t="shared" ca="1" si="1145"/>
        <v>0</v>
      </c>
      <c r="BO159" s="10">
        <f t="shared" ca="1" si="1145"/>
        <v>0</v>
      </c>
      <c r="BP159" s="10">
        <f t="shared" ca="1" si="1145"/>
        <v>0</v>
      </c>
      <c r="BQ159" s="10">
        <f t="shared" ca="1" si="1145"/>
        <v>0</v>
      </c>
      <c r="BR159" s="10">
        <f t="shared" ca="1" si="1145"/>
        <v>0</v>
      </c>
      <c r="BS159" s="10">
        <f t="shared" ca="1" si="1145"/>
        <v>0</v>
      </c>
      <c r="BT159" s="10">
        <f t="shared" ca="1" si="1145"/>
        <v>0</v>
      </c>
      <c r="BU159" s="10">
        <f t="shared" ca="1" si="1145"/>
        <v>0</v>
      </c>
      <c r="BV159" s="10">
        <f t="shared" ca="1" si="1145"/>
        <v>0</v>
      </c>
      <c r="BW159" s="10">
        <f t="shared" ca="1" si="1145"/>
        <v>0</v>
      </c>
      <c r="BX159" s="10">
        <f t="shared" ref="BX159:CO159" ca="1" si="1146" xml:space="preserve"> BX126 * CAPEX_Accumulated_From_Date</f>
        <v>0</v>
      </c>
      <c r="BY159" s="10">
        <f t="shared" ca="1" si="1146"/>
        <v>0</v>
      </c>
      <c r="BZ159" s="10">
        <f t="shared" ca="1" si="1146"/>
        <v>0</v>
      </c>
      <c r="CA159" s="10">
        <f t="shared" ca="1" si="1146"/>
        <v>0</v>
      </c>
      <c r="CB159" s="10">
        <f t="shared" ca="1" si="1146"/>
        <v>0</v>
      </c>
      <c r="CC159" s="10">
        <f t="shared" ca="1" si="1146"/>
        <v>0</v>
      </c>
      <c r="CD159" s="10">
        <f t="shared" ca="1" si="1146"/>
        <v>0</v>
      </c>
      <c r="CE159" s="10">
        <f t="shared" ca="1" si="1146"/>
        <v>0</v>
      </c>
      <c r="CF159" s="10">
        <f t="shared" ca="1" si="1146"/>
        <v>0</v>
      </c>
      <c r="CG159" s="10">
        <f t="shared" ca="1" si="1146"/>
        <v>0</v>
      </c>
      <c r="CH159" s="10">
        <f t="shared" ca="1" si="1146"/>
        <v>0</v>
      </c>
      <c r="CI159" s="10">
        <f t="shared" ca="1" si="1146"/>
        <v>0</v>
      </c>
      <c r="CJ159" s="10">
        <f t="shared" ca="1" si="1146"/>
        <v>0</v>
      </c>
      <c r="CK159" s="10">
        <f t="shared" ca="1" si="1146"/>
        <v>0</v>
      </c>
      <c r="CL159" s="10">
        <f t="shared" ca="1" si="1146"/>
        <v>0</v>
      </c>
      <c r="CM159" s="10">
        <f t="shared" ca="1" si="1146"/>
        <v>0</v>
      </c>
      <c r="CN159" s="10">
        <f t="shared" ca="1" si="1146"/>
        <v>0</v>
      </c>
      <c r="CO159" s="10">
        <f t="shared" ca="1" si="1146"/>
        <v>0</v>
      </c>
    </row>
    <row r="160" spans="1:93">
      <c r="A160" s="9"/>
      <c r="B160" s="168"/>
      <c r="C160" s="17" t="s">
        <v>634</v>
      </c>
      <c r="D160" s="10"/>
      <c r="E160" s="62"/>
      <c r="F160" s="11"/>
      <c r="G160" s="11" t="str">
        <f>Monetary_Unit</f>
        <v>тыс. руб.</v>
      </c>
      <c r="H160" s="10"/>
      <c r="I160" s="23">
        <f ca="1">SUM(L160:CO160)</f>
        <v>0</v>
      </c>
      <c r="J160" s="10"/>
      <c r="K160" s="10"/>
      <c r="L160" s="10">
        <f t="shared" ref="L160:AQ160" ca="1" si="1147" xml:space="preserve"> L127 * CAPEX_Accumulated_From_Date</f>
        <v>0</v>
      </c>
      <c r="M160" s="10">
        <f t="shared" ca="1" si="1147"/>
        <v>0</v>
      </c>
      <c r="N160" s="10">
        <f t="shared" ca="1" si="1147"/>
        <v>0</v>
      </c>
      <c r="O160" s="10">
        <f t="shared" ca="1" si="1147"/>
        <v>0</v>
      </c>
      <c r="P160" s="10">
        <f t="shared" ca="1" si="1147"/>
        <v>0</v>
      </c>
      <c r="Q160" s="10">
        <f t="shared" ca="1" si="1147"/>
        <v>0</v>
      </c>
      <c r="R160" s="10">
        <f t="shared" ca="1" si="1147"/>
        <v>0</v>
      </c>
      <c r="S160" s="10">
        <f t="shared" ca="1" si="1147"/>
        <v>0</v>
      </c>
      <c r="T160" s="10">
        <f t="shared" ca="1" si="1147"/>
        <v>0</v>
      </c>
      <c r="U160" s="10">
        <f t="shared" ca="1" si="1147"/>
        <v>0</v>
      </c>
      <c r="V160" s="10">
        <f t="shared" ca="1" si="1147"/>
        <v>0</v>
      </c>
      <c r="W160" s="10">
        <f t="shared" ca="1" si="1147"/>
        <v>0</v>
      </c>
      <c r="X160" s="10">
        <f t="shared" ca="1" si="1147"/>
        <v>0</v>
      </c>
      <c r="Y160" s="10">
        <f t="shared" ca="1" si="1147"/>
        <v>0</v>
      </c>
      <c r="Z160" s="10">
        <f t="shared" ca="1" si="1147"/>
        <v>0</v>
      </c>
      <c r="AA160" s="10">
        <f t="shared" ca="1" si="1147"/>
        <v>0</v>
      </c>
      <c r="AB160" s="10">
        <f t="shared" ca="1" si="1147"/>
        <v>0</v>
      </c>
      <c r="AC160" s="10">
        <f t="shared" ca="1" si="1147"/>
        <v>0</v>
      </c>
      <c r="AD160" s="10">
        <f t="shared" ca="1" si="1147"/>
        <v>0</v>
      </c>
      <c r="AE160" s="10">
        <f t="shared" ca="1" si="1147"/>
        <v>0</v>
      </c>
      <c r="AF160" s="10">
        <f t="shared" ca="1" si="1147"/>
        <v>0</v>
      </c>
      <c r="AG160" s="10">
        <f t="shared" ca="1" si="1147"/>
        <v>0</v>
      </c>
      <c r="AH160" s="10">
        <f t="shared" ca="1" si="1147"/>
        <v>0</v>
      </c>
      <c r="AI160" s="10">
        <f t="shared" ca="1" si="1147"/>
        <v>0</v>
      </c>
      <c r="AJ160" s="10">
        <f t="shared" ca="1" si="1147"/>
        <v>0</v>
      </c>
      <c r="AK160" s="10">
        <f t="shared" ca="1" si="1147"/>
        <v>0</v>
      </c>
      <c r="AL160" s="10">
        <f t="shared" ca="1" si="1147"/>
        <v>0</v>
      </c>
      <c r="AM160" s="10">
        <f t="shared" ca="1" si="1147"/>
        <v>0</v>
      </c>
      <c r="AN160" s="10">
        <f t="shared" ca="1" si="1147"/>
        <v>0</v>
      </c>
      <c r="AO160" s="10">
        <f t="shared" ca="1" si="1147"/>
        <v>0</v>
      </c>
      <c r="AP160" s="10">
        <f t="shared" ca="1" si="1147"/>
        <v>0</v>
      </c>
      <c r="AQ160" s="10">
        <f t="shared" ca="1" si="1147"/>
        <v>0</v>
      </c>
      <c r="AR160" s="10">
        <f t="shared" ref="AR160:BW160" ca="1" si="1148" xml:space="preserve"> AR127 * CAPEX_Accumulated_From_Date</f>
        <v>0</v>
      </c>
      <c r="AS160" s="10">
        <f t="shared" ca="1" si="1148"/>
        <v>0</v>
      </c>
      <c r="AT160" s="10">
        <f t="shared" ca="1" si="1148"/>
        <v>0</v>
      </c>
      <c r="AU160" s="10">
        <f t="shared" ca="1" si="1148"/>
        <v>0</v>
      </c>
      <c r="AV160" s="10">
        <f t="shared" ca="1" si="1148"/>
        <v>0</v>
      </c>
      <c r="AW160" s="10">
        <f t="shared" ca="1" si="1148"/>
        <v>0</v>
      </c>
      <c r="AX160" s="10">
        <f t="shared" ca="1" si="1148"/>
        <v>0</v>
      </c>
      <c r="AY160" s="10">
        <f t="shared" ca="1" si="1148"/>
        <v>0</v>
      </c>
      <c r="AZ160" s="10">
        <f t="shared" ca="1" si="1148"/>
        <v>0</v>
      </c>
      <c r="BA160" s="10">
        <f t="shared" ca="1" si="1148"/>
        <v>0</v>
      </c>
      <c r="BB160" s="10">
        <f t="shared" ca="1" si="1148"/>
        <v>0</v>
      </c>
      <c r="BC160" s="10">
        <f t="shared" ca="1" si="1148"/>
        <v>0</v>
      </c>
      <c r="BD160" s="10">
        <f t="shared" ca="1" si="1148"/>
        <v>0</v>
      </c>
      <c r="BE160" s="10">
        <f t="shared" ca="1" si="1148"/>
        <v>0</v>
      </c>
      <c r="BF160" s="10">
        <f t="shared" ca="1" si="1148"/>
        <v>0</v>
      </c>
      <c r="BG160" s="10">
        <f t="shared" ca="1" si="1148"/>
        <v>0</v>
      </c>
      <c r="BH160" s="10">
        <f t="shared" ca="1" si="1148"/>
        <v>0</v>
      </c>
      <c r="BI160" s="10">
        <f t="shared" ca="1" si="1148"/>
        <v>0</v>
      </c>
      <c r="BJ160" s="10">
        <f t="shared" ca="1" si="1148"/>
        <v>0</v>
      </c>
      <c r="BK160" s="10">
        <f t="shared" ca="1" si="1148"/>
        <v>0</v>
      </c>
      <c r="BL160" s="10">
        <f t="shared" ca="1" si="1148"/>
        <v>0</v>
      </c>
      <c r="BM160" s="10">
        <f t="shared" ca="1" si="1148"/>
        <v>0</v>
      </c>
      <c r="BN160" s="10">
        <f t="shared" ca="1" si="1148"/>
        <v>0</v>
      </c>
      <c r="BO160" s="10">
        <f t="shared" ca="1" si="1148"/>
        <v>0</v>
      </c>
      <c r="BP160" s="10">
        <f t="shared" ca="1" si="1148"/>
        <v>0</v>
      </c>
      <c r="BQ160" s="10">
        <f t="shared" ca="1" si="1148"/>
        <v>0</v>
      </c>
      <c r="BR160" s="10">
        <f t="shared" ca="1" si="1148"/>
        <v>0</v>
      </c>
      <c r="BS160" s="10">
        <f t="shared" ca="1" si="1148"/>
        <v>0</v>
      </c>
      <c r="BT160" s="10">
        <f t="shared" ca="1" si="1148"/>
        <v>0</v>
      </c>
      <c r="BU160" s="10">
        <f t="shared" ca="1" si="1148"/>
        <v>0</v>
      </c>
      <c r="BV160" s="10">
        <f t="shared" ca="1" si="1148"/>
        <v>0</v>
      </c>
      <c r="BW160" s="10">
        <f t="shared" ca="1" si="1148"/>
        <v>0</v>
      </c>
      <c r="BX160" s="10">
        <f t="shared" ref="BX160:CO160" ca="1" si="1149" xml:space="preserve"> BX127 * CAPEX_Accumulated_From_Date</f>
        <v>0</v>
      </c>
      <c r="BY160" s="10">
        <f t="shared" ca="1" si="1149"/>
        <v>0</v>
      </c>
      <c r="BZ160" s="10">
        <f t="shared" ca="1" si="1149"/>
        <v>0</v>
      </c>
      <c r="CA160" s="10">
        <f t="shared" ca="1" si="1149"/>
        <v>0</v>
      </c>
      <c r="CB160" s="10">
        <f t="shared" ca="1" si="1149"/>
        <v>0</v>
      </c>
      <c r="CC160" s="10">
        <f t="shared" ca="1" si="1149"/>
        <v>0</v>
      </c>
      <c r="CD160" s="10">
        <f t="shared" ca="1" si="1149"/>
        <v>0</v>
      </c>
      <c r="CE160" s="10">
        <f t="shared" ca="1" si="1149"/>
        <v>0</v>
      </c>
      <c r="CF160" s="10">
        <f t="shared" ca="1" si="1149"/>
        <v>0</v>
      </c>
      <c r="CG160" s="10">
        <f t="shared" ca="1" si="1149"/>
        <v>0</v>
      </c>
      <c r="CH160" s="10">
        <f t="shared" ca="1" si="1149"/>
        <v>0</v>
      </c>
      <c r="CI160" s="10">
        <f t="shared" ca="1" si="1149"/>
        <v>0</v>
      </c>
      <c r="CJ160" s="10">
        <f t="shared" ca="1" si="1149"/>
        <v>0</v>
      </c>
      <c r="CK160" s="10">
        <f t="shared" ca="1" si="1149"/>
        <v>0</v>
      </c>
      <c r="CL160" s="10">
        <f t="shared" ca="1" si="1149"/>
        <v>0</v>
      </c>
      <c r="CM160" s="10">
        <f t="shared" ca="1" si="1149"/>
        <v>0</v>
      </c>
      <c r="CN160" s="10">
        <f t="shared" ca="1" si="1149"/>
        <v>0</v>
      </c>
      <c r="CO160" s="10">
        <f t="shared" ca="1" si="1149"/>
        <v>0</v>
      </c>
    </row>
    <row r="161" spans="1:94">
      <c r="A161" s="9"/>
      <c r="B161" s="168"/>
      <c r="C161" s="17" t="s">
        <v>848</v>
      </c>
      <c r="D161" s="10"/>
      <c r="E161" s="62"/>
      <c r="F161" s="11"/>
      <c r="G161" s="11" t="str">
        <f>Monetary_Unit</f>
        <v>тыс. руб.</v>
      </c>
      <c r="H161" s="10"/>
      <c r="I161" s="23">
        <f ca="1">SUM(L161:CO161)</f>
        <v>26041.836522187514</v>
      </c>
      <c r="J161" s="10"/>
      <c r="K161" s="10"/>
      <c r="L161" s="10">
        <f t="shared" ref="L161:AQ161" ca="1" si="1150" xml:space="preserve"> L128 * CAPEX_Accumulated_From_Date</f>
        <v>0</v>
      </c>
      <c r="M161" s="10">
        <f t="shared" ca="1" si="1150"/>
        <v>0</v>
      </c>
      <c r="N161" s="10">
        <f t="shared" ca="1" si="1150"/>
        <v>0</v>
      </c>
      <c r="O161" s="10">
        <f t="shared" ca="1" si="1150"/>
        <v>0</v>
      </c>
      <c r="P161" s="10">
        <f t="shared" ca="1" si="1150"/>
        <v>1887.4958729401706</v>
      </c>
      <c r="Q161" s="10">
        <f t="shared" ca="1" si="1150"/>
        <v>1906.094137135751</v>
      </c>
      <c r="R161" s="10">
        <f t="shared" ca="1" si="1150"/>
        <v>1924.8756575895554</v>
      </c>
      <c r="S161" s="10">
        <f t="shared" ca="1" si="1150"/>
        <v>1943.8422399999984</v>
      </c>
      <c r="T161" s="10">
        <f t="shared" ca="1" si="1150"/>
        <v>1962.995707857777</v>
      </c>
      <c r="U161" s="10">
        <f t="shared" ca="1" si="1150"/>
        <v>1982.3379026211805</v>
      </c>
      <c r="V161" s="10">
        <f t="shared" ca="1" si="1150"/>
        <v>2001.8706838931366</v>
      </c>
      <c r="W161" s="10">
        <f t="shared" ca="1" si="1150"/>
        <v>2021.5959295999985</v>
      </c>
      <c r="X161" s="10">
        <f t="shared" ca="1" si="1150"/>
        <v>2041.5155361720872</v>
      </c>
      <c r="Y161" s="10">
        <f t="shared" ca="1" si="1150"/>
        <v>2061.6314187260273</v>
      </c>
      <c r="Z161" s="10">
        <f t="shared" ca="1" si="1150"/>
        <v>2081.9455112488627</v>
      </c>
      <c r="AA161" s="10">
        <f t="shared" ca="1" si="1150"/>
        <v>2102.459766783998</v>
      </c>
      <c r="AB161" s="10">
        <f t="shared" ca="1" si="1150"/>
        <v>2123.1761576189688</v>
      </c>
      <c r="AC161" s="10">
        <f t="shared" ca="1" si="1150"/>
        <v>0</v>
      </c>
      <c r="AD161" s="10">
        <f t="shared" ca="1" si="1150"/>
        <v>0</v>
      </c>
      <c r="AE161" s="10">
        <f t="shared" ca="1" si="1150"/>
        <v>0</v>
      </c>
      <c r="AF161" s="10">
        <f t="shared" ca="1" si="1150"/>
        <v>0</v>
      </c>
      <c r="AG161" s="10">
        <f t="shared" ca="1" si="1150"/>
        <v>0</v>
      </c>
      <c r="AH161" s="10">
        <f t="shared" ca="1" si="1150"/>
        <v>0</v>
      </c>
      <c r="AI161" s="10">
        <f t="shared" ca="1" si="1150"/>
        <v>0</v>
      </c>
      <c r="AJ161" s="10">
        <f t="shared" ca="1" si="1150"/>
        <v>0</v>
      </c>
      <c r="AK161" s="10">
        <f t="shared" ca="1" si="1150"/>
        <v>0</v>
      </c>
      <c r="AL161" s="10">
        <f t="shared" ca="1" si="1150"/>
        <v>0</v>
      </c>
      <c r="AM161" s="10">
        <f t="shared" ca="1" si="1150"/>
        <v>0</v>
      </c>
      <c r="AN161" s="10">
        <f t="shared" ca="1" si="1150"/>
        <v>0</v>
      </c>
      <c r="AO161" s="10">
        <f t="shared" ca="1" si="1150"/>
        <v>0</v>
      </c>
      <c r="AP161" s="10">
        <f t="shared" ca="1" si="1150"/>
        <v>0</v>
      </c>
      <c r="AQ161" s="10">
        <f t="shared" ca="1" si="1150"/>
        <v>0</v>
      </c>
      <c r="AR161" s="10">
        <f t="shared" ref="AR161:BW161" ca="1" si="1151" xml:space="preserve"> AR128 * CAPEX_Accumulated_From_Date</f>
        <v>0</v>
      </c>
      <c r="AS161" s="10">
        <f t="shared" ca="1" si="1151"/>
        <v>0</v>
      </c>
      <c r="AT161" s="10">
        <f t="shared" ca="1" si="1151"/>
        <v>0</v>
      </c>
      <c r="AU161" s="10">
        <f t="shared" ca="1" si="1151"/>
        <v>0</v>
      </c>
      <c r="AV161" s="10">
        <f t="shared" ca="1" si="1151"/>
        <v>0</v>
      </c>
      <c r="AW161" s="10">
        <f t="shared" ca="1" si="1151"/>
        <v>0</v>
      </c>
      <c r="AX161" s="10">
        <f t="shared" ca="1" si="1151"/>
        <v>0</v>
      </c>
      <c r="AY161" s="10">
        <f t="shared" ca="1" si="1151"/>
        <v>0</v>
      </c>
      <c r="AZ161" s="10">
        <f t="shared" ca="1" si="1151"/>
        <v>0</v>
      </c>
      <c r="BA161" s="10">
        <f t="shared" ca="1" si="1151"/>
        <v>0</v>
      </c>
      <c r="BB161" s="10">
        <f t="shared" ca="1" si="1151"/>
        <v>0</v>
      </c>
      <c r="BC161" s="10">
        <f t="shared" ca="1" si="1151"/>
        <v>0</v>
      </c>
      <c r="BD161" s="10">
        <f t="shared" ca="1" si="1151"/>
        <v>0</v>
      </c>
      <c r="BE161" s="10">
        <f t="shared" ca="1" si="1151"/>
        <v>0</v>
      </c>
      <c r="BF161" s="10">
        <f t="shared" ca="1" si="1151"/>
        <v>0</v>
      </c>
      <c r="BG161" s="10">
        <f t="shared" ca="1" si="1151"/>
        <v>0</v>
      </c>
      <c r="BH161" s="10">
        <f t="shared" ca="1" si="1151"/>
        <v>0</v>
      </c>
      <c r="BI161" s="10">
        <f t="shared" ca="1" si="1151"/>
        <v>0</v>
      </c>
      <c r="BJ161" s="10">
        <f t="shared" ca="1" si="1151"/>
        <v>0</v>
      </c>
      <c r="BK161" s="10">
        <f t="shared" ca="1" si="1151"/>
        <v>0</v>
      </c>
      <c r="BL161" s="10">
        <f t="shared" ca="1" si="1151"/>
        <v>0</v>
      </c>
      <c r="BM161" s="10">
        <f t="shared" ca="1" si="1151"/>
        <v>0</v>
      </c>
      <c r="BN161" s="10">
        <f t="shared" ca="1" si="1151"/>
        <v>0</v>
      </c>
      <c r="BO161" s="10">
        <f t="shared" ca="1" si="1151"/>
        <v>0</v>
      </c>
      <c r="BP161" s="10">
        <f t="shared" ca="1" si="1151"/>
        <v>0</v>
      </c>
      <c r="BQ161" s="10">
        <f t="shared" ca="1" si="1151"/>
        <v>0</v>
      </c>
      <c r="BR161" s="10">
        <f t="shared" ca="1" si="1151"/>
        <v>0</v>
      </c>
      <c r="BS161" s="10">
        <f t="shared" ca="1" si="1151"/>
        <v>0</v>
      </c>
      <c r="BT161" s="10">
        <f t="shared" ca="1" si="1151"/>
        <v>0</v>
      </c>
      <c r="BU161" s="10">
        <f t="shared" ca="1" si="1151"/>
        <v>0</v>
      </c>
      <c r="BV161" s="10">
        <f t="shared" ca="1" si="1151"/>
        <v>0</v>
      </c>
      <c r="BW161" s="10">
        <f t="shared" ca="1" si="1151"/>
        <v>0</v>
      </c>
      <c r="BX161" s="10">
        <f t="shared" ref="BX161:CO161" ca="1" si="1152" xml:space="preserve"> BX128 * CAPEX_Accumulated_From_Date</f>
        <v>0</v>
      </c>
      <c r="BY161" s="10">
        <f t="shared" ca="1" si="1152"/>
        <v>0</v>
      </c>
      <c r="BZ161" s="10">
        <f t="shared" ca="1" si="1152"/>
        <v>0</v>
      </c>
      <c r="CA161" s="10">
        <f t="shared" ca="1" si="1152"/>
        <v>0</v>
      </c>
      <c r="CB161" s="10">
        <f t="shared" ca="1" si="1152"/>
        <v>0</v>
      </c>
      <c r="CC161" s="10">
        <f t="shared" ca="1" si="1152"/>
        <v>0</v>
      </c>
      <c r="CD161" s="10">
        <f t="shared" ca="1" si="1152"/>
        <v>0</v>
      </c>
      <c r="CE161" s="10">
        <f t="shared" ca="1" si="1152"/>
        <v>0</v>
      </c>
      <c r="CF161" s="10">
        <f t="shared" ca="1" si="1152"/>
        <v>0</v>
      </c>
      <c r="CG161" s="10">
        <f t="shared" ca="1" si="1152"/>
        <v>0</v>
      </c>
      <c r="CH161" s="10">
        <f t="shared" ca="1" si="1152"/>
        <v>0</v>
      </c>
      <c r="CI161" s="10">
        <f t="shared" ca="1" si="1152"/>
        <v>0</v>
      </c>
      <c r="CJ161" s="10">
        <f t="shared" ca="1" si="1152"/>
        <v>0</v>
      </c>
      <c r="CK161" s="10">
        <f t="shared" ca="1" si="1152"/>
        <v>0</v>
      </c>
      <c r="CL161" s="10">
        <f t="shared" ca="1" si="1152"/>
        <v>0</v>
      </c>
      <c r="CM161" s="10">
        <f t="shared" ca="1" si="1152"/>
        <v>0</v>
      </c>
      <c r="CN161" s="10">
        <f t="shared" ca="1" si="1152"/>
        <v>0</v>
      </c>
      <c r="CO161" s="10">
        <f t="shared" ca="1" si="1152"/>
        <v>0</v>
      </c>
    </row>
    <row r="162" spans="1:94" ht="15" thickBot="1">
      <c r="A162" s="9"/>
      <c r="B162" s="168"/>
      <c r="C162" s="17" t="s">
        <v>824</v>
      </c>
      <c r="D162" s="10"/>
      <c r="E162" s="62"/>
      <c r="F162" s="11"/>
      <c r="G162" s="11" t="str">
        <f>Monetary_Unit</f>
        <v>тыс. руб.</v>
      </c>
      <c r="H162" s="10"/>
      <c r="I162" s="23">
        <f ca="1">SUM(L162:CO162)</f>
        <v>781.2550956656255</v>
      </c>
      <c r="J162" s="10"/>
      <c r="K162" s="10"/>
      <c r="L162" s="10">
        <f t="shared" ref="L162:AQ162" ca="1" si="1153" xml:space="preserve"> L129 * CAPEX_Accumulated_From_Date</f>
        <v>0</v>
      </c>
      <c r="M162" s="10">
        <f t="shared" ca="1" si="1153"/>
        <v>0</v>
      </c>
      <c r="N162" s="10">
        <f t="shared" ca="1" si="1153"/>
        <v>0</v>
      </c>
      <c r="O162" s="10">
        <f t="shared" ca="1" si="1153"/>
        <v>0</v>
      </c>
      <c r="P162" s="10">
        <f t="shared" ca="1" si="1153"/>
        <v>56.624876188205121</v>
      </c>
      <c r="Q162" s="10">
        <f t="shared" ca="1" si="1153"/>
        <v>57.182824114072531</v>
      </c>
      <c r="R162" s="10">
        <f t="shared" ca="1" si="1153"/>
        <v>57.746269727686659</v>
      </c>
      <c r="S162" s="10">
        <f t="shared" ca="1" si="1153"/>
        <v>58.315267199999951</v>
      </c>
      <c r="T162" s="10">
        <f t="shared" ca="1" si="1153"/>
        <v>58.88987123573331</v>
      </c>
      <c r="U162" s="10">
        <f t="shared" ca="1" si="1153"/>
        <v>59.470137078635418</v>
      </c>
      <c r="V162" s="10">
        <f t="shared" ca="1" si="1153"/>
        <v>60.056120516794095</v>
      </c>
      <c r="W162" s="10">
        <f t="shared" ca="1" si="1153"/>
        <v>60.647877887999954</v>
      </c>
      <c r="X162" s="10">
        <f t="shared" ca="1" si="1153"/>
        <v>61.245466085162612</v>
      </c>
      <c r="Y162" s="10">
        <f t="shared" ca="1" si="1153"/>
        <v>61.848942561780824</v>
      </c>
      <c r="Z162" s="10">
        <f t="shared" ca="1" si="1153"/>
        <v>62.458365337465878</v>
      </c>
      <c r="AA162" s="10">
        <f t="shared" ca="1" si="1153"/>
        <v>63.073793003519938</v>
      </c>
      <c r="AB162" s="10">
        <f t="shared" ca="1" si="1153"/>
        <v>63.695284728569064</v>
      </c>
      <c r="AC162" s="10">
        <f t="shared" ca="1" si="1153"/>
        <v>0</v>
      </c>
      <c r="AD162" s="10">
        <f t="shared" ca="1" si="1153"/>
        <v>0</v>
      </c>
      <c r="AE162" s="10">
        <f t="shared" ca="1" si="1153"/>
        <v>0</v>
      </c>
      <c r="AF162" s="10">
        <f t="shared" ca="1" si="1153"/>
        <v>0</v>
      </c>
      <c r="AG162" s="10">
        <f t="shared" ca="1" si="1153"/>
        <v>0</v>
      </c>
      <c r="AH162" s="10">
        <f t="shared" ca="1" si="1153"/>
        <v>0</v>
      </c>
      <c r="AI162" s="10">
        <f t="shared" ca="1" si="1153"/>
        <v>0</v>
      </c>
      <c r="AJ162" s="10">
        <f t="shared" ca="1" si="1153"/>
        <v>0</v>
      </c>
      <c r="AK162" s="10">
        <f t="shared" ca="1" si="1153"/>
        <v>0</v>
      </c>
      <c r="AL162" s="10">
        <f t="shared" ca="1" si="1153"/>
        <v>0</v>
      </c>
      <c r="AM162" s="10">
        <f t="shared" ca="1" si="1153"/>
        <v>0</v>
      </c>
      <c r="AN162" s="10">
        <f t="shared" ca="1" si="1153"/>
        <v>0</v>
      </c>
      <c r="AO162" s="10">
        <f t="shared" ca="1" si="1153"/>
        <v>0</v>
      </c>
      <c r="AP162" s="10">
        <f t="shared" ca="1" si="1153"/>
        <v>0</v>
      </c>
      <c r="AQ162" s="10">
        <f t="shared" ca="1" si="1153"/>
        <v>0</v>
      </c>
      <c r="AR162" s="10">
        <f t="shared" ref="AR162:BW162" ca="1" si="1154" xml:space="preserve"> AR129 * CAPEX_Accumulated_From_Date</f>
        <v>0</v>
      </c>
      <c r="AS162" s="10">
        <f t="shared" ca="1" si="1154"/>
        <v>0</v>
      </c>
      <c r="AT162" s="10">
        <f t="shared" ca="1" si="1154"/>
        <v>0</v>
      </c>
      <c r="AU162" s="10">
        <f t="shared" ca="1" si="1154"/>
        <v>0</v>
      </c>
      <c r="AV162" s="10">
        <f t="shared" ca="1" si="1154"/>
        <v>0</v>
      </c>
      <c r="AW162" s="10">
        <f t="shared" ca="1" si="1154"/>
        <v>0</v>
      </c>
      <c r="AX162" s="10">
        <f t="shared" ca="1" si="1154"/>
        <v>0</v>
      </c>
      <c r="AY162" s="10">
        <f t="shared" ca="1" si="1154"/>
        <v>0</v>
      </c>
      <c r="AZ162" s="10">
        <f t="shared" ca="1" si="1154"/>
        <v>0</v>
      </c>
      <c r="BA162" s="10">
        <f t="shared" ca="1" si="1154"/>
        <v>0</v>
      </c>
      <c r="BB162" s="10">
        <f t="shared" ca="1" si="1154"/>
        <v>0</v>
      </c>
      <c r="BC162" s="10">
        <f t="shared" ca="1" si="1154"/>
        <v>0</v>
      </c>
      <c r="BD162" s="10">
        <f t="shared" ca="1" si="1154"/>
        <v>0</v>
      </c>
      <c r="BE162" s="10">
        <f t="shared" ca="1" si="1154"/>
        <v>0</v>
      </c>
      <c r="BF162" s="10">
        <f t="shared" ca="1" si="1154"/>
        <v>0</v>
      </c>
      <c r="BG162" s="10">
        <f t="shared" ca="1" si="1154"/>
        <v>0</v>
      </c>
      <c r="BH162" s="10">
        <f t="shared" ca="1" si="1154"/>
        <v>0</v>
      </c>
      <c r="BI162" s="10">
        <f t="shared" ca="1" si="1154"/>
        <v>0</v>
      </c>
      <c r="BJ162" s="10">
        <f t="shared" ca="1" si="1154"/>
        <v>0</v>
      </c>
      <c r="BK162" s="10">
        <f t="shared" ca="1" si="1154"/>
        <v>0</v>
      </c>
      <c r="BL162" s="10">
        <f t="shared" ca="1" si="1154"/>
        <v>0</v>
      </c>
      <c r="BM162" s="10">
        <f t="shared" ca="1" si="1154"/>
        <v>0</v>
      </c>
      <c r="BN162" s="10">
        <f t="shared" ca="1" si="1154"/>
        <v>0</v>
      </c>
      <c r="BO162" s="10">
        <f t="shared" ca="1" si="1154"/>
        <v>0</v>
      </c>
      <c r="BP162" s="10">
        <f t="shared" ca="1" si="1154"/>
        <v>0</v>
      </c>
      <c r="BQ162" s="10">
        <f t="shared" ca="1" si="1154"/>
        <v>0</v>
      </c>
      <c r="BR162" s="10">
        <f t="shared" ca="1" si="1154"/>
        <v>0</v>
      </c>
      <c r="BS162" s="10">
        <f t="shared" ca="1" si="1154"/>
        <v>0</v>
      </c>
      <c r="BT162" s="10">
        <f t="shared" ca="1" si="1154"/>
        <v>0</v>
      </c>
      <c r="BU162" s="10">
        <f t="shared" ca="1" si="1154"/>
        <v>0</v>
      </c>
      <c r="BV162" s="10">
        <f t="shared" ca="1" si="1154"/>
        <v>0</v>
      </c>
      <c r="BW162" s="10">
        <f t="shared" ca="1" si="1154"/>
        <v>0</v>
      </c>
      <c r="BX162" s="10">
        <f t="shared" ref="BX162:CO162" ca="1" si="1155" xml:space="preserve"> BX129 * CAPEX_Accumulated_From_Date</f>
        <v>0</v>
      </c>
      <c r="BY162" s="10">
        <f t="shared" ca="1" si="1155"/>
        <v>0</v>
      </c>
      <c r="BZ162" s="10">
        <f t="shared" ca="1" si="1155"/>
        <v>0</v>
      </c>
      <c r="CA162" s="10">
        <f t="shared" ca="1" si="1155"/>
        <v>0</v>
      </c>
      <c r="CB162" s="10">
        <f t="shared" ca="1" si="1155"/>
        <v>0</v>
      </c>
      <c r="CC162" s="10">
        <f t="shared" ca="1" si="1155"/>
        <v>0</v>
      </c>
      <c r="CD162" s="10">
        <f t="shared" ca="1" si="1155"/>
        <v>0</v>
      </c>
      <c r="CE162" s="10">
        <f t="shared" ca="1" si="1155"/>
        <v>0</v>
      </c>
      <c r="CF162" s="10">
        <f t="shared" ca="1" si="1155"/>
        <v>0</v>
      </c>
      <c r="CG162" s="10">
        <f t="shared" ca="1" si="1155"/>
        <v>0</v>
      </c>
      <c r="CH162" s="10">
        <f t="shared" ca="1" si="1155"/>
        <v>0</v>
      </c>
      <c r="CI162" s="10">
        <f t="shared" ca="1" si="1155"/>
        <v>0</v>
      </c>
      <c r="CJ162" s="10">
        <f t="shared" ca="1" si="1155"/>
        <v>0</v>
      </c>
      <c r="CK162" s="10">
        <f t="shared" ca="1" si="1155"/>
        <v>0</v>
      </c>
      <c r="CL162" s="10">
        <f t="shared" ca="1" si="1155"/>
        <v>0</v>
      </c>
      <c r="CM162" s="10">
        <f t="shared" ca="1" si="1155"/>
        <v>0</v>
      </c>
      <c r="CN162" s="10">
        <f t="shared" ca="1" si="1155"/>
        <v>0</v>
      </c>
      <c r="CO162" s="10">
        <f t="shared" ca="1" si="1155"/>
        <v>0</v>
      </c>
    </row>
    <row r="163" spans="1:94" ht="15" thickTop="1">
      <c r="A163" s="77"/>
      <c r="B163" s="101"/>
      <c r="C163" s="49" t="s">
        <v>858</v>
      </c>
      <c r="D163" s="49"/>
      <c r="E163" s="136"/>
      <c r="F163" s="49"/>
      <c r="G163" s="159" t="str">
        <f xml:space="preserve"> Monetary_Unit</f>
        <v>тыс. руб.</v>
      </c>
      <c r="H163" s="49"/>
      <c r="I163" s="23">
        <f ca="1">SUM(L163:CO163)</f>
        <v>27774.797642991573</v>
      </c>
      <c r="J163" s="49"/>
      <c r="K163" s="49"/>
      <c r="L163" s="49">
        <f t="shared" ref="L163:R163" ca="1" si="1156" xml:space="preserve"> SUM(L159:L162)</f>
        <v>232.91999784273011</v>
      </c>
      <c r="M163" s="49">
        <f t="shared" ca="1" si="1156"/>
        <v>236.22627098779674</v>
      </c>
      <c r="N163" s="49">
        <f t="shared" ca="1" si="1156"/>
        <v>239.57947630790645</v>
      </c>
      <c r="O163" s="49">
        <f t="shared" ca="1" si="1156"/>
        <v>242.98027999999991</v>
      </c>
      <c r="P163" s="49">
        <f t="shared" ca="1" si="1156"/>
        <v>1944.1207491283758</v>
      </c>
      <c r="Q163" s="49">
        <f t="shared" ca="1" si="1156"/>
        <v>1963.2769612498234</v>
      </c>
      <c r="R163" s="49">
        <f t="shared" ca="1" si="1156"/>
        <v>1982.6219273172421</v>
      </c>
      <c r="S163" s="49">
        <f t="shared" ref="S163" ca="1" si="1157" xml:space="preserve"> SUM(S159:S162)</f>
        <v>2002.1575071999982</v>
      </c>
      <c r="T163" s="49">
        <f t="shared" ref="T163:CE163" ca="1" si="1158" xml:space="preserve"> SUM(T159:T162)</f>
        <v>2021.8855790935104</v>
      </c>
      <c r="U163" s="49">
        <f t="shared" ca="1" si="1158"/>
        <v>2041.8080396998159</v>
      </c>
      <c r="V163" s="49">
        <f t="shared" ca="1" si="1158"/>
        <v>2061.9268044099308</v>
      </c>
      <c r="W163" s="49">
        <f t="shared" ca="1" si="1158"/>
        <v>2082.2438074879983</v>
      </c>
      <c r="X163" s="49">
        <f t="shared" ca="1" si="1158"/>
        <v>2102.7610022572499</v>
      </c>
      <c r="Y163" s="49">
        <f t="shared" ca="1" si="1158"/>
        <v>2123.4803612878081</v>
      </c>
      <c r="Z163" s="49">
        <f t="shared" ca="1" si="1158"/>
        <v>2144.4038765863284</v>
      </c>
      <c r="AA163" s="49">
        <f t="shared" ca="1" si="1158"/>
        <v>2165.5335597875178</v>
      </c>
      <c r="AB163" s="49">
        <f t="shared" ca="1" si="1158"/>
        <v>2186.871442347538</v>
      </c>
      <c r="AC163" s="49">
        <f t="shared" ca="1" si="1158"/>
        <v>0</v>
      </c>
      <c r="AD163" s="49">
        <f t="shared" ca="1" si="1158"/>
        <v>0</v>
      </c>
      <c r="AE163" s="49">
        <f t="shared" ca="1" si="1158"/>
        <v>0</v>
      </c>
      <c r="AF163" s="49">
        <f t="shared" ca="1" si="1158"/>
        <v>0</v>
      </c>
      <c r="AG163" s="49">
        <f t="shared" ca="1" si="1158"/>
        <v>0</v>
      </c>
      <c r="AH163" s="49">
        <f t="shared" ca="1" si="1158"/>
        <v>0</v>
      </c>
      <c r="AI163" s="49">
        <f t="shared" ca="1" si="1158"/>
        <v>0</v>
      </c>
      <c r="AJ163" s="49">
        <f t="shared" ca="1" si="1158"/>
        <v>0</v>
      </c>
      <c r="AK163" s="49">
        <f t="shared" ca="1" si="1158"/>
        <v>0</v>
      </c>
      <c r="AL163" s="49">
        <f t="shared" ca="1" si="1158"/>
        <v>0</v>
      </c>
      <c r="AM163" s="49">
        <f t="shared" ca="1" si="1158"/>
        <v>0</v>
      </c>
      <c r="AN163" s="49">
        <f t="shared" ca="1" si="1158"/>
        <v>0</v>
      </c>
      <c r="AO163" s="49">
        <f t="shared" ca="1" si="1158"/>
        <v>0</v>
      </c>
      <c r="AP163" s="49">
        <f t="shared" ca="1" si="1158"/>
        <v>0</v>
      </c>
      <c r="AQ163" s="49">
        <f t="shared" ca="1" si="1158"/>
        <v>0</v>
      </c>
      <c r="AR163" s="49">
        <f t="shared" ca="1" si="1158"/>
        <v>0</v>
      </c>
      <c r="AS163" s="49">
        <f t="shared" ca="1" si="1158"/>
        <v>0</v>
      </c>
      <c r="AT163" s="49">
        <f t="shared" ca="1" si="1158"/>
        <v>0</v>
      </c>
      <c r="AU163" s="49">
        <f t="shared" ca="1" si="1158"/>
        <v>0</v>
      </c>
      <c r="AV163" s="49">
        <f t="shared" ca="1" si="1158"/>
        <v>0</v>
      </c>
      <c r="AW163" s="49">
        <f t="shared" ca="1" si="1158"/>
        <v>0</v>
      </c>
      <c r="AX163" s="49">
        <f t="shared" ca="1" si="1158"/>
        <v>0</v>
      </c>
      <c r="AY163" s="49">
        <f t="shared" ca="1" si="1158"/>
        <v>0</v>
      </c>
      <c r="AZ163" s="49">
        <f t="shared" ca="1" si="1158"/>
        <v>0</v>
      </c>
      <c r="BA163" s="49">
        <f t="shared" ca="1" si="1158"/>
        <v>0</v>
      </c>
      <c r="BB163" s="49">
        <f t="shared" ca="1" si="1158"/>
        <v>0</v>
      </c>
      <c r="BC163" s="49">
        <f t="shared" ca="1" si="1158"/>
        <v>0</v>
      </c>
      <c r="BD163" s="49">
        <f t="shared" ca="1" si="1158"/>
        <v>0</v>
      </c>
      <c r="BE163" s="49">
        <f t="shared" ca="1" si="1158"/>
        <v>0</v>
      </c>
      <c r="BF163" s="49">
        <f t="shared" ca="1" si="1158"/>
        <v>0</v>
      </c>
      <c r="BG163" s="49">
        <f t="shared" ca="1" si="1158"/>
        <v>0</v>
      </c>
      <c r="BH163" s="49">
        <f t="shared" ca="1" si="1158"/>
        <v>0</v>
      </c>
      <c r="BI163" s="49">
        <f t="shared" ca="1" si="1158"/>
        <v>0</v>
      </c>
      <c r="BJ163" s="49">
        <f t="shared" ca="1" si="1158"/>
        <v>0</v>
      </c>
      <c r="BK163" s="49">
        <f t="shared" ca="1" si="1158"/>
        <v>0</v>
      </c>
      <c r="BL163" s="49">
        <f t="shared" ca="1" si="1158"/>
        <v>0</v>
      </c>
      <c r="BM163" s="49">
        <f t="shared" ca="1" si="1158"/>
        <v>0</v>
      </c>
      <c r="BN163" s="49">
        <f t="shared" ca="1" si="1158"/>
        <v>0</v>
      </c>
      <c r="BO163" s="49">
        <f t="shared" ca="1" si="1158"/>
        <v>0</v>
      </c>
      <c r="BP163" s="49">
        <f t="shared" ca="1" si="1158"/>
        <v>0</v>
      </c>
      <c r="BQ163" s="49">
        <f t="shared" ca="1" si="1158"/>
        <v>0</v>
      </c>
      <c r="BR163" s="49">
        <f t="shared" ca="1" si="1158"/>
        <v>0</v>
      </c>
      <c r="BS163" s="49">
        <f t="shared" ca="1" si="1158"/>
        <v>0</v>
      </c>
      <c r="BT163" s="49">
        <f t="shared" ca="1" si="1158"/>
        <v>0</v>
      </c>
      <c r="BU163" s="49">
        <f t="shared" ca="1" si="1158"/>
        <v>0</v>
      </c>
      <c r="BV163" s="49">
        <f t="shared" ca="1" si="1158"/>
        <v>0</v>
      </c>
      <c r="BW163" s="49">
        <f t="shared" ca="1" si="1158"/>
        <v>0</v>
      </c>
      <c r="BX163" s="49">
        <f t="shared" ca="1" si="1158"/>
        <v>0</v>
      </c>
      <c r="BY163" s="49">
        <f t="shared" ca="1" si="1158"/>
        <v>0</v>
      </c>
      <c r="BZ163" s="49">
        <f t="shared" ca="1" si="1158"/>
        <v>0</v>
      </c>
      <c r="CA163" s="49">
        <f t="shared" ca="1" si="1158"/>
        <v>0</v>
      </c>
      <c r="CB163" s="49">
        <f t="shared" ca="1" si="1158"/>
        <v>0</v>
      </c>
      <c r="CC163" s="49">
        <f t="shared" ca="1" si="1158"/>
        <v>0</v>
      </c>
      <c r="CD163" s="49">
        <f t="shared" ca="1" si="1158"/>
        <v>0</v>
      </c>
      <c r="CE163" s="49">
        <f t="shared" ca="1" si="1158"/>
        <v>0</v>
      </c>
      <c r="CF163" s="49">
        <f t="shared" ref="CF163:CO163" ca="1" si="1159" xml:space="preserve"> SUM(CF159:CF162)</f>
        <v>0</v>
      </c>
      <c r="CG163" s="49">
        <f t="shared" ca="1" si="1159"/>
        <v>0</v>
      </c>
      <c r="CH163" s="49">
        <f t="shared" ca="1" si="1159"/>
        <v>0</v>
      </c>
      <c r="CI163" s="49">
        <f t="shared" ca="1" si="1159"/>
        <v>0</v>
      </c>
      <c r="CJ163" s="49">
        <f t="shared" ca="1" si="1159"/>
        <v>0</v>
      </c>
      <c r="CK163" s="49">
        <f t="shared" ca="1" si="1159"/>
        <v>0</v>
      </c>
      <c r="CL163" s="49">
        <f t="shared" ca="1" si="1159"/>
        <v>0</v>
      </c>
      <c r="CM163" s="49">
        <f t="shared" ca="1" si="1159"/>
        <v>0</v>
      </c>
      <c r="CN163" s="49">
        <f t="shared" ca="1" si="1159"/>
        <v>0</v>
      </c>
      <c r="CO163" s="49">
        <f t="shared" ca="1" si="1159"/>
        <v>0</v>
      </c>
    </row>
    <row r="164" spans="1:94">
      <c r="A164" s="9"/>
      <c r="B164" s="168"/>
      <c r="C164" s="169"/>
      <c r="D164" s="10"/>
      <c r="E164" s="62"/>
      <c r="F164" s="11"/>
      <c r="G164" s="11"/>
      <c r="H164" s="10"/>
      <c r="I164" s="10" t="str">
        <f ca="1">IF(IFERROR(I163=Предпосылки!H181*I107*$I$104,I163=0),"")</f>
        <v/>
      </c>
      <c r="J164" s="10"/>
      <c r="K164" s="10"/>
      <c r="L164" s="170"/>
      <c r="M164" s="170"/>
      <c r="N164" s="170"/>
      <c r="O164" s="170"/>
      <c r="P164" s="170"/>
      <c r="Q164" s="170"/>
      <c r="R164" s="170"/>
      <c r="S164" s="170"/>
      <c r="T164" s="170"/>
      <c r="U164" s="170"/>
      <c r="V164" s="170"/>
      <c r="W164" s="170"/>
      <c r="X164" s="170"/>
      <c r="Y164" s="170"/>
      <c r="Z164" s="170"/>
      <c r="AA164" s="170"/>
      <c r="AB164" s="170"/>
      <c r="AC164" s="170"/>
      <c r="AD164" s="170"/>
      <c r="AE164" s="170"/>
      <c r="AF164" s="170"/>
      <c r="AG164" s="170"/>
      <c r="AH164" s="170"/>
      <c r="AI164" s="170"/>
      <c r="AJ164" s="170"/>
      <c r="AK164" s="170"/>
      <c r="AL164" s="170"/>
      <c r="AM164" s="170"/>
      <c r="AN164" s="170"/>
      <c r="AO164" s="170"/>
      <c r="AP164" s="170"/>
      <c r="AQ164" s="170"/>
      <c r="AR164" s="170"/>
      <c r="AS164" s="170"/>
      <c r="AT164" s="170"/>
      <c r="AU164" s="170"/>
      <c r="AV164" s="170"/>
      <c r="AW164" s="170"/>
      <c r="AX164" s="170"/>
      <c r="AY164" s="170"/>
      <c r="AZ164" s="170"/>
      <c r="BA164" s="170"/>
      <c r="BB164" s="170"/>
      <c r="BC164" s="170"/>
      <c r="BD164" s="170"/>
      <c r="BE164" s="170"/>
      <c r="BF164" s="170"/>
      <c r="BG164" s="170"/>
      <c r="BH164" s="170"/>
      <c r="BI164" s="170"/>
      <c r="BJ164" s="170"/>
      <c r="BK164" s="170"/>
      <c r="BL164" s="170"/>
      <c r="BM164" s="170"/>
      <c r="BN164" s="170"/>
      <c r="BO164" s="170"/>
      <c r="BP164" s="170"/>
      <c r="BQ164" s="170"/>
      <c r="BR164" s="170"/>
      <c r="BS164" s="170"/>
      <c r="BT164" s="170"/>
      <c r="BU164" s="170"/>
      <c r="BV164" s="170"/>
      <c r="BW164" s="170"/>
      <c r="BX164" s="170"/>
      <c r="BY164" s="170"/>
      <c r="BZ164" s="170"/>
      <c r="CA164" s="170"/>
      <c r="CB164" s="170"/>
      <c r="CC164" s="170"/>
      <c r="CD164" s="170"/>
      <c r="CE164" s="170"/>
      <c r="CF164" s="170"/>
      <c r="CG164" s="170"/>
      <c r="CH164" s="170"/>
      <c r="CI164" s="170"/>
      <c r="CJ164" s="170"/>
      <c r="CK164" s="170"/>
      <c r="CL164" s="170"/>
      <c r="CM164" s="170"/>
      <c r="CN164" s="170"/>
      <c r="CO164" s="170"/>
    </row>
    <row r="165" spans="1:94">
      <c r="A165" s="9"/>
      <c r="B165" s="168"/>
      <c r="C165" s="87" t="str">
        <f>C132</f>
        <v>Затраты на создание объектов Коммунальная инфраструктура</v>
      </c>
      <c r="D165" s="10"/>
      <c r="E165" s="62"/>
      <c r="F165" s="11"/>
      <c r="G165" s="11"/>
      <c r="H165" s="10"/>
      <c r="I165" s="10"/>
      <c r="J165" s="10"/>
      <c r="K165" s="10"/>
      <c r="L165" s="170"/>
      <c r="M165" s="170"/>
      <c r="N165" s="170"/>
      <c r="O165" s="170"/>
      <c r="P165" s="170"/>
      <c r="Q165" s="170"/>
      <c r="R165" s="170"/>
      <c r="S165" s="170"/>
      <c r="T165" s="170"/>
      <c r="U165" s="170"/>
      <c r="V165" s="170"/>
      <c r="W165" s="170"/>
      <c r="X165" s="170"/>
      <c r="Y165" s="170"/>
      <c r="Z165" s="170"/>
      <c r="AA165" s="170"/>
      <c r="AB165" s="170"/>
      <c r="AC165" s="170"/>
      <c r="AD165" s="170"/>
      <c r="AE165" s="170"/>
      <c r="AF165" s="170"/>
      <c r="AG165" s="170"/>
      <c r="AH165" s="170"/>
      <c r="AI165" s="170"/>
      <c r="AJ165" s="170"/>
      <c r="AK165" s="170"/>
      <c r="AL165" s="170"/>
      <c r="AM165" s="170"/>
      <c r="AN165" s="170"/>
      <c r="AO165" s="170"/>
      <c r="AP165" s="170"/>
      <c r="AQ165" s="170"/>
      <c r="AR165" s="170"/>
      <c r="AS165" s="170"/>
      <c r="AT165" s="170"/>
      <c r="AU165" s="170"/>
      <c r="AV165" s="170"/>
      <c r="AW165" s="170"/>
      <c r="AX165" s="170"/>
      <c r="AY165" s="170"/>
      <c r="AZ165" s="170"/>
      <c r="BA165" s="170"/>
      <c r="BB165" s="170"/>
      <c r="BC165" s="170"/>
      <c r="BD165" s="170"/>
      <c r="BE165" s="170"/>
      <c r="BF165" s="170"/>
      <c r="BG165" s="170"/>
      <c r="BH165" s="170"/>
      <c r="BI165" s="170"/>
      <c r="BJ165" s="170"/>
      <c r="BK165" s="170"/>
      <c r="BL165" s="170"/>
      <c r="BM165" s="170"/>
      <c r="BN165" s="170"/>
      <c r="BO165" s="170"/>
      <c r="BP165" s="170"/>
      <c r="BQ165" s="170"/>
      <c r="BR165" s="170"/>
      <c r="BS165" s="170"/>
      <c r="BT165" s="170"/>
      <c r="BU165" s="170"/>
      <c r="BV165" s="170"/>
      <c r="BW165" s="170"/>
      <c r="BX165" s="170"/>
      <c r="BY165" s="170"/>
      <c r="BZ165" s="170"/>
      <c r="CA165" s="170"/>
      <c r="CB165" s="170"/>
      <c r="CC165" s="170"/>
      <c r="CD165" s="170"/>
      <c r="CE165" s="170"/>
      <c r="CF165" s="170"/>
      <c r="CG165" s="170"/>
      <c r="CH165" s="170"/>
      <c r="CI165" s="170"/>
      <c r="CJ165" s="170"/>
      <c r="CK165" s="170"/>
      <c r="CL165" s="170"/>
      <c r="CM165" s="170"/>
      <c r="CN165" s="170"/>
      <c r="CO165" s="170"/>
    </row>
    <row r="166" spans="1:94">
      <c r="A166" s="9"/>
      <c r="B166" s="168"/>
      <c r="C166" s="17" t="s">
        <v>632</v>
      </c>
      <c r="D166" s="10"/>
      <c r="E166" s="62"/>
      <c r="F166" s="11"/>
      <c r="G166" s="11" t="str">
        <f>Monetary_Unit</f>
        <v>тыс. руб.</v>
      </c>
      <c r="H166" s="10"/>
      <c r="I166" s="23">
        <f ca="1">SUM(L166:CO166)</f>
        <v>0</v>
      </c>
      <c r="J166" s="10"/>
      <c r="K166" s="10"/>
      <c r="L166" s="10">
        <f t="shared" ref="L166:AQ166" ca="1" si="1160" xml:space="preserve"> L138 * CAPEX_Accumulated_From_Date</f>
        <v>0</v>
      </c>
      <c r="M166" s="10">
        <f t="shared" ca="1" si="1160"/>
        <v>0</v>
      </c>
      <c r="N166" s="10">
        <f t="shared" ca="1" si="1160"/>
        <v>0</v>
      </c>
      <c r="O166" s="10">
        <f t="shared" ca="1" si="1160"/>
        <v>0</v>
      </c>
      <c r="P166" s="10">
        <f t="shared" ca="1" si="1160"/>
        <v>0</v>
      </c>
      <c r="Q166" s="10">
        <f t="shared" ca="1" si="1160"/>
        <v>0</v>
      </c>
      <c r="R166" s="10">
        <f t="shared" ca="1" si="1160"/>
        <v>0</v>
      </c>
      <c r="S166" s="10">
        <f t="shared" ca="1" si="1160"/>
        <v>0</v>
      </c>
      <c r="T166" s="10">
        <f t="shared" ca="1" si="1160"/>
        <v>0</v>
      </c>
      <c r="U166" s="10">
        <f t="shared" ca="1" si="1160"/>
        <v>0</v>
      </c>
      <c r="V166" s="10">
        <f t="shared" ca="1" si="1160"/>
        <v>0</v>
      </c>
      <c r="W166" s="10">
        <f t="shared" ca="1" si="1160"/>
        <v>0</v>
      </c>
      <c r="X166" s="10">
        <f t="shared" ca="1" si="1160"/>
        <v>0</v>
      </c>
      <c r="Y166" s="10">
        <f t="shared" ca="1" si="1160"/>
        <v>0</v>
      </c>
      <c r="Z166" s="10">
        <f t="shared" ca="1" si="1160"/>
        <v>0</v>
      </c>
      <c r="AA166" s="10">
        <f t="shared" ca="1" si="1160"/>
        <v>0</v>
      </c>
      <c r="AB166" s="10">
        <f t="shared" ca="1" si="1160"/>
        <v>0</v>
      </c>
      <c r="AC166" s="10">
        <f t="shared" ca="1" si="1160"/>
        <v>0</v>
      </c>
      <c r="AD166" s="10">
        <f t="shared" ca="1" si="1160"/>
        <v>0</v>
      </c>
      <c r="AE166" s="10">
        <f t="shared" ca="1" si="1160"/>
        <v>0</v>
      </c>
      <c r="AF166" s="10">
        <f t="shared" ca="1" si="1160"/>
        <v>0</v>
      </c>
      <c r="AG166" s="10">
        <f t="shared" ca="1" si="1160"/>
        <v>0</v>
      </c>
      <c r="AH166" s="10">
        <f t="shared" ca="1" si="1160"/>
        <v>0</v>
      </c>
      <c r="AI166" s="10">
        <f t="shared" ca="1" si="1160"/>
        <v>0</v>
      </c>
      <c r="AJ166" s="10">
        <f t="shared" ca="1" si="1160"/>
        <v>0</v>
      </c>
      <c r="AK166" s="10">
        <f t="shared" ca="1" si="1160"/>
        <v>0</v>
      </c>
      <c r="AL166" s="10">
        <f t="shared" ca="1" si="1160"/>
        <v>0</v>
      </c>
      <c r="AM166" s="10">
        <f t="shared" ca="1" si="1160"/>
        <v>0</v>
      </c>
      <c r="AN166" s="10">
        <f t="shared" ca="1" si="1160"/>
        <v>0</v>
      </c>
      <c r="AO166" s="10">
        <f t="shared" ca="1" si="1160"/>
        <v>0</v>
      </c>
      <c r="AP166" s="10">
        <f t="shared" ca="1" si="1160"/>
        <v>0</v>
      </c>
      <c r="AQ166" s="10">
        <f t="shared" ca="1" si="1160"/>
        <v>0</v>
      </c>
      <c r="AR166" s="10">
        <f t="shared" ref="AR166:BW166" ca="1" si="1161" xml:space="preserve"> AR138 * CAPEX_Accumulated_From_Date</f>
        <v>0</v>
      </c>
      <c r="AS166" s="10">
        <f t="shared" ca="1" si="1161"/>
        <v>0</v>
      </c>
      <c r="AT166" s="10">
        <f t="shared" ca="1" si="1161"/>
        <v>0</v>
      </c>
      <c r="AU166" s="10">
        <f t="shared" ca="1" si="1161"/>
        <v>0</v>
      </c>
      <c r="AV166" s="10">
        <f t="shared" ca="1" si="1161"/>
        <v>0</v>
      </c>
      <c r="AW166" s="10">
        <f t="shared" ca="1" si="1161"/>
        <v>0</v>
      </c>
      <c r="AX166" s="10">
        <f t="shared" ca="1" si="1161"/>
        <v>0</v>
      </c>
      <c r="AY166" s="10">
        <f t="shared" ca="1" si="1161"/>
        <v>0</v>
      </c>
      <c r="AZ166" s="10">
        <f t="shared" ca="1" si="1161"/>
        <v>0</v>
      </c>
      <c r="BA166" s="10">
        <f t="shared" ca="1" si="1161"/>
        <v>0</v>
      </c>
      <c r="BB166" s="10">
        <f t="shared" ca="1" si="1161"/>
        <v>0</v>
      </c>
      <c r="BC166" s="10">
        <f t="shared" ca="1" si="1161"/>
        <v>0</v>
      </c>
      <c r="BD166" s="10">
        <f t="shared" ca="1" si="1161"/>
        <v>0</v>
      </c>
      <c r="BE166" s="10">
        <f t="shared" ca="1" si="1161"/>
        <v>0</v>
      </c>
      <c r="BF166" s="10">
        <f t="shared" ca="1" si="1161"/>
        <v>0</v>
      </c>
      <c r="BG166" s="10">
        <f t="shared" ca="1" si="1161"/>
        <v>0</v>
      </c>
      <c r="BH166" s="10">
        <f t="shared" ca="1" si="1161"/>
        <v>0</v>
      </c>
      <c r="BI166" s="10">
        <f t="shared" ca="1" si="1161"/>
        <v>0</v>
      </c>
      <c r="BJ166" s="10">
        <f t="shared" ca="1" si="1161"/>
        <v>0</v>
      </c>
      <c r="BK166" s="10">
        <f t="shared" ca="1" si="1161"/>
        <v>0</v>
      </c>
      <c r="BL166" s="10">
        <f t="shared" ca="1" si="1161"/>
        <v>0</v>
      </c>
      <c r="BM166" s="10">
        <f t="shared" ca="1" si="1161"/>
        <v>0</v>
      </c>
      <c r="BN166" s="10">
        <f t="shared" ca="1" si="1161"/>
        <v>0</v>
      </c>
      <c r="BO166" s="10">
        <f t="shared" ca="1" si="1161"/>
        <v>0</v>
      </c>
      <c r="BP166" s="10">
        <f t="shared" ca="1" si="1161"/>
        <v>0</v>
      </c>
      <c r="BQ166" s="10">
        <f t="shared" ca="1" si="1161"/>
        <v>0</v>
      </c>
      <c r="BR166" s="10">
        <f t="shared" ca="1" si="1161"/>
        <v>0</v>
      </c>
      <c r="BS166" s="10">
        <f t="shared" ca="1" si="1161"/>
        <v>0</v>
      </c>
      <c r="BT166" s="10">
        <f t="shared" ca="1" si="1161"/>
        <v>0</v>
      </c>
      <c r="BU166" s="10">
        <f t="shared" ca="1" si="1161"/>
        <v>0</v>
      </c>
      <c r="BV166" s="10">
        <f t="shared" ca="1" si="1161"/>
        <v>0</v>
      </c>
      <c r="BW166" s="10">
        <f t="shared" ca="1" si="1161"/>
        <v>0</v>
      </c>
      <c r="BX166" s="10">
        <f t="shared" ref="BX166:CO166" ca="1" si="1162" xml:space="preserve"> BX138 * CAPEX_Accumulated_From_Date</f>
        <v>0</v>
      </c>
      <c r="BY166" s="10">
        <f t="shared" ca="1" si="1162"/>
        <v>0</v>
      </c>
      <c r="BZ166" s="10">
        <f t="shared" ca="1" si="1162"/>
        <v>0</v>
      </c>
      <c r="CA166" s="10">
        <f t="shared" ca="1" si="1162"/>
        <v>0</v>
      </c>
      <c r="CB166" s="10">
        <f t="shared" ca="1" si="1162"/>
        <v>0</v>
      </c>
      <c r="CC166" s="10">
        <f t="shared" ca="1" si="1162"/>
        <v>0</v>
      </c>
      <c r="CD166" s="10">
        <f t="shared" ca="1" si="1162"/>
        <v>0</v>
      </c>
      <c r="CE166" s="10">
        <f t="shared" ca="1" si="1162"/>
        <v>0</v>
      </c>
      <c r="CF166" s="10">
        <f t="shared" ca="1" si="1162"/>
        <v>0</v>
      </c>
      <c r="CG166" s="10">
        <f t="shared" ca="1" si="1162"/>
        <v>0</v>
      </c>
      <c r="CH166" s="10">
        <f t="shared" ca="1" si="1162"/>
        <v>0</v>
      </c>
      <c r="CI166" s="10">
        <f t="shared" ca="1" si="1162"/>
        <v>0</v>
      </c>
      <c r="CJ166" s="10">
        <f t="shared" ca="1" si="1162"/>
        <v>0</v>
      </c>
      <c r="CK166" s="10">
        <f t="shared" ca="1" si="1162"/>
        <v>0</v>
      </c>
      <c r="CL166" s="10">
        <f t="shared" ca="1" si="1162"/>
        <v>0</v>
      </c>
      <c r="CM166" s="10">
        <f t="shared" ca="1" si="1162"/>
        <v>0</v>
      </c>
      <c r="CN166" s="10">
        <f t="shared" ca="1" si="1162"/>
        <v>0</v>
      </c>
      <c r="CO166" s="10">
        <f t="shared" ca="1" si="1162"/>
        <v>0</v>
      </c>
    </row>
    <row r="167" spans="1:94">
      <c r="A167" s="9"/>
      <c r="B167" s="168"/>
      <c r="C167" s="17" t="s">
        <v>634</v>
      </c>
      <c r="D167" s="10"/>
      <c r="E167" s="62"/>
      <c r="F167" s="11"/>
      <c r="G167" s="11" t="str">
        <f>Monetary_Unit</f>
        <v>тыс. руб.</v>
      </c>
      <c r="H167" s="10"/>
      <c r="I167" s="23">
        <f ca="1">SUM(L167:CO167)</f>
        <v>0</v>
      </c>
      <c r="J167" s="10"/>
      <c r="K167" s="10"/>
      <c r="L167" s="10">
        <f t="shared" ref="L167:AQ167" ca="1" si="1163" xml:space="preserve"> L139 * CAPEX_Accumulated_From_Date</f>
        <v>0</v>
      </c>
      <c r="M167" s="10">
        <f t="shared" ca="1" si="1163"/>
        <v>0</v>
      </c>
      <c r="N167" s="10">
        <f t="shared" ca="1" si="1163"/>
        <v>0</v>
      </c>
      <c r="O167" s="10">
        <f t="shared" ca="1" si="1163"/>
        <v>0</v>
      </c>
      <c r="P167" s="10">
        <f t="shared" ca="1" si="1163"/>
        <v>0</v>
      </c>
      <c r="Q167" s="10">
        <f t="shared" ca="1" si="1163"/>
        <v>0</v>
      </c>
      <c r="R167" s="10">
        <f t="shared" ca="1" si="1163"/>
        <v>0</v>
      </c>
      <c r="S167" s="10">
        <f t="shared" ca="1" si="1163"/>
        <v>0</v>
      </c>
      <c r="T167" s="10">
        <f t="shared" ca="1" si="1163"/>
        <v>0</v>
      </c>
      <c r="U167" s="10">
        <f t="shared" ca="1" si="1163"/>
        <v>0</v>
      </c>
      <c r="V167" s="10">
        <f t="shared" ca="1" si="1163"/>
        <v>0</v>
      </c>
      <c r="W167" s="10">
        <f t="shared" ca="1" si="1163"/>
        <v>0</v>
      </c>
      <c r="X167" s="10">
        <f t="shared" ca="1" si="1163"/>
        <v>0</v>
      </c>
      <c r="Y167" s="10">
        <f t="shared" ca="1" si="1163"/>
        <v>0</v>
      </c>
      <c r="Z167" s="10">
        <f t="shared" ca="1" si="1163"/>
        <v>0</v>
      </c>
      <c r="AA167" s="10">
        <f t="shared" ca="1" si="1163"/>
        <v>0</v>
      </c>
      <c r="AB167" s="10">
        <f t="shared" ca="1" si="1163"/>
        <v>0</v>
      </c>
      <c r="AC167" s="10">
        <f t="shared" ca="1" si="1163"/>
        <v>0</v>
      </c>
      <c r="AD167" s="10">
        <f t="shared" ca="1" si="1163"/>
        <v>0</v>
      </c>
      <c r="AE167" s="10">
        <f t="shared" ca="1" si="1163"/>
        <v>0</v>
      </c>
      <c r="AF167" s="10">
        <f t="shared" ca="1" si="1163"/>
        <v>0</v>
      </c>
      <c r="AG167" s="10">
        <f t="shared" ca="1" si="1163"/>
        <v>0</v>
      </c>
      <c r="AH167" s="10">
        <f t="shared" ca="1" si="1163"/>
        <v>0</v>
      </c>
      <c r="AI167" s="10">
        <f t="shared" ca="1" si="1163"/>
        <v>0</v>
      </c>
      <c r="AJ167" s="10">
        <f t="shared" ca="1" si="1163"/>
        <v>0</v>
      </c>
      <c r="AK167" s="10">
        <f t="shared" ca="1" si="1163"/>
        <v>0</v>
      </c>
      <c r="AL167" s="10">
        <f t="shared" ca="1" si="1163"/>
        <v>0</v>
      </c>
      <c r="AM167" s="10">
        <f t="shared" ca="1" si="1163"/>
        <v>0</v>
      </c>
      <c r="AN167" s="10">
        <f t="shared" ca="1" si="1163"/>
        <v>0</v>
      </c>
      <c r="AO167" s="10">
        <f t="shared" ca="1" si="1163"/>
        <v>0</v>
      </c>
      <c r="AP167" s="10">
        <f t="shared" ca="1" si="1163"/>
        <v>0</v>
      </c>
      <c r="AQ167" s="10">
        <f t="shared" ca="1" si="1163"/>
        <v>0</v>
      </c>
      <c r="AR167" s="10">
        <f t="shared" ref="AR167:BW167" ca="1" si="1164" xml:space="preserve"> AR139 * CAPEX_Accumulated_From_Date</f>
        <v>0</v>
      </c>
      <c r="AS167" s="10">
        <f t="shared" ca="1" si="1164"/>
        <v>0</v>
      </c>
      <c r="AT167" s="10">
        <f t="shared" ca="1" si="1164"/>
        <v>0</v>
      </c>
      <c r="AU167" s="10">
        <f t="shared" ca="1" si="1164"/>
        <v>0</v>
      </c>
      <c r="AV167" s="10">
        <f t="shared" ca="1" si="1164"/>
        <v>0</v>
      </c>
      <c r="AW167" s="10">
        <f t="shared" ca="1" si="1164"/>
        <v>0</v>
      </c>
      <c r="AX167" s="10">
        <f t="shared" ca="1" si="1164"/>
        <v>0</v>
      </c>
      <c r="AY167" s="10">
        <f t="shared" ca="1" si="1164"/>
        <v>0</v>
      </c>
      <c r="AZ167" s="10">
        <f t="shared" ca="1" si="1164"/>
        <v>0</v>
      </c>
      <c r="BA167" s="10">
        <f t="shared" ca="1" si="1164"/>
        <v>0</v>
      </c>
      <c r="BB167" s="10">
        <f t="shared" ca="1" si="1164"/>
        <v>0</v>
      </c>
      <c r="BC167" s="10">
        <f t="shared" ca="1" si="1164"/>
        <v>0</v>
      </c>
      <c r="BD167" s="10">
        <f t="shared" ca="1" si="1164"/>
        <v>0</v>
      </c>
      <c r="BE167" s="10">
        <f t="shared" ca="1" si="1164"/>
        <v>0</v>
      </c>
      <c r="BF167" s="10">
        <f t="shared" ca="1" si="1164"/>
        <v>0</v>
      </c>
      <c r="BG167" s="10">
        <f t="shared" ca="1" si="1164"/>
        <v>0</v>
      </c>
      <c r="BH167" s="10">
        <f t="shared" ca="1" si="1164"/>
        <v>0</v>
      </c>
      <c r="BI167" s="10">
        <f t="shared" ca="1" si="1164"/>
        <v>0</v>
      </c>
      <c r="BJ167" s="10">
        <f t="shared" ca="1" si="1164"/>
        <v>0</v>
      </c>
      <c r="BK167" s="10">
        <f t="shared" ca="1" si="1164"/>
        <v>0</v>
      </c>
      <c r="BL167" s="10">
        <f t="shared" ca="1" si="1164"/>
        <v>0</v>
      </c>
      <c r="BM167" s="10">
        <f t="shared" ca="1" si="1164"/>
        <v>0</v>
      </c>
      <c r="BN167" s="10">
        <f t="shared" ca="1" si="1164"/>
        <v>0</v>
      </c>
      <c r="BO167" s="10">
        <f t="shared" ca="1" si="1164"/>
        <v>0</v>
      </c>
      <c r="BP167" s="10">
        <f t="shared" ca="1" si="1164"/>
        <v>0</v>
      </c>
      <c r="BQ167" s="10">
        <f t="shared" ca="1" si="1164"/>
        <v>0</v>
      </c>
      <c r="BR167" s="10">
        <f t="shared" ca="1" si="1164"/>
        <v>0</v>
      </c>
      <c r="BS167" s="10">
        <f t="shared" ca="1" si="1164"/>
        <v>0</v>
      </c>
      <c r="BT167" s="10">
        <f t="shared" ca="1" si="1164"/>
        <v>0</v>
      </c>
      <c r="BU167" s="10">
        <f t="shared" ca="1" si="1164"/>
        <v>0</v>
      </c>
      <c r="BV167" s="10">
        <f t="shared" ca="1" si="1164"/>
        <v>0</v>
      </c>
      <c r="BW167" s="10">
        <f t="shared" ca="1" si="1164"/>
        <v>0</v>
      </c>
      <c r="BX167" s="10">
        <f t="shared" ref="BX167:CO167" ca="1" si="1165" xml:space="preserve"> BX139 * CAPEX_Accumulated_From_Date</f>
        <v>0</v>
      </c>
      <c r="BY167" s="10">
        <f t="shared" ca="1" si="1165"/>
        <v>0</v>
      </c>
      <c r="BZ167" s="10">
        <f t="shared" ca="1" si="1165"/>
        <v>0</v>
      </c>
      <c r="CA167" s="10">
        <f t="shared" ca="1" si="1165"/>
        <v>0</v>
      </c>
      <c r="CB167" s="10">
        <f t="shared" ca="1" si="1165"/>
        <v>0</v>
      </c>
      <c r="CC167" s="10">
        <f t="shared" ca="1" si="1165"/>
        <v>0</v>
      </c>
      <c r="CD167" s="10">
        <f t="shared" ca="1" si="1165"/>
        <v>0</v>
      </c>
      <c r="CE167" s="10">
        <f t="shared" ca="1" si="1165"/>
        <v>0</v>
      </c>
      <c r="CF167" s="10">
        <f t="shared" ca="1" si="1165"/>
        <v>0</v>
      </c>
      <c r="CG167" s="10">
        <f t="shared" ca="1" si="1165"/>
        <v>0</v>
      </c>
      <c r="CH167" s="10">
        <f t="shared" ca="1" si="1165"/>
        <v>0</v>
      </c>
      <c r="CI167" s="10">
        <f t="shared" ca="1" si="1165"/>
        <v>0</v>
      </c>
      <c r="CJ167" s="10">
        <f t="shared" ca="1" si="1165"/>
        <v>0</v>
      </c>
      <c r="CK167" s="10">
        <f t="shared" ca="1" si="1165"/>
        <v>0</v>
      </c>
      <c r="CL167" s="10">
        <f t="shared" ca="1" si="1165"/>
        <v>0</v>
      </c>
      <c r="CM167" s="10">
        <f t="shared" ca="1" si="1165"/>
        <v>0</v>
      </c>
      <c r="CN167" s="10">
        <f t="shared" ca="1" si="1165"/>
        <v>0</v>
      </c>
      <c r="CO167" s="10">
        <f t="shared" ca="1" si="1165"/>
        <v>0</v>
      </c>
    </row>
    <row r="168" spans="1:94">
      <c r="A168" s="9"/>
      <c r="B168" s="168"/>
      <c r="C168" s="17" t="s">
        <v>848</v>
      </c>
      <c r="D168" s="10"/>
      <c r="E168" s="62"/>
      <c r="F168" s="11"/>
      <c r="G168" s="11" t="str">
        <f>Monetary_Unit</f>
        <v>тыс. руб.</v>
      </c>
      <c r="H168" s="10"/>
      <c r="I168" s="23">
        <f ca="1">SUM(L168:CO168)</f>
        <v>0</v>
      </c>
      <c r="J168" s="10"/>
      <c r="K168" s="10"/>
      <c r="L168" s="10">
        <f t="shared" ref="L168:AQ168" ca="1" si="1166" xml:space="preserve"> L140 * CAPEX_Accumulated_From_Date</f>
        <v>0</v>
      </c>
      <c r="M168" s="10">
        <f t="shared" ca="1" si="1166"/>
        <v>0</v>
      </c>
      <c r="N168" s="10">
        <f t="shared" ca="1" si="1166"/>
        <v>0</v>
      </c>
      <c r="O168" s="10">
        <f t="shared" ca="1" si="1166"/>
        <v>0</v>
      </c>
      <c r="P168" s="10">
        <f t="shared" ca="1" si="1166"/>
        <v>0</v>
      </c>
      <c r="Q168" s="10">
        <f t="shared" ca="1" si="1166"/>
        <v>0</v>
      </c>
      <c r="R168" s="10">
        <f t="shared" ca="1" si="1166"/>
        <v>0</v>
      </c>
      <c r="S168" s="10">
        <f t="shared" ca="1" si="1166"/>
        <v>0</v>
      </c>
      <c r="T168" s="10">
        <f t="shared" ca="1" si="1166"/>
        <v>0</v>
      </c>
      <c r="U168" s="10">
        <f t="shared" ca="1" si="1166"/>
        <v>0</v>
      </c>
      <c r="V168" s="10">
        <f t="shared" ca="1" si="1166"/>
        <v>0</v>
      </c>
      <c r="W168" s="10">
        <f t="shared" ca="1" si="1166"/>
        <v>0</v>
      </c>
      <c r="X168" s="10">
        <f t="shared" ca="1" si="1166"/>
        <v>0</v>
      </c>
      <c r="Y168" s="10">
        <f t="shared" ca="1" si="1166"/>
        <v>0</v>
      </c>
      <c r="Z168" s="10">
        <f t="shared" ca="1" si="1166"/>
        <v>0</v>
      </c>
      <c r="AA168" s="10">
        <f t="shared" ca="1" si="1166"/>
        <v>0</v>
      </c>
      <c r="AB168" s="10">
        <f t="shared" ca="1" si="1166"/>
        <v>0</v>
      </c>
      <c r="AC168" s="10">
        <f t="shared" ca="1" si="1166"/>
        <v>0</v>
      </c>
      <c r="AD168" s="10">
        <f t="shared" ca="1" si="1166"/>
        <v>0</v>
      </c>
      <c r="AE168" s="10">
        <f t="shared" ca="1" si="1166"/>
        <v>0</v>
      </c>
      <c r="AF168" s="10">
        <f t="shared" ca="1" si="1166"/>
        <v>0</v>
      </c>
      <c r="AG168" s="10">
        <f t="shared" ca="1" si="1166"/>
        <v>0</v>
      </c>
      <c r="AH168" s="10">
        <f t="shared" ca="1" si="1166"/>
        <v>0</v>
      </c>
      <c r="AI168" s="10">
        <f t="shared" ca="1" si="1166"/>
        <v>0</v>
      </c>
      <c r="AJ168" s="10">
        <f t="shared" ca="1" si="1166"/>
        <v>0</v>
      </c>
      <c r="AK168" s="10">
        <f t="shared" ca="1" si="1166"/>
        <v>0</v>
      </c>
      <c r="AL168" s="10">
        <f t="shared" ca="1" si="1166"/>
        <v>0</v>
      </c>
      <c r="AM168" s="10">
        <f t="shared" ca="1" si="1166"/>
        <v>0</v>
      </c>
      <c r="AN168" s="10">
        <f t="shared" ca="1" si="1166"/>
        <v>0</v>
      </c>
      <c r="AO168" s="10">
        <f t="shared" ca="1" si="1166"/>
        <v>0</v>
      </c>
      <c r="AP168" s="10">
        <f t="shared" ca="1" si="1166"/>
        <v>0</v>
      </c>
      <c r="AQ168" s="10">
        <f t="shared" ca="1" si="1166"/>
        <v>0</v>
      </c>
      <c r="AR168" s="10">
        <f t="shared" ref="AR168:BW168" ca="1" si="1167" xml:space="preserve"> AR140 * CAPEX_Accumulated_From_Date</f>
        <v>0</v>
      </c>
      <c r="AS168" s="10">
        <f t="shared" ca="1" si="1167"/>
        <v>0</v>
      </c>
      <c r="AT168" s="10">
        <f t="shared" ca="1" si="1167"/>
        <v>0</v>
      </c>
      <c r="AU168" s="10">
        <f t="shared" ca="1" si="1167"/>
        <v>0</v>
      </c>
      <c r="AV168" s="10">
        <f t="shared" ca="1" si="1167"/>
        <v>0</v>
      </c>
      <c r="AW168" s="10">
        <f t="shared" ca="1" si="1167"/>
        <v>0</v>
      </c>
      <c r="AX168" s="10">
        <f t="shared" ca="1" si="1167"/>
        <v>0</v>
      </c>
      <c r="AY168" s="10">
        <f t="shared" ca="1" si="1167"/>
        <v>0</v>
      </c>
      <c r="AZ168" s="10">
        <f t="shared" ca="1" si="1167"/>
        <v>0</v>
      </c>
      <c r="BA168" s="10">
        <f t="shared" ca="1" si="1167"/>
        <v>0</v>
      </c>
      <c r="BB168" s="10">
        <f t="shared" ca="1" si="1167"/>
        <v>0</v>
      </c>
      <c r="BC168" s="10">
        <f t="shared" ca="1" si="1167"/>
        <v>0</v>
      </c>
      <c r="BD168" s="10">
        <f t="shared" ca="1" si="1167"/>
        <v>0</v>
      </c>
      <c r="BE168" s="10">
        <f t="shared" ca="1" si="1167"/>
        <v>0</v>
      </c>
      <c r="BF168" s="10">
        <f t="shared" ca="1" si="1167"/>
        <v>0</v>
      </c>
      <c r="BG168" s="10">
        <f t="shared" ca="1" si="1167"/>
        <v>0</v>
      </c>
      <c r="BH168" s="10">
        <f t="shared" ca="1" si="1167"/>
        <v>0</v>
      </c>
      <c r="BI168" s="10">
        <f t="shared" ca="1" si="1167"/>
        <v>0</v>
      </c>
      <c r="BJ168" s="10">
        <f t="shared" ca="1" si="1167"/>
        <v>0</v>
      </c>
      <c r="BK168" s="10">
        <f t="shared" ca="1" si="1167"/>
        <v>0</v>
      </c>
      <c r="BL168" s="10">
        <f t="shared" ca="1" si="1167"/>
        <v>0</v>
      </c>
      <c r="BM168" s="10">
        <f t="shared" ca="1" si="1167"/>
        <v>0</v>
      </c>
      <c r="BN168" s="10">
        <f t="shared" ca="1" si="1167"/>
        <v>0</v>
      </c>
      <c r="BO168" s="10">
        <f t="shared" ca="1" si="1167"/>
        <v>0</v>
      </c>
      <c r="BP168" s="10">
        <f t="shared" ca="1" si="1167"/>
        <v>0</v>
      </c>
      <c r="BQ168" s="10">
        <f t="shared" ca="1" si="1167"/>
        <v>0</v>
      </c>
      <c r="BR168" s="10">
        <f t="shared" ca="1" si="1167"/>
        <v>0</v>
      </c>
      <c r="BS168" s="10">
        <f t="shared" ca="1" si="1167"/>
        <v>0</v>
      </c>
      <c r="BT168" s="10">
        <f t="shared" ca="1" si="1167"/>
        <v>0</v>
      </c>
      <c r="BU168" s="10">
        <f t="shared" ca="1" si="1167"/>
        <v>0</v>
      </c>
      <c r="BV168" s="10">
        <f t="shared" ca="1" si="1167"/>
        <v>0</v>
      </c>
      <c r="BW168" s="10">
        <f t="shared" ca="1" si="1167"/>
        <v>0</v>
      </c>
      <c r="BX168" s="10">
        <f t="shared" ref="BX168:CO168" ca="1" si="1168" xml:space="preserve"> BX140 * CAPEX_Accumulated_From_Date</f>
        <v>0</v>
      </c>
      <c r="BY168" s="10">
        <f t="shared" ca="1" si="1168"/>
        <v>0</v>
      </c>
      <c r="BZ168" s="10">
        <f t="shared" ca="1" si="1168"/>
        <v>0</v>
      </c>
      <c r="CA168" s="10">
        <f t="shared" ca="1" si="1168"/>
        <v>0</v>
      </c>
      <c r="CB168" s="10">
        <f t="shared" ca="1" si="1168"/>
        <v>0</v>
      </c>
      <c r="CC168" s="10">
        <f t="shared" ca="1" si="1168"/>
        <v>0</v>
      </c>
      <c r="CD168" s="10">
        <f t="shared" ca="1" si="1168"/>
        <v>0</v>
      </c>
      <c r="CE168" s="10">
        <f t="shared" ca="1" si="1168"/>
        <v>0</v>
      </c>
      <c r="CF168" s="10">
        <f t="shared" ca="1" si="1168"/>
        <v>0</v>
      </c>
      <c r="CG168" s="10">
        <f t="shared" ca="1" si="1168"/>
        <v>0</v>
      </c>
      <c r="CH168" s="10">
        <f t="shared" ca="1" si="1168"/>
        <v>0</v>
      </c>
      <c r="CI168" s="10">
        <f t="shared" ca="1" si="1168"/>
        <v>0</v>
      </c>
      <c r="CJ168" s="10">
        <f t="shared" ca="1" si="1168"/>
        <v>0</v>
      </c>
      <c r="CK168" s="10">
        <f t="shared" ca="1" si="1168"/>
        <v>0</v>
      </c>
      <c r="CL168" s="10">
        <f t="shared" ca="1" si="1168"/>
        <v>0</v>
      </c>
      <c r="CM168" s="10">
        <f t="shared" ca="1" si="1168"/>
        <v>0</v>
      </c>
      <c r="CN168" s="10">
        <f t="shared" ca="1" si="1168"/>
        <v>0</v>
      </c>
      <c r="CO168" s="10">
        <f t="shared" ca="1" si="1168"/>
        <v>0</v>
      </c>
    </row>
    <row r="169" spans="1:94" ht="15" thickBot="1">
      <c r="A169" s="9"/>
      <c r="B169" s="168"/>
      <c r="C169" s="17" t="s">
        <v>824</v>
      </c>
      <c r="D169" s="10"/>
      <c r="E169" s="62"/>
      <c r="F169" s="11"/>
      <c r="G169" s="11" t="str">
        <f>Monetary_Unit</f>
        <v>тыс. руб.</v>
      </c>
      <c r="H169" s="10"/>
      <c r="I169" s="23">
        <f ca="1">SUM(L169:CO169)</f>
        <v>0</v>
      </c>
      <c r="J169" s="10"/>
      <c r="K169" s="10"/>
      <c r="L169" s="10">
        <f t="shared" ref="L169:AQ169" ca="1" si="1169" xml:space="preserve"> L141 * CAPEX_Accumulated_From_Date</f>
        <v>0</v>
      </c>
      <c r="M169" s="10">
        <f t="shared" ca="1" si="1169"/>
        <v>0</v>
      </c>
      <c r="N169" s="10">
        <f t="shared" ca="1" si="1169"/>
        <v>0</v>
      </c>
      <c r="O169" s="10">
        <f t="shared" ca="1" si="1169"/>
        <v>0</v>
      </c>
      <c r="P169" s="10">
        <f t="shared" ca="1" si="1169"/>
        <v>0</v>
      </c>
      <c r="Q169" s="10">
        <f t="shared" ca="1" si="1169"/>
        <v>0</v>
      </c>
      <c r="R169" s="10">
        <f t="shared" ca="1" si="1169"/>
        <v>0</v>
      </c>
      <c r="S169" s="10">
        <f t="shared" ca="1" si="1169"/>
        <v>0</v>
      </c>
      <c r="T169" s="10">
        <f t="shared" ca="1" si="1169"/>
        <v>0</v>
      </c>
      <c r="U169" s="10">
        <f t="shared" ca="1" si="1169"/>
        <v>0</v>
      </c>
      <c r="V169" s="10">
        <f t="shared" ca="1" si="1169"/>
        <v>0</v>
      </c>
      <c r="W169" s="10">
        <f t="shared" ca="1" si="1169"/>
        <v>0</v>
      </c>
      <c r="X169" s="10">
        <f t="shared" ca="1" si="1169"/>
        <v>0</v>
      </c>
      <c r="Y169" s="10">
        <f t="shared" ca="1" si="1169"/>
        <v>0</v>
      </c>
      <c r="Z169" s="10">
        <f t="shared" ca="1" si="1169"/>
        <v>0</v>
      </c>
      <c r="AA169" s="10">
        <f t="shared" ca="1" si="1169"/>
        <v>0</v>
      </c>
      <c r="AB169" s="10">
        <f t="shared" ca="1" si="1169"/>
        <v>0</v>
      </c>
      <c r="AC169" s="10">
        <f t="shared" ca="1" si="1169"/>
        <v>0</v>
      </c>
      <c r="AD169" s="10">
        <f t="shared" ca="1" si="1169"/>
        <v>0</v>
      </c>
      <c r="AE169" s="10">
        <f t="shared" ca="1" si="1169"/>
        <v>0</v>
      </c>
      <c r="AF169" s="10">
        <f t="shared" ca="1" si="1169"/>
        <v>0</v>
      </c>
      <c r="AG169" s="10">
        <f t="shared" ca="1" si="1169"/>
        <v>0</v>
      </c>
      <c r="AH169" s="10">
        <f t="shared" ca="1" si="1169"/>
        <v>0</v>
      </c>
      <c r="AI169" s="10">
        <f t="shared" ca="1" si="1169"/>
        <v>0</v>
      </c>
      <c r="AJ169" s="10">
        <f t="shared" ca="1" si="1169"/>
        <v>0</v>
      </c>
      <c r="AK169" s="10">
        <f t="shared" ca="1" si="1169"/>
        <v>0</v>
      </c>
      <c r="AL169" s="10">
        <f t="shared" ca="1" si="1169"/>
        <v>0</v>
      </c>
      <c r="AM169" s="10">
        <f t="shared" ca="1" si="1169"/>
        <v>0</v>
      </c>
      <c r="AN169" s="10">
        <f t="shared" ca="1" si="1169"/>
        <v>0</v>
      </c>
      <c r="AO169" s="10">
        <f t="shared" ca="1" si="1169"/>
        <v>0</v>
      </c>
      <c r="AP169" s="10">
        <f t="shared" ca="1" si="1169"/>
        <v>0</v>
      </c>
      <c r="AQ169" s="10">
        <f t="shared" ca="1" si="1169"/>
        <v>0</v>
      </c>
      <c r="AR169" s="10">
        <f t="shared" ref="AR169:BW169" ca="1" si="1170" xml:space="preserve"> AR141 * CAPEX_Accumulated_From_Date</f>
        <v>0</v>
      </c>
      <c r="AS169" s="10">
        <f t="shared" ca="1" si="1170"/>
        <v>0</v>
      </c>
      <c r="AT169" s="10">
        <f t="shared" ca="1" si="1170"/>
        <v>0</v>
      </c>
      <c r="AU169" s="10">
        <f t="shared" ca="1" si="1170"/>
        <v>0</v>
      </c>
      <c r="AV169" s="10">
        <f t="shared" ca="1" si="1170"/>
        <v>0</v>
      </c>
      <c r="AW169" s="10">
        <f t="shared" ca="1" si="1170"/>
        <v>0</v>
      </c>
      <c r="AX169" s="10">
        <f t="shared" ca="1" si="1170"/>
        <v>0</v>
      </c>
      <c r="AY169" s="10">
        <f t="shared" ca="1" si="1170"/>
        <v>0</v>
      </c>
      <c r="AZ169" s="10">
        <f t="shared" ca="1" si="1170"/>
        <v>0</v>
      </c>
      <c r="BA169" s="10">
        <f t="shared" ca="1" si="1170"/>
        <v>0</v>
      </c>
      <c r="BB169" s="10">
        <f t="shared" ca="1" si="1170"/>
        <v>0</v>
      </c>
      <c r="BC169" s="10">
        <f t="shared" ca="1" si="1170"/>
        <v>0</v>
      </c>
      <c r="BD169" s="10">
        <f t="shared" ca="1" si="1170"/>
        <v>0</v>
      </c>
      <c r="BE169" s="10">
        <f t="shared" ca="1" si="1170"/>
        <v>0</v>
      </c>
      <c r="BF169" s="10">
        <f t="shared" ca="1" si="1170"/>
        <v>0</v>
      </c>
      <c r="BG169" s="10">
        <f t="shared" ca="1" si="1170"/>
        <v>0</v>
      </c>
      <c r="BH169" s="10">
        <f t="shared" ca="1" si="1170"/>
        <v>0</v>
      </c>
      <c r="BI169" s="10">
        <f t="shared" ca="1" si="1170"/>
        <v>0</v>
      </c>
      <c r="BJ169" s="10">
        <f t="shared" ca="1" si="1170"/>
        <v>0</v>
      </c>
      <c r="BK169" s="10">
        <f t="shared" ca="1" si="1170"/>
        <v>0</v>
      </c>
      <c r="BL169" s="10">
        <f t="shared" ca="1" si="1170"/>
        <v>0</v>
      </c>
      <c r="BM169" s="10">
        <f t="shared" ca="1" si="1170"/>
        <v>0</v>
      </c>
      <c r="BN169" s="10">
        <f t="shared" ca="1" si="1170"/>
        <v>0</v>
      </c>
      <c r="BO169" s="10">
        <f t="shared" ca="1" si="1170"/>
        <v>0</v>
      </c>
      <c r="BP169" s="10">
        <f t="shared" ca="1" si="1170"/>
        <v>0</v>
      </c>
      <c r="BQ169" s="10">
        <f t="shared" ca="1" si="1170"/>
        <v>0</v>
      </c>
      <c r="BR169" s="10">
        <f t="shared" ca="1" si="1170"/>
        <v>0</v>
      </c>
      <c r="BS169" s="10">
        <f t="shared" ca="1" si="1170"/>
        <v>0</v>
      </c>
      <c r="BT169" s="10">
        <f t="shared" ca="1" si="1170"/>
        <v>0</v>
      </c>
      <c r="BU169" s="10">
        <f t="shared" ca="1" si="1170"/>
        <v>0</v>
      </c>
      <c r="BV169" s="10">
        <f t="shared" ca="1" si="1170"/>
        <v>0</v>
      </c>
      <c r="BW169" s="10">
        <f t="shared" ca="1" si="1170"/>
        <v>0</v>
      </c>
      <c r="BX169" s="10">
        <f t="shared" ref="BX169:CO169" ca="1" si="1171" xml:space="preserve"> BX141 * CAPEX_Accumulated_From_Date</f>
        <v>0</v>
      </c>
      <c r="BY169" s="10">
        <f t="shared" ca="1" si="1171"/>
        <v>0</v>
      </c>
      <c r="BZ169" s="10">
        <f t="shared" ca="1" si="1171"/>
        <v>0</v>
      </c>
      <c r="CA169" s="10">
        <f t="shared" ca="1" si="1171"/>
        <v>0</v>
      </c>
      <c r="CB169" s="10">
        <f t="shared" ca="1" si="1171"/>
        <v>0</v>
      </c>
      <c r="CC169" s="10">
        <f t="shared" ca="1" si="1171"/>
        <v>0</v>
      </c>
      <c r="CD169" s="10">
        <f t="shared" ca="1" si="1171"/>
        <v>0</v>
      </c>
      <c r="CE169" s="10">
        <f t="shared" ca="1" si="1171"/>
        <v>0</v>
      </c>
      <c r="CF169" s="10">
        <f t="shared" ca="1" si="1171"/>
        <v>0</v>
      </c>
      <c r="CG169" s="10">
        <f t="shared" ca="1" si="1171"/>
        <v>0</v>
      </c>
      <c r="CH169" s="10">
        <f t="shared" ca="1" si="1171"/>
        <v>0</v>
      </c>
      <c r="CI169" s="10">
        <f t="shared" ca="1" si="1171"/>
        <v>0</v>
      </c>
      <c r="CJ169" s="10">
        <f t="shared" ca="1" si="1171"/>
        <v>0</v>
      </c>
      <c r="CK169" s="10">
        <f t="shared" ca="1" si="1171"/>
        <v>0</v>
      </c>
      <c r="CL169" s="10">
        <f t="shared" ca="1" si="1171"/>
        <v>0</v>
      </c>
      <c r="CM169" s="10">
        <f t="shared" ca="1" si="1171"/>
        <v>0</v>
      </c>
      <c r="CN169" s="10">
        <f t="shared" ca="1" si="1171"/>
        <v>0</v>
      </c>
      <c r="CO169" s="10">
        <f t="shared" ca="1" si="1171"/>
        <v>0</v>
      </c>
    </row>
    <row r="170" spans="1:94" ht="15" thickTop="1">
      <c r="A170" s="77"/>
      <c r="B170" s="101"/>
      <c r="C170" s="49" t="s">
        <v>858</v>
      </c>
      <c r="D170" s="49"/>
      <c r="E170" s="136"/>
      <c r="F170" s="49"/>
      <c r="G170" s="159" t="str">
        <f xml:space="preserve"> Monetary_Unit</f>
        <v>тыс. руб.</v>
      </c>
      <c r="H170" s="49"/>
      <c r="I170" s="23">
        <f ca="1">SUM(L170:CO170)</f>
        <v>0</v>
      </c>
      <c r="J170" s="49"/>
      <c r="K170" s="49"/>
      <c r="L170" s="49">
        <f t="shared" ref="L170:R170" ca="1" si="1172" xml:space="preserve"> SUM(L166:L169)</f>
        <v>0</v>
      </c>
      <c r="M170" s="49">
        <f t="shared" ca="1" si="1172"/>
        <v>0</v>
      </c>
      <c r="N170" s="49">
        <f t="shared" ca="1" si="1172"/>
        <v>0</v>
      </c>
      <c r="O170" s="49">
        <f t="shared" ca="1" si="1172"/>
        <v>0</v>
      </c>
      <c r="P170" s="49">
        <f t="shared" ca="1" si="1172"/>
        <v>0</v>
      </c>
      <c r="Q170" s="49">
        <f t="shared" ca="1" si="1172"/>
        <v>0</v>
      </c>
      <c r="R170" s="49">
        <f t="shared" ca="1" si="1172"/>
        <v>0</v>
      </c>
      <c r="S170" s="49">
        <f t="shared" ref="S170" ca="1" si="1173" xml:space="preserve"> SUM(S166:S169)</f>
        <v>0</v>
      </c>
      <c r="T170" s="49">
        <f t="shared" ref="T170:CE170" ca="1" si="1174" xml:space="preserve"> SUM(T166:T169)</f>
        <v>0</v>
      </c>
      <c r="U170" s="49">
        <f t="shared" ca="1" si="1174"/>
        <v>0</v>
      </c>
      <c r="V170" s="49">
        <f t="shared" ca="1" si="1174"/>
        <v>0</v>
      </c>
      <c r="W170" s="49">
        <f t="shared" ca="1" si="1174"/>
        <v>0</v>
      </c>
      <c r="X170" s="49">
        <f t="shared" ca="1" si="1174"/>
        <v>0</v>
      </c>
      <c r="Y170" s="49">
        <f t="shared" ca="1" si="1174"/>
        <v>0</v>
      </c>
      <c r="Z170" s="49">
        <f t="shared" ca="1" si="1174"/>
        <v>0</v>
      </c>
      <c r="AA170" s="49">
        <f t="shared" ca="1" si="1174"/>
        <v>0</v>
      </c>
      <c r="AB170" s="49">
        <f t="shared" ca="1" si="1174"/>
        <v>0</v>
      </c>
      <c r="AC170" s="49">
        <f t="shared" ca="1" si="1174"/>
        <v>0</v>
      </c>
      <c r="AD170" s="49">
        <f t="shared" ca="1" si="1174"/>
        <v>0</v>
      </c>
      <c r="AE170" s="49">
        <f t="shared" ca="1" si="1174"/>
        <v>0</v>
      </c>
      <c r="AF170" s="49">
        <f t="shared" ca="1" si="1174"/>
        <v>0</v>
      </c>
      <c r="AG170" s="49">
        <f t="shared" ca="1" si="1174"/>
        <v>0</v>
      </c>
      <c r="AH170" s="49">
        <f t="shared" ca="1" si="1174"/>
        <v>0</v>
      </c>
      <c r="AI170" s="49">
        <f t="shared" ca="1" si="1174"/>
        <v>0</v>
      </c>
      <c r="AJ170" s="49">
        <f t="shared" ca="1" si="1174"/>
        <v>0</v>
      </c>
      <c r="AK170" s="49">
        <f t="shared" ca="1" si="1174"/>
        <v>0</v>
      </c>
      <c r="AL170" s="49">
        <f t="shared" ca="1" si="1174"/>
        <v>0</v>
      </c>
      <c r="AM170" s="49">
        <f t="shared" ca="1" si="1174"/>
        <v>0</v>
      </c>
      <c r="AN170" s="49">
        <f t="shared" ca="1" si="1174"/>
        <v>0</v>
      </c>
      <c r="AO170" s="49">
        <f t="shared" ca="1" si="1174"/>
        <v>0</v>
      </c>
      <c r="AP170" s="49">
        <f t="shared" ca="1" si="1174"/>
        <v>0</v>
      </c>
      <c r="AQ170" s="49">
        <f t="shared" ca="1" si="1174"/>
        <v>0</v>
      </c>
      <c r="AR170" s="49">
        <f t="shared" ca="1" si="1174"/>
        <v>0</v>
      </c>
      <c r="AS170" s="49">
        <f t="shared" ca="1" si="1174"/>
        <v>0</v>
      </c>
      <c r="AT170" s="49">
        <f t="shared" ca="1" si="1174"/>
        <v>0</v>
      </c>
      <c r="AU170" s="49">
        <f t="shared" ca="1" si="1174"/>
        <v>0</v>
      </c>
      <c r="AV170" s="49">
        <f t="shared" ca="1" si="1174"/>
        <v>0</v>
      </c>
      <c r="AW170" s="49">
        <f t="shared" ca="1" si="1174"/>
        <v>0</v>
      </c>
      <c r="AX170" s="49">
        <f t="shared" ca="1" si="1174"/>
        <v>0</v>
      </c>
      <c r="AY170" s="49">
        <f t="shared" ca="1" si="1174"/>
        <v>0</v>
      </c>
      <c r="AZ170" s="49">
        <f t="shared" ca="1" si="1174"/>
        <v>0</v>
      </c>
      <c r="BA170" s="49">
        <f t="shared" ca="1" si="1174"/>
        <v>0</v>
      </c>
      <c r="BB170" s="49">
        <f t="shared" ca="1" si="1174"/>
        <v>0</v>
      </c>
      <c r="BC170" s="49">
        <f t="shared" ca="1" si="1174"/>
        <v>0</v>
      </c>
      <c r="BD170" s="49">
        <f t="shared" ca="1" si="1174"/>
        <v>0</v>
      </c>
      <c r="BE170" s="49">
        <f t="shared" ca="1" si="1174"/>
        <v>0</v>
      </c>
      <c r="BF170" s="49">
        <f t="shared" ca="1" si="1174"/>
        <v>0</v>
      </c>
      <c r="BG170" s="49">
        <f t="shared" ca="1" si="1174"/>
        <v>0</v>
      </c>
      <c r="BH170" s="49">
        <f t="shared" ca="1" si="1174"/>
        <v>0</v>
      </c>
      <c r="BI170" s="49">
        <f t="shared" ca="1" si="1174"/>
        <v>0</v>
      </c>
      <c r="BJ170" s="49">
        <f t="shared" ca="1" si="1174"/>
        <v>0</v>
      </c>
      <c r="BK170" s="49">
        <f t="shared" ca="1" si="1174"/>
        <v>0</v>
      </c>
      <c r="BL170" s="49">
        <f t="shared" ca="1" si="1174"/>
        <v>0</v>
      </c>
      <c r="BM170" s="49">
        <f t="shared" ca="1" si="1174"/>
        <v>0</v>
      </c>
      <c r="BN170" s="49">
        <f t="shared" ca="1" si="1174"/>
        <v>0</v>
      </c>
      <c r="BO170" s="49">
        <f t="shared" ca="1" si="1174"/>
        <v>0</v>
      </c>
      <c r="BP170" s="49">
        <f t="shared" ca="1" si="1174"/>
        <v>0</v>
      </c>
      <c r="BQ170" s="49">
        <f t="shared" ca="1" si="1174"/>
        <v>0</v>
      </c>
      <c r="BR170" s="49">
        <f t="shared" ca="1" si="1174"/>
        <v>0</v>
      </c>
      <c r="BS170" s="49">
        <f t="shared" ca="1" si="1174"/>
        <v>0</v>
      </c>
      <c r="BT170" s="49">
        <f t="shared" ca="1" si="1174"/>
        <v>0</v>
      </c>
      <c r="BU170" s="49">
        <f t="shared" ca="1" si="1174"/>
        <v>0</v>
      </c>
      <c r="BV170" s="49">
        <f t="shared" ca="1" si="1174"/>
        <v>0</v>
      </c>
      <c r="BW170" s="49">
        <f t="shared" ca="1" si="1174"/>
        <v>0</v>
      </c>
      <c r="BX170" s="49">
        <f t="shared" ca="1" si="1174"/>
        <v>0</v>
      </c>
      <c r="BY170" s="49">
        <f t="shared" ca="1" si="1174"/>
        <v>0</v>
      </c>
      <c r="BZ170" s="49">
        <f t="shared" ca="1" si="1174"/>
        <v>0</v>
      </c>
      <c r="CA170" s="49">
        <f t="shared" ca="1" si="1174"/>
        <v>0</v>
      </c>
      <c r="CB170" s="49">
        <f t="shared" ca="1" si="1174"/>
        <v>0</v>
      </c>
      <c r="CC170" s="49">
        <f t="shared" ca="1" si="1174"/>
        <v>0</v>
      </c>
      <c r="CD170" s="49">
        <f t="shared" ca="1" si="1174"/>
        <v>0</v>
      </c>
      <c r="CE170" s="49">
        <f t="shared" ca="1" si="1174"/>
        <v>0</v>
      </c>
      <c r="CF170" s="49">
        <f t="shared" ref="CF170:CO170" ca="1" si="1175" xml:space="preserve"> SUM(CF166:CF169)</f>
        <v>0</v>
      </c>
      <c r="CG170" s="49">
        <f t="shared" ca="1" si="1175"/>
        <v>0</v>
      </c>
      <c r="CH170" s="49">
        <f t="shared" ca="1" si="1175"/>
        <v>0</v>
      </c>
      <c r="CI170" s="49">
        <f t="shared" ca="1" si="1175"/>
        <v>0</v>
      </c>
      <c r="CJ170" s="49">
        <f t="shared" ca="1" si="1175"/>
        <v>0</v>
      </c>
      <c r="CK170" s="49">
        <f t="shared" ca="1" si="1175"/>
        <v>0</v>
      </c>
      <c r="CL170" s="49">
        <f t="shared" ca="1" si="1175"/>
        <v>0</v>
      </c>
      <c r="CM170" s="49">
        <f t="shared" ca="1" si="1175"/>
        <v>0</v>
      </c>
      <c r="CN170" s="49">
        <f t="shared" ca="1" si="1175"/>
        <v>0</v>
      </c>
      <c r="CO170" s="49">
        <f t="shared" ca="1" si="1175"/>
        <v>0</v>
      </c>
    </row>
    <row r="171" spans="1:94">
      <c r="A171" s="9"/>
      <c r="B171" s="168"/>
      <c r="C171" s="169"/>
      <c r="D171" s="10"/>
      <c r="E171" s="62"/>
      <c r="F171" s="11"/>
      <c r="G171" s="11"/>
      <c r="H171" s="10"/>
      <c r="I171" s="10" t="str">
        <f ca="1">IF(IFERROR(I170=Предпосылки!H213*I108*$I$104,I170=0),"")</f>
        <v/>
      </c>
      <c r="J171" s="10"/>
      <c r="K171" s="1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0"/>
      <c r="AH171" s="170"/>
      <c r="AI171" s="170"/>
      <c r="AJ171" s="170"/>
      <c r="AK171" s="170"/>
      <c r="AL171" s="170"/>
      <c r="AM171" s="170"/>
      <c r="AN171" s="170"/>
      <c r="AO171" s="170"/>
      <c r="AP171" s="170"/>
      <c r="AQ171" s="170"/>
      <c r="AR171" s="170"/>
      <c r="AS171" s="170"/>
      <c r="AT171" s="170"/>
      <c r="AU171" s="170"/>
      <c r="AV171" s="170"/>
      <c r="AW171" s="170"/>
      <c r="AX171" s="170"/>
      <c r="AY171" s="170"/>
      <c r="AZ171" s="170"/>
      <c r="BA171" s="170"/>
      <c r="BB171" s="170"/>
      <c r="BC171" s="170"/>
      <c r="BD171" s="170"/>
      <c r="BE171" s="170"/>
      <c r="BF171" s="170"/>
      <c r="BG171" s="170"/>
      <c r="BH171" s="170"/>
      <c r="BI171" s="170"/>
      <c r="BJ171" s="170"/>
      <c r="BK171" s="170"/>
      <c r="BL171" s="170"/>
      <c r="BM171" s="170"/>
      <c r="BN171" s="170"/>
      <c r="BO171" s="170"/>
      <c r="BP171" s="170"/>
      <c r="BQ171" s="170"/>
      <c r="BR171" s="170"/>
      <c r="BS171" s="170"/>
      <c r="BT171" s="170"/>
      <c r="BU171" s="170"/>
      <c r="BV171" s="170"/>
      <c r="BW171" s="170"/>
      <c r="BX171" s="170"/>
      <c r="BY171" s="170"/>
      <c r="BZ171" s="170"/>
      <c r="CA171" s="170"/>
      <c r="CB171" s="170"/>
      <c r="CC171" s="170"/>
      <c r="CD171" s="170"/>
      <c r="CE171" s="170"/>
      <c r="CF171" s="170"/>
      <c r="CG171" s="170"/>
      <c r="CH171" s="170"/>
      <c r="CI171" s="170"/>
      <c r="CJ171" s="170"/>
      <c r="CK171" s="170"/>
      <c r="CL171" s="170"/>
      <c r="CM171" s="170"/>
      <c r="CN171" s="170"/>
      <c r="CO171" s="170"/>
    </row>
    <row r="172" spans="1:94">
      <c r="A172" s="9"/>
      <c r="B172" s="168"/>
      <c r="C172" s="87" t="str">
        <f>C144</f>
        <v>Затраты на создание объектов Прочая обеспечивающая инфраструктура</v>
      </c>
      <c r="D172" s="10"/>
      <c r="E172" s="62"/>
      <c r="F172" s="11"/>
      <c r="G172" s="11"/>
      <c r="H172" s="10"/>
      <c r="I172" s="10"/>
      <c r="J172" s="10"/>
      <c r="K172" s="1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0"/>
      <c r="Y172" s="170"/>
      <c r="Z172" s="170"/>
      <c r="AA172" s="170"/>
      <c r="AB172" s="170"/>
      <c r="AC172" s="170"/>
      <c r="AD172" s="170"/>
      <c r="AE172" s="170"/>
      <c r="AF172" s="170"/>
      <c r="AG172" s="170"/>
      <c r="AH172" s="170"/>
      <c r="AI172" s="170"/>
      <c r="AJ172" s="170"/>
      <c r="AK172" s="170"/>
      <c r="AL172" s="170"/>
      <c r="AM172" s="170"/>
      <c r="AN172" s="170"/>
      <c r="AO172" s="170"/>
      <c r="AP172" s="170"/>
      <c r="AQ172" s="170"/>
      <c r="AR172" s="170"/>
      <c r="AS172" s="170"/>
      <c r="AT172" s="170"/>
      <c r="AU172" s="170"/>
      <c r="AV172" s="170"/>
      <c r="AW172" s="170"/>
      <c r="AX172" s="170"/>
      <c r="AY172" s="170"/>
      <c r="AZ172" s="170"/>
      <c r="BA172" s="170"/>
      <c r="BB172" s="170"/>
      <c r="BC172" s="170"/>
      <c r="BD172" s="170"/>
      <c r="BE172" s="170"/>
      <c r="BF172" s="170"/>
      <c r="BG172" s="170"/>
      <c r="BH172" s="170"/>
      <c r="BI172" s="170"/>
      <c r="BJ172" s="170"/>
      <c r="BK172" s="170"/>
      <c r="BL172" s="170"/>
      <c r="BM172" s="170"/>
      <c r="BN172" s="170"/>
      <c r="BO172" s="170"/>
      <c r="BP172" s="170"/>
      <c r="BQ172" s="170"/>
      <c r="BR172" s="170"/>
      <c r="BS172" s="170"/>
      <c r="BT172" s="170"/>
      <c r="BU172" s="170"/>
      <c r="BV172" s="170"/>
      <c r="BW172" s="170"/>
      <c r="BX172" s="170"/>
      <c r="BY172" s="170"/>
      <c r="BZ172" s="170"/>
      <c r="CA172" s="170"/>
      <c r="CB172" s="170"/>
      <c r="CC172" s="170"/>
      <c r="CD172" s="170"/>
      <c r="CE172" s="170"/>
      <c r="CF172" s="170"/>
      <c r="CG172" s="170"/>
      <c r="CH172" s="170"/>
      <c r="CI172" s="170"/>
      <c r="CJ172" s="170"/>
      <c r="CK172" s="170"/>
      <c r="CL172" s="170"/>
      <c r="CM172" s="170"/>
      <c r="CN172" s="170"/>
      <c r="CO172" s="170"/>
    </row>
    <row r="173" spans="1:94">
      <c r="A173" s="9"/>
      <c r="B173" s="168"/>
      <c r="C173" s="17" t="s">
        <v>632</v>
      </c>
      <c r="D173" s="10"/>
      <c r="E173" s="62"/>
      <c r="F173" s="11"/>
      <c r="G173" s="11" t="str">
        <f>Monetary_Unit</f>
        <v>тыс. руб.</v>
      </c>
      <c r="H173" s="10"/>
      <c r="I173" s="23">
        <f ca="1">SUM(L173:CO173)</f>
        <v>0</v>
      </c>
      <c r="J173" s="10"/>
      <c r="K173" s="10"/>
      <c r="L173" s="10">
        <f t="shared" ref="L173:AQ173" ca="1" si="1176" xml:space="preserve"> L150 * CAPEX_Accumulated_From_Date</f>
        <v>0</v>
      </c>
      <c r="M173" s="10">
        <f t="shared" ca="1" si="1176"/>
        <v>0</v>
      </c>
      <c r="N173" s="10">
        <f t="shared" ca="1" si="1176"/>
        <v>0</v>
      </c>
      <c r="O173" s="10">
        <f t="shared" ca="1" si="1176"/>
        <v>0</v>
      </c>
      <c r="P173" s="10">
        <f t="shared" ca="1" si="1176"/>
        <v>0</v>
      </c>
      <c r="Q173" s="10">
        <f t="shared" ca="1" si="1176"/>
        <v>0</v>
      </c>
      <c r="R173" s="10">
        <f t="shared" ca="1" si="1176"/>
        <v>0</v>
      </c>
      <c r="S173" s="10">
        <f t="shared" ca="1" si="1176"/>
        <v>0</v>
      </c>
      <c r="T173" s="10">
        <f t="shared" ca="1" si="1176"/>
        <v>0</v>
      </c>
      <c r="U173" s="10">
        <f t="shared" ca="1" si="1176"/>
        <v>0</v>
      </c>
      <c r="V173" s="10">
        <f t="shared" ca="1" si="1176"/>
        <v>0</v>
      </c>
      <c r="W173" s="10">
        <f t="shared" ca="1" si="1176"/>
        <v>0</v>
      </c>
      <c r="X173" s="10">
        <f t="shared" ca="1" si="1176"/>
        <v>0</v>
      </c>
      <c r="Y173" s="10">
        <f t="shared" ca="1" si="1176"/>
        <v>0</v>
      </c>
      <c r="Z173" s="10">
        <f t="shared" ca="1" si="1176"/>
        <v>0</v>
      </c>
      <c r="AA173" s="10">
        <f t="shared" ca="1" si="1176"/>
        <v>0</v>
      </c>
      <c r="AB173" s="10">
        <f t="shared" ca="1" si="1176"/>
        <v>0</v>
      </c>
      <c r="AC173" s="10">
        <f t="shared" ca="1" si="1176"/>
        <v>0</v>
      </c>
      <c r="AD173" s="10">
        <f t="shared" ca="1" si="1176"/>
        <v>0</v>
      </c>
      <c r="AE173" s="10">
        <f t="shared" ca="1" si="1176"/>
        <v>0</v>
      </c>
      <c r="AF173" s="10">
        <f t="shared" ca="1" si="1176"/>
        <v>0</v>
      </c>
      <c r="AG173" s="10">
        <f t="shared" ca="1" si="1176"/>
        <v>0</v>
      </c>
      <c r="AH173" s="10">
        <f t="shared" ca="1" si="1176"/>
        <v>0</v>
      </c>
      <c r="AI173" s="10">
        <f t="shared" ca="1" si="1176"/>
        <v>0</v>
      </c>
      <c r="AJ173" s="10">
        <f t="shared" ca="1" si="1176"/>
        <v>0</v>
      </c>
      <c r="AK173" s="10">
        <f t="shared" ca="1" si="1176"/>
        <v>0</v>
      </c>
      <c r="AL173" s="10">
        <f t="shared" ca="1" si="1176"/>
        <v>0</v>
      </c>
      <c r="AM173" s="10">
        <f t="shared" ca="1" si="1176"/>
        <v>0</v>
      </c>
      <c r="AN173" s="10">
        <f t="shared" ca="1" si="1176"/>
        <v>0</v>
      </c>
      <c r="AO173" s="10">
        <f t="shared" ca="1" si="1176"/>
        <v>0</v>
      </c>
      <c r="AP173" s="10">
        <f t="shared" ca="1" si="1176"/>
        <v>0</v>
      </c>
      <c r="AQ173" s="10">
        <f t="shared" ca="1" si="1176"/>
        <v>0</v>
      </c>
      <c r="AR173" s="10">
        <f t="shared" ref="AR173:BW173" ca="1" si="1177" xml:space="preserve"> AR150 * CAPEX_Accumulated_From_Date</f>
        <v>0</v>
      </c>
      <c r="AS173" s="10">
        <f t="shared" ca="1" si="1177"/>
        <v>0</v>
      </c>
      <c r="AT173" s="10">
        <f t="shared" ca="1" si="1177"/>
        <v>0</v>
      </c>
      <c r="AU173" s="10">
        <f t="shared" ca="1" si="1177"/>
        <v>0</v>
      </c>
      <c r="AV173" s="10">
        <f t="shared" ca="1" si="1177"/>
        <v>0</v>
      </c>
      <c r="AW173" s="10">
        <f t="shared" ca="1" si="1177"/>
        <v>0</v>
      </c>
      <c r="AX173" s="10">
        <f t="shared" ca="1" si="1177"/>
        <v>0</v>
      </c>
      <c r="AY173" s="10">
        <f t="shared" ca="1" si="1177"/>
        <v>0</v>
      </c>
      <c r="AZ173" s="10">
        <f t="shared" ca="1" si="1177"/>
        <v>0</v>
      </c>
      <c r="BA173" s="10">
        <f t="shared" ca="1" si="1177"/>
        <v>0</v>
      </c>
      <c r="BB173" s="10">
        <f t="shared" ca="1" si="1177"/>
        <v>0</v>
      </c>
      <c r="BC173" s="10">
        <f t="shared" ca="1" si="1177"/>
        <v>0</v>
      </c>
      <c r="BD173" s="10">
        <f t="shared" ca="1" si="1177"/>
        <v>0</v>
      </c>
      <c r="BE173" s="10">
        <f t="shared" ca="1" si="1177"/>
        <v>0</v>
      </c>
      <c r="BF173" s="10">
        <f t="shared" ca="1" si="1177"/>
        <v>0</v>
      </c>
      <c r="BG173" s="10">
        <f t="shared" ca="1" si="1177"/>
        <v>0</v>
      </c>
      <c r="BH173" s="10">
        <f t="shared" ca="1" si="1177"/>
        <v>0</v>
      </c>
      <c r="BI173" s="10">
        <f t="shared" ca="1" si="1177"/>
        <v>0</v>
      </c>
      <c r="BJ173" s="10">
        <f t="shared" ca="1" si="1177"/>
        <v>0</v>
      </c>
      <c r="BK173" s="10">
        <f t="shared" ca="1" si="1177"/>
        <v>0</v>
      </c>
      <c r="BL173" s="10">
        <f t="shared" ca="1" si="1177"/>
        <v>0</v>
      </c>
      <c r="BM173" s="10">
        <f t="shared" ca="1" si="1177"/>
        <v>0</v>
      </c>
      <c r="BN173" s="10">
        <f t="shared" ca="1" si="1177"/>
        <v>0</v>
      </c>
      <c r="BO173" s="10">
        <f t="shared" ca="1" si="1177"/>
        <v>0</v>
      </c>
      <c r="BP173" s="10">
        <f t="shared" ca="1" si="1177"/>
        <v>0</v>
      </c>
      <c r="BQ173" s="10">
        <f t="shared" ca="1" si="1177"/>
        <v>0</v>
      </c>
      <c r="BR173" s="10">
        <f t="shared" ca="1" si="1177"/>
        <v>0</v>
      </c>
      <c r="BS173" s="10">
        <f t="shared" ca="1" si="1177"/>
        <v>0</v>
      </c>
      <c r="BT173" s="10">
        <f t="shared" ca="1" si="1177"/>
        <v>0</v>
      </c>
      <c r="BU173" s="10">
        <f t="shared" ca="1" si="1177"/>
        <v>0</v>
      </c>
      <c r="BV173" s="10">
        <f t="shared" ca="1" si="1177"/>
        <v>0</v>
      </c>
      <c r="BW173" s="10">
        <f t="shared" ca="1" si="1177"/>
        <v>0</v>
      </c>
      <c r="BX173" s="10">
        <f t="shared" ref="BX173:CO173" ca="1" si="1178" xml:space="preserve"> BX150 * CAPEX_Accumulated_From_Date</f>
        <v>0</v>
      </c>
      <c r="BY173" s="10">
        <f t="shared" ca="1" si="1178"/>
        <v>0</v>
      </c>
      <c r="BZ173" s="10">
        <f t="shared" ca="1" si="1178"/>
        <v>0</v>
      </c>
      <c r="CA173" s="10">
        <f t="shared" ca="1" si="1178"/>
        <v>0</v>
      </c>
      <c r="CB173" s="10">
        <f t="shared" ca="1" si="1178"/>
        <v>0</v>
      </c>
      <c r="CC173" s="10">
        <f t="shared" ca="1" si="1178"/>
        <v>0</v>
      </c>
      <c r="CD173" s="10">
        <f t="shared" ca="1" si="1178"/>
        <v>0</v>
      </c>
      <c r="CE173" s="10">
        <f t="shared" ca="1" si="1178"/>
        <v>0</v>
      </c>
      <c r="CF173" s="10">
        <f t="shared" ca="1" si="1178"/>
        <v>0</v>
      </c>
      <c r="CG173" s="10">
        <f t="shared" ca="1" si="1178"/>
        <v>0</v>
      </c>
      <c r="CH173" s="10">
        <f t="shared" ca="1" si="1178"/>
        <v>0</v>
      </c>
      <c r="CI173" s="10">
        <f t="shared" ca="1" si="1178"/>
        <v>0</v>
      </c>
      <c r="CJ173" s="10">
        <f t="shared" ca="1" si="1178"/>
        <v>0</v>
      </c>
      <c r="CK173" s="10">
        <f t="shared" ca="1" si="1178"/>
        <v>0</v>
      </c>
      <c r="CL173" s="10">
        <f t="shared" ca="1" si="1178"/>
        <v>0</v>
      </c>
      <c r="CM173" s="10">
        <f t="shared" ca="1" si="1178"/>
        <v>0</v>
      </c>
      <c r="CN173" s="10">
        <f t="shared" ca="1" si="1178"/>
        <v>0</v>
      </c>
      <c r="CO173" s="10">
        <f t="shared" ca="1" si="1178"/>
        <v>0</v>
      </c>
      <c r="CP173" s="10"/>
    </row>
    <row r="174" spans="1:94">
      <c r="A174" s="9"/>
      <c r="B174" s="168"/>
      <c r="C174" s="17" t="s">
        <v>634</v>
      </c>
      <c r="D174" s="10"/>
      <c r="E174" s="62"/>
      <c r="F174" s="11"/>
      <c r="G174" s="11" t="str">
        <f>Monetary_Unit</f>
        <v>тыс. руб.</v>
      </c>
      <c r="H174" s="10"/>
      <c r="I174" s="23">
        <f ca="1">SUM(L174:CO174)</f>
        <v>0</v>
      </c>
      <c r="J174" s="10"/>
      <c r="K174" s="10"/>
      <c r="L174" s="10">
        <f t="shared" ref="L174:AQ174" ca="1" si="1179" xml:space="preserve"> L151 * CAPEX_Accumulated_From_Date</f>
        <v>0</v>
      </c>
      <c r="M174" s="10">
        <f t="shared" ca="1" si="1179"/>
        <v>0</v>
      </c>
      <c r="N174" s="10">
        <f t="shared" ca="1" si="1179"/>
        <v>0</v>
      </c>
      <c r="O174" s="10">
        <f t="shared" ca="1" si="1179"/>
        <v>0</v>
      </c>
      <c r="P174" s="10">
        <f t="shared" ca="1" si="1179"/>
        <v>0</v>
      </c>
      <c r="Q174" s="10">
        <f t="shared" ca="1" si="1179"/>
        <v>0</v>
      </c>
      <c r="R174" s="10">
        <f t="shared" ca="1" si="1179"/>
        <v>0</v>
      </c>
      <c r="S174" s="10">
        <f t="shared" ca="1" si="1179"/>
        <v>0</v>
      </c>
      <c r="T174" s="10">
        <f t="shared" ca="1" si="1179"/>
        <v>0</v>
      </c>
      <c r="U174" s="10">
        <f t="shared" ca="1" si="1179"/>
        <v>0</v>
      </c>
      <c r="V174" s="10">
        <f t="shared" ca="1" si="1179"/>
        <v>0</v>
      </c>
      <c r="W174" s="10">
        <f t="shared" ca="1" si="1179"/>
        <v>0</v>
      </c>
      <c r="X174" s="10">
        <f t="shared" ca="1" si="1179"/>
        <v>0</v>
      </c>
      <c r="Y174" s="10">
        <f t="shared" ca="1" si="1179"/>
        <v>0</v>
      </c>
      <c r="Z174" s="10">
        <f t="shared" ca="1" si="1179"/>
        <v>0</v>
      </c>
      <c r="AA174" s="10">
        <f t="shared" ca="1" si="1179"/>
        <v>0</v>
      </c>
      <c r="AB174" s="10">
        <f t="shared" ca="1" si="1179"/>
        <v>0</v>
      </c>
      <c r="AC174" s="10">
        <f t="shared" ca="1" si="1179"/>
        <v>0</v>
      </c>
      <c r="AD174" s="10">
        <f t="shared" ca="1" si="1179"/>
        <v>0</v>
      </c>
      <c r="AE174" s="10">
        <f t="shared" ca="1" si="1179"/>
        <v>0</v>
      </c>
      <c r="AF174" s="10">
        <f t="shared" ca="1" si="1179"/>
        <v>0</v>
      </c>
      <c r="AG174" s="10">
        <f t="shared" ca="1" si="1179"/>
        <v>0</v>
      </c>
      <c r="AH174" s="10">
        <f t="shared" ca="1" si="1179"/>
        <v>0</v>
      </c>
      <c r="AI174" s="10">
        <f t="shared" ca="1" si="1179"/>
        <v>0</v>
      </c>
      <c r="AJ174" s="10">
        <f t="shared" ca="1" si="1179"/>
        <v>0</v>
      </c>
      <c r="AK174" s="10">
        <f t="shared" ca="1" si="1179"/>
        <v>0</v>
      </c>
      <c r="AL174" s="10">
        <f t="shared" ca="1" si="1179"/>
        <v>0</v>
      </c>
      <c r="AM174" s="10">
        <f t="shared" ca="1" si="1179"/>
        <v>0</v>
      </c>
      <c r="AN174" s="10">
        <f t="shared" ca="1" si="1179"/>
        <v>0</v>
      </c>
      <c r="AO174" s="10">
        <f t="shared" ca="1" si="1179"/>
        <v>0</v>
      </c>
      <c r="AP174" s="10">
        <f t="shared" ca="1" si="1179"/>
        <v>0</v>
      </c>
      <c r="AQ174" s="10">
        <f t="shared" ca="1" si="1179"/>
        <v>0</v>
      </c>
      <c r="AR174" s="10">
        <f t="shared" ref="AR174:BW174" ca="1" si="1180" xml:space="preserve"> AR151 * CAPEX_Accumulated_From_Date</f>
        <v>0</v>
      </c>
      <c r="AS174" s="10">
        <f t="shared" ca="1" si="1180"/>
        <v>0</v>
      </c>
      <c r="AT174" s="10">
        <f t="shared" ca="1" si="1180"/>
        <v>0</v>
      </c>
      <c r="AU174" s="10">
        <f t="shared" ca="1" si="1180"/>
        <v>0</v>
      </c>
      <c r="AV174" s="10">
        <f t="shared" ca="1" si="1180"/>
        <v>0</v>
      </c>
      <c r="AW174" s="10">
        <f t="shared" ca="1" si="1180"/>
        <v>0</v>
      </c>
      <c r="AX174" s="10">
        <f t="shared" ca="1" si="1180"/>
        <v>0</v>
      </c>
      <c r="AY174" s="10">
        <f t="shared" ca="1" si="1180"/>
        <v>0</v>
      </c>
      <c r="AZ174" s="10">
        <f t="shared" ca="1" si="1180"/>
        <v>0</v>
      </c>
      <c r="BA174" s="10">
        <f t="shared" ca="1" si="1180"/>
        <v>0</v>
      </c>
      <c r="BB174" s="10">
        <f t="shared" ca="1" si="1180"/>
        <v>0</v>
      </c>
      <c r="BC174" s="10">
        <f t="shared" ca="1" si="1180"/>
        <v>0</v>
      </c>
      <c r="BD174" s="10">
        <f t="shared" ca="1" si="1180"/>
        <v>0</v>
      </c>
      <c r="BE174" s="10">
        <f t="shared" ca="1" si="1180"/>
        <v>0</v>
      </c>
      <c r="BF174" s="10">
        <f t="shared" ca="1" si="1180"/>
        <v>0</v>
      </c>
      <c r="BG174" s="10">
        <f t="shared" ca="1" si="1180"/>
        <v>0</v>
      </c>
      <c r="BH174" s="10">
        <f t="shared" ca="1" si="1180"/>
        <v>0</v>
      </c>
      <c r="BI174" s="10">
        <f t="shared" ca="1" si="1180"/>
        <v>0</v>
      </c>
      <c r="BJ174" s="10">
        <f t="shared" ca="1" si="1180"/>
        <v>0</v>
      </c>
      <c r="BK174" s="10">
        <f t="shared" ca="1" si="1180"/>
        <v>0</v>
      </c>
      <c r="BL174" s="10">
        <f t="shared" ca="1" si="1180"/>
        <v>0</v>
      </c>
      <c r="BM174" s="10">
        <f t="shared" ca="1" si="1180"/>
        <v>0</v>
      </c>
      <c r="BN174" s="10">
        <f t="shared" ca="1" si="1180"/>
        <v>0</v>
      </c>
      <c r="BO174" s="10">
        <f t="shared" ca="1" si="1180"/>
        <v>0</v>
      </c>
      <c r="BP174" s="10">
        <f t="shared" ca="1" si="1180"/>
        <v>0</v>
      </c>
      <c r="BQ174" s="10">
        <f t="shared" ca="1" si="1180"/>
        <v>0</v>
      </c>
      <c r="BR174" s="10">
        <f t="shared" ca="1" si="1180"/>
        <v>0</v>
      </c>
      <c r="BS174" s="10">
        <f t="shared" ca="1" si="1180"/>
        <v>0</v>
      </c>
      <c r="BT174" s="10">
        <f t="shared" ca="1" si="1180"/>
        <v>0</v>
      </c>
      <c r="BU174" s="10">
        <f t="shared" ca="1" si="1180"/>
        <v>0</v>
      </c>
      <c r="BV174" s="10">
        <f t="shared" ca="1" si="1180"/>
        <v>0</v>
      </c>
      <c r="BW174" s="10">
        <f t="shared" ca="1" si="1180"/>
        <v>0</v>
      </c>
      <c r="BX174" s="10">
        <f t="shared" ref="BX174:CO174" ca="1" si="1181" xml:space="preserve"> BX151 * CAPEX_Accumulated_From_Date</f>
        <v>0</v>
      </c>
      <c r="BY174" s="10">
        <f t="shared" ca="1" si="1181"/>
        <v>0</v>
      </c>
      <c r="BZ174" s="10">
        <f t="shared" ca="1" si="1181"/>
        <v>0</v>
      </c>
      <c r="CA174" s="10">
        <f t="shared" ca="1" si="1181"/>
        <v>0</v>
      </c>
      <c r="CB174" s="10">
        <f t="shared" ca="1" si="1181"/>
        <v>0</v>
      </c>
      <c r="CC174" s="10">
        <f t="shared" ca="1" si="1181"/>
        <v>0</v>
      </c>
      <c r="CD174" s="10">
        <f t="shared" ca="1" si="1181"/>
        <v>0</v>
      </c>
      <c r="CE174" s="10">
        <f t="shared" ca="1" si="1181"/>
        <v>0</v>
      </c>
      <c r="CF174" s="10">
        <f t="shared" ca="1" si="1181"/>
        <v>0</v>
      </c>
      <c r="CG174" s="10">
        <f t="shared" ca="1" si="1181"/>
        <v>0</v>
      </c>
      <c r="CH174" s="10">
        <f t="shared" ca="1" si="1181"/>
        <v>0</v>
      </c>
      <c r="CI174" s="10">
        <f t="shared" ca="1" si="1181"/>
        <v>0</v>
      </c>
      <c r="CJ174" s="10">
        <f t="shared" ca="1" si="1181"/>
        <v>0</v>
      </c>
      <c r="CK174" s="10">
        <f t="shared" ca="1" si="1181"/>
        <v>0</v>
      </c>
      <c r="CL174" s="10">
        <f t="shared" ca="1" si="1181"/>
        <v>0</v>
      </c>
      <c r="CM174" s="10">
        <f t="shared" ca="1" si="1181"/>
        <v>0</v>
      </c>
      <c r="CN174" s="10">
        <f t="shared" ca="1" si="1181"/>
        <v>0</v>
      </c>
      <c r="CO174" s="10">
        <f t="shared" ca="1" si="1181"/>
        <v>0</v>
      </c>
      <c r="CP174" s="10"/>
    </row>
    <row r="175" spans="1:94">
      <c r="A175" s="9"/>
      <c r="B175" s="168"/>
      <c r="C175" s="17" t="s">
        <v>848</v>
      </c>
      <c r="D175" s="10"/>
      <c r="E175" s="62"/>
      <c r="F175" s="11"/>
      <c r="G175" s="11" t="str">
        <f>Monetary_Unit</f>
        <v>тыс. руб.</v>
      </c>
      <c r="H175" s="10"/>
      <c r="I175" s="23">
        <f ca="1">SUM(L175:CO175)</f>
        <v>0</v>
      </c>
      <c r="J175" s="10"/>
      <c r="K175" s="10"/>
      <c r="L175" s="10">
        <f t="shared" ref="L175:AQ175" ca="1" si="1182" xml:space="preserve"> L152 * CAPEX_Accumulated_From_Date</f>
        <v>0</v>
      </c>
      <c r="M175" s="10">
        <f t="shared" ca="1" si="1182"/>
        <v>0</v>
      </c>
      <c r="N175" s="10">
        <f t="shared" ca="1" si="1182"/>
        <v>0</v>
      </c>
      <c r="O175" s="10">
        <f t="shared" ca="1" si="1182"/>
        <v>0</v>
      </c>
      <c r="P175" s="10">
        <f t="shared" ca="1" si="1182"/>
        <v>0</v>
      </c>
      <c r="Q175" s="10">
        <f t="shared" ca="1" si="1182"/>
        <v>0</v>
      </c>
      <c r="R175" s="10">
        <f t="shared" ca="1" si="1182"/>
        <v>0</v>
      </c>
      <c r="S175" s="10">
        <f t="shared" ca="1" si="1182"/>
        <v>0</v>
      </c>
      <c r="T175" s="10">
        <f t="shared" ca="1" si="1182"/>
        <v>0</v>
      </c>
      <c r="U175" s="10">
        <f t="shared" ca="1" si="1182"/>
        <v>0</v>
      </c>
      <c r="V175" s="10">
        <f t="shared" ca="1" si="1182"/>
        <v>0</v>
      </c>
      <c r="W175" s="10">
        <f t="shared" ca="1" si="1182"/>
        <v>0</v>
      </c>
      <c r="X175" s="10">
        <f t="shared" ca="1" si="1182"/>
        <v>0</v>
      </c>
      <c r="Y175" s="10">
        <f t="shared" ca="1" si="1182"/>
        <v>0</v>
      </c>
      <c r="Z175" s="10">
        <f t="shared" ca="1" si="1182"/>
        <v>0</v>
      </c>
      <c r="AA175" s="10">
        <f t="shared" ca="1" si="1182"/>
        <v>0</v>
      </c>
      <c r="AB175" s="10">
        <f t="shared" ca="1" si="1182"/>
        <v>0</v>
      </c>
      <c r="AC175" s="10">
        <f t="shared" ca="1" si="1182"/>
        <v>0</v>
      </c>
      <c r="AD175" s="10">
        <f t="shared" ca="1" si="1182"/>
        <v>0</v>
      </c>
      <c r="AE175" s="10">
        <f t="shared" ca="1" si="1182"/>
        <v>0</v>
      </c>
      <c r="AF175" s="10">
        <f t="shared" ca="1" si="1182"/>
        <v>0</v>
      </c>
      <c r="AG175" s="10">
        <f t="shared" ca="1" si="1182"/>
        <v>0</v>
      </c>
      <c r="AH175" s="10">
        <f t="shared" ca="1" si="1182"/>
        <v>0</v>
      </c>
      <c r="AI175" s="10">
        <f t="shared" ca="1" si="1182"/>
        <v>0</v>
      </c>
      <c r="AJ175" s="10">
        <f t="shared" ca="1" si="1182"/>
        <v>0</v>
      </c>
      <c r="AK175" s="10">
        <f t="shared" ca="1" si="1182"/>
        <v>0</v>
      </c>
      <c r="AL175" s="10">
        <f t="shared" ca="1" si="1182"/>
        <v>0</v>
      </c>
      <c r="AM175" s="10">
        <f t="shared" ca="1" si="1182"/>
        <v>0</v>
      </c>
      <c r="AN175" s="10">
        <f t="shared" ca="1" si="1182"/>
        <v>0</v>
      </c>
      <c r="AO175" s="10">
        <f t="shared" ca="1" si="1182"/>
        <v>0</v>
      </c>
      <c r="AP175" s="10">
        <f t="shared" ca="1" si="1182"/>
        <v>0</v>
      </c>
      <c r="AQ175" s="10">
        <f t="shared" ca="1" si="1182"/>
        <v>0</v>
      </c>
      <c r="AR175" s="10">
        <f t="shared" ref="AR175:BW175" ca="1" si="1183" xml:space="preserve"> AR152 * CAPEX_Accumulated_From_Date</f>
        <v>0</v>
      </c>
      <c r="AS175" s="10">
        <f t="shared" ca="1" si="1183"/>
        <v>0</v>
      </c>
      <c r="AT175" s="10">
        <f t="shared" ca="1" si="1183"/>
        <v>0</v>
      </c>
      <c r="AU175" s="10">
        <f t="shared" ca="1" si="1183"/>
        <v>0</v>
      </c>
      <c r="AV175" s="10">
        <f t="shared" ca="1" si="1183"/>
        <v>0</v>
      </c>
      <c r="AW175" s="10">
        <f t="shared" ca="1" si="1183"/>
        <v>0</v>
      </c>
      <c r="AX175" s="10">
        <f t="shared" ca="1" si="1183"/>
        <v>0</v>
      </c>
      <c r="AY175" s="10">
        <f t="shared" ca="1" si="1183"/>
        <v>0</v>
      </c>
      <c r="AZ175" s="10">
        <f t="shared" ca="1" si="1183"/>
        <v>0</v>
      </c>
      <c r="BA175" s="10">
        <f t="shared" ca="1" si="1183"/>
        <v>0</v>
      </c>
      <c r="BB175" s="10">
        <f t="shared" ca="1" si="1183"/>
        <v>0</v>
      </c>
      <c r="BC175" s="10">
        <f t="shared" ca="1" si="1183"/>
        <v>0</v>
      </c>
      <c r="BD175" s="10">
        <f t="shared" ca="1" si="1183"/>
        <v>0</v>
      </c>
      <c r="BE175" s="10">
        <f t="shared" ca="1" si="1183"/>
        <v>0</v>
      </c>
      <c r="BF175" s="10">
        <f t="shared" ca="1" si="1183"/>
        <v>0</v>
      </c>
      <c r="BG175" s="10">
        <f t="shared" ca="1" si="1183"/>
        <v>0</v>
      </c>
      <c r="BH175" s="10">
        <f t="shared" ca="1" si="1183"/>
        <v>0</v>
      </c>
      <c r="BI175" s="10">
        <f t="shared" ca="1" si="1183"/>
        <v>0</v>
      </c>
      <c r="BJ175" s="10">
        <f t="shared" ca="1" si="1183"/>
        <v>0</v>
      </c>
      <c r="BK175" s="10">
        <f t="shared" ca="1" si="1183"/>
        <v>0</v>
      </c>
      <c r="BL175" s="10">
        <f t="shared" ca="1" si="1183"/>
        <v>0</v>
      </c>
      <c r="BM175" s="10">
        <f t="shared" ca="1" si="1183"/>
        <v>0</v>
      </c>
      <c r="BN175" s="10">
        <f t="shared" ca="1" si="1183"/>
        <v>0</v>
      </c>
      <c r="BO175" s="10">
        <f t="shared" ca="1" si="1183"/>
        <v>0</v>
      </c>
      <c r="BP175" s="10">
        <f t="shared" ca="1" si="1183"/>
        <v>0</v>
      </c>
      <c r="BQ175" s="10">
        <f t="shared" ca="1" si="1183"/>
        <v>0</v>
      </c>
      <c r="BR175" s="10">
        <f t="shared" ca="1" si="1183"/>
        <v>0</v>
      </c>
      <c r="BS175" s="10">
        <f t="shared" ca="1" si="1183"/>
        <v>0</v>
      </c>
      <c r="BT175" s="10">
        <f t="shared" ca="1" si="1183"/>
        <v>0</v>
      </c>
      <c r="BU175" s="10">
        <f t="shared" ca="1" si="1183"/>
        <v>0</v>
      </c>
      <c r="BV175" s="10">
        <f t="shared" ca="1" si="1183"/>
        <v>0</v>
      </c>
      <c r="BW175" s="10">
        <f t="shared" ca="1" si="1183"/>
        <v>0</v>
      </c>
      <c r="BX175" s="10">
        <f t="shared" ref="BX175:CO175" ca="1" si="1184" xml:space="preserve"> BX152 * CAPEX_Accumulated_From_Date</f>
        <v>0</v>
      </c>
      <c r="BY175" s="10">
        <f t="shared" ca="1" si="1184"/>
        <v>0</v>
      </c>
      <c r="BZ175" s="10">
        <f t="shared" ca="1" si="1184"/>
        <v>0</v>
      </c>
      <c r="CA175" s="10">
        <f t="shared" ca="1" si="1184"/>
        <v>0</v>
      </c>
      <c r="CB175" s="10">
        <f t="shared" ca="1" si="1184"/>
        <v>0</v>
      </c>
      <c r="CC175" s="10">
        <f t="shared" ca="1" si="1184"/>
        <v>0</v>
      </c>
      <c r="CD175" s="10">
        <f t="shared" ca="1" si="1184"/>
        <v>0</v>
      </c>
      <c r="CE175" s="10">
        <f t="shared" ca="1" si="1184"/>
        <v>0</v>
      </c>
      <c r="CF175" s="10">
        <f t="shared" ca="1" si="1184"/>
        <v>0</v>
      </c>
      <c r="CG175" s="10">
        <f t="shared" ca="1" si="1184"/>
        <v>0</v>
      </c>
      <c r="CH175" s="10">
        <f t="shared" ca="1" si="1184"/>
        <v>0</v>
      </c>
      <c r="CI175" s="10">
        <f t="shared" ca="1" si="1184"/>
        <v>0</v>
      </c>
      <c r="CJ175" s="10">
        <f t="shared" ca="1" si="1184"/>
        <v>0</v>
      </c>
      <c r="CK175" s="10">
        <f t="shared" ca="1" si="1184"/>
        <v>0</v>
      </c>
      <c r="CL175" s="10">
        <f t="shared" ca="1" si="1184"/>
        <v>0</v>
      </c>
      <c r="CM175" s="10">
        <f t="shared" ca="1" si="1184"/>
        <v>0</v>
      </c>
      <c r="CN175" s="10">
        <f t="shared" ca="1" si="1184"/>
        <v>0</v>
      </c>
      <c r="CO175" s="10">
        <f t="shared" ca="1" si="1184"/>
        <v>0</v>
      </c>
      <c r="CP175" s="10"/>
    </row>
    <row r="176" spans="1:94" ht="15" thickBot="1">
      <c r="A176" s="9"/>
      <c r="B176" s="168"/>
      <c r="C176" s="17" t="s">
        <v>824</v>
      </c>
      <c r="D176" s="10"/>
      <c r="E176" s="62"/>
      <c r="F176" s="11"/>
      <c r="G176" s="11" t="str">
        <f>Monetary_Unit</f>
        <v>тыс. руб.</v>
      </c>
      <c r="H176" s="10"/>
      <c r="I176" s="23">
        <f ca="1">SUM(L176:CO176)</f>
        <v>0</v>
      </c>
      <c r="J176" s="10"/>
      <c r="K176" s="10"/>
      <c r="L176" s="10">
        <f t="shared" ref="L176:AQ176" ca="1" si="1185" xml:space="preserve"> L153 * CAPEX_Accumulated_From_Date</f>
        <v>0</v>
      </c>
      <c r="M176" s="10">
        <f t="shared" ca="1" si="1185"/>
        <v>0</v>
      </c>
      <c r="N176" s="10">
        <f t="shared" ca="1" si="1185"/>
        <v>0</v>
      </c>
      <c r="O176" s="10">
        <f t="shared" ca="1" si="1185"/>
        <v>0</v>
      </c>
      <c r="P176" s="10">
        <f t="shared" ca="1" si="1185"/>
        <v>0</v>
      </c>
      <c r="Q176" s="10">
        <f t="shared" ca="1" si="1185"/>
        <v>0</v>
      </c>
      <c r="R176" s="10">
        <f t="shared" ca="1" si="1185"/>
        <v>0</v>
      </c>
      <c r="S176" s="10">
        <f t="shared" ca="1" si="1185"/>
        <v>0</v>
      </c>
      <c r="T176" s="10">
        <f t="shared" ca="1" si="1185"/>
        <v>0</v>
      </c>
      <c r="U176" s="10">
        <f t="shared" ca="1" si="1185"/>
        <v>0</v>
      </c>
      <c r="V176" s="10">
        <f t="shared" ca="1" si="1185"/>
        <v>0</v>
      </c>
      <c r="W176" s="10">
        <f t="shared" ca="1" si="1185"/>
        <v>0</v>
      </c>
      <c r="X176" s="10">
        <f t="shared" ca="1" si="1185"/>
        <v>0</v>
      </c>
      <c r="Y176" s="10">
        <f t="shared" ca="1" si="1185"/>
        <v>0</v>
      </c>
      <c r="Z176" s="10">
        <f t="shared" ca="1" si="1185"/>
        <v>0</v>
      </c>
      <c r="AA176" s="10">
        <f t="shared" ca="1" si="1185"/>
        <v>0</v>
      </c>
      <c r="AB176" s="10">
        <f t="shared" ca="1" si="1185"/>
        <v>0</v>
      </c>
      <c r="AC176" s="10">
        <f t="shared" ca="1" si="1185"/>
        <v>0</v>
      </c>
      <c r="AD176" s="10">
        <f t="shared" ca="1" si="1185"/>
        <v>0</v>
      </c>
      <c r="AE176" s="10">
        <f t="shared" ca="1" si="1185"/>
        <v>0</v>
      </c>
      <c r="AF176" s="10">
        <f t="shared" ca="1" si="1185"/>
        <v>0</v>
      </c>
      <c r="AG176" s="10">
        <f t="shared" ca="1" si="1185"/>
        <v>0</v>
      </c>
      <c r="AH176" s="10">
        <f t="shared" ca="1" si="1185"/>
        <v>0</v>
      </c>
      <c r="AI176" s="10">
        <f t="shared" ca="1" si="1185"/>
        <v>0</v>
      </c>
      <c r="AJ176" s="10">
        <f t="shared" ca="1" si="1185"/>
        <v>0</v>
      </c>
      <c r="AK176" s="10">
        <f t="shared" ca="1" si="1185"/>
        <v>0</v>
      </c>
      <c r="AL176" s="10">
        <f t="shared" ca="1" si="1185"/>
        <v>0</v>
      </c>
      <c r="AM176" s="10">
        <f t="shared" ca="1" si="1185"/>
        <v>0</v>
      </c>
      <c r="AN176" s="10">
        <f t="shared" ca="1" si="1185"/>
        <v>0</v>
      </c>
      <c r="AO176" s="10">
        <f t="shared" ca="1" si="1185"/>
        <v>0</v>
      </c>
      <c r="AP176" s="10">
        <f t="shared" ca="1" si="1185"/>
        <v>0</v>
      </c>
      <c r="AQ176" s="10">
        <f t="shared" ca="1" si="1185"/>
        <v>0</v>
      </c>
      <c r="AR176" s="10">
        <f t="shared" ref="AR176:BW176" ca="1" si="1186" xml:space="preserve"> AR153 * CAPEX_Accumulated_From_Date</f>
        <v>0</v>
      </c>
      <c r="AS176" s="10">
        <f t="shared" ca="1" si="1186"/>
        <v>0</v>
      </c>
      <c r="AT176" s="10">
        <f t="shared" ca="1" si="1186"/>
        <v>0</v>
      </c>
      <c r="AU176" s="10">
        <f t="shared" ca="1" si="1186"/>
        <v>0</v>
      </c>
      <c r="AV176" s="10">
        <f t="shared" ca="1" si="1186"/>
        <v>0</v>
      </c>
      <c r="AW176" s="10">
        <f t="shared" ca="1" si="1186"/>
        <v>0</v>
      </c>
      <c r="AX176" s="10">
        <f t="shared" ca="1" si="1186"/>
        <v>0</v>
      </c>
      <c r="AY176" s="10">
        <f t="shared" ca="1" si="1186"/>
        <v>0</v>
      </c>
      <c r="AZ176" s="10">
        <f t="shared" ca="1" si="1186"/>
        <v>0</v>
      </c>
      <c r="BA176" s="10">
        <f t="shared" ca="1" si="1186"/>
        <v>0</v>
      </c>
      <c r="BB176" s="10">
        <f t="shared" ca="1" si="1186"/>
        <v>0</v>
      </c>
      <c r="BC176" s="10">
        <f t="shared" ca="1" si="1186"/>
        <v>0</v>
      </c>
      <c r="BD176" s="10">
        <f t="shared" ca="1" si="1186"/>
        <v>0</v>
      </c>
      <c r="BE176" s="10">
        <f t="shared" ca="1" si="1186"/>
        <v>0</v>
      </c>
      <c r="BF176" s="10">
        <f t="shared" ca="1" si="1186"/>
        <v>0</v>
      </c>
      <c r="BG176" s="10">
        <f t="shared" ca="1" si="1186"/>
        <v>0</v>
      </c>
      <c r="BH176" s="10">
        <f t="shared" ca="1" si="1186"/>
        <v>0</v>
      </c>
      <c r="BI176" s="10">
        <f t="shared" ca="1" si="1186"/>
        <v>0</v>
      </c>
      <c r="BJ176" s="10">
        <f t="shared" ca="1" si="1186"/>
        <v>0</v>
      </c>
      <c r="BK176" s="10">
        <f t="shared" ca="1" si="1186"/>
        <v>0</v>
      </c>
      <c r="BL176" s="10">
        <f t="shared" ca="1" si="1186"/>
        <v>0</v>
      </c>
      <c r="BM176" s="10">
        <f t="shared" ca="1" si="1186"/>
        <v>0</v>
      </c>
      <c r="BN176" s="10">
        <f t="shared" ca="1" si="1186"/>
        <v>0</v>
      </c>
      <c r="BO176" s="10">
        <f t="shared" ca="1" si="1186"/>
        <v>0</v>
      </c>
      <c r="BP176" s="10">
        <f t="shared" ca="1" si="1186"/>
        <v>0</v>
      </c>
      <c r="BQ176" s="10">
        <f t="shared" ca="1" si="1186"/>
        <v>0</v>
      </c>
      <c r="BR176" s="10">
        <f t="shared" ca="1" si="1186"/>
        <v>0</v>
      </c>
      <c r="BS176" s="10">
        <f t="shared" ca="1" si="1186"/>
        <v>0</v>
      </c>
      <c r="BT176" s="10">
        <f t="shared" ca="1" si="1186"/>
        <v>0</v>
      </c>
      <c r="BU176" s="10">
        <f t="shared" ca="1" si="1186"/>
        <v>0</v>
      </c>
      <c r="BV176" s="10">
        <f t="shared" ca="1" si="1186"/>
        <v>0</v>
      </c>
      <c r="BW176" s="10">
        <f t="shared" ca="1" si="1186"/>
        <v>0</v>
      </c>
      <c r="BX176" s="10">
        <f t="shared" ref="BX176:CO176" ca="1" si="1187" xml:space="preserve"> BX153 * CAPEX_Accumulated_From_Date</f>
        <v>0</v>
      </c>
      <c r="BY176" s="10">
        <f t="shared" ca="1" si="1187"/>
        <v>0</v>
      </c>
      <c r="BZ176" s="10">
        <f t="shared" ca="1" si="1187"/>
        <v>0</v>
      </c>
      <c r="CA176" s="10">
        <f t="shared" ca="1" si="1187"/>
        <v>0</v>
      </c>
      <c r="CB176" s="10">
        <f t="shared" ca="1" si="1187"/>
        <v>0</v>
      </c>
      <c r="CC176" s="10">
        <f t="shared" ca="1" si="1187"/>
        <v>0</v>
      </c>
      <c r="CD176" s="10">
        <f t="shared" ca="1" si="1187"/>
        <v>0</v>
      </c>
      <c r="CE176" s="10">
        <f t="shared" ca="1" si="1187"/>
        <v>0</v>
      </c>
      <c r="CF176" s="10">
        <f t="shared" ca="1" si="1187"/>
        <v>0</v>
      </c>
      <c r="CG176" s="10">
        <f t="shared" ca="1" si="1187"/>
        <v>0</v>
      </c>
      <c r="CH176" s="10">
        <f t="shared" ca="1" si="1187"/>
        <v>0</v>
      </c>
      <c r="CI176" s="10">
        <f t="shared" ca="1" si="1187"/>
        <v>0</v>
      </c>
      <c r="CJ176" s="10">
        <f t="shared" ca="1" si="1187"/>
        <v>0</v>
      </c>
      <c r="CK176" s="10">
        <f t="shared" ca="1" si="1187"/>
        <v>0</v>
      </c>
      <c r="CL176" s="10">
        <f t="shared" ca="1" si="1187"/>
        <v>0</v>
      </c>
      <c r="CM176" s="10">
        <f t="shared" ca="1" si="1187"/>
        <v>0</v>
      </c>
      <c r="CN176" s="10">
        <f t="shared" ca="1" si="1187"/>
        <v>0</v>
      </c>
      <c r="CO176" s="10">
        <f t="shared" ca="1" si="1187"/>
        <v>0</v>
      </c>
      <c r="CP176" s="10"/>
    </row>
    <row r="177" spans="1:93" ht="15" thickTop="1">
      <c r="A177" s="77"/>
      <c r="B177" s="101"/>
      <c r="C177" s="49" t="s">
        <v>858</v>
      </c>
      <c r="D177" s="49"/>
      <c r="E177" s="136"/>
      <c r="F177" s="49"/>
      <c r="G177" s="159" t="str">
        <f xml:space="preserve"> Monetary_Unit</f>
        <v>тыс. руб.</v>
      </c>
      <c r="H177" s="49"/>
      <c r="I177" s="23">
        <f ca="1">SUM(L177:CO177)</f>
        <v>0</v>
      </c>
      <c r="J177" s="49"/>
      <c r="K177" s="49"/>
      <c r="L177" s="49">
        <f t="shared" ref="L177:R177" ca="1" si="1188" xml:space="preserve"> SUM(L173:L176)</f>
        <v>0</v>
      </c>
      <c r="M177" s="49">
        <f t="shared" ca="1" si="1188"/>
        <v>0</v>
      </c>
      <c r="N177" s="49">
        <f t="shared" ca="1" si="1188"/>
        <v>0</v>
      </c>
      <c r="O177" s="49">
        <f t="shared" ca="1" si="1188"/>
        <v>0</v>
      </c>
      <c r="P177" s="49">
        <f t="shared" ca="1" si="1188"/>
        <v>0</v>
      </c>
      <c r="Q177" s="49">
        <f t="shared" ca="1" si="1188"/>
        <v>0</v>
      </c>
      <c r="R177" s="49">
        <f t="shared" ca="1" si="1188"/>
        <v>0</v>
      </c>
      <c r="S177" s="49">
        <f t="shared" ref="S177" ca="1" si="1189" xml:space="preserve"> SUM(S173:S176)</f>
        <v>0</v>
      </c>
      <c r="T177" s="49">
        <f t="shared" ref="T177:CE177" ca="1" si="1190" xml:space="preserve"> SUM(T173:T176)</f>
        <v>0</v>
      </c>
      <c r="U177" s="49">
        <f t="shared" ca="1" si="1190"/>
        <v>0</v>
      </c>
      <c r="V177" s="49">
        <f t="shared" ca="1" si="1190"/>
        <v>0</v>
      </c>
      <c r="W177" s="49">
        <f t="shared" ca="1" si="1190"/>
        <v>0</v>
      </c>
      <c r="X177" s="49">
        <f t="shared" ca="1" si="1190"/>
        <v>0</v>
      </c>
      <c r="Y177" s="49">
        <f t="shared" ca="1" si="1190"/>
        <v>0</v>
      </c>
      <c r="Z177" s="49">
        <f t="shared" ca="1" si="1190"/>
        <v>0</v>
      </c>
      <c r="AA177" s="49">
        <f t="shared" ca="1" si="1190"/>
        <v>0</v>
      </c>
      <c r="AB177" s="49">
        <f t="shared" ca="1" si="1190"/>
        <v>0</v>
      </c>
      <c r="AC177" s="49">
        <f t="shared" ca="1" si="1190"/>
        <v>0</v>
      </c>
      <c r="AD177" s="49">
        <f t="shared" ca="1" si="1190"/>
        <v>0</v>
      </c>
      <c r="AE177" s="49">
        <f t="shared" ca="1" si="1190"/>
        <v>0</v>
      </c>
      <c r="AF177" s="49">
        <f t="shared" ca="1" si="1190"/>
        <v>0</v>
      </c>
      <c r="AG177" s="49">
        <f t="shared" ca="1" si="1190"/>
        <v>0</v>
      </c>
      <c r="AH177" s="49">
        <f t="shared" ca="1" si="1190"/>
        <v>0</v>
      </c>
      <c r="AI177" s="49">
        <f t="shared" ca="1" si="1190"/>
        <v>0</v>
      </c>
      <c r="AJ177" s="49">
        <f t="shared" ca="1" si="1190"/>
        <v>0</v>
      </c>
      <c r="AK177" s="49">
        <f t="shared" ca="1" si="1190"/>
        <v>0</v>
      </c>
      <c r="AL177" s="49">
        <f t="shared" ca="1" si="1190"/>
        <v>0</v>
      </c>
      <c r="AM177" s="49">
        <f t="shared" ca="1" si="1190"/>
        <v>0</v>
      </c>
      <c r="AN177" s="49">
        <f t="shared" ca="1" si="1190"/>
        <v>0</v>
      </c>
      <c r="AO177" s="49">
        <f t="shared" ca="1" si="1190"/>
        <v>0</v>
      </c>
      <c r="AP177" s="49">
        <f t="shared" ca="1" si="1190"/>
        <v>0</v>
      </c>
      <c r="AQ177" s="49">
        <f t="shared" ca="1" si="1190"/>
        <v>0</v>
      </c>
      <c r="AR177" s="49">
        <f t="shared" ca="1" si="1190"/>
        <v>0</v>
      </c>
      <c r="AS177" s="49">
        <f t="shared" ca="1" si="1190"/>
        <v>0</v>
      </c>
      <c r="AT177" s="49">
        <f t="shared" ca="1" si="1190"/>
        <v>0</v>
      </c>
      <c r="AU177" s="49">
        <f t="shared" ca="1" si="1190"/>
        <v>0</v>
      </c>
      <c r="AV177" s="49">
        <f t="shared" ca="1" si="1190"/>
        <v>0</v>
      </c>
      <c r="AW177" s="49">
        <f t="shared" ca="1" si="1190"/>
        <v>0</v>
      </c>
      <c r="AX177" s="49">
        <f t="shared" ca="1" si="1190"/>
        <v>0</v>
      </c>
      <c r="AY177" s="49">
        <f t="shared" ca="1" si="1190"/>
        <v>0</v>
      </c>
      <c r="AZ177" s="49">
        <f t="shared" ca="1" si="1190"/>
        <v>0</v>
      </c>
      <c r="BA177" s="49">
        <f t="shared" ca="1" si="1190"/>
        <v>0</v>
      </c>
      <c r="BB177" s="49">
        <f t="shared" ca="1" si="1190"/>
        <v>0</v>
      </c>
      <c r="BC177" s="49">
        <f t="shared" ca="1" si="1190"/>
        <v>0</v>
      </c>
      <c r="BD177" s="49">
        <f t="shared" ca="1" si="1190"/>
        <v>0</v>
      </c>
      <c r="BE177" s="49">
        <f t="shared" ca="1" si="1190"/>
        <v>0</v>
      </c>
      <c r="BF177" s="49">
        <f t="shared" ca="1" si="1190"/>
        <v>0</v>
      </c>
      <c r="BG177" s="49">
        <f t="shared" ca="1" si="1190"/>
        <v>0</v>
      </c>
      <c r="BH177" s="49">
        <f t="shared" ca="1" si="1190"/>
        <v>0</v>
      </c>
      <c r="BI177" s="49">
        <f t="shared" ca="1" si="1190"/>
        <v>0</v>
      </c>
      <c r="BJ177" s="49">
        <f t="shared" ca="1" si="1190"/>
        <v>0</v>
      </c>
      <c r="BK177" s="49">
        <f t="shared" ca="1" si="1190"/>
        <v>0</v>
      </c>
      <c r="BL177" s="49">
        <f t="shared" ca="1" si="1190"/>
        <v>0</v>
      </c>
      <c r="BM177" s="49">
        <f t="shared" ca="1" si="1190"/>
        <v>0</v>
      </c>
      <c r="BN177" s="49">
        <f t="shared" ca="1" si="1190"/>
        <v>0</v>
      </c>
      <c r="BO177" s="49">
        <f t="shared" ca="1" si="1190"/>
        <v>0</v>
      </c>
      <c r="BP177" s="49">
        <f t="shared" ca="1" si="1190"/>
        <v>0</v>
      </c>
      <c r="BQ177" s="49">
        <f t="shared" ca="1" si="1190"/>
        <v>0</v>
      </c>
      <c r="BR177" s="49">
        <f t="shared" ca="1" si="1190"/>
        <v>0</v>
      </c>
      <c r="BS177" s="49">
        <f t="shared" ca="1" si="1190"/>
        <v>0</v>
      </c>
      <c r="BT177" s="49">
        <f t="shared" ca="1" si="1190"/>
        <v>0</v>
      </c>
      <c r="BU177" s="49">
        <f t="shared" ca="1" si="1190"/>
        <v>0</v>
      </c>
      <c r="BV177" s="49">
        <f t="shared" ca="1" si="1190"/>
        <v>0</v>
      </c>
      <c r="BW177" s="49">
        <f t="shared" ca="1" si="1190"/>
        <v>0</v>
      </c>
      <c r="BX177" s="49">
        <f t="shared" ca="1" si="1190"/>
        <v>0</v>
      </c>
      <c r="BY177" s="49">
        <f t="shared" ca="1" si="1190"/>
        <v>0</v>
      </c>
      <c r="BZ177" s="49">
        <f t="shared" ca="1" si="1190"/>
        <v>0</v>
      </c>
      <c r="CA177" s="49">
        <f t="shared" ca="1" si="1190"/>
        <v>0</v>
      </c>
      <c r="CB177" s="49">
        <f t="shared" ca="1" si="1190"/>
        <v>0</v>
      </c>
      <c r="CC177" s="49">
        <f t="shared" ca="1" si="1190"/>
        <v>0</v>
      </c>
      <c r="CD177" s="49">
        <f t="shared" ca="1" si="1190"/>
        <v>0</v>
      </c>
      <c r="CE177" s="49">
        <f t="shared" ca="1" si="1190"/>
        <v>0</v>
      </c>
      <c r="CF177" s="49">
        <f t="shared" ref="CF177:CO177" ca="1" si="1191" xml:space="preserve"> SUM(CF173:CF176)</f>
        <v>0</v>
      </c>
      <c r="CG177" s="49">
        <f t="shared" ca="1" si="1191"/>
        <v>0</v>
      </c>
      <c r="CH177" s="49">
        <f t="shared" ca="1" si="1191"/>
        <v>0</v>
      </c>
      <c r="CI177" s="49">
        <f t="shared" ca="1" si="1191"/>
        <v>0</v>
      </c>
      <c r="CJ177" s="49">
        <f t="shared" ca="1" si="1191"/>
        <v>0</v>
      </c>
      <c r="CK177" s="49">
        <f t="shared" ca="1" si="1191"/>
        <v>0</v>
      </c>
      <c r="CL177" s="49">
        <f t="shared" ca="1" si="1191"/>
        <v>0</v>
      </c>
      <c r="CM177" s="49">
        <f t="shared" ca="1" si="1191"/>
        <v>0</v>
      </c>
      <c r="CN177" s="49">
        <f t="shared" ca="1" si="1191"/>
        <v>0</v>
      </c>
      <c r="CO177" s="49">
        <f t="shared" ca="1" si="1191"/>
        <v>0</v>
      </c>
    </row>
    <row r="178" spans="1:93">
      <c r="A178" s="77"/>
      <c r="B178" s="168"/>
      <c r="C178" s="169"/>
      <c r="D178" s="10"/>
      <c r="E178" s="62"/>
      <c r="F178" s="11"/>
      <c r="G178" s="11"/>
      <c r="H178" s="10"/>
      <c r="I178" s="10" t="str">
        <f ca="1">IF(IFERROR(I177=Предпосылки!H237*I109*$I$104,I177=0),"")</f>
        <v/>
      </c>
      <c r="J178" s="10"/>
      <c r="K178" s="10"/>
      <c r="L178" s="170"/>
      <c r="M178" s="170"/>
      <c r="N178" s="170"/>
      <c r="O178" s="170"/>
      <c r="P178" s="170"/>
      <c r="Q178" s="170"/>
      <c r="R178" s="170"/>
      <c r="S178" s="170"/>
      <c r="T178" s="170"/>
      <c r="U178" s="170"/>
      <c r="V178" s="170"/>
      <c r="W178" s="170"/>
      <c r="X178" s="170"/>
      <c r="Y178" s="170"/>
      <c r="Z178" s="170"/>
      <c r="AA178" s="170"/>
      <c r="AB178" s="170"/>
      <c r="AC178" s="170"/>
      <c r="AD178" s="170"/>
      <c r="AE178" s="170"/>
      <c r="AF178" s="170"/>
      <c r="AG178" s="170"/>
      <c r="AH178" s="170"/>
      <c r="AI178" s="170"/>
      <c r="AJ178" s="170"/>
      <c r="AK178" s="170"/>
      <c r="AL178" s="170"/>
      <c r="AM178" s="170"/>
      <c r="AN178" s="170"/>
      <c r="AO178" s="170"/>
      <c r="AP178" s="170"/>
      <c r="AQ178" s="170"/>
      <c r="AR178" s="170"/>
      <c r="AS178" s="170"/>
      <c r="AT178" s="170"/>
      <c r="AU178" s="170"/>
      <c r="AV178" s="170"/>
      <c r="AW178" s="170"/>
      <c r="AX178" s="170"/>
      <c r="AY178" s="170"/>
      <c r="AZ178" s="170"/>
      <c r="BA178" s="170"/>
      <c r="BB178" s="170"/>
      <c r="BC178" s="170"/>
      <c r="BD178" s="170"/>
      <c r="BE178" s="170"/>
      <c r="BF178" s="170"/>
      <c r="BG178" s="170"/>
      <c r="BH178" s="170"/>
      <c r="BI178" s="170"/>
      <c r="BJ178" s="170"/>
      <c r="BK178" s="170"/>
      <c r="BL178" s="170"/>
      <c r="BM178" s="170"/>
      <c r="BN178" s="170"/>
      <c r="BO178" s="170"/>
      <c r="BP178" s="170"/>
      <c r="BQ178" s="170"/>
      <c r="BR178" s="170"/>
      <c r="BS178" s="170"/>
      <c r="BT178" s="170"/>
      <c r="BU178" s="170"/>
      <c r="BV178" s="170"/>
      <c r="BW178" s="170"/>
      <c r="BX178" s="170"/>
      <c r="BY178" s="170"/>
      <c r="BZ178" s="170"/>
      <c r="CA178" s="170"/>
      <c r="CB178" s="170"/>
      <c r="CC178" s="170"/>
      <c r="CD178" s="170"/>
      <c r="CE178" s="170"/>
      <c r="CF178" s="170"/>
      <c r="CG178" s="170"/>
      <c r="CH178" s="170"/>
      <c r="CI178" s="170"/>
      <c r="CJ178" s="170"/>
      <c r="CK178" s="170"/>
      <c r="CL178" s="170"/>
      <c r="CM178" s="170"/>
      <c r="CN178" s="170"/>
      <c r="CO178" s="170"/>
    </row>
    <row r="179" spans="1:93" ht="15" customHeight="1">
      <c r="A179" s="10"/>
      <c r="B179" s="3"/>
      <c r="C179" s="384" t="str">
        <f>C95</f>
        <v>Сегмент 1: Объект размещения (отель)</v>
      </c>
      <c r="D179" s="273"/>
      <c r="E179" s="273"/>
      <c r="F179" s="273"/>
      <c r="G179" s="274"/>
      <c r="H179" s="273"/>
      <c r="I179" s="273"/>
      <c r="J179" s="273"/>
      <c r="K179" s="273"/>
      <c r="L179" s="273"/>
      <c r="M179" s="273"/>
      <c r="N179" s="273"/>
      <c r="O179" s="273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3"/>
      <c r="AK179" s="273"/>
      <c r="AL179" s="273"/>
      <c r="AM179" s="273"/>
      <c r="AN179" s="273"/>
      <c r="AO179" s="273"/>
      <c r="AP179" s="273"/>
      <c r="AQ179" s="273"/>
      <c r="AR179" s="273"/>
      <c r="AS179" s="273"/>
      <c r="AT179" s="273"/>
      <c r="AU179" s="273"/>
      <c r="AV179" s="273"/>
      <c r="AW179" s="273"/>
      <c r="AX179" s="273"/>
      <c r="AY179" s="273"/>
      <c r="AZ179" s="273"/>
      <c r="BA179" s="273"/>
      <c r="BB179" s="273"/>
      <c r="BC179" s="273"/>
      <c r="BD179" s="273"/>
      <c r="BE179" s="273"/>
      <c r="BF179" s="273"/>
      <c r="BG179" s="273"/>
      <c r="BH179" s="273"/>
      <c r="BI179" s="273"/>
      <c r="BJ179" s="273"/>
      <c r="BK179" s="273"/>
      <c r="BL179" s="273"/>
      <c r="BM179" s="273"/>
      <c r="BN179" s="273"/>
      <c r="BO179" s="273"/>
      <c r="BP179" s="273"/>
      <c r="BQ179" s="273"/>
      <c r="BR179" s="273"/>
      <c r="BS179" s="273"/>
      <c r="BT179" s="273"/>
      <c r="BU179" s="273"/>
      <c r="BV179" s="273"/>
      <c r="BW179" s="273"/>
      <c r="BX179" s="273"/>
      <c r="BY179" s="273"/>
      <c r="BZ179" s="273"/>
      <c r="CA179" s="273"/>
      <c r="CB179" s="273"/>
      <c r="CC179" s="273"/>
      <c r="CD179" s="273"/>
      <c r="CE179" s="273"/>
      <c r="CF179" s="273"/>
      <c r="CG179" s="273"/>
      <c r="CH179" s="273"/>
      <c r="CI179" s="273"/>
      <c r="CJ179" s="273"/>
      <c r="CK179" s="273"/>
      <c r="CL179" s="273"/>
      <c r="CM179" s="273"/>
      <c r="CN179" s="273"/>
      <c r="CO179" s="273"/>
    </row>
    <row r="180" spans="1:93">
      <c r="A180" s="77"/>
      <c r="B180" s="168"/>
      <c r="C180" s="169"/>
      <c r="D180" s="10"/>
      <c r="E180" s="62"/>
      <c r="F180" s="11"/>
      <c r="G180" s="11"/>
      <c r="H180" s="10"/>
      <c r="I180" s="10"/>
      <c r="J180" s="10"/>
      <c r="K180" s="10"/>
      <c r="L180" s="170"/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  <c r="AI180" s="170"/>
      <c r="AJ180" s="170"/>
      <c r="AK180" s="170"/>
      <c r="AL180" s="170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170"/>
      <c r="BB180" s="170"/>
      <c r="BC180" s="170"/>
      <c r="BD180" s="170"/>
      <c r="BE180" s="170"/>
      <c r="BF180" s="170"/>
      <c r="BG180" s="170"/>
      <c r="BH180" s="170"/>
      <c r="BI180" s="170"/>
      <c r="BJ180" s="170"/>
      <c r="BK180" s="170"/>
      <c r="BL180" s="170"/>
      <c r="BM180" s="170"/>
      <c r="BN180" s="170"/>
      <c r="BO180" s="170"/>
      <c r="BP180" s="170"/>
      <c r="BQ180" s="170"/>
      <c r="BR180" s="170"/>
      <c r="BS180" s="170"/>
      <c r="BT180" s="170"/>
      <c r="BU180" s="170"/>
      <c r="BV180" s="170"/>
      <c r="BW180" s="170"/>
      <c r="BX180" s="170"/>
      <c r="BY180" s="170"/>
      <c r="BZ180" s="170"/>
      <c r="CA180" s="170"/>
      <c r="CB180" s="170"/>
      <c r="CC180" s="170"/>
      <c r="CD180" s="170"/>
      <c r="CE180" s="170"/>
      <c r="CF180" s="170"/>
      <c r="CG180" s="170"/>
      <c r="CH180" s="170"/>
      <c r="CI180" s="170"/>
      <c r="CJ180" s="170"/>
      <c r="CK180" s="170"/>
      <c r="CL180" s="170"/>
      <c r="CM180" s="170"/>
      <c r="CN180" s="170"/>
      <c r="CO180" s="170"/>
    </row>
    <row r="181" spans="1:93" ht="16" thickBot="1">
      <c r="A181" s="77"/>
      <c r="B181" s="168"/>
      <c r="C181" s="12" t="s">
        <v>651</v>
      </c>
      <c r="D181" s="12"/>
      <c r="E181" s="12"/>
      <c r="F181" s="12"/>
      <c r="G181" s="362"/>
      <c r="H181" s="12"/>
      <c r="I181" s="12"/>
      <c r="J181" s="10"/>
      <c r="K181" s="10"/>
      <c r="L181" s="170"/>
      <c r="M181" s="170"/>
      <c r="N181" s="170"/>
      <c r="O181" s="170"/>
      <c r="P181" s="170"/>
      <c r="Q181" s="170"/>
      <c r="R181" s="170"/>
      <c r="S181" s="170"/>
      <c r="T181" s="170"/>
      <c r="U181" s="170"/>
      <c r="V181" s="170"/>
      <c r="W181" s="170"/>
      <c r="X181" s="170"/>
      <c r="Y181" s="170"/>
      <c r="Z181" s="170"/>
      <c r="AA181" s="170"/>
      <c r="AB181" s="170"/>
      <c r="AC181" s="170"/>
      <c r="AD181" s="170"/>
      <c r="AE181" s="170"/>
      <c r="AF181" s="170"/>
      <c r="AG181" s="170"/>
      <c r="AH181" s="170"/>
      <c r="AI181" s="170"/>
      <c r="AJ181" s="170"/>
      <c r="AK181" s="170"/>
      <c r="AL181" s="170"/>
      <c r="AM181" s="170"/>
      <c r="AN181" s="170"/>
      <c r="AO181" s="170"/>
      <c r="AP181" s="170"/>
      <c r="AQ181" s="170"/>
      <c r="AR181" s="170"/>
      <c r="AS181" s="170"/>
      <c r="AT181" s="170"/>
      <c r="AU181" s="170"/>
      <c r="AV181" s="170"/>
      <c r="AW181" s="170"/>
      <c r="AX181" s="170"/>
      <c r="AY181" s="170"/>
      <c r="AZ181" s="170"/>
      <c r="BA181" s="170"/>
      <c r="BB181" s="170"/>
      <c r="BC181" s="170"/>
      <c r="BD181" s="170"/>
      <c r="BE181" s="170"/>
      <c r="BF181" s="170"/>
      <c r="BG181" s="170"/>
      <c r="BH181" s="170"/>
      <c r="BI181" s="170"/>
      <c r="BJ181" s="170"/>
      <c r="BK181" s="170"/>
      <c r="BL181" s="170"/>
      <c r="BM181" s="170"/>
      <c r="BN181" s="170"/>
      <c r="BO181" s="170"/>
      <c r="BP181" s="170"/>
      <c r="BQ181" s="170"/>
      <c r="BR181" s="170"/>
      <c r="BS181" s="170"/>
      <c r="BT181" s="170"/>
      <c r="BU181" s="170"/>
      <c r="BV181" s="170"/>
      <c r="BW181" s="170"/>
      <c r="BX181" s="170"/>
      <c r="BY181" s="170"/>
      <c r="BZ181" s="170"/>
      <c r="CA181" s="170"/>
      <c r="CB181" s="170"/>
      <c r="CC181" s="170"/>
      <c r="CD181" s="170"/>
      <c r="CE181" s="170"/>
      <c r="CF181" s="170"/>
      <c r="CG181" s="170"/>
      <c r="CH181" s="170"/>
      <c r="CI181" s="170"/>
      <c r="CJ181" s="170"/>
      <c r="CK181" s="170"/>
      <c r="CL181" s="170"/>
      <c r="CM181" s="170"/>
      <c r="CN181" s="170"/>
      <c r="CO181" s="170"/>
    </row>
    <row r="182" spans="1:93">
      <c r="A182" s="77"/>
      <c r="B182" s="168"/>
      <c r="C182" s="169"/>
      <c r="D182" s="10"/>
      <c r="E182" s="62"/>
      <c r="F182" s="11"/>
      <c r="G182" s="11"/>
      <c r="H182" s="10"/>
      <c r="I182" s="10"/>
      <c r="J182" s="10"/>
      <c r="K182" s="10"/>
      <c r="L182" s="170"/>
      <c r="M182" s="170"/>
      <c r="N182" s="170"/>
      <c r="O182" s="170"/>
      <c r="P182" s="170"/>
      <c r="Q182" s="170"/>
      <c r="R182" s="170"/>
      <c r="S182" s="170"/>
      <c r="T182" s="170"/>
      <c r="U182" s="170"/>
      <c r="V182" s="170"/>
      <c r="W182" s="170"/>
      <c r="X182" s="170"/>
      <c r="Y182" s="170"/>
      <c r="Z182" s="170"/>
      <c r="AA182" s="170"/>
      <c r="AB182" s="170"/>
      <c r="AC182" s="170"/>
      <c r="AD182" s="170"/>
      <c r="AE182" s="170"/>
      <c r="AF182" s="170"/>
      <c r="AG182" s="170"/>
      <c r="AH182" s="170"/>
      <c r="AI182" s="170"/>
      <c r="AJ182" s="170"/>
      <c r="AK182" s="170"/>
      <c r="AL182" s="170"/>
      <c r="AM182" s="170"/>
      <c r="AN182" s="170"/>
      <c r="AO182" s="170"/>
      <c r="AP182" s="170"/>
      <c r="AQ182" s="170"/>
      <c r="AR182" s="170"/>
      <c r="AS182" s="170"/>
      <c r="AT182" s="170"/>
      <c r="AU182" s="170"/>
      <c r="AV182" s="170"/>
      <c r="AW182" s="170"/>
      <c r="AX182" s="170"/>
      <c r="AY182" s="170"/>
      <c r="AZ182" s="170"/>
      <c r="BA182" s="170"/>
      <c r="BB182" s="170"/>
      <c r="BC182" s="170"/>
      <c r="BD182" s="170"/>
      <c r="BE182" s="170"/>
      <c r="BF182" s="170"/>
      <c r="BG182" s="170"/>
      <c r="BH182" s="170"/>
      <c r="BI182" s="170"/>
      <c r="BJ182" s="170"/>
      <c r="BK182" s="170"/>
      <c r="BL182" s="170"/>
      <c r="BM182" s="170"/>
      <c r="BN182" s="170"/>
      <c r="BO182" s="170"/>
      <c r="BP182" s="170"/>
      <c r="BQ182" s="170"/>
      <c r="BR182" s="170"/>
      <c r="BS182" s="170"/>
      <c r="BT182" s="170"/>
      <c r="BU182" s="170"/>
      <c r="BV182" s="170"/>
      <c r="BW182" s="170"/>
      <c r="BX182" s="170"/>
      <c r="BY182" s="170"/>
      <c r="BZ182" s="170"/>
      <c r="CA182" s="170"/>
      <c r="CB182" s="170"/>
      <c r="CC182" s="170"/>
      <c r="CD182" s="170"/>
      <c r="CE182" s="170"/>
      <c r="CF182" s="170"/>
      <c r="CG182" s="170"/>
      <c r="CH182" s="170"/>
      <c r="CI182" s="170"/>
      <c r="CJ182" s="170"/>
      <c r="CK182" s="170"/>
      <c r="CL182" s="170"/>
      <c r="CM182" s="170"/>
      <c r="CN182" s="170"/>
      <c r="CO182" s="170"/>
    </row>
    <row r="183" spans="1:93">
      <c r="A183" s="77"/>
      <c r="B183" s="168"/>
      <c r="C183" s="17" t="s">
        <v>632</v>
      </c>
      <c r="D183" s="10"/>
      <c r="E183" s="184">
        <f xml:space="preserve"> Предпосылки!E285 * $I$112 * $I$95</f>
        <v>102303.31391680001</v>
      </c>
      <c r="F183" s="11"/>
      <c r="G183" s="11" t="str">
        <f t="shared" ref="G183:G188" si="1192">Monetary_Unit</f>
        <v>тыс. руб.</v>
      </c>
      <c r="H183" s="10"/>
      <c r="I183" s="10"/>
      <c r="J183" s="10"/>
      <c r="K183" s="10"/>
      <c r="L183" s="171">
        <f xml:space="preserve"> Предпосылки!L296</f>
        <v>0.25</v>
      </c>
      <c r="M183" s="171">
        <f xml:space="preserve"> Предпосылки!M296</f>
        <v>0.25</v>
      </c>
      <c r="N183" s="171">
        <f xml:space="preserve"> Предпосылки!N296</f>
        <v>0.25</v>
      </c>
      <c r="O183" s="171">
        <f xml:space="preserve"> Предпосылки!O296</f>
        <v>0.25</v>
      </c>
      <c r="P183" s="171">
        <f xml:space="preserve"> Предпосылки!P296</f>
        <v>0</v>
      </c>
      <c r="Q183" s="171">
        <f xml:space="preserve"> Предпосылки!Q296</f>
        <v>0</v>
      </c>
      <c r="R183" s="171">
        <f xml:space="preserve"> Предпосылки!R296</f>
        <v>0</v>
      </c>
      <c r="S183" s="171">
        <f xml:space="preserve"> Предпосылки!S296</f>
        <v>0</v>
      </c>
      <c r="T183" s="171">
        <f xml:space="preserve"> Предпосылки!T296</f>
        <v>0</v>
      </c>
      <c r="U183" s="171">
        <f xml:space="preserve"> Предпосылки!U296</f>
        <v>0</v>
      </c>
      <c r="V183" s="171">
        <f xml:space="preserve"> Предпосылки!V296</f>
        <v>0</v>
      </c>
      <c r="W183" s="171">
        <f xml:space="preserve"> Предпосылки!W296</f>
        <v>0</v>
      </c>
      <c r="X183" s="171">
        <f xml:space="preserve"> Предпосылки!X296</f>
        <v>0</v>
      </c>
      <c r="Y183" s="171">
        <f xml:space="preserve"> Предпосылки!Y296</f>
        <v>0</v>
      </c>
      <c r="Z183" s="171">
        <f xml:space="preserve"> Предпосылки!Z296</f>
        <v>0</v>
      </c>
      <c r="AA183" s="171">
        <f xml:space="preserve"> Предпосылки!AA296</f>
        <v>0</v>
      </c>
      <c r="AB183" s="171">
        <f xml:space="preserve"> Предпосылки!AB296</f>
        <v>0</v>
      </c>
      <c r="AC183" s="171">
        <f xml:space="preserve"> Предпосылки!AC296</f>
        <v>0</v>
      </c>
      <c r="AD183" s="171">
        <f xml:space="preserve"> Предпосылки!AD296</f>
        <v>0</v>
      </c>
      <c r="AE183" s="171">
        <f xml:space="preserve"> Предпосылки!AE296</f>
        <v>0</v>
      </c>
      <c r="AF183" s="171">
        <f xml:space="preserve"> Предпосылки!AF296</f>
        <v>0</v>
      </c>
      <c r="AG183" s="171">
        <f xml:space="preserve"> Предпосылки!AG296</f>
        <v>0</v>
      </c>
      <c r="AH183" s="171">
        <f xml:space="preserve"> Предпосылки!AH296</f>
        <v>0</v>
      </c>
      <c r="AI183" s="171">
        <f xml:space="preserve"> Предпосылки!AI296</f>
        <v>0</v>
      </c>
      <c r="AJ183" s="171">
        <f xml:space="preserve"> Предпосылки!AJ296</f>
        <v>0</v>
      </c>
      <c r="AK183" s="171">
        <f xml:space="preserve"> Предпосылки!AK296</f>
        <v>0</v>
      </c>
      <c r="AL183" s="171">
        <f xml:space="preserve"> Предпосылки!AL296</f>
        <v>0</v>
      </c>
      <c r="AM183" s="171">
        <f xml:space="preserve"> Предпосылки!AM296</f>
        <v>0</v>
      </c>
      <c r="AN183" s="171">
        <f xml:space="preserve"> Предпосылки!AN296</f>
        <v>0</v>
      </c>
      <c r="AO183" s="171">
        <f xml:space="preserve"> Предпосылки!AO296</f>
        <v>0</v>
      </c>
      <c r="AP183" s="171">
        <f xml:space="preserve"> Предпосылки!AP296</f>
        <v>0</v>
      </c>
      <c r="AQ183" s="171">
        <f xml:space="preserve"> Предпосылки!AQ296</f>
        <v>0</v>
      </c>
      <c r="AR183" s="171">
        <f xml:space="preserve"> Предпосылки!AR296</f>
        <v>0</v>
      </c>
      <c r="AS183" s="171">
        <f xml:space="preserve"> Предпосылки!AS296</f>
        <v>0</v>
      </c>
      <c r="AT183" s="171">
        <f xml:space="preserve"> Предпосылки!AT296</f>
        <v>0</v>
      </c>
      <c r="AU183" s="171">
        <f xml:space="preserve"> Предпосылки!AU296</f>
        <v>0</v>
      </c>
      <c r="AV183" s="171">
        <f xml:space="preserve"> Предпосылки!AV296</f>
        <v>0</v>
      </c>
      <c r="AW183" s="171">
        <f xml:space="preserve"> Предпосылки!AW296</f>
        <v>0</v>
      </c>
      <c r="AX183" s="171">
        <f xml:space="preserve"> Предпосылки!AX296</f>
        <v>0</v>
      </c>
      <c r="AY183" s="171">
        <f xml:space="preserve"> Предпосылки!AY296</f>
        <v>0</v>
      </c>
      <c r="AZ183" s="171">
        <f xml:space="preserve"> Предпосылки!AZ296</f>
        <v>0</v>
      </c>
      <c r="BA183" s="171">
        <f xml:space="preserve"> Предпосылки!BA296</f>
        <v>0</v>
      </c>
      <c r="BB183" s="171">
        <f xml:space="preserve"> Предпосылки!BB296</f>
        <v>0</v>
      </c>
      <c r="BC183" s="171">
        <f xml:space="preserve"> Предпосылки!BC296</f>
        <v>0</v>
      </c>
      <c r="BD183" s="171">
        <f xml:space="preserve"> Предпосылки!BD296</f>
        <v>0</v>
      </c>
      <c r="BE183" s="171">
        <f xml:space="preserve"> Предпосылки!BE296</f>
        <v>0</v>
      </c>
      <c r="BF183" s="171">
        <f xml:space="preserve"> Предпосылки!BF296</f>
        <v>0</v>
      </c>
      <c r="BG183" s="171">
        <f xml:space="preserve"> Предпосылки!BG296</f>
        <v>0</v>
      </c>
      <c r="BH183" s="171">
        <f xml:space="preserve"> Предпосылки!BH296</f>
        <v>0</v>
      </c>
      <c r="BI183" s="171">
        <f xml:space="preserve"> Предпосылки!BI296</f>
        <v>0</v>
      </c>
      <c r="BJ183" s="171">
        <f xml:space="preserve"> Предпосылки!BJ296</f>
        <v>0</v>
      </c>
      <c r="BK183" s="171">
        <f xml:space="preserve"> Предпосылки!BK296</f>
        <v>0</v>
      </c>
      <c r="BL183" s="171">
        <f xml:space="preserve"> Предпосылки!BL296</f>
        <v>0</v>
      </c>
      <c r="BM183" s="171">
        <f xml:space="preserve"> Предпосылки!BM296</f>
        <v>0</v>
      </c>
      <c r="BN183" s="171">
        <f xml:space="preserve"> Предпосылки!BN296</f>
        <v>0</v>
      </c>
      <c r="BO183" s="171">
        <f xml:space="preserve"> Предпосылки!BO296</f>
        <v>0</v>
      </c>
      <c r="BP183" s="171">
        <f xml:space="preserve"> Предпосылки!BP296</f>
        <v>0</v>
      </c>
      <c r="BQ183" s="171">
        <f xml:space="preserve"> Предпосылки!BQ296</f>
        <v>0</v>
      </c>
      <c r="BR183" s="171">
        <f xml:space="preserve"> Предпосылки!BR296</f>
        <v>0</v>
      </c>
      <c r="BS183" s="171">
        <f xml:space="preserve"> Предпосылки!BS296</f>
        <v>0</v>
      </c>
      <c r="BT183" s="171">
        <f xml:space="preserve"> Предпосылки!BT296</f>
        <v>0</v>
      </c>
      <c r="BU183" s="171">
        <f xml:space="preserve"> Предпосылки!BU296</f>
        <v>0</v>
      </c>
      <c r="BV183" s="171">
        <f xml:space="preserve"> Предпосылки!BV296</f>
        <v>0</v>
      </c>
      <c r="BW183" s="171">
        <f xml:space="preserve"> Предпосылки!BW296</f>
        <v>0</v>
      </c>
      <c r="BX183" s="171">
        <f xml:space="preserve"> Предпосылки!BX296</f>
        <v>0</v>
      </c>
      <c r="BY183" s="171">
        <f xml:space="preserve"> Предпосылки!BY296</f>
        <v>0</v>
      </c>
      <c r="BZ183" s="171">
        <f xml:space="preserve"> Предпосылки!BZ296</f>
        <v>0</v>
      </c>
      <c r="CA183" s="171">
        <f xml:space="preserve"> Предпосылки!CA296</f>
        <v>0</v>
      </c>
      <c r="CB183" s="171">
        <f xml:space="preserve"> Предпосылки!CB296</f>
        <v>0</v>
      </c>
      <c r="CC183" s="171">
        <f xml:space="preserve"> Предпосылки!CC296</f>
        <v>0</v>
      </c>
      <c r="CD183" s="171">
        <f xml:space="preserve"> Предпосылки!CD296</f>
        <v>0</v>
      </c>
      <c r="CE183" s="171">
        <f xml:space="preserve"> Предпосылки!CE296</f>
        <v>0</v>
      </c>
      <c r="CF183" s="171">
        <f xml:space="preserve"> Предпосылки!CF296</f>
        <v>0</v>
      </c>
      <c r="CG183" s="171">
        <f xml:space="preserve"> Предпосылки!CG296</f>
        <v>0</v>
      </c>
      <c r="CH183" s="171">
        <f xml:space="preserve"> Предпосылки!CH296</f>
        <v>0</v>
      </c>
      <c r="CI183" s="171">
        <f xml:space="preserve"> Предпосылки!CI296</f>
        <v>0</v>
      </c>
      <c r="CJ183" s="171">
        <f xml:space="preserve"> Предпосылки!CJ296</f>
        <v>0</v>
      </c>
      <c r="CK183" s="171">
        <f xml:space="preserve"> Предпосылки!CK296</f>
        <v>0</v>
      </c>
      <c r="CL183" s="171">
        <f xml:space="preserve"> Предпосылки!CL296</f>
        <v>0</v>
      </c>
      <c r="CM183" s="171">
        <f xml:space="preserve"> Предпосылки!CM296</f>
        <v>0</v>
      </c>
      <c r="CN183" s="171">
        <f xml:space="preserve"> Предпосылки!CN296</f>
        <v>0</v>
      </c>
      <c r="CO183" s="171">
        <f xml:space="preserve"> Предпосылки!CO296</f>
        <v>0</v>
      </c>
    </row>
    <row r="184" spans="1:93">
      <c r="A184" s="77"/>
      <c r="B184" s="168"/>
      <c r="C184" s="17" t="s">
        <v>634</v>
      </c>
      <c r="D184" s="10"/>
      <c r="E184" s="184">
        <f xml:space="preserve"> Предпосылки!E286 * $I$112 * $I$95</f>
        <v>0</v>
      </c>
      <c r="F184" s="11"/>
      <c r="G184" s="11" t="str">
        <f t="shared" si="1192"/>
        <v>тыс. руб.</v>
      </c>
      <c r="H184" s="10"/>
      <c r="I184" s="10"/>
      <c r="J184" s="10"/>
      <c r="K184" s="10"/>
      <c r="L184" s="171">
        <f xml:space="preserve"> Предпосылки!L297</f>
        <v>0</v>
      </c>
      <c r="M184" s="171">
        <f xml:space="preserve"> Предпосылки!M297</f>
        <v>0</v>
      </c>
      <c r="N184" s="171">
        <f xml:space="preserve"> Предпосылки!N297</f>
        <v>0</v>
      </c>
      <c r="O184" s="171">
        <f xml:space="preserve"> Предпосылки!O297</f>
        <v>0.2</v>
      </c>
      <c r="P184" s="171">
        <f xml:space="preserve"> Предпосылки!P297</f>
        <v>0.2</v>
      </c>
      <c r="Q184" s="171">
        <f xml:space="preserve"> Предпосылки!Q297</f>
        <v>0.19999999999999998</v>
      </c>
      <c r="R184" s="171">
        <f xml:space="preserve"> Предпосылки!R297</f>
        <v>0.2</v>
      </c>
      <c r="S184" s="171">
        <f xml:space="preserve"> Предпосылки!S297</f>
        <v>0.19999999999999996</v>
      </c>
      <c r="T184" s="171">
        <f xml:space="preserve"> Предпосылки!T297</f>
        <v>0</v>
      </c>
      <c r="U184" s="171">
        <f xml:space="preserve"> Предпосылки!U297</f>
        <v>0</v>
      </c>
      <c r="V184" s="171">
        <f xml:space="preserve"> Предпосылки!V297</f>
        <v>0</v>
      </c>
      <c r="W184" s="171">
        <f xml:space="preserve"> Предпосылки!W297</f>
        <v>0</v>
      </c>
      <c r="X184" s="171">
        <f xml:space="preserve"> Предпосылки!X297</f>
        <v>0</v>
      </c>
      <c r="Y184" s="171">
        <f xml:space="preserve"> Предпосылки!Y297</f>
        <v>0</v>
      </c>
      <c r="Z184" s="171">
        <f xml:space="preserve"> Предпосылки!Z297</f>
        <v>0</v>
      </c>
      <c r="AA184" s="171">
        <f xml:space="preserve"> Предпосылки!AA297</f>
        <v>0</v>
      </c>
      <c r="AB184" s="171">
        <f xml:space="preserve"> Предпосылки!AB297</f>
        <v>0</v>
      </c>
      <c r="AC184" s="171">
        <f xml:space="preserve"> Предпосылки!AC297</f>
        <v>0</v>
      </c>
      <c r="AD184" s="171">
        <f xml:space="preserve"> Предпосылки!AD297</f>
        <v>0</v>
      </c>
      <c r="AE184" s="171">
        <f xml:space="preserve"> Предпосылки!AE297</f>
        <v>0</v>
      </c>
      <c r="AF184" s="171">
        <f xml:space="preserve"> Предпосылки!AF297</f>
        <v>0</v>
      </c>
      <c r="AG184" s="171">
        <f xml:space="preserve"> Предпосылки!AG297</f>
        <v>0</v>
      </c>
      <c r="AH184" s="171">
        <f xml:space="preserve"> Предпосылки!AH297</f>
        <v>0</v>
      </c>
      <c r="AI184" s="171">
        <f xml:space="preserve"> Предпосылки!AI297</f>
        <v>0</v>
      </c>
      <c r="AJ184" s="171">
        <f xml:space="preserve"> Предпосылки!AJ297</f>
        <v>0</v>
      </c>
      <c r="AK184" s="171">
        <f xml:space="preserve"> Предпосылки!AK297</f>
        <v>0</v>
      </c>
      <c r="AL184" s="171">
        <f xml:space="preserve"> Предпосылки!AL297</f>
        <v>0</v>
      </c>
      <c r="AM184" s="171">
        <f xml:space="preserve"> Предпосылки!AM297</f>
        <v>0</v>
      </c>
      <c r="AN184" s="171">
        <f xml:space="preserve"> Предпосылки!AN297</f>
        <v>0</v>
      </c>
      <c r="AO184" s="171">
        <f xml:space="preserve"> Предпосылки!AO297</f>
        <v>0</v>
      </c>
      <c r="AP184" s="171">
        <f xml:space="preserve"> Предпосылки!AP297</f>
        <v>0</v>
      </c>
      <c r="AQ184" s="171">
        <f xml:space="preserve"> Предпосылки!AQ297</f>
        <v>0</v>
      </c>
      <c r="AR184" s="171">
        <f xml:space="preserve"> Предпосылки!AR297</f>
        <v>0</v>
      </c>
      <c r="AS184" s="171">
        <f xml:space="preserve"> Предпосылки!AS297</f>
        <v>0</v>
      </c>
      <c r="AT184" s="171">
        <f xml:space="preserve"> Предпосылки!AT297</f>
        <v>0</v>
      </c>
      <c r="AU184" s="171">
        <f xml:space="preserve"> Предпосылки!AU297</f>
        <v>0</v>
      </c>
      <c r="AV184" s="171">
        <f xml:space="preserve"> Предпосылки!AV297</f>
        <v>0</v>
      </c>
      <c r="AW184" s="171">
        <f xml:space="preserve"> Предпосылки!AW297</f>
        <v>0</v>
      </c>
      <c r="AX184" s="171">
        <f xml:space="preserve"> Предпосылки!AX297</f>
        <v>0</v>
      </c>
      <c r="AY184" s="171">
        <f xml:space="preserve"> Предпосылки!AY297</f>
        <v>0</v>
      </c>
      <c r="AZ184" s="171">
        <f xml:space="preserve"> Предпосылки!AZ297</f>
        <v>0</v>
      </c>
      <c r="BA184" s="171">
        <f xml:space="preserve"> Предпосылки!BA297</f>
        <v>0</v>
      </c>
      <c r="BB184" s="171">
        <f xml:space="preserve"> Предпосылки!BB297</f>
        <v>0</v>
      </c>
      <c r="BC184" s="171">
        <f xml:space="preserve"> Предпосылки!BC297</f>
        <v>0</v>
      </c>
      <c r="BD184" s="171">
        <f xml:space="preserve"> Предпосылки!BD297</f>
        <v>0</v>
      </c>
      <c r="BE184" s="171">
        <f xml:space="preserve"> Предпосылки!BE297</f>
        <v>0</v>
      </c>
      <c r="BF184" s="171">
        <f xml:space="preserve"> Предпосылки!BF297</f>
        <v>0</v>
      </c>
      <c r="BG184" s="171">
        <f xml:space="preserve"> Предпосылки!BG297</f>
        <v>0</v>
      </c>
      <c r="BH184" s="171">
        <f xml:space="preserve"> Предпосылки!BH297</f>
        <v>0</v>
      </c>
      <c r="BI184" s="171">
        <f xml:space="preserve"> Предпосылки!BI297</f>
        <v>0</v>
      </c>
      <c r="BJ184" s="171">
        <f xml:space="preserve"> Предпосылки!BJ297</f>
        <v>0</v>
      </c>
      <c r="BK184" s="171">
        <f xml:space="preserve"> Предпосылки!BK297</f>
        <v>0</v>
      </c>
      <c r="BL184" s="171">
        <f xml:space="preserve"> Предпосылки!BL297</f>
        <v>0</v>
      </c>
      <c r="BM184" s="171">
        <f xml:space="preserve"> Предпосылки!BM297</f>
        <v>0</v>
      </c>
      <c r="BN184" s="171">
        <f xml:space="preserve"> Предпосылки!BN297</f>
        <v>0</v>
      </c>
      <c r="BO184" s="171">
        <f xml:space="preserve"> Предпосылки!BO297</f>
        <v>0</v>
      </c>
      <c r="BP184" s="171">
        <f xml:space="preserve"> Предпосылки!BP297</f>
        <v>0</v>
      </c>
      <c r="BQ184" s="171">
        <f xml:space="preserve"> Предпосылки!BQ297</f>
        <v>0</v>
      </c>
      <c r="BR184" s="171">
        <f xml:space="preserve"> Предпосылки!BR297</f>
        <v>0</v>
      </c>
      <c r="BS184" s="171">
        <f xml:space="preserve"> Предпосылки!BS297</f>
        <v>0</v>
      </c>
      <c r="BT184" s="171">
        <f xml:space="preserve"> Предпосылки!BT297</f>
        <v>0</v>
      </c>
      <c r="BU184" s="171">
        <f xml:space="preserve"> Предпосылки!BU297</f>
        <v>0</v>
      </c>
      <c r="BV184" s="171">
        <f xml:space="preserve"> Предпосылки!BV297</f>
        <v>0</v>
      </c>
      <c r="BW184" s="171">
        <f xml:space="preserve"> Предпосылки!BW297</f>
        <v>0</v>
      </c>
      <c r="BX184" s="171">
        <f xml:space="preserve"> Предпосылки!BX297</f>
        <v>0</v>
      </c>
      <c r="BY184" s="171">
        <f xml:space="preserve"> Предпосылки!BY297</f>
        <v>0</v>
      </c>
      <c r="BZ184" s="171">
        <f xml:space="preserve"> Предпосылки!BZ297</f>
        <v>0</v>
      </c>
      <c r="CA184" s="171">
        <f xml:space="preserve"> Предпосылки!CA297</f>
        <v>0</v>
      </c>
      <c r="CB184" s="171">
        <f xml:space="preserve"> Предпосылки!CB297</f>
        <v>0</v>
      </c>
      <c r="CC184" s="171">
        <f xml:space="preserve"> Предпосылки!CC297</f>
        <v>0</v>
      </c>
      <c r="CD184" s="171">
        <f xml:space="preserve"> Предпосылки!CD297</f>
        <v>0</v>
      </c>
      <c r="CE184" s="171">
        <f xml:space="preserve"> Предпосылки!CE297</f>
        <v>0</v>
      </c>
      <c r="CF184" s="171">
        <f xml:space="preserve"> Предпосылки!CF297</f>
        <v>0</v>
      </c>
      <c r="CG184" s="171">
        <f xml:space="preserve"> Предпосылки!CG297</f>
        <v>0</v>
      </c>
      <c r="CH184" s="171">
        <f xml:space="preserve"> Предпосылки!CH297</f>
        <v>0</v>
      </c>
      <c r="CI184" s="171">
        <f xml:space="preserve"> Предпосылки!CI297</f>
        <v>0</v>
      </c>
      <c r="CJ184" s="171">
        <f xml:space="preserve"> Предпосылки!CJ297</f>
        <v>0</v>
      </c>
      <c r="CK184" s="171">
        <f xml:space="preserve"> Предпосылки!CK297</f>
        <v>0</v>
      </c>
      <c r="CL184" s="171">
        <f xml:space="preserve"> Предпосылки!CL297</f>
        <v>0</v>
      </c>
      <c r="CM184" s="171">
        <f xml:space="preserve"> Предпосылки!CM297</f>
        <v>0</v>
      </c>
      <c r="CN184" s="171">
        <f xml:space="preserve"> Предпосылки!CN297</f>
        <v>0</v>
      </c>
      <c r="CO184" s="171">
        <f xml:space="preserve"> Предпосылки!CO297</f>
        <v>0</v>
      </c>
    </row>
    <row r="185" spans="1:93">
      <c r="A185" s="77"/>
      <c r="B185" s="168"/>
      <c r="C185" s="17" t="s">
        <v>633</v>
      </c>
      <c r="D185" s="10"/>
      <c r="E185" s="184">
        <f xml:space="preserve"> Предпосылки!E287 * $I$112 * $I$95</f>
        <v>2557582.8479200001</v>
      </c>
      <c r="F185" s="11"/>
      <c r="G185" s="11" t="str">
        <f t="shared" si="1192"/>
        <v>тыс. руб.</v>
      </c>
      <c r="H185" s="10"/>
      <c r="I185" s="10"/>
      <c r="J185" s="10"/>
      <c r="K185" s="10"/>
      <c r="L185" s="171">
        <f xml:space="preserve"> Предпосылки!L298</f>
        <v>0</v>
      </c>
      <c r="M185" s="171">
        <f xml:space="preserve"> Предпосылки!M298</f>
        <v>0</v>
      </c>
      <c r="N185" s="171">
        <f xml:space="preserve"> Предпосылки!N298</f>
        <v>0</v>
      </c>
      <c r="O185" s="171">
        <f xml:space="preserve"> Предпосылки!O298</f>
        <v>0</v>
      </c>
      <c r="P185" s="171">
        <f xml:space="preserve"> Предпосылки!P298</f>
        <v>8.3333333333333329E-2</v>
      </c>
      <c r="Q185" s="171">
        <f xml:space="preserve"> Предпосылки!Q298</f>
        <v>8.3333333333333329E-2</v>
      </c>
      <c r="R185" s="171">
        <f xml:space="preserve"> Предпосылки!R298</f>
        <v>8.3333333333333343E-2</v>
      </c>
      <c r="S185" s="171">
        <f xml:space="preserve"> Предпосылки!S298</f>
        <v>8.3333333333333329E-2</v>
      </c>
      <c r="T185" s="171">
        <f xml:space="preserve"> Предпосылки!T298</f>
        <v>8.3333333333333343E-2</v>
      </c>
      <c r="U185" s="171">
        <f xml:space="preserve"> Предпосылки!U298</f>
        <v>8.3333333333333343E-2</v>
      </c>
      <c r="V185" s="171">
        <f xml:space="preserve"> Предпосылки!V298</f>
        <v>8.3333333333333329E-2</v>
      </c>
      <c r="W185" s="171">
        <f xml:space="preserve"> Предпосылки!W298</f>
        <v>8.3333333333333329E-2</v>
      </c>
      <c r="X185" s="171">
        <f xml:space="preserve"> Предпосылки!X298</f>
        <v>8.3333333333333315E-2</v>
      </c>
      <c r="Y185" s="171">
        <f xml:space="preserve"> Предпосылки!Y298</f>
        <v>8.3333333333333329E-2</v>
      </c>
      <c r="Z185" s="171">
        <f xml:space="preserve"> Предпосылки!Z298</f>
        <v>8.3333333333333315E-2</v>
      </c>
      <c r="AA185" s="171">
        <f xml:space="preserve"> Предпосылки!AA298</f>
        <v>8.3333333333333259E-2</v>
      </c>
      <c r="AB185" s="171">
        <f xml:space="preserve"> Предпосылки!AB298</f>
        <v>0</v>
      </c>
      <c r="AC185" s="171">
        <f xml:space="preserve"> Предпосылки!AC298</f>
        <v>0</v>
      </c>
      <c r="AD185" s="171">
        <f xml:space="preserve"> Предпосылки!AD298</f>
        <v>0</v>
      </c>
      <c r="AE185" s="171">
        <f xml:space="preserve"> Предпосылки!AE298</f>
        <v>0</v>
      </c>
      <c r="AF185" s="171">
        <f xml:space="preserve"> Предпосылки!AF298</f>
        <v>0</v>
      </c>
      <c r="AG185" s="171">
        <f xml:space="preserve"> Предпосылки!AG298</f>
        <v>0</v>
      </c>
      <c r="AH185" s="171">
        <f xml:space="preserve"> Предпосылки!AH298</f>
        <v>0</v>
      </c>
      <c r="AI185" s="171">
        <f xml:space="preserve"> Предпосылки!AI298</f>
        <v>0</v>
      </c>
      <c r="AJ185" s="171">
        <f xml:space="preserve"> Предпосылки!AJ298</f>
        <v>0</v>
      </c>
      <c r="AK185" s="171">
        <f xml:space="preserve"> Предпосылки!AK298</f>
        <v>0</v>
      </c>
      <c r="AL185" s="171">
        <f xml:space="preserve"> Предпосылки!AL298</f>
        <v>0</v>
      </c>
      <c r="AM185" s="171">
        <f xml:space="preserve"> Предпосылки!AM298</f>
        <v>0</v>
      </c>
      <c r="AN185" s="171">
        <f xml:space="preserve"> Предпосылки!AN298</f>
        <v>0</v>
      </c>
      <c r="AO185" s="171">
        <f xml:space="preserve"> Предпосылки!AO298</f>
        <v>0</v>
      </c>
      <c r="AP185" s="171">
        <f xml:space="preserve"> Предпосылки!AP298</f>
        <v>0</v>
      </c>
      <c r="AQ185" s="171">
        <f xml:space="preserve"> Предпосылки!AQ298</f>
        <v>0</v>
      </c>
      <c r="AR185" s="171">
        <f xml:space="preserve"> Предпосылки!AR298</f>
        <v>0</v>
      </c>
      <c r="AS185" s="171">
        <f xml:space="preserve"> Предпосылки!AS298</f>
        <v>0</v>
      </c>
      <c r="AT185" s="171">
        <f xml:space="preserve"> Предпосылки!AT298</f>
        <v>0</v>
      </c>
      <c r="AU185" s="171">
        <f xml:space="preserve"> Предпосылки!AU298</f>
        <v>0</v>
      </c>
      <c r="AV185" s="171">
        <f xml:space="preserve"> Предпосылки!AV298</f>
        <v>0</v>
      </c>
      <c r="AW185" s="171">
        <f xml:space="preserve"> Предпосылки!AW298</f>
        <v>0</v>
      </c>
      <c r="AX185" s="171">
        <f xml:space="preserve"> Предпосылки!AX298</f>
        <v>0</v>
      </c>
      <c r="AY185" s="171">
        <f xml:space="preserve"> Предпосылки!AY298</f>
        <v>0</v>
      </c>
      <c r="AZ185" s="171">
        <f xml:space="preserve"> Предпосылки!AZ298</f>
        <v>0</v>
      </c>
      <c r="BA185" s="171">
        <f xml:space="preserve"> Предпосылки!BA298</f>
        <v>0</v>
      </c>
      <c r="BB185" s="171">
        <f xml:space="preserve"> Предпосылки!BB298</f>
        <v>0</v>
      </c>
      <c r="BC185" s="171">
        <f xml:space="preserve"> Предпосылки!BC298</f>
        <v>0</v>
      </c>
      <c r="BD185" s="171">
        <f xml:space="preserve"> Предпосылки!BD298</f>
        <v>0</v>
      </c>
      <c r="BE185" s="171">
        <f xml:space="preserve"> Предпосылки!BE298</f>
        <v>0</v>
      </c>
      <c r="BF185" s="171">
        <f xml:space="preserve"> Предпосылки!BF298</f>
        <v>0</v>
      </c>
      <c r="BG185" s="171">
        <f xml:space="preserve"> Предпосылки!BG298</f>
        <v>0</v>
      </c>
      <c r="BH185" s="171">
        <f xml:space="preserve"> Предпосылки!BH298</f>
        <v>0</v>
      </c>
      <c r="BI185" s="171">
        <f xml:space="preserve"> Предпосылки!BI298</f>
        <v>0</v>
      </c>
      <c r="BJ185" s="171">
        <f xml:space="preserve"> Предпосылки!BJ298</f>
        <v>0</v>
      </c>
      <c r="BK185" s="171">
        <f xml:space="preserve"> Предпосылки!BK298</f>
        <v>0</v>
      </c>
      <c r="BL185" s="171">
        <f xml:space="preserve"> Предпосылки!BL298</f>
        <v>0</v>
      </c>
      <c r="BM185" s="171">
        <f xml:space="preserve"> Предпосылки!BM298</f>
        <v>0</v>
      </c>
      <c r="BN185" s="171">
        <f xml:space="preserve"> Предпосылки!BN298</f>
        <v>0</v>
      </c>
      <c r="BO185" s="171">
        <f xml:space="preserve"> Предпосылки!BO298</f>
        <v>0</v>
      </c>
      <c r="BP185" s="171">
        <f xml:space="preserve"> Предпосылки!BP298</f>
        <v>0</v>
      </c>
      <c r="BQ185" s="171">
        <f xml:space="preserve"> Предпосылки!BQ298</f>
        <v>0</v>
      </c>
      <c r="BR185" s="171">
        <f xml:space="preserve"> Предпосылки!BR298</f>
        <v>0</v>
      </c>
      <c r="BS185" s="171">
        <f xml:space="preserve"> Предпосылки!BS298</f>
        <v>0</v>
      </c>
      <c r="BT185" s="171">
        <f xml:space="preserve"> Предпосылки!BT298</f>
        <v>0</v>
      </c>
      <c r="BU185" s="171">
        <f xml:space="preserve"> Предпосылки!BU298</f>
        <v>0</v>
      </c>
      <c r="BV185" s="171">
        <f xml:space="preserve"> Предпосылки!BV298</f>
        <v>0</v>
      </c>
      <c r="BW185" s="171">
        <f xml:space="preserve"> Предпосылки!BW298</f>
        <v>0</v>
      </c>
      <c r="BX185" s="171">
        <f xml:space="preserve"> Предпосылки!BX298</f>
        <v>0</v>
      </c>
      <c r="BY185" s="171">
        <f xml:space="preserve"> Предпосылки!BY298</f>
        <v>0</v>
      </c>
      <c r="BZ185" s="171">
        <f xml:space="preserve"> Предпосылки!BZ298</f>
        <v>0</v>
      </c>
      <c r="CA185" s="171">
        <f xml:space="preserve"> Предпосылки!CA298</f>
        <v>0</v>
      </c>
      <c r="CB185" s="171">
        <f xml:space="preserve"> Предпосылки!CB298</f>
        <v>0</v>
      </c>
      <c r="CC185" s="171">
        <f xml:space="preserve"> Предпосылки!CC298</f>
        <v>0</v>
      </c>
      <c r="CD185" s="171">
        <f xml:space="preserve"> Предпосылки!CD298</f>
        <v>0</v>
      </c>
      <c r="CE185" s="171">
        <f xml:space="preserve"> Предпосылки!CE298</f>
        <v>0</v>
      </c>
      <c r="CF185" s="171">
        <f xml:space="preserve"> Предпосылки!CF298</f>
        <v>0</v>
      </c>
      <c r="CG185" s="171">
        <f xml:space="preserve"> Предпосылки!CG298</f>
        <v>0</v>
      </c>
      <c r="CH185" s="171">
        <f xml:space="preserve"> Предпосылки!CH298</f>
        <v>0</v>
      </c>
      <c r="CI185" s="171">
        <f xml:space="preserve"> Предпосылки!CI298</f>
        <v>0</v>
      </c>
      <c r="CJ185" s="171">
        <f xml:space="preserve"> Предпосылки!CJ298</f>
        <v>0</v>
      </c>
      <c r="CK185" s="171">
        <f xml:space="preserve"> Предпосылки!CK298</f>
        <v>0</v>
      </c>
      <c r="CL185" s="171">
        <f xml:space="preserve"> Предпосылки!CL298</f>
        <v>0</v>
      </c>
      <c r="CM185" s="171">
        <f xml:space="preserve"> Предпосылки!CM298</f>
        <v>0</v>
      </c>
      <c r="CN185" s="171">
        <f xml:space="preserve"> Предпосылки!CN298</f>
        <v>0</v>
      </c>
      <c r="CO185" s="171">
        <f xml:space="preserve"> Предпосылки!CO298</f>
        <v>0</v>
      </c>
    </row>
    <row r="186" spans="1:93">
      <c r="A186" s="77"/>
      <c r="B186" s="168"/>
      <c r="C186" s="17" t="s">
        <v>635</v>
      </c>
      <c r="D186" s="10"/>
      <c r="E186" s="184">
        <f xml:space="preserve"> Предпосылки!E288 * $I$112 * $I$95</f>
        <v>935820.7</v>
      </c>
      <c r="F186" s="11"/>
      <c r="G186" s="11" t="str">
        <f t="shared" si="1192"/>
        <v>тыс. руб.</v>
      </c>
      <c r="H186" s="10"/>
      <c r="I186" s="10"/>
      <c r="J186" s="10"/>
      <c r="K186" s="10"/>
      <c r="L186" s="171">
        <f xml:space="preserve"> Предпосылки!L299</f>
        <v>0</v>
      </c>
      <c r="M186" s="171">
        <f xml:space="preserve"> Предпосылки!M299</f>
        <v>0</v>
      </c>
      <c r="N186" s="171">
        <f xml:space="preserve"> Предпосылки!N299</f>
        <v>0</v>
      </c>
      <c r="O186" s="171">
        <f xml:space="preserve"> Предпосылки!O299</f>
        <v>0</v>
      </c>
      <c r="P186" s="171">
        <f xml:space="preserve"> Предпосылки!P299</f>
        <v>0</v>
      </c>
      <c r="Q186" s="171">
        <f xml:space="preserve"> Предпосылки!Q299</f>
        <v>0</v>
      </c>
      <c r="R186" s="171">
        <f xml:space="preserve"> Предпосылки!R299</f>
        <v>0</v>
      </c>
      <c r="S186" s="171">
        <f xml:space="preserve"> Предпосылки!S299</f>
        <v>0</v>
      </c>
      <c r="T186" s="171">
        <f xml:space="preserve"> Предпосылки!T299</f>
        <v>0</v>
      </c>
      <c r="U186" s="171">
        <f xml:space="preserve"> Предпосылки!U299</f>
        <v>0</v>
      </c>
      <c r="V186" s="171">
        <f xml:space="preserve"> Предпосылки!V299</f>
        <v>0</v>
      </c>
      <c r="W186" s="171">
        <f xml:space="preserve"> Предпосылки!W299</f>
        <v>0</v>
      </c>
      <c r="X186" s="171">
        <f xml:space="preserve"> Предпосылки!X299</f>
        <v>0.25</v>
      </c>
      <c r="Y186" s="171">
        <f xml:space="preserve"> Предпосылки!Y299</f>
        <v>0.25</v>
      </c>
      <c r="Z186" s="171">
        <f xml:space="preserve"> Предпосылки!Z299</f>
        <v>0.25</v>
      </c>
      <c r="AA186" s="171">
        <f xml:space="preserve"> Предпосылки!AA299</f>
        <v>0.25</v>
      </c>
      <c r="AB186" s="171">
        <f xml:space="preserve"> Предпосылки!AB299</f>
        <v>0</v>
      </c>
      <c r="AC186" s="171">
        <f xml:space="preserve"> Предпосылки!AC299</f>
        <v>0</v>
      </c>
      <c r="AD186" s="171">
        <f xml:space="preserve"> Предпосылки!AD299</f>
        <v>0</v>
      </c>
      <c r="AE186" s="171">
        <f xml:space="preserve"> Предпосылки!AE299</f>
        <v>0</v>
      </c>
      <c r="AF186" s="171">
        <f xml:space="preserve"> Предпосылки!AF299</f>
        <v>0</v>
      </c>
      <c r="AG186" s="171">
        <f xml:space="preserve"> Предпосылки!AG299</f>
        <v>0</v>
      </c>
      <c r="AH186" s="171">
        <f xml:space="preserve"> Предпосылки!AH299</f>
        <v>0</v>
      </c>
      <c r="AI186" s="171">
        <f xml:space="preserve"> Предпосылки!AI299</f>
        <v>0</v>
      </c>
      <c r="AJ186" s="171">
        <f xml:space="preserve"> Предпосылки!AJ299</f>
        <v>0</v>
      </c>
      <c r="AK186" s="171">
        <f xml:space="preserve"> Предпосылки!AK299</f>
        <v>0</v>
      </c>
      <c r="AL186" s="171">
        <f xml:space="preserve"> Предпосылки!AL299</f>
        <v>0</v>
      </c>
      <c r="AM186" s="171">
        <f xml:space="preserve"> Предпосылки!AM299</f>
        <v>0</v>
      </c>
      <c r="AN186" s="171">
        <f xml:space="preserve"> Предпосылки!AN299</f>
        <v>0</v>
      </c>
      <c r="AO186" s="171">
        <f xml:space="preserve"> Предпосылки!AO299</f>
        <v>0</v>
      </c>
      <c r="AP186" s="171">
        <f xml:space="preserve"> Предпосылки!AP299</f>
        <v>0</v>
      </c>
      <c r="AQ186" s="171">
        <f xml:space="preserve"> Предпосылки!AQ299</f>
        <v>0</v>
      </c>
      <c r="AR186" s="171">
        <f xml:space="preserve"> Предпосылки!AR299</f>
        <v>0</v>
      </c>
      <c r="AS186" s="171">
        <f xml:space="preserve"> Предпосылки!AS299</f>
        <v>0</v>
      </c>
      <c r="AT186" s="171">
        <f xml:space="preserve"> Предпосылки!AT299</f>
        <v>0</v>
      </c>
      <c r="AU186" s="171">
        <f xml:space="preserve"> Предпосылки!AU299</f>
        <v>0</v>
      </c>
      <c r="AV186" s="171">
        <f xml:space="preserve"> Предпосылки!AV299</f>
        <v>0</v>
      </c>
      <c r="AW186" s="171">
        <f xml:space="preserve"> Предпосылки!AW299</f>
        <v>0</v>
      </c>
      <c r="AX186" s="171">
        <f xml:space="preserve"> Предпосылки!AX299</f>
        <v>0</v>
      </c>
      <c r="AY186" s="171">
        <f xml:space="preserve"> Предпосылки!AY299</f>
        <v>0</v>
      </c>
      <c r="AZ186" s="171">
        <f xml:space="preserve"> Предпосылки!AZ299</f>
        <v>0</v>
      </c>
      <c r="BA186" s="171">
        <f xml:space="preserve"> Предпосылки!BA299</f>
        <v>0</v>
      </c>
      <c r="BB186" s="171">
        <f xml:space="preserve"> Предпосылки!BB299</f>
        <v>0</v>
      </c>
      <c r="BC186" s="171">
        <f xml:space="preserve"> Предпосылки!BC299</f>
        <v>0</v>
      </c>
      <c r="BD186" s="171">
        <f xml:space="preserve"> Предпосылки!BD299</f>
        <v>0</v>
      </c>
      <c r="BE186" s="171">
        <f xml:space="preserve"> Предпосылки!BE299</f>
        <v>0</v>
      </c>
      <c r="BF186" s="171">
        <f xml:space="preserve"> Предпосылки!BF299</f>
        <v>0</v>
      </c>
      <c r="BG186" s="171">
        <f xml:space="preserve"> Предпосылки!BG299</f>
        <v>0</v>
      </c>
      <c r="BH186" s="171">
        <f xml:space="preserve"> Предпосылки!BH299</f>
        <v>0</v>
      </c>
      <c r="BI186" s="171">
        <f xml:space="preserve"> Предпосылки!BI299</f>
        <v>0</v>
      </c>
      <c r="BJ186" s="171">
        <f xml:space="preserve"> Предпосылки!BJ299</f>
        <v>0</v>
      </c>
      <c r="BK186" s="171">
        <f xml:space="preserve"> Предпосылки!BK299</f>
        <v>0</v>
      </c>
      <c r="BL186" s="171">
        <f xml:space="preserve"> Предпосылки!BL299</f>
        <v>0</v>
      </c>
      <c r="BM186" s="171">
        <f xml:space="preserve"> Предпосылки!BM299</f>
        <v>0</v>
      </c>
      <c r="BN186" s="171">
        <f xml:space="preserve"> Предпосылки!BN299</f>
        <v>0</v>
      </c>
      <c r="BO186" s="171">
        <f xml:space="preserve"> Предпосылки!BO299</f>
        <v>0</v>
      </c>
      <c r="BP186" s="171">
        <f xml:space="preserve"> Предпосылки!BP299</f>
        <v>0</v>
      </c>
      <c r="BQ186" s="171">
        <f xml:space="preserve"> Предпосылки!BQ299</f>
        <v>0</v>
      </c>
      <c r="BR186" s="171">
        <f xml:space="preserve"> Предпосылки!BR299</f>
        <v>0</v>
      </c>
      <c r="BS186" s="171">
        <f xml:space="preserve"> Предпосылки!BS299</f>
        <v>0</v>
      </c>
      <c r="BT186" s="171">
        <f xml:space="preserve"> Предпосылки!BT299</f>
        <v>0</v>
      </c>
      <c r="BU186" s="171">
        <f xml:space="preserve"> Предпосылки!BU299</f>
        <v>0</v>
      </c>
      <c r="BV186" s="171">
        <f xml:space="preserve"> Предпосылки!BV299</f>
        <v>0</v>
      </c>
      <c r="BW186" s="171">
        <f xml:space="preserve"> Предпосылки!BW299</f>
        <v>0</v>
      </c>
      <c r="BX186" s="171">
        <f xml:space="preserve"> Предпосылки!BX299</f>
        <v>0</v>
      </c>
      <c r="BY186" s="171">
        <f xml:space="preserve"> Предпосылки!BY299</f>
        <v>0</v>
      </c>
      <c r="BZ186" s="171">
        <f xml:space="preserve"> Предпосылки!BZ299</f>
        <v>0</v>
      </c>
      <c r="CA186" s="171">
        <f xml:space="preserve"> Предпосылки!CA299</f>
        <v>0</v>
      </c>
      <c r="CB186" s="171">
        <f xml:space="preserve"> Предпосылки!CB299</f>
        <v>0</v>
      </c>
      <c r="CC186" s="171">
        <f xml:space="preserve"> Предпосылки!CC299</f>
        <v>0</v>
      </c>
      <c r="CD186" s="171">
        <f xml:space="preserve"> Предпосылки!CD299</f>
        <v>0</v>
      </c>
      <c r="CE186" s="171">
        <f xml:space="preserve"> Предпосылки!CE299</f>
        <v>0</v>
      </c>
      <c r="CF186" s="171">
        <f xml:space="preserve"> Предпосылки!CF299</f>
        <v>0</v>
      </c>
      <c r="CG186" s="171">
        <f xml:space="preserve"> Предпосылки!CG299</f>
        <v>0</v>
      </c>
      <c r="CH186" s="171">
        <f xml:space="preserve"> Предпосылки!CH299</f>
        <v>0</v>
      </c>
      <c r="CI186" s="171">
        <f xml:space="preserve"> Предпосылки!CI299</f>
        <v>0</v>
      </c>
      <c r="CJ186" s="171">
        <f xml:space="preserve"> Предпосылки!CJ299</f>
        <v>0</v>
      </c>
      <c r="CK186" s="171">
        <f xml:space="preserve"> Предпосылки!CK299</f>
        <v>0</v>
      </c>
      <c r="CL186" s="171">
        <f xml:space="preserve"> Предпосылки!CL299</f>
        <v>0</v>
      </c>
      <c r="CM186" s="171">
        <f xml:space="preserve"> Предпосылки!CM299</f>
        <v>0</v>
      </c>
      <c r="CN186" s="171">
        <f xml:space="preserve"> Предпосылки!CN299</f>
        <v>0</v>
      </c>
      <c r="CO186" s="171">
        <f xml:space="preserve"> Предпосылки!CO299</f>
        <v>0</v>
      </c>
    </row>
    <row r="187" spans="1:93">
      <c r="A187" s="77"/>
      <c r="B187" s="168"/>
      <c r="C187" s="17" t="s">
        <v>1219</v>
      </c>
      <c r="D187" s="10"/>
      <c r="E187" s="184">
        <f xml:space="preserve"> Предпосылки!E289 * $I$112 * $I$95</f>
        <v>452574</v>
      </c>
      <c r="F187" s="11"/>
      <c r="G187" s="11" t="str">
        <f t="shared" si="1192"/>
        <v>тыс. руб.</v>
      </c>
      <c r="H187" s="10"/>
      <c r="I187" s="10"/>
      <c r="J187" s="10"/>
      <c r="K187" s="10"/>
      <c r="L187" s="171">
        <f xml:space="preserve"> Предпосылки!L300</f>
        <v>0</v>
      </c>
      <c r="M187" s="171">
        <f xml:space="preserve"> Предпосылки!M300</f>
        <v>0</v>
      </c>
      <c r="N187" s="171">
        <f xml:space="preserve"> Предпосылки!N300</f>
        <v>0</v>
      </c>
      <c r="O187" s="171">
        <f xml:space="preserve"> Предпосылки!O300</f>
        <v>0</v>
      </c>
      <c r="P187" s="171">
        <f xml:space="preserve"> Предпосылки!P300</f>
        <v>0</v>
      </c>
      <c r="Q187" s="171">
        <f xml:space="preserve"> Предпосылки!Q300</f>
        <v>0</v>
      </c>
      <c r="R187" s="171">
        <f xml:space="preserve"> Предпосылки!R300</f>
        <v>0</v>
      </c>
      <c r="S187" s="171">
        <f xml:space="preserve"> Предпосылки!S300</f>
        <v>0</v>
      </c>
      <c r="T187" s="171">
        <f xml:space="preserve"> Предпосылки!T300</f>
        <v>0</v>
      </c>
      <c r="U187" s="171">
        <f xml:space="preserve"> Предпосылки!U300</f>
        <v>0</v>
      </c>
      <c r="V187" s="171">
        <f xml:space="preserve"> Предпосылки!V300</f>
        <v>0</v>
      </c>
      <c r="W187" s="171">
        <f xml:space="preserve"> Предпосылки!W300</f>
        <v>0</v>
      </c>
      <c r="X187" s="171">
        <f xml:space="preserve"> Предпосылки!X300</f>
        <v>0</v>
      </c>
      <c r="Y187" s="171">
        <f xml:space="preserve"> Предпосылки!Y300</f>
        <v>0</v>
      </c>
      <c r="Z187" s="171">
        <f xml:space="preserve"> Предпосылки!Z300</f>
        <v>0</v>
      </c>
      <c r="AA187" s="171">
        <f xml:space="preserve"> Предпосылки!AA300</f>
        <v>0</v>
      </c>
      <c r="AB187" s="171">
        <f xml:space="preserve"> Предпосылки!AB300</f>
        <v>1</v>
      </c>
      <c r="AC187" s="171">
        <f xml:space="preserve"> Предпосылки!AC300</f>
        <v>0</v>
      </c>
      <c r="AD187" s="171">
        <f xml:space="preserve"> Предпосылки!AD300</f>
        <v>0</v>
      </c>
      <c r="AE187" s="171">
        <f xml:space="preserve"> Предпосылки!AE300</f>
        <v>0</v>
      </c>
      <c r="AF187" s="171">
        <f xml:space="preserve"> Предпосылки!AF300</f>
        <v>0</v>
      </c>
      <c r="AG187" s="171">
        <f xml:space="preserve"> Предпосылки!AG300</f>
        <v>0</v>
      </c>
      <c r="AH187" s="171">
        <f xml:space="preserve"> Предпосылки!AH300</f>
        <v>0</v>
      </c>
      <c r="AI187" s="171">
        <f xml:space="preserve"> Предпосылки!AI300</f>
        <v>0</v>
      </c>
      <c r="AJ187" s="171">
        <f xml:space="preserve"> Предпосылки!AJ300</f>
        <v>0</v>
      </c>
      <c r="AK187" s="171">
        <f xml:space="preserve"> Предпосылки!AK300</f>
        <v>0</v>
      </c>
      <c r="AL187" s="171">
        <f xml:space="preserve"> Предпосылки!AL300</f>
        <v>0</v>
      </c>
      <c r="AM187" s="171">
        <f xml:space="preserve"> Предпосылки!AM300</f>
        <v>0</v>
      </c>
      <c r="AN187" s="171">
        <f xml:space="preserve"> Предпосылки!AN300</f>
        <v>0</v>
      </c>
      <c r="AO187" s="171">
        <f xml:space="preserve"> Предпосылки!AO300</f>
        <v>0</v>
      </c>
      <c r="AP187" s="171">
        <f xml:space="preserve"> Предпосылки!AP300</f>
        <v>0</v>
      </c>
      <c r="AQ187" s="171">
        <f xml:space="preserve"> Предпосылки!AQ300</f>
        <v>0</v>
      </c>
      <c r="AR187" s="171">
        <f xml:space="preserve"> Предпосылки!AR300</f>
        <v>0</v>
      </c>
      <c r="AS187" s="171">
        <f xml:space="preserve"> Предпосылки!AS300</f>
        <v>0</v>
      </c>
      <c r="AT187" s="171">
        <f xml:space="preserve"> Предпосылки!AT300</f>
        <v>0</v>
      </c>
      <c r="AU187" s="171">
        <f xml:space="preserve"> Предпосылки!AU300</f>
        <v>0</v>
      </c>
      <c r="AV187" s="171">
        <f xml:space="preserve"> Предпосылки!AV300</f>
        <v>0</v>
      </c>
      <c r="AW187" s="171">
        <f xml:space="preserve"> Предпосылки!AW300</f>
        <v>0</v>
      </c>
      <c r="AX187" s="171">
        <f xml:space="preserve"> Предпосылки!AX300</f>
        <v>0</v>
      </c>
      <c r="AY187" s="171">
        <f xml:space="preserve"> Предпосылки!AY300</f>
        <v>0</v>
      </c>
      <c r="AZ187" s="171">
        <f xml:space="preserve"> Предпосылки!AZ300</f>
        <v>0</v>
      </c>
      <c r="BA187" s="171">
        <f xml:space="preserve"> Предпосылки!BA300</f>
        <v>0</v>
      </c>
      <c r="BB187" s="171">
        <f xml:space="preserve"> Предпосылки!BB300</f>
        <v>0</v>
      </c>
      <c r="BC187" s="171">
        <f xml:space="preserve"> Предпосылки!BC300</f>
        <v>0</v>
      </c>
      <c r="BD187" s="171">
        <f xml:space="preserve"> Предпосылки!BD300</f>
        <v>0</v>
      </c>
      <c r="BE187" s="171">
        <f xml:space="preserve"> Предпосылки!BE300</f>
        <v>0</v>
      </c>
      <c r="BF187" s="171">
        <f xml:space="preserve"> Предпосылки!BF300</f>
        <v>0</v>
      </c>
      <c r="BG187" s="171">
        <f xml:space="preserve"> Предпосылки!BG300</f>
        <v>0</v>
      </c>
      <c r="BH187" s="171">
        <f xml:space="preserve"> Предпосылки!BH300</f>
        <v>0</v>
      </c>
      <c r="BI187" s="171">
        <f xml:space="preserve"> Предпосылки!BI300</f>
        <v>0</v>
      </c>
      <c r="BJ187" s="171">
        <f xml:space="preserve"> Предпосылки!BJ300</f>
        <v>0</v>
      </c>
      <c r="BK187" s="171">
        <f xml:space="preserve"> Предпосылки!BK300</f>
        <v>0</v>
      </c>
      <c r="BL187" s="171">
        <f xml:space="preserve"> Предпосылки!BL300</f>
        <v>0</v>
      </c>
      <c r="BM187" s="171">
        <f xml:space="preserve"> Предпосылки!BM300</f>
        <v>0</v>
      </c>
      <c r="BN187" s="171">
        <f xml:space="preserve"> Предпосылки!BN300</f>
        <v>0</v>
      </c>
      <c r="BO187" s="171">
        <f xml:space="preserve"> Предпосылки!BO300</f>
        <v>0</v>
      </c>
      <c r="BP187" s="171">
        <f xml:space="preserve"> Предпосылки!BP300</f>
        <v>0</v>
      </c>
      <c r="BQ187" s="171">
        <f xml:space="preserve"> Предпосылки!BQ300</f>
        <v>0</v>
      </c>
      <c r="BR187" s="171">
        <f xml:space="preserve"> Предпосылки!BR300</f>
        <v>0</v>
      </c>
      <c r="BS187" s="171">
        <f xml:space="preserve"> Предпосылки!BS300</f>
        <v>0</v>
      </c>
      <c r="BT187" s="171">
        <f xml:space="preserve"> Предпосылки!BT300</f>
        <v>0</v>
      </c>
      <c r="BU187" s="171">
        <f xml:space="preserve"> Предпосылки!BU300</f>
        <v>0</v>
      </c>
      <c r="BV187" s="171">
        <f xml:space="preserve"> Предпосылки!BV300</f>
        <v>0</v>
      </c>
      <c r="BW187" s="171">
        <f xml:space="preserve"> Предпосылки!BW300</f>
        <v>0</v>
      </c>
      <c r="BX187" s="171">
        <f xml:space="preserve"> Предпосылки!BX300</f>
        <v>0</v>
      </c>
      <c r="BY187" s="171">
        <f xml:space="preserve"> Предпосылки!BY300</f>
        <v>0</v>
      </c>
      <c r="BZ187" s="171">
        <f xml:space="preserve"> Предпосылки!BZ300</f>
        <v>0</v>
      </c>
      <c r="CA187" s="171">
        <f xml:space="preserve"> Предпосылки!CA300</f>
        <v>0</v>
      </c>
      <c r="CB187" s="171">
        <f xml:space="preserve"> Предпосылки!CB300</f>
        <v>0</v>
      </c>
      <c r="CC187" s="171">
        <f xml:space="preserve"> Предпосылки!CC300</f>
        <v>0</v>
      </c>
      <c r="CD187" s="171">
        <f xml:space="preserve"> Предпосылки!CD300</f>
        <v>0</v>
      </c>
      <c r="CE187" s="171">
        <f xml:space="preserve"> Предпосылки!CE300</f>
        <v>0</v>
      </c>
      <c r="CF187" s="171">
        <f xml:space="preserve"> Предпосылки!CF300</f>
        <v>0</v>
      </c>
      <c r="CG187" s="171">
        <f xml:space="preserve"> Предпосылки!CG300</f>
        <v>0</v>
      </c>
      <c r="CH187" s="171">
        <f xml:space="preserve"> Предпосылки!CH300</f>
        <v>0</v>
      </c>
      <c r="CI187" s="171">
        <f xml:space="preserve"> Предпосылки!CI300</f>
        <v>0</v>
      </c>
      <c r="CJ187" s="171">
        <f xml:space="preserve"> Предпосылки!CJ300</f>
        <v>0</v>
      </c>
      <c r="CK187" s="171">
        <f xml:space="preserve"> Предпосылки!CK300</f>
        <v>0</v>
      </c>
      <c r="CL187" s="171">
        <f xml:space="preserve"> Предпосылки!CL300</f>
        <v>0</v>
      </c>
      <c r="CM187" s="171">
        <f xml:space="preserve"> Предпосылки!CM300</f>
        <v>0</v>
      </c>
      <c r="CN187" s="171">
        <f xml:space="preserve"> Предпосылки!CN300</f>
        <v>0</v>
      </c>
      <c r="CO187" s="171">
        <f xml:space="preserve"> Предпосылки!CO300</f>
        <v>0</v>
      </c>
    </row>
    <row r="188" spans="1:93">
      <c r="A188" s="77"/>
      <c r="B188" s="168"/>
      <c r="C188" s="17" t="s">
        <v>1220</v>
      </c>
      <c r="D188" s="10"/>
      <c r="E188" s="184">
        <f>Предпосылки!E290</f>
        <v>122763.97670016001</v>
      </c>
      <c r="F188" s="11"/>
      <c r="G188" s="11" t="str">
        <f t="shared" si="1192"/>
        <v>тыс. руб.</v>
      </c>
      <c r="H188" s="10"/>
      <c r="I188" s="10"/>
      <c r="J188" s="10"/>
      <c r="K188" s="10"/>
      <c r="L188" s="171">
        <f xml:space="preserve"> Предпосылки!L301</f>
        <v>0</v>
      </c>
      <c r="M188" s="171">
        <f xml:space="preserve"> Предпосылки!M301</f>
        <v>0</v>
      </c>
      <c r="N188" s="171">
        <f xml:space="preserve"> Предпосылки!N301</f>
        <v>0</v>
      </c>
      <c r="O188" s="171">
        <f xml:space="preserve"> Предпосылки!O301</f>
        <v>0</v>
      </c>
      <c r="P188" s="171">
        <f xml:space="preserve"> Предпосылки!P301</f>
        <v>0</v>
      </c>
      <c r="Q188" s="171">
        <f xml:space="preserve"> Предпосылки!Q301</f>
        <v>0</v>
      </c>
      <c r="R188" s="171">
        <f xml:space="preserve"> Предпосылки!R301</f>
        <v>0</v>
      </c>
      <c r="S188" s="171">
        <f xml:space="preserve"> Предпосылки!S301</f>
        <v>0</v>
      </c>
      <c r="T188" s="171">
        <f xml:space="preserve"> Предпосылки!T301</f>
        <v>0</v>
      </c>
      <c r="U188" s="171">
        <f xml:space="preserve"> Предпосылки!U301</f>
        <v>0</v>
      </c>
      <c r="V188" s="171">
        <f xml:space="preserve"> Предпосылки!V301</f>
        <v>0</v>
      </c>
      <c r="W188" s="171">
        <f xml:space="preserve"> Предпосылки!W301</f>
        <v>0</v>
      </c>
      <c r="X188" s="171">
        <f xml:space="preserve"> Предпосылки!X301</f>
        <v>0</v>
      </c>
      <c r="Y188" s="171">
        <f xml:space="preserve"> Предпосылки!Y301</f>
        <v>0</v>
      </c>
      <c r="Z188" s="171">
        <f xml:space="preserve"> Предпосылки!Z301</f>
        <v>0</v>
      </c>
      <c r="AA188" s="171">
        <f xml:space="preserve"> Предпосылки!AA301</f>
        <v>0</v>
      </c>
      <c r="AB188" s="171">
        <f xml:space="preserve"> Предпосылки!AB301</f>
        <v>1</v>
      </c>
      <c r="AC188" s="171">
        <f xml:space="preserve"> Предпосылки!AC301</f>
        <v>0</v>
      </c>
      <c r="AD188" s="171">
        <f xml:space="preserve"> Предпосылки!AD301</f>
        <v>0</v>
      </c>
      <c r="AE188" s="171">
        <f xml:space="preserve"> Предпосылки!AE301</f>
        <v>0</v>
      </c>
      <c r="AF188" s="171">
        <f xml:space="preserve"> Предпосылки!AF301</f>
        <v>0</v>
      </c>
      <c r="AG188" s="171">
        <f xml:space="preserve"> Предпосылки!AG301</f>
        <v>0</v>
      </c>
      <c r="AH188" s="171">
        <f xml:space="preserve"> Предпосылки!AH301</f>
        <v>0</v>
      </c>
      <c r="AI188" s="171">
        <f xml:space="preserve"> Предпосылки!AI301</f>
        <v>0</v>
      </c>
      <c r="AJ188" s="171">
        <f xml:space="preserve"> Предпосылки!AJ301</f>
        <v>0</v>
      </c>
      <c r="AK188" s="171">
        <f xml:space="preserve"> Предпосылки!AK301</f>
        <v>0</v>
      </c>
      <c r="AL188" s="171">
        <f xml:space="preserve"> Предпосылки!AL301</f>
        <v>0</v>
      </c>
      <c r="AM188" s="171">
        <f xml:space="preserve"> Предпосылки!AM301</f>
        <v>0</v>
      </c>
      <c r="AN188" s="171">
        <f xml:space="preserve"> Предпосылки!AN301</f>
        <v>0</v>
      </c>
      <c r="AO188" s="171">
        <f xml:space="preserve"> Предпосылки!AO301</f>
        <v>0</v>
      </c>
      <c r="AP188" s="171">
        <f xml:space="preserve"> Предпосылки!AP301</f>
        <v>0</v>
      </c>
      <c r="AQ188" s="171">
        <f xml:space="preserve"> Предпосылки!AQ301</f>
        <v>0</v>
      </c>
      <c r="AR188" s="171">
        <f xml:space="preserve"> Предпосылки!AR301</f>
        <v>0</v>
      </c>
      <c r="AS188" s="171">
        <f xml:space="preserve"> Предпосылки!AS301</f>
        <v>0</v>
      </c>
      <c r="AT188" s="171">
        <f xml:space="preserve"> Предпосылки!AT301</f>
        <v>0</v>
      </c>
      <c r="AU188" s="171">
        <f xml:space="preserve"> Предпосылки!AU301</f>
        <v>0</v>
      </c>
      <c r="AV188" s="171">
        <f xml:space="preserve"> Предпосылки!AV301</f>
        <v>0</v>
      </c>
      <c r="AW188" s="171">
        <f xml:space="preserve"> Предпосылки!AW301</f>
        <v>0</v>
      </c>
      <c r="AX188" s="171">
        <f xml:space="preserve"> Предпосылки!AX301</f>
        <v>0</v>
      </c>
      <c r="AY188" s="171">
        <f xml:space="preserve"> Предпосылки!AY301</f>
        <v>0</v>
      </c>
      <c r="AZ188" s="171">
        <f xml:space="preserve"> Предпосылки!AZ301</f>
        <v>0</v>
      </c>
      <c r="BA188" s="171">
        <f xml:space="preserve"> Предпосылки!BA301</f>
        <v>0</v>
      </c>
      <c r="BB188" s="171">
        <f xml:space="preserve"> Предпосылки!BB301</f>
        <v>0</v>
      </c>
      <c r="BC188" s="171">
        <f xml:space="preserve"> Предпосылки!BC301</f>
        <v>0</v>
      </c>
      <c r="BD188" s="171">
        <f xml:space="preserve"> Предпосылки!BD301</f>
        <v>0</v>
      </c>
      <c r="BE188" s="171">
        <f xml:space="preserve"> Предпосылки!BE301</f>
        <v>0</v>
      </c>
      <c r="BF188" s="171">
        <f xml:space="preserve"> Предпосылки!BF301</f>
        <v>0</v>
      </c>
      <c r="BG188" s="171">
        <f xml:space="preserve"> Предпосылки!BG301</f>
        <v>0</v>
      </c>
      <c r="BH188" s="171">
        <f xml:space="preserve"> Предпосылки!BH301</f>
        <v>0</v>
      </c>
      <c r="BI188" s="171">
        <f xml:space="preserve"> Предпосылки!BI301</f>
        <v>0</v>
      </c>
      <c r="BJ188" s="171">
        <f xml:space="preserve"> Предпосылки!BJ301</f>
        <v>0</v>
      </c>
      <c r="BK188" s="171">
        <f xml:space="preserve"> Предпосылки!BK301</f>
        <v>0</v>
      </c>
      <c r="BL188" s="171">
        <f xml:space="preserve"> Предпосылки!BL301</f>
        <v>0</v>
      </c>
      <c r="BM188" s="171">
        <f xml:space="preserve"> Предпосылки!BM301</f>
        <v>0</v>
      </c>
      <c r="BN188" s="171">
        <f xml:space="preserve"> Предпосылки!BN301</f>
        <v>0</v>
      </c>
      <c r="BO188" s="171">
        <f xml:space="preserve"> Предпосылки!BO301</f>
        <v>0</v>
      </c>
      <c r="BP188" s="171">
        <f xml:space="preserve"> Предпосылки!BP301</f>
        <v>0</v>
      </c>
      <c r="BQ188" s="171">
        <f xml:space="preserve"> Предпосылки!BQ301</f>
        <v>0</v>
      </c>
      <c r="BR188" s="171">
        <f xml:space="preserve"> Предпосылки!BR301</f>
        <v>0</v>
      </c>
      <c r="BS188" s="171">
        <f xml:space="preserve"> Предпосылки!BS301</f>
        <v>0</v>
      </c>
      <c r="BT188" s="171">
        <f xml:space="preserve"> Предпосылки!BT301</f>
        <v>0</v>
      </c>
      <c r="BU188" s="171">
        <f xml:space="preserve"> Предпосылки!BU301</f>
        <v>0</v>
      </c>
      <c r="BV188" s="171">
        <f xml:space="preserve"> Предпосылки!BV301</f>
        <v>0</v>
      </c>
      <c r="BW188" s="171">
        <f xml:space="preserve"> Предпосылки!BW301</f>
        <v>0</v>
      </c>
      <c r="BX188" s="171">
        <f xml:space="preserve"> Предпосылки!BX301</f>
        <v>0</v>
      </c>
      <c r="BY188" s="171">
        <f xml:space="preserve"> Предпосылки!BY301</f>
        <v>0</v>
      </c>
      <c r="BZ188" s="171">
        <f xml:space="preserve"> Предпосылки!BZ301</f>
        <v>0</v>
      </c>
      <c r="CA188" s="171">
        <f xml:space="preserve"> Предпосылки!CA301</f>
        <v>0</v>
      </c>
      <c r="CB188" s="171">
        <f xml:space="preserve"> Предпосылки!CB301</f>
        <v>0</v>
      </c>
      <c r="CC188" s="171">
        <f xml:space="preserve"> Предпосылки!CC301</f>
        <v>0</v>
      </c>
      <c r="CD188" s="171">
        <f xml:space="preserve"> Предпосылки!CD301</f>
        <v>0</v>
      </c>
      <c r="CE188" s="171">
        <f xml:space="preserve"> Предпосылки!CE301</f>
        <v>0</v>
      </c>
      <c r="CF188" s="171">
        <f xml:space="preserve"> Предпосылки!CF301</f>
        <v>0</v>
      </c>
      <c r="CG188" s="171">
        <f xml:space="preserve"> Предпосылки!CG301</f>
        <v>0</v>
      </c>
      <c r="CH188" s="171">
        <f xml:space="preserve"> Предпосылки!CH301</f>
        <v>0</v>
      </c>
      <c r="CI188" s="171">
        <f xml:space="preserve"> Предпосылки!CI301</f>
        <v>0</v>
      </c>
      <c r="CJ188" s="171">
        <f xml:space="preserve"> Предпосылки!CJ301</f>
        <v>0</v>
      </c>
      <c r="CK188" s="171">
        <f xml:space="preserve"> Предпосылки!CK301</f>
        <v>0</v>
      </c>
      <c r="CL188" s="171">
        <f xml:space="preserve"> Предпосылки!CL301</f>
        <v>0</v>
      </c>
      <c r="CM188" s="171">
        <f xml:space="preserve"> Предпосылки!CM301</f>
        <v>0</v>
      </c>
      <c r="CN188" s="171">
        <f xml:space="preserve"> Предпосылки!CN301</f>
        <v>0</v>
      </c>
      <c r="CO188" s="171">
        <f xml:space="preserve"> Предпосылки!CO301</f>
        <v>0</v>
      </c>
    </row>
    <row r="189" spans="1:93">
      <c r="A189" s="77"/>
      <c r="B189" s="168"/>
      <c r="C189" s="17" t="s">
        <v>629</v>
      </c>
      <c r="D189" s="10"/>
      <c r="E189" s="232">
        <f xml:space="preserve"> Предпосылки!E281</f>
        <v>0</v>
      </c>
      <c r="F189" s="11"/>
      <c r="G189" s="11" t="s">
        <v>627</v>
      </c>
      <c r="H189" s="10"/>
      <c r="I189" s="10"/>
      <c r="J189" s="10"/>
      <c r="K189" s="1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  <c r="Z189" s="170"/>
      <c r="AA189" s="170"/>
      <c r="AB189" s="170"/>
      <c r="AC189" s="170"/>
      <c r="AD189" s="170"/>
      <c r="AE189" s="170"/>
      <c r="AF189" s="170"/>
      <c r="AG189" s="170"/>
      <c r="AH189" s="170"/>
      <c r="AI189" s="170"/>
      <c r="AJ189" s="170"/>
      <c r="AK189" s="170"/>
      <c r="AL189" s="170"/>
      <c r="AM189" s="170"/>
      <c r="AN189" s="170"/>
      <c r="AO189" s="170"/>
      <c r="AP189" s="170"/>
      <c r="AQ189" s="170"/>
      <c r="AR189" s="170"/>
      <c r="AS189" s="170"/>
      <c r="AT189" s="170"/>
      <c r="AU189" s="170"/>
      <c r="AV189" s="170"/>
      <c r="AW189" s="170"/>
      <c r="AX189" s="170"/>
      <c r="AY189" s="170"/>
      <c r="AZ189" s="170"/>
      <c r="BA189" s="170"/>
      <c r="BB189" s="170"/>
      <c r="BC189" s="170"/>
      <c r="BD189" s="170"/>
      <c r="BE189" s="170"/>
      <c r="BF189" s="170"/>
      <c r="BG189" s="170"/>
      <c r="BH189" s="170"/>
      <c r="BI189" s="170"/>
      <c r="BJ189" s="170"/>
      <c r="BK189" s="170"/>
      <c r="BL189" s="170"/>
      <c r="BM189" s="170"/>
      <c r="BN189" s="170"/>
      <c r="BO189" s="170"/>
      <c r="BP189" s="170"/>
      <c r="BQ189" s="170"/>
      <c r="BR189" s="170"/>
      <c r="BS189" s="170"/>
      <c r="BT189" s="170"/>
      <c r="BU189" s="170"/>
      <c r="BV189" s="170"/>
      <c r="BW189" s="170"/>
      <c r="BX189" s="170"/>
      <c r="BY189" s="170"/>
      <c r="BZ189" s="170"/>
      <c r="CA189" s="170"/>
      <c r="CB189" s="170"/>
      <c r="CC189" s="170"/>
      <c r="CD189" s="170"/>
      <c r="CE189" s="170"/>
      <c r="CF189" s="170"/>
      <c r="CG189" s="170"/>
      <c r="CH189" s="170"/>
      <c r="CI189" s="170"/>
      <c r="CJ189" s="170"/>
      <c r="CK189" s="170"/>
      <c r="CL189" s="170"/>
      <c r="CM189" s="170"/>
      <c r="CN189" s="170"/>
      <c r="CO189" s="170"/>
    </row>
    <row r="190" spans="1:93">
      <c r="A190" s="77"/>
      <c r="B190" s="168"/>
      <c r="C190" s="17" t="s">
        <v>630</v>
      </c>
      <c r="D190" s="10"/>
      <c r="E190" s="232">
        <f xml:space="preserve"> Предпосылки!E282</f>
        <v>0</v>
      </c>
      <c r="F190" s="11"/>
      <c r="G190" s="11" t="s">
        <v>631</v>
      </c>
      <c r="H190" s="10"/>
      <c r="I190" s="10"/>
      <c r="J190" s="10"/>
      <c r="K190" s="1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Z190" s="170"/>
      <c r="AA190" s="170"/>
      <c r="AB190" s="170"/>
      <c r="AC190" s="170"/>
      <c r="AD190" s="170"/>
      <c r="AE190" s="170"/>
      <c r="AF190" s="170"/>
      <c r="AG190" s="170"/>
      <c r="AH190" s="170"/>
      <c r="AI190" s="170"/>
      <c r="AJ190" s="170"/>
      <c r="AK190" s="170"/>
      <c r="AL190" s="170"/>
      <c r="AM190" s="170"/>
      <c r="AN190" s="170"/>
      <c r="AO190" s="170"/>
      <c r="AP190" s="170"/>
      <c r="AQ190" s="170"/>
      <c r="AR190" s="170"/>
      <c r="AS190" s="170"/>
      <c r="AT190" s="170"/>
      <c r="AU190" s="170"/>
      <c r="AV190" s="170"/>
      <c r="AW190" s="170"/>
      <c r="AX190" s="170"/>
      <c r="AY190" s="170"/>
      <c r="AZ190" s="170"/>
      <c r="BA190" s="170"/>
      <c r="BB190" s="170"/>
      <c r="BC190" s="170"/>
      <c r="BD190" s="170"/>
      <c r="BE190" s="170"/>
      <c r="BF190" s="170"/>
      <c r="BG190" s="170"/>
      <c r="BH190" s="170"/>
      <c r="BI190" s="170"/>
      <c r="BJ190" s="170"/>
      <c r="BK190" s="170"/>
      <c r="BL190" s="170"/>
      <c r="BM190" s="170"/>
      <c r="BN190" s="170"/>
      <c r="BO190" s="170"/>
      <c r="BP190" s="170"/>
      <c r="BQ190" s="170"/>
      <c r="BR190" s="170"/>
      <c r="BS190" s="170"/>
      <c r="BT190" s="170"/>
      <c r="BU190" s="170"/>
      <c r="BV190" s="170"/>
      <c r="BW190" s="170"/>
      <c r="BX190" s="170"/>
      <c r="BY190" s="170"/>
      <c r="BZ190" s="170"/>
      <c r="CA190" s="170"/>
      <c r="CB190" s="170"/>
      <c r="CC190" s="170"/>
      <c r="CD190" s="170"/>
      <c r="CE190" s="170"/>
      <c r="CF190" s="170"/>
      <c r="CG190" s="170"/>
      <c r="CH190" s="170"/>
      <c r="CI190" s="170"/>
      <c r="CJ190" s="170"/>
      <c r="CK190" s="170"/>
      <c r="CL190" s="170"/>
      <c r="CM190" s="170"/>
      <c r="CN190" s="170"/>
      <c r="CO190" s="170"/>
    </row>
    <row r="191" spans="1:93">
      <c r="A191" s="77"/>
      <c r="B191" s="168"/>
      <c r="C191" s="169"/>
      <c r="D191" s="10"/>
      <c r="E191" s="62"/>
      <c r="F191" s="11"/>
      <c r="G191" s="11"/>
      <c r="H191" s="10"/>
      <c r="I191" s="10"/>
      <c r="J191" s="10"/>
      <c r="K191" s="1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Z191" s="170"/>
      <c r="AA191" s="170"/>
      <c r="AB191" s="170"/>
      <c r="AC191" s="170"/>
      <c r="AD191" s="170"/>
      <c r="AE191" s="170"/>
      <c r="AF191" s="170"/>
      <c r="AG191" s="170"/>
      <c r="AH191" s="170"/>
      <c r="AI191" s="170"/>
      <c r="AJ191" s="170"/>
      <c r="AK191" s="170"/>
      <c r="AL191" s="170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0"/>
      <c r="BC191" s="170"/>
      <c r="BD191" s="170"/>
      <c r="BE191" s="170"/>
      <c r="BF191" s="170"/>
      <c r="BG191" s="170"/>
      <c r="BH191" s="170"/>
      <c r="BI191" s="170"/>
      <c r="BJ191" s="170"/>
      <c r="BK191" s="170"/>
      <c r="BL191" s="170"/>
      <c r="BM191" s="170"/>
      <c r="BN191" s="170"/>
      <c r="BO191" s="170"/>
      <c r="BP191" s="170"/>
      <c r="BQ191" s="170"/>
      <c r="BR191" s="170"/>
      <c r="BS191" s="170"/>
      <c r="BT191" s="170"/>
      <c r="BU191" s="170"/>
      <c r="BV191" s="170"/>
      <c r="BW191" s="170"/>
      <c r="BX191" s="170"/>
      <c r="BY191" s="170"/>
      <c r="BZ191" s="170"/>
      <c r="CA191" s="170"/>
      <c r="CB191" s="170"/>
      <c r="CC191" s="170"/>
      <c r="CD191" s="170"/>
      <c r="CE191" s="170"/>
      <c r="CF191" s="170"/>
      <c r="CG191" s="170"/>
      <c r="CH191" s="170"/>
      <c r="CI191" s="170"/>
      <c r="CJ191" s="170"/>
      <c r="CK191" s="170"/>
      <c r="CL191" s="170"/>
      <c r="CM191" s="170"/>
      <c r="CN191" s="170"/>
      <c r="CO191" s="170"/>
    </row>
    <row r="192" spans="1:93">
      <c r="A192" s="77"/>
      <c r="B192" s="168"/>
      <c r="C192" s="17" t="s">
        <v>632</v>
      </c>
      <c r="D192" s="10"/>
      <c r="E192" s="62"/>
      <c r="F192" s="11"/>
      <c r="G192" s="11" t="str">
        <f t="shared" ref="G192:G199" si="1193">Monetary_Unit</f>
        <v>тыс. руб.</v>
      </c>
      <c r="H192" s="10"/>
      <c r="I192" s="23">
        <f t="shared" ref="I192:I200" si="1194">SUM(L192:CO192)</f>
        <v>102303.31391680001</v>
      </c>
      <c r="J192" s="10"/>
      <c r="K192" s="10"/>
      <c r="L192" s="10">
        <f xml:space="preserve"> $E183 * L183</f>
        <v>25575.828479200001</v>
      </c>
      <c r="M192" s="10">
        <f t="shared" ref="M192:BX192" si="1195" xml:space="preserve"> $E183 * M183</f>
        <v>25575.828479200001</v>
      </c>
      <c r="N192" s="10">
        <f t="shared" si="1195"/>
        <v>25575.828479200001</v>
      </c>
      <c r="O192" s="10">
        <f t="shared" si="1195"/>
        <v>25575.828479200001</v>
      </c>
      <c r="P192" s="10">
        <f t="shared" si="1195"/>
        <v>0</v>
      </c>
      <c r="Q192" s="10">
        <f t="shared" si="1195"/>
        <v>0</v>
      </c>
      <c r="R192" s="10">
        <f t="shared" si="1195"/>
        <v>0</v>
      </c>
      <c r="S192" s="10">
        <f t="shared" si="1195"/>
        <v>0</v>
      </c>
      <c r="T192" s="10">
        <f t="shared" si="1195"/>
        <v>0</v>
      </c>
      <c r="U192" s="10">
        <f t="shared" si="1195"/>
        <v>0</v>
      </c>
      <c r="V192" s="10">
        <f t="shared" si="1195"/>
        <v>0</v>
      </c>
      <c r="W192" s="10">
        <f t="shared" si="1195"/>
        <v>0</v>
      </c>
      <c r="X192" s="10">
        <f t="shared" si="1195"/>
        <v>0</v>
      </c>
      <c r="Y192" s="10">
        <f t="shared" si="1195"/>
        <v>0</v>
      </c>
      <c r="Z192" s="10">
        <f t="shared" si="1195"/>
        <v>0</v>
      </c>
      <c r="AA192" s="10">
        <f t="shared" si="1195"/>
        <v>0</v>
      </c>
      <c r="AB192" s="10">
        <f t="shared" si="1195"/>
        <v>0</v>
      </c>
      <c r="AC192" s="10">
        <f t="shared" si="1195"/>
        <v>0</v>
      </c>
      <c r="AD192" s="10">
        <f t="shared" si="1195"/>
        <v>0</v>
      </c>
      <c r="AE192" s="10">
        <f t="shared" si="1195"/>
        <v>0</v>
      </c>
      <c r="AF192" s="10">
        <f t="shared" si="1195"/>
        <v>0</v>
      </c>
      <c r="AG192" s="10">
        <f t="shared" si="1195"/>
        <v>0</v>
      </c>
      <c r="AH192" s="10">
        <f t="shared" si="1195"/>
        <v>0</v>
      </c>
      <c r="AI192" s="10">
        <f t="shared" si="1195"/>
        <v>0</v>
      </c>
      <c r="AJ192" s="10">
        <f t="shared" si="1195"/>
        <v>0</v>
      </c>
      <c r="AK192" s="10">
        <f t="shared" si="1195"/>
        <v>0</v>
      </c>
      <c r="AL192" s="10">
        <f t="shared" si="1195"/>
        <v>0</v>
      </c>
      <c r="AM192" s="10">
        <f t="shared" si="1195"/>
        <v>0</v>
      </c>
      <c r="AN192" s="10">
        <f t="shared" si="1195"/>
        <v>0</v>
      </c>
      <c r="AO192" s="10">
        <f t="shared" si="1195"/>
        <v>0</v>
      </c>
      <c r="AP192" s="10">
        <f t="shared" si="1195"/>
        <v>0</v>
      </c>
      <c r="AQ192" s="10">
        <f t="shared" si="1195"/>
        <v>0</v>
      </c>
      <c r="AR192" s="10">
        <f t="shared" si="1195"/>
        <v>0</v>
      </c>
      <c r="AS192" s="10">
        <f t="shared" si="1195"/>
        <v>0</v>
      </c>
      <c r="AT192" s="10">
        <f t="shared" si="1195"/>
        <v>0</v>
      </c>
      <c r="AU192" s="10">
        <f t="shared" si="1195"/>
        <v>0</v>
      </c>
      <c r="AV192" s="10">
        <f t="shared" si="1195"/>
        <v>0</v>
      </c>
      <c r="AW192" s="10">
        <f t="shared" si="1195"/>
        <v>0</v>
      </c>
      <c r="AX192" s="10">
        <f t="shared" si="1195"/>
        <v>0</v>
      </c>
      <c r="AY192" s="10">
        <f t="shared" si="1195"/>
        <v>0</v>
      </c>
      <c r="AZ192" s="10">
        <f t="shared" si="1195"/>
        <v>0</v>
      </c>
      <c r="BA192" s="10">
        <f t="shared" si="1195"/>
        <v>0</v>
      </c>
      <c r="BB192" s="10">
        <f t="shared" si="1195"/>
        <v>0</v>
      </c>
      <c r="BC192" s="10">
        <f t="shared" si="1195"/>
        <v>0</v>
      </c>
      <c r="BD192" s="10">
        <f t="shared" si="1195"/>
        <v>0</v>
      </c>
      <c r="BE192" s="10">
        <f t="shared" si="1195"/>
        <v>0</v>
      </c>
      <c r="BF192" s="10">
        <f t="shared" si="1195"/>
        <v>0</v>
      </c>
      <c r="BG192" s="10">
        <f t="shared" si="1195"/>
        <v>0</v>
      </c>
      <c r="BH192" s="10">
        <f t="shared" si="1195"/>
        <v>0</v>
      </c>
      <c r="BI192" s="10">
        <f t="shared" si="1195"/>
        <v>0</v>
      </c>
      <c r="BJ192" s="10">
        <f t="shared" si="1195"/>
        <v>0</v>
      </c>
      <c r="BK192" s="10">
        <f t="shared" si="1195"/>
        <v>0</v>
      </c>
      <c r="BL192" s="10">
        <f t="shared" si="1195"/>
        <v>0</v>
      </c>
      <c r="BM192" s="10">
        <f t="shared" si="1195"/>
        <v>0</v>
      </c>
      <c r="BN192" s="10">
        <f t="shared" si="1195"/>
        <v>0</v>
      </c>
      <c r="BO192" s="10">
        <f t="shared" si="1195"/>
        <v>0</v>
      </c>
      <c r="BP192" s="10">
        <f t="shared" si="1195"/>
        <v>0</v>
      </c>
      <c r="BQ192" s="10">
        <f t="shared" si="1195"/>
        <v>0</v>
      </c>
      <c r="BR192" s="10">
        <f t="shared" si="1195"/>
        <v>0</v>
      </c>
      <c r="BS192" s="10">
        <f t="shared" si="1195"/>
        <v>0</v>
      </c>
      <c r="BT192" s="10">
        <f t="shared" si="1195"/>
        <v>0</v>
      </c>
      <c r="BU192" s="10">
        <f t="shared" si="1195"/>
        <v>0</v>
      </c>
      <c r="BV192" s="10">
        <f t="shared" si="1195"/>
        <v>0</v>
      </c>
      <c r="BW192" s="10">
        <f t="shared" si="1195"/>
        <v>0</v>
      </c>
      <c r="BX192" s="10">
        <f t="shared" si="1195"/>
        <v>0</v>
      </c>
      <c r="BY192" s="10">
        <f t="shared" ref="BY192:CO192" si="1196" xml:space="preserve"> $E183 * BY183</f>
        <v>0</v>
      </c>
      <c r="BZ192" s="10">
        <f t="shared" si="1196"/>
        <v>0</v>
      </c>
      <c r="CA192" s="10">
        <f t="shared" si="1196"/>
        <v>0</v>
      </c>
      <c r="CB192" s="10">
        <f t="shared" si="1196"/>
        <v>0</v>
      </c>
      <c r="CC192" s="10">
        <f t="shared" si="1196"/>
        <v>0</v>
      </c>
      <c r="CD192" s="10">
        <f t="shared" si="1196"/>
        <v>0</v>
      </c>
      <c r="CE192" s="10">
        <f t="shared" si="1196"/>
        <v>0</v>
      </c>
      <c r="CF192" s="10">
        <f t="shared" si="1196"/>
        <v>0</v>
      </c>
      <c r="CG192" s="10">
        <f t="shared" si="1196"/>
        <v>0</v>
      </c>
      <c r="CH192" s="10">
        <f t="shared" si="1196"/>
        <v>0</v>
      </c>
      <c r="CI192" s="10">
        <f t="shared" si="1196"/>
        <v>0</v>
      </c>
      <c r="CJ192" s="10">
        <f t="shared" si="1196"/>
        <v>0</v>
      </c>
      <c r="CK192" s="10">
        <f t="shared" si="1196"/>
        <v>0</v>
      </c>
      <c r="CL192" s="10">
        <f t="shared" si="1196"/>
        <v>0</v>
      </c>
      <c r="CM192" s="10">
        <f t="shared" si="1196"/>
        <v>0</v>
      </c>
      <c r="CN192" s="10">
        <f t="shared" si="1196"/>
        <v>0</v>
      </c>
      <c r="CO192" s="10">
        <f t="shared" si="1196"/>
        <v>0</v>
      </c>
    </row>
    <row r="193" spans="1:93">
      <c r="A193" s="77"/>
      <c r="B193" s="168"/>
      <c r="C193" s="17" t="s">
        <v>634</v>
      </c>
      <c r="D193" s="10"/>
      <c r="E193" s="62"/>
      <c r="F193" s="11"/>
      <c r="G193" s="11" t="str">
        <f t="shared" si="1193"/>
        <v>тыс. руб.</v>
      </c>
      <c r="H193" s="10"/>
      <c r="I193" s="23">
        <f t="shared" si="1194"/>
        <v>0</v>
      </c>
      <c r="J193" s="10"/>
      <c r="K193" s="10"/>
      <c r="L193" s="10">
        <f t="shared" ref="L193:BW193" si="1197" xml:space="preserve"> $E184 * L184</f>
        <v>0</v>
      </c>
      <c r="M193" s="10">
        <f t="shared" si="1197"/>
        <v>0</v>
      </c>
      <c r="N193" s="10">
        <f t="shared" si="1197"/>
        <v>0</v>
      </c>
      <c r="O193" s="10">
        <f t="shared" si="1197"/>
        <v>0</v>
      </c>
      <c r="P193" s="10">
        <f t="shared" si="1197"/>
        <v>0</v>
      </c>
      <c r="Q193" s="10">
        <f t="shared" si="1197"/>
        <v>0</v>
      </c>
      <c r="R193" s="10">
        <f t="shared" si="1197"/>
        <v>0</v>
      </c>
      <c r="S193" s="10">
        <f t="shared" si="1197"/>
        <v>0</v>
      </c>
      <c r="T193" s="10">
        <f t="shared" si="1197"/>
        <v>0</v>
      </c>
      <c r="U193" s="10">
        <f t="shared" si="1197"/>
        <v>0</v>
      </c>
      <c r="V193" s="10">
        <f t="shared" si="1197"/>
        <v>0</v>
      </c>
      <c r="W193" s="10">
        <f t="shared" si="1197"/>
        <v>0</v>
      </c>
      <c r="X193" s="10">
        <f t="shared" si="1197"/>
        <v>0</v>
      </c>
      <c r="Y193" s="10">
        <f t="shared" si="1197"/>
        <v>0</v>
      </c>
      <c r="Z193" s="10">
        <f t="shared" si="1197"/>
        <v>0</v>
      </c>
      <c r="AA193" s="10">
        <f t="shared" si="1197"/>
        <v>0</v>
      </c>
      <c r="AB193" s="10">
        <f t="shared" si="1197"/>
        <v>0</v>
      </c>
      <c r="AC193" s="10">
        <f t="shared" si="1197"/>
        <v>0</v>
      </c>
      <c r="AD193" s="10">
        <f t="shared" si="1197"/>
        <v>0</v>
      </c>
      <c r="AE193" s="10">
        <f t="shared" si="1197"/>
        <v>0</v>
      </c>
      <c r="AF193" s="10">
        <f t="shared" si="1197"/>
        <v>0</v>
      </c>
      <c r="AG193" s="10">
        <f t="shared" si="1197"/>
        <v>0</v>
      </c>
      <c r="AH193" s="10">
        <f t="shared" si="1197"/>
        <v>0</v>
      </c>
      <c r="AI193" s="10">
        <f t="shared" si="1197"/>
        <v>0</v>
      </c>
      <c r="AJ193" s="10">
        <f t="shared" si="1197"/>
        <v>0</v>
      </c>
      <c r="AK193" s="10">
        <f t="shared" si="1197"/>
        <v>0</v>
      </c>
      <c r="AL193" s="10">
        <f t="shared" si="1197"/>
        <v>0</v>
      </c>
      <c r="AM193" s="10">
        <f t="shared" si="1197"/>
        <v>0</v>
      </c>
      <c r="AN193" s="10">
        <f t="shared" si="1197"/>
        <v>0</v>
      </c>
      <c r="AO193" s="10">
        <f t="shared" si="1197"/>
        <v>0</v>
      </c>
      <c r="AP193" s="10">
        <f t="shared" si="1197"/>
        <v>0</v>
      </c>
      <c r="AQ193" s="10">
        <f t="shared" si="1197"/>
        <v>0</v>
      </c>
      <c r="AR193" s="10">
        <f t="shared" si="1197"/>
        <v>0</v>
      </c>
      <c r="AS193" s="10">
        <f t="shared" si="1197"/>
        <v>0</v>
      </c>
      <c r="AT193" s="10">
        <f t="shared" si="1197"/>
        <v>0</v>
      </c>
      <c r="AU193" s="10">
        <f t="shared" si="1197"/>
        <v>0</v>
      </c>
      <c r="AV193" s="10">
        <f t="shared" si="1197"/>
        <v>0</v>
      </c>
      <c r="AW193" s="10">
        <f t="shared" si="1197"/>
        <v>0</v>
      </c>
      <c r="AX193" s="10">
        <f t="shared" si="1197"/>
        <v>0</v>
      </c>
      <c r="AY193" s="10">
        <f t="shared" si="1197"/>
        <v>0</v>
      </c>
      <c r="AZ193" s="10">
        <f t="shared" si="1197"/>
        <v>0</v>
      </c>
      <c r="BA193" s="10">
        <f t="shared" si="1197"/>
        <v>0</v>
      </c>
      <c r="BB193" s="10">
        <f t="shared" si="1197"/>
        <v>0</v>
      </c>
      <c r="BC193" s="10">
        <f t="shared" si="1197"/>
        <v>0</v>
      </c>
      <c r="BD193" s="10">
        <f t="shared" si="1197"/>
        <v>0</v>
      </c>
      <c r="BE193" s="10">
        <f t="shared" si="1197"/>
        <v>0</v>
      </c>
      <c r="BF193" s="10">
        <f t="shared" si="1197"/>
        <v>0</v>
      </c>
      <c r="BG193" s="10">
        <f t="shared" si="1197"/>
        <v>0</v>
      </c>
      <c r="BH193" s="10">
        <f t="shared" si="1197"/>
        <v>0</v>
      </c>
      <c r="BI193" s="10">
        <f t="shared" si="1197"/>
        <v>0</v>
      </c>
      <c r="BJ193" s="10">
        <f t="shared" si="1197"/>
        <v>0</v>
      </c>
      <c r="BK193" s="10">
        <f t="shared" si="1197"/>
        <v>0</v>
      </c>
      <c r="BL193" s="10">
        <f t="shared" si="1197"/>
        <v>0</v>
      </c>
      <c r="BM193" s="10">
        <f t="shared" si="1197"/>
        <v>0</v>
      </c>
      <c r="BN193" s="10">
        <f t="shared" si="1197"/>
        <v>0</v>
      </c>
      <c r="BO193" s="10">
        <f t="shared" si="1197"/>
        <v>0</v>
      </c>
      <c r="BP193" s="10">
        <f t="shared" si="1197"/>
        <v>0</v>
      </c>
      <c r="BQ193" s="10">
        <f t="shared" si="1197"/>
        <v>0</v>
      </c>
      <c r="BR193" s="10">
        <f t="shared" si="1197"/>
        <v>0</v>
      </c>
      <c r="BS193" s="10">
        <f t="shared" si="1197"/>
        <v>0</v>
      </c>
      <c r="BT193" s="10">
        <f t="shared" si="1197"/>
        <v>0</v>
      </c>
      <c r="BU193" s="10">
        <f t="shared" si="1197"/>
        <v>0</v>
      </c>
      <c r="BV193" s="10">
        <f t="shared" si="1197"/>
        <v>0</v>
      </c>
      <c r="BW193" s="10">
        <f t="shared" si="1197"/>
        <v>0</v>
      </c>
      <c r="BX193" s="10">
        <f t="shared" ref="BX193:CO193" si="1198" xml:space="preserve"> $E184 * BX184</f>
        <v>0</v>
      </c>
      <c r="BY193" s="10">
        <f t="shared" si="1198"/>
        <v>0</v>
      </c>
      <c r="BZ193" s="10">
        <f t="shared" si="1198"/>
        <v>0</v>
      </c>
      <c r="CA193" s="10">
        <f t="shared" si="1198"/>
        <v>0</v>
      </c>
      <c r="CB193" s="10">
        <f t="shared" si="1198"/>
        <v>0</v>
      </c>
      <c r="CC193" s="10">
        <f t="shared" si="1198"/>
        <v>0</v>
      </c>
      <c r="CD193" s="10">
        <f t="shared" si="1198"/>
        <v>0</v>
      </c>
      <c r="CE193" s="10">
        <f t="shared" si="1198"/>
        <v>0</v>
      </c>
      <c r="CF193" s="10">
        <f t="shared" si="1198"/>
        <v>0</v>
      </c>
      <c r="CG193" s="10">
        <f t="shared" si="1198"/>
        <v>0</v>
      </c>
      <c r="CH193" s="10">
        <f t="shared" si="1198"/>
        <v>0</v>
      </c>
      <c r="CI193" s="10">
        <f t="shared" si="1198"/>
        <v>0</v>
      </c>
      <c r="CJ193" s="10">
        <f t="shared" si="1198"/>
        <v>0</v>
      </c>
      <c r="CK193" s="10">
        <f t="shared" si="1198"/>
        <v>0</v>
      </c>
      <c r="CL193" s="10">
        <f t="shared" si="1198"/>
        <v>0</v>
      </c>
      <c r="CM193" s="10">
        <f t="shared" si="1198"/>
        <v>0</v>
      </c>
      <c r="CN193" s="10">
        <f t="shared" si="1198"/>
        <v>0</v>
      </c>
      <c r="CO193" s="10">
        <f t="shared" si="1198"/>
        <v>0</v>
      </c>
    </row>
    <row r="194" spans="1:93">
      <c r="A194" s="77"/>
      <c r="B194" s="168"/>
      <c r="C194" s="17" t="s">
        <v>633</v>
      </c>
      <c r="D194" s="10"/>
      <c r="E194" s="62"/>
      <c r="F194" s="11"/>
      <c r="G194" s="11" t="str">
        <f t="shared" si="1193"/>
        <v>тыс. руб.</v>
      </c>
      <c r="H194" s="10"/>
      <c r="I194" s="23">
        <f t="shared" si="1194"/>
        <v>2557582.8479199996</v>
      </c>
      <c r="J194" s="10"/>
      <c r="K194" s="10"/>
      <c r="L194" s="10">
        <f t="shared" ref="L194:BW194" si="1199" xml:space="preserve"> $E185 * L185</f>
        <v>0</v>
      </c>
      <c r="M194" s="10">
        <f t="shared" si="1199"/>
        <v>0</v>
      </c>
      <c r="N194" s="10">
        <f t="shared" si="1199"/>
        <v>0</v>
      </c>
      <c r="O194" s="10">
        <f t="shared" si="1199"/>
        <v>0</v>
      </c>
      <c r="P194" s="10">
        <f t="shared" si="1199"/>
        <v>213131.90399333334</v>
      </c>
      <c r="Q194" s="10">
        <f t="shared" si="1199"/>
        <v>213131.90399333334</v>
      </c>
      <c r="R194" s="10">
        <f t="shared" si="1199"/>
        <v>213131.90399333337</v>
      </c>
      <c r="S194" s="10">
        <f t="shared" si="1199"/>
        <v>213131.90399333334</v>
      </c>
      <c r="T194" s="10">
        <f t="shared" si="1199"/>
        <v>213131.90399333337</v>
      </c>
      <c r="U194" s="10">
        <f t="shared" si="1199"/>
        <v>213131.90399333337</v>
      </c>
      <c r="V194" s="10">
        <f t="shared" si="1199"/>
        <v>213131.90399333334</v>
      </c>
      <c r="W194" s="10">
        <f t="shared" si="1199"/>
        <v>213131.90399333334</v>
      </c>
      <c r="X194" s="10">
        <f t="shared" si="1199"/>
        <v>213131.90399333328</v>
      </c>
      <c r="Y194" s="10">
        <f t="shared" si="1199"/>
        <v>213131.90399333334</v>
      </c>
      <c r="Z194" s="10">
        <f t="shared" si="1199"/>
        <v>213131.90399333328</v>
      </c>
      <c r="AA194" s="10">
        <f t="shared" si="1199"/>
        <v>213131.90399333314</v>
      </c>
      <c r="AB194" s="10">
        <f t="shared" si="1199"/>
        <v>0</v>
      </c>
      <c r="AC194" s="10">
        <f t="shared" si="1199"/>
        <v>0</v>
      </c>
      <c r="AD194" s="10">
        <f t="shared" si="1199"/>
        <v>0</v>
      </c>
      <c r="AE194" s="10">
        <f t="shared" si="1199"/>
        <v>0</v>
      </c>
      <c r="AF194" s="10">
        <f t="shared" si="1199"/>
        <v>0</v>
      </c>
      <c r="AG194" s="10">
        <f t="shared" si="1199"/>
        <v>0</v>
      </c>
      <c r="AH194" s="10">
        <f t="shared" si="1199"/>
        <v>0</v>
      </c>
      <c r="AI194" s="10">
        <f t="shared" si="1199"/>
        <v>0</v>
      </c>
      <c r="AJ194" s="10">
        <f t="shared" si="1199"/>
        <v>0</v>
      </c>
      <c r="AK194" s="10">
        <f t="shared" si="1199"/>
        <v>0</v>
      </c>
      <c r="AL194" s="10">
        <f t="shared" si="1199"/>
        <v>0</v>
      </c>
      <c r="AM194" s="10">
        <f t="shared" si="1199"/>
        <v>0</v>
      </c>
      <c r="AN194" s="10">
        <f t="shared" si="1199"/>
        <v>0</v>
      </c>
      <c r="AO194" s="10">
        <f t="shared" si="1199"/>
        <v>0</v>
      </c>
      <c r="AP194" s="10">
        <f t="shared" si="1199"/>
        <v>0</v>
      </c>
      <c r="AQ194" s="10">
        <f t="shared" si="1199"/>
        <v>0</v>
      </c>
      <c r="AR194" s="10">
        <f t="shared" si="1199"/>
        <v>0</v>
      </c>
      <c r="AS194" s="10">
        <f t="shared" si="1199"/>
        <v>0</v>
      </c>
      <c r="AT194" s="10">
        <f t="shared" si="1199"/>
        <v>0</v>
      </c>
      <c r="AU194" s="10">
        <f t="shared" si="1199"/>
        <v>0</v>
      </c>
      <c r="AV194" s="10">
        <f t="shared" si="1199"/>
        <v>0</v>
      </c>
      <c r="AW194" s="10">
        <f t="shared" si="1199"/>
        <v>0</v>
      </c>
      <c r="AX194" s="10">
        <f t="shared" si="1199"/>
        <v>0</v>
      </c>
      <c r="AY194" s="10">
        <f t="shared" si="1199"/>
        <v>0</v>
      </c>
      <c r="AZ194" s="10">
        <f t="shared" si="1199"/>
        <v>0</v>
      </c>
      <c r="BA194" s="10">
        <f t="shared" si="1199"/>
        <v>0</v>
      </c>
      <c r="BB194" s="10">
        <f t="shared" si="1199"/>
        <v>0</v>
      </c>
      <c r="BC194" s="10">
        <f t="shared" si="1199"/>
        <v>0</v>
      </c>
      <c r="BD194" s="10">
        <f t="shared" si="1199"/>
        <v>0</v>
      </c>
      <c r="BE194" s="10">
        <f t="shared" si="1199"/>
        <v>0</v>
      </c>
      <c r="BF194" s="10">
        <f t="shared" si="1199"/>
        <v>0</v>
      </c>
      <c r="BG194" s="10">
        <f t="shared" si="1199"/>
        <v>0</v>
      </c>
      <c r="BH194" s="10">
        <f t="shared" si="1199"/>
        <v>0</v>
      </c>
      <c r="BI194" s="10">
        <f t="shared" si="1199"/>
        <v>0</v>
      </c>
      <c r="BJ194" s="10">
        <f t="shared" si="1199"/>
        <v>0</v>
      </c>
      <c r="BK194" s="10">
        <f t="shared" si="1199"/>
        <v>0</v>
      </c>
      <c r="BL194" s="10">
        <f t="shared" si="1199"/>
        <v>0</v>
      </c>
      <c r="BM194" s="10">
        <f t="shared" si="1199"/>
        <v>0</v>
      </c>
      <c r="BN194" s="10">
        <f t="shared" si="1199"/>
        <v>0</v>
      </c>
      <c r="BO194" s="10">
        <f t="shared" si="1199"/>
        <v>0</v>
      </c>
      <c r="BP194" s="10">
        <f t="shared" si="1199"/>
        <v>0</v>
      </c>
      <c r="BQ194" s="10">
        <f t="shared" si="1199"/>
        <v>0</v>
      </c>
      <c r="BR194" s="10">
        <f t="shared" si="1199"/>
        <v>0</v>
      </c>
      <c r="BS194" s="10">
        <f t="shared" si="1199"/>
        <v>0</v>
      </c>
      <c r="BT194" s="10">
        <f t="shared" si="1199"/>
        <v>0</v>
      </c>
      <c r="BU194" s="10">
        <f t="shared" si="1199"/>
        <v>0</v>
      </c>
      <c r="BV194" s="10">
        <f t="shared" si="1199"/>
        <v>0</v>
      </c>
      <c r="BW194" s="10">
        <f t="shared" si="1199"/>
        <v>0</v>
      </c>
      <c r="BX194" s="10">
        <f t="shared" ref="BX194:CO194" si="1200" xml:space="preserve"> $E185 * BX185</f>
        <v>0</v>
      </c>
      <c r="BY194" s="10">
        <f t="shared" si="1200"/>
        <v>0</v>
      </c>
      <c r="BZ194" s="10">
        <f t="shared" si="1200"/>
        <v>0</v>
      </c>
      <c r="CA194" s="10">
        <f t="shared" si="1200"/>
        <v>0</v>
      </c>
      <c r="CB194" s="10">
        <f t="shared" si="1200"/>
        <v>0</v>
      </c>
      <c r="CC194" s="10">
        <f t="shared" si="1200"/>
        <v>0</v>
      </c>
      <c r="CD194" s="10">
        <f t="shared" si="1200"/>
        <v>0</v>
      </c>
      <c r="CE194" s="10">
        <f t="shared" si="1200"/>
        <v>0</v>
      </c>
      <c r="CF194" s="10">
        <f t="shared" si="1200"/>
        <v>0</v>
      </c>
      <c r="CG194" s="10">
        <f t="shared" si="1200"/>
        <v>0</v>
      </c>
      <c r="CH194" s="10">
        <f t="shared" si="1200"/>
        <v>0</v>
      </c>
      <c r="CI194" s="10">
        <f t="shared" si="1200"/>
        <v>0</v>
      </c>
      <c r="CJ194" s="10">
        <f t="shared" si="1200"/>
        <v>0</v>
      </c>
      <c r="CK194" s="10">
        <f t="shared" si="1200"/>
        <v>0</v>
      </c>
      <c r="CL194" s="10">
        <f t="shared" si="1200"/>
        <v>0</v>
      </c>
      <c r="CM194" s="10">
        <f t="shared" si="1200"/>
        <v>0</v>
      </c>
      <c r="CN194" s="10">
        <f t="shared" si="1200"/>
        <v>0</v>
      </c>
      <c r="CO194" s="10">
        <f t="shared" si="1200"/>
        <v>0</v>
      </c>
    </row>
    <row r="195" spans="1:93">
      <c r="A195" s="77"/>
      <c r="B195" s="168"/>
      <c r="C195" s="17" t="s">
        <v>635</v>
      </c>
      <c r="D195" s="10"/>
      <c r="E195" s="62"/>
      <c r="F195" s="11"/>
      <c r="G195" s="11" t="str">
        <f t="shared" si="1193"/>
        <v>тыс. руб.</v>
      </c>
      <c r="H195" s="10"/>
      <c r="I195" s="23">
        <f t="shared" si="1194"/>
        <v>935820.7</v>
      </c>
      <c r="J195" s="10"/>
      <c r="K195" s="10"/>
      <c r="L195" s="10">
        <f t="shared" ref="L195:BW195" si="1201" xml:space="preserve"> $E186 * L186</f>
        <v>0</v>
      </c>
      <c r="M195" s="10">
        <f t="shared" si="1201"/>
        <v>0</v>
      </c>
      <c r="N195" s="10">
        <f t="shared" si="1201"/>
        <v>0</v>
      </c>
      <c r="O195" s="10">
        <f t="shared" si="1201"/>
        <v>0</v>
      </c>
      <c r="P195" s="10">
        <f t="shared" si="1201"/>
        <v>0</v>
      </c>
      <c r="Q195" s="10">
        <f t="shared" si="1201"/>
        <v>0</v>
      </c>
      <c r="R195" s="10">
        <f t="shared" si="1201"/>
        <v>0</v>
      </c>
      <c r="S195" s="10">
        <f t="shared" si="1201"/>
        <v>0</v>
      </c>
      <c r="T195" s="10">
        <f t="shared" si="1201"/>
        <v>0</v>
      </c>
      <c r="U195" s="10">
        <f t="shared" si="1201"/>
        <v>0</v>
      </c>
      <c r="V195" s="10">
        <f t="shared" si="1201"/>
        <v>0</v>
      </c>
      <c r="W195" s="10">
        <f t="shared" si="1201"/>
        <v>0</v>
      </c>
      <c r="X195" s="10">
        <f t="shared" si="1201"/>
        <v>233955.17499999999</v>
      </c>
      <c r="Y195" s="10">
        <f t="shared" si="1201"/>
        <v>233955.17499999999</v>
      </c>
      <c r="Z195" s="10">
        <f t="shared" si="1201"/>
        <v>233955.17499999999</v>
      </c>
      <c r="AA195" s="10">
        <f t="shared" si="1201"/>
        <v>233955.17499999999</v>
      </c>
      <c r="AB195" s="10">
        <f t="shared" si="1201"/>
        <v>0</v>
      </c>
      <c r="AC195" s="10">
        <f t="shared" si="1201"/>
        <v>0</v>
      </c>
      <c r="AD195" s="10">
        <f t="shared" si="1201"/>
        <v>0</v>
      </c>
      <c r="AE195" s="10">
        <f t="shared" si="1201"/>
        <v>0</v>
      </c>
      <c r="AF195" s="10">
        <f t="shared" si="1201"/>
        <v>0</v>
      </c>
      <c r="AG195" s="10">
        <f t="shared" si="1201"/>
        <v>0</v>
      </c>
      <c r="AH195" s="10">
        <f t="shared" si="1201"/>
        <v>0</v>
      </c>
      <c r="AI195" s="10">
        <f t="shared" si="1201"/>
        <v>0</v>
      </c>
      <c r="AJ195" s="10">
        <f t="shared" si="1201"/>
        <v>0</v>
      </c>
      <c r="AK195" s="10">
        <f t="shared" si="1201"/>
        <v>0</v>
      </c>
      <c r="AL195" s="10">
        <f t="shared" si="1201"/>
        <v>0</v>
      </c>
      <c r="AM195" s="10">
        <f t="shared" si="1201"/>
        <v>0</v>
      </c>
      <c r="AN195" s="10">
        <f t="shared" si="1201"/>
        <v>0</v>
      </c>
      <c r="AO195" s="10">
        <f t="shared" si="1201"/>
        <v>0</v>
      </c>
      <c r="AP195" s="10">
        <f t="shared" si="1201"/>
        <v>0</v>
      </c>
      <c r="AQ195" s="10">
        <f t="shared" si="1201"/>
        <v>0</v>
      </c>
      <c r="AR195" s="10">
        <f t="shared" si="1201"/>
        <v>0</v>
      </c>
      <c r="AS195" s="10">
        <f t="shared" si="1201"/>
        <v>0</v>
      </c>
      <c r="AT195" s="10">
        <f t="shared" si="1201"/>
        <v>0</v>
      </c>
      <c r="AU195" s="10">
        <f t="shared" si="1201"/>
        <v>0</v>
      </c>
      <c r="AV195" s="10">
        <f t="shared" si="1201"/>
        <v>0</v>
      </c>
      <c r="AW195" s="10">
        <f t="shared" si="1201"/>
        <v>0</v>
      </c>
      <c r="AX195" s="10">
        <f t="shared" si="1201"/>
        <v>0</v>
      </c>
      <c r="AY195" s="10">
        <f t="shared" si="1201"/>
        <v>0</v>
      </c>
      <c r="AZ195" s="10">
        <f t="shared" si="1201"/>
        <v>0</v>
      </c>
      <c r="BA195" s="10">
        <f t="shared" si="1201"/>
        <v>0</v>
      </c>
      <c r="BB195" s="10">
        <f t="shared" si="1201"/>
        <v>0</v>
      </c>
      <c r="BC195" s="10">
        <f t="shared" si="1201"/>
        <v>0</v>
      </c>
      <c r="BD195" s="10">
        <f t="shared" si="1201"/>
        <v>0</v>
      </c>
      <c r="BE195" s="10">
        <f t="shared" si="1201"/>
        <v>0</v>
      </c>
      <c r="BF195" s="10">
        <f t="shared" si="1201"/>
        <v>0</v>
      </c>
      <c r="BG195" s="10">
        <f t="shared" si="1201"/>
        <v>0</v>
      </c>
      <c r="BH195" s="10">
        <f t="shared" si="1201"/>
        <v>0</v>
      </c>
      <c r="BI195" s="10">
        <f t="shared" si="1201"/>
        <v>0</v>
      </c>
      <c r="BJ195" s="10">
        <f t="shared" si="1201"/>
        <v>0</v>
      </c>
      <c r="BK195" s="10">
        <f t="shared" si="1201"/>
        <v>0</v>
      </c>
      <c r="BL195" s="10">
        <f t="shared" si="1201"/>
        <v>0</v>
      </c>
      <c r="BM195" s="10">
        <f t="shared" si="1201"/>
        <v>0</v>
      </c>
      <c r="BN195" s="10">
        <f t="shared" si="1201"/>
        <v>0</v>
      </c>
      <c r="BO195" s="10">
        <f t="shared" si="1201"/>
        <v>0</v>
      </c>
      <c r="BP195" s="10">
        <f t="shared" si="1201"/>
        <v>0</v>
      </c>
      <c r="BQ195" s="10">
        <f t="shared" si="1201"/>
        <v>0</v>
      </c>
      <c r="BR195" s="10">
        <f t="shared" si="1201"/>
        <v>0</v>
      </c>
      <c r="BS195" s="10">
        <f t="shared" si="1201"/>
        <v>0</v>
      </c>
      <c r="BT195" s="10">
        <f t="shared" si="1201"/>
        <v>0</v>
      </c>
      <c r="BU195" s="10">
        <f t="shared" si="1201"/>
        <v>0</v>
      </c>
      <c r="BV195" s="10">
        <f t="shared" si="1201"/>
        <v>0</v>
      </c>
      <c r="BW195" s="10">
        <f t="shared" si="1201"/>
        <v>0</v>
      </c>
      <c r="BX195" s="10">
        <f t="shared" ref="BX195:CO195" si="1202" xml:space="preserve"> $E186 * BX186</f>
        <v>0</v>
      </c>
      <c r="BY195" s="10">
        <f t="shared" si="1202"/>
        <v>0</v>
      </c>
      <c r="BZ195" s="10">
        <f t="shared" si="1202"/>
        <v>0</v>
      </c>
      <c r="CA195" s="10">
        <f t="shared" si="1202"/>
        <v>0</v>
      </c>
      <c r="CB195" s="10">
        <f t="shared" si="1202"/>
        <v>0</v>
      </c>
      <c r="CC195" s="10">
        <f t="shared" si="1202"/>
        <v>0</v>
      </c>
      <c r="CD195" s="10">
        <f t="shared" si="1202"/>
        <v>0</v>
      </c>
      <c r="CE195" s="10">
        <f t="shared" si="1202"/>
        <v>0</v>
      </c>
      <c r="CF195" s="10">
        <f t="shared" si="1202"/>
        <v>0</v>
      </c>
      <c r="CG195" s="10">
        <f t="shared" si="1202"/>
        <v>0</v>
      </c>
      <c r="CH195" s="10">
        <f t="shared" si="1202"/>
        <v>0</v>
      </c>
      <c r="CI195" s="10">
        <f t="shared" si="1202"/>
        <v>0</v>
      </c>
      <c r="CJ195" s="10">
        <f t="shared" si="1202"/>
        <v>0</v>
      </c>
      <c r="CK195" s="10">
        <f t="shared" si="1202"/>
        <v>0</v>
      </c>
      <c r="CL195" s="10">
        <f t="shared" si="1202"/>
        <v>0</v>
      </c>
      <c r="CM195" s="10">
        <f t="shared" si="1202"/>
        <v>0</v>
      </c>
      <c r="CN195" s="10">
        <f t="shared" si="1202"/>
        <v>0</v>
      </c>
      <c r="CO195" s="10">
        <f t="shared" si="1202"/>
        <v>0</v>
      </c>
    </row>
    <row r="196" spans="1:93">
      <c r="A196" s="77"/>
      <c r="B196" s="168"/>
      <c r="C196" s="17" t="s">
        <v>1219</v>
      </c>
      <c r="D196" s="10"/>
      <c r="E196" s="62"/>
      <c r="F196" s="11"/>
      <c r="G196" s="11" t="str">
        <f t="shared" si="1193"/>
        <v>тыс. руб.</v>
      </c>
      <c r="H196" s="10"/>
      <c r="I196" s="23">
        <f t="shared" si="1194"/>
        <v>452574</v>
      </c>
      <c r="J196" s="10"/>
      <c r="K196" s="10"/>
      <c r="L196" s="10">
        <f t="shared" ref="L196:BW197" si="1203" xml:space="preserve"> $E187 * L187</f>
        <v>0</v>
      </c>
      <c r="M196" s="10">
        <f t="shared" si="1203"/>
        <v>0</v>
      </c>
      <c r="N196" s="10">
        <f t="shared" si="1203"/>
        <v>0</v>
      </c>
      <c r="O196" s="10">
        <f t="shared" si="1203"/>
        <v>0</v>
      </c>
      <c r="P196" s="10">
        <f t="shared" si="1203"/>
        <v>0</v>
      </c>
      <c r="Q196" s="10">
        <f t="shared" si="1203"/>
        <v>0</v>
      </c>
      <c r="R196" s="10">
        <f t="shared" si="1203"/>
        <v>0</v>
      </c>
      <c r="S196" s="10">
        <f t="shared" si="1203"/>
        <v>0</v>
      </c>
      <c r="T196" s="10">
        <f t="shared" si="1203"/>
        <v>0</v>
      </c>
      <c r="U196" s="10">
        <f t="shared" si="1203"/>
        <v>0</v>
      </c>
      <c r="V196" s="10">
        <f t="shared" si="1203"/>
        <v>0</v>
      </c>
      <c r="W196" s="10">
        <f t="shared" si="1203"/>
        <v>0</v>
      </c>
      <c r="X196" s="10">
        <f t="shared" si="1203"/>
        <v>0</v>
      </c>
      <c r="Y196" s="10">
        <f t="shared" si="1203"/>
        <v>0</v>
      </c>
      <c r="Z196" s="10">
        <f t="shared" si="1203"/>
        <v>0</v>
      </c>
      <c r="AA196" s="10">
        <f t="shared" si="1203"/>
        <v>0</v>
      </c>
      <c r="AB196" s="10">
        <f t="shared" si="1203"/>
        <v>452574</v>
      </c>
      <c r="AC196" s="10">
        <f t="shared" si="1203"/>
        <v>0</v>
      </c>
      <c r="AD196" s="10">
        <f t="shared" si="1203"/>
        <v>0</v>
      </c>
      <c r="AE196" s="10">
        <f t="shared" si="1203"/>
        <v>0</v>
      </c>
      <c r="AF196" s="10">
        <f t="shared" si="1203"/>
        <v>0</v>
      </c>
      <c r="AG196" s="10">
        <f t="shared" si="1203"/>
        <v>0</v>
      </c>
      <c r="AH196" s="10">
        <f t="shared" si="1203"/>
        <v>0</v>
      </c>
      <c r="AI196" s="10">
        <f t="shared" si="1203"/>
        <v>0</v>
      </c>
      <c r="AJ196" s="10">
        <f t="shared" si="1203"/>
        <v>0</v>
      </c>
      <c r="AK196" s="10">
        <f t="shared" si="1203"/>
        <v>0</v>
      </c>
      <c r="AL196" s="10">
        <f t="shared" si="1203"/>
        <v>0</v>
      </c>
      <c r="AM196" s="10">
        <f t="shared" si="1203"/>
        <v>0</v>
      </c>
      <c r="AN196" s="10">
        <f t="shared" si="1203"/>
        <v>0</v>
      </c>
      <c r="AO196" s="10">
        <f t="shared" si="1203"/>
        <v>0</v>
      </c>
      <c r="AP196" s="10">
        <f t="shared" si="1203"/>
        <v>0</v>
      </c>
      <c r="AQ196" s="10">
        <f t="shared" si="1203"/>
        <v>0</v>
      </c>
      <c r="AR196" s="10">
        <f t="shared" si="1203"/>
        <v>0</v>
      </c>
      <c r="AS196" s="10">
        <f t="shared" si="1203"/>
        <v>0</v>
      </c>
      <c r="AT196" s="10">
        <f t="shared" si="1203"/>
        <v>0</v>
      </c>
      <c r="AU196" s="10">
        <f t="shared" si="1203"/>
        <v>0</v>
      </c>
      <c r="AV196" s="10">
        <f t="shared" si="1203"/>
        <v>0</v>
      </c>
      <c r="AW196" s="10">
        <f t="shared" si="1203"/>
        <v>0</v>
      </c>
      <c r="AX196" s="10">
        <f t="shared" si="1203"/>
        <v>0</v>
      </c>
      <c r="AY196" s="10">
        <f t="shared" si="1203"/>
        <v>0</v>
      </c>
      <c r="AZ196" s="10">
        <f t="shared" si="1203"/>
        <v>0</v>
      </c>
      <c r="BA196" s="10">
        <f t="shared" si="1203"/>
        <v>0</v>
      </c>
      <c r="BB196" s="10">
        <f t="shared" si="1203"/>
        <v>0</v>
      </c>
      <c r="BC196" s="10">
        <f t="shared" si="1203"/>
        <v>0</v>
      </c>
      <c r="BD196" s="10">
        <f t="shared" si="1203"/>
        <v>0</v>
      </c>
      <c r="BE196" s="10">
        <f t="shared" si="1203"/>
        <v>0</v>
      </c>
      <c r="BF196" s="10">
        <f t="shared" si="1203"/>
        <v>0</v>
      </c>
      <c r="BG196" s="10">
        <f t="shared" si="1203"/>
        <v>0</v>
      </c>
      <c r="BH196" s="10">
        <f t="shared" si="1203"/>
        <v>0</v>
      </c>
      <c r="BI196" s="10">
        <f t="shared" si="1203"/>
        <v>0</v>
      </c>
      <c r="BJ196" s="10">
        <f t="shared" si="1203"/>
        <v>0</v>
      </c>
      <c r="BK196" s="10">
        <f t="shared" si="1203"/>
        <v>0</v>
      </c>
      <c r="BL196" s="10">
        <f t="shared" si="1203"/>
        <v>0</v>
      </c>
      <c r="BM196" s="10">
        <f t="shared" si="1203"/>
        <v>0</v>
      </c>
      <c r="BN196" s="10">
        <f t="shared" si="1203"/>
        <v>0</v>
      </c>
      <c r="BO196" s="10">
        <f t="shared" si="1203"/>
        <v>0</v>
      </c>
      <c r="BP196" s="10">
        <f t="shared" si="1203"/>
        <v>0</v>
      </c>
      <c r="BQ196" s="10">
        <f t="shared" si="1203"/>
        <v>0</v>
      </c>
      <c r="BR196" s="10">
        <f t="shared" si="1203"/>
        <v>0</v>
      </c>
      <c r="BS196" s="10">
        <f t="shared" si="1203"/>
        <v>0</v>
      </c>
      <c r="BT196" s="10">
        <f t="shared" si="1203"/>
        <v>0</v>
      </c>
      <c r="BU196" s="10">
        <f t="shared" si="1203"/>
        <v>0</v>
      </c>
      <c r="BV196" s="10">
        <f t="shared" si="1203"/>
        <v>0</v>
      </c>
      <c r="BW196" s="10">
        <f t="shared" si="1203"/>
        <v>0</v>
      </c>
      <c r="BX196" s="10">
        <f t="shared" ref="BX196:CO197" si="1204" xml:space="preserve"> $E187 * BX187</f>
        <v>0</v>
      </c>
      <c r="BY196" s="10">
        <f t="shared" si="1204"/>
        <v>0</v>
      </c>
      <c r="BZ196" s="10">
        <f t="shared" si="1204"/>
        <v>0</v>
      </c>
      <c r="CA196" s="10">
        <f t="shared" si="1204"/>
        <v>0</v>
      </c>
      <c r="CB196" s="10">
        <f t="shared" si="1204"/>
        <v>0</v>
      </c>
      <c r="CC196" s="10">
        <f t="shared" si="1204"/>
        <v>0</v>
      </c>
      <c r="CD196" s="10">
        <f t="shared" si="1204"/>
        <v>0</v>
      </c>
      <c r="CE196" s="10">
        <f t="shared" si="1204"/>
        <v>0</v>
      </c>
      <c r="CF196" s="10">
        <f t="shared" si="1204"/>
        <v>0</v>
      </c>
      <c r="CG196" s="10">
        <f t="shared" si="1204"/>
        <v>0</v>
      </c>
      <c r="CH196" s="10">
        <f t="shared" si="1204"/>
        <v>0</v>
      </c>
      <c r="CI196" s="10">
        <f t="shared" si="1204"/>
        <v>0</v>
      </c>
      <c r="CJ196" s="10">
        <f t="shared" si="1204"/>
        <v>0</v>
      </c>
      <c r="CK196" s="10">
        <f t="shared" si="1204"/>
        <v>0</v>
      </c>
      <c r="CL196" s="10">
        <f t="shared" si="1204"/>
        <v>0</v>
      </c>
      <c r="CM196" s="10">
        <f t="shared" si="1204"/>
        <v>0</v>
      </c>
      <c r="CN196" s="10">
        <f t="shared" si="1204"/>
        <v>0</v>
      </c>
      <c r="CO196" s="10">
        <f t="shared" si="1204"/>
        <v>0</v>
      </c>
    </row>
    <row r="197" spans="1:93">
      <c r="A197" s="77"/>
      <c r="B197" s="168"/>
      <c r="C197" s="17" t="s">
        <v>1220</v>
      </c>
      <c r="D197" s="10"/>
      <c r="E197" s="62"/>
      <c r="F197" s="11"/>
      <c r="G197" s="11" t="str">
        <f t="shared" si="1193"/>
        <v>тыс. руб.</v>
      </c>
      <c r="H197" s="10"/>
      <c r="I197" s="23">
        <f t="shared" si="1194"/>
        <v>122763.97670016001</v>
      </c>
      <c r="J197" s="10"/>
      <c r="K197" s="10"/>
      <c r="L197" s="10">
        <f t="shared" si="1203"/>
        <v>0</v>
      </c>
      <c r="M197" s="10">
        <f t="shared" si="1203"/>
        <v>0</v>
      </c>
      <c r="N197" s="10">
        <f t="shared" si="1203"/>
        <v>0</v>
      </c>
      <c r="O197" s="10">
        <f t="shared" si="1203"/>
        <v>0</v>
      </c>
      <c r="P197" s="10">
        <f t="shared" si="1203"/>
        <v>0</v>
      </c>
      <c r="Q197" s="10">
        <f t="shared" si="1203"/>
        <v>0</v>
      </c>
      <c r="R197" s="10">
        <f t="shared" si="1203"/>
        <v>0</v>
      </c>
      <c r="S197" s="10">
        <f t="shared" si="1203"/>
        <v>0</v>
      </c>
      <c r="T197" s="10">
        <f t="shared" si="1203"/>
        <v>0</v>
      </c>
      <c r="U197" s="10">
        <f t="shared" si="1203"/>
        <v>0</v>
      </c>
      <c r="V197" s="10">
        <f t="shared" si="1203"/>
        <v>0</v>
      </c>
      <c r="W197" s="10">
        <f t="shared" si="1203"/>
        <v>0</v>
      </c>
      <c r="X197" s="10">
        <f t="shared" si="1203"/>
        <v>0</v>
      </c>
      <c r="Y197" s="10">
        <f t="shared" si="1203"/>
        <v>0</v>
      </c>
      <c r="Z197" s="10">
        <f t="shared" si="1203"/>
        <v>0</v>
      </c>
      <c r="AA197" s="10">
        <f t="shared" si="1203"/>
        <v>0</v>
      </c>
      <c r="AB197" s="10">
        <f t="shared" si="1203"/>
        <v>122763.97670016001</v>
      </c>
      <c r="AC197" s="10">
        <f t="shared" si="1203"/>
        <v>0</v>
      </c>
      <c r="AD197" s="10">
        <f t="shared" si="1203"/>
        <v>0</v>
      </c>
      <c r="AE197" s="10">
        <f t="shared" si="1203"/>
        <v>0</v>
      </c>
      <c r="AF197" s="10">
        <f t="shared" si="1203"/>
        <v>0</v>
      </c>
      <c r="AG197" s="10">
        <f t="shared" si="1203"/>
        <v>0</v>
      </c>
      <c r="AH197" s="10">
        <f t="shared" si="1203"/>
        <v>0</v>
      </c>
      <c r="AI197" s="10">
        <f t="shared" si="1203"/>
        <v>0</v>
      </c>
      <c r="AJ197" s="10">
        <f t="shared" si="1203"/>
        <v>0</v>
      </c>
      <c r="AK197" s="10">
        <f t="shared" si="1203"/>
        <v>0</v>
      </c>
      <c r="AL197" s="10">
        <f t="shared" si="1203"/>
        <v>0</v>
      </c>
      <c r="AM197" s="10">
        <f t="shared" si="1203"/>
        <v>0</v>
      </c>
      <c r="AN197" s="10">
        <f t="shared" si="1203"/>
        <v>0</v>
      </c>
      <c r="AO197" s="10">
        <f t="shared" si="1203"/>
        <v>0</v>
      </c>
      <c r="AP197" s="10">
        <f t="shared" si="1203"/>
        <v>0</v>
      </c>
      <c r="AQ197" s="10">
        <f t="shared" si="1203"/>
        <v>0</v>
      </c>
      <c r="AR197" s="10">
        <f t="shared" si="1203"/>
        <v>0</v>
      </c>
      <c r="AS197" s="10">
        <f t="shared" si="1203"/>
        <v>0</v>
      </c>
      <c r="AT197" s="10">
        <f t="shared" si="1203"/>
        <v>0</v>
      </c>
      <c r="AU197" s="10">
        <f t="shared" si="1203"/>
        <v>0</v>
      </c>
      <c r="AV197" s="10">
        <f t="shared" si="1203"/>
        <v>0</v>
      </c>
      <c r="AW197" s="10">
        <f t="shared" si="1203"/>
        <v>0</v>
      </c>
      <c r="AX197" s="10">
        <f t="shared" si="1203"/>
        <v>0</v>
      </c>
      <c r="AY197" s="10">
        <f t="shared" si="1203"/>
        <v>0</v>
      </c>
      <c r="AZ197" s="10">
        <f t="shared" si="1203"/>
        <v>0</v>
      </c>
      <c r="BA197" s="10">
        <f t="shared" si="1203"/>
        <v>0</v>
      </c>
      <c r="BB197" s="10">
        <f t="shared" si="1203"/>
        <v>0</v>
      </c>
      <c r="BC197" s="10">
        <f t="shared" si="1203"/>
        <v>0</v>
      </c>
      <c r="BD197" s="10">
        <f t="shared" si="1203"/>
        <v>0</v>
      </c>
      <c r="BE197" s="10">
        <f t="shared" si="1203"/>
        <v>0</v>
      </c>
      <c r="BF197" s="10">
        <f t="shared" si="1203"/>
        <v>0</v>
      </c>
      <c r="BG197" s="10">
        <f t="shared" si="1203"/>
        <v>0</v>
      </c>
      <c r="BH197" s="10">
        <f t="shared" si="1203"/>
        <v>0</v>
      </c>
      <c r="BI197" s="10">
        <f t="shared" si="1203"/>
        <v>0</v>
      </c>
      <c r="BJ197" s="10">
        <f t="shared" si="1203"/>
        <v>0</v>
      </c>
      <c r="BK197" s="10">
        <f t="shared" si="1203"/>
        <v>0</v>
      </c>
      <c r="BL197" s="10">
        <f t="shared" si="1203"/>
        <v>0</v>
      </c>
      <c r="BM197" s="10">
        <f t="shared" si="1203"/>
        <v>0</v>
      </c>
      <c r="BN197" s="10">
        <f t="shared" si="1203"/>
        <v>0</v>
      </c>
      <c r="BO197" s="10">
        <f t="shared" si="1203"/>
        <v>0</v>
      </c>
      <c r="BP197" s="10">
        <f t="shared" si="1203"/>
        <v>0</v>
      </c>
      <c r="BQ197" s="10">
        <f t="shared" si="1203"/>
        <v>0</v>
      </c>
      <c r="BR197" s="10">
        <f t="shared" si="1203"/>
        <v>0</v>
      </c>
      <c r="BS197" s="10">
        <f t="shared" si="1203"/>
        <v>0</v>
      </c>
      <c r="BT197" s="10">
        <f t="shared" si="1203"/>
        <v>0</v>
      </c>
      <c r="BU197" s="10">
        <f t="shared" si="1203"/>
        <v>0</v>
      </c>
      <c r="BV197" s="10">
        <f t="shared" si="1203"/>
        <v>0</v>
      </c>
      <c r="BW197" s="10">
        <f t="shared" si="1203"/>
        <v>0</v>
      </c>
      <c r="BX197" s="10">
        <f t="shared" si="1204"/>
        <v>0</v>
      </c>
      <c r="BY197" s="10">
        <f t="shared" si="1204"/>
        <v>0</v>
      </c>
      <c r="BZ197" s="10">
        <f t="shared" si="1204"/>
        <v>0</v>
      </c>
      <c r="CA197" s="10">
        <f t="shared" si="1204"/>
        <v>0</v>
      </c>
      <c r="CB197" s="10">
        <f t="shared" si="1204"/>
        <v>0</v>
      </c>
      <c r="CC197" s="10">
        <f t="shared" si="1204"/>
        <v>0</v>
      </c>
      <c r="CD197" s="10">
        <f t="shared" si="1204"/>
        <v>0</v>
      </c>
      <c r="CE197" s="10">
        <f t="shared" si="1204"/>
        <v>0</v>
      </c>
      <c r="CF197" s="10">
        <f t="shared" si="1204"/>
        <v>0</v>
      </c>
      <c r="CG197" s="10">
        <f t="shared" si="1204"/>
        <v>0</v>
      </c>
      <c r="CH197" s="10">
        <f t="shared" si="1204"/>
        <v>0</v>
      </c>
      <c r="CI197" s="10">
        <f t="shared" si="1204"/>
        <v>0</v>
      </c>
      <c r="CJ197" s="10">
        <f t="shared" si="1204"/>
        <v>0</v>
      </c>
      <c r="CK197" s="10">
        <f t="shared" si="1204"/>
        <v>0</v>
      </c>
      <c r="CL197" s="10">
        <f t="shared" si="1204"/>
        <v>0</v>
      </c>
      <c r="CM197" s="10">
        <f t="shared" si="1204"/>
        <v>0</v>
      </c>
      <c r="CN197" s="10">
        <f t="shared" si="1204"/>
        <v>0</v>
      </c>
      <c r="CO197" s="10">
        <f t="shared" si="1204"/>
        <v>0</v>
      </c>
    </row>
    <row r="198" spans="1:93">
      <c r="A198" s="77"/>
      <c r="B198" s="168"/>
      <c r="C198" s="17" t="s">
        <v>629</v>
      </c>
      <c r="D198" s="10"/>
      <c r="E198" s="62"/>
      <c r="F198" s="11"/>
      <c r="G198" s="11" t="str">
        <f t="shared" si="1193"/>
        <v>тыс. руб.</v>
      </c>
      <c r="H198" s="10"/>
      <c r="I198" s="23">
        <f t="shared" si="1194"/>
        <v>0</v>
      </c>
      <c r="J198" s="10"/>
      <c r="K198" s="10"/>
      <c r="L198" s="10">
        <f t="shared" ref="L198:R198" si="1205" xml:space="preserve"> L194 * $E189</f>
        <v>0</v>
      </c>
      <c r="M198" s="10">
        <f t="shared" si="1205"/>
        <v>0</v>
      </c>
      <c r="N198" s="10">
        <f t="shared" si="1205"/>
        <v>0</v>
      </c>
      <c r="O198" s="10">
        <f t="shared" si="1205"/>
        <v>0</v>
      </c>
      <c r="P198" s="10">
        <f t="shared" si="1205"/>
        <v>0</v>
      </c>
      <c r="Q198" s="10">
        <f t="shared" si="1205"/>
        <v>0</v>
      </c>
      <c r="R198" s="10">
        <f t="shared" si="1205"/>
        <v>0</v>
      </c>
      <c r="S198" s="10">
        <f t="shared" ref="S198" si="1206" xml:space="preserve"> S194 * $E189</f>
        <v>0</v>
      </c>
      <c r="T198" s="10">
        <f t="shared" ref="T198:CE198" si="1207" xml:space="preserve"> T194 * $E189</f>
        <v>0</v>
      </c>
      <c r="U198" s="10">
        <f t="shared" si="1207"/>
        <v>0</v>
      </c>
      <c r="V198" s="10">
        <f t="shared" si="1207"/>
        <v>0</v>
      </c>
      <c r="W198" s="10">
        <f t="shared" si="1207"/>
        <v>0</v>
      </c>
      <c r="X198" s="10">
        <f t="shared" si="1207"/>
        <v>0</v>
      </c>
      <c r="Y198" s="10">
        <f t="shared" si="1207"/>
        <v>0</v>
      </c>
      <c r="Z198" s="10">
        <f t="shared" si="1207"/>
        <v>0</v>
      </c>
      <c r="AA198" s="10">
        <f t="shared" si="1207"/>
        <v>0</v>
      </c>
      <c r="AB198" s="10">
        <f t="shared" si="1207"/>
        <v>0</v>
      </c>
      <c r="AC198" s="10">
        <f t="shared" si="1207"/>
        <v>0</v>
      </c>
      <c r="AD198" s="10">
        <f t="shared" si="1207"/>
        <v>0</v>
      </c>
      <c r="AE198" s="10">
        <f t="shared" si="1207"/>
        <v>0</v>
      </c>
      <c r="AF198" s="10">
        <f t="shared" si="1207"/>
        <v>0</v>
      </c>
      <c r="AG198" s="10">
        <f t="shared" si="1207"/>
        <v>0</v>
      </c>
      <c r="AH198" s="10">
        <f t="shared" si="1207"/>
        <v>0</v>
      </c>
      <c r="AI198" s="10">
        <f t="shared" si="1207"/>
        <v>0</v>
      </c>
      <c r="AJ198" s="10">
        <f t="shared" si="1207"/>
        <v>0</v>
      </c>
      <c r="AK198" s="10">
        <f t="shared" si="1207"/>
        <v>0</v>
      </c>
      <c r="AL198" s="10">
        <f t="shared" si="1207"/>
        <v>0</v>
      </c>
      <c r="AM198" s="10">
        <f t="shared" si="1207"/>
        <v>0</v>
      </c>
      <c r="AN198" s="10">
        <f t="shared" si="1207"/>
        <v>0</v>
      </c>
      <c r="AO198" s="10">
        <f t="shared" si="1207"/>
        <v>0</v>
      </c>
      <c r="AP198" s="10">
        <f t="shared" si="1207"/>
        <v>0</v>
      </c>
      <c r="AQ198" s="10">
        <f t="shared" si="1207"/>
        <v>0</v>
      </c>
      <c r="AR198" s="10">
        <f t="shared" si="1207"/>
        <v>0</v>
      </c>
      <c r="AS198" s="10">
        <f t="shared" si="1207"/>
        <v>0</v>
      </c>
      <c r="AT198" s="10">
        <f t="shared" si="1207"/>
        <v>0</v>
      </c>
      <c r="AU198" s="10">
        <f t="shared" si="1207"/>
        <v>0</v>
      </c>
      <c r="AV198" s="10">
        <f t="shared" si="1207"/>
        <v>0</v>
      </c>
      <c r="AW198" s="10">
        <f t="shared" si="1207"/>
        <v>0</v>
      </c>
      <c r="AX198" s="10">
        <f t="shared" si="1207"/>
        <v>0</v>
      </c>
      <c r="AY198" s="10">
        <f t="shared" si="1207"/>
        <v>0</v>
      </c>
      <c r="AZ198" s="10">
        <f t="shared" si="1207"/>
        <v>0</v>
      </c>
      <c r="BA198" s="10">
        <f t="shared" si="1207"/>
        <v>0</v>
      </c>
      <c r="BB198" s="10">
        <f t="shared" si="1207"/>
        <v>0</v>
      </c>
      <c r="BC198" s="10">
        <f t="shared" si="1207"/>
        <v>0</v>
      </c>
      <c r="BD198" s="10">
        <f t="shared" si="1207"/>
        <v>0</v>
      </c>
      <c r="BE198" s="10">
        <f t="shared" si="1207"/>
        <v>0</v>
      </c>
      <c r="BF198" s="10">
        <f t="shared" si="1207"/>
        <v>0</v>
      </c>
      <c r="BG198" s="10">
        <f t="shared" si="1207"/>
        <v>0</v>
      </c>
      <c r="BH198" s="10">
        <f t="shared" si="1207"/>
        <v>0</v>
      </c>
      <c r="BI198" s="10">
        <f t="shared" si="1207"/>
        <v>0</v>
      </c>
      <c r="BJ198" s="10">
        <f t="shared" si="1207"/>
        <v>0</v>
      </c>
      <c r="BK198" s="10">
        <f t="shared" si="1207"/>
        <v>0</v>
      </c>
      <c r="BL198" s="10">
        <f t="shared" si="1207"/>
        <v>0</v>
      </c>
      <c r="BM198" s="10">
        <f t="shared" si="1207"/>
        <v>0</v>
      </c>
      <c r="BN198" s="10">
        <f t="shared" si="1207"/>
        <v>0</v>
      </c>
      <c r="BO198" s="10">
        <f t="shared" si="1207"/>
        <v>0</v>
      </c>
      <c r="BP198" s="10">
        <f t="shared" si="1207"/>
        <v>0</v>
      </c>
      <c r="BQ198" s="10">
        <f t="shared" si="1207"/>
        <v>0</v>
      </c>
      <c r="BR198" s="10">
        <f t="shared" si="1207"/>
        <v>0</v>
      </c>
      <c r="BS198" s="10">
        <f t="shared" si="1207"/>
        <v>0</v>
      </c>
      <c r="BT198" s="10">
        <f t="shared" si="1207"/>
        <v>0</v>
      </c>
      <c r="BU198" s="10">
        <f t="shared" si="1207"/>
        <v>0</v>
      </c>
      <c r="BV198" s="10">
        <f t="shared" si="1207"/>
        <v>0</v>
      </c>
      <c r="BW198" s="10">
        <f t="shared" si="1207"/>
        <v>0</v>
      </c>
      <c r="BX198" s="10">
        <f t="shared" si="1207"/>
        <v>0</v>
      </c>
      <c r="BY198" s="10">
        <f t="shared" si="1207"/>
        <v>0</v>
      </c>
      <c r="BZ198" s="10">
        <f t="shared" si="1207"/>
        <v>0</v>
      </c>
      <c r="CA198" s="10">
        <f t="shared" si="1207"/>
        <v>0</v>
      </c>
      <c r="CB198" s="10">
        <f t="shared" si="1207"/>
        <v>0</v>
      </c>
      <c r="CC198" s="10">
        <f t="shared" si="1207"/>
        <v>0</v>
      </c>
      <c r="CD198" s="10">
        <f t="shared" si="1207"/>
        <v>0</v>
      </c>
      <c r="CE198" s="10">
        <f t="shared" si="1207"/>
        <v>0</v>
      </c>
      <c r="CF198" s="10">
        <f t="shared" ref="CF198:CO198" si="1208" xml:space="preserve"> CF194 * $E189</f>
        <v>0</v>
      </c>
      <c r="CG198" s="10">
        <f t="shared" si="1208"/>
        <v>0</v>
      </c>
      <c r="CH198" s="10">
        <f t="shared" si="1208"/>
        <v>0</v>
      </c>
      <c r="CI198" s="10">
        <f t="shared" si="1208"/>
        <v>0</v>
      </c>
      <c r="CJ198" s="10">
        <f t="shared" si="1208"/>
        <v>0</v>
      </c>
      <c r="CK198" s="10">
        <f t="shared" si="1208"/>
        <v>0</v>
      </c>
      <c r="CL198" s="10">
        <f t="shared" si="1208"/>
        <v>0</v>
      </c>
      <c r="CM198" s="10">
        <f t="shared" si="1208"/>
        <v>0</v>
      </c>
      <c r="CN198" s="10">
        <f t="shared" si="1208"/>
        <v>0</v>
      </c>
      <c r="CO198" s="10">
        <f t="shared" si="1208"/>
        <v>0</v>
      </c>
    </row>
    <row r="199" spans="1:93" ht="15" thickBot="1">
      <c r="A199" s="77"/>
      <c r="B199" s="168"/>
      <c r="C199" s="17" t="s">
        <v>630</v>
      </c>
      <c r="D199" s="10"/>
      <c r="E199" s="62"/>
      <c r="F199" s="11"/>
      <c r="G199" s="11" t="str">
        <f t="shared" si="1193"/>
        <v>тыс. руб.</v>
      </c>
      <c r="H199" s="10"/>
      <c r="I199" s="23">
        <f t="shared" si="1194"/>
        <v>0</v>
      </c>
      <c r="J199" s="10"/>
      <c r="K199" s="10"/>
      <c r="L199" s="10">
        <f t="shared" ref="L199:R199" si="1209">SUM(L192:L196,L197:L198) * $E190</f>
        <v>0</v>
      </c>
      <c r="M199" s="10">
        <f t="shared" si="1209"/>
        <v>0</v>
      </c>
      <c r="N199" s="10">
        <f t="shared" si="1209"/>
        <v>0</v>
      </c>
      <c r="O199" s="10">
        <f t="shared" si="1209"/>
        <v>0</v>
      </c>
      <c r="P199" s="10">
        <f t="shared" si="1209"/>
        <v>0</v>
      </c>
      <c r="Q199" s="10">
        <f t="shared" si="1209"/>
        <v>0</v>
      </c>
      <c r="R199" s="10">
        <f t="shared" si="1209"/>
        <v>0</v>
      </c>
      <c r="S199" s="10">
        <f t="shared" ref="S199" si="1210">SUM(S192:S196,S197:S198) * $E190</f>
        <v>0</v>
      </c>
      <c r="T199" s="10">
        <f t="shared" ref="T199:CE199" si="1211">SUM(T192:T196,T197:T198) * $E190</f>
        <v>0</v>
      </c>
      <c r="U199" s="10">
        <f t="shared" si="1211"/>
        <v>0</v>
      </c>
      <c r="V199" s="10">
        <f t="shared" si="1211"/>
        <v>0</v>
      </c>
      <c r="W199" s="10">
        <f t="shared" si="1211"/>
        <v>0</v>
      </c>
      <c r="X199" s="10">
        <f t="shared" si="1211"/>
        <v>0</v>
      </c>
      <c r="Y199" s="10">
        <f t="shared" si="1211"/>
        <v>0</v>
      </c>
      <c r="Z199" s="10">
        <f t="shared" si="1211"/>
        <v>0</v>
      </c>
      <c r="AA199" s="10">
        <f t="shared" si="1211"/>
        <v>0</v>
      </c>
      <c r="AB199" s="10">
        <f t="shared" si="1211"/>
        <v>0</v>
      </c>
      <c r="AC199" s="10">
        <f t="shared" si="1211"/>
        <v>0</v>
      </c>
      <c r="AD199" s="10">
        <f t="shared" si="1211"/>
        <v>0</v>
      </c>
      <c r="AE199" s="10">
        <f t="shared" si="1211"/>
        <v>0</v>
      </c>
      <c r="AF199" s="10">
        <f t="shared" si="1211"/>
        <v>0</v>
      </c>
      <c r="AG199" s="10">
        <f t="shared" si="1211"/>
        <v>0</v>
      </c>
      <c r="AH199" s="10">
        <f t="shared" si="1211"/>
        <v>0</v>
      </c>
      <c r="AI199" s="10">
        <f t="shared" si="1211"/>
        <v>0</v>
      </c>
      <c r="AJ199" s="10">
        <f t="shared" si="1211"/>
        <v>0</v>
      </c>
      <c r="AK199" s="10">
        <f t="shared" si="1211"/>
        <v>0</v>
      </c>
      <c r="AL199" s="10">
        <f t="shared" si="1211"/>
        <v>0</v>
      </c>
      <c r="AM199" s="10">
        <f t="shared" si="1211"/>
        <v>0</v>
      </c>
      <c r="AN199" s="10">
        <f t="shared" si="1211"/>
        <v>0</v>
      </c>
      <c r="AO199" s="10">
        <f t="shared" si="1211"/>
        <v>0</v>
      </c>
      <c r="AP199" s="10">
        <f t="shared" si="1211"/>
        <v>0</v>
      </c>
      <c r="AQ199" s="10">
        <f t="shared" si="1211"/>
        <v>0</v>
      </c>
      <c r="AR199" s="10">
        <f t="shared" si="1211"/>
        <v>0</v>
      </c>
      <c r="AS199" s="10">
        <f t="shared" si="1211"/>
        <v>0</v>
      </c>
      <c r="AT199" s="10">
        <f t="shared" si="1211"/>
        <v>0</v>
      </c>
      <c r="AU199" s="10">
        <f t="shared" si="1211"/>
        <v>0</v>
      </c>
      <c r="AV199" s="10">
        <f t="shared" si="1211"/>
        <v>0</v>
      </c>
      <c r="AW199" s="10">
        <f t="shared" si="1211"/>
        <v>0</v>
      </c>
      <c r="AX199" s="10">
        <f t="shared" si="1211"/>
        <v>0</v>
      </c>
      <c r="AY199" s="10">
        <f t="shared" si="1211"/>
        <v>0</v>
      </c>
      <c r="AZ199" s="10">
        <f t="shared" si="1211"/>
        <v>0</v>
      </c>
      <c r="BA199" s="10">
        <f t="shared" si="1211"/>
        <v>0</v>
      </c>
      <c r="BB199" s="10">
        <f t="shared" si="1211"/>
        <v>0</v>
      </c>
      <c r="BC199" s="10">
        <f t="shared" si="1211"/>
        <v>0</v>
      </c>
      <c r="BD199" s="10">
        <f t="shared" si="1211"/>
        <v>0</v>
      </c>
      <c r="BE199" s="10">
        <f t="shared" si="1211"/>
        <v>0</v>
      </c>
      <c r="BF199" s="10">
        <f t="shared" si="1211"/>
        <v>0</v>
      </c>
      <c r="BG199" s="10">
        <f t="shared" si="1211"/>
        <v>0</v>
      </c>
      <c r="BH199" s="10">
        <f t="shared" si="1211"/>
        <v>0</v>
      </c>
      <c r="BI199" s="10">
        <f t="shared" si="1211"/>
        <v>0</v>
      </c>
      <c r="BJ199" s="10">
        <f t="shared" si="1211"/>
        <v>0</v>
      </c>
      <c r="BK199" s="10">
        <f t="shared" si="1211"/>
        <v>0</v>
      </c>
      <c r="BL199" s="10">
        <f t="shared" si="1211"/>
        <v>0</v>
      </c>
      <c r="BM199" s="10">
        <f t="shared" si="1211"/>
        <v>0</v>
      </c>
      <c r="BN199" s="10">
        <f t="shared" si="1211"/>
        <v>0</v>
      </c>
      <c r="BO199" s="10">
        <f t="shared" si="1211"/>
        <v>0</v>
      </c>
      <c r="BP199" s="10">
        <f t="shared" si="1211"/>
        <v>0</v>
      </c>
      <c r="BQ199" s="10">
        <f t="shared" si="1211"/>
        <v>0</v>
      </c>
      <c r="BR199" s="10">
        <f t="shared" si="1211"/>
        <v>0</v>
      </c>
      <c r="BS199" s="10">
        <f t="shared" si="1211"/>
        <v>0</v>
      </c>
      <c r="BT199" s="10">
        <f t="shared" si="1211"/>
        <v>0</v>
      </c>
      <c r="BU199" s="10">
        <f t="shared" si="1211"/>
        <v>0</v>
      </c>
      <c r="BV199" s="10">
        <f t="shared" si="1211"/>
        <v>0</v>
      </c>
      <c r="BW199" s="10">
        <f t="shared" si="1211"/>
        <v>0</v>
      </c>
      <c r="BX199" s="10">
        <f t="shared" si="1211"/>
        <v>0</v>
      </c>
      <c r="BY199" s="10">
        <f t="shared" si="1211"/>
        <v>0</v>
      </c>
      <c r="BZ199" s="10">
        <f t="shared" si="1211"/>
        <v>0</v>
      </c>
      <c r="CA199" s="10">
        <f t="shared" si="1211"/>
        <v>0</v>
      </c>
      <c r="CB199" s="10">
        <f t="shared" si="1211"/>
        <v>0</v>
      </c>
      <c r="CC199" s="10">
        <f t="shared" si="1211"/>
        <v>0</v>
      </c>
      <c r="CD199" s="10">
        <f t="shared" si="1211"/>
        <v>0</v>
      </c>
      <c r="CE199" s="10">
        <f t="shared" si="1211"/>
        <v>0</v>
      </c>
      <c r="CF199" s="10">
        <f t="shared" ref="CF199:CO199" si="1212">SUM(CF192:CF196,CF197:CF198) * $E190</f>
        <v>0</v>
      </c>
      <c r="CG199" s="10">
        <f t="shared" si="1212"/>
        <v>0</v>
      </c>
      <c r="CH199" s="10">
        <f t="shared" si="1212"/>
        <v>0</v>
      </c>
      <c r="CI199" s="10">
        <f t="shared" si="1212"/>
        <v>0</v>
      </c>
      <c r="CJ199" s="10">
        <f t="shared" si="1212"/>
        <v>0</v>
      </c>
      <c r="CK199" s="10">
        <f t="shared" si="1212"/>
        <v>0</v>
      </c>
      <c r="CL199" s="10">
        <f t="shared" si="1212"/>
        <v>0</v>
      </c>
      <c r="CM199" s="10">
        <f t="shared" si="1212"/>
        <v>0</v>
      </c>
      <c r="CN199" s="10">
        <f t="shared" si="1212"/>
        <v>0</v>
      </c>
      <c r="CO199" s="10">
        <f t="shared" si="1212"/>
        <v>0</v>
      </c>
    </row>
    <row r="200" spans="1:93" ht="15" thickTop="1">
      <c r="A200" s="77"/>
      <c r="B200" s="101"/>
      <c r="C200" s="49" t="s">
        <v>859</v>
      </c>
      <c r="D200" s="49"/>
      <c r="E200" s="136"/>
      <c r="F200" s="49"/>
      <c r="G200" s="159" t="str">
        <f xml:space="preserve"> Monetary_Unit</f>
        <v>тыс. руб.</v>
      </c>
      <c r="H200" s="49"/>
      <c r="I200" s="23">
        <f t="shared" si="1194"/>
        <v>4171044.8385369601</v>
      </c>
      <c r="J200" s="49"/>
      <c r="K200" s="49"/>
      <c r="L200" s="49">
        <f t="shared" ref="L200:R200" si="1213" xml:space="preserve"> SUM(L192:L199)</f>
        <v>25575.828479200001</v>
      </c>
      <c r="M200" s="49">
        <f t="shared" si="1213"/>
        <v>25575.828479200001</v>
      </c>
      <c r="N200" s="49">
        <f t="shared" si="1213"/>
        <v>25575.828479200001</v>
      </c>
      <c r="O200" s="49">
        <f t="shared" si="1213"/>
        <v>25575.828479200001</v>
      </c>
      <c r="P200" s="49">
        <f t="shared" si="1213"/>
        <v>213131.90399333334</v>
      </c>
      <c r="Q200" s="49">
        <f t="shared" si="1213"/>
        <v>213131.90399333334</v>
      </c>
      <c r="R200" s="49">
        <f t="shared" si="1213"/>
        <v>213131.90399333337</v>
      </c>
      <c r="S200" s="49">
        <f t="shared" ref="S200" si="1214" xml:space="preserve"> SUM(S192:S199)</f>
        <v>213131.90399333334</v>
      </c>
      <c r="T200" s="49">
        <f t="shared" ref="T200:CE200" si="1215" xml:space="preserve"> SUM(T192:T199)</f>
        <v>213131.90399333337</v>
      </c>
      <c r="U200" s="49">
        <f t="shared" si="1215"/>
        <v>213131.90399333337</v>
      </c>
      <c r="V200" s="49">
        <f t="shared" si="1215"/>
        <v>213131.90399333334</v>
      </c>
      <c r="W200" s="49">
        <f t="shared" si="1215"/>
        <v>213131.90399333334</v>
      </c>
      <c r="X200" s="49">
        <f t="shared" si="1215"/>
        <v>447087.07899333327</v>
      </c>
      <c r="Y200" s="49">
        <f t="shared" si="1215"/>
        <v>447087.07899333333</v>
      </c>
      <c r="Z200" s="49">
        <f t="shared" si="1215"/>
        <v>447087.07899333327</v>
      </c>
      <c r="AA200" s="49">
        <f t="shared" si="1215"/>
        <v>447087.07899333315</v>
      </c>
      <c r="AB200" s="49">
        <f t="shared" si="1215"/>
        <v>575337.97670015995</v>
      </c>
      <c r="AC200" s="49">
        <f t="shared" si="1215"/>
        <v>0</v>
      </c>
      <c r="AD200" s="49">
        <f t="shared" si="1215"/>
        <v>0</v>
      </c>
      <c r="AE200" s="49">
        <f t="shared" si="1215"/>
        <v>0</v>
      </c>
      <c r="AF200" s="49">
        <f t="shared" si="1215"/>
        <v>0</v>
      </c>
      <c r="AG200" s="49">
        <f t="shared" si="1215"/>
        <v>0</v>
      </c>
      <c r="AH200" s="49">
        <f t="shared" si="1215"/>
        <v>0</v>
      </c>
      <c r="AI200" s="49">
        <f t="shared" si="1215"/>
        <v>0</v>
      </c>
      <c r="AJ200" s="49">
        <f t="shared" si="1215"/>
        <v>0</v>
      </c>
      <c r="AK200" s="49">
        <f t="shared" si="1215"/>
        <v>0</v>
      </c>
      <c r="AL200" s="49">
        <f t="shared" si="1215"/>
        <v>0</v>
      </c>
      <c r="AM200" s="49">
        <f t="shared" si="1215"/>
        <v>0</v>
      </c>
      <c r="AN200" s="49">
        <f t="shared" si="1215"/>
        <v>0</v>
      </c>
      <c r="AO200" s="49">
        <f t="shared" si="1215"/>
        <v>0</v>
      </c>
      <c r="AP200" s="49">
        <f t="shared" si="1215"/>
        <v>0</v>
      </c>
      <c r="AQ200" s="49">
        <f t="shared" si="1215"/>
        <v>0</v>
      </c>
      <c r="AR200" s="49">
        <f t="shared" si="1215"/>
        <v>0</v>
      </c>
      <c r="AS200" s="49">
        <f t="shared" si="1215"/>
        <v>0</v>
      </c>
      <c r="AT200" s="49">
        <f t="shared" si="1215"/>
        <v>0</v>
      </c>
      <c r="AU200" s="49">
        <f t="shared" si="1215"/>
        <v>0</v>
      </c>
      <c r="AV200" s="49">
        <f t="shared" si="1215"/>
        <v>0</v>
      </c>
      <c r="AW200" s="49">
        <f t="shared" si="1215"/>
        <v>0</v>
      </c>
      <c r="AX200" s="49">
        <f t="shared" si="1215"/>
        <v>0</v>
      </c>
      <c r="AY200" s="49">
        <f t="shared" si="1215"/>
        <v>0</v>
      </c>
      <c r="AZ200" s="49">
        <f t="shared" si="1215"/>
        <v>0</v>
      </c>
      <c r="BA200" s="49">
        <f t="shared" si="1215"/>
        <v>0</v>
      </c>
      <c r="BB200" s="49">
        <f t="shared" si="1215"/>
        <v>0</v>
      </c>
      <c r="BC200" s="49">
        <f t="shared" si="1215"/>
        <v>0</v>
      </c>
      <c r="BD200" s="49">
        <f t="shared" si="1215"/>
        <v>0</v>
      </c>
      <c r="BE200" s="49">
        <f t="shared" si="1215"/>
        <v>0</v>
      </c>
      <c r="BF200" s="49">
        <f t="shared" si="1215"/>
        <v>0</v>
      </c>
      <c r="BG200" s="49">
        <f t="shared" si="1215"/>
        <v>0</v>
      </c>
      <c r="BH200" s="49">
        <f t="shared" si="1215"/>
        <v>0</v>
      </c>
      <c r="BI200" s="49">
        <f t="shared" si="1215"/>
        <v>0</v>
      </c>
      <c r="BJ200" s="49">
        <f t="shared" si="1215"/>
        <v>0</v>
      </c>
      <c r="BK200" s="49">
        <f t="shared" si="1215"/>
        <v>0</v>
      </c>
      <c r="BL200" s="49">
        <f t="shared" si="1215"/>
        <v>0</v>
      </c>
      <c r="BM200" s="49">
        <f t="shared" si="1215"/>
        <v>0</v>
      </c>
      <c r="BN200" s="49">
        <f t="shared" si="1215"/>
        <v>0</v>
      </c>
      <c r="BO200" s="49">
        <f t="shared" si="1215"/>
        <v>0</v>
      </c>
      <c r="BP200" s="49">
        <f t="shared" si="1215"/>
        <v>0</v>
      </c>
      <c r="BQ200" s="49">
        <f t="shared" si="1215"/>
        <v>0</v>
      </c>
      <c r="BR200" s="49">
        <f t="shared" si="1215"/>
        <v>0</v>
      </c>
      <c r="BS200" s="49">
        <f t="shared" si="1215"/>
        <v>0</v>
      </c>
      <c r="BT200" s="49">
        <f t="shared" si="1215"/>
        <v>0</v>
      </c>
      <c r="BU200" s="49">
        <f t="shared" si="1215"/>
        <v>0</v>
      </c>
      <c r="BV200" s="49">
        <f t="shared" si="1215"/>
        <v>0</v>
      </c>
      <c r="BW200" s="49">
        <f t="shared" si="1215"/>
        <v>0</v>
      </c>
      <c r="BX200" s="49">
        <f t="shared" si="1215"/>
        <v>0</v>
      </c>
      <c r="BY200" s="49">
        <f t="shared" si="1215"/>
        <v>0</v>
      </c>
      <c r="BZ200" s="49">
        <f t="shared" si="1215"/>
        <v>0</v>
      </c>
      <c r="CA200" s="49">
        <f t="shared" si="1215"/>
        <v>0</v>
      </c>
      <c r="CB200" s="49">
        <f t="shared" si="1215"/>
        <v>0</v>
      </c>
      <c r="CC200" s="49">
        <f t="shared" si="1215"/>
        <v>0</v>
      </c>
      <c r="CD200" s="49">
        <f t="shared" si="1215"/>
        <v>0</v>
      </c>
      <c r="CE200" s="49">
        <f t="shared" si="1215"/>
        <v>0</v>
      </c>
      <c r="CF200" s="49">
        <f t="shared" ref="CF200:CO200" si="1216" xml:space="preserve"> SUM(CF192:CF199)</f>
        <v>0</v>
      </c>
      <c r="CG200" s="49">
        <f t="shared" si="1216"/>
        <v>0</v>
      </c>
      <c r="CH200" s="49">
        <f t="shared" si="1216"/>
        <v>0</v>
      </c>
      <c r="CI200" s="49">
        <f t="shared" si="1216"/>
        <v>0</v>
      </c>
      <c r="CJ200" s="49">
        <f t="shared" si="1216"/>
        <v>0</v>
      </c>
      <c r="CK200" s="49">
        <f t="shared" si="1216"/>
        <v>0</v>
      </c>
      <c r="CL200" s="49">
        <f t="shared" si="1216"/>
        <v>0</v>
      </c>
      <c r="CM200" s="49">
        <f t="shared" si="1216"/>
        <v>0</v>
      </c>
      <c r="CN200" s="49">
        <f t="shared" si="1216"/>
        <v>0</v>
      </c>
      <c r="CO200" s="49">
        <f t="shared" si="1216"/>
        <v>0</v>
      </c>
    </row>
    <row r="201" spans="1:93">
      <c r="A201" s="77"/>
      <c r="B201" s="168"/>
      <c r="C201" s="169"/>
      <c r="D201" s="10"/>
      <c r="E201" s="62"/>
      <c r="F201" s="11"/>
      <c r="G201" s="11"/>
      <c r="H201" s="10"/>
      <c r="I201" s="10" t="str">
        <f>IF(IFERROR(I200=Предпосылки!E293*I95*I112,I200=0),"")</f>
        <v/>
      </c>
      <c r="J201" s="10"/>
      <c r="K201" s="10"/>
      <c r="L201" s="170"/>
      <c r="M201" s="170"/>
      <c r="N201" s="170"/>
      <c r="O201" s="170"/>
      <c r="P201" s="170"/>
      <c r="Q201" s="170"/>
      <c r="R201" s="170"/>
      <c r="S201" s="170"/>
      <c r="T201" s="170"/>
      <c r="U201" s="170"/>
      <c r="V201" s="170"/>
      <c r="W201" s="170"/>
      <c r="X201" s="170"/>
      <c r="Y201" s="170"/>
      <c r="Z201" s="170"/>
      <c r="AA201" s="170"/>
      <c r="AB201" s="170"/>
      <c r="AC201" s="170"/>
      <c r="AD201" s="170"/>
      <c r="AE201" s="170"/>
      <c r="AF201" s="170"/>
      <c r="AG201" s="170"/>
      <c r="AH201" s="170"/>
      <c r="AI201" s="170"/>
      <c r="AJ201" s="170"/>
      <c r="AK201" s="170"/>
      <c r="AL201" s="170"/>
      <c r="AM201" s="170"/>
      <c r="AN201" s="170"/>
      <c r="AO201" s="170"/>
      <c r="AP201" s="170"/>
      <c r="AQ201" s="170"/>
      <c r="AR201" s="170"/>
      <c r="AS201" s="170"/>
      <c r="AT201" s="170"/>
      <c r="AU201" s="170"/>
      <c r="AV201" s="170"/>
      <c r="AW201" s="170"/>
      <c r="AX201" s="170"/>
      <c r="AY201" s="170"/>
      <c r="AZ201" s="170"/>
      <c r="BA201" s="170"/>
      <c r="BB201" s="170"/>
      <c r="BC201" s="170"/>
      <c r="BD201" s="170"/>
      <c r="BE201" s="170"/>
      <c r="BF201" s="170"/>
      <c r="BG201" s="170"/>
      <c r="BH201" s="170"/>
      <c r="BI201" s="170"/>
      <c r="BJ201" s="170"/>
      <c r="BK201" s="170"/>
      <c r="BL201" s="170"/>
      <c r="BM201" s="170"/>
      <c r="BN201" s="170"/>
      <c r="BO201" s="170"/>
      <c r="BP201" s="170"/>
      <c r="BQ201" s="170"/>
      <c r="BR201" s="170"/>
      <c r="BS201" s="170"/>
      <c r="BT201" s="170"/>
      <c r="BU201" s="170"/>
      <c r="BV201" s="170"/>
      <c r="BW201" s="170"/>
      <c r="BX201" s="170"/>
      <c r="BY201" s="170"/>
      <c r="BZ201" s="170"/>
      <c r="CA201" s="170"/>
      <c r="CB201" s="170"/>
      <c r="CC201" s="170"/>
      <c r="CD201" s="170"/>
      <c r="CE201" s="170"/>
      <c r="CF201" s="170"/>
      <c r="CG201" s="170"/>
      <c r="CH201" s="170"/>
      <c r="CI201" s="170"/>
      <c r="CJ201" s="170"/>
      <c r="CK201" s="170"/>
      <c r="CL201" s="170"/>
      <c r="CM201" s="170"/>
      <c r="CN201" s="170"/>
      <c r="CO201" s="170"/>
    </row>
    <row r="202" spans="1:93" ht="16" thickBot="1">
      <c r="A202" s="9"/>
      <c r="B202" s="168"/>
      <c r="C202" s="12" t="s">
        <v>652</v>
      </c>
      <c r="D202" s="12"/>
      <c r="E202" s="12"/>
      <c r="F202" s="12"/>
      <c r="G202" s="362"/>
      <c r="H202" s="12"/>
      <c r="I202" s="12"/>
      <c r="J202" s="10"/>
      <c r="K202" s="10"/>
      <c r="L202" s="170"/>
      <c r="M202" s="170"/>
      <c r="N202" s="170"/>
      <c r="O202" s="170"/>
      <c r="P202" s="170"/>
      <c r="Q202" s="170"/>
      <c r="R202" s="170"/>
      <c r="S202" s="170"/>
      <c r="T202" s="170"/>
      <c r="U202" s="170"/>
      <c r="V202" s="170"/>
      <c r="W202" s="170"/>
      <c r="X202" s="170"/>
      <c r="Y202" s="170"/>
      <c r="Z202" s="170"/>
      <c r="AA202" s="170"/>
      <c r="AB202" s="170"/>
      <c r="AC202" s="170"/>
      <c r="AD202" s="170"/>
      <c r="AE202" s="170"/>
      <c r="AF202" s="170"/>
      <c r="AG202" s="170"/>
      <c r="AH202" s="170"/>
      <c r="AI202" s="170"/>
      <c r="AJ202" s="170"/>
      <c r="AK202" s="170"/>
      <c r="AL202" s="170"/>
      <c r="AM202" s="170"/>
      <c r="AN202" s="170"/>
      <c r="AO202" s="170"/>
      <c r="AP202" s="170"/>
      <c r="AQ202" s="170"/>
      <c r="AR202" s="170"/>
      <c r="AS202" s="170"/>
      <c r="AT202" s="170"/>
      <c r="AU202" s="170"/>
      <c r="AV202" s="170"/>
      <c r="AW202" s="170"/>
      <c r="AX202" s="170"/>
      <c r="AY202" s="170"/>
      <c r="AZ202" s="170"/>
      <c r="BA202" s="170"/>
      <c r="BB202" s="170"/>
      <c r="BC202" s="170"/>
      <c r="BD202" s="170"/>
      <c r="BE202" s="170"/>
      <c r="BF202" s="170"/>
      <c r="BG202" s="170"/>
      <c r="BH202" s="170"/>
      <c r="BI202" s="170"/>
      <c r="BJ202" s="170"/>
      <c r="BK202" s="170"/>
      <c r="BL202" s="170"/>
      <c r="BM202" s="170"/>
      <c r="BN202" s="170"/>
      <c r="BO202" s="170"/>
      <c r="BP202" s="170"/>
      <c r="BQ202" s="170"/>
      <c r="BR202" s="170"/>
      <c r="BS202" s="170"/>
      <c r="BT202" s="170"/>
      <c r="BU202" s="170"/>
      <c r="BV202" s="170"/>
      <c r="BW202" s="170"/>
      <c r="BX202" s="170"/>
      <c r="BY202" s="170"/>
      <c r="BZ202" s="170"/>
      <c r="CA202" s="170"/>
      <c r="CB202" s="170"/>
      <c r="CC202" s="170"/>
      <c r="CD202" s="170"/>
      <c r="CE202" s="170"/>
      <c r="CF202" s="170"/>
      <c r="CG202" s="170"/>
      <c r="CH202" s="170"/>
      <c r="CI202" s="170"/>
      <c r="CJ202" s="170"/>
      <c r="CK202" s="170"/>
      <c r="CL202" s="170"/>
      <c r="CM202" s="170"/>
      <c r="CN202" s="170"/>
      <c r="CO202" s="170"/>
    </row>
    <row r="203" spans="1:93">
      <c r="A203" s="77"/>
      <c r="B203" s="168"/>
      <c r="C203" s="169"/>
      <c r="D203" s="10"/>
      <c r="E203" s="62"/>
      <c r="F203" s="11"/>
      <c r="G203" s="11"/>
      <c r="H203" s="10"/>
      <c r="I203" s="10"/>
      <c r="J203" s="10"/>
      <c r="K203" s="1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  <c r="Z203" s="170"/>
      <c r="AA203" s="170"/>
      <c r="AB203" s="170"/>
      <c r="AC203" s="170"/>
      <c r="AD203" s="170"/>
      <c r="AE203" s="170"/>
      <c r="AF203" s="170"/>
      <c r="AG203" s="170"/>
      <c r="AH203" s="170"/>
      <c r="AI203" s="170"/>
      <c r="AJ203" s="170"/>
      <c r="AK203" s="170"/>
      <c r="AL203" s="170"/>
      <c r="AM203" s="170"/>
      <c r="AN203" s="170"/>
      <c r="AO203" s="170"/>
      <c r="AP203" s="170"/>
      <c r="AQ203" s="170"/>
      <c r="AR203" s="170"/>
      <c r="AS203" s="170"/>
      <c r="AT203" s="170"/>
      <c r="AU203" s="170"/>
      <c r="AV203" s="170"/>
      <c r="AW203" s="170"/>
      <c r="AX203" s="170"/>
      <c r="AY203" s="170"/>
      <c r="AZ203" s="170"/>
      <c r="BA203" s="170"/>
      <c r="BB203" s="170"/>
      <c r="BC203" s="170"/>
      <c r="BD203" s="170"/>
      <c r="BE203" s="170"/>
      <c r="BF203" s="170"/>
      <c r="BG203" s="170"/>
      <c r="BH203" s="170"/>
      <c r="BI203" s="170"/>
      <c r="BJ203" s="170"/>
      <c r="BK203" s="170"/>
      <c r="BL203" s="170"/>
      <c r="BM203" s="170"/>
      <c r="BN203" s="170"/>
      <c r="BO203" s="170"/>
      <c r="BP203" s="170"/>
      <c r="BQ203" s="170"/>
      <c r="BR203" s="170"/>
      <c r="BS203" s="170"/>
      <c r="BT203" s="170"/>
      <c r="BU203" s="170"/>
      <c r="BV203" s="170"/>
      <c r="BW203" s="170"/>
      <c r="BX203" s="170"/>
      <c r="BY203" s="170"/>
      <c r="BZ203" s="170"/>
      <c r="CA203" s="170"/>
      <c r="CB203" s="170"/>
      <c r="CC203" s="170"/>
      <c r="CD203" s="170"/>
      <c r="CE203" s="170"/>
      <c r="CF203" s="170"/>
      <c r="CG203" s="170"/>
      <c r="CH203" s="170"/>
      <c r="CI203" s="170"/>
      <c r="CJ203" s="170"/>
      <c r="CK203" s="170"/>
      <c r="CL203" s="170"/>
      <c r="CM203" s="170"/>
      <c r="CN203" s="170"/>
      <c r="CO203" s="170"/>
    </row>
    <row r="204" spans="1:93">
      <c r="A204" s="9"/>
      <c r="B204" s="168"/>
      <c r="C204" s="17" t="s">
        <v>632</v>
      </c>
      <c r="D204" s="10"/>
      <c r="E204" s="62"/>
      <c r="F204" s="11"/>
      <c r="G204" s="11" t="str">
        <f t="shared" ref="G204:G211" si="1217">Monetary_Unit</f>
        <v>тыс. руб.</v>
      </c>
      <c r="H204" s="10"/>
      <c r="I204" s="23">
        <f t="shared" ref="I204:I212" ca="1" si="1218">SUM(L204:CO204)</f>
        <v>105985.67474336748</v>
      </c>
      <c r="J204" s="10"/>
      <c r="K204" s="10"/>
      <c r="L204" s="10">
        <f t="shared" ref="L204:AQ204" ca="1" si="1219" xml:space="preserve"> L192 * CAPEX_Accumulated_From_Date</f>
        <v>25938.874484896365</v>
      </c>
      <c r="M204" s="10">
        <f t="shared" ca="1" si="1219"/>
        <v>26307.073887768478</v>
      </c>
      <c r="N204" s="10">
        <f t="shared" ca="1" si="1219"/>
        <v>26680.499839709031</v>
      </c>
      <c r="O204" s="10">
        <f t="shared" ca="1" si="1219"/>
        <v>27059.22653099359</v>
      </c>
      <c r="P204" s="10">
        <f t="shared" ca="1" si="1219"/>
        <v>0</v>
      </c>
      <c r="Q204" s="10">
        <f t="shared" ca="1" si="1219"/>
        <v>0</v>
      </c>
      <c r="R204" s="10">
        <f t="shared" ca="1" si="1219"/>
        <v>0</v>
      </c>
      <c r="S204" s="10">
        <f t="shared" ca="1" si="1219"/>
        <v>0</v>
      </c>
      <c r="T204" s="10">
        <f t="shared" ca="1" si="1219"/>
        <v>0</v>
      </c>
      <c r="U204" s="10">
        <f t="shared" ca="1" si="1219"/>
        <v>0</v>
      </c>
      <c r="V204" s="10">
        <f t="shared" ca="1" si="1219"/>
        <v>0</v>
      </c>
      <c r="W204" s="10">
        <f t="shared" ca="1" si="1219"/>
        <v>0</v>
      </c>
      <c r="X204" s="10">
        <f t="shared" ca="1" si="1219"/>
        <v>0</v>
      </c>
      <c r="Y204" s="10">
        <f t="shared" ca="1" si="1219"/>
        <v>0</v>
      </c>
      <c r="Z204" s="10">
        <f t="shared" ca="1" si="1219"/>
        <v>0</v>
      </c>
      <c r="AA204" s="10">
        <f t="shared" ca="1" si="1219"/>
        <v>0</v>
      </c>
      <c r="AB204" s="10">
        <f t="shared" ca="1" si="1219"/>
        <v>0</v>
      </c>
      <c r="AC204" s="10">
        <f t="shared" ca="1" si="1219"/>
        <v>0</v>
      </c>
      <c r="AD204" s="10">
        <f t="shared" ca="1" si="1219"/>
        <v>0</v>
      </c>
      <c r="AE204" s="10">
        <f t="shared" ca="1" si="1219"/>
        <v>0</v>
      </c>
      <c r="AF204" s="10">
        <f t="shared" ca="1" si="1219"/>
        <v>0</v>
      </c>
      <c r="AG204" s="10">
        <f t="shared" ca="1" si="1219"/>
        <v>0</v>
      </c>
      <c r="AH204" s="10">
        <f t="shared" ca="1" si="1219"/>
        <v>0</v>
      </c>
      <c r="AI204" s="10">
        <f t="shared" ca="1" si="1219"/>
        <v>0</v>
      </c>
      <c r="AJ204" s="10">
        <f t="shared" ca="1" si="1219"/>
        <v>0</v>
      </c>
      <c r="AK204" s="10">
        <f t="shared" ca="1" si="1219"/>
        <v>0</v>
      </c>
      <c r="AL204" s="10">
        <f t="shared" ca="1" si="1219"/>
        <v>0</v>
      </c>
      <c r="AM204" s="10">
        <f t="shared" ca="1" si="1219"/>
        <v>0</v>
      </c>
      <c r="AN204" s="10">
        <f t="shared" ca="1" si="1219"/>
        <v>0</v>
      </c>
      <c r="AO204" s="10">
        <f t="shared" ca="1" si="1219"/>
        <v>0</v>
      </c>
      <c r="AP204" s="10">
        <f t="shared" ca="1" si="1219"/>
        <v>0</v>
      </c>
      <c r="AQ204" s="10">
        <f t="shared" ca="1" si="1219"/>
        <v>0</v>
      </c>
      <c r="AR204" s="10">
        <f t="shared" ref="AR204:BW204" ca="1" si="1220" xml:space="preserve"> AR192 * CAPEX_Accumulated_From_Date</f>
        <v>0</v>
      </c>
      <c r="AS204" s="10">
        <f t="shared" ca="1" si="1220"/>
        <v>0</v>
      </c>
      <c r="AT204" s="10">
        <f t="shared" ca="1" si="1220"/>
        <v>0</v>
      </c>
      <c r="AU204" s="10">
        <f t="shared" ca="1" si="1220"/>
        <v>0</v>
      </c>
      <c r="AV204" s="10">
        <f t="shared" ca="1" si="1220"/>
        <v>0</v>
      </c>
      <c r="AW204" s="10">
        <f t="shared" ca="1" si="1220"/>
        <v>0</v>
      </c>
      <c r="AX204" s="10">
        <f t="shared" ca="1" si="1220"/>
        <v>0</v>
      </c>
      <c r="AY204" s="10">
        <f t="shared" ca="1" si="1220"/>
        <v>0</v>
      </c>
      <c r="AZ204" s="10">
        <f t="shared" ca="1" si="1220"/>
        <v>0</v>
      </c>
      <c r="BA204" s="10">
        <f t="shared" ca="1" si="1220"/>
        <v>0</v>
      </c>
      <c r="BB204" s="10">
        <f t="shared" ca="1" si="1220"/>
        <v>0</v>
      </c>
      <c r="BC204" s="10">
        <f t="shared" ca="1" si="1220"/>
        <v>0</v>
      </c>
      <c r="BD204" s="10">
        <f t="shared" ca="1" si="1220"/>
        <v>0</v>
      </c>
      <c r="BE204" s="10">
        <f t="shared" ca="1" si="1220"/>
        <v>0</v>
      </c>
      <c r="BF204" s="10">
        <f t="shared" ca="1" si="1220"/>
        <v>0</v>
      </c>
      <c r="BG204" s="10">
        <f t="shared" ca="1" si="1220"/>
        <v>0</v>
      </c>
      <c r="BH204" s="10">
        <f t="shared" ca="1" si="1220"/>
        <v>0</v>
      </c>
      <c r="BI204" s="10">
        <f t="shared" ca="1" si="1220"/>
        <v>0</v>
      </c>
      <c r="BJ204" s="10">
        <f t="shared" ca="1" si="1220"/>
        <v>0</v>
      </c>
      <c r="BK204" s="10">
        <f t="shared" ca="1" si="1220"/>
        <v>0</v>
      </c>
      <c r="BL204" s="10">
        <f t="shared" ca="1" si="1220"/>
        <v>0</v>
      </c>
      <c r="BM204" s="10">
        <f t="shared" ca="1" si="1220"/>
        <v>0</v>
      </c>
      <c r="BN204" s="10">
        <f t="shared" ca="1" si="1220"/>
        <v>0</v>
      </c>
      <c r="BO204" s="10">
        <f t="shared" ca="1" si="1220"/>
        <v>0</v>
      </c>
      <c r="BP204" s="10">
        <f t="shared" ca="1" si="1220"/>
        <v>0</v>
      </c>
      <c r="BQ204" s="10">
        <f t="shared" ca="1" si="1220"/>
        <v>0</v>
      </c>
      <c r="BR204" s="10">
        <f t="shared" ca="1" si="1220"/>
        <v>0</v>
      </c>
      <c r="BS204" s="10">
        <f t="shared" ca="1" si="1220"/>
        <v>0</v>
      </c>
      <c r="BT204" s="10">
        <f t="shared" ca="1" si="1220"/>
        <v>0</v>
      </c>
      <c r="BU204" s="10">
        <f t="shared" ca="1" si="1220"/>
        <v>0</v>
      </c>
      <c r="BV204" s="10">
        <f t="shared" ca="1" si="1220"/>
        <v>0</v>
      </c>
      <c r="BW204" s="10">
        <f t="shared" ca="1" si="1220"/>
        <v>0</v>
      </c>
      <c r="BX204" s="10">
        <f t="shared" ref="BX204:CO204" ca="1" si="1221" xml:space="preserve"> BX192 * CAPEX_Accumulated_From_Date</f>
        <v>0</v>
      </c>
      <c r="BY204" s="10">
        <f t="shared" ca="1" si="1221"/>
        <v>0</v>
      </c>
      <c r="BZ204" s="10">
        <f t="shared" ca="1" si="1221"/>
        <v>0</v>
      </c>
      <c r="CA204" s="10">
        <f t="shared" ca="1" si="1221"/>
        <v>0</v>
      </c>
      <c r="CB204" s="10">
        <f t="shared" ca="1" si="1221"/>
        <v>0</v>
      </c>
      <c r="CC204" s="10">
        <f t="shared" ca="1" si="1221"/>
        <v>0</v>
      </c>
      <c r="CD204" s="10">
        <f t="shared" ca="1" si="1221"/>
        <v>0</v>
      </c>
      <c r="CE204" s="10">
        <f t="shared" ca="1" si="1221"/>
        <v>0</v>
      </c>
      <c r="CF204" s="10">
        <f t="shared" ca="1" si="1221"/>
        <v>0</v>
      </c>
      <c r="CG204" s="10">
        <f t="shared" ca="1" si="1221"/>
        <v>0</v>
      </c>
      <c r="CH204" s="10">
        <f t="shared" ca="1" si="1221"/>
        <v>0</v>
      </c>
      <c r="CI204" s="10">
        <f t="shared" ca="1" si="1221"/>
        <v>0</v>
      </c>
      <c r="CJ204" s="10">
        <f t="shared" ca="1" si="1221"/>
        <v>0</v>
      </c>
      <c r="CK204" s="10">
        <f t="shared" ca="1" si="1221"/>
        <v>0</v>
      </c>
      <c r="CL204" s="10">
        <f t="shared" ca="1" si="1221"/>
        <v>0</v>
      </c>
      <c r="CM204" s="10">
        <f t="shared" ca="1" si="1221"/>
        <v>0</v>
      </c>
      <c r="CN204" s="10">
        <f t="shared" ca="1" si="1221"/>
        <v>0</v>
      </c>
      <c r="CO204" s="10">
        <f t="shared" ca="1" si="1221"/>
        <v>0</v>
      </c>
    </row>
    <row r="205" spans="1:93">
      <c r="A205" s="9"/>
      <c r="B205" s="168"/>
      <c r="C205" s="17" t="s">
        <v>634</v>
      </c>
      <c r="D205" s="10"/>
      <c r="E205" s="62"/>
      <c r="F205" s="11"/>
      <c r="G205" s="11" t="str">
        <f t="shared" si="1217"/>
        <v>тыс. руб.</v>
      </c>
      <c r="H205" s="10"/>
      <c r="I205" s="23">
        <f t="shared" ca="1" si="1218"/>
        <v>0</v>
      </c>
      <c r="J205" s="10"/>
      <c r="K205" s="10"/>
      <c r="L205" s="10">
        <f t="shared" ref="L205:AQ205" ca="1" si="1222" xml:space="preserve"> L193 * CAPEX_Accumulated_From_Date</f>
        <v>0</v>
      </c>
      <c r="M205" s="10">
        <f t="shared" ca="1" si="1222"/>
        <v>0</v>
      </c>
      <c r="N205" s="10">
        <f t="shared" ca="1" si="1222"/>
        <v>0</v>
      </c>
      <c r="O205" s="10">
        <f t="shared" ca="1" si="1222"/>
        <v>0</v>
      </c>
      <c r="P205" s="10">
        <f t="shared" ca="1" si="1222"/>
        <v>0</v>
      </c>
      <c r="Q205" s="10">
        <f t="shared" ca="1" si="1222"/>
        <v>0</v>
      </c>
      <c r="R205" s="10">
        <f t="shared" ca="1" si="1222"/>
        <v>0</v>
      </c>
      <c r="S205" s="10">
        <f t="shared" ca="1" si="1222"/>
        <v>0</v>
      </c>
      <c r="T205" s="10">
        <f t="shared" ca="1" si="1222"/>
        <v>0</v>
      </c>
      <c r="U205" s="10">
        <f t="shared" ca="1" si="1222"/>
        <v>0</v>
      </c>
      <c r="V205" s="10">
        <f t="shared" ca="1" si="1222"/>
        <v>0</v>
      </c>
      <c r="W205" s="10">
        <f t="shared" ca="1" si="1222"/>
        <v>0</v>
      </c>
      <c r="X205" s="10">
        <f t="shared" ca="1" si="1222"/>
        <v>0</v>
      </c>
      <c r="Y205" s="10">
        <f t="shared" ca="1" si="1222"/>
        <v>0</v>
      </c>
      <c r="Z205" s="10">
        <f t="shared" ca="1" si="1222"/>
        <v>0</v>
      </c>
      <c r="AA205" s="10">
        <f t="shared" ca="1" si="1222"/>
        <v>0</v>
      </c>
      <c r="AB205" s="10">
        <f t="shared" ca="1" si="1222"/>
        <v>0</v>
      </c>
      <c r="AC205" s="10">
        <f t="shared" ca="1" si="1222"/>
        <v>0</v>
      </c>
      <c r="AD205" s="10">
        <f t="shared" ca="1" si="1222"/>
        <v>0</v>
      </c>
      <c r="AE205" s="10">
        <f t="shared" ca="1" si="1222"/>
        <v>0</v>
      </c>
      <c r="AF205" s="10">
        <f t="shared" ca="1" si="1222"/>
        <v>0</v>
      </c>
      <c r="AG205" s="10">
        <f t="shared" ca="1" si="1222"/>
        <v>0</v>
      </c>
      <c r="AH205" s="10">
        <f t="shared" ca="1" si="1222"/>
        <v>0</v>
      </c>
      <c r="AI205" s="10">
        <f t="shared" ca="1" si="1222"/>
        <v>0</v>
      </c>
      <c r="AJ205" s="10">
        <f t="shared" ca="1" si="1222"/>
        <v>0</v>
      </c>
      <c r="AK205" s="10">
        <f t="shared" ca="1" si="1222"/>
        <v>0</v>
      </c>
      <c r="AL205" s="10">
        <f t="shared" ca="1" si="1222"/>
        <v>0</v>
      </c>
      <c r="AM205" s="10">
        <f t="shared" ca="1" si="1222"/>
        <v>0</v>
      </c>
      <c r="AN205" s="10">
        <f t="shared" ca="1" si="1222"/>
        <v>0</v>
      </c>
      <c r="AO205" s="10">
        <f t="shared" ca="1" si="1222"/>
        <v>0</v>
      </c>
      <c r="AP205" s="10">
        <f t="shared" ca="1" si="1222"/>
        <v>0</v>
      </c>
      <c r="AQ205" s="10">
        <f t="shared" ca="1" si="1222"/>
        <v>0</v>
      </c>
      <c r="AR205" s="10">
        <f t="shared" ref="AR205:BW205" ca="1" si="1223" xml:space="preserve"> AR193 * CAPEX_Accumulated_From_Date</f>
        <v>0</v>
      </c>
      <c r="AS205" s="10">
        <f t="shared" ca="1" si="1223"/>
        <v>0</v>
      </c>
      <c r="AT205" s="10">
        <f t="shared" ca="1" si="1223"/>
        <v>0</v>
      </c>
      <c r="AU205" s="10">
        <f t="shared" ca="1" si="1223"/>
        <v>0</v>
      </c>
      <c r="AV205" s="10">
        <f t="shared" ca="1" si="1223"/>
        <v>0</v>
      </c>
      <c r="AW205" s="10">
        <f t="shared" ca="1" si="1223"/>
        <v>0</v>
      </c>
      <c r="AX205" s="10">
        <f t="shared" ca="1" si="1223"/>
        <v>0</v>
      </c>
      <c r="AY205" s="10">
        <f t="shared" ca="1" si="1223"/>
        <v>0</v>
      </c>
      <c r="AZ205" s="10">
        <f t="shared" ca="1" si="1223"/>
        <v>0</v>
      </c>
      <c r="BA205" s="10">
        <f t="shared" ca="1" si="1223"/>
        <v>0</v>
      </c>
      <c r="BB205" s="10">
        <f t="shared" ca="1" si="1223"/>
        <v>0</v>
      </c>
      <c r="BC205" s="10">
        <f t="shared" ca="1" si="1223"/>
        <v>0</v>
      </c>
      <c r="BD205" s="10">
        <f t="shared" ca="1" si="1223"/>
        <v>0</v>
      </c>
      <c r="BE205" s="10">
        <f t="shared" ca="1" si="1223"/>
        <v>0</v>
      </c>
      <c r="BF205" s="10">
        <f t="shared" ca="1" si="1223"/>
        <v>0</v>
      </c>
      <c r="BG205" s="10">
        <f t="shared" ca="1" si="1223"/>
        <v>0</v>
      </c>
      <c r="BH205" s="10">
        <f t="shared" ca="1" si="1223"/>
        <v>0</v>
      </c>
      <c r="BI205" s="10">
        <f t="shared" ca="1" si="1223"/>
        <v>0</v>
      </c>
      <c r="BJ205" s="10">
        <f t="shared" ca="1" si="1223"/>
        <v>0</v>
      </c>
      <c r="BK205" s="10">
        <f t="shared" ca="1" si="1223"/>
        <v>0</v>
      </c>
      <c r="BL205" s="10">
        <f t="shared" ca="1" si="1223"/>
        <v>0</v>
      </c>
      <c r="BM205" s="10">
        <f t="shared" ca="1" si="1223"/>
        <v>0</v>
      </c>
      <c r="BN205" s="10">
        <f t="shared" ca="1" si="1223"/>
        <v>0</v>
      </c>
      <c r="BO205" s="10">
        <f t="shared" ca="1" si="1223"/>
        <v>0</v>
      </c>
      <c r="BP205" s="10">
        <f t="shared" ca="1" si="1223"/>
        <v>0</v>
      </c>
      <c r="BQ205" s="10">
        <f t="shared" ca="1" si="1223"/>
        <v>0</v>
      </c>
      <c r="BR205" s="10">
        <f t="shared" ca="1" si="1223"/>
        <v>0</v>
      </c>
      <c r="BS205" s="10">
        <f t="shared" ca="1" si="1223"/>
        <v>0</v>
      </c>
      <c r="BT205" s="10">
        <f t="shared" ca="1" si="1223"/>
        <v>0</v>
      </c>
      <c r="BU205" s="10">
        <f t="shared" ca="1" si="1223"/>
        <v>0</v>
      </c>
      <c r="BV205" s="10">
        <f t="shared" ca="1" si="1223"/>
        <v>0</v>
      </c>
      <c r="BW205" s="10">
        <f t="shared" ca="1" si="1223"/>
        <v>0</v>
      </c>
      <c r="BX205" s="10">
        <f t="shared" ref="BX205:CO205" ca="1" si="1224" xml:space="preserve"> BX193 * CAPEX_Accumulated_From_Date</f>
        <v>0</v>
      </c>
      <c r="BY205" s="10">
        <f t="shared" ca="1" si="1224"/>
        <v>0</v>
      </c>
      <c r="BZ205" s="10">
        <f t="shared" ca="1" si="1224"/>
        <v>0</v>
      </c>
      <c r="CA205" s="10">
        <f t="shared" ca="1" si="1224"/>
        <v>0</v>
      </c>
      <c r="CB205" s="10">
        <f t="shared" ca="1" si="1224"/>
        <v>0</v>
      </c>
      <c r="CC205" s="10">
        <f t="shared" ca="1" si="1224"/>
        <v>0</v>
      </c>
      <c r="CD205" s="10">
        <f t="shared" ca="1" si="1224"/>
        <v>0</v>
      </c>
      <c r="CE205" s="10">
        <f t="shared" ca="1" si="1224"/>
        <v>0</v>
      </c>
      <c r="CF205" s="10">
        <f t="shared" ca="1" si="1224"/>
        <v>0</v>
      </c>
      <c r="CG205" s="10">
        <f t="shared" ca="1" si="1224"/>
        <v>0</v>
      </c>
      <c r="CH205" s="10">
        <f t="shared" ca="1" si="1224"/>
        <v>0</v>
      </c>
      <c r="CI205" s="10">
        <f t="shared" ca="1" si="1224"/>
        <v>0</v>
      </c>
      <c r="CJ205" s="10">
        <f t="shared" ca="1" si="1224"/>
        <v>0</v>
      </c>
      <c r="CK205" s="10">
        <f t="shared" ca="1" si="1224"/>
        <v>0</v>
      </c>
      <c r="CL205" s="10">
        <f t="shared" ca="1" si="1224"/>
        <v>0</v>
      </c>
      <c r="CM205" s="10">
        <f t="shared" ca="1" si="1224"/>
        <v>0</v>
      </c>
      <c r="CN205" s="10">
        <f t="shared" ca="1" si="1224"/>
        <v>0</v>
      </c>
      <c r="CO205" s="10">
        <f t="shared" ca="1" si="1224"/>
        <v>0</v>
      </c>
    </row>
    <row r="206" spans="1:93">
      <c r="A206" s="9"/>
      <c r="B206" s="168"/>
      <c r="C206" s="17" t="s">
        <v>633</v>
      </c>
      <c r="D206" s="10"/>
      <c r="E206" s="62"/>
      <c r="F206" s="11"/>
      <c r="G206" s="11" t="str">
        <f t="shared" si="1217"/>
        <v>тыс. руб.</v>
      </c>
      <c r="H206" s="10"/>
      <c r="I206" s="23">
        <f t="shared" ca="1" si="1218"/>
        <v>2885647.7017379962</v>
      </c>
      <c r="J206" s="10"/>
      <c r="K206" s="10"/>
      <c r="L206" s="10">
        <f t="shared" ref="L206:AQ206" ca="1" si="1225" xml:space="preserve"> L194 * CAPEX_Accumulated_From_Date</f>
        <v>0</v>
      </c>
      <c r="M206" s="10">
        <f t="shared" ca="1" si="1225"/>
        <v>0</v>
      </c>
      <c r="N206" s="10">
        <f t="shared" ca="1" si="1225"/>
        <v>0</v>
      </c>
      <c r="O206" s="10">
        <f t="shared" ca="1" si="1225"/>
        <v>0</v>
      </c>
      <c r="P206" s="10">
        <f t="shared" ca="1" si="1225"/>
        <v>227715.43409086761</v>
      </c>
      <c r="Q206" s="10">
        <f t="shared" ca="1" si="1225"/>
        <v>229959.20684043985</v>
      </c>
      <c r="R206" s="10">
        <f t="shared" ca="1" si="1225"/>
        <v>232225.08839511714</v>
      </c>
      <c r="S206" s="10">
        <f t="shared" ca="1" si="1225"/>
        <v>234513.2966019444</v>
      </c>
      <c r="T206" s="10">
        <f t="shared" ca="1" si="1225"/>
        <v>236824.05145450227</v>
      </c>
      <c r="U206" s="10">
        <f t="shared" ca="1" si="1225"/>
        <v>239157.5751140574</v>
      </c>
      <c r="V206" s="10">
        <f t="shared" ca="1" si="1225"/>
        <v>241514.09193092171</v>
      </c>
      <c r="W206" s="10">
        <f t="shared" ca="1" si="1225"/>
        <v>243893.82846602213</v>
      </c>
      <c r="X206" s="10">
        <f t="shared" ca="1" si="1225"/>
        <v>246297.01351268223</v>
      </c>
      <c r="Y206" s="10">
        <f t="shared" ca="1" si="1225"/>
        <v>248723.87811861961</v>
      </c>
      <c r="Z206" s="10">
        <f t="shared" ca="1" si="1225"/>
        <v>251174.65560815847</v>
      </c>
      <c r="AA206" s="10">
        <f t="shared" ca="1" si="1225"/>
        <v>253649.5816046627</v>
      </c>
      <c r="AB206" s="10">
        <f t="shared" ca="1" si="1225"/>
        <v>0</v>
      </c>
      <c r="AC206" s="10">
        <f t="shared" ca="1" si="1225"/>
        <v>0</v>
      </c>
      <c r="AD206" s="10">
        <f t="shared" ca="1" si="1225"/>
        <v>0</v>
      </c>
      <c r="AE206" s="10">
        <f t="shared" ca="1" si="1225"/>
        <v>0</v>
      </c>
      <c r="AF206" s="10">
        <f t="shared" ca="1" si="1225"/>
        <v>0</v>
      </c>
      <c r="AG206" s="10">
        <f t="shared" ca="1" si="1225"/>
        <v>0</v>
      </c>
      <c r="AH206" s="10">
        <f t="shared" ca="1" si="1225"/>
        <v>0</v>
      </c>
      <c r="AI206" s="10">
        <f t="shared" ca="1" si="1225"/>
        <v>0</v>
      </c>
      <c r="AJ206" s="10">
        <f t="shared" ca="1" si="1225"/>
        <v>0</v>
      </c>
      <c r="AK206" s="10">
        <f t="shared" ca="1" si="1225"/>
        <v>0</v>
      </c>
      <c r="AL206" s="10">
        <f t="shared" ca="1" si="1225"/>
        <v>0</v>
      </c>
      <c r="AM206" s="10">
        <f t="shared" ca="1" si="1225"/>
        <v>0</v>
      </c>
      <c r="AN206" s="10">
        <f t="shared" ca="1" si="1225"/>
        <v>0</v>
      </c>
      <c r="AO206" s="10">
        <f t="shared" ca="1" si="1225"/>
        <v>0</v>
      </c>
      <c r="AP206" s="10">
        <f t="shared" ca="1" si="1225"/>
        <v>0</v>
      </c>
      <c r="AQ206" s="10">
        <f t="shared" ca="1" si="1225"/>
        <v>0</v>
      </c>
      <c r="AR206" s="10">
        <f t="shared" ref="AR206:BW206" ca="1" si="1226" xml:space="preserve"> AR194 * CAPEX_Accumulated_From_Date</f>
        <v>0</v>
      </c>
      <c r="AS206" s="10">
        <f t="shared" ca="1" si="1226"/>
        <v>0</v>
      </c>
      <c r="AT206" s="10">
        <f t="shared" ca="1" si="1226"/>
        <v>0</v>
      </c>
      <c r="AU206" s="10">
        <f t="shared" ca="1" si="1226"/>
        <v>0</v>
      </c>
      <c r="AV206" s="10">
        <f t="shared" ca="1" si="1226"/>
        <v>0</v>
      </c>
      <c r="AW206" s="10">
        <f t="shared" ca="1" si="1226"/>
        <v>0</v>
      </c>
      <c r="AX206" s="10">
        <f t="shared" ca="1" si="1226"/>
        <v>0</v>
      </c>
      <c r="AY206" s="10">
        <f t="shared" ca="1" si="1226"/>
        <v>0</v>
      </c>
      <c r="AZ206" s="10">
        <f t="shared" ca="1" si="1226"/>
        <v>0</v>
      </c>
      <c r="BA206" s="10">
        <f t="shared" ca="1" si="1226"/>
        <v>0</v>
      </c>
      <c r="BB206" s="10">
        <f t="shared" ca="1" si="1226"/>
        <v>0</v>
      </c>
      <c r="BC206" s="10">
        <f t="shared" ca="1" si="1226"/>
        <v>0</v>
      </c>
      <c r="BD206" s="10">
        <f t="shared" ca="1" si="1226"/>
        <v>0</v>
      </c>
      <c r="BE206" s="10">
        <f t="shared" ca="1" si="1226"/>
        <v>0</v>
      </c>
      <c r="BF206" s="10">
        <f t="shared" ca="1" si="1226"/>
        <v>0</v>
      </c>
      <c r="BG206" s="10">
        <f t="shared" ca="1" si="1226"/>
        <v>0</v>
      </c>
      <c r="BH206" s="10">
        <f t="shared" ca="1" si="1226"/>
        <v>0</v>
      </c>
      <c r="BI206" s="10">
        <f t="shared" ca="1" si="1226"/>
        <v>0</v>
      </c>
      <c r="BJ206" s="10">
        <f t="shared" ca="1" si="1226"/>
        <v>0</v>
      </c>
      <c r="BK206" s="10">
        <f t="shared" ca="1" si="1226"/>
        <v>0</v>
      </c>
      <c r="BL206" s="10">
        <f t="shared" ca="1" si="1226"/>
        <v>0</v>
      </c>
      <c r="BM206" s="10">
        <f t="shared" ca="1" si="1226"/>
        <v>0</v>
      </c>
      <c r="BN206" s="10">
        <f t="shared" ca="1" si="1226"/>
        <v>0</v>
      </c>
      <c r="BO206" s="10">
        <f t="shared" ca="1" si="1226"/>
        <v>0</v>
      </c>
      <c r="BP206" s="10">
        <f t="shared" ca="1" si="1226"/>
        <v>0</v>
      </c>
      <c r="BQ206" s="10">
        <f t="shared" ca="1" si="1226"/>
        <v>0</v>
      </c>
      <c r="BR206" s="10">
        <f t="shared" ca="1" si="1226"/>
        <v>0</v>
      </c>
      <c r="BS206" s="10">
        <f t="shared" ca="1" si="1226"/>
        <v>0</v>
      </c>
      <c r="BT206" s="10">
        <f t="shared" ca="1" si="1226"/>
        <v>0</v>
      </c>
      <c r="BU206" s="10">
        <f t="shared" ca="1" si="1226"/>
        <v>0</v>
      </c>
      <c r="BV206" s="10">
        <f t="shared" ca="1" si="1226"/>
        <v>0</v>
      </c>
      <c r="BW206" s="10">
        <f t="shared" ca="1" si="1226"/>
        <v>0</v>
      </c>
      <c r="BX206" s="10">
        <f t="shared" ref="BX206:CO206" ca="1" si="1227" xml:space="preserve"> BX194 * CAPEX_Accumulated_From_Date</f>
        <v>0</v>
      </c>
      <c r="BY206" s="10">
        <f t="shared" ca="1" si="1227"/>
        <v>0</v>
      </c>
      <c r="BZ206" s="10">
        <f t="shared" ca="1" si="1227"/>
        <v>0</v>
      </c>
      <c r="CA206" s="10">
        <f t="shared" ca="1" si="1227"/>
        <v>0</v>
      </c>
      <c r="CB206" s="10">
        <f t="shared" ca="1" si="1227"/>
        <v>0</v>
      </c>
      <c r="CC206" s="10">
        <f t="shared" ca="1" si="1227"/>
        <v>0</v>
      </c>
      <c r="CD206" s="10">
        <f t="shared" ca="1" si="1227"/>
        <v>0</v>
      </c>
      <c r="CE206" s="10">
        <f t="shared" ca="1" si="1227"/>
        <v>0</v>
      </c>
      <c r="CF206" s="10">
        <f t="shared" ca="1" si="1227"/>
        <v>0</v>
      </c>
      <c r="CG206" s="10">
        <f t="shared" ca="1" si="1227"/>
        <v>0</v>
      </c>
      <c r="CH206" s="10">
        <f t="shared" ca="1" si="1227"/>
        <v>0</v>
      </c>
      <c r="CI206" s="10">
        <f t="shared" ca="1" si="1227"/>
        <v>0</v>
      </c>
      <c r="CJ206" s="10">
        <f t="shared" ca="1" si="1227"/>
        <v>0</v>
      </c>
      <c r="CK206" s="10">
        <f t="shared" ca="1" si="1227"/>
        <v>0</v>
      </c>
      <c r="CL206" s="10">
        <f t="shared" ca="1" si="1227"/>
        <v>0</v>
      </c>
      <c r="CM206" s="10">
        <f t="shared" ca="1" si="1227"/>
        <v>0</v>
      </c>
      <c r="CN206" s="10">
        <f t="shared" ca="1" si="1227"/>
        <v>0</v>
      </c>
      <c r="CO206" s="10">
        <f t="shared" ca="1" si="1227"/>
        <v>0</v>
      </c>
    </row>
    <row r="207" spans="1:93">
      <c r="A207" s="9"/>
      <c r="B207" s="168"/>
      <c r="C207" s="17" t="s">
        <v>635</v>
      </c>
      <c r="D207" s="10"/>
      <c r="E207" s="62"/>
      <c r="F207" s="11"/>
      <c r="G207" s="11" t="str">
        <f t="shared" si="1217"/>
        <v>тыс. руб.</v>
      </c>
      <c r="H207" s="10"/>
      <c r="I207" s="23">
        <f t="shared" ca="1" si="1218"/>
        <v>1097531.3301707346</v>
      </c>
      <c r="J207" s="10"/>
      <c r="K207" s="10"/>
      <c r="L207" s="10">
        <f t="shared" ref="L207:AQ207" ca="1" si="1228" xml:space="preserve"> L195 * CAPEX_Accumulated_From_Date</f>
        <v>0</v>
      </c>
      <c r="M207" s="10">
        <f t="shared" ca="1" si="1228"/>
        <v>0</v>
      </c>
      <c r="N207" s="10">
        <f t="shared" ca="1" si="1228"/>
        <v>0</v>
      </c>
      <c r="O207" s="10">
        <f t="shared" ca="1" si="1228"/>
        <v>0</v>
      </c>
      <c r="P207" s="10">
        <f t="shared" ca="1" si="1228"/>
        <v>0</v>
      </c>
      <c r="Q207" s="10">
        <f t="shared" ca="1" si="1228"/>
        <v>0</v>
      </c>
      <c r="R207" s="10">
        <f t="shared" ca="1" si="1228"/>
        <v>0</v>
      </c>
      <c r="S207" s="10">
        <f t="shared" ca="1" si="1228"/>
        <v>0</v>
      </c>
      <c r="T207" s="10">
        <f t="shared" ca="1" si="1228"/>
        <v>0</v>
      </c>
      <c r="U207" s="10">
        <f t="shared" ca="1" si="1228"/>
        <v>0</v>
      </c>
      <c r="V207" s="10">
        <f t="shared" ca="1" si="1228"/>
        <v>0</v>
      </c>
      <c r="W207" s="10">
        <f t="shared" ca="1" si="1228"/>
        <v>0</v>
      </c>
      <c r="X207" s="10">
        <f t="shared" ca="1" si="1228"/>
        <v>270360.55991007027</v>
      </c>
      <c r="Y207" s="10">
        <f t="shared" ca="1" si="1228"/>
        <v>273024.53242167109</v>
      </c>
      <c r="Z207" s="10">
        <f t="shared" ca="1" si="1228"/>
        <v>275714.75413746387</v>
      </c>
      <c r="AA207" s="10">
        <f t="shared" ca="1" si="1228"/>
        <v>278431.48370152927</v>
      </c>
      <c r="AB207" s="10">
        <f t="shared" ca="1" si="1228"/>
        <v>0</v>
      </c>
      <c r="AC207" s="10">
        <f t="shared" ca="1" si="1228"/>
        <v>0</v>
      </c>
      <c r="AD207" s="10">
        <f t="shared" ca="1" si="1228"/>
        <v>0</v>
      </c>
      <c r="AE207" s="10">
        <f t="shared" ca="1" si="1228"/>
        <v>0</v>
      </c>
      <c r="AF207" s="10">
        <f t="shared" ca="1" si="1228"/>
        <v>0</v>
      </c>
      <c r="AG207" s="10">
        <f t="shared" ca="1" si="1228"/>
        <v>0</v>
      </c>
      <c r="AH207" s="10">
        <f t="shared" ca="1" si="1228"/>
        <v>0</v>
      </c>
      <c r="AI207" s="10">
        <f t="shared" ca="1" si="1228"/>
        <v>0</v>
      </c>
      <c r="AJ207" s="10">
        <f t="shared" ca="1" si="1228"/>
        <v>0</v>
      </c>
      <c r="AK207" s="10">
        <f t="shared" ca="1" si="1228"/>
        <v>0</v>
      </c>
      <c r="AL207" s="10">
        <f t="shared" ca="1" si="1228"/>
        <v>0</v>
      </c>
      <c r="AM207" s="10">
        <f t="shared" ca="1" si="1228"/>
        <v>0</v>
      </c>
      <c r="AN207" s="10">
        <f t="shared" ca="1" si="1228"/>
        <v>0</v>
      </c>
      <c r="AO207" s="10">
        <f t="shared" ca="1" si="1228"/>
        <v>0</v>
      </c>
      <c r="AP207" s="10">
        <f t="shared" ca="1" si="1228"/>
        <v>0</v>
      </c>
      <c r="AQ207" s="10">
        <f t="shared" ca="1" si="1228"/>
        <v>0</v>
      </c>
      <c r="AR207" s="10">
        <f t="shared" ref="AR207:BW207" ca="1" si="1229" xml:space="preserve"> AR195 * CAPEX_Accumulated_From_Date</f>
        <v>0</v>
      </c>
      <c r="AS207" s="10">
        <f t="shared" ca="1" si="1229"/>
        <v>0</v>
      </c>
      <c r="AT207" s="10">
        <f t="shared" ca="1" si="1229"/>
        <v>0</v>
      </c>
      <c r="AU207" s="10">
        <f t="shared" ca="1" si="1229"/>
        <v>0</v>
      </c>
      <c r="AV207" s="10">
        <f t="shared" ca="1" si="1229"/>
        <v>0</v>
      </c>
      <c r="AW207" s="10">
        <f t="shared" ca="1" si="1229"/>
        <v>0</v>
      </c>
      <c r="AX207" s="10">
        <f t="shared" ca="1" si="1229"/>
        <v>0</v>
      </c>
      <c r="AY207" s="10">
        <f t="shared" ca="1" si="1229"/>
        <v>0</v>
      </c>
      <c r="AZ207" s="10">
        <f t="shared" ca="1" si="1229"/>
        <v>0</v>
      </c>
      <c r="BA207" s="10">
        <f t="shared" ca="1" si="1229"/>
        <v>0</v>
      </c>
      <c r="BB207" s="10">
        <f t="shared" ca="1" si="1229"/>
        <v>0</v>
      </c>
      <c r="BC207" s="10">
        <f t="shared" ca="1" si="1229"/>
        <v>0</v>
      </c>
      <c r="BD207" s="10">
        <f t="shared" ca="1" si="1229"/>
        <v>0</v>
      </c>
      <c r="BE207" s="10">
        <f t="shared" ca="1" si="1229"/>
        <v>0</v>
      </c>
      <c r="BF207" s="10">
        <f t="shared" ca="1" si="1229"/>
        <v>0</v>
      </c>
      <c r="BG207" s="10">
        <f t="shared" ca="1" si="1229"/>
        <v>0</v>
      </c>
      <c r="BH207" s="10">
        <f t="shared" ca="1" si="1229"/>
        <v>0</v>
      </c>
      <c r="BI207" s="10">
        <f t="shared" ca="1" si="1229"/>
        <v>0</v>
      </c>
      <c r="BJ207" s="10">
        <f t="shared" ca="1" si="1229"/>
        <v>0</v>
      </c>
      <c r="BK207" s="10">
        <f t="shared" ca="1" si="1229"/>
        <v>0</v>
      </c>
      <c r="BL207" s="10">
        <f t="shared" ca="1" si="1229"/>
        <v>0</v>
      </c>
      <c r="BM207" s="10">
        <f t="shared" ca="1" si="1229"/>
        <v>0</v>
      </c>
      <c r="BN207" s="10">
        <f t="shared" ca="1" si="1229"/>
        <v>0</v>
      </c>
      <c r="BO207" s="10">
        <f t="shared" ca="1" si="1229"/>
        <v>0</v>
      </c>
      <c r="BP207" s="10">
        <f t="shared" ca="1" si="1229"/>
        <v>0</v>
      </c>
      <c r="BQ207" s="10">
        <f t="shared" ca="1" si="1229"/>
        <v>0</v>
      </c>
      <c r="BR207" s="10">
        <f t="shared" ca="1" si="1229"/>
        <v>0</v>
      </c>
      <c r="BS207" s="10">
        <f t="shared" ca="1" si="1229"/>
        <v>0</v>
      </c>
      <c r="BT207" s="10">
        <f t="shared" ca="1" si="1229"/>
        <v>0</v>
      </c>
      <c r="BU207" s="10">
        <f t="shared" ca="1" si="1229"/>
        <v>0</v>
      </c>
      <c r="BV207" s="10">
        <f t="shared" ca="1" si="1229"/>
        <v>0</v>
      </c>
      <c r="BW207" s="10">
        <f t="shared" ca="1" si="1229"/>
        <v>0</v>
      </c>
      <c r="BX207" s="10">
        <f t="shared" ref="BX207:CO207" ca="1" si="1230" xml:space="preserve"> BX195 * CAPEX_Accumulated_From_Date</f>
        <v>0</v>
      </c>
      <c r="BY207" s="10">
        <f t="shared" ca="1" si="1230"/>
        <v>0</v>
      </c>
      <c r="BZ207" s="10">
        <f t="shared" ca="1" si="1230"/>
        <v>0</v>
      </c>
      <c r="CA207" s="10">
        <f t="shared" ca="1" si="1230"/>
        <v>0</v>
      </c>
      <c r="CB207" s="10">
        <f t="shared" ca="1" si="1230"/>
        <v>0</v>
      </c>
      <c r="CC207" s="10">
        <f t="shared" ca="1" si="1230"/>
        <v>0</v>
      </c>
      <c r="CD207" s="10">
        <f t="shared" ca="1" si="1230"/>
        <v>0</v>
      </c>
      <c r="CE207" s="10">
        <f t="shared" ca="1" si="1230"/>
        <v>0</v>
      </c>
      <c r="CF207" s="10">
        <f t="shared" ca="1" si="1230"/>
        <v>0</v>
      </c>
      <c r="CG207" s="10">
        <f t="shared" ca="1" si="1230"/>
        <v>0</v>
      </c>
      <c r="CH207" s="10">
        <f t="shared" ca="1" si="1230"/>
        <v>0</v>
      </c>
      <c r="CI207" s="10">
        <f t="shared" ca="1" si="1230"/>
        <v>0</v>
      </c>
      <c r="CJ207" s="10">
        <f t="shared" ca="1" si="1230"/>
        <v>0</v>
      </c>
      <c r="CK207" s="10">
        <f t="shared" ca="1" si="1230"/>
        <v>0</v>
      </c>
      <c r="CL207" s="10">
        <f t="shared" ca="1" si="1230"/>
        <v>0</v>
      </c>
      <c r="CM207" s="10">
        <f t="shared" ca="1" si="1230"/>
        <v>0</v>
      </c>
      <c r="CN207" s="10">
        <f t="shared" ca="1" si="1230"/>
        <v>0</v>
      </c>
      <c r="CO207" s="10">
        <f t="shared" ca="1" si="1230"/>
        <v>0</v>
      </c>
    </row>
    <row r="208" spans="1:93">
      <c r="A208" s="9"/>
      <c r="B208" s="168"/>
      <c r="C208" s="17" t="s">
        <v>636</v>
      </c>
      <c r="D208" s="10"/>
      <c r="E208" s="62"/>
      <c r="F208" s="11"/>
      <c r="G208" s="11" t="str">
        <f t="shared" si="1217"/>
        <v>тыс. руб.</v>
      </c>
      <c r="H208" s="10"/>
      <c r="I208" s="23">
        <f t="shared" ca="1" si="1218"/>
        <v>543918.23751011165</v>
      </c>
      <c r="J208" s="10"/>
      <c r="K208" s="10"/>
      <c r="L208" s="10">
        <f t="shared" ref="L208:AQ208" ca="1" si="1231" xml:space="preserve"> L196 * CAPEX_Accumulated_From_Date</f>
        <v>0</v>
      </c>
      <c r="M208" s="10">
        <f t="shared" ca="1" si="1231"/>
        <v>0</v>
      </c>
      <c r="N208" s="10">
        <f t="shared" ca="1" si="1231"/>
        <v>0</v>
      </c>
      <c r="O208" s="10">
        <f t="shared" ca="1" si="1231"/>
        <v>0</v>
      </c>
      <c r="P208" s="10">
        <f t="shared" ca="1" si="1231"/>
        <v>0</v>
      </c>
      <c r="Q208" s="10">
        <f t="shared" ca="1" si="1231"/>
        <v>0</v>
      </c>
      <c r="R208" s="10">
        <f t="shared" ca="1" si="1231"/>
        <v>0</v>
      </c>
      <c r="S208" s="10">
        <f t="shared" ca="1" si="1231"/>
        <v>0</v>
      </c>
      <c r="T208" s="10">
        <f t="shared" ca="1" si="1231"/>
        <v>0</v>
      </c>
      <c r="U208" s="10">
        <f t="shared" ca="1" si="1231"/>
        <v>0</v>
      </c>
      <c r="V208" s="10">
        <f t="shared" ca="1" si="1231"/>
        <v>0</v>
      </c>
      <c r="W208" s="10">
        <f t="shared" ca="1" si="1231"/>
        <v>0</v>
      </c>
      <c r="X208" s="10">
        <f t="shared" ca="1" si="1231"/>
        <v>0</v>
      </c>
      <c r="Y208" s="10">
        <f t="shared" ca="1" si="1231"/>
        <v>0</v>
      </c>
      <c r="Z208" s="10">
        <f t="shared" ca="1" si="1231"/>
        <v>0</v>
      </c>
      <c r="AA208" s="10">
        <f t="shared" ca="1" si="1231"/>
        <v>0</v>
      </c>
      <c r="AB208" s="10">
        <f t="shared" ca="1" si="1231"/>
        <v>543918.23751011165</v>
      </c>
      <c r="AC208" s="10">
        <f t="shared" ca="1" si="1231"/>
        <v>0</v>
      </c>
      <c r="AD208" s="10">
        <f t="shared" ca="1" si="1231"/>
        <v>0</v>
      </c>
      <c r="AE208" s="10">
        <f t="shared" ca="1" si="1231"/>
        <v>0</v>
      </c>
      <c r="AF208" s="10">
        <f t="shared" ca="1" si="1231"/>
        <v>0</v>
      </c>
      <c r="AG208" s="10">
        <f t="shared" ca="1" si="1231"/>
        <v>0</v>
      </c>
      <c r="AH208" s="10">
        <f t="shared" ca="1" si="1231"/>
        <v>0</v>
      </c>
      <c r="AI208" s="10">
        <f t="shared" ca="1" si="1231"/>
        <v>0</v>
      </c>
      <c r="AJ208" s="10">
        <f t="shared" ca="1" si="1231"/>
        <v>0</v>
      </c>
      <c r="AK208" s="10">
        <f t="shared" ca="1" si="1231"/>
        <v>0</v>
      </c>
      <c r="AL208" s="10">
        <f t="shared" ca="1" si="1231"/>
        <v>0</v>
      </c>
      <c r="AM208" s="10">
        <f t="shared" ca="1" si="1231"/>
        <v>0</v>
      </c>
      <c r="AN208" s="10">
        <f t="shared" ca="1" si="1231"/>
        <v>0</v>
      </c>
      <c r="AO208" s="10">
        <f t="shared" ca="1" si="1231"/>
        <v>0</v>
      </c>
      <c r="AP208" s="10">
        <f t="shared" ca="1" si="1231"/>
        <v>0</v>
      </c>
      <c r="AQ208" s="10">
        <f t="shared" ca="1" si="1231"/>
        <v>0</v>
      </c>
      <c r="AR208" s="10">
        <f t="shared" ref="AR208:BW208" ca="1" si="1232" xml:space="preserve"> AR196 * CAPEX_Accumulated_From_Date</f>
        <v>0</v>
      </c>
      <c r="AS208" s="10">
        <f t="shared" ca="1" si="1232"/>
        <v>0</v>
      </c>
      <c r="AT208" s="10">
        <f t="shared" ca="1" si="1232"/>
        <v>0</v>
      </c>
      <c r="AU208" s="10">
        <f t="shared" ca="1" si="1232"/>
        <v>0</v>
      </c>
      <c r="AV208" s="10">
        <f t="shared" ca="1" si="1232"/>
        <v>0</v>
      </c>
      <c r="AW208" s="10">
        <f t="shared" ca="1" si="1232"/>
        <v>0</v>
      </c>
      <c r="AX208" s="10">
        <f t="shared" ca="1" si="1232"/>
        <v>0</v>
      </c>
      <c r="AY208" s="10">
        <f t="shared" ca="1" si="1232"/>
        <v>0</v>
      </c>
      <c r="AZ208" s="10">
        <f t="shared" ca="1" si="1232"/>
        <v>0</v>
      </c>
      <c r="BA208" s="10">
        <f t="shared" ca="1" si="1232"/>
        <v>0</v>
      </c>
      <c r="BB208" s="10">
        <f t="shared" ca="1" si="1232"/>
        <v>0</v>
      </c>
      <c r="BC208" s="10">
        <f t="shared" ca="1" si="1232"/>
        <v>0</v>
      </c>
      <c r="BD208" s="10">
        <f t="shared" ca="1" si="1232"/>
        <v>0</v>
      </c>
      <c r="BE208" s="10">
        <f t="shared" ca="1" si="1232"/>
        <v>0</v>
      </c>
      <c r="BF208" s="10">
        <f t="shared" ca="1" si="1232"/>
        <v>0</v>
      </c>
      <c r="BG208" s="10">
        <f t="shared" ca="1" si="1232"/>
        <v>0</v>
      </c>
      <c r="BH208" s="10">
        <f t="shared" ca="1" si="1232"/>
        <v>0</v>
      </c>
      <c r="BI208" s="10">
        <f t="shared" ca="1" si="1232"/>
        <v>0</v>
      </c>
      <c r="BJ208" s="10">
        <f t="shared" ca="1" si="1232"/>
        <v>0</v>
      </c>
      <c r="BK208" s="10">
        <f t="shared" ca="1" si="1232"/>
        <v>0</v>
      </c>
      <c r="BL208" s="10">
        <f t="shared" ca="1" si="1232"/>
        <v>0</v>
      </c>
      <c r="BM208" s="10">
        <f t="shared" ca="1" si="1232"/>
        <v>0</v>
      </c>
      <c r="BN208" s="10">
        <f t="shared" ca="1" si="1232"/>
        <v>0</v>
      </c>
      <c r="BO208" s="10">
        <f t="shared" ca="1" si="1232"/>
        <v>0</v>
      </c>
      <c r="BP208" s="10">
        <f t="shared" ca="1" si="1232"/>
        <v>0</v>
      </c>
      <c r="BQ208" s="10">
        <f t="shared" ca="1" si="1232"/>
        <v>0</v>
      </c>
      <c r="BR208" s="10">
        <f t="shared" ca="1" si="1232"/>
        <v>0</v>
      </c>
      <c r="BS208" s="10">
        <f t="shared" ca="1" si="1232"/>
        <v>0</v>
      </c>
      <c r="BT208" s="10">
        <f t="shared" ca="1" si="1232"/>
        <v>0</v>
      </c>
      <c r="BU208" s="10">
        <f t="shared" ca="1" si="1232"/>
        <v>0</v>
      </c>
      <c r="BV208" s="10">
        <f t="shared" ca="1" si="1232"/>
        <v>0</v>
      </c>
      <c r="BW208" s="10">
        <f t="shared" ca="1" si="1232"/>
        <v>0</v>
      </c>
      <c r="BX208" s="10">
        <f t="shared" ref="BX208:CO208" ca="1" si="1233" xml:space="preserve"> BX196 * CAPEX_Accumulated_From_Date</f>
        <v>0</v>
      </c>
      <c r="BY208" s="10">
        <f t="shared" ca="1" si="1233"/>
        <v>0</v>
      </c>
      <c r="BZ208" s="10">
        <f t="shared" ca="1" si="1233"/>
        <v>0</v>
      </c>
      <c r="CA208" s="10">
        <f t="shared" ca="1" si="1233"/>
        <v>0</v>
      </c>
      <c r="CB208" s="10">
        <f t="shared" ca="1" si="1233"/>
        <v>0</v>
      </c>
      <c r="CC208" s="10">
        <f t="shared" ca="1" si="1233"/>
        <v>0</v>
      </c>
      <c r="CD208" s="10">
        <f t="shared" ca="1" si="1233"/>
        <v>0</v>
      </c>
      <c r="CE208" s="10">
        <f t="shared" ca="1" si="1233"/>
        <v>0</v>
      </c>
      <c r="CF208" s="10">
        <f t="shared" ca="1" si="1233"/>
        <v>0</v>
      </c>
      <c r="CG208" s="10">
        <f t="shared" ca="1" si="1233"/>
        <v>0</v>
      </c>
      <c r="CH208" s="10">
        <f t="shared" ca="1" si="1233"/>
        <v>0</v>
      </c>
      <c r="CI208" s="10">
        <f t="shared" ca="1" si="1233"/>
        <v>0</v>
      </c>
      <c r="CJ208" s="10">
        <f t="shared" ca="1" si="1233"/>
        <v>0</v>
      </c>
      <c r="CK208" s="10">
        <f t="shared" ca="1" si="1233"/>
        <v>0</v>
      </c>
      <c r="CL208" s="10">
        <f t="shared" ca="1" si="1233"/>
        <v>0</v>
      </c>
      <c r="CM208" s="10">
        <f t="shared" ca="1" si="1233"/>
        <v>0</v>
      </c>
      <c r="CN208" s="10">
        <f t="shared" ca="1" si="1233"/>
        <v>0</v>
      </c>
      <c r="CO208" s="10">
        <f t="shared" ca="1" si="1233"/>
        <v>0</v>
      </c>
    </row>
    <row r="209" spans="1:93">
      <c r="A209" s="9"/>
      <c r="B209" s="168"/>
      <c r="C209" s="17" t="s">
        <v>628</v>
      </c>
      <c r="D209" s="10"/>
      <c r="E209" s="62"/>
      <c r="F209" s="11"/>
      <c r="G209" s="11" t="str">
        <f t="shared" si="1217"/>
        <v>тыс. руб.</v>
      </c>
      <c r="H209" s="10"/>
      <c r="I209" s="23">
        <f t="shared" ca="1" si="1218"/>
        <v>147541.76297463715</v>
      </c>
      <c r="J209" s="10"/>
      <c r="K209" s="10"/>
      <c r="L209" s="10">
        <f t="shared" ref="L209:AQ209" ca="1" si="1234" xml:space="preserve"> L197 * CAPEX_Accumulated_From_Date</f>
        <v>0</v>
      </c>
      <c r="M209" s="10">
        <f t="shared" ca="1" si="1234"/>
        <v>0</v>
      </c>
      <c r="N209" s="10">
        <f t="shared" ca="1" si="1234"/>
        <v>0</v>
      </c>
      <c r="O209" s="10">
        <f t="shared" ca="1" si="1234"/>
        <v>0</v>
      </c>
      <c r="P209" s="10">
        <f t="shared" ca="1" si="1234"/>
        <v>0</v>
      </c>
      <c r="Q209" s="10">
        <f t="shared" ca="1" si="1234"/>
        <v>0</v>
      </c>
      <c r="R209" s="10">
        <f t="shared" ca="1" si="1234"/>
        <v>0</v>
      </c>
      <c r="S209" s="10">
        <f t="shared" ca="1" si="1234"/>
        <v>0</v>
      </c>
      <c r="T209" s="10">
        <f t="shared" ca="1" si="1234"/>
        <v>0</v>
      </c>
      <c r="U209" s="10">
        <f t="shared" ca="1" si="1234"/>
        <v>0</v>
      </c>
      <c r="V209" s="10">
        <f t="shared" ca="1" si="1234"/>
        <v>0</v>
      </c>
      <c r="W209" s="10">
        <f t="shared" ca="1" si="1234"/>
        <v>0</v>
      </c>
      <c r="X209" s="10">
        <f t="shared" ca="1" si="1234"/>
        <v>0</v>
      </c>
      <c r="Y209" s="10">
        <f t="shared" ca="1" si="1234"/>
        <v>0</v>
      </c>
      <c r="Z209" s="10">
        <f t="shared" ca="1" si="1234"/>
        <v>0</v>
      </c>
      <c r="AA209" s="10">
        <f t="shared" ca="1" si="1234"/>
        <v>0</v>
      </c>
      <c r="AB209" s="10">
        <f t="shared" ca="1" si="1234"/>
        <v>147541.76297463715</v>
      </c>
      <c r="AC209" s="10">
        <f t="shared" ca="1" si="1234"/>
        <v>0</v>
      </c>
      <c r="AD209" s="10">
        <f t="shared" ca="1" si="1234"/>
        <v>0</v>
      </c>
      <c r="AE209" s="10">
        <f t="shared" ca="1" si="1234"/>
        <v>0</v>
      </c>
      <c r="AF209" s="10">
        <f t="shared" ca="1" si="1234"/>
        <v>0</v>
      </c>
      <c r="AG209" s="10">
        <f t="shared" ca="1" si="1234"/>
        <v>0</v>
      </c>
      <c r="AH209" s="10">
        <f t="shared" ca="1" si="1234"/>
        <v>0</v>
      </c>
      <c r="AI209" s="10">
        <f t="shared" ca="1" si="1234"/>
        <v>0</v>
      </c>
      <c r="AJ209" s="10">
        <f t="shared" ca="1" si="1234"/>
        <v>0</v>
      </c>
      <c r="AK209" s="10">
        <f t="shared" ca="1" si="1234"/>
        <v>0</v>
      </c>
      <c r="AL209" s="10">
        <f t="shared" ca="1" si="1234"/>
        <v>0</v>
      </c>
      <c r="AM209" s="10">
        <f t="shared" ca="1" si="1234"/>
        <v>0</v>
      </c>
      <c r="AN209" s="10">
        <f t="shared" ca="1" si="1234"/>
        <v>0</v>
      </c>
      <c r="AO209" s="10">
        <f t="shared" ca="1" si="1234"/>
        <v>0</v>
      </c>
      <c r="AP209" s="10">
        <f t="shared" ca="1" si="1234"/>
        <v>0</v>
      </c>
      <c r="AQ209" s="10">
        <f t="shared" ca="1" si="1234"/>
        <v>0</v>
      </c>
      <c r="AR209" s="10">
        <f t="shared" ref="AR209:BW209" ca="1" si="1235" xml:space="preserve"> AR197 * CAPEX_Accumulated_From_Date</f>
        <v>0</v>
      </c>
      <c r="AS209" s="10">
        <f t="shared" ca="1" si="1235"/>
        <v>0</v>
      </c>
      <c r="AT209" s="10">
        <f t="shared" ca="1" si="1235"/>
        <v>0</v>
      </c>
      <c r="AU209" s="10">
        <f t="shared" ca="1" si="1235"/>
        <v>0</v>
      </c>
      <c r="AV209" s="10">
        <f t="shared" ca="1" si="1235"/>
        <v>0</v>
      </c>
      <c r="AW209" s="10">
        <f t="shared" ca="1" si="1235"/>
        <v>0</v>
      </c>
      <c r="AX209" s="10">
        <f t="shared" ca="1" si="1235"/>
        <v>0</v>
      </c>
      <c r="AY209" s="10">
        <f t="shared" ca="1" si="1235"/>
        <v>0</v>
      </c>
      <c r="AZ209" s="10">
        <f t="shared" ca="1" si="1235"/>
        <v>0</v>
      </c>
      <c r="BA209" s="10">
        <f t="shared" ca="1" si="1235"/>
        <v>0</v>
      </c>
      <c r="BB209" s="10">
        <f t="shared" ca="1" si="1235"/>
        <v>0</v>
      </c>
      <c r="BC209" s="10">
        <f t="shared" ca="1" si="1235"/>
        <v>0</v>
      </c>
      <c r="BD209" s="10">
        <f t="shared" ca="1" si="1235"/>
        <v>0</v>
      </c>
      <c r="BE209" s="10">
        <f t="shared" ca="1" si="1235"/>
        <v>0</v>
      </c>
      <c r="BF209" s="10">
        <f t="shared" ca="1" si="1235"/>
        <v>0</v>
      </c>
      <c r="BG209" s="10">
        <f t="shared" ca="1" si="1235"/>
        <v>0</v>
      </c>
      <c r="BH209" s="10">
        <f t="shared" ca="1" si="1235"/>
        <v>0</v>
      </c>
      <c r="BI209" s="10">
        <f t="shared" ca="1" si="1235"/>
        <v>0</v>
      </c>
      <c r="BJ209" s="10">
        <f t="shared" ca="1" si="1235"/>
        <v>0</v>
      </c>
      <c r="BK209" s="10">
        <f t="shared" ca="1" si="1235"/>
        <v>0</v>
      </c>
      <c r="BL209" s="10">
        <f t="shared" ca="1" si="1235"/>
        <v>0</v>
      </c>
      <c r="BM209" s="10">
        <f t="shared" ca="1" si="1235"/>
        <v>0</v>
      </c>
      <c r="BN209" s="10">
        <f t="shared" ca="1" si="1235"/>
        <v>0</v>
      </c>
      <c r="BO209" s="10">
        <f t="shared" ca="1" si="1235"/>
        <v>0</v>
      </c>
      <c r="BP209" s="10">
        <f t="shared" ca="1" si="1235"/>
        <v>0</v>
      </c>
      <c r="BQ209" s="10">
        <f t="shared" ca="1" si="1235"/>
        <v>0</v>
      </c>
      <c r="BR209" s="10">
        <f t="shared" ca="1" si="1235"/>
        <v>0</v>
      </c>
      <c r="BS209" s="10">
        <f t="shared" ca="1" si="1235"/>
        <v>0</v>
      </c>
      <c r="BT209" s="10">
        <f t="shared" ca="1" si="1235"/>
        <v>0</v>
      </c>
      <c r="BU209" s="10">
        <f t="shared" ca="1" si="1235"/>
        <v>0</v>
      </c>
      <c r="BV209" s="10">
        <f t="shared" ca="1" si="1235"/>
        <v>0</v>
      </c>
      <c r="BW209" s="10">
        <f t="shared" ca="1" si="1235"/>
        <v>0</v>
      </c>
      <c r="BX209" s="10">
        <f t="shared" ref="BX209:CO209" ca="1" si="1236" xml:space="preserve"> BX197 * CAPEX_Accumulated_From_Date</f>
        <v>0</v>
      </c>
      <c r="BY209" s="10">
        <f t="shared" ca="1" si="1236"/>
        <v>0</v>
      </c>
      <c r="BZ209" s="10">
        <f t="shared" ca="1" si="1236"/>
        <v>0</v>
      </c>
      <c r="CA209" s="10">
        <f t="shared" ca="1" si="1236"/>
        <v>0</v>
      </c>
      <c r="CB209" s="10">
        <f t="shared" ca="1" si="1236"/>
        <v>0</v>
      </c>
      <c r="CC209" s="10">
        <f t="shared" ca="1" si="1236"/>
        <v>0</v>
      </c>
      <c r="CD209" s="10">
        <f t="shared" ca="1" si="1236"/>
        <v>0</v>
      </c>
      <c r="CE209" s="10">
        <f t="shared" ca="1" si="1236"/>
        <v>0</v>
      </c>
      <c r="CF209" s="10">
        <f t="shared" ca="1" si="1236"/>
        <v>0</v>
      </c>
      <c r="CG209" s="10">
        <f t="shared" ca="1" si="1236"/>
        <v>0</v>
      </c>
      <c r="CH209" s="10">
        <f t="shared" ca="1" si="1236"/>
        <v>0</v>
      </c>
      <c r="CI209" s="10">
        <f t="shared" ca="1" si="1236"/>
        <v>0</v>
      </c>
      <c r="CJ209" s="10">
        <f t="shared" ca="1" si="1236"/>
        <v>0</v>
      </c>
      <c r="CK209" s="10">
        <f t="shared" ca="1" si="1236"/>
        <v>0</v>
      </c>
      <c r="CL209" s="10">
        <f t="shared" ca="1" si="1236"/>
        <v>0</v>
      </c>
      <c r="CM209" s="10">
        <f t="shared" ca="1" si="1236"/>
        <v>0</v>
      </c>
      <c r="CN209" s="10">
        <f t="shared" ca="1" si="1236"/>
        <v>0</v>
      </c>
      <c r="CO209" s="10">
        <f t="shared" ca="1" si="1236"/>
        <v>0</v>
      </c>
    </row>
    <row r="210" spans="1:93">
      <c r="A210" s="9"/>
      <c r="B210" s="168"/>
      <c r="C210" s="17" t="s">
        <v>629</v>
      </c>
      <c r="D210" s="10"/>
      <c r="E210" s="62"/>
      <c r="F210" s="11"/>
      <c r="G210" s="11" t="str">
        <f t="shared" si="1217"/>
        <v>тыс. руб.</v>
      </c>
      <c r="H210" s="10"/>
      <c r="I210" s="23">
        <f t="shared" ca="1" si="1218"/>
        <v>0</v>
      </c>
      <c r="J210" s="10"/>
      <c r="K210" s="10"/>
      <c r="L210" s="10">
        <f t="shared" ref="L210:AQ210" ca="1" si="1237" xml:space="preserve"> L198 * CAPEX_Accumulated_From_Date</f>
        <v>0</v>
      </c>
      <c r="M210" s="10">
        <f t="shared" ca="1" si="1237"/>
        <v>0</v>
      </c>
      <c r="N210" s="10">
        <f t="shared" ca="1" si="1237"/>
        <v>0</v>
      </c>
      <c r="O210" s="10">
        <f t="shared" ca="1" si="1237"/>
        <v>0</v>
      </c>
      <c r="P210" s="10">
        <f t="shared" ca="1" si="1237"/>
        <v>0</v>
      </c>
      <c r="Q210" s="10">
        <f t="shared" ca="1" si="1237"/>
        <v>0</v>
      </c>
      <c r="R210" s="10">
        <f t="shared" ca="1" si="1237"/>
        <v>0</v>
      </c>
      <c r="S210" s="10">
        <f t="shared" ca="1" si="1237"/>
        <v>0</v>
      </c>
      <c r="T210" s="10">
        <f t="shared" ca="1" si="1237"/>
        <v>0</v>
      </c>
      <c r="U210" s="10">
        <f t="shared" ca="1" si="1237"/>
        <v>0</v>
      </c>
      <c r="V210" s="10">
        <f t="shared" ca="1" si="1237"/>
        <v>0</v>
      </c>
      <c r="W210" s="10">
        <f t="shared" ca="1" si="1237"/>
        <v>0</v>
      </c>
      <c r="X210" s="10">
        <f t="shared" ca="1" si="1237"/>
        <v>0</v>
      </c>
      <c r="Y210" s="10">
        <f t="shared" ca="1" si="1237"/>
        <v>0</v>
      </c>
      <c r="Z210" s="10">
        <f t="shared" ca="1" si="1237"/>
        <v>0</v>
      </c>
      <c r="AA210" s="10">
        <f t="shared" ca="1" si="1237"/>
        <v>0</v>
      </c>
      <c r="AB210" s="10">
        <f t="shared" ca="1" si="1237"/>
        <v>0</v>
      </c>
      <c r="AC210" s="10">
        <f t="shared" ca="1" si="1237"/>
        <v>0</v>
      </c>
      <c r="AD210" s="10">
        <f t="shared" ca="1" si="1237"/>
        <v>0</v>
      </c>
      <c r="AE210" s="10">
        <f t="shared" ca="1" si="1237"/>
        <v>0</v>
      </c>
      <c r="AF210" s="10">
        <f t="shared" ca="1" si="1237"/>
        <v>0</v>
      </c>
      <c r="AG210" s="10">
        <f t="shared" ca="1" si="1237"/>
        <v>0</v>
      </c>
      <c r="AH210" s="10">
        <f t="shared" ca="1" si="1237"/>
        <v>0</v>
      </c>
      <c r="AI210" s="10">
        <f t="shared" ca="1" si="1237"/>
        <v>0</v>
      </c>
      <c r="AJ210" s="10">
        <f t="shared" ca="1" si="1237"/>
        <v>0</v>
      </c>
      <c r="AK210" s="10">
        <f t="shared" ca="1" si="1237"/>
        <v>0</v>
      </c>
      <c r="AL210" s="10">
        <f t="shared" ca="1" si="1237"/>
        <v>0</v>
      </c>
      <c r="AM210" s="10">
        <f t="shared" ca="1" si="1237"/>
        <v>0</v>
      </c>
      <c r="AN210" s="10">
        <f t="shared" ca="1" si="1237"/>
        <v>0</v>
      </c>
      <c r="AO210" s="10">
        <f t="shared" ca="1" si="1237"/>
        <v>0</v>
      </c>
      <c r="AP210" s="10">
        <f t="shared" ca="1" si="1237"/>
        <v>0</v>
      </c>
      <c r="AQ210" s="10">
        <f t="shared" ca="1" si="1237"/>
        <v>0</v>
      </c>
      <c r="AR210" s="10">
        <f t="shared" ref="AR210:BW210" ca="1" si="1238" xml:space="preserve"> AR198 * CAPEX_Accumulated_From_Date</f>
        <v>0</v>
      </c>
      <c r="AS210" s="10">
        <f t="shared" ca="1" si="1238"/>
        <v>0</v>
      </c>
      <c r="AT210" s="10">
        <f t="shared" ca="1" si="1238"/>
        <v>0</v>
      </c>
      <c r="AU210" s="10">
        <f t="shared" ca="1" si="1238"/>
        <v>0</v>
      </c>
      <c r="AV210" s="10">
        <f t="shared" ca="1" si="1238"/>
        <v>0</v>
      </c>
      <c r="AW210" s="10">
        <f t="shared" ca="1" si="1238"/>
        <v>0</v>
      </c>
      <c r="AX210" s="10">
        <f t="shared" ca="1" si="1238"/>
        <v>0</v>
      </c>
      <c r="AY210" s="10">
        <f t="shared" ca="1" si="1238"/>
        <v>0</v>
      </c>
      <c r="AZ210" s="10">
        <f t="shared" ca="1" si="1238"/>
        <v>0</v>
      </c>
      <c r="BA210" s="10">
        <f t="shared" ca="1" si="1238"/>
        <v>0</v>
      </c>
      <c r="BB210" s="10">
        <f t="shared" ca="1" si="1238"/>
        <v>0</v>
      </c>
      <c r="BC210" s="10">
        <f t="shared" ca="1" si="1238"/>
        <v>0</v>
      </c>
      <c r="BD210" s="10">
        <f t="shared" ca="1" si="1238"/>
        <v>0</v>
      </c>
      <c r="BE210" s="10">
        <f t="shared" ca="1" si="1238"/>
        <v>0</v>
      </c>
      <c r="BF210" s="10">
        <f t="shared" ca="1" si="1238"/>
        <v>0</v>
      </c>
      <c r="BG210" s="10">
        <f t="shared" ca="1" si="1238"/>
        <v>0</v>
      </c>
      <c r="BH210" s="10">
        <f t="shared" ca="1" si="1238"/>
        <v>0</v>
      </c>
      <c r="BI210" s="10">
        <f t="shared" ca="1" si="1238"/>
        <v>0</v>
      </c>
      <c r="BJ210" s="10">
        <f t="shared" ca="1" si="1238"/>
        <v>0</v>
      </c>
      <c r="BK210" s="10">
        <f t="shared" ca="1" si="1238"/>
        <v>0</v>
      </c>
      <c r="BL210" s="10">
        <f t="shared" ca="1" si="1238"/>
        <v>0</v>
      </c>
      <c r="BM210" s="10">
        <f t="shared" ca="1" si="1238"/>
        <v>0</v>
      </c>
      <c r="BN210" s="10">
        <f t="shared" ca="1" si="1238"/>
        <v>0</v>
      </c>
      <c r="BO210" s="10">
        <f t="shared" ca="1" si="1238"/>
        <v>0</v>
      </c>
      <c r="BP210" s="10">
        <f t="shared" ca="1" si="1238"/>
        <v>0</v>
      </c>
      <c r="BQ210" s="10">
        <f t="shared" ca="1" si="1238"/>
        <v>0</v>
      </c>
      <c r="BR210" s="10">
        <f t="shared" ca="1" si="1238"/>
        <v>0</v>
      </c>
      <c r="BS210" s="10">
        <f t="shared" ca="1" si="1238"/>
        <v>0</v>
      </c>
      <c r="BT210" s="10">
        <f t="shared" ca="1" si="1238"/>
        <v>0</v>
      </c>
      <c r="BU210" s="10">
        <f t="shared" ca="1" si="1238"/>
        <v>0</v>
      </c>
      <c r="BV210" s="10">
        <f t="shared" ca="1" si="1238"/>
        <v>0</v>
      </c>
      <c r="BW210" s="10">
        <f t="shared" ca="1" si="1238"/>
        <v>0</v>
      </c>
      <c r="BX210" s="10">
        <f t="shared" ref="BX210:CO210" ca="1" si="1239" xml:space="preserve"> BX198 * CAPEX_Accumulated_From_Date</f>
        <v>0</v>
      </c>
      <c r="BY210" s="10">
        <f t="shared" ca="1" si="1239"/>
        <v>0</v>
      </c>
      <c r="BZ210" s="10">
        <f t="shared" ca="1" si="1239"/>
        <v>0</v>
      </c>
      <c r="CA210" s="10">
        <f t="shared" ca="1" si="1239"/>
        <v>0</v>
      </c>
      <c r="CB210" s="10">
        <f t="shared" ca="1" si="1239"/>
        <v>0</v>
      </c>
      <c r="CC210" s="10">
        <f t="shared" ca="1" si="1239"/>
        <v>0</v>
      </c>
      <c r="CD210" s="10">
        <f t="shared" ca="1" si="1239"/>
        <v>0</v>
      </c>
      <c r="CE210" s="10">
        <f t="shared" ca="1" si="1239"/>
        <v>0</v>
      </c>
      <c r="CF210" s="10">
        <f t="shared" ca="1" si="1239"/>
        <v>0</v>
      </c>
      <c r="CG210" s="10">
        <f t="shared" ca="1" si="1239"/>
        <v>0</v>
      </c>
      <c r="CH210" s="10">
        <f t="shared" ca="1" si="1239"/>
        <v>0</v>
      </c>
      <c r="CI210" s="10">
        <f t="shared" ca="1" si="1239"/>
        <v>0</v>
      </c>
      <c r="CJ210" s="10">
        <f t="shared" ca="1" si="1239"/>
        <v>0</v>
      </c>
      <c r="CK210" s="10">
        <f t="shared" ca="1" si="1239"/>
        <v>0</v>
      </c>
      <c r="CL210" s="10">
        <f t="shared" ca="1" si="1239"/>
        <v>0</v>
      </c>
      <c r="CM210" s="10">
        <f t="shared" ca="1" si="1239"/>
        <v>0</v>
      </c>
      <c r="CN210" s="10">
        <f t="shared" ca="1" si="1239"/>
        <v>0</v>
      </c>
      <c r="CO210" s="10">
        <f t="shared" ca="1" si="1239"/>
        <v>0</v>
      </c>
    </row>
    <row r="211" spans="1:93" ht="15" thickBot="1">
      <c r="A211" s="9"/>
      <c r="B211" s="168"/>
      <c r="C211" s="17" t="s">
        <v>630</v>
      </c>
      <c r="D211" s="10"/>
      <c r="E211" s="62"/>
      <c r="F211" s="11"/>
      <c r="G211" s="11" t="str">
        <f t="shared" si="1217"/>
        <v>тыс. руб.</v>
      </c>
      <c r="H211" s="10"/>
      <c r="I211" s="23">
        <f t="shared" ca="1" si="1218"/>
        <v>0</v>
      </c>
      <c r="J211" s="10"/>
      <c r="K211" s="10"/>
      <c r="L211" s="10">
        <f t="shared" ref="L211:AQ211" ca="1" si="1240" xml:space="preserve"> L199 * CAPEX_Accumulated_From_Date</f>
        <v>0</v>
      </c>
      <c r="M211" s="10">
        <f t="shared" ca="1" si="1240"/>
        <v>0</v>
      </c>
      <c r="N211" s="10">
        <f t="shared" ca="1" si="1240"/>
        <v>0</v>
      </c>
      <c r="O211" s="10">
        <f t="shared" ca="1" si="1240"/>
        <v>0</v>
      </c>
      <c r="P211" s="10">
        <f t="shared" ca="1" si="1240"/>
        <v>0</v>
      </c>
      <c r="Q211" s="10">
        <f t="shared" ca="1" si="1240"/>
        <v>0</v>
      </c>
      <c r="R211" s="10">
        <f t="shared" ca="1" si="1240"/>
        <v>0</v>
      </c>
      <c r="S211" s="10">
        <f t="shared" ca="1" si="1240"/>
        <v>0</v>
      </c>
      <c r="T211" s="10">
        <f t="shared" ca="1" si="1240"/>
        <v>0</v>
      </c>
      <c r="U211" s="10">
        <f t="shared" ca="1" si="1240"/>
        <v>0</v>
      </c>
      <c r="V211" s="10">
        <f t="shared" ca="1" si="1240"/>
        <v>0</v>
      </c>
      <c r="W211" s="10">
        <f t="shared" ca="1" si="1240"/>
        <v>0</v>
      </c>
      <c r="X211" s="10">
        <f t="shared" ca="1" si="1240"/>
        <v>0</v>
      </c>
      <c r="Y211" s="10">
        <f t="shared" ca="1" si="1240"/>
        <v>0</v>
      </c>
      <c r="Z211" s="10">
        <f t="shared" ca="1" si="1240"/>
        <v>0</v>
      </c>
      <c r="AA211" s="10">
        <f t="shared" ca="1" si="1240"/>
        <v>0</v>
      </c>
      <c r="AB211" s="10">
        <f t="shared" ca="1" si="1240"/>
        <v>0</v>
      </c>
      <c r="AC211" s="10">
        <f t="shared" ca="1" si="1240"/>
        <v>0</v>
      </c>
      <c r="AD211" s="10">
        <f t="shared" ca="1" si="1240"/>
        <v>0</v>
      </c>
      <c r="AE211" s="10">
        <f t="shared" ca="1" si="1240"/>
        <v>0</v>
      </c>
      <c r="AF211" s="10">
        <f t="shared" ca="1" si="1240"/>
        <v>0</v>
      </c>
      <c r="AG211" s="10">
        <f t="shared" ca="1" si="1240"/>
        <v>0</v>
      </c>
      <c r="AH211" s="10">
        <f t="shared" ca="1" si="1240"/>
        <v>0</v>
      </c>
      <c r="AI211" s="10">
        <f t="shared" ca="1" si="1240"/>
        <v>0</v>
      </c>
      <c r="AJ211" s="10">
        <f t="shared" ca="1" si="1240"/>
        <v>0</v>
      </c>
      <c r="AK211" s="10">
        <f t="shared" ca="1" si="1240"/>
        <v>0</v>
      </c>
      <c r="AL211" s="10">
        <f t="shared" ca="1" si="1240"/>
        <v>0</v>
      </c>
      <c r="AM211" s="10">
        <f t="shared" ca="1" si="1240"/>
        <v>0</v>
      </c>
      <c r="AN211" s="10">
        <f t="shared" ca="1" si="1240"/>
        <v>0</v>
      </c>
      <c r="AO211" s="10">
        <f t="shared" ca="1" si="1240"/>
        <v>0</v>
      </c>
      <c r="AP211" s="10">
        <f t="shared" ca="1" si="1240"/>
        <v>0</v>
      </c>
      <c r="AQ211" s="10">
        <f t="shared" ca="1" si="1240"/>
        <v>0</v>
      </c>
      <c r="AR211" s="10">
        <f t="shared" ref="AR211:BW211" ca="1" si="1241" xml:space="preserve"> AR199 * CAPEX_Accumulated_From_Date</f>
        <v>0</v>
      </c>
      <c r="AS211" s="10">
        <f t="shared" ca="1" si="1241"/>
        <v>0</v>
      </c>
      <c r="AT211" s="10">
        <f t="shared" ca="1" si="1241"/>
        <v>0</v>
      </c>
      <c r="AU211" s="10">
        <f t="shared" ca="1" si="1241"/>
        <v>0</v>
      </c>
      <c r="AV211" s="10">
        <f t="shared" ca="1" si="1241"/>
        <v>0</v>
      </c>
      <c r="AW211" s="10">
        <f t="shared" ca="1" si="1241"/>
        <v>0</v>
      </c>
      <c r="AX211" s="10">
        <f t="shared" ca="1" si="1241"/>
        <v>0</v>
      </c>
      <c r="AY211" s="10">
        <f t="shared" ca="1" si="1241"/>
        <v>0</v>
      </c>
      <c r="AZ211" s="10">
        <f t="shared" ca="1" si="1241"/>
        <v>0</v>
      </c>
      <c r="BA211" s="10">
        <f t="shared" ca="1" si="1241"/>
        <v>0</v>
      </c>
      <c r="BB211" s="10">
        <f t="shared" ca="1" si="1241"/>
        <v>0</v>
      </c>
      <c r="BC211" s="10">
        <f t="shared" ca="1" si="1241"/>
        <v>0</v>
      </c>
      <c r="BD211" s="10">
        <f t="shared" ca="1" si="1241"/>
        <v>0</v>
      </c>
      <c r="BE211" s="10">
        <f t="shared" ca="1" si="1241"/>
        <v>0</v>
      </c>
      <c r="BF211" s="10">
        <f t="shared" ca="1" si="1241"/>
        <v>0</v>
      </c>
      <c r="BG211" s="10">
        <f t="shared" ca="1" si="1241"/>
        <v>0</v>
      </c>
      <c r="BH211" s="10">
        <f t="shared" ca="1" si="1241"/>
        <v>0</v>
      </c>
      <c r="BI211" s="10">
        <f t="shared" ca="1" si="1241"/>
        <v>0</v>
      </c>
      <c r="BJ211" s="10">
        <f t="shared" ca="1" si="1241"/>
        <v>0</v>
      </c>
      <c r="BK211" s="10">
        <f t="shared" ca="1" si="1241"/>
        <v>0</v>
      </c>
      <c r="BL211" s="10">
        <f t="shared" ca="1" si="1241"/>
        <v>0</v>
      </c>
      <c r="BM211" s="10">
        <f t="shared" ca="1" si="1241"/>
        <v>0</v>
      </c>
      <c r="BN211" s="10">
        <f t="shared" ca="1" si="1241"/>
        <v>0</v>
      </c>
      <c r="BO211" s="10">
        <f t="shared" ca="1" si="1241"/>
        <v>0</v>
      </c>
      <c r="BP211" s="10">
        <f t="shared" ca="1" si="1241"/>
        <v>0</v>
      </c>
      <c r="BQ211" s="10">
        <f t="shared" ca="1" si="1241"/>
        <v>0</v>
      </c>
      <c r="BR211" s="10">
        <f t="shared" ca="1" si="1241"/>
        <v>0</v>
      </c>
      <c r="BS211" s="10">
        <f t="shared" ca="1" si="1241"/>
        <v>0</v>
      </c>
      <c r="BT211" s="10">
        <f t="shared" ca="1" si="1241"/>
        <v>0</v>
      </c>
      <c r="BU211" s="10">
        <f t="shared" ca="1" si="1241"/>
        <v>0</v>
      </c>
      <c r="BV211" s="10">
        <f t="shared" ca="1" si="1241"/>
        <v>0</v>
      </c>
      <c r="BW211" s="10">
        <f t="shared" ca="1" si="1241"/>
        <v>0</v>
      </c>
      <c r="BX211" s="10">
        <f t="shared" ref="BX211:CO211" ca="1" si="1242" xml:space="preserve"> BX199 * CAPEX_Accumulated_From_Date</f>
        <v>0</v>
      </c>
      <c r="BY211" s="10">
        <f t="shared" ca="1" si="1242"/>
        <v>0</v>
      </c>
      <c r="BZ211" s="10">
        <f t="shared" ca="1" si="1242"/>
        <v>0</v>
      </c>
      <c r="CA211" s="10">
        <f t="shared" ca="1" si="1242"/>
        <v>0</v>
      </c>
      <c r="CB211" s="10">
        <f t="shared" ca="1" si="1242"/>
        <v>0</v>
      </c>
      <c r="CC211" s="10">
        <f t="shared" ca="1" si="1242"/>
        <v>0</v>
      </c>
      <c r="CD211" s="10">
        <f t="shared" ca="1" si="1242"/>
        <v>0</v>
      </c>
      <c r="CE211" s="10">
        <f t="shared" ca="1" si="1242"/>
        <v>0</v>
      </c>
      <c r="CF211" s="10">
        <f t="shared" ca="1" si="1242"/>
        <v>0</v>
      </c>
      <c r="CG211" s="10">
        <f t="shared" ca="1" si="1242"/>
        <v>0</v>
      </c>
      <c r="CH211" s="10">
        <f t="shared" ca="1" si="1242"/>
        <v>0</v>
      </c>
      <c r="CI211" s="10">
        <f t="shared" ca="1" si="1242"/>
        <v>0</v>
      </c>
      <c r="CJ211" s="10">
        <f t="shared" ca="1" si="1242"/>
        <v>0</v>
      </c>
      <c r="CK211" s="10">
        <f t="shared" ca="1" si="1242"/>
        <v>0</v>
      </c>
      <c r="CL211" s="10">
        <f t="shared" ca="1" si="1242"/>
        <v>0</v>
      </c>
      <c r="CM211" s="10">
        <f t="shared" ca="1" si="1242"/>
        <v>0</v>
      </c>
      <c r="CN211" s="10">
        <f t="shared" ca="1" si="1242"/>
        <v>0</v>
      </c>
      <c r="CO211" s="10">
        <f t="shared" ca="1" si="1242"/>
        <v>0</v>
      </c>
    </row>
    <row r="212" spans="1:93" ht="15" thickTop="1">
      <c r="A212" s="77"/>
      <c r="B212" s="101"/>
      <c r="C212" s="49" t="s">
        <v>858</v>
      </c>
      <c r="D212" s="49"/>
      <c r="E212" s="136"/>
      <c r="F212" s="49"/>
      <c r="G212" s="159" t="str">
        <f xml:space="preserve"> Monetary_Unit</f>
        <v>тыс. руб.</v>
      </c>
      <c r="H212" s="49"/>
      <c r="I212" s="23">
        <f t="shared" ca="1" si="1218"/>
        <v>4780624.7071368461</v>
      </c>
      <c r="J212" s="49"/>
      <c r="K212" s="49"/>
      <c r="L212" s="49">
        <f t="shared" ref="L212:R212" ca="1" si="1243" xml:space="preserve"> SUM(L204:L211)</f>
        <v>25938.874484896365</v>
      </c>
      <c r="M212" s="49">
        <f t="shared" ca="1" si="1243"/>
        <v>26307.073887768478</v>
      </c>
      <c r="N212" s="49">
        <f t="shared" ca="1" si="1243"/>
        <v>26680.499839709031</v>
      </c>
      <c r="O212" s="49">
        <f t="shared" ca="1" si="1243"/>
        <v>27059.22653099359</v>
      </c>
      <c r="P212" s="49">
        <f t="shared" ca="1" si="1243"/>
        <v>227715.43409086761</v>
      </c>
      <c r="Q212" s="49">
        <f t="shared" ca="1" si="1243"/>
        <v>229959.20684043985</v>
      </c>
      <c r="R212" s="49">
        <f t="shared" ca="1" si="1243"/>
        <v>232225.08839511714</v>
      </c>
      <c r="S212" s="49">
        <f t="shared" ref="S212" ca="1" si="1244" xml:space="preserve"> SUM(S204:S211)</f>
        <v>234513.2966019444</v>
      </c>
      <c r="T212" s="49">
        <f t="shared" ref="T212:CE212" ca="1" si="1245" xml:space="preserve"> SUM(T204:T211)</f>
        <v>236824.05145450227</v>
      </c>
      <c r="U212" s="49">
        <f t="shared" ca="1" si="1245"/>
        <v>239157.5751140574</v>
      </c>
      <c r="V212" s="49">
        <f t="shared" ca="1" si="1245"/>
        <v>241514.09193092171</v>
      </c>
      <c r="W212" s="49">
        <f t="shared" ca="1" si="1245"/>
        <v>243893.82846602213</v>
      </c>
      <c r="X212" s="49">
        <f t="shared" ca="1" si="1245"/>
        <v>516657.5734227525</v>
      </c>
      <c r="Y212" s="49">
        <f t="shared" ca="1" si="1245"/>
        <v>521748.4105402907</v>
      </c>
      <c r="Z212" s="49">
        <f t="shared" ca="1" si="1245"/>
        <v>526889.40974562231</v>
      </c>
      <c r="AA212" s="49">
        <f t="shared" ca="1" si="1245"/>
        <v>532081.06530619203</v>
      </c>
      <c r="AB212" s="49">
        <f t="shared" ca="1" si="1245"/>
        <v>691460.00048474874</v>
      </c>
      <c r="AC212" s="49">
        <f t="shared" ca="1" si="1245"/>
        <v>0</v>
      </c>
      <c r="AD212" s="49">
        <f t="shared" ca="1" si="1245"/>
        <v>0</v>
      </c>
      <c r="AE212" s="49">
        <f t="shared" ca="1" si="1245"/>
        <v>0</v>
      </c>
      <c r="AF212" s="49">
        <f t="shared" ca="1" si="1245"/>
        <v>0</v>
      </c>
      <c r="AG212" s="49">
        <f t="shared" ca="1" si="1245"/>
        <v>0</v>
      </c>
      <c r="AH212" s="49">
        <f t="shared" ca="1" si="1245"/>
        <v>0</v>
      </c>
      <c r="AI212" s="49">
        <f t="shared" ca="1" si="1245"/>
        <v>0</v>
      </c>
      <c r="AJ212" s="49">
        <f t="shared" ca="1" si="1245"/>
        <v>0</v>
      </c>
      <c r="AK212" s="49">
        <f t="shared" ca="1" si="1245"/>
        <v>0</v>
      </c>
      <c r="AL212" s="49">
        <f t="shared" ca="1" si="1245"/>
        <v>0</v>
      </c>
      <c r="AM212" s="49">
        <f t="shared" ca="1" si="1245"/>
        <v>0</v>
      </c>
      <c r="AN212" s="49">
        <f t="shared" ca="1" si="1245"/>
        <v>0</v>
      </c>
      <c r="AO212" s="49">
        <f t="shared" ca="1" si="1245"/>
        <v>0</v>
      </c>
      <c r="AP212" s="49">
        <f t="shared" ca="1" si="1245"/>
        <v>0</v>
      </c>
      <c r="AQ212" s="49">
        <f t="shared" ca="1" si="1245"/>
        <v>0</v>
      </c>
      <c r="AR212" s="49">
        <f t="shared" ca="1" si="1245"/>
        <v>0</v>
      </c>
      <c r="AS212" s="49">
        <f t="shared" ca="1" si="1245"/>
        <v>0</v>
      </c>
      <c r="AT212" s="49">
        <f t="shared" ca="1" si="1245"/>
        <v>0</v>
      </c>
      <c r="AU212" s="49">
        <f t="shared" ca="1" si="1245"/>
        <v>0</v>
      </c>
      <c r="AV212" s="49">
        <f t="shared" ca="1" si="1245"/>
        <v>0</v>
      </c>
      <c r="AW212" s="49">
        <f t="shared" ca="1" si="1245"/>
        <v>0</v>
      </c>
      <c r="AX212" s="49">
        <f t="shared" ca="1" si="1245"/>
        <v>0</v>
      </c>
      <c r="AY212" s="49">
        <f t="shared" ca="1" si="1245"/>
        <v>0</v>
      </c>
      <c r="AZ212" s="49">
        <f t="shared" ca="1" si="1245"/>
        <v>0</v>
      </c>
      <c r="BA212" s="49">
        <f t="shared" ca="1" si="1245"/>
        <v>0</v>
      </c>
      <c r="BB212" s="49">
        <f t="shared" ca="1" si="1245"/>
        <v>0</v>
      </c>
      <c r="BC212" s="49">
        <f t="shared" ca="1" si="1245"/>
        <v>0</v>
      </c>
      <c r="BD212" s="49">
        <f t="shared" ca="1" si="1245"/>
        <v>0</v>
      </c>
      <c r="BE212" s="49">
        <f t="shared" ca="1" si="1245"/>
        <v>0</v>
      </c>
      <c r="BF212" s="49">
        <f t="shared" ca="1" si="1245"/>
        <v>0</v>
      </c>
      <c r="BG212" s="49">
        <f t="shared" ca="1" si="1245"/>
        <v>0</v>
      </c>
      <c r="BH212" s="49">
        <f t="shared" ca="1" si="1245"/>
        <v>0</v>
      </c>
      <c r="BI212" s="49">
        <f t="shared" ca="1" si="1245"/>
        <v>0</v>
      </c>
      <c r="BJ212" s="49">
        <f t="shared" ca="1" si="1245"/>
        <v>0</v>
      </c>
      <c r="BK212" s="49">
        <f t="shared" ca="1" si="1245"/>
        <v>0</v>
      </c>
      <c r="BL212" s="49">
        <f t="shared" ca="1" si="1245"/>
        <v>0</v>
      </c>
      <c r="BM212" s="49">
        <f t="shared" ca="1" si="1245"/>
        <v>0</v>
      </c>
      <c r="BN212" s="49">
        <f t="shared" ca="1" si="1245"/>
        <v>0</v>
      </c>
      <c r="BO212" s="49">
        <f t="shared" ca="1" si="1245"/>
        <v>0</v>
      </c>
      <c r="BP212" s="49">
        <f t="shared" ca="1" si="1245"/>
        <v>0</v>
      </c>
      <c r="BQ212" s="49">
        <f t="shared" ca="1" si="1245"/>
        <v>0</v>
      </c>
      <c r="BR212" s="49">
        <f t="shared" ca="1" si="1245"/>
        <v>0</v>
      </c>
      <c r="BS212" s="49">
        <f t="shared" ca="1" si="1245"/>
        <v>0</v>
      </c>
      <c r="BT212" s="49">
        <f t="shared" ca="1" si="1245"/>
        <v>0</v>
      </c>
      <c r="BU212" s="49">
        <f t="shared" ca="1" si="1245"/>
        <v>0</v>
      </c>
      <c r="BV212" s="49">
        <f t="shared" ca="1" si="1245"/>
        <v>0</v>
      </c>
      <c r="BW212" s="49">
        <f t="shared" ca="1" si="1245"/>
        <v>0</v>
      </c>
      <c r="BX212" s="49">
        <f t="shared" ca="1" si="1245"/>
        <v>0</v>
      </c>
      <c r="BY212" s="49">
        <f t="shared" ca="1" si="1245"/>
        <v>0</v>
      </c>
      <c r="BZ212" s="49">
        <f t="shared" ca="1" si="1245"/>
        <v>0</v>
      </c>
      <c r="CA212" s="49">
        <f t="shared" ca="1" si="1245"/>
        <v>0</v>
      </c>
      <c r="CB212" s="49">
        <f t="shared" ca="1" si="1245"/>
        <v>0</v>
      </c>
      <c r="CC212" s="49">
        <f t="shared" ca="1" si="1245"/>
        <v>0</v>
      </c>
      <c r="CD212" s="49">
        <f t="shared" ca="1" si="1245"/>
        <v>0</v>
      </c>
      <c r="CE212" s="49">
        <f t="shared" ca="1" si="1245"/>
        <v>0</v>
      </c>
      <c r="CF212" s="49">
        <f t="shared" ref="CF212:CO212" ca="1" si="1246" xml:space="preserve"> SUM(CF204:CF211)</f>
        <v>0</v>
      </c>
      <c r="CG212" s="49">
        <f t="shared" ca="1" si="1246"/>
        <v>0</v>
      </c>
      <c r="CH212" s="49">
        <f t="shared" ca="1" si="1246"/>
        <v>0</v>
      </c>
      <c r="CI212" s="49">
        <f t="shared" ca="1" si="1246"/>
        <v>0</v>
      </c>
      <c r="CJ212" s="49">
        <f t="shared" ca="1" si="1246"/>
        <v>0</v>
      </c>
      <c r="CK212" s="49">
        <f t="shared" ca="1" si="1246"/>
        <v>0</v>
      </c>
      <c r="CL212" s="49">
        <f t="shared" ca="1" si="1246"/>
        <v>0</v>
      </c>
      <c r="CM212" s="49">
        <f t="shared" ca="1" si="1246"/>
        <v>0</v>
      </c>
      <c r="CN212" s="49">
        <f t="shared" ca="1" si="1246"/>
        <v>0</v>
      </c>
      <c r="CO212" s="49">
        <f t="shared" ca="1" si="1246"/>
        <v>0</v>
      </c>
    </row>
    <row r="213" spans="1:93">
      <c r="A213" s="77"/>
      <c r="B213" s="168"/>
      <c r="C213" s="169"/>
      <c r="D213" s="10"/>
      <c r="E213" s="62"/>
      <c r="F213" s="11"/>
      <c r="G213" s="11"/>
      <c r="H213" s="10"/>
      <c r="I213" s="10" t="str">
        <f ca="1">IF(IFERROR(I212=Предпосылки!H293*I95*I112,I212=0),"")</f>
        <v/>
      </c>
      <c r="J213" s="10"/>
      <c r="K213" s="1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170"/>
      <c r="AH213" s="170"/>
      <c r="AI213" s="170"/>
      <c r="AJ213" s="170"/>
      <c r="AK213" s="170"/>
      <c r="AL213" s="170"/>
      <c r="AM213" s="170"/>
      <c r="AN213" s="170"/>
      <c r="AO213" s="170"/>
      <c r="AP213" s="170"/>
      <c r="AQ213" s="170"/>
      <c r="AR213" s="170"/>
      <c r="AS213" s="170"/>
      <c r="AT213" s="170"/>
      <c r="AU213" s="170"/>
      <c r="AV213" s="170"/>
      <c r="AW213" s="170"/>
      <c r="AX213" s="170"/>
      <c r="AY213" s="170"/>
      <c r="AZ213" s="170"/>
      <c r="BA213" s="170"/>
      <c r="BB213" s="170"/>
      <c r="BC213" s="170"/>
      <c r="BD213" s="170"/>
      <c r="BE213" s="170"/>
      <c r="BF213" s="170"/>
      <c r="BG213" s="170"/>
      <c r="BH213" s="170"/>
      <c r="BI213" s="170"/>
      <c r="BJ213" s="170"/>
      <c r="BK213" s="170"/>
      <c r="BL213" s="170"/>
      <c r="BM213" s="170"/>
      <c r="BN213" s="170"/>
      <c r="BO213" s="170"/>
      <c r="BP213" s="170"/>
      <c r="BQ213" s="170"/>
      <c r="BR213" s="170"/>
      <c r="BS213" s="170"/>
      <c r="BT213" s="170"/>
      <c r="BU213" s="170"/>
      <c r="BV213" s="170"/>
      <c r="BW213" s="170"/>
      <c r="BX213" s="170"/>
      <c r="BY213" s="170"/>
      <c r="BZ213" s="170"/>
      <c r="CA213" s="170"/>
      <c r="CB213" s="170"/>
      <c r="CC213" s="170"/>
      <c r="CD213" s="170"/>
      <c r="CE213" s="170"/>
      <c r="CF213" s="170"/>
      <c r="CG213" s="170"/>
      <c r="CH213" s="170"/>
      <c r="CI213" s="170"/>
      <c r="CJ213" s="170"/>
      <c r="CK213" s="170"/>
      <c r="CL213" s="170"/>
      <c r="CM213" s="170"/>
      <c r="CN213" s="170"/>
      <c r="CO213" s="170"/>
    </row>
    <row r="214" spans="1:93" ht="15" customHeight="1">
      <c r="A214" s="10"/>
      <c r="B214" s="3"/>
      <c r="C214" s="384" t="str">
        <f>C96</f>
        <v>Сегмент 2: Развлекательный комплекс</v>
      </c>
      <c r="D214" s="273"/>
      <c r="E214" s="273"/>
      <c r="F214" s="273"/>
      <c r="G214" s="274"/>
      <c r="H214" s="273"/>
      <c r="I214" s="273"/>
      <c r="J214" s="273"/>
      <c r="K214" s="273"/>
      <c r="L214" s="273"/>
      <c r="M214" s="273"/>
      <c r="N214" s="273"/>
      <c r="O214" s="273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3"/>
      <c r="AG214" s="273"/>
      <c r="AH214" s="273"/>
      <c r="AI214" s="273"/>
      <c r="AJ214" s="273"/>
      <c r="AK214" s="273"/>
      <c r="AL214" s="273"/>
      <c r="AM214" s="273"/>
      <c r="AN214" s="273"/>
      <c r="AO214" s="273"/>
      <c r="AP214" s="273"/>
      <c r="AQ214" s="273"/>
      <c r="AR214" s="273"/>
      <c r="AS214" s="273"/>
      <c r="AT214" s="273"/>
      <c r="AU214" s="273"/>
      <c r="AV214" s="273"/>
      <c r="AW214" s="273"/>
      <c r="AX214" s="273"/>
      <c r="AY214" s="273"/>
      <c r="AZ214" s="273"/>
      <c r="BA214" s="273"/>
      <c r="BB214" s="273"/>
      <c r="BC214" s="273"/>
      <c r="BD214" s="273"/>
      <c r="BE214" s="273"/>
      <c r="BF214" s="273"/>
      <c r="BG214" s="273"/>
      <c r="BH214" s="273"/>
      <c r="BI214" s="273"/>
      <c r="BJ214" s="273"/>
      <c r="BK214" s="273"/>
      <c r="BL214" s="273"/>
      <c r="BM214" s="273"/>
      <c r="BN214" s="273"/>
      <c r="BO214" s="273"/>
      <c r="BP214" s="273"/>
      <c r="BQ214" s="273"/>
      <c r="BR214" s="273"/>
      <c r="BS214" s="273"/>
      <c r="BT214" s="273"/>
      <c r="BU214" s="273"/>
      <c r="BV214" s="273"/>
      <c r="BW214" s="273"/>
      <c r="BX214" s="273"/>
      <c r="BY214" s="273"/>
      <c r="BZ214" s="273"/>
      <c r="CA214" s="273"/>
      <c r="CB214" s="273"/>
      <c r="CC214" s="273"/>
      <c r="CD214" s="273"/>
      <c r="CE214" s="273"/>
      <c r="CF214" s="273"/>
      <c r="CG214" s="273"/>
      <c r="CH214" s="273"/>
      <c r="CI214" s="273"/>
      <c r="CJ214" s="273"/>
      <c r="CK214" s="273"/>
      <c r="CL214" s="273"/>
      <c r="CM214" s="273"/>
      <c r="CN214" s="273"/>
      <c r="CO214" s="273"/>
    </row>
    <row r="215" spans="1:93">
      <c r="A215" s="77"/>
      <c r="B215" s="168"/>
      <c r="C215" s="169"/>
      <c r="D215" s="10"/>
      <c r="E215" s="62"/>
      <c r="F215" s="11"/>
      <c r="G215" s="11"/>
      <c r="H215" s="10"/>
      <c r="I215" s="10"/>
      <c r="J215" s="10"/>
      <c r="K215" s="1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170"/>
      <c r="AH215" s="170"/>
      <c r="AI215" s="170"/>
      <c r="AJ215" s="170"/>
      <c r="AK215" s="170"/>
      <c r="AL215" s="170"/>
      <c r="AM215" s="170"/>
      <c r="AN215" s="170"/>
      <c r="AO215" s="170"/>
      <c r="AP215" s="170"/>
      <c r="AQ215" s="170"/>
      <c r="AR215" s="170"/>
      <c r="AS215" s="170"/>
      <c r="AT215" s="170"/>
      <c r="AU215" s="170"/>
      <c r="AV215" s="170"/>
      <c r="AW215" s="170"/>
      <c r="AX215" s="170"/>
      <c r="AY215" s="170"/>
      <c r="AZ215" s="170"/>
      <c r="BA215" s="170"/>
      <c r="BB215" s="170"/>
      <c r="BC215" s="170"/>
      <c r="BD215" s="170"/>
      <c r="BE215" s="170"/>
      <c r="BF215" s="170"/>
      <c r="BG215" s="170"/>
      <c r="BH215" s="170"/>
      <c r="BI215" s="170"/>
      <c r="BJ215" s="170"/>
      <c r="BK215" s="170"/>
      <c r="BL215" s="170"/>
      <c r="BM215" s="170"/>
      <c r="BN215" s="170"/>
      <c r="BO215" s="170"/>
      <c r="BP215" s="170"/>
      <c r="BQ215" s="170"/>
      <c r="BR215" s="170"/>
      <c r="BS215" s="170"/>
      <c r="BT215" s="170"/>
      <c r="BU215" s="170"/>
      <c r="BV215" s="170"/>
      <c r="BW215" s="170"/>
      <c r="BX215" s="170"/>
      <c r="BY215" s="170"/>
      <c r="BZ215" s="170"/>
      <c r="CA215" s="170"/>
      <c r="CB215" s="170"/>
      <c r="CC215" s="170"/>
      <c r="CD215" s="170"/>
      <c r="CE215" s="170"/>
      <c r="CF215" s="170"/>
      <c r="CG215" s="170"/>
      <c r="CH215" s="170"/>
      <c r="CI215" s="170"/>
      <c r="CJ215" s="170"/>
      <c r="CK215" s="170"/>
      <c r="CL215" s="170"/>
      <c r="CM215" s="170"/>
      <c r="CN215" s="170"/>
      <c r="CO215" s="170"/>
    </row>
    <row r="216" spans="1:93" ht="16" thickBot="1">
      <c r="A216" s="77"/>
      <c r="B216" s="168"/>
      <c r="C216" s="12" t="s">
        <v>651</v>
      </c>
      <c r="D216" s="12"/>
      <c r="E216" s="12"/>
      <c r="F216" s="12"/>
      <c r="G216" s="362"/>
      <c r="H216" s="12"/>
      <c r="I216" s="12"/>
      <c r="J216" s="10"/>
      <c r="K216" s="1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170"/>
      <c r="AH216" s="170"/>
      <c r="AI216" s="170"/>
      <c r="AJ216" s="170"/>
      <c r="AK216" s="170"/>
      <c r="AL216" s="170"/>
      <c r="AM216" s="170"/>
      <c r="AN216" s="170"/>
      <c r="AO216" s="170"/>
      <c r="AP216" s="170"/>
      <c r="AQ216" s="170"/>
      <c r="AR216" s="170"/>
      <c r="AS216" s="170"/>
      <c r="AT216" s="170"/>
      <c r="AU216" s="170"/>
      <c r="AV216" s="170"/>
      <c r="AW216" s="170"/>
      <c r="AX216" s="170"/>
      <c r="AY216" s="170"/>
      <c r="AZ216" s="170"/>
      <c r="BA216" s="170"/>
      <c r="BB216" s="170"/>
      <c r="BC216" s="170"/>
      <c r="BD216" s="170"/>
      <c r="BE216" s="170"/>
      <c r="BF216" s="170"/>
      <c r="BG216" s="170"/>
      <c r="BH216" s="170"/>
      <c r="BI216" s="170"/>
      <c r="BJ216" s="170"/>
      <c r="BK216" s="170"/>
      <c r="BL216" s="170"/>
      <c r="BM216" s="170"/>
      <c r="BN216" s="170"/>
      <c r="BO216" s="170"/>
      <c r="BP216" s="170"/>
      <c r="BQ216" s="170"/>
      <c r="BR216" s="170"/>
      <c r="BS216" s="170"/>
      <c r="BT216" s="170"/>
      <c r="BU216" s="170"/>
      <c r="BV216" s="170"/>
      <c r="BW216" s="170"/>
      <c r="BX216" s="170"/>
      <c r="BY216" s="170"/>
      <c r="BZ216" s="170"/>
      <c r="CA216" s="170"/>
      <c r="CB216" s="170"/>
      <c r="CC216" s="170"/>
      <c r="CD216" s="170"/>
      <c r="CE216" s="170"/>
      <c r="CF216" s="170"/>
      <c r="CG216" s="170"/>
      <c r="CH216" s="170"/>
      <c r="CI216" s="170"/>
      <c r="CJ216" s="170"/>
      <c r="CK216" s="170"/>
      <c r="CL216" s="170"/>
      <c r="CM216" s="170"/>
      <c r="CN216" s="170"/>
      <c r="CO216" s="170"/>
    </row>
    <row r="217" spans="1:93">
      <c r="A217" s="77"/>
      <c r="B217" s="168"/>
      <c r="C217" s="87"/>
      <c r="D217" s="10"/>
      <c r="E217" s="62"/>
      <c r="F217" s="11"/>
      <c r="G217" s="11"/>
      <c r="H217" s="10"/>
      <c r="I217" s="10"/>
      <c r="J217" s="10"/>
      <c r="K217" s="1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170"/>
      <c r="AH217" s="170"/>
      <c r="AI217" s="170"/>
      <c r="AJ217" s="170"/>
      <c r="AK217" s="170"/>
      <c r="AL217" s="170"/>
      <c r="AM217" s="170"/>
      <c r="AN217" s="170"/>
      <c r="AO217" s="170"/>
      <c r="AP217" s="170"/>
      <c r="AQ217" s="170"/>
      <c r="AR217" s="170"/>
      <c r="AS217" s="170"/>
      <c r="AT217" s="170"/>
      <c r="AU217" s="170"/>
      <c r="AV217" s="170"/>
      <c r="AW217" s="170"/>
      <c r="AX217" s="170"/>
      <c r="AY217" s="170"/>
      <c r="AZ217" s="170"/>
      <c r="BA217" s="170"/>
      <c r="BB217" s="170"/>
      <c r="BC217" s="170"/>
      <c r="BD217" s="170"/>
      <c r="BE217" s="170"/>
      <c r="BF217" s="170"/>
      <c r="BG217" s="170"/>
      <c r="BH217" s="170"/>
      <c r="BI217" s="170"/>
      <c r="BJ217" s="170"/>
      <c r="BK217" s="170"/>
      <c r="BL217" s="170"/>
      <c r="BM217" s="170"/>
      <c r="BN217" s="170"/>
      <c r="BO217" s="170"/>
      <c r="BP217" s="170"/>
      <c r="BQ217" s="170"/>
      <c r="BR217" s="170"/>
      <c r="BS217" s="170"/>
      <c r="BT217" s="170"/>
      <c r="BU217" s="170"/>
      <c r="BV217" s="170"/>
      <c r="BW217" s="170"/>
      <c r="BX217" s="170"/>
      <c r="BY217" s="170"/>
      <c r="BZ217" s="170"/>
      <c r="CA217" s="170"/>
      <c r="CB217" s="170"/>
      <c r="CC217" s="170"/>
      <c r="CD217" s="170"/>
      <c r="CE217" s="170"/>
      <c r="CF217" s="170"/>
      <c r="CG217" s="170"/>
      <c r="CH217" s="170"/>
      <c r="CI217" s="170"/>
      <c r="CJ217" s="170"/>
      <c r="CK217" s="170"/>
      <c r="CL217" s="170"/>
      <c r="CM217" s="170"/>
      <c r="CN217" s="170"/>
      <c r="CO217" s="170"/>
    </row>
    <row r="218" spans="1:93">
      <c r="A218" s="77"/>
      <c r="B218" s="168"/>
      <c r="C218" s="17" t="s">
        <v>632</v>
      </c>
      <c r="D218" s="10"/>
      <c r="E218" s="184">
        <f xml:space="preserve"> Предпосылки!E322 * $I$113 * $I$96</f>
        <v>0</v>
      </c>
      <c r="F218" s="11"/>
      <c r="G218" s="11" t="str">
        <f>Monetary_Unit</f>
        <v>тыс. руб.</v>
      </c>
      <c r="H218" s="10"/>
      <c r="I218" s="10"/>
      <c r="J218" s="10"/>
      <c r="K218" s="10"/>
      <c r="L218" s="171">
        <f xml:space="preserve"> Предпосылки!L329</f>
        <v>0</v>
      </c>
      <c r="M218" s="171">
        <f xml:space="preserve"> Предпосылки!M329</f>
        <v>0</v>
      </c>
      <c r="N218" s="171">
        <f xml:space="preserve"> Предпосылки!N329</f>
        <v>0.5</v>
      </c>
      <c r="O218" s="171">
        <f xml:space="preserve"> Предпосылки!O329</f>
        <v>0.5</v>
      </c>
      <c r="P218" s="171">
        <f xml:space="preserve"> Предпосылки!P329</f>
        <v>0</v>
      </c>
      <c r="Q218" s="171">
        <f xml:space="preserve"> Предпосылки!Q329</f>
        <v>0</v>
      </c>
      <c r="R218" s="171">
        <f xml:space="preserve"> Предпосылки!R329</f>
        <v>0</v>
      </c>
      <c r="S218" s="171">
        <f xml:space="preserve"> Предпосылки!S329</f>
        <v>0</v>
      </c>
      <c r="T218" s="171">
        <f xml:space="preserve"> Предпосылки!T329</f>
        <v>0</v>
      </c>
      <c r="U218" s="171">
        <f xml:space="preserve"> Предпосылки!U329</f>
        <v>0</v>
      </c>
      <c r="V218" s="171">
        <f xml:space="preserve"> Предпосылки!V329</f>
        <v>0</v>
      </c>
      <c r="W218" s="171">
        <f xml:space="preserve"> Предпосылки!W329</f>
        <v>0</v>
      </c>
      <c r="X218" s="171">
        <f xml:space="preserve"> Предпосылки!X329</f>
        <v>0</v>
      </c>
      <c r="Y218" s="171">
        <f xml:space="preserve"> Предпосылки!Y329</f>
        <v>0</v>
      </c>
      <c r="Z218" s="171">
        <f xml:space="preserve"> Предпосылки!Z329</f>
        <v>0</v>
      </c>
      <c r="AA218" s="171">
        <f xml:space="preserve"> Предпосылки!AA329</f>
        <v>0</v>
      </c>
      <c r="AB218" s="171">
        <f xml:space="preserve"> Предпосылки!AB329</f>
        <v>0</v>
      </c>
      <c r="AC218" s="171">
        <f xml:space="preserve"> Предпосылки!AC329</f>
        <v>0</v>
      </c>
      <c r="AD218" s="171">
        <f xml:space="preserve"> Предпосылки!AD329</f>
        <v>0</v>
      </c>
      <c r="AE218" s="171">
        <f xml:space="preserve"> Предпосылки!AE329</f>
        <v>0</v>
      </c>
      <c r="AF218" s="171">
        <f xml:space="preserve"> Предпосылки!AF329</f>
        <v>0</v>
      </c>
      <c r="AG218" s="171">
        <f xml:space="preserve"> Предпосылки!AG329</f>
        <v>0</v>
      </c>
      <c r="AH218" s="171">
        <f xml:space="preserve"> Предпосылки!AH329</f>
        <v>0</v>
      </c>
      <c r="AI218" s="171">
        <f xml:space="preserve"> Предпосылки!AI329</f>
        <v>0</v>
      </c>
      <c r="AJ218" s="171">
        <f xml:space="preserve"> Предпосылки!AJ329</f>
        <v>0</v>
      </c>
      <c r="AK218" s="171">
        <f xml:space="preserve"> Предпосылки!AK329</f>
        <v>0</v>
      </c>
      <c r="AL218" s="171">
        <f xml:space="preserve"> Предпосылки!AL329</f>
        <v>0</v>
      </c>
      <c r="AM218" s="171">
        <f xml:space="preserve"> Предпосылки!AM329</f>
        <v>0</v>
      </c>
      <c r="AN218" s="171">
        <f xml:space="preserve"> Предпосылки!AN329</f>
        <v>0</v>
      </c>
      <c r="AO218" s="171">
        <f xml:space="preserve"> Предпосылки!AO329</f>
        <v>0</v>
      </c>
      <c r="AP218" s="171">
        <f xml:space="preserve"> Предпосылки!AP329</f>
        <v>0</v>
      </c>
      <c r="AQ218" s="171">
        <f xml:space="preserve"> Предпосылки!AQ329</f>
        <v>0</v>
      </c>
      <c r="AR218" s="171">
        <f xml:space="preserve"> Предпосылки!AR329</f>
        <v>0</v>
      </c>
      <c r="AS218" s="171">
        <f xml:space="preserve"> Предпосылки!AS329</f>
        <v>0</v>
      </c>
      <c r="AT218" s="171">
        <f xml:space="preserve"> Предпосылки!AT329</f>
        <v>0</v>
      </c>
      <c r="AU218" s="171">
        <f xml:space="preserve"> Предпосылки!AU329</f>
        <v>0</v>
      </c>
      <c r="AV218" s="171">
        <f xml:space="preserve"> Предпосылки!AV329</f>
        <v>0</v>
      </c>
      <c r="AW218" s="171">
        <f xml:space="preserve"> Предпосылки!AW329</f>
        <v>0</v>
      </c>
      <c r="AX218" s="171">
        <f xml:space="preserve"> Предпосылки!AX329</f>
        <v>0</v>
      </c>
      <c r="AY218" s="171">
        <f xml:space="preserve"> Предпосылки!AY329</f>
        <v>0</v>
      </c>
      <c r="AZ218" s="171">
        <f xml:space="preserve"> Предпосылки!AZ329</f>
        <v>0</v>
      </c>
      <c r="BA218" s="171">
        <f xml:space="preserve"> Предпосылки!BA329</f>
        <v>0</v>
      </c>
      <c r="BB218" s="171">
        <f xml:space="preserve"> Предпосылки!BB329</f>
        <v>0</v>
      </c>
      <c r="BC218" s="171">
        <f xml:space="preserve"> Предпосылки!BC329</f>
        <v>0</v>
      </c>
      <c r="BD218" s="171">
        <f xml:space="preserve"> Предпосылки!BD329</f>
        <v>0</v>
      </c>
      <c r="BE218" s="171">
        <f xml:space="preserve"> Предпосылки!BE329</f>
        <v>0</v>
      </c>
      <c r="BF218" s="171">
        <f xml:space="preserve"> Предпосылки!BF329</f>
        <v>0</v>
      </c>
      <c r="BG218" s="171">
        <f xml:space="preserve"> Предпосылки!BG329</f>
        <v>0</v>
      </c>
      <c r="BH218" s="171">
        <f xml:space="preserve"> Предпосылки!BH329</f>
        <v>0</v>
      </c>
      <c r="BI218" s="171">
        <f xml:space="preserve"> Предпосылки!BI329</f>
        <v>0</v>
      </c>
      <c r="BJ218" s="171">
        <f xml:space="preserve"> Предпосылки!BJ329</f>
        <v>0</v>
      </c>
      <c r="BK218" s="171">
        <f xml:space="preserve"> Предпосылки!BK329</f>
        <v>0</v>
      </c>
      <c r="BL218" s="171">
        <f xml:space="preserve"> Предпосылки!BL329</f>
        <v>0</v>
      </c>
      <c r="BM218" s="171">
        <f xml:space="preserve"> Предпосылки!BM329</f>
        <v>0</v>
      </c>
      <c r="BN218" s="171">
        <f xml:space="preserve"> Предпосылки!BN329</f>
        <v>0</v>
      </c>
      <c r="BO218" s="171">
        <f xml:space="preserve"> Предпосылки!BO329</f>
        <v>0</v>
      </c>
      <c r="BP218" s="171">
        <f xml:space="preserve"> Предпосылки!BP329</f>
        <v>0</v>
      </c>
      <c r="BQ218" s="171">
        <f xml:space="preserve"> Предпосылки!BQ329</f>
        <v>0</v>
      </c>
      <c r="BR218" s="171">
        <f xml:space="preserve"> Предпосылки!BR329</f>
        <v>0</v>
      </c>
      <c r="BS218" s="171">
        <f xml:space="preserve"> Предпосылки!BS329</f>
        <v>0</v>
      </c>
      <c r="BT218" s="171">
        <f xml:space="preserve"> Предпосылки!BT329</f>
        <v>0</v>
      </c>
      <c r="BU218" s="171">
        <f xml:space="preserve"> Предпосылки!BU329</f>
        <v>0</v>
      </c>
      <c r="BV218" s="171">
        <f xml:space="preserve"> Предпосылки!BV329</f>
        <v>0</v>
      </c>
      <c r="BW218" s="171">
        <f xml:space="preserve"> Предпосылки!BW329</f>
        <v>0</v>
      </c>
      <c r="BX218" s="171">
        <f xml:space="preserve"> Предпосылки!BX329</f>
        <v>0</v>
      </c>
      <c r="BY218" s="171">
        <f xml:space="preserve"> Предпосылки!BY329</f>
        <v>0</v>
      </c>
      <c r="BZ218" s="171">
        <f xml:space="preserve"> Предпосылки!BZ329</f>
        <v>0</v>
      </c>
      <c r="CA218" s="171">
        <f xml:space="preserve"> Предпосылки!CA329</f>
        <v>0</v>
      </c>
      <c r="CB218" s="171">
        <f xml:space="preserve"> Предпосылки!CB329</f>
        <v>0</v>
      </c>
      <c r="CC218" s="171">
        <f xml:space="preserve"> Предпосылки!CC329</f>
        <v>0</v>
      </c>
      <c r="CD218" s="171">
        <f xml:space="preserve"> Предпосылки!CD329</f>
        <v>0</v>
      </c>
      <c r="CE218" s="171">
        <f xml:space="preserve"> Предпосылки!CE329</f>
        <v>0</v>
      </c>
      <c r="CF218" s="171">
        <f xml:space="preserve"> Предпосылки!CF329</f>
        <v>0</v>
      </c>
      <c r="CG218" s="171">
        <f xml:space="preserve"> Предпосылки!CG329</f>
        <v>0</v>
      </c>
      <c r="CH218" s="171">
        <f xml:space="preserve"> Предпосылки!CH329</f>
        <v>0</v>
      </c>
      <c r="CI218" s="171">
        <f xml:space="preserve"> Предпосылки!CI329</f>
        <v>0</v>
      </c>
      <c r="CJ218" s="171">
        <f xml:space="preserve"> Предпосылки!CJ329</f>
        <v>0</v>
      </c>
      <c r="CK218" s="171">
        <f xml:space="preserve"> Предпосылки!CK329</f>
        <v>0</v>
      </c>
      <c r="CL218" s="171">
        <f xml:space="preserve"> Предпосылки!CL329</f>
        <v>0</v>
      </c>
      <c r="CM218" s="171">
        <f xml:space="preserve"> Предпосылки!CM329</f>
        <v>0</v>
      </c>
      <c r="CN218" s="171">
        <f xml:space="preserve"> Предпосылки!CN329</f>
        <v>0</v>
      </c>
      <c r="CO218" s="171">
        <f xml:space="preserve"> Предпосылки!CO329</f>
        <v>0</v>
      </c>
    </row>
    <row r="219" spans="1:93">
      <c r="A219" s="77"/>
      <c r="B219" s="168"/>
      <c r="C219" s="17" t="s">
        <v>634</v>
      </c>
      <c r="D219" s="10"/>
      <c r="E219" s="184">
        <f xml:space="preserve"> Предпосылки!E323 * $I$113 * $I$96</f>
        <v>0</v>
      </c>
      <c r="F219" s="11"/>
      <c r="G219" s="11" t="str">
        <f>Monetary_Unit</f>
        <v>тыс. руб.</v>
      </c>
      <c r="H219" s="10"/>
      <c r="I219" s="10"/>
      <c r="J219" s="10"/>
      <c r="K219" s="10"/>
      <c r="L219" s="171">
        <f xml:space="preserve"> Предпосылки!L330</f>
        <v>0</v>
      </c>
      <c r="M219" s="171">
        <f xml:space="preserve"> Предпосылки!M330</f>
        <v>0</v>
      </c>
      <c r="N219" s="171">
        <f xml:space="preserve"> Предпосылки!N330</f>
        <v>1</v>
      </c>
      <c r="O219" s="171">
        <f xml:space="preserve"> Предпосылки!O330</f>
        <v>0</v>
      </c>
      <c r="P219" s="171">
        <f xml:space="preserve"> Предпосылки!P330</f>
        <v>0</v>
      </c>
      <c r="Q219" s="171">
        <f xml:space="preserve"> Предпосылки!Q330</f>
        <v>0</v>
      </c>
      <c r="R219" s="171">
        <f xml:space="preserve"> Предпосылки!R330</f>
        <v>0</v>
      </c>
      <c r="S219" s="171">
        <f xml:space="preserve"> Предпосылки!S330</f>
        <v>0</v>
      </c>
      <c r="T219" s="171">
        <f xml:space="preserve"> Предпосылки!T330</f>
        <v>0</v>
      </c>
      <c r="U219" s="171">
        <f xml:space="preserve"> Предпосылки!U330</f>
        <v>0</v>
      </c>
      <c r="V219" s="171">
        <f xml:space="preserve"> Предпосылки!V330</f>
        <v>0</v>
      </c>
      <c r="W219" s="171">
        <f xml:space="preserve"> Предпосылки!W330</f>
        <v>0</v>
      </c>
      <c r="X219" s="171">
        <f xml:space="preserve"> Предпосылки!X330</f>
        <v>0</v>
      </c>
      <c r="Y219" s="171">
        <f xml:space="preserve"> Предпосылки!Y330</f>
        <v>0</v>
      </c>
      <c r="Z219" s="171">
        <f xml:space="preserve"> Предпосылки!Z330</f>
        <v>0</v>
      </c>
      <c r="AA219" s="171">
        <f xml:space="preserve"> Предпосылки!AA330</f>
        <v>0</v>
      </c>
      <c r="AB219" s="171">
        <f xml:space="preserve"> Предпосылки!AB330</f>
        <v>0</v>
      </c>
      <c r="AC219" s="171">
        <f xml:space="preserve"> Предпосылки!AC330</f>
        <v>0</v>
      </c>
      <c r="AD219" s="171">
        <f xml:space="preserve"> Предпосылки!AD330</f>
        <v>0</v>
      </c>
      <c r="AE219" s="171">
        <f xml:space="preserve"> Предпосылки!AE330</f>
        <v>0</v>
      </c>
      <c r="AF219" s="171">
        <f xml:space="preserve"> Предпосылки!AF330</f>
        <v>0</v>
      </c>
      <c r="AG219" s="171">
        <f xml:space="preserve"> Предпосылки!AG330</f>
        <v>0</v>
      </c>
      <c r="AH219" s="171">
        <f xml:space="preserve"> Предпосылки!AH330</f>
        <v>0</v>
      </c>
      <c r="AI219" s="171">
        <f xml:space="preserve"> Предпосылки!AI330</f>
        <v>0</v>
      </c>
      <c r="AJ219" s="171">
        <f xml:space="preserve"> Предпосылки!AJ330</f>
        <v>0</v>
      </c>
      <c r="AK219" s="171">
        <f xml:space="preserve"> Предпосылки!AK330</f>
        <v>0</v>
      </c>
      <c r="AL219" s="171">
        <f xml:space="preserve"> Предпосылки!AL330</f>
        <v>0</v>
      </c>
      <c r="AM219" s="171">
        <f xml:space="preserve"> Предпосылки!AM330</f>
        <v>0</v>
      </c>
      <c r="AN219" s="171">
        <f xml:space="preserve"> Предпосылки!AN330</f>
        <v>0</v>
      </c>
      <c r="AO219" s="171">
        <f xml:space="preserve"> Предпосылки!AO330</f>
        <v>0</v>
      </c>
      <c r="AP219" s="171">
        <f xml:space="preserve"> Предпосылки!AP330</f>
        <v>0</v>
      </c>
      <c r="AQ219" s="171">
        <f xml:space="preserve"> Предпосылки!AQ330</f>
        <v>0</v>
      </c>
      <c r="AR219" s="171">
        <f xml:space="preserve"> Предпосылки!AR330</f>
        <v>0</v>
      </c>
      <c r="AS219" s="171">
        <f xml:space="preserve"> Предпосылки!AS330</f>
        <v>0</v>
      </c>
      <c r="AT219" s="171">
        <f xml:space="preserve"> Предпосылки!AT330</f>
        <v>0</v>
      </c>
      <c r="AU219" s="171">
        <f xml:space="preserve"> Предпосылки!AU330</f>
        <v>0</v>
      </c>
      <c r="AV219" s="171">
        <f xml:space="preserve"> Предпосылки!AV330</f>
        <v>0</v>
      </c>
      <c r="AW219" s="171">
        <f xml:space="preserve"> Предпосылки!AW330</f>
        <v>0</v>
      </c>
      <c r="AX219" s="171">
        <f xml:space="preserve"> Предпосылки!AX330</f>
        <v>0</v>
      </c>
      <c r="AY219" s="171">
        <f xml:space="preserve"> Предпосылки!AY330</f>
        <v>0</v>
      </c>
      <c r="AZ219" s="171">
        <f xml:space="preserve"> Предпосылки!AZ330</f>
        <v>0</v>
      </c>
      <c r="BA219" s="171">
        <f xml:space="preserve"> Предпосылки!BA330</f>
        <v>0</v>
      </c>
      <c r="BB219" s="171">
        <f xml:space="preserve"> Предпосылки!BB330</f>
        <v>0</v>
      </c>
      <c r="BC219" s="171">
        <f xml:space="preserve"> Предпосылки!BC330</f>
        <v>0</v>
      </c>
      <c r="BD219" s="171">
        <f xml:space="preserve"> Предпосылки!BD330</f>
        <v>0</v>
      </c>
      <c r="BE219" s="171">
        <f xml:space="preserve"> Предпосылки!BE330</f>
        <v>0</v>
      </c>
      <c r="BF219" s="171">
        <f xml:space="preserve"> Предпосылки!BF330</f>
        <v>0</v>
      </c>
      <c r="BG219" s="171">
        <f xml:space="preserve"> Предпосылки!BG330</f>
        <v>0</v>
      </c>
      <c r="BH219" s="171">
        <f xml:space="preserve"> Предпосылки!BH330</f>
        <v>0</v>
      </c>
      <c r="BI219" s="171">
        <f xml:space="preserve"> Предпосылки!BI330</f>
        <v>0</v>
      </c>
      <c r="BJ219" s="171">
        <f xml:space="preserve"> Предпосылки!BJ330</f>
        <v>0</v>
      </c>
      <c r="BK219" s="171">
        <f xml:space="preserve"> Предпосылки!BK330</f>
        <v>0</v>
      </c>
      <c r="BL219" s="171">
        <f xml:space="preserve"> Предпосылки!BL330</f>
        <v>0</v>
      </c>
      <c r="BM219" s="171">
        <f xml:space="preserve"> Предпосылки!BM330</f>
        <v>0</v>
      </c>
      <c r="BN219" s="171">
        <f xml:space="preserve"> Предпосылки!BN330</f>
        <v>0</v>
      </c>
      <c r="BO219" s="171">
        <f xml:space="preserve"> Предпосылки!BO330</f>
        <v>0</v>
      </c>
      <c r="BP219" s="171">
        <f xml:space="preserve"> Предпосылки!BP330</f>
        <v>0</v>
      </c>
      <c r="BQ219" s="171">
        <f xml:space="preserve"> Предпосылки!BQ330</f>
        <v>0</v>
      </c>
      <c r="BR219" s="171">
        <f xml:space="preserve"> Предпосылки!BR330</f>
        <v>0</v>
      </c>
      <c r="BS219" s="171">
        <f xml:space="preserve"> Предпосылки!BS330</f>
        <v>0</v>
      </c>
      <c r="BT219" s="171">
        <f xml:space="preserve"> Предпосылки!BT330</f>
        <v>0</v>
      </c>
      <c r="BU219" s="171">
        <f xml:space="preserve"> Предпосылки!BU330</f>
        <v>0</v>
      </c>
      <c r="BV219" s="171">
        <f xml:space="preserve"> Предпосылки!BV330</f>
        <v>0</v>
      </c>
      <c r="BW219" s="171">
        <f xml:space="preserve"> Предпосылки!BW330</f>
        <v>0</v>
      </c>
      <c r="BX219" s="171">
        <f xml:space="preserve"> Предпосылки!BX330</f>
        <v>0</v>
      </c>
      <c r="BY219" s="171">
        <f xml:space="preserve"> Предпосылки!BY330</f>
        <v>0</v>
      </c>
      <c r="BZ219" s="171">
        <f xml:space="preserve"> Предпосылки!BZ330</f>
        <v>0</v>
      </c>
      <c r="CA219" s="171">
        <f xml:space="preserve"> Предпосылки!CA330</f>
        <v>0</v>
      </c>
      <c r="CB219" s="171">
        <f xml:space="preserve"> Предпосылки!CB330</f>
        <v>0</v>
      </c>
      <c r="CC219" s="171">
        <f xml:space="preserve"> Предпосылки!CC330</f>
        <v>0</v>
      </c>
      <c r="CD219" s="171">
        <f xml:space="preserve"> Предпосылки!CD330</f>
        <v>0</v>
      </c>
      <c r="CE219" s="171">
        <f xml:space="preserve"> Предпосылки!CE330</f>
        <v>0</v>
      </c>
      <c r="CF219" s="171">
        <f xml:space="preserve"> Предпосылки!CF330</f>
        <v>0</v>
      </c>
      <c r="CG219" s="171">
        <f xml:space="preserve"> Предпосылки!CG330</f>
        <v>0</v>
      </c>
      <c r="CH219" s="171">
        <f xml:space="preserve"> Предпосылки!CH330</f>
        <v>0</v>
      </c>
      <c r="CI219" s="171">
        <f xml:space="preserve"> Предпосылки!CI330</f>
        <v>0</v>
      </c>
      <c r="CJ219" s="171">
        <f xml:space="preserve"> Предпосылки!CJ330</f>
        <v>0</v>
      </c>
      <c r="CK219" s="171">
        <f xml:space="preserve"> Предпосылки!CK330</f>
        <v>0</v>
      </c>
      <c r="CL219" s="171">
        <f xml:space="preserve"> Предпосылки!CL330</f>
        <v>0</v>
      </c>
      <c r="CM219" s="171">
        <f xml:space="preserve"> Предпосылки!CM330</f>
        <v>0</v>
      </c>
      <c r="CN219" s="171">
        <f xml:space="preserve"> Предпосылки!CN330</f>
        <v>0</v>
      </c>
      <c r="CO219" s="171">
        <f xml:space="preserve"> Предпосылки!CO330</f>
        <v>0</v>
      </c>
    </row>
    <row r="220" spans="1:93">
      <c r="A220" s="77"/>
      <c r="B220" s="168"/>
      <c r="C220" s="17" t="s">
        <v>848</v>
      </c>
      <c r="D220" s="10"/>
      <c r="E220" s="184">
        <f xml:space="preserve"> Предпосылки!E324 * $I$113 * $I$96</f>
        <v>0</v>
      </c>
      <c r="F220" s="11"/>
      <c r="G220" s="11" t="str">
        <f>Monetary_Unit</f>
        <v>тыс. руб.</v>
      </c>
      <c r="H220" s="10"/>
      <c r="I220" s="10"/>
      <c r="J220" s="10"/>
      <c r="K220" s="10"/>
      <c r="L220" s="171">
        <f xml:space="preserve"> Предпосылки!L331</f>
        <v>0</v>
      </c>
      <c r="M220" s="171">
        <f xml:space="preserve"> Предпосылки!M331</f>
        <v>0</v>
      </c>
      <c r="N220" s="171">
        <f xml:space="preserve"> Предпосылки!N331</f>
        <v>0</v>
      </c>
      <c r="O220" s="171">
        <f xml:space="preserve"> Предпосылки!O331</f>
        <v>0</v>
      </c>
      <c r="P220" s="171">
        <f xml:space="preserve"> Предпосылки!P331</f>
        <v>8.3333333333333329E-2</v>
      </c>
      <c r="Q220" s="171">
        <f xml:space="preserve"> Предпосылки!Q331</f>
        <v>8.3333333333333329E-2</v>
      </c>
      <c r="R220" s="171">
        <f xml:space="preserve"> Предпосылки!R331</f>
        <v>8.3333333333333343E-2</v>
      </c>
      <c r="S220" s="171">
        <f xml:space="preserve"> Предпосылки!S331</f>
        <v>8.3333333333333329E-2</v>
      </c>
      <c r="T220" s="171">
        <f xml:space="preserve"> Предпосылки!T331</f>
        <v>8.3333333333333343E-2</v>
      </c>
      <c r="U220" s="171">
        <f xml:space="preserve"> Предпосылки!U331</f>
        <v>8.3333333333333343E-2</v>
      </c>
      <c r="V220" s="171">
        <f xml:space="preserve"> Предпосылки!V331</f>
        <v>8.3333333333333329E-2</v>
      </c>
      <c r="W220" s="171">
        <f xml:space="preserve"> Предпосылки!W331</f>
        <v>8.3333333333333329E-2</v>
      </c>
      <c r="X220" s="171">
        <f xml:space="preserve"> Предпосылки!X331</f>
        <v>8.3333333333333315E-2</v>
      </c>
      <c r="Y220" s="171">
        <f xml:space="preserve"> Предпосылки!Y331</f>
        <v>8.3333333333333329E-2</v>
      </c>
      <c r="Z220" s="171">
        <f xml:space="preserve"> Предпосылки!Z331</f>
        <v>8.3333333333333315E-2</v>
      </c>
      <c r="AA220" s="171">
        <f xml:space="preserve"> Предпосылки!AA331</f>
        <v>8.3333333333333259E-2</v>
      </c>
      <c r="AB220" s="171">
        <f xml:space="preserve"> Предпосылки!AB331</f>
        <v>0</v>
      </c>
      <c r="AC220" s="171">
        <f xml:space="preserve"> Предпосылки!AC331</f>
        <v>0</v>
      </c>
      <c r="AD220" s="171">
        <f xml:space="preserve"> Предпосылки!AD331</f>
        <v>0</v>
      </c>
      <c r="AE220" s="171">
        <f xml:space="preserve"> Предпосылки!AE331</f>
        <v>0</v>
      </c>
      <c r="AF220" s="171">
        <f xml:space="preserve"> Предпосылки!AF331</f>
        <v>0</v>
      </c>
      <c r="AG220" s="171">
        <f xml:space="preserve"> Предпосылки!AG331</f>
        <v>0</v>
      </c>
      <c r="AH220" s="171">
        <f xml:space="preserve"> Предпосылки!AH331</f>
        <v>0</v>
      </c>
      <c r="AI220" s="171">
        <f xml:space="preserve"> Предпосылки!AI331</f>
        <v>0</v>
      </c>
      <c r="AJ220" s="171">
        <f xml:space="preserve"> Предпосылки!AJ331</f>
        <v>0</v>
      </c>
      <c r="AK220" s="171">
        <f xml:space="preserve"> Предпосылки!AK331</f>
        <v>0</v>
      </c>
      <c r="AL220" s="171">
        <f xml:space="preserve"> Предпосылки!AL331</f>
        <v>0</v>
      </c>
      <c r="AM220" s="171">
        <f xml:space="preserve"> Предпосылки!AM331</f>
        <v>0</v>
      </c>
      <c r="AN220" s="171">
        <f xml:space="preserve"> Предпосылки!AN331</f>
        <v>0</v>
      </c>
      <c r="AO220" s="171">
        <f xml:space="preserve"> Предпосылки!AO331</f>
        <v>0</v>
      </c>
      <c r="AP220" s="171">
        <f xml:space="preserve"> Предпосылки!AP331</f>
        <v>0</v>
      </c>
      <c r="AQ220" s="171">
        <f xml:space="preserve"> Предпосылки!AQ331</f>
        <v>0</v>
      </c>
      <c r="AR220" s="171">
        <f xml:space="preserve"> Предпосылки!AR331</f>
        <v>0</v>
      </c>
      <c r="AS220" s="171">
        <f xml:space="preserve"> Предпосылки!AS331</f>
        <v>0</v>
      </c>
      <c r="AT220" s="171">
        <f xml:space="preserve"> Предпосылки!AT331</f>
        <v>0</v>
      </c>
      <c r="AU220" s="171">
        <f xml:space="preserve"> Предпосылки!AU331</f>
        <v>0</v>
      </c>
      <c r="AV220" s="171">
        <f xml:space="preserve"> Предпосылки!AV331</f>
        <v>0</v>
      </c>
      <c r="AW220" s="171">
        <f xml:space="preserve"> Предпосылки!AW331</f>
        <v>0</v>
      </c>
      <c r="AX220" s="171">
        <f xml:space="preserve"> Предпосылки!AX331</f>
        <v>0</v>
      </c>
      <c r="AY220" s="171">
        <f xml:space="preserve"> Предпосылки!AY331</f>
        <v>0</v>
      </c>
      <c r="AZ220" s="171">
        <f xml:space="preserve"> Предпосылки!AZ331</f>
        <v>0</v>
      </c>
      <c r="BA220" s="171">
        <f xml:space="preserve"> Предпосылки!BA331</f>
        <v>0</v>
      </c>
      <c r="BB220" s="171">
        <f xml:space="preserve"> Предпосылки!BB331</f>
        <v>0</v>
      </c>
      <c r="BC220" s="171">
        <f xml:space="preserve"> Предпосылки!BC331</f>
        <v>0</v>
      </c>
      <c r="BD220" s="171">
        <f xml:space="preserve"> Предпосылки!BD331</f>
        <v>0</v>
      </c>
      <c r="BE220" s="171">
        <f xml:space="preserve"> Предпосылки!BE331</f>
        <v>0</v>
      </c>
      <c r="BF220" s="171">
        <f xml:space="preserve"> Предпосылки!BF331</f>
        <v>0</v>
      </c>
      <c r="BG220" s="171">
        <f xml:space="preserve"> Предпосылки!BG331</f>
        <v>0</v>
      </c>
      <c r="BH220" s="171">
        <f xml:space="preserve"> Предпосылки!BH331</f>
        <v>0</v>
      </c>
      <c r="BI220" s="171">
        <f xml:space="preserve"> Предпосылки!BI331</f>
        <v>0</v>
      </c>
      <c r="BJ220" s="171">
        <f xml:space="preserve"> Предпосылки!BJ331</f>
        <v>0</v>
      </c>
      <c r="BK220" s="171">
        <f xml:space="preserve"> Предпосылки!BK331</f>
        <v>0</v>
      </c>
      <c r="BL220" s="171">
        <f xml:space="preserve"> Предпосылки!BL331</f>
        <v>0</v>
      </c>
      <c r="BM220" s="171">
        <f xml:space="preserve"> Предпосылки!BM331</f>
        <v>0</v>
      </c>
      <c r="BN220" s="171">
        <f xml:space="preserve"> Предпосылки!BN331</f>
        <v>0</v>
      </c>
      <c r="BO220" s="171">
        <f xml:space="preserve"> Предпосылки!BO331</f>
        <v>0</v>
      </c>
      <c r="BP220" s="171">
        <f xml:space="preserve"> Предпосылки!BP331</f>
        <v>0</v>
      </c>
      <c r="BQ220" s="171">
        <f xml:space="preserve"> Предпосылки!BQ331</f>
        <v>0</v>
      </c>
      <c r="BR220" s="171">
        <f xml:space="preserve"> Предпосылки!BR331</f>
        <v>0</v>
      </c>
      <c r="BS220" s="171">
        <f xml:space="preserve"> Предпосылки!BS331</f>
        <v>0</v>
      </c>
      <c r="BT220" s="171">
        <f xml:space="preserve"> Предпосылки!BT331</f>
        <v>0</v>
      </c>
      <c r="BU220" s="171">
        <f xml:space="preserve"> Предпосылки!BU331</f>
        <v>0</v>
      </c>
      <c r="BV220" s="171">
        <f xml:space="preserve"> Предпосылки!BV331</f>
        <v>0</v>
      </c>
      <c r="BW220" s="171">
        <f xml:space="preserve"> Предпосылки!BW331</f>
        <v>0</v>
      </c>
      <c r="BX220" s="171">
        <f xml:space="preserve"> Предпосылки!BX331</f>
        <v>0</v>
      </c>
      <c r="BY220" s="171">
        <f xml:space="preserve"> Предпосылки!BY331</f>
        <v>0</v>
      </c>
      <c r="BZ220" s="171">
        <f xml:space="preserve"> Предпосылки!BZ331</f>
        <v>0</v>
      </c>
      <c r="CA220" s="171">
        <f xml:space="preserve"> Предпосылки!CA331</f>
        <v>0</v>
      </c>
      <c r="CB220" s="171">
        <f xml:space="preserve"> Предпосылки!CB331</f>
        <v>0</v>
      </c>
      <c r="CC220" s="171">
        <f xml:space="preserve"> Предпосылки!CC331</f>
        <v>0</v>
      </c>
      <c r="CD220" s="171">
        <f xml:space="preserve"> Предпосылки!CD331</f>
        <v>0</v>
      </c>
      <c r="CE220" s="171">
        <f xml:space="preserve"> Предпосылки!CE331</f>
        <v>0</v>
      </c>
      <c r="CF220" s="171">
        <f xml:space="preserve"> Предпосылки!CF331</f>
        <v>0</v>
      </c>
      <c r="CG220" s="171">
        <f xml:space="preserve"> Предпосылки!CG331</f>
        <v>0</v>
      </c>
      <c r="CH220" s="171">
        <f xml:space="preserve"> Предпосылки!CH331</f>
        <v>0</v>
      </c>
      <c r="CI220" s="171">
        <f xml:space="preserve"> Предпосылки!CI331</f>
        <v>0</v>
      </c>
      <c r="CJ220" s="171">
        <f xml:space="preserve"> Предпосылки!CJ331</f>
        <v>0</v>
      </c>
      <c r="CK220" s="171">
        <f xml:space="preserve"> Предпосылки!CK331</f>
        <v>0</v>
      </c>
      <c r="CL220" s="171">
        <f xml:space="preserve"> Предпосылки!CL331</f>
        <v>0</v>
      </c>
      <c r="CM220" s="171">
        <f xml:space="preserve"> Предпосылки!CM331</f>
        <v>0</v>
      </c>
      <c r="CN220" s="171">
        <f xml:space="preserve"> Предпосылки!CN331</f>
        <v>0</v>
      </c>
      <c r="CO220" s="171">
        <f xml:space="preserve"> Предпосылки!CO331</f>
        <v>0</v>
      </c>
    </row>
    <row r="221" spans="1:93">
      <c r="A221" s="77"/>
      <c r="B221" s="168"/>
      <c r="C221" s="17" t="s">
        <v>824</v>
      </c>
      <c r="D221" s="10"/>
      <c r="E221" s="232">
        <f xml:space="preserve"> Предпосылки!E319</f>
        <v>0.01</v>
      </c>
      <c r="F221" s="11"/>
      <c r="G221" s="11" t="s">
        <v>627</v>
      </c>
      <c r="H221" s="10"/>
      <c r="I221" s="10"/>
      <c r="J221" s="10"/>
      <c r="K221" s="1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  <c r="Z221" s="170"/>
      <c r="AA221" s="170"/>
      <c r="AB221" s="170"/>
      <c r="AC221" s="170"/>
      <c r="AD221" s="170"/>
      <c r="AE221" s="170"/>
      <c r="AF221" s="170"/>
      <c r="AG221" s="170"/>
      <c r="AH221" s="170"/>
      <c r="AI221" s="170"/>
      <c r="AJ221" s="170"/>
      <c r="AK221" s="170"/>
      <c r="AL221" s="170"/>
      <c r="AM221" s="170"/>
      <c r="AN221" s="170"/>
      <c r="AO221" s="170"/>
      <c r="AP221" s="170"/>
      <c r="AQ221" s="170"/>
      <c r="AR221" s="170"/>
      <c r="AS221" s="170"/>
      <c r="AT221" s="170"/>
      <c r="AU221" s="170"/>
      <c r="AV221" s="170"/>
      <c r="AW221" s="170"/>
      <c r="AX221" s="170"/>
      <c r="AY221" s="170"/>
      <c r="AZ221" s="170"/>
      <c r="BA221" s="170"/>
      <c r="BB221" s="170"/>
      <c r="BC221" s="170"/>
      <c r="BD221" s="170"/>
      <c r="BE221" s="170"/>
      <c r="BF221" s="170"/>
      <c r="BG221" s="170"/>
      <c r="BH221" s="170"/>
      <c r="BI221" s="170"/>
      <c r="BJ221" s="170"/>
      <c r="BK221" s="170"/>
      <c r="BL221" s="170"/>
      <c r="BM221" s="170"/>
      <c r="BN221" s="170"/>
      <c r="BO221" s="170"/>
      <c r="BP221" s="170"/>
      <c r="BQ221" s="170"/>
      <c r="BR221" s="170"/>
      <c r="BS221" s="170"/>
      <c r="BT221" s="170"/>
      <c r="BU221" s="170"/>
      <c r="BV221" s="170"/>
      <c r="BW221" s="170"/>
      <c r="BX221" s="170"/>
      <c r="BY221" s="170"/>
      <c r="BZ221" s="170"/>
      <c r="CA221" s="170"/>
      <c r="CB221" s="170"/>
      <c r="CC221" s="170"/>
      <c r="CD221" s="170"/>
      <c r="CE221" s="170"/>
      <c r="CF221" s="170"/>
      <c r="CG221" s="170"/>
      <c r="CH221" s="170"/>
      <c r="CI221" s="170"/>
      <c r="CJ221" s="170"/>
      <c r="CK221" s="170"/>
      <c r="CL221" s="170"/>
      <c r="CM221" s="170"/>
      <c r="CN221" s="170"/>
      <c r="CO221" s="170"/>
    </row>
    <row r="222" spans="1:93">
      <c r="A222" s="77"/>
      <c r="B222" s="168"/>
      <c r="C222" s="169"/>
      <c r="D222" s="10"/>
      <c r="E222" s="62"/>
      <c r="F222" s="11"/>
      <c r="G222" s="11"/>
      <c r="H222" s="10"/>
      <c r="I222" s="10"/>
      <c r="J222" s="10"/>
      <c r="K222" s="1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  <c r="Z222" s="170"/>
      <c r="AA222" s="170"/>
      <c r="AB222" s="170"/>
      <c r="AC222" s="170"/>
      <c r="AD222" s="170"/>
      <c r="AE222" s="170"/>
      <c r="AF222" s="170"/>
      <c r="AG222" s="170"/>
      <c r="AH222" s="170"/>
      <c r="AI222" s="170"/>
      <c r="AJ222" s="170"/>
      <c r="AK222" s="170"/>
      <c r="AL222" s="170"/>
      <c r="AM222" s="170"/>
      <c r="AN222" s="170"/>
      <c r="AO222" s="170"/>
      <c r="AP222" s="170"/>
      <c r="AQ222" s="170"/>
      <c r="AR222" s="170"/>
      <c r="AS222" s="170"/>
      <c r="AT222" s="170"/>
      <c r="AU222" s="170"/>
      <c r="AV222" s="170"/>
      <c r="AW222" s="170"/>
      <c r="AX222" s="170"/>
      <c r="AY222" s="170"/>
      <c r="AZ222" s="170"/>
      <c r="BA222" s="170"/>
      <c r="BB222" s="170"/>
      <c r="BC222" s="170"/>
      <c r="BD222" s="170"/>
      <c r="BE222" s="170"/>
      <c r="BF222" s="170"/>
      <c r="BG222" s="170"/>
      <c r="BH222" s="170"/>
      <c r="BI222" s="170"/>
      <c r="BJ222" s="170"/>
      <c r="BK222" s="170"/>
      <c r="BL222" s="170"/>
      <c r="BM222" s="170"/>
      <c r="BN222" s="170"/>
      <c r="BO222" s="170"/>
      <c r="BP222" s="170"/>
      <c r="BQ222" s="170"/>
      <c r="BR222" s="170"/>
      <c r="BS222" s="170"/>
      <c r="BT222" s="170"/>
      <c r="BU222" s="170"/>
      <c r="BV222" s="170"/>
      <c r="BW222" s="170"/>
      <c r="BX222" s="170"/>
      <c r="BY222" s="170"/>
      <c r="BZ222" s="170"/>
      <c r="CA222" s="170"/>
      <c r="CB222" s="170"/>
      <c r="CC222" s="170"/>
      <c r="CD222" s="170"/>
      <c r="CE222" s="170"/>
      <c r="CF222" s="170"/>
      <c r="CG222" s="170"/>
      <c r="CH222" s="170"/>
      <c r="CI222" s="170"/>
      <c r="CJ222" s="170"/>
      <c r="CK222" s="170"/>
      <c r="CL222" s="170"/>
      <c r="CM222" s="170"/>
      <c r="CN222" s="170"/>
      <c r="CO222" s="170"/>
    </row>
    <row r="223" spans="1:93">
      <c r="A223" s="77"/>
      <c r="B223" s="168"/>
      <c r="C223" s="17" t="s">
        <v>632</v>
      </c>
      <c r="D223" s="10"/>
      <c r="E223" s="62"/>
      <c r="F223" s="11"/>
      <c r="G223" s="11" t="str">
        <f>Monetary_Unit</f>
        <v>тыс. руб.</v>
      </c>
      <c r="H223" s="10"/>
      <c r="I223" s="23">
        <f>SUM(L223:CO223)</f>
        <v>0</v>
      </c>
      <c r="J223" s="10"/>
      <c r="K223" s="10"/>
      <c r="L223" s="10">
        <f xml:space="preserve"> $E218 * L218</f>
        <v>0</v>
      </c>
      <c r="M223" s="10">
        <f t="shared" ref="M223:BX224" si="1247" xml:space="preserve"> $E218 * M218</f>
        <v>0</v>
      </c>
      <c r="N223" s="10">
        <f t="shared" si="1247"/>
        <v>0</v>
      </c>
      <c r="O223" s="10">
        <f t="shared" si="1247"/>
        <v>0</v>
      </c>
      <c r="P223" s="10">
        <f t="shared" si="1247"/>
        <v>0</v>
      </c>
      <c r="Q223" s="10">
        <f t="shared" si="1247"/>
        <v>0</v>
      </c>
      <c r="R223" s="10">
        <f t="shared" si="1247"/>
        <v>0</v>
      </c>
      <c r="S223" s="10">
        <f t="shared" si="1247"/>
        <v>0</v>
      </c>
      <c r="T223" s="10">
        <f t="shared" si="1247"/>
        <v>0</v>
      </c>
      <c r="U223" s="10">
        <f t="shared" si="1247"/>
        <v>0</v>
      </c>
      <c r="V223" s="10">
        <f t="shared" si="1247"/>
        <v>0</v>
      </c>
      <c r="W223" s="10">
        <f t="shared" si="1247"/>
        <v>0</v>
      </c>
      <c r="X223" s="10">
        <f t="shared" si="1247"/>
        <v>0</v>
      </c>
      <c r="Y223" s="10">
        <f t="shared" si="1247"/>
        <v>0</v>
      </c>
      <c r="Z223" s="10">
        <f t="shared" si="1247"/>
        <v>0</v>
      </c>
      <c r="AA223" s="10">
        <f t="shared" si="1247"/>
        <v>0</v>
      </c>
      <c r="AB223" s="10">
        <f t="shared" si="1247"/>
        <v>0</v>
      </c>
      <c r="AC223" s="10">
        <f t="shared" si="1247"/>
        <v>0</v>
      </c>
      <c r="AD223" s="10">
        <f t="shared" si="1247"/>
        <v>0</v>
      </c>
      <c r="AE223" s="10">
        <f t="shared" si="1247"/>
        <v>0</v>
      </c>
      <c r="AF223" s="10">
        <f t="shared" si="1247"/>
        <v>0</v>
      </c>
      <c r="AG223" s="10">
        <f t="shared" si="1247"/>
        <v>0</v>
      </c>
      <c r="AH223" s="10">
        <f t="shared" si="1247"/>
        <v>0</v>
      </c>
      <c r="AI223" s="10">
        <f t="shared" si="1247"/>
        <v>0</v>
      </c>
      <c r="AJ223" s="10">
        <f t="shared" si="1247"/>
        <v>0</v>
      </c>
      <c r="AK223" s="10">
        <f t="shared" si="1247"/>
        <v>0</v>
      </c>
      <c r="AL223" s="10">
        <f t="shared" si="1247"/>
        <v>0</v>
      </c>
      <c r="AM223" s="10">
        <f t="shared" si="1247"/>
        <v>0</v>
      </c>
      <c r="AN223" s="10">
        <f t="shared" si="1247"/>
        <v>0</v>
      </c>
      <c r="AO223" s="10">
        <f t="shared" si="1247"/>
        <v>0</v>
      </c>
      <c r="AP223" s="10">
        <f t="shared" si="1247"/>
        <v>0</v>
      </c>
      <c r="AQ223" s="10">
        <f t="shared" si="1247"/>
        <v>0</v>
      </c>
      <c r="AR223" s="10">
        <f t="shared" si="1247"/>
        <v>0</v>
      </c>
      <c r="AS223" s="10">
        <f t="shared" si="1247"/>
        <v>0</v>
      </c>
      <c r="AT223" s="10">
        <f t="shared" si="1247"/>
        <v>0</v>
      </c>
      <c r="AU223" s="10">
        <f t="shared" si="1247"/>
        <v>0</v>
      </c>
      <c r="AV223" s="10">
        <f t="shared" si="1247"/>
        <v>0</v>
      </c>
      <c r="AW223" s="10">
        <f t="shared" si="1247"/>
        <v>0</v>
      </c>
      <c r="AX223" s="10">
        <f t="shared" si="1247"/>
        <v>0</v>
      </c>
      <c r="AY223" s="10">
        <f t="shared" si="1247"/>
        <v>0</v>
      </c>
      <c r="AZ223" s="10">
        <f t="shared" si="1247"/>
        <v>0</v>
      </c>
      <c r="BA223" s="10">
        <f t="shared" si="1247"/>
        <v>0</v>
      </c>
      <c r="BB223" s="10">
        <f t="shared" si="1247"/>
        <v>0</v>
      </c>
      <c r="BC223" s="10">
        <f t="shared" si="1247"/>
        <v>0</v>
      </c>
      <c r="BD223" s="10">
        <f t="shared" si="1247"/>
        <v>0</v>
      </c>
      <c r="BE223" s="10">
        <f t="shared" si="1247"/>
        <v>0</v>
      </c>
      <c r="BF223" s="10">
        <f t="shared" si="1247"/>
        <v>0</v>
      </c>
      <c r="BG223" s="10">
        <f t="shared" si="1247"/>
        <v>0</v>
      </c>
      <c r="BH223" s="10">
        <f t="shared" si="1247"/>
        <v>0</v>
      </c>
      <c r="BI223" s="10">
        <f t="shared" si="1247"/>
        <v>0</v>
      </c>
      <c r="BJ223" s="10">
        <f t="shared" si="1247"/>
        <v>0</v>
      </c>
      <c r="BK223" s="10">
        <f t="shared" si="1247"/>
        <v>0</v>
      </c>
      <c r="BL223" s="10">
        <f t="shared" si="1247"/>
        <v>0</v>
      </c>
      <c r="BM223" s="10">
        <f t="shared" si="1247"/>
        <v>0</v>
      </c>
      <c r="BN223" s="10">
        <f t="shared" si="1247"/>
        <v>0</v>
      </c>
      <c r="BO223" s="10">
        <f t="shared" si="1247"/>
        <v>0</v>
      </c>
      <c r="BP223" s="10">
        <f t="shared" si="1247"/>
        <v>0</v>
      </c>
      <c r="BQ223" s="10">
        <f t="shared" si="1247"/>
        <v>0</v>
      </c>
      <c r="BR223" s="10">
        <f t="shared" si="1247"/>
        <v>0</v>
      </c>
      <c r="BS223" s="10">
        <f t="shared" si="1247"/>
        <v>0</v>
      </c>
      <c r="BT223" s="10">
        <f t="shared" si="1247"/>
        <v>0</v>
      </c>
      <c r="BU223" s="10">
        <f t="shared" si="1247"/>
        <v>0</v>
      </c>
      <c r="BV223" s="10">
        <f t="shared" si="1247"/>
        <v>0</v>
      </c>
      <c r="BW223" s="10">
        <f t="shared" si="1247"/>
        <v>0</v>
      </c>
      <c r="BX223" s="10">
        <f t="shared" si="1247"/>
        <v>0</v>
      </c>
      <c r="BY223" s="10">
        <f t="shared" ref="BY223:CO225" si="1248" xml:space="preserve"> $E218 * BY218</f>
        <v>0</v>
      </c>
      <c r="BZ223" s="10">
        <f t="shared" si="1248"/>
        <v>0</v>
      </c>
      <c r="CA223" s="10">
        <f t="shared" si="1248"/>
        <v>0</v>
      </c>
      <c r="CB223" s="10">
        <f t="shared" si="1248"/>
        <v>0</v>
      </c>
      <c r="CC223" s="10">
        <f t="shared" si="1248"/>
        <v>0</v>
      </c>
      <c r="CD223" s="10">
        <f t="shared" si="1248"/>
        <v>0</v>
      </c>
      <c r="CE223" s="10">
        <f t="shared" si="1248"/>
        <v>0</v>
      </c>
      <c r="CF223" s="10">
        <f t="shared" si="1248"/>
        <v>0</v>
      </c>
      <c r="CG223" s="10">
        <f t="shared" si="1248"/>
        <v>0</v>
      </c>
      <c r="CH223" s="10">
        <f t="shared" si="1248"/>
        <v>0</v>
      </c>
      <c r="CI223" s="10">
        <f t="shared" si="1248"/>
        <v>0</v>
      </c>
      <c r="CJ223" s="10">
        <f t="shared" si="1248"/>
        <v>0</v>
      </c>
      <c r="CK223" s="10">
        <f t="shared" si="1248"/>
        <v>0</v>
      </c>
      <c r="CL223" s="10">
        <f t="shared" si="1248"/>
        <v>0</v>
      </c>
      <c r="CM223" s="10">
        <f t="shared" si="1248"/>
        <v>0</v>
      </c>
      <c r="CN223" s="10">
        <f t="shared" si="1248"/>
        <v>0</v>
      </c>
      <c r="CO223" s="10">
        <f t="shared" si="1248"/>
        <v>0</v>
      </c>
    </row>
    <row r="224" spans="1:93">
      <c r="A224" s="77"/>
      <c r="B224" s="168"/>
      <c r="C224" s="17" t="s">
        <v>634</v>
      </c>
      <c r="D224" s="10"/>
      <c r="E224" s="62"/>
      <c r="F224" s="11"/>
      <c r="G224" s="11" t="str">
        <f>Monetary_Unit</f>
        <v>тыс. руб.</v>
      </c>
      <c r="H224" s="10"/>
      <c r="I224" s="23">
        <f>SUM(L224:CO224)</f>
        <v>0</v>
      </c>
      <c r="J224" s="10"/>
      <c r="K224" s="10"/>
      <c r="L224" s="10">
        <f t="shared" ref="L224:AA225" si="1249" xml:space="preserve"> $E219 * L219</f>
        <v>0</v>
      </c>
      <c r="M224" s="10">
        <f t="shared" si="1249"/>
        <v>0</v>
      </c>
      <c r="N224" s="10">
        <f t="shared" si="1249"/>
        <v>0</v>
      </c>
      <c r="O224" s="10">
        <f t="shared" si="1249"/>
        <v>0</v>
      </c>
      <c r="P224" s="10">
        <f t="shared" si="1249"/>
        <v>0</v>
      </c>
      <c r="Q224" s="10">
        <f t="shared" si="1249"/>
        <v>0</v>
      </c>
      <c r="R224" s="10">
        <f t="shared" si="1249"/>
        <v>0</v>
      </c>
      <c r="S224" s="10">
        <f t="shared" si="1249"/>
        <v>0</v>
      </c>
      <c r="T224" s="10">
        <f t="shared" si="1249"/>
        <v>0</v>
      </c>
      <c r="U224" s="10">
        <f t="shared" si="1249"/>
        <v>0</v>
      </c>
      <c r="V224" s="10">
        <f t="shared" si="1249"/>
        <v>0</v>
      </c>
      <c r="W224" s="10">
        <f t="shared" si="1249"/>
        <v>0</v>
      </c>
      <c r="X224" s="10">
        <f t="shared" si="1249"/>
        <v>0</v>
      </c>
      <c r="Y224" s="10">
        <f t="shared" si="1249"/>
        <v>0</v>
      </c>
      <c r="Z224" s="10">
        <f t="shared" si="1249"/>
        <v>0</v>
      </c>
      <c r="AA224" s="10">
        <f t="shared" si="1249"/>
        <v>0</v>
      </c>
      <c r="AB224" s="10">
        <f t="shared" si="1247"/>
        <v>0</v>
      </c>
      <c r="AC224" s="10">
        <f t="shared" si="1247"/>
        <v>0</v>
      </c>
      <c r="AD224" s="10">
        <f t="shared" si="1247"/>
        <v>0</v>
      </c>
      <c r="AE224" s="10">
        <f t="shared" si="1247"/>
        <v>0</v>
      </c>
      <c r="AF224" s="10">
        <f t="shared" si="1247"/>
        <v>0</v>
      </c>
      <c r="AG224" s="10">
        <f t="shared" si="1247"/>
        <v>0</v>
      </c>
      <c r="AH224" s="10">
        <f t="shared" si="1247"/>
        <v>0</v>
      </c>
      <c r="AI224" s="10">
        <f t="shared" si="1247"/>
        <v>0</v>
      </c>
      <c r="AJ224" s="10">
        <f t="shared" si="1247"/>
        <v>0</v>
      </c>
      <c r="AK224" s="10">
        <f t="shared" si="1247"/>
        <v>0</v>
      </c>
      <c r="AL224" s="10">
        <f t="shared" si="1247"/>
        <v>0</v>
      </c>
      <c r="AM224" s="10">
        <f t="shared" si="1247"/>
        <v>0</v>
      </c>
      <c r="AN224" s="10">
        <f t="shared" si="1247"/>
        <v>0</v>
      </c>
      <c r="AO224" s="10">
        <f t="shared" si="1247"/>
        <v>0</v>
      </c>
      <c r="AP224" s="10">
        <f t="shared" si="1247"/>
        <v>0</v>
      </c>
      <c r="AQ224" s="10">
        <f t="shared" si="1247"/>
        <v>0</v>
      </c>
      <c r="AR224" s="10">
        <f t="shared" si="1247"/>
        <v>0</v>
      </c>
      <c r="AS224" s="10">
        <f t="shared" si="1247"/>
        <v>0</v>
      </c>
      <c r="AT224" s="10">
        <f t="shared" si="1247"/>
        <v>0</v>
      </c>
      <c r="AU224" s="10">
        <f t="shared" si="1247"/>
        <v>0</v>
      </c>
      <c r="AV224" s="10">
        <f t="shared" si="1247"/>
        <v>0</v>
      </c>
      <c r="AW224" s="10">
        <f t="shared" si="1247"/>
        <v>0</v>
      </c>
      <c r="AX224" s="10">
        <f t="shared" si="1247"/>
        <v>0</v>
      </c>
      <c r="AY224" s="10">
        <f t="shared" si="1247"/>
        <v>0</v>
      </c>
      <c r="AZ224" s="10">
        <f t="shared" si="1247"/>
        <v>0</v>
      </c>
      <c r="BA224" s="10">
        <f t="shared" si="1247"/>
        <v>0</v>
      </c>
      <c r="BB224" s="10">
        <f t="shared" si="1247"/>
        <v>0</v>
      </c>
      <c r="BC224" s="10">
        <f t="shared" si="1247"/>
        <v>0</v>
      </c>
      <c r="BD224" s="10">
        <f t="shared" si="1247"/>
        <v>0</v>
      </c>
      <c r="BE224" s="10">
        <f t="shared" si="1247"/>
        <v>0</v>
      </c>
      <c r="BF224" s="10">
        <f t="shared" si="1247"/>
        <v>0</v>
      </c>
      <c r="BG224" s="10">
        <f t="shared" si="1247"/>
        <v>0</v>
      </c>
      <c r="BH224" s="10">
        <f t="shared" si="1247"/>
        <v>0</v>
      </c>
      <c r="BI224" s="10">
        <f t="shared" si="1247"/>
        <v>0</v>
      </c>
      <c r="BJ224" s="10">
        <f t="shared" si="1247"/>
        <v>0</v>
      </c>
      <c r="BK224" s="10">
        <f t="shared" si="1247"/>
        <v>0</v>
      </c>
      <c r="BL224" s="10">
        <f t="shared" si="1247"/>
        <v>0</v>
      </c>
      <c r="BM224" s="10">
        <f t="shared" si="1247"/>
        <v>0</v>
      </c>
      <c r="BN224" s="10">
        <f t="shared" si="1247"/>
        <v>0</v>
      </c>
      <c r="BO224" s="10">
        <f t="shared" si="1247"/>
        <v>0</v>
      </c>
      <c r="BP224" s="10">
        <f t="shared" si="1247"/>
        <v>0</v>
      </c>
      <c r="BQ224" s="10">
        <f t="shared" si="1247"/>
        <v>0</v>
      </c>
      <c r="BR224" s="10">
        <f t="shared" si="1247"/>
        <v>0</v>
      </c>
      <c r="BS224" s="10">
        <f t="shared" si="1247"/>
        <v>0</v>
      </c>
      <c r="BT224" s="10">
        <f t="shared" si="1247"/>
        <v>0</v>
      </c>
      <c r="BU224" s="10">
        <f t="shared" si="1247"/>
        <v>0</v>
      </c>
      <c r="BV224" s="10">
        <f t="shared" si="1247"/>
        <v>0</v>
      </c>
      <c r="BW224" s="10">
        <f t="shared" si="1247"/>
        <v>0</v>
      </c>
      <c r="BX224" s="10">
        <f t="shared" si="1247"/>
        <v>0</v>
      </c>
      <c r="BY224" s="10">
        <f t="shared" si="1248"/>
        <v>0</v>
      </c>
      <c r="BZ224" s="10">
        <f t="shared" si="1248"/>
        <v>0</v>
      </c>
      <c r="CA224" s="10">
        <f t="shared" si="1248"/>
        <v>0</v>
      </c>
      <c r="CB224" s="10">
        <f t="shared" si="1248"/>
        <v>0</v>
      </c>
      <c r="CC224" s="10">
        <f t="shared" si="1248"/>
        <v>0</v>
      </c>
      <c r="CD224" s="10">
        <f t="shared" si="1248"/>
        <v>0</v>
      </c>
      <c r="CE224" s="10">
        <f t="shared" si="1248"/>
        <v>0</v>
      </c>
      <c r="CF224" s="10">
        <f t="shared" si="1248"/>
        <v>0</v>
      </c>
      <c r="CG224" s="10">
        <f t="shared" si="1248"/>
        <v>0</v>
      </c>
      <c r="CH224" s="10">
        <f t="shared" si="1248"/>
        <v>0</v>
      </c>
      <c r="CI224" s="10">
        <f t="shared" si="1248"/>
        <v>0</v>
      </c>
      <c r="CJ224" s="10">
        <f t="shared" si="1248"/>
        <v>0</v>
      </c>
      <c r="CK224" s="10">
        <f t="shared" si="1248"/>
        <v>0</v>
      </c>
      <c r="CL224" s="10">
        <f t="shared" si="1248"/>
        <v>0</v>
      </c>
      <c r="CM224" s="10">
        <f t="shared" si="1248"/>
        <v>0</v>
      </c>
      <c r="CN224" s="10">
        <f t="shared" si="1248"/>
        <v>0</v>
      </c>
      <c r="CO224" s="10">
        <f t="shared" si="1248"/>
        <v>0</v>
      </c>
    </row>
    <row r="225" spans="1:93">
      <c r="A225" s="77"/>
      <c r="B225" s="168"/>
      <c r="C225" s="17" t="s">
        <v>848</v>
      </c>
      <c r="D225" s="10"/>
      <c r="E225" s="62"/>
      <c r="F225" s="11"/>
      <c r="G225" s="11" t="str">
        <f>Monetary_Unit</f>
        <v>тыс. руб.</v>
      </c>
      <c r="H225" s="10"/>
      <c r="I225" s="23">
        <f>SUM(L225:CO225)</f>
        <v>0</v>
      </c>
      <c r="J225" s="10"/>
      <c r="K225" s="10"/>
      <c r="L225" s="10">
        <f t="shared" si="1249"/>
        <v>0</v>
      </c>
      <c r="M225" s="10">
        <f t="shared" ref="M225:BX225" si="1250" xml:space="preserve"> $E220 * M220</f>
        <v>0</v>
      </c>
      <c r="N225" s="10">
        <f t="shared" si="1250"/>
        <v>0</v>
      </c>
      <c r="O225" s="10">
        <f t="shared" si="1250"/>
        <v>0</v>
      </c>
      <c r="P225" s="10">
        <f t="shared" si="1250"/>
        <v>0</v>
      </c>
      <c r="Q225" s="10">
        <f t="shared" si="1250"/>
        <v>0</v>
      </c>
      <c r="R225" s="10">
        <f t="shared" si="1250"/>
        <v>0</v>
      </c>
      <c r="S225" s="10">
        <f t="shared" si="1250"/>
        <v>0</v>
      </c>
      <c r="T225" s="10">
        <f t="shared" si="1250"/>
        <v>0</v>
      </c>
      <c r="U225" s="10">
        <f t="shared" si="1250"/>
        <v>0</v>
      </c>
      <c r="V225" s="10">
        <f t="shared" si="1250"/>
        <v>0</v>
      </c>
      <c r="W225" s="10">
        <f t="shared" si="1250"/>
        <v>0</v>
      </c>
      <c r="X225" s="10">
        <f t="shared" si="1250"/>
        <v>0</v>
      </c>
      <c r="Y225" s="10">
        <f t="shared" si="1250"/>
        <v>0</v>
      </c>
      <c r="Z225" s="10">
        <f t="shared" si="1250"/>
        <v>0</v>
      </c>
      <c r="AA225" s="10">
        <f t="shared" si="1250"/>
        <v>0</v>
      </c>
      <c r="AB225" s="10">
        <f t="shared" si="1250"/>
        <v>0</v>
      </c>
      <c r="AC225" s="10">
        <f t="shared" si="1250"/>
        <v>0</v>
      </c>
      <c r="AD225" s="10">
        <f t="shared" si="1250"/>
        <v>0</v>
      </c>
      <c r="AE225" s="10">
        <f t="shared" si="1250"/>
        <v>0</v>
      </c>
      <c r="AF225" s="10">
        <f t="shared" si="1250"/>
        <v>0</v>
      </c>
      <c r="AG225" s="10">
        <f t="shared" si="1250"/>
        <v>0</v>
      </c>
      <c r="AH225" s="10">
        <f t="shared" si="1250"/>
        <v>0</v>
      </c>
      <c r="AI225" s="10">
        <f t="shared" si="1250"/>
        <v>0</v>
      </c>
      <c r="AJ225" s="10">
        <f t="shared" si="1250"/>
        <v>0</v>
      </c>
      <c r="AK225" s="10">
        <f t="shared" si="1250"/>
        <v>0</v>
      </c>
      <c r="AL225" s="10">
        <f t="shared" si="1250"/>
        <v>0</v>
      </c>
      <c r="AM225" s="10">
        <f t="shared" si="1250"/>
        <v>0</v>
      </c>
      <c r="AN225" s="10">
        <f t="shared" si="1250"/>
        <v>0</v>
      </c>
      <c r="AO225" s="10">
        <f t="shared" si="1250"/>
        <v>0</v>
      </c>
      <c r="AP225" s="10">
        <f t="shared" si="1250"/>
        <v>0</v>
      </c>
      <c r="AQ225" s="10">
        <f t="shared" si="1250"/>
        <v>0</v>
      </c>
      <c r="AR225" s="10">
        <f t="shared" si="1250"/>
        <v>0</v>
      </c>
      <c r="AS225" s="10">
        <f t="shared" si="1250"/>
        <v>0</v>
      </c>
      <c r="AT225" s="10">
        <f t="shared" si="1250"/>
        <v>0</v>
      </c>
      <c r="AU225" s="10">
        <f t="shared" si="1250"/>
        <v>0</v>
      </c>
      <c r="AV225" s="10">
        <f t="shared" si="1250"/>
        <v>0</v>
      </c>
      <c r="AW225" s="10">
        <f t="shared" si="1250"/>
        <v>0</v>
      </c>
      <c r="AX225" s="10">
        <f t="shared" si="1250"/>
        <v>0</v>
      </c>
      <c r="AY225" s="10">
        <f t="shared" si="1250"/>
        <v>0</v>
      </c>
      <c r="AZ225" s="10">
        <f t="shared" si="1250"/>
        <v>0</v>
      </c>
      <c r="BA225" s="10">
        <f t="shared" si="1250"/>
        <v>0</v>
      </c>
      <c r="BB225" s="10">
        <f t="shared" si="1250"/>
        <v>0</v>
      </c>
      <c r="BC225" s="10">
        <f t="shared" si="1250"/>
        <v>0</v>
      </c>
      <c r="BD225" s="10">
        <f t="shared" si="1250"/>
        <v>0</v>
      </c>
      <c r="BE225" s="10">
        <f t="shared" si="1250"/>
        <v>0</v>
      </c>
      <c r="BF225" s="10">
        <f t="shared" si="1250"/>
        <v>0</v>
      </c>
      <c r="BG225" s="10">
        <f t="shared" si="1250"/>
        <v>0</v>
      </c>
      <c r="BH225" s="10">
        <f t="shared" si="1250"/>
        <v>0</v>
      </c>
      <c r="BI225" s="10">
        <f t="shared" si="1250"/>
        <v>0</v>
      </c>
      <c r="BJ225" s="10">
        <f t="shared" si="1250"/>
        <v>0</v>
      </c>
      <c r="BK225" s="10">
        <f t="shared" si="1250"/>
        <v>0</v>
      </c>
      <c r="BL225" s="10">
        <f t="shared" si="1250"/>
        <v>0</v>
      </c>
      <c r="BM225" s="10">
        <f t="shared" si="1250"/>
        <v>0</v>
      </c>
      <c r="BN225" s="10">
        <f t="shared" si="1250"/>
        <v>0</v>
      </c>
      <c r="BO225" s="10">
        <f t="shared" si="1250"/>
        <v>0</v>
      </c>
      <c r="BP225" s="10">
        <f t="shared" si="1250"/>
        <v>0</v>
      </c>
      <c r="BQ225" s="10">
        <f t="shared" si="1250"/>
        <v>0</v>
      </c>
      <c r="BR225" s="10">
        <f t="shared" si="1250"/>
        <v>0</v>
      </c>
      <c r="BS225" s="10">
        <f t="shared" si="1250"/>
        <v>0</v>
      </c>
      <c r="BT225" s="10">
        <f t="shared" si="1250"/>
        <v>0</v>
      </c>
      <c r="BU225" s="10">
        <f t="shared" si="1250"/>
        <v>0</v>
      </c>
      <c r="BV225" s="10">
        <f t="shared" si="1250"/>
        <v>0</v>
      </c>
      <c r="BW225" s="10">
        <f t="shared" si="1250"/>
        <v>0</v>
      </c>
      <c r="BX225" s="10">
        <f t="shared" si="1250"/>
        <v>0</v>
      </c>
      <c r="BY225" s="10">
        <f t="shared" si="1248"/>
        <v>0</v>
      </c>
      <c r="BZ225" s="10">
        <f t="shared" si="1248"/>
        <v>0</v>
      </c>
      <c r="CA225" s="10">
        <f t="shared" si="1248"/>
        <v>0</v>
      </c>
      <c r="CB225" s="10">
        <f t="shared" si="1248"/>
        <v>0</v>
      </c>
      <c r="CC225" s="10">
        <f t="shared" si="1248"/>
        <v>0</v>
      </c>
      <c r="CD225" s="10">
        <f t="shared" si="1248"/>
        <v>0</v>
      </c>
      <c r="CE225" s="10">
        <f t="shared" si="1248"/>
        <v>0</v>
      </c>
      <c r="CF225" s="10">
        <f t="shared" si="1248"/>
        <v>0</v>
      </c>
      <c r="CG225" s="10">
        <f t="shared" si="1248"/>
        <v>0</v>
      </c>
      <c r="CH225" s="10">
        <f t="shared" si="1248"/>
        <v>0</v>
      </c>
      <c r="CI225" s="10">
        <f t="shared" si="1248"/>
        <v>0</v>
      </c>
      <c r="CJ225" s="10">
        <f t="shared" si="1248"/>
        <v>0</v>
      </c>
      <c r="CK225" s="10">
        <f t="shared" si="1248"/>
        <v>0</v>
      </c>
      <c r="CL225" s="10">
        <f t="shared" si="1248"/>
        <v>0</v>
      </c>
      <c r="CM225" s="10">
        <f t="shared" si="1248"/>
        <v>0</v>
      </c>
      <c r="CN225" s="10">
        <f t="shared" si="1248"/>
        <v>0</v>
      </c>
      <c r="CO225" s="10">
        <f t="shared" si="1248"/>
        <v>0</v>
      </c>
    </row>
    <row r="226" spans="1:93" ht="15" thickBot="1">
      <c r="A226" s="77"/>
      <c r="B226" s="168"/>
      <c r="C226" s="17" t="s">
        <v>824</v>
      </c>
      <c r="D226" s="10"/>
      <c r="E226" s="62"/>
      <c r="F226" s="11"/>
      <c r="G226" s="11" t="str">
        <f>Monetary_Unit</f>
        <v>тыс. руб.</v>
      </c>
      <c r="H226" s="10"/>
      <c r="I226" s="23">
        <f>SUM(L226:CO226)</f>
        <v>0</v>
      </c>
      <c r="J226" s="10"/>
      <c r="K226" s="10"/>
      <c r="L226" s="10">
        <f t="shared" ref="L226:R226" si="1251" xml:space="preserve"> L225 * $E$221</f>
        <v>0</v>
      </c>
      <c r="M226" s="10">
        <f t="shared" si="1251"/>
        <v>0</v>
      </c>
      <c r="N226" s="10">
        <f t="shared" si="1251"/>
        <v>0</v>
      </c>
      <c r="O226" s="10">
        <f t="shared" si="1251"/>
        <v>0</v>
      </c>
      <c r="P226" s="10">
        <f t="shared" si="1251"/>
        <v>0</v>
      </c>
      <c r="Q226" s="10">
        <f t="shared" si="1251"/>
        <v>0</v>
      </c>
      <c r="R226" s="10">
        <f t="shared" si="1251"/>
        <v>0</v>
      </c>
      <c r="S226" s="10">
        <f t="shared" ref="S226" si="1252" xml:space="preserve"> S225 * $E$221</f>
        <v>0</v>
      </c>
      <c r="T226" s="10">
        <f t="shared" ref="T226:CE226" si="1253" xml:space="preserve"> T225 * $E$221</f>
        <v>0</v>
      </c>
      <c r="U226" s="10">
        <f t="shared" si="1253"/>
        <v>0</v>
      </c>
      <c r="V226" s="10">
        <f t="shared" si="1253"/>
        <v>0</v>
      </c>
      <c r="W226" s="10">
        <f t="shared" si="1253"/>
        <v>0</v>
      </c>
      <c r="X226" s="10">
        <f t="shared" si="1253"/>
        <v>0</v>
      </c>
      <c r="Y226" s="10">
        <f t="shared" si="1253"/>
        <v>0</v>
      </c>
      <c r="Z226" s="10">
        <f t="shared" si="1253"/>
        <v>0</v>
      </c>
      <c r="AA226" s="10">
        <f t="shared" si="1253"/>
        <v>0</v>
      </c>
      <c r="AB226" s="10">
        <f t="shared" si="1253"/>
        <v>0</v>
      </c>
      <c r="AC226" s="10">
        <f t="shared" si="1253"/>
        <v>0</v>
      </c>
      <c r="AD226" s="10">
        <f t="shared" si="1253"/>
        <v>0</v>
      </c>
      <c r="AE226" s="10">
        <f t="shared" si="1253"/>
        <v>0</v>
      </c>
      <c r="AF226" s="10">
        <f t="shared" si="1253"/>
        <v>0</v>
      </c>
      <c r="AG226" s="10">
        <f t="shared" si="1253"/>
        <v>0</v>
      </c>
      <c r="AH226" s="10">
        <f t="shared" si="1253"/>
        <v>0</v>
      </c>
      <c r="AI226" s="10">
        <f t="shared" si="1253"/>
        <v>0</v>
      </c>
      <c r="AJ226" s="10">
        <f t="shared" si="1253"/>
        <v>0</v>
      </c>
      <c r="AK226" s="10">
        <f t="shared" si="1253"/>
        <v>0</v>
      </c>
      <c r="AL226" s="10">
        <f t="shared" si="1253"/>
        <v>0</v>
      </c>
      <c r="AM226" s="10">
        <f t="shared" si="1253"/>
        <v>0</v>
      </c>
      <c r="AN226" s="10">
        <f t="shared" si="1253"/>
        <v>0</v>
      </c>
      <c r="AO226" s="10">
        <f t="shared" si="1253"/>
        <v>0</v>
      </c>
      <c r="AP226" s="10">
        <f t="shared" si="1253"/>
        <v>0</v>
      </c>
      <c r="AQ226" s="10">
        <f t="shared" si="1253"/>
        <v>0</v>
      </c>
      <c r="AR226" s="10">
        <f t="shared" si="1253"/>
        <v>0</v>
      </c>
      <c r="AS226" s="10">
        <f t="shared" si="1253"/>
        <v>0</v>
      </c>
      <c r="AT226" s="10">
        <f t="shared" si="1253"/>
        <v>0</v>
      </c>
      <c r="AU226" s="10">
        <f t="shared" si="1253"/>
        <v>0</v>
      </c>
      <c r="AV226" s="10">
        <f t="shared" si="1253"/>
        <v>0</v>
      </c>
      <c r="AW226" s="10">
        <f t="shared" si="1253"/>
        <v>0</v>
      </c>
      <c r="AX226" s="10">
        <f t="shared" si="1253"/>
        <v>0</v>
      </c>
      <c r="AY226" s="10">
        <f t="shared" si="1253"/>
        <v>0</v>
      </c>
      <c r="AZ226" s="10">
        <f t="shared" si="1253"/>
        <v>0</v>
      </c>
      <c r="BA226" s="10">
        <f t="shared" si="1253"/>
        <v>0</v>
      </c>
      <c r="BB226" s="10">
        <f t="shared" si="1253"/>
        <v>0</v>
      </c>
      <c r="BC226" s="10">
        <f t="shared" si="1253"/>
        <v>0</v>
      </c>
      <c r="BD226" s="10">
        <f t="shared" si="1253"/>
        <v>0</v>
      </c>
      <c r="BE226" s="10">
        <f t="shared" si="1253"/>
        <v>0</v>
      </c>
      <c r="BF226" s="10">
        <f t="shared" si="1253"/>
        <v>0</v>
      </c>
      <c r="BG226" s="10">
        <f t="shared" si="1253"/>
        <v>0</v>
      </c>
      <c r="BH226" s="10">
        <f t="shared" si="1253"/>
        <v>0</v>
      </c>
      <c r="BI226" s="10">
        <f t="shared" si="1253"/>
        <v>0</v>
      </c>
      <c r="BJ226" s="10">
        <f t="shared" si="1253"/>
        <v>0</v>
      </c>
      <c r="BK226" s="10">
        <f t="shared" si="1253"/>
        <v>0</v>
      </c>
      <c r="BL226" s="10">
        <f t="shared" si="1253"/>
        <v>0</v>
      </c>
      <c r="BM226" s="10">
        <f t="shared" si="1253"/>
        <v>0</v>
      </c>
      <c r="BN226" s="10">
        <f t="shared" si="1253"/>
        <v>0</v>
      </c>
      <c r="BO226" s="10">
        <f t="shared" si="1253"/>
        <v>0</v>
      </c>
      <c r="BP226" s="10">
        <f t="shared" si="1253"/>
        <v>0</v>
      </c>
      <c r="BQ226" s="10">
        <f t="shared" si="1253"/>
        <v>0</v>
      </c>
      <c r="BR226" s="10">
        <f t="shared" si="1253"/>
        <v>0</v>
      </c>
      <c r="BS226" s="10">
        <f t="shared" si="1253"/>
        <v>0</v>
      </c>
      <c r="BT226" s="10">
        <f t="shared" si="1253"/>
        <v>0</v>
      </c>
      <c r="BU226" s="10">
        <f t="shared" si="1253"/>
        <v>0</v>
      </c>
      <c r="BV226" s="10">
        <f t="shared" si="1253"/>
        <v>0</v>
      </c>
      <c r="BW226" s="10">
        <f t="shared" si="1253"/>
        <v>0</v>
      </c>
      <c r="BX226" s="10">
        <f t="shared" si="1253"/>
        <v>0</v>
      </c>
      <c r="BY226" s="10">
        <f t="shared" si="1253"/>
        <v>0</v>
      </c>
      <c r="BZ226" s="10">
        <f t="shared" si="1253"/>
        <v>0</v>
      </c>
      <c r="CA226" s="10">
        <f t="shared" si="1253"/>
        <v>0</v>
      </c>
      <c r="CB226" s="10">
        <f t="shared" si="1253"/>
        <v>0</v>
      </c>
      <c r="CC226" s="10">
        <f t="shared" si="1253"/>
        <v>0</v>
      </c>
      <c r="CD226" s="10">
        <f t="shared" si="1253"/>
        <v>0</v>
      </c>
      <c r="CE226" s="10">
        <f t="shared" si="1253"/>
        <v>0</v>
      </c>
      <c r="CF226" s="10">
        <f t="shared" ref="CF226:CO226" si="1254" xml:space="preserve"> CF225 * $E$221</f>
        <v>0</v>
      </c>
      <c r="CG226" s="10">
        <f t="shared" si="1254"/>
        <v>0</v>
      </c>
      <c r="CH226" s="10">
        <f t="shared" si="1254"/>
        <v>0</v>
      </c>
      <c r="CI226" s="10">
        <f t="shared" si="1254"/>
        <v>0</v>
      </c>
      <c r="CJ226" s="10">
        <f t="shared" si="1254"/>
        <v>0</v>
      </c>
      <c r="CK226" s="10">
        <f t="shared" si="1254"/>
        <v>0</v>
      </c>
      <c r="CL226" s="10">
        <f t="shared" si="1254"/>
        <v>0</v>
      </c>
      <c r="CM226" s="10">
        <f t="shared" si="1254"/>
        <v>0</v>
      </c>
      <c r="CN226" s="10">
        <f t="shared" si="1254"/>
        <v>0</v>
      </c>
      <c r="CO226" s="10">
        <f t="shared" si="1254"/>
        <v>0</v>
      </c>
    </row>
    <row r="227" spans="1:93" ht="15" thickTop="1">
      <c r="A227" s="77"/>
      <c r="B227" s="101"/>
      <c r="C227" s="49" t="s">
        <v>859</v>
      </c>
      <c r="D227" s="49"/>
      <c r="E227" s="136"/>
      <c r="F227" s="49"/>
      <c r="G227" s="159" t="str">
        <f xml:space="preserve"> Monetary_Unit</f>
        <v>тыс. руб.</v>
      </c>
      <c r="H227" s="49"/>
      <c r="I227" s="23">
        <f>SUM(L227:CO227)</f>
        <v>0</v>
      </c>
      <c r="J227" s="49"/>
      <c r="K227" s="49"/>
      <c r="L227" s="49">
        <f t="shared" ref="L227:R227" si="1255" xml:space="preserve"> SUM(L223:L226)</f>
        <v>0</v>
      </c>
      <c r="M227" s="49">
        <f t="shared" si="1255"/>
        <v>0</v>
      </c>
      <c r="N227" s="49">
        <f t="shared" si="1255"/>
        <v>0</v>
      </c>
      <c r="O227" s="49">
        <f t="shared" si="1255"/>
        <v>0</v>
      </c>
      <c r="P227" s="49">
        <f t="shared" si="1255"/>
        <v>0</v>
      </c>
      <c r="Q227" s="49">
        <f t="shared" si="1255"/>
        <v>0</v>
      </c>
      <c r="R227" s="49">
        <f t="shared" si="1255"/>
        <v>0</v>
      </c>
      <c r="S227" s="49">
        <f t="shared" ref="S227" si="1256" xml:space="preserve"> SUM(S223:S226)</f>
        <v>0</v>
      </c>
      <c r="T227" s="49">
        <f t="shared" ref="T227:CE227" si="1257" xml:space="preserve"> SUM(T223:T226)</f>
        <v>0</v>
      </c>
      <c r="U227" s="49">
        <f t="shared" si="1257"/>
        <v>0</v>
      </c>
      <c r="V227" s="49">
        <f t="shared" si="1257"/>
        <v>0</v>
      </c>
      <c r="W227" s="49">
        <f t="shared" si="1257"/>
        <v>0</v>
      </c>
      <c r="X227" s="49">
        <f t="shared" si="1257"/>
        <v>0</v>
      </c>
      <c r="Y227" s="49">
        <f t="shared" si="1257"/>
        <v>0</v>
      </c>
      <c r="Z227" s="49">
        <f t="shared" si="1257"/>
        <v>0</v>
      </c>
      <c r="AA227" s="49">
        <f t="shared" si="1257"/>
        <v>0</v>
      </c>
      <c r="AB227" s="49">
        <f t="shared" si="1257"/>
        <v>0</v>
      </c>
      <c r="AC227" s="49">
        <f t="shared" si="1257"/>
        <v>0</v>
      </c>
      <c r="AD227" s="49">
        <f t="shared" si="1257"/>
        <v>0</v>
      </c>
      <c r="AE227" s="49">
        <f t="shared" si="1257"/>
        <v>0</v>
      </c>
      <c r="AF227" s="49">
        <f t="shared" si="1257"/>
        <v>0</v>
      </c>
      <c r="AG227" s="49">
        <f t="shared" si="1257"/>
        <v>0</v>
      </c>
      <c r="AH227" s="49">
        <f t="shared" si="1257"/>
        <v>0</v>
      </c>
      <c r="AI227" s="49">
        <f t="shared" si="1257"/>
        <v>0</v>
      </c>
      <c r="AJ227" s="49">
        <f t="shared" si="1257"/>
        <v>0</v>
      </c>
      <c r="AK227" s="49">
        <f t="shared" si="1257"/>
        <v>0</v>
      </c>
      <c r="AL227" s="49">
        <f t="shared" si="1257"/>
        <v>0</v>
      </c>
      <c r="AM227" s="49">
        <f t="shared" si="1257"/>
        <v>0</v>
      </c>
      <c r="AN227" s="49">
        <f t="shared" si="1257"/>
        <v>0</v>
      </c>
      <c r="AO227" s="49">
        <f t="shared" si="1257"/>
        <v>0</v>
      </c>
      <c r="AP227" s="49">
        <f t="shared" si="1257"/>
        <v>0</v>
      </c>
      <c r="AQ227" s="49">
        <f t="shared" si="1257"/>
        <v>0</v>
      </c>
      <c r="AR227" s="49">
        <f t="shared" si="1257"/>
        <v>0</v>
      </c>
      <c r="AS227" s="49">
        <f t="shared" si="1257"/>
        <v>0</v>
      </c>
      <c r="AT227" s="49">
        <f t="shared" si="1257"/>
        <v>0</v>
      </c>
      <c r="AU227" s="49">
        <f t="shared" si="1257"/>
        <v>0</v>
      </c>
      <c r="AV227" s="49">
        <f t="shared" si="1257"/>
        <v>0</v>
      </c>
      <c r="AW227" s="49">
        <f t="shared" si="1257"/>
        <v>0</v>
      </c>
      <c r="AX227" s="49">
        <f t="shared" si="1257"/>
        <v>0</v>
      </c>
      <c r="AY227" s="49">
        <f t="shared" si="1257"/>
        <v>0</v>
      </c>
      <c r="AZ227" s="49">
        <f t="shared" si="1257"/>
        <v>0</v>
      </c>
      <c r="BA227" s="49">
        <f t="shared" si="1257"/>
        <v>0</v>
      </c>
      <c r="BB227" s="49">
        <f t="shared" si="1257"/>
        <v>0</v>
      </c>
      <c r="BC227" s="49">
        <f t="shared" si="1257"/>
        <v>0</v>
      </c>
      <c r="BD227" s="49">
        <f t="shared" si="1257"/>
        <v>0</v>
      </c>
      <c r="BE227" s="49">
        <f t="shared" si="1257"/>
        <v>0</v>
      </c>
      <c r="BF227" s="49">
        <f t="shared" si="1257"/>
        <v>0</v>
      </c>
      <c r="BG227" s="49">
        <f t="shared" si="1257"/>
        <v>0</v>
      </c>
      <c r="BH227" s="49">
        <f t="shared" si="1257"/>
        <v>0</v>
      </c>
      <c r="BI227" s="49">
        <f t="shared" si="1257"/>
        <v>0</v>
      </c>
      <c r="BJ227" s="49">
        <f t="shared" si="1257"/>
        <v>0</v>
      </c>
      <c r="BK227" s="49">
        <f t="shared" si="1257"/>
        <v>0</v>
      </c>
      <c r="BL227" s="49">
        <f t="shared" si="1257"/>
        <v>0</v>
      </c>
      <c r="BM227" s="49">
        <f t="shared" si="1257"/>
        <v>0</v>
      </c>
      <c r="BN227" s="49">
        <f t="shared" si="1257"/>
        <v>0</v>
      </c>
      <c r="BO227" s="49">
        <f t="shared" si="1257"/>
        <v>0</v>
      </c>
      <c r="BP227" s="49">
        <f t="shared" si="1257"/>
        <v>0</v>
      </c>
      <c r="BQ227" s="49">
        <f t="shared" si="1257"/>
        <v>0</v>
      </c>
      <c r="BR227" s="49">
        <f t="shared" si="1257"/>
        <v>0</v>
      </c>
      <c r="BS227" s="49">
        <f t="shared" si="1257"/>
        <v>0</v>
      </c>
      <c r="BT227" s="49">
        <f t="shared" si="1257"/>
        <v>0</v>
      </c>
      <c r="BU227" s="49">
        <f t="shared" si="1257"/>
        <v>0</v>
      </c>
      <c r="BV227" s="49">
        <f t="shared" si="1257"/>
        <v>0</v>
      </c>
      <c r="BW227" s="49">
        <f t="shared" si="1257"/>
        <v>0</v>
      </c>
      <c r="BX227" s="49">
        <f t="shared" si="1257"/>
        <v>0</v>
      </c>
      <c r="BY227" s="49">
        <f t="shared" si="1257"/>
        <v>0</v>
      </c>
      <c r="BZ227" s="49">
        <f t="shared" si="1257"/>
        <v>0</v>
      </c>
      <c r="CA227" s="49">
        <f t="shared" si="1257"/>
        <v>0</v>
      </c>
      <c r="CB227" s="49">
        <f t="shared" si="1257"/>
        <v>0</v>
      </c>
      <c r="CC227" s="49">
        <f t="shared" si="1257"/>
        <v>0</v>
      </c>
      <c r="CD227" s="49">
        <f t="shared" si="1257"/>
        <v>0</v>
      </c>
      <c r="CE227" s="49">
        <f t="shared" si="1257"/>
        <v>0</v>
      </c>
      <c r="CF227" s="49">
        <f t="shared" ref="CF227:CO227" si="1258" xml:space="preserve"> SUM(CF223:CF226)</f>
        <v>0</v>
      </c>
      <c r="CG227" s="49">
        <f t="shared" si="1258"/>
        <v>0</v>
      </c>
      <c r="CH227" s="49">
        <f t="shared" si="1258"/>
        <v>0</v>
      </c>
      <c r="CI227" s="49">
        <f t="shared" si="1258"/>
        <v>0</v>
      </c>
      <c r="CJ227" s="49">
        <f t="shared" si="1258"/>
        <v>0</v>
      </c>
      <c r="CK227" s="49">
        <f t="shared" si="1258"/>
        <v>0</v>
      </c>
      <c r="CL227" s="49">
        <f t="shared" si="1258"/>
        <v>0</v>
      </c>
      <c r="CM227" s="49">
        <f t="shared" si="1258"/>
        <v>0</v>
      </c>
      <c r="CN227" s="49">
        <f t="shared" si="1258"/>
        <v>0</v>
      </c>
      <c r="CO227" s="49">
        <f t="shared" si="1258"/>
        <v>0</v>
      </c>
    </row>
    <row r="228" spans="1:93">
      <c r="A228" s="77"/>
      <c r="B228" s="168"/>
      <c r="C228" s="169"/>
      <c r="D228" s="10"/>
      <c r="E228" s="62"/>
      <c r="F228" s="11"/>
      <c r="G228" s="11"/>
      <c r="H228" s="10"/>
      <c r="I228" s="10" t="str">
        <f>IF(IFERROR(I227=Предпосылки!E326*I96*I113,I227=0),"")</f>
        <v/>
      </c>
      <c r="J228" s="10"/>
      <c r="K228" s="1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  <c r="Z228" s="170"/>
      <c r="AA228" s="170"/>
      <c r="AB228" s="170"/>
      <c r="AC228" s="170"/>
      <c r="AD228" s="170"/>
      <c r="AE228" s="170"/>
      <c r="AF228" s="170"/>
      <c r="AG228" s="170"/>
      <c r="AH228" s="170"/>
      <c r="AI228" s="170"/>
      <c r="AJ228" s="170"/>
      <c r="AK228" s="170"/>
      <c r="AL228" s="170"/>
      <c r="AM228" s="170"/>
      <c r="AN228" s="170"/>
      <c r="AO228" s="170"/>
      <c r="AP228" s="170"/>
      <c r="AQ228" s="170"/>
      <c r="AR228" s="170"/>
      <c r="AS228" s="170"/>
      <c r="AT228" s="170"/>
      <c r="AU228" s="170"/>
      <c r="AV228" s="170"/>
      <c r="AW228" s="170"/>
      <c r="AX228" s="170"/>
      <c r="AY228" s="170"/>
      <c r="AZ228" s="170"/>
      <c r="BA228" s="170"/>
      <c r="BB228" s="170"/>
      <c r="BC228" s="170"/>
      <c r="BD228" s="170"/>
      <c r="BE228" s="170"/>
      <c r="BF228" s="170"/>
      <c r="BG228" s="170"/>
      <c r="BH228" s="170"/>
      <c r="BI228" s="170"/>
      <c r="BJ228" s="170"/>
      <c r="BK228" s="170"/>
      <c r="BL228" s="170"/>
      <c r="BM228" s="170"/>
      <c r="BN228" s="170"/>
      <c r="BO228" s="170"/>
      <c r="BP228" s="170"/>
      <c r="BQ228" s="170"/>
      <c r="BR228" s="170"/>
      <c r="BS228" s="170"/>
      <c r="BT228" s="170"/>
      <c r="BU228" s="170"/>
      <c r="BV228" s="170"/>
      <c r="BW228" s="170"/>
      <c r="BX228" s="170"/>
      <c r="BY228" s="170"/>
      <c r="BZ228" s="170"/>
      <c r="CA228" s="170"/>
      <c r="CB228" s="170"/>
      <c r="CC228" s="170"/>
      <c r="CD228" s="170"/>
      <c r="CE228" s="170"/>
      <c r="CF228" s="170"/>
      <c r="CG228" s="170"/>
      <c r="CH228" s="170"/>
      <c r="CI228" s="170"/>
      <c r="CJ228" s="170"/>
      <c r="CK228" s="170"/>
      <c r="CL228" s="170"/>
      <c r="CM228" s="170"/>
      <c r="CN228" s="170"/>
      <c r="CO228" s="170"/>
    </row>
    <row r="229" spans="1:93" ht="16" thickBot="1">
      <c r="A229" s="9"/>
      <c r="B229" s="168"/>
      <c r="C229" s="12" t="s">
        <v>652</v>
      </c>
      <c r="D229" s="12"/>
      <c r="E229" s="12"/>
      <c r="F229" s="12"/>
      <c r="G229" s="362"/>
      <c r="H229" s="12"/>
      <c r="I229" s="12"/>
      <c r="J229" s="10"/>
      <c r="K229" s="10"/>
      <c r="L229" s="170"/>
      <c r="M229" s="170"/>
      <c r="N229" s="170"/>
      <c r="O229" s="170"/>
      <c r="P229" s="170"/>
      <c r="Q229" s="170"/>
      <c r="R229" s="170"/>
      <c r="S229" s="170"/>
      <c r="T229" s="170"/>
      <c r="U229" s="170"/>
      <c r="V229" s="170"/>
      <c r="W229" s="170"/>
      <c r="X229" s="170"/>
      <c r="Y229" s="170"/>
      <c r="Z229" s="170"/>
      <c r="AA229" s="170"/>
      <c r="AB229" s="170"/>
      <c r="AC229" s="170"/>
      <c r="AD229" s="170"/>
      <c r="AE229" s="170"/>
      <c r="AF229" s="170"/>
      <c r="AG229" s="170"/>
      <c r="AH229" s="170"/>
      <c r="AI229" s="170"/>
      <c r="AJ229" s="170"/>
      <c r="AK229" s="170"/>
      <c r="AL229" s="170"/>
      <c r="AM229" s="170"/>
      <c r="AN229" s="170"/>
      <c r="AO229" s="170"/>
      <c r="AP229" s="170"/>
      <c r="AQ229" s="170"/>
      <c r="AR229" s="170"/>
      <c r="AS229" s="170"/>
      <c r="AT229" s="170"/>
      <c r="AU229" s="170"/>
      <c r="AV229" s="170"/>
      <c r="AW229" s="170"/>
      <c r="AX229" s="170"/>
      <c r="AY229" s="170"/>
      <c r="AZ229" s="170"/>
      <c r="BA229" s="170"/>
      <c r="BB229" s="170"/>
      <c r="BC229" s="170"/>
      <c r="BD229" s="170"/>
      <c r="BE229" s="170"/>
      <c r="BF229" s="170"/>
      <c r="BG229" s="170"/>
      <c r="BH229" s="170"/>
      <c r="BI229" s="170"/>
      <c r="BJ229" s="170"/>
      <c r="BK229" s="170"/>
      <c r="BL229" s="170"/>
      <c r="BM229" s="170"/>
      <c r="BN229" s="170"/>
      <c r="BO229" s="170"/>
      <c r="BP229" s="170"/>
      <c r="BQ229" s="170"/>
      <c r="BR229" s="170"/>
      <c r="BS229" s="170"/>
      <c r="BT229" s="170"/>
      <c r="BU229" s="170"/>
      <c r="BV229" s="170"/>
      <c r="BW229" s="170"/>
      <c r="BX229" s="170"/>
      <c r="BY229" s="170"/>
      <c r="BZ229" s="170"/>
      <c r="CA229" s="170"/>
      <c r="CB229" s="170"/>
      <c r="CC229" s="170"/>
      <c r="CD229" s="170"/>
      <c r="CE229" s="170"/>
      <c r="CF229" s="170"/>
      <c r="CG229" s="170"/>
      <c r="CH229" s="170"/>
      <c r="CI229" s="170"/>
      <c r="CJ229" s="170"/>
      <c r="CK229" s="170"/>
      <c r="CL229" s="170"/>
      <c r="CM229" s="170"/>
      <c r="CN229" s="170"/>
      <c r="CO229" s="170"/>
    </row>
    <row r="230" spans="1:93">
      <c r="A230" s="77"/>
      <c r="B230" s="168"/>
      <c r="C230" s="169"/>
      <c r="D230" s="10"/>
      <c r="E230" s="62"/>
      <c r="F230" s="11"/>
      <c r="G230" s="11"/>
      <c r="H230" s="10"/>
      <c r="I230" s="10"/>
      <c r="J230" s="10"/>
      <c r="K230" s="10"/>
      <c r="L230" s="170"/>
      <c r="M230" s="170"/>
      <c r="N230" s="170"/>
      <c r="O230" s="170"/>
      <c r="P230" s="170"/>
      <c r="Q230" s="170"/>
      <c r="R230" s="170"/>
      <c r="S230" s="170"/>
      <c r="T230" s="170"/>
      <c r="U230" s="170"/>
      <c r="V230" s="170"/>
      <c r="W230" s="170"/>
      <c r="X230" s="170"/>
      <c r="Y230" s="170"/>
      <c r="Z230" s="170"/>
      <c r="AA230" s="170"/>
      <c r="AB230" s="170"/>
      <c r="AC230" s="170"/>
      <c r="AD230" s="170"/>
      <c r="AE230" s="170"/>
      <c r="AF230" s="170"/>
      <c r="AG230" s="170"/>
      <c r="AH230" s="170"/>
      <c r="AI230" s="170"/>
      <c r="AJ230" s="170"/>
      <c r="AK230" s="170"/>
      <c r="AL230" s="170"/>
      <c r="AM230" s="170"/>
      <c r="AN230" s="170"/>
      <c r="AO230" s="170"/>
      <c r="AP230" s="170"/>
      <c r="AQ230" s="170"/>
      <c r="AR230" s="170"/>
      <c r="AS230" s="170"/>
      <c r="AT230" s="170"/>
      <c r="AU230" s="170"/>
      <c r="AV230" s="170"/>
      <c r="AW230" s="170"/>
      <c r="AX230" s="170"/>
      <c r="AY230" s="170"/>
      <c r="AZ230" s="170"/>
      <c r="BA230" s="170"/>
      <c r="BB230" s="170"/>
      <c r="BC230" s="170"/>
      <c r="BD230" s="170"/>
      <c r="BE230" s="170"/>
      <c r="BF230" s="170"/>
      <c r="BG230" s="170"/>
      <c r="BH230" s="170"/>
      <c r="BI230" s="170"/>
      <c r="BJ230" s="170"/>
      <c r="BK230" s="170"/>
      <c r="BL230" s="170"/>
      <c r="BM230" s="170"/>
      <c r="BN230" s="170"/>
      <c r="BO230" s="170"/>
      <c r="BP230" s="170"/>
      <c r="BQ230" s="170"/>
      <c r="BR230" s="170"/>
      <c r="BS230" s="170"/>
      <c r="BT230" s="170"/>
      <c r="BU230" s="170"/>
      <c r="BV230" s="170"/>
      <c r="BW230" s="170"/>
      <c r="BX230" s="170"/>
      <c r="BY230" s="170"/>
      <c r="BZ230" s="170"/>
      <c r="CA230" s="170"/>
      <c r="CB230" s="170"/>
      <c r="CC230" s="170"/>
      <c r="CD230" s="170"/>
      <c r="CE230" s="170"/>
      <c r="CF230" s="170"/>
      <c r="CG230" s="170"/>
      <c r="CH230" s="170"/>
      <c r="CI230" s="170"/>
      <c r="CJ230" s="170"/>
      <c r="CK230" s="170"/>
      <c r="CL230" s="170"/>
      <c r="CM230" s="170"/>
      <c r="CN230" s="170"/>
      <c r="CO230" s="170"/>
    </row>
    <row r="231" spans="1:93">
      <c r="A231" s="9"/>
      <c r="B231" s="168"/>
      <c r="C231" s="17" t="s">
        <v>632</v>
      </c>
      <c r="D231" s="10"/>
      <c r="E231" s="62"/>
      <c r="F231" s="11"/>
      <c r="G231" s="11" t="str">
        <f>Monetary_Unit</f>
        <v>тыс. руб.</v>
      </c>
      <c r="H231" s="10"/>
      <c r="I231" s="23">
        <f ca="1">SUM(L231:CO231)</f>
        <v>0</v>
      </c>
      <c r="J231" s="10"/>
      <c r="K231" s="10"/>
      <c r="L231" s="10">
        <f t="shared" ref="L231:AQ231" ca="1" si="1259" xml:space="preserve"> L223 * CAPEX_Accumulated_From_Date</f>
        <v>0</v>
      </c>
      <c r="M231" s="10">
        <f t="shared" ca="1" si="1259"/>
        <v>0</v>
      </c>
      <c r="N231" s="10">
        <f t="shared" ca="1" si="1259"/>
        <v>0</v>
      </c>
      <c r="O231" s="10">
        <f t="shared" ca="1" si="1259"/>
        <v>0</v>
      </c>
      <c r="P231" s="10">
        <f t="shared" ca="1" si="1259"/>
        <v>0</v>
      </c>
      <c r="Q231" s="10">
        <f t="shared" ca="1" si="1259"/>
        <v>0</v>
      </c>
      <c r="R231" s="10">
        <f t="shared" ca="1" si="1259"/>
        <v>0</v>
      </c>
      <c r="S231" s="10">
        <f t="shared" ca="1" si="1259"/>
        <v>0</v>
      </c>
      <c r="T231" s="10">
        <f t="shared" ca="1" si="1259"/>
        <v>0</v>
      </c>
      <c r="U231" s="10">
        <f t="shared" ca="1" si="1259"/>
        <v>0</v>
      </c>
      <c r="V231" s="10">
        <f t="shared" ca="1" si="1259"/>
        <v>0</v>
      </c>
      <c r="W231" s="10">
        <f t="shared" ca="1" si="1259"/>
        <v>0</v>
      </c>
      <c r="X231" s="10">
        <f t="shared" ca="1" si="1259"/>
        <v>0</v>
      </c>
      <c r="Y231" s="10">
        <f t="shared" ca="1" si="1259"/>
        <v>0</v>
      </c>
      <c r="Z231" s="10">
        <f t="shared" ca="1" si="1259"/>
        <v>0</v>
      </c>
      <c r="AA231" s="10">
        <f t="shared" ca="1" si="1259"/>
        <v>0</v>
      </c>
      <c r="AB231" s="10">
        <f t="shared" ca="1" si="1259"/>
        <v>0</v>
      </c>
      <c r="AC231" s="10">
        <f t="shared" ca="1" si="1259"/>
        <v>0</v>
      </c>
      <c r="AD231" s="10">
        <f t="shared" ca="1" si="1259"/>
        <v>0</v>
      </c>
      <c r="AE231" s="10">
        <f t="shared" ca="1" si="1259"/>
        <v>0</v>
      </c>
      <c r="AF231" s="10">
        <f t="shared" ca="1" si="1259"/>
        <v>0</v>
      </c>
      <c r="AG231" s="10">
        <f t="shared" ca="1" si="1259"/>
        <v>0</v>
      </c>
      <c r="AH231" s="10">
        <f t="shared" ca="1" si="1259"/>
        <v>0</v>
      </c>
      <c r="AI231" s="10">
        <f t="shared" ca="1" si="1259"/>
        <v>0</v>
      </c>
      <c r="AJ231" s="10">
        <f t="shared" ca="1" si="1259"/>
        <v>0</v>
      </c>
      <c r="AK231" s="10">
        <f t="shared" ca="1" si="1259"/>
        <v>0</v>
      </c>
      <c r="AL231" s="10">
        <f t="shared" ca="1" si="1259"/>
        <v>0</v>
      </c>
      <c r="AM231" s="10">
        <f t="shared" ca="1" si="1259"/>
        <v>0</v>
      </c>
      <c r="AN231" s="10">
        <f t="shared" ca="1" si="1259"/>
        <v>0</v>
      </c>
      <c r="AO231" s="10">
        <f t="shared" ca="1" si="1259"/>
        <v>0</v>
      </c>
      <c r="AP231" s="10">
        <f t="shared" ca="1" si="1259"/>
        <v>0</v>
      </c>
      <c r="AQ231" s="10">
        <f t="shared" ca="1" si="1259"/>
        <v>0</v>
      </c>
      <c r="AR231" s="10">
        <f t="shared" ref="AR231:BW231" ca="1" si="1260" xml:space="preserve"> AR223 * CAPEX_Accumulated_From_Date</f>
        <v>0</v>
      </c>
      <c r="AS231" s="10">
        <f t="shared" ca="1" si="1260"/>
        <v>0</v>
      </c>
      <c r="AT231" s="10">
        <f t="shared" ca="1" si="1260"/>
        <v>0</v>
      </c>
      <c r="AU231" s="10">
        <f t="shared" ca="1" si="1260"/>
        <v>0</v>
      </c>
      <c r="AV231" s="10">
        <f t="shared" ca="1" si="1260"/>
        <v>0</v>
      </c>
      <c r="AW231" s="10">
        <f t="shared" ca="1" si="1260"/>
        <v>0</v>
      </c>
      <c r="AX231" s="10">
        <f t="shared" ca="1" si="1260"/>
        <v>0</v>
      </c>
      <c r="AY231" s="10">
        <f t="shared" ca="1" si="1260"/>
        <v>0</v>
      </c>
      <c r="AZ231" s="10">
        <f t="shared" ca="1" si="1260"/>
        <v>0</v>
      </c>
      <c r="BA231" s="10">
        <f t="shared" ca="1" si="1260"/>
        <v>0</v>
      </c>
      <c r="BB231" s="10">
        <f t="shared" ca="1" si="1260"/>
        <v>0</v>
      </c>
      <c r="BC231" s="10">
        <f t="shared" ca="1" si="1260"/>
        <v>0</v>
      </c>
      <c r="BD231" s="10">
        <f t="shared" ca="1" si="1260"/>
        <v>0</v>
      </c>
      <c r="BE231" s="10">
        <f t="shared" ca="1" si="1260"/>
        <v>0</v>
      </c>
      <c r="BF231" s="10">
        <f t="shared" ca="1" si="1260"/>
        <v>0</v>
      </c>
      <c r="BG231" s="10">
        <f t="shared" ca="1" si="1260"/>
        <v>0</v>
      </c>
      <c r="BH231" s="10">
        <f t="shared" ca="1" si="1260"/>
        <v>0</v>
      </c>
      <c r="BI231" s="10">
        <f t="shared" ca="1" si="1260"/>
        <v>0</v>
      </c>
      <c r="BJ231" s="10">
        <f t="shared" ca="1" si="1260"/>
        <v>0</v>
      </c>
      <c r="BK231" s="10">
        <f t="shared" ca="1" si="1260"/>
        <v>0</v>
      </c>
      <c r="BL231" s="10">
        <f t="shared" ca="1" si="1260"/>
        <v>0</v>
      </c>
      <c r="BM231" s="10">
        <f t="shared" ca="1" si="1260"/>
        <v>0</v>
      </c>
      <c r="BN231" s="10">
        <f t="shared" ca="1" si="1260"/>
        <v>0</v>
      </c>
      <c r="BO231" s="10">
        <f t="shared" ca="1" si="1260"/>
        <v>0</v>
      </c>
      <c r="BP231" s="10">
        <f t="shared" ca="1" si="1260"/>
        <v>0</v>
      </c>
      <c r="BQ231" s="10">
        <f t="shared" ca="1" si="1260"/>
        <v>0</v>
      </c>
      <c r="BR231" s="10">
        <f t="shared" ca="1" si="1260"/>
        <v>0</v>
      </c>
      <c r="BS231" s="10">
        <f t="shared" ca="1" si="1260"/>
        <v>0</v>
      </c>
      <c r="BT231" s="10">
        <f t="shared" ca="1" si="1260"/>
        <v>0</v>
      </c>
      <c r="BU231" s="10">
        <f t="shared" ca="1" si="1260"/>
        <v>0</v>
      </c>
      <c r="BV231" s="10">
        <f t="shared" ca="1" si="1260"/>
        <v>0</v>
      </c>
      <c r="BW231" s="10">
        <f t="shared" ca="1" si="1260"/>
        <v>0</v>
      </c>
      <c r="BX231" s="10">
        <f t="shared" ref="BX231:CO231" ca="1" si="1261" xml:space="preserve"> BX223 * CAPEX_Accumulated_From_Date</f>
        <v>0</v>
      </c>
      <c r="BY231" s="10">
        <f t="shared" ca="1" si="1261"/>
        <v>0</v>
      </c>
      <c r="BZ231" s="10">
        <f t="shared" ca="1" si="1261"/>
        <v>0</v>
      </c>
      <c r="CA231" s="10">
        <f t="shared" ca="1" si="1261"/>
        <v>0</v>
      </c>
      <c r="CB231" s="10">
        <f t="shared" ca="1" si="1261"/>
        <v>0</v>
      </c>
      <c r="CC231" s="10">
        <f t="shared" ca="1" si="1261"/>
        <v>0</v>
      </c>
      <c r="CD231" s="10">
        <f t="shared" ca="1" si="1261"/>
        <v>0</v>
      </c>
      <c r="CE231" s="10">
        <f t="shared" ca="1" si="1261"/>
        <v>0</v>
      </c>
      <c r="CF231" s="10">
        <f t="shared" ca="1" si="1261"/>
        <v>0</v>
      </c>
      <c r="CG231" s="10">
        <f t="shared" ca="1" si="1261"/>
        <v>0</v>
      </c>
      <c r="CH231" s="10">
        <f t="shared" ca="1" si="1261"/>
        <v>0</v>
      </c>
      <c r="CI231" s="10">
        <f t="shared" ca="1" si="1261"/>
        <v>0</v>
      </c>
      <c r="CJ231" s="10">
        <f t="shared" ca="1" si="1261"/>
        <v>0</v>
      </c>
      <c r="CK231" s="10">
        <f t="shared" ca="1" si="1261"/>
        <v>0</v>
      </c>
      <c r="CL231" s="10">
        <f t="shared" ca="1" si="1261"/>
        <v>0</v>
      </c>
      <c r="CM231" s="10">
        <f t="shared" ca="1" si="1261"/>
        <v>0</v>
      </c>
      <c r="CN231" s="10">
        <f t="shared" ca="1" si="1261"/>
        <v>0</v>
      </c>
      <c r="CO231" s="10">
        <f t="shared" ca="1" si="1261"/>
        <v>0</v>
      </c>
    </row>
    <row r="232" spans="1:93">
      <c r="A232" s="9"/>
      <c r="B232" s="168"/>
      <c r="C232" s="17" t="s">
        <v>634</v>
      </c>
      <c r="D232" s="10"/>
      <c r="E232" s="62"/>
      <c r="F232" s="11"/>
      <c r="G232" s="11" t="str">
        <f>Monetary_Unit</f>
        <v>тыс. руб.</v>
      </c>
      <c r="H232" s="10"/>
      <c r="I232" s="23">
        <f ca="1">SUM(L232:CO232)</f>
        <v>0</v>
      </c>
      <c r="J232" s="10"/>
      <c r="K232" s="10"/>
      <c r="L232" s="10">
        <f t="shared" ref="L232:AQ232" ca="1" si="1262" xml:space="preserve"> L224 * CAPEX_Accumulated_From_Date</f>
        <v>0</v>
      </c>
      <c r="M232" s="10">
        <f t="shared" ca="1" si="1262"/>
        <v>0</v>
      </c>
      <c r="N232" s="10">
        <f t="shared" ca="1" si="1262"/>
        <v>0</v>
      </c>
      <c r="O232" s="10">
        <f t="shared" ca="1" si="1262"/>
        <v>0</v>
      </c>
      <c r="P232" s="10">
        <f t="shared" ca="1" si="1262"/>
        <v>0</v>
      </c>
      <c r="Q232" s="10">
        <f t="shared" ca="1" si="1262"/>
        <v>0</v>
      </c>
      <c r="R232" s="10">
        <f t="shared" ca="1" si="1262"/>
        <v>0</v>
      </c>
      <c r="S232" s="10">
        <f t="shared" ca="1" si="1262"/>
        <v>0</v>
      </c>
      <c r="T232" s="10">
        <f t="shared" ca="1" si="1262"/>
        <v>0</v>
      </c>
      <c r="U232" s="10">
        <f t="shared" ca="1" si="1262"/>
        <v>0</v>
      </c>
      <c r="V232" s="10">
        <f t="shared" ca="1" si="1262"/>
        <v>0</v>
      </c>
      <c r="W232" s="10">
        <f t="shared" ca="1" si="1262"/>
        <v>0</v>
      </c>
      <c r="X232" s="10">
        <f t="shared" ca="1" si="1262"/>
        <v>0</v>
      </c>
      <c r="Y232" s="10">
        <f t="shared" ca="1" si="1262"/>
        <v>0</v>
      </c>
      <c r="Z232" s="10">
        <f t="shared" ca="1" si="1262"/>
        <v>0</v>
      </c>
      <c r="AA232" s="10">
        <f t="shared" ca="1" si="1262"/>
        <v>0</v>
      </c>
      <c r="AB232" s="10">
        <f t="shared" ca="1" si="1262"/>
        <v>0</v>
      </c>
      <c r="AC232" s="10">
        <f t="shared" ca="1" si="1262"/>
        <v>0</v>
      </c>
      <c r="AD232" s="10">
        <f t="shared" ca="1" si="1262"/>
        <v>0</v>
      </c>
      <c r="AE232" s="10">
        <f t="shared" ca="1" si="1262"/>
        <v>0</v>
      </c>
      <c r="AF232" s="10">
        <f t="shared" ca="1" si="1262"/>
        <v>0</v>
      </c>
      <c r="AG232" s="10">
        <f t="shared" ca="1" si="1262"/>
        <v>0</v>
      </c>
      <c r="AH232" s="10">
        <f t="shared" ca="1" si="1262"/>
        <v>0</v>
      </c>
      <c r="AI232" s="10">
        <f t="shared" ca="1" si="1262"/>
        <v>0</v>
      </c>
      <c r="AJ232" s="10">
        <f t="shared" ca="1" si="1262"/>
        <v>0</v>
      </c>
      <c r="AK232" s="10">
        <f t="shared" ca="1" si="1262"/>
        <v>0</v>
      </c>
      <c r="AL232" s="10">
        <f t="shared" ca="1" si="1262"/>
        <v>0</v>
      </c>
      <c r="AM232" s="10">
        <f t="shared" ca="1" si="1262"/>
        <v>0</v>
      </c>
      <c r="AN232" s="10">
        <f t="shared" ca="1" si="1262"/>
        <v>0</v>
      </c>
      <c r="AO232" s="10">
        <f t="shared" ca="1" si="1262"/>
        <v>0</v>
      </c>
      <c r="AP232" s="10">
        <f t="shared" ca="1" si="1262"/>
        <v>0</v>
      </c>
      <c r="AQ232" s="10">
        <f t="shared" ca="1" si="1262"/>
        <v>0</v>
      </c>
      <c r="AR232" s="10">
        <f t="shared" ref="AR232:BW232" ca="1" si="1263" xml:space="preserve"> AR224 * CAPEX_Accumulated_From_Date</f>
        <v>0</v>
      </c>
      <c r="AS232" s="10">
        <f t="shared" ca="1" si="1263"/>
        <v>0</v>
      </c>
      <c r="AT232" s="10">
        <f t="shared" ca="1" si="1263"/>
        <v>0</v>
      </c>
      <c r="AU232" s="10">
        <f t="shared" ca="1" si="1263"/>
        <v>0</v>
      </c>
      <c r="AV232" s="10">
        <f t="shared" ca="1" si="1263"/>
        <v>0</v>
      </c>
      <c r="AW232" s="10">
        <f t="shared" ca="1" si="1263"/>
        <v>0</v>
      </c>
      <c r="AX232" s="10">
        <f t="shared" ca="1" si="1263"/>
        <v>0</v>
      </c>
      <c r="AY232" s="10">
        <f t="shared" ca="1" si="1263"/>
        <v>0</v>
      </c>
      <c r="AZ232" s="10">
        <f t="shared" ca="1" si="1263"/>
        <v>0</v>
      </c>
      <c r="BA232" s="10">
        <f t="shared" ca="1" si="1263"/>
        <v>0</v>
      </c>
      <c r="BB232" s="10">
        <f t="shared" ca="1" si="1263"/>
        <v>0</v>
      </c>
      <c r="BC232" s="10">
        <f t="shared" ca="1" si="1263"/>
        <v>0</v>
      </c>
      <c r="BD232" s="10">
        <f t="shared" ca="1" si="1263"/>
        <v>0</v>
      </c>
      <c r="BE232" s="10">
        <f t="shared" ca="1" si="1263"/>
        <v>0</v>
      </c>
      <c r="BF232" s="10">
        <f t="shared" ca="1" si="1263"/>
        <v>0</v>
      </c>
      <c r="BG232" s="10">
        <f t="shared" ca="1" si="1263"/>
        <v>0</v>
      </c>
      <c r="BH232" s="10">
        <f t="shared" ca="1" si="1263"/>
        <v>0</v>
      </c>
      <c r="BI232" s="10">
        <f t="shared" ca="1" si="1263"/>
        <v>0</v>
      </c>
      <c r="BJ232" s="10">
        <f t="shared" ca="1" si="1263"/>
        <v>0</v>
      </c>
      <c r="BK232" s="10">
        <f t="shared" ca="1" si="1263"/>
        <v>0</v>
      </c>
      <c r="BL232" s="10">
        <f t="shared" ca="1" si="1263"/>
        <v>0</v>
      </c>
      <c r="BM232" s="10">
        <f t="shared" ca="1" si="1263"/>
        <v>0</v>
      </c>
      <c r="BN232" s="10">
        <f t="shared" ca="1" si="1263"/>
        <v>0</v>
      </c>
      <c r="BO232" s="10">
        <f t="shared" ca="1" si="1263"/>
        <v>0</v>
      </c>
      <c r="BP232" s="10">
        <f t="shared" ca="1" si="1263"/>
        <v>0</v>
      </c>
      <c r="BQ232" s="10">
        <f t="shared" ca="1" si="1263"/>
        <v>0</v>
      </c>
      <c r="BR232" s="10">
        <f t="shared" ca="1" si="1263"/>
        <v>0</v>
      </c>
      <c r="BS232" s="10">
        <f t="shared" ca="1" si="1263"/>
        <v>0</v>
      </c>
      <c r="BT232" s="10">
        <f t="shared" ca="1" si="1263"/>
        <v>0</v>
      </c>
      <c r="BU232" s="10">
        <f t="shared" ca="1" si="1263"/>
        <v>0</v>
      </c>
      <c r="BV232" s="10">
        <f t="shared" ca="1" si="1263"/>
        <v>0</v>
      </c>
      <c r="BW232" s="10">
        <f t="shared" ca="1" si="1263"/>
        <v>0</v>
      </c>
      <c r="BX232" s="10">
        <f t="shared" ref="BX232:CO232" ca="1" si="1264" xml:space="preserve"> BX224 * CAPEX_Accumulated_From_Date</f>
        <v>0</v>
      </c>
      <c r="BY232" s="10">
        <f t="shared" ca="1" si="1264"/>
        <v>0</v>
      </c>
      <c r="BZ232" s="10">
        <f t="shared" ca="1" si="1264"/>
        <v>0</v>
      </c>
      <c r="CA232" s="10">
        <f t="shared" ca="1" si="1264"/>
        <v>0</v>
      </c>
      <c r="CB232" s="10">
        <f t="shared" ca="1" si="1264"/>
        <v>0</v>
      </c>
      <c r="CC232" s="10">
        <f t="shared" ca="1" si="1264"/>
        <v>0</v>
      </c>
      <c r="CD232" s="10">
        <f t="shared" ca="1" si="1264"/>
        <v>0</v>
      </c>
      <c r="CE232" s="10">
        <f t="shared" ca="1" si="1264"/>
        <v>0</v>
      </c>
      <c r="CF232" s="10">
        <f t="shared" ca="1" si="1264"/>
        <v>0</v>
      </c>
      <c r="CG232" s="10">
        <f t="shared" ca="1" si="1264"/>
        <v>0</v>
      </c>
      <c r="CH232" s="10">
        <f t="shared" ca="1" si="1264"/>
        <v>0</v>
      </c>
      <c r="CI232" s="10">
        <f t="shared" ca="1" si="1264"/>
        <v>0</v>
      </c>
      <c r="CJ232" s="10">
        <f t="shared" ca="1" si="1264"/>
        <v>0</v>
      </c>
      <c r="CK232" s="10">
        <f t="shared" ca="1" si="1264"/>
        <v>0</v>
      </c>
      <c r="CL232" s="10">
        <f t="shared" ca="1" si="1264"/>
        <v>0</v>
      </c>
      <c r="CM232" s="10">
        <f t="shared" ca="1" si="1264"/>
        <v>0</v>
      </c>
      <c r="CN232" s="10">
        <f t="shared" ca="1" si="1264"/>
        <v>0</v>
      </c>
      <c r="CO232" s="10">
        <f t="shared" ca="1" si="1264"/>
        <v>0</v>
      </c>
    </row>
    <row r="233" spans="1:93">
      <c r="A233" s="9"/>
      <c r="B233" s="168"/>
      <c r="C233" s="17" t="s">
        <v>848</v>
      </c>
      <c r="D233" s="10"/>
      <c r="E233" s="62"/>
      <c r="F233" s="11"/>
      <c r="G233" s="11" t="str">
        <f>Monetary_Unit</f>
        <v>тыс. руб.</v>
      </c>
      <c r="H233" s="10"/>
      <c r="I233" s="23">
        <f ca="1">SUM(L233:CO233)</f>
        <v>0</v>
      </c>
      <c r="J233" s="10"/>
      <c r="K233" s="10"/>
      <c r="L233" s="10">
        <f t="shared" ref="L233:AQ233" ca="1" si="1265" xml:space="preserve"> L225 * CAPEX_Accumulated_From_Date</f>
        <v>0</v>
      </c>
      <c r="M233" s="10">
        <f t="shared" ca="1" si="1265"/>
        <v>0</v>
      </c>
      <c r="N233" s="10">
        <f t="shared" ca="1" si="1265"/>
        <v>0</v>
      </c>
      <c r="O233" s="10">
        <f t="shared" ca="1" si="1265"/>
        <v>0</v>
      </c>
      <c r="P233" s="10">
        <f t="shared" ca="1" si="1265"/>
        <v>0</v>
      </c>
      <c r="Q233" s="10">
        <f t="shared" ca="1" si="1265"/>
        <v>0</v>
      </c>
      <c r="R233" s="10">
        <f t="shared" ca="1" si="1265"/>
        <v>0</v>
      </c>
      <c r="S233" s="10">
        <f t="shared" ca="1" si="1265"/>
        <v>0</v>
      </c>
      <c r="T233" s="10">
        <f t="shared" ca="1" si="1265"/>
        <v>0</v>
      </c>
      <c r="U233" s="10">
        <f t="shared" ca="1" si="1265"/>
        <v>0</v>
      </c>
      <c r="V233" s="10">
        <f t="shared" ca="1" si="1265"/>
        <v>0</v>
      </c>
      <c r="W233" s="10">
        <f t="shared" ca="1" si="1265"/>
        <v>0</v>
      </c>
      <c r="X233" s="10">
        <f t="shared" ca="1" si="1265"/>
        <v>0</v>
      </c>
      <c r="Y233" s="10">
        <f t="shared" ca="1" si="1265"/>
        <v>0</v>
      </c>
      <c r="Z233" s="10">
        <f t="shared" ca="1" si="1265"/>
        <v>0</v>
      </c>
      <c r="AA233" s="10">
        <f t="shared" ca="1" si="1265"/>
        <v>0</v>
      </c>
      <c r="AB233" s="10">
        <f t="shared" ca="1" si="1265"/>
        <v>0</v>
      </c>
      <c r="AC233" s="10">
        <f t="shared" ca="1" si="1265"/>
        <v>0</v>
      </c>
      <c r="AD233" s="10">
        <f t="shared" ca="1" si="1265"/>
        <v>0</v>
      </c>
      <c r="AE233" s="10">
        <f t="shared" ca="1" si="1265"/>
        <v>0</v>
      </c>
      <c r="AF233" s="10">
        <f t="shared" ca="1" si="1265"/>
        <v>0</v>
      </c>
      <c r="AG233" s="10">
        <f t="shared" ca="1" si="1265"/>
        <v>0</v>
      </c>
      <c r="AH233" s="10">
        <f t="shared" ca="1" si="1265"/>
        <v>0</v>
      </c>
      <c r="AI233" s="10">
        <f t="shared" ca="1" si="1265"/>
        <v>0</v>
      </c>
      <c r="AJ233" s="10">
        <f t="shared" ca="1" si="1265"/>
        <v>0</v>
      </c>
      <c r="AK233" s="10">
        <f t="shared" ca="1" si="1265"/>
        <v>0</v>
      </c>
      <c r="AL233" s="10">
        <f t="shared" ca="1" si="1265"/>
        <v>0</v>
      </c>
      <c r="AM233" s="10">
        <f t="shared" ca="1" si="1265"/>
        <v>0</v>
      </c>
      <c r="AN233" s="10">
        <f t="shared" ca="1" si="1265"/>
        <v>0</v>
      </c>
      <c r="AO233" s="10">
        <f t="shared" ca="1" si="1265"/>
        <v>0</v>
      </c>
      <c r="AP233" s="10">
        <f t="shared" ca="1" si="1265"/>
        <v>0</v>
      </c>
      <c r="AQ233" s="10">
        <f t="shared" ca="1" si="1265"/>
        <v>0</v>
      </c>
      <c r="AR233" s="10">
        <f t="shared" ref="AR233:BW233" ca="1" si="1266" xml:space="preserve"> AR225 * CAPEX_Accumulated_From_Date</f>
        <v>0</v>
      </c>
      <c r="AS233" s="10">
        <f t="shared" ca="1" si="1266"/>
        <v>0</v>
      </c>
      <c r="AT233" s="10">
        <f t="shared" ca="1" si="1266"/>
        <v>0</v>
      </c>
      <c r="AU233" s="10">
        <f t="shared" ca="1" si="1266"/>
        <v>0</v>
      </c>
      <c r="AV233" s="10">
        <f t="shared" ca="1" si="1266"/>
        <v>0</v>
      </c>
      <c r="AW233" s="10">
        <f t="shared" ca="1" si="1266"/>
        <v>0</v>
      </c>
      <c r="AX233" s="10">
        <f t="shared" ca="1" si="1266"/>
        <v>0</v>
      </c>
      <c r="AY233" s="10">
        <f t="shared" ca="1" si="1266"/>
        <v>0</v>
      </c>
      <c r="AZ233" s="10">
        <f t="shared" ca="1" si="1266"/>
        <v>0</v>
      </c>
      <c r="BA233" s="10">
        <f t="shared" ca="1" si="1266"/>
        <v>0</v>
      </c>
      <c r="BB233" s="10">
        <f t="shared" ca="1" si="1266"/>
        <v>0</v>
      </c>
      <c r="BC233" s="10">
        <f t="shared" ca="1" si="1266"/>
        <v>0</v>
      </c>
      <c r="BD233" s="10">
        <f t="shared" ca="1" si="1266"/>
        <v>0</v>
      </c>
      <c r="BE233" s="10">
        <f t="shared" ca="1" si="1266"/>
        <v>0</v>
      </c>
      <c r="BF233" s="10">
        <f t="shared" ca="1" si="1266"/>
        <v>0</v>
      </c>
      <c r="BG233" s="10">
        <f t="shared" ca="1" si="1266"/>
        <v>0</v>
      </c>
      <c r="BH233" s="10">
        <f t="shared" ca="1" si="1266"/>
        <v>0</v>
      </c>
      <c r="BI233" s="10">
        <f t="shared" ca="1" si="1266"/>
        <v>0</v>
      </c>
      <c r="BJ233" s="10">
        <f t="shared" ca="1" si="1266"/>
        <v>0</v>
      </c>
      <c r="BK233" s="10">
        <f t="shared" ca="1" si="1266"/>
        <v>0</v>
      </c>
      <c r="BL233" s="10">
        <f t="shared" ca="1" si="1266"/>
        <v>0</v>
      </c>
      <c r="BM233" s="10">
        <f t="shared" ca="1" si="1266"/>
        <v>0</v>
      </c>
      <c r="BN233" s="10">
        <f t="shared" ca="1" si="1266"/>
        <v>0</v>
      </c>
      <c r="BO233" s="10">
        <f t="shared" ca="1" si="1266"/>
        <v>0</v>
      </c>
      <c r="BP233" s="10">
        <f t="shared" ca="1" si="1266"/>
        <v>0</v>
      </c>
      <c r="BQ233" s="10">
        <f t="shared" ca="1" si="1266"/>
        <v>0</v>
      </c>
      <c r="BR233" s="10">
        <f t="shared" ca="1" si="1266"/>
        <v>0</v>
      </c>
      <c r="BS233" s="10">
        <f t="shared" ca="1" si="1266"/>
        <v>0</v>
      </c>
      <c r="BT233" s="10">
        <f t="shared" ca="1" si="1266"/>
        <v>0</v>
      </c>
      <c r="BU233" s="10">
        <f t="shared" ca="1" si="1266"/>
        <v>0</v>
      </c>
      <c r="BV233" s="10">
        <f t="shared" ca="1" si="1266"/>
        <v>0</v>
      </c>
      <c r="BW233" s="10">
        <f t="shared" ca="1" si="1266"/>
        <v>0</v>
      </c>
      <c r="BX233" s="10">
        <f t="shared" ref="BX233:CO233" ca="1" si="1267" xml:space="preserve"> BX225 * CAPEX_Accumulated_From_Date</f>
        <v>0</v>
      </c>
      <c r="BY233" s="10">
        <f t="shared" ca="1" si="1267"/>
        <v>0</v>
      </c>
      <c r="BZ233" s="10">
        <f t="shared" ca="1" si="1267"/>
        <v>0</v>
      </c>
      <c r="CA233" s="10">
        <f t="shared" ca="1" si="1267"/>
        <v>0</v>
      </c>
      <c r="CB233" s="10">
        <f t="shared" ca="1" si="1267"/>
        <v>0</v>
      </c>
      <c r="CC233" s="10">
        <f t="shared" ca="1" si="1267"/>
        <v>0</v>
      </c>
      <c r="CD233" s="10">
        <f t="shared" ca="1" si="1267"/>
        <v>0</v>
      </c>
      <c r="CE233" s="10">
        <f t="shared" ca="1" si="1267"/>
        <v>0</v>
      </c>
      <c r="CF233" s="10">
        <f t="shared" ca="1" si="1267"/>
        <v>0</v>
      </c>
      <c r="CG233" s="10">
        <f t="shared" ca="1" si="1267"/>
        <v>0</v>
      </c>
      <c r="CH233" s="10">
        <f t="shared" ca="1" si="1267"/>
        <v>0</v>
      </c>
      <c r="CI233" s="10">
        <f t="shared" ca="1" si="1267"/>
        <v>0</v>
      </c>
      <c r="CJ233" s="10">
        <f t="shared" ca="1" si="1267"/>
        <v>0</v>
      </c>
      <c r="CK233" s="10">
        <f t="shared" ca="1" si="1267"/>
        <v>0</v>
      </c>
      <c r="CL233" s="10">
        <f t="shared" ca="1" si="1267"/>
        <v>0</v>
      </c>
      <c r="CM233" s="10">
        <f t="shared" ca="1" si="1267"/>
        <v>0</v>
      </c>
      <c r="CN233" s="10">
        <f t="shared" ca="1" si="1267"/>
        <v>0</v>
      </c>
      <c r="CO233" s="10">
        <f t="shared" ca="1" si="1267"/>
        <v>0</v>
      </c>
    </row>
    <row r="234" spans="1:93" ht="15" thickBot="1">
      <c r="A234" s="9"/>
      <c r="B234" s="168"/>
      <c r="C234" s="17" t="s">
        <v>824</v>
      </c>
      <c r="D234" s="10"/>
      <c r="E234" s="62"/>
      <c r="F234" s="11"/>
      <c r="G234" s="11" t="str">
        <f>Monetary_Unit</f>
        <v>тыс. руб.</v>
      </c>
      <c r="H234" s="10"/>
      <c r="I234" s="23">
        <f ca="1">SUM(L234:CO234)</f>
        <v>0</v>
      </c>
      <c r="J234" s="10"/>
      <c r="K234" s="10"/>
      <c r="L234" s="10">
        <f t="shared" ref="L234:AQ234" ca="1" si="1268" xml:space="preserve"> L226 * CAPEX_Accumulated_From_Date</f>
        <v>0</v>
      </c>
      <c r="M234" s="10">
        <f t="shared" ca="1" si="1268"/>
        <v>0</v>
      </c>
      <c r="N234" s="10">
        <f t="shared" ca="1" si="1268"/>
        <v>0</v>
      </c>
      <c r="O234" s="10">
        <f t="shared" ca="1" si="1268"/>
        <v>0</v>
      </c>
      <c r="P234" s="10">
        <f t="shared" ca="1" si="1268"/>
        <v>0</v>
      </c>
      <c r="Q234" s="10">
        <f t="shared" ca="1" si="1268"/>
        <v>0</v>
      </c>
      <c r="R234" s="10">
        <f t="shared" ca="1" si="1268"/>
        <v>0</v>
      </c>
      <c r="S234" s="10">
        <f t="shared" ca="1" si="1268"/>
        <v>0</v>
      </c>
      <c r="T234" s="10">
        <f t="shared" ca="1" si="1268"/>
        <v>0</v>
      </c>
      <c r="U234" s="10">
        <f t="shared" ca="1" si="1268"/>
        <v>0</v>
      </c>
      <c r="V234" s="10">
        <f t="shared" ca="1" si="1268"/>
        <v>0</v>
      </c>
      <c r="W234" s="10">
        <f t="shared" ca="1" si="1268"/>
        <v>0</v>
      </c>
      <c r="X234" s="10">
        <f t="shared" ca="1" si="1268"/>
        <v>0</v>
      </c>
      <c r="Y234" s="10">
        <f t="shared" ca="1" si="1268"/>
        <v>0</v>
      </c>
      <c r="Z234" s="10">
        <f t="shared" ca="1" si="1268"/>
        <v>0</v>
      </c>
      <c r="AA234" s="10">
        <f t="shared" ca="1" si="1268"/>
        <v>0</v>
      </c>
      <c r="AB234" s="10">
        <f t="shared" ca="1" si="1268"/>
        <v>0</v>
      </c>
      <c r="AC234" s="10">
        <f t="shared" ca="1" si="1268"/>
        <v>0</v>
      </c>
      <c r="AD234" s="10">
        <f t="shared" ca="1" si="1268"/>
        <v>0</v>
      </c>
      <c r="AE234" s="10">
        <f t="shared" ca="1" si="1268"/>
        <v>0</v>
      </c>
      <c r="AF234" s="10">
        <f t="shared" ca="1" si="1268"/>
        <v>0</v>
      </c>
      <c r="AG234" s="10">
        <f t="shared" ca="1" si="1268"/>
        <v>0</v>
      </c>
      <c r="AH234" s="10">
        <f t="shared" ca="1" si="1268"/>
        <v>0</v>
      </c>
      <c r="AI234" s="10">
        <f t="shared" ca="1" si="1268"/>
        <v>0</v>
      </c>
      <c r="AJ234" s="10">
        <f t="shared" ca="1" si="1268"/>
        <v>0</v>
      </c>
      <c r="AK234" s="10">
        <f t="shared" ca="1" si="1268"/>
        <v>0</v>
      </c>
      <c r="AL234" s="10">
        <f t="shared" ca="1" si="1268"/>
        <v>0</v>
      </c>
      <c r="AM234" s="10">
        <f t="shared" ca="1" si="1268"/>
        <v>0</v>
      </c>
      <c r="AN234" s="10">
        <f t="shared" ca="1" si="1268"/>
        <v>0</v>
      </c>
      <c r="AO234" s="10">
        <f t="shared" ca="1" si="1268"/>
        <v>0</v>
      </c>
      <c r="AP234" s="10">
        <f t="shared" ca="1" si="1268"/>
        <v>0</v>
      </c>
      <c r="AQ234" s="10">
        <f t="shared" ca="1" si="1268"/>
        <v>0</v>
      </c>
      <c r="AR234" s="10">
        <f t="shared" ref="AR234:BW234" ca="1" si="1269" xml:space="preserve"> AR226 * CAPEX_Accumulated_From_Date</f>
        <v>0</v>
      </c>
      <c r="AS234" s="10">
        <f t="shared" ca="1" si="1269"/>
        <v>0</v>
      </c>
      <c r="AT234" s="10">
        <f t="shared" ca="1" si="1269"/>
        <v>0</v>
      </c>
      <c r="AU234" s="10">
        <f t="shared" ca="1" si="1269"/>
        <v>0</v>
      </c>
      <c r="AV234" s="10">
        <f t="shared" ca="1" si="1269"/>
        <v>0</v>
      </c>
      <c r="AW234" s="10">
        <f t="shared" ca="1" si="1269"/>
        <v>0</v>
      </c>
      <c r="AX234" s="10">
        <f t="shared" ca="1" si="1269"/>
        <v>0</v>
      </c>
      <c r="AY234" s="10">
        <f t="shared" ca="1" si="1269"/>
        <v>0</v>
      </c>
      <c r="AZ234" s="10">
        <f t="shared" ca="1" si="1269"/>
        <v>0</v>
      </c>
      <c r="BA234" s="10">
        <f t="shared" ca="1" si="1269"/>
        <v>0</v>
      </c>
      <c r="BB234" s="10">
        <f t="shared" ca="1" si="1269"/>
        <v>0</v>
      </c>
      <c r="BC234" s="10">
        <f t="shared" ca="1" si="1269"/>
        <v>0</v>
      </c>
      <c r="BD234" s="10">
        <f t="shared" ca="1" si="1269"/>
        <v>0</v>
      </c>
      <c r="BE234" s="10">
        <f t="shared" ca="1" si="1269"/>
        <v>0</v>
      </c>
      <c r="BF234" s="10">
        <f t="shared" ca="1" si="1269"/>
        <v>0</v>
      </c>
      <c r="BG234" s="10">
        <f t="shared" ca="1" si="1269"/>
        <v>0</v>
      </c>
      <c r="BH234" s="10">
        <f t="shared" ca="1" si="1269"/>
        <v>0</v>
      </c>
      <c r="BI234" s="10">
        <f t="shared" ca="1" si="1269"/>
        <v>0</v>
      </c>
      <c r="BJ234" s="10">
        <f t="shared" ca="1" si="1269"/>
        <v>0</v>
      </c>
      <c r="BK234" s="10">
        <f t="shared" ca="1" si="1269"/>
        <v>0</v>
      </c>
      <c r="BL234" s="10">
        <f t="shared" ca="1" si="1269"/>
        <v>0</v>
      </c>
      <c r="BM234" s="10">
        <f t="shared" ca="1" si="1269"/>
        <v>0</v>
      </c>
      <c r="BN234" s="10">
        <f t="shared" ca="1" si="1269"/>
        <v>0</v>
      </c>
      <c r="BO234" s="10">
        <f t="shared" ca="1" si="1269"/>
        <v>0</v>
      </c>
      <c r="BP234" s="10">
        <f t="shared" ca="1" si="1269"/>
        <v>0</v>
      </c>
      <c r="BQ234" s="10">
        <f t="shared" ca="1" si="1269"/>
        <v>0</v>
      </c>
      <c r="BR234" s="10">
        <f t="shared" ca="1" si="1269"/>
        <v>0</v>
      </c>
      <c r="BS234" s="10">
        <f t="shared" ca="1" si="1269"/>
        <v>0</v>
      </c>
      <c r="BT234" s="10">
        <f t="shared" ca="1" si="1269"/>
        <v>0</v>
      </c>
      <c r="BU234" s="10">
        <f t="shared" ca="1" si="1269"/>
        <v>0</v>
      </c>
      <c r="BV234" s="10">
        <f t="shared" ca="1" si="1269"/>
        <v>0</v>
      </c>
      <c r="BW234" s="10">
        <f t="shared" ca="1" si="1269"/>
        <v>0</v>
      </c>
      <c r="BX234" s="10">
        <f t="shared" ref="BX234:CO234" ca="1" si="1270" xml:space="preserve"> BX226 * CAPEX_Accumulated_From_Date</f>
        <v>0</v>
      </c>
      <c r="BY234" s="10">
        <f t="shared" ca="1" si="1270"/>
        <v>0</v>
      </c>
      <c r="BZ234" s="10">
        <f t="shared" ca="1" si="1270"/>
        <v>0</v>
      </c>
      <c r="CA234" s="10">
        <f t="shared" ca="1" si="1270"/>
        <v>0</v>
      </c>
      <c r="CB234" s="10">
        <f t="shared" ca="1" si="1270"/>
        <v>0</v>
      </c>
      <c r="CC234" s="10">
        <f t="shared" ca="1" si="1270"/>
        <v>0</v>
      </c>
      <c r="CD234" s="10">
        <f t="shared" ca="1" si="1270"/>
        <v>0</v>
      </c>
      <c r="CE234" s="10">
        <f t="shared" ca="1" si="1270"/>
        <v>0</v>
      </c>
      <c r="CF234" s="10">
        <f t="shared" ca="1" si="1270"/>
        <v>0</v>
      </c>
      <c r="CG234" s="10">
        <f t="shared" ca="1" si="1270"/>
        <v>0</v>
      </c>
      <c r="CH234" s="10">
        <f t="shared" ca="1" si="1270"/>
        <v>0</v>
      </c>
      <c r="CI234" s="10">
        <f t="shared" ca="1" si="1270"/>
        <v>0</v>
      </c>
      <c r="CJ234" s="10">
        <f t="shared" ca="1" si="1270"/>
        <v>0</v>
      </c>
      <c r="CK234" s="10">
        <f t="shared" ca="1" si="1270"/>
        <v>0</v>
      </c>
      <c r="CL234" s="10">
        <f t="shared" ca="1" si="1270"/>
        <v>0</v>
      </c>
      <c r="CM234" s="10">
        <f t="shared" ca="1" si="1270"/>
        <v>0</v>
      </c>
      <c r="CN234" s="10">
        <f t="shared" ca="1" si="1270"/>
        <v>0</v>
      </c>
      <c r="CO234" s="10">
        <f t="shared" ca="1" si="1270"/>
        <v>0</v>
      </c>
    </row>
    <row r="235" spans="1:93" ht="15" thickTop="1">
      <c r="A235" s="77"/>
      <c r="B235" s="101"/>
      <c r="C235" s="49" t="s">
        <v>858</v>
      </c>
      <c r="D235" s="49"/>
      <c r="E235" s="136"/>
      <c r="F235" s="49"/>
      <c r="G235" s="159" t="str">
        <f xml:space="preserve"> Monetary_Unit</f>
        <v>тыс. руб.</v>
      </c>
      <c r="H235" s="49"/>
      <c r="I235" s="23">
        <f ca="1">SUM(L235:CO235)</f>
        <v>0</v>
      </c>
      <c r="J235" s="49"/>
      <c r="K235" s="49"/>
      <c r="L235" s="49">
        <f t="shared" ref="L235:R235" ca="1" si="1271" xml:space="preserve"> SUM(L231:L234)</f>
        <v>0</v>
      </c>
      <c r="M235" s="49">
        <f t="shared" ca="1" si="1271"/>
        <v>0</v>
      </c>
      <c r="N235" s="49">
        <f t="shared" ca="1" si="1271"/>
        <v>0</v>
      </c>
      <c r="O235" s="49">
        <f t="shared" ca="1" si="1271"/>
        <v>0</v>
      </c>
      <c r="P235" s="49">
        <f t="shared" ca="1" si="1271"/>
        <v>0</v>
      </c>
      <c r="Q235" s="49">
        <f t="shared" ca="1" si="1271"/>
        <v>0</v>
      </c>
      <c r="R235" s="49">
        <f t="shared" ca="1" si="1271"/>
        <v>0</v>
      </c>
      <c r="S235" s="49">
        <f t="shared" ref="S235" ca="1" si="1272" xml:space="preserve"> SUM(S231:S234)</f>
        <v>0</v>
      </c>
      <c r="T235" s="49">
        <f t="shared" ref="T235:CE235" ca="1" si="1273" xml:space="preserve"> SUM(T231:T234)</f>
        <v>0</v>
      </c>
      <c r="U235" s="49">
        <f t="shared" ca="1" si="1273"/>
        <v>0</v>
      </c>
      <c r="V235" s="49">
        <f t="shared" ca="1" si="1273"/>
        <v>0</v>
      </c>
      <c r="W235" s="49">
        <f t="shared" ca="1" si="1273"/>
        <v>0</v>
      </c>
      <c r="X235" s="49">
        <f t="shared" ca="1" si="1273"/>
        <v>0</v>
      </c>
      <c r="Y235" s="49">
        <f t="shared" ca="1" si="1273"/>
        <v>0</v>
      </c>
      <c r="Z235" s="49">
        <f t="shared" ca="1" si="1273"/>
        <v>0</v>
      </c>
      <c r="AA235" s="49">
        <f t="shared" ca="1" si="1273"/>
        <v>0</v>
      </c>
      <c r="AB235" s="49">
        <f t="shared" ca="1" si="1273"/>
        <v>0</v>
      </c>
      <c r="AC235" s="49">
        <f t="shared" ca="1" si="1273"/>
        <v>0</v>
      </c>
      <c r="AD235" s="49">
        <f t="shared" ca="1" si="1273"/>
        <v>0</v>
      </c>
      <c r="AE235" s="49">
        <f t="shared" ca="1" si="1273"/>
        <v>0</v>
      </c>
      <c r="AF235" s="49">
        <f t="shared" ca="1" si="1273"/>
        <v>0</v>
      </c>
      <c r="AG235" s="49">
        <f t="shared" ca="1" si="1273"/>
        <v>0</v>
      </c>
      <c r="AH235" s="49">
        <f t="shared" ca="1" si="1273"/>
        <v>0</v>
      </c>
      <c r="AI235" s="49">
        <f t="shared" ca="1" si="1273"/>
        <v>0</v>
      </c>
      <c r="AJ235" s="49">
        <f t="shared" ca="1" si="1273"/>
        <v>0</v>
      </c>
      <c r="AK235" s="49">
        <f t="shared" ca="1" si="1273"/>
        <v>0</v>
      </c>
      <c r="AL235" s="49">
        <f t="shared" ca="1" si="1273"/>
        <v>0</v>
      </c>
      <c r="AM235" s="49">
        <f t="shared" ca="1" si="1273"/>
        <v>0</v>
      </c>
      <c r="AN235" s="49">
        <f t="shared" ca="1" si="1273"/>
        <v>0</v>
      </c>
      <c r="AO235" s="49">
        <f t="shared" ca="1" si="1273"/>
        <v>0</v>
      </c>
      <c r="AP235" s="49">
        <f t="shared" ca="1" si="1273"/>
        <v>0</v>
      </c>
      <c r="AQ235" s="49">
        <f t="shared" ca="1" si="1273"/>
        <v>0</v>
      </c>
      <c r="AR235" s="49">
        <f t="shared" ca="1" si="1273"/>
        <v>0</v>
      </c>
      <c r="AS235" s="49">
        <f t="shared" ca="1" si="1273"/>
        <v>0</v>
      </c>
      <c r="AT235" s="49">
        <f t="shared" ca="1" si="1273"/>
        <v>0</v>
      </c>
      <c r="AU235" s="49">
        <f t="shared" ca="1" si="1273"/>
        <v>0</v>
      </c>
      <c r="AV235" s="49">
        <f t="shared" ca="1" si="1273"/>
        <v>0</v>
      </c>
      <c r="AW235" s="49">
        <f t="shared" ca="1" si="1273"/>
        <v>0</v>
      </c>
      <c r="AX235" s="49">
        <f t="shared" ca="1" si="1273"/>
        <v>0</v>
      </c>
      <c r="AY235" s="49">
        <f t="shared" ca="1" si="1273"/>
        <v>0</v>
      </c>
      <c r="AZ235" s="49">
        <f t="shared" ca="1" si="1273"/>
        <v>0</v>
      </c>
      <c r="BA235" s="49">
        <f t="shared" ca="1" si="1273"/>
        <v>0</v>
      </c>
      <c r="BB235" s="49">
        <f t="shared" ca="1" si="1273"/>
        <v>0</v>
      </c>
      <c r="BC235" s="49">
        <f t="shared" ca="1" si="1273"/>
        <v>0</v>
      </c>
      <c r="BD235" s="49">
        <f t="shared" ca="1" si="1273"/>
        <v>0</v>
      </c>
      <c r="BE235" s="49">
        <f t="shared" ca="1" si="1273"/>
        <v>0</v>
      </c>
      <c r="BF235" s="49">
        <f t="shared" ca="1" si="1273"/>
        <v>0</v>
      </c>
      <c r="BG235" s="49">
        <f t="shared" ca="1" si="1273"/>
        <v>0</v>
      </c>
      <c r="BH235" s="49">
        <f t="shared" ca="1" si="1273"/>
        <v>0</v>
      </c>
      <c r="BI235" s="49">
        <f t="shared" ca="1" si="1273"/>
        <v>0</v>
      </c>
      <c r="BJ235" s="49">
        <f t="shared" ca="1" si="1273"/>
        <v>0</v>
      </c>
      <c r="BK235" s="49">
        <f t="shared" ca="1" si="1273"/>
        <v>0</v>
      </c>
      <c r="BL235" s="49">
        <f t="shared" ca="1" si="1273"/>
        <v>0</v>
      </c>
      <c r="BM235" s="49">
        <f t="shared" ca="1" si="1273"/>
        <v>0</v>
      </c>
      <c r="BN235" s="49">
        <f t="shared" ca="1" si="1273"/>
        <v>0</v>
      </c>
      <c r="BO235" s="49">
        <f t="shared" ca="1" si="1273"/>
        <v>0</v>
      </c>
      <c r="BP235" s="49">
        <f t="shared" ca="1" si="1273"/>
        <v>0</v>
      </c>
      <c r="BQ235" s="49">
        <f t="shared" ca="1" si="1273"/>
        <v>0</v>
      </c>
      <c r="BR235" s="49">
        <f t="shared" ca="1" si="1273"/>
        <v>0</v>
      </c>
      <c r="BS235" s="49">
        <f t="shared" ca="1" si="1273"/>
        <v>0</v>
      </c>
      <c r="BT235" s="49">
        <f t="shared" ca="1" si="1273"/>
        <v>0</v>
      </c>
      <c r="BU235" s="49">
        <f t="shared" ca="1" si="1273"/>
        <v>0</v>
      </c>
      <c r="BV235" s="49">
        <f t="shared" ca="1" si="1273"/>
        <v>0</v>
      </c>
      <c r="BW235" s="49">
        <f t="shared" ca="1" si="1273"/>
        <v>0</v>
      </c>
      <c r="BX235" s="49">
        <f t="shared" ca="1" si="1273"/>
        <v>0</v>
      </c>
      <c r="BY235" s="49">
        <f t="shared" ca="1" si="1273"/>
        <v>0</v>
      </c>
      <c r="BZ235" s="49">
        <f t="shared" ca="1" si="1273"/>
        <v>0</v>
      </c>
      <c r="CA235" s="49">
        <f t="shared" ca="1" si="1273"/>
        <v>0</v>
      </c>
      <c r="CB235" s="49">
        <f t="shared" ca="1" si="1273"/>
        <v>0</v>
      </c>
      <c r="CC235" s="49">
        <f t="shared" ca="1" si="1273"/>
        <v>0</v>
      </c>
      <c r="CD235" s="49">
        <f t="shared" ca="1" si="1273"/>
        <v>0</v>
      </c>
      <c r="CE235" s="49">
        <f t="shared" ca="1" si="1273"/>
        <v>0</v>
      </c>
      <c r="CF235" s="49">
        <f t="shared" ref="CF235:CO235" ca="1" si="1274" xml:space="preserve"> SUM(CF231:CF234)</f>
        <v>0</v>
      </c>
      <c r="CG235" s="49">
        <f t="shared" ca="1" si="1274"/>
        <v>0</v>
      </c>
      <c r="CH235" s="49">
        <f t="shared" ca="1" si="1274"/>
        <v>0</v>
      </c>
      <c r="CI235" s="49">
        <f t="shared" ca="1" si="1274"/>
        <v>0</v>
      </c>
      <c r="CJ235" s="49">
        <f t="shared" ca="1" si="1274"/>
        <v>0</v>
      </c>
      <c r="CK235" s="49">
        <f t="shared" ca="1" si="1274"/>
        <v>0</v>
      </c>
      <c r="CL235" s="49">
        <f t="shared" ca="1" si="1274"/>
        <v>0</v>
      </c>
      <c r="CM235" s="49">
        <f t="shared" ca="1" si="1274"/>
        <v>0</v>
      </c>
      <c r="CN235" s="49">
        <f t="shared" ca="1" si="1274"/>
        <v>0</v>
      </c>
      <c r="CO235" s="49">
        <f t="shared" ca="1" si="1274"/>
        <v>0</v>
      </c>
    </row>
    <row r="236" spans="1:93">
      <c r="A236" s="77"/>
      <c r="B236" s="168"/>
      <c r="C236" s="169"/>
      <c r="D236" s="10"/>
      <c r="E236" s="62"/>
      <c r="F236" s="11"/>
      <c r="G236" s="11"/>
      <c r="H236" s="10"/>
      <c r="I236" s="10" t="str">
        <f ca="1">IF(IFERROR(I235=Предпосылки!H326*I96*I113,I235=0),"")</f>
        <v/>
      </c>
      <c r="J236" s="10"/>
      <c r="K236" s="10"/>
      <c r="L236" s="170"/>
      <c r="M236" s="170"/>
      <c r="N236" s="170"/>
      <c r="O236" s="170"/>
      <c r="P236" s="170"/>
      <c r="Q236" s="170"/>
      <c r="R236" s="170"/>
      <c r="S236" s="170"/>
      <c r="T236" s="170"/>
      <c r="U236" s="170"/>
      <c r="V236" s="170"/>
      <c r="W236" s="170"/>
      <c r="X236" s="170"/>
      <c r="Y236" s="170"/>
      <c r="Z236" s="170"/>
      <c r="AA236" s="170"/>
      <c r="AB236" s="170"/>
      <c r="AC236" s="170"/>
      <c r="AD236" s="170"/>
      <c r="AE236" s="170"/>
      <c r="AF236" s="170"/>
      <c r="AG236" s="170"/>
      <c r="AH236" s="170"/>
      <c r="AI236" s="170"/>
      <c r="AJ236" s="170"/>
      <c r="AK236" s="170"/>
      <c r="AL236" s="170"/>
      <c r="AM236" s="170"/>
      <c r="AN236" s="170"/>
      <c r="AO236" s="170"/>
      <c r="AP236" s="170"/>
      <c r="AQ236" s="170"/>
      <c r="AR236" s="170"/>
      <c r="AS236" s="170"/>
      <c r="AT236" s="170"/>
      <c r="AU236" s="170"/>
      <c r="AV236" s="170"/>
      <c r="AW236" s="170"/>
      <c r="AX236" s="170"/>
      <c r="AY236" s="170"/>
      <c r="AZ236" s="170"/>
      <c r="BA236" s="170"/>
      <c r="BB236" s="170"/>
      <c r="BC236" s="170"/>
      <c r="BD236" s="170"/>
      <c r="BE236" s="170"/>
      <c r="BF236" s="170"/>
      <c r="BG236" s="170"/>
      <c r="BH236" s="170"/>
      <c r="BI236" s="170"/>
      <c r="BJ236" s="170"/>
      <c r="BK236" s="170"/>
      <c r="BL236" s="170"/>
      <c r="BM236" s="170"/>
      <c r="BN236" s="170"/>
      <c r="BO236" s="170"/>
      <c r="BP236" s="170"/>
      <c r="BQ236" s="170"/>
      <c r="BR236" s="170"/>
      <c r="BS236" s="170"/>
      <c r="BT236" s="170"/>
      <c r="BU236" s="170"/>
      <c r="BV236" s="170"/>
      <c r="BW236" s="170"/>
      <c r="BX236" s="170"/>
      <c r="BY236" s="170"/>
      <c r="BZ236" s="170"/>
      <c r="CA236" s="170"/>
      <c r="CB236" s="170"/>
      <c r="CC236" s="170"/>
      <c r="CD236" s="170"/>
      <c r="CE236" s="170"/>
      <c r="CF236" s="170"/>
      <c r="CG236" s="170"/>
      <c r="CH236" s="170"/>
      <c r="CI236" s="170"/>
      <c r="CJ236" s="170"/>
      <c r="CK236" s="170"/>
      <c r="CL236" s="170"/>
      <c r="CM236" s="170"/>
      <c r="CN236" s="170"/>
      <c r="CO236" s="170"/>
    </row>
    <row r="237" spans="1:93" ht="15" customHeight="1">
      <c r="A237" s="10"/>
      <c r="B237" s="3"/>
      <c r="C237" s="384" t="str">
        <f>C97</f>
        <v>Сегмент 3: Крытый парк развлечений</v>
      </c>
      <c r="D237" s="273"/>
      <c r="E237" s="273"/>
      <c r="F237" s="273"/>
      <c r="G237" s="274"/>
      <c r="H237" s="273"/>
      <c r="I237" s="273"/>
      <c r="J237" s="273"/>
      <c r="K237" s="273"/>
      <c r="L237" s="273"/>
      <c r="M237" s="273"/>
      <c r="N237" s="273"/>
      <c r="O237" s="273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3"/>
      <c r="AG237" s="273"/>
      <c r="AH237" s="273"/>
      <c r="AI237" s="273"/>
      <c r="AJ237" s="273"/>
      <c r="AK237" s="273"/>
      <c r="AL237" s="273"/>
      <c r="AM237" s="273"/>
      <c r="AN237" s="273"/>
      <c r="AO237" s="273"/>
      <c r="AP237" s="273"/>
      <c r="AQ237" s="273"/>
      <c r="AR237" s="273"/>
      <c r="AS237" s="273"/>
      <c r="AT237" s="273"/>
      <c r="AU237" s="273"/>
      <c r="AV237" s="273"/>
      <c r="AW237" s="273"/>
      <c r="AX237" s="273"/>
      <c r="AY237" s="273"/>
      <c r="AZ237" s="273"/>
      <c r="BA237" s="273"/>
      <c r="BB237" s="273"/>
      <c r="BC237" s="273"/>
      <c r="BD237" s="273"/>
      <c r="BE237" s="273"/>
      <c r="BF237" s="273"/>
      <c r="BG237" s="273"/>
      <c r="BH237" s="273"/>
      <c r="BI237" s="273"/>
      <c r="BJ237" s="273"/>
      <c r="BK237" s="273"/>
      <c r="BL237" s="273"/>
      <c r="BM237" s="273"/>
      <c r="BN237" s="273"/>
      <c r="BO237" s="273"/>
      <c r="BP237" s="273"/>
      <c r="BQ237" s="273"/>
      <c r="BR237" s="273"/>
      <c r="BS237" s="273"/>
      <c r="BT237" s="273"/>
      <c r="BU237" s="273"/>
      <c r="BV237" s="273"/>
      <c r="BW237" s="273"/>
      <c r="BX237" s="273"/>
      <c r="BY237" s="273"/>
      <c r="BZ237" s="273"/>
      <c r="CA237" s="273"/>
      <c r="CB237" s="273"/>
      <c r="CC237" s="273"/>
      <c r="CD237" s="273"/>
      <c r="CE237" s="273"/>
      <c r="CF237" s="273"/>
      <c r="CG237" s="273"/>
      <c r="CH237" s="273"/>
      <c r="CI237" s="273"/>
      <c r="CJ237" s="273"/>
      <c r="CK237" s="273"/>
      <c r="CL237" s="273"/>
      <c r="CM237" s="273"/>
      <c r="CN237" s="273"/>
      <c r="CO237" s="273"/>
    </row>
    <row r="238" spans="1:93">
      <c r="A238" s="77"/>
      <c r="B238" s="168"/>
      <c r="C238" s="169"/>
      <c r="D238" s="10"/>
      <c r="E238" s="62"/>
      <c r="F238" s="11"/>
      <c r="G238" s="11"/>
      <c r="H238" s="10"/>
      <c r="I238" s="10"/>
      <c r="J238" s="10"/>
      <c r="K238" s="10"/>
      <c r="L238" s="170"/>
      <c r="M238" s="170"/>
      <c r="N238" s="170"/>
      <c r="O238" s="170"/>
      <c r="P238" s="170"/>
      <c r="Q238" s="170"/>
      <c r="R238" s="170"/>
      <c r="S238" s="170"/>
      <c r="T238" s="170"/>
      <c r="U238" s="170"/>
      <c r="V238" s="170"/>
      <c r="W238" s="170"/>
      <c r="X238" s="170"/>
      <c r="Y238" s="170"/>
      <c r="Z238" s="170"/>
      <c r="AA238" s="170"/>
      <c r="AB238" s="170"/>
      <c r="AC238" s="170"/>
      <c r="AD238" s="170"/>
      <c r="AE238" s="170"/>
      <c r="AF238" s="170"/>
      <c r="AG238" s="170"/>
      <c r="AH238" s="170"/>
      <c r="AI238" s="170"/>
      <c r="AJ238" s="170"/>
      <c r="AK238" s="170"/>
      <c r="AL238" s="170"/>
      <c r="AM238" s="170"/>
      <c r="AN238" s="170"/>
      <c r="AO238" s="170"/>
      <c r="AP238" s="170"/>
      <c r="AQ238" s="170"/>
      <c r="AR238" s="170"/>
      <c r="AS238" s="170"/>
      <c r="AT238" s="170"/>
      <c r="AU238" s="170"/>
      <c r="AV238" s="170"/>
      <c r="AW238" s="170"/>
      <c r="AX238" s="170"/>
      <c r="AY238" s="170"/>
      <c r="AZ238" s="170"/>
      <c r="BA238" s="170"/>
      <c r="BB238" s="170"/>
      <c r="BC238" s="170"/>
      <c r="BD238" s="170"/>
      <c r="BE238" s="170"/>
      <c r="BF238" s="170"/>
      <c r="BG238" s="170"/>
      <c r="BH238" s="170"/>
      <c r="BI238" s="170"/>
      <c r="BJ238" s="170"/>
      <c r="BK238" s="170"/>
      <c r="BL238" s="170"/>
      <c r="BM238" s="170"/>
      <c r="BN238" s="170"/>
      <c r="BO238" s="170"/>
      <c r="BP238" s="170"/>
      <c r="BQ238" s="170"/>
      <c r="BR238" s="170"/>
      <c r="BS238" s="170"/>
      <c r="BT238" s="170"/>
      <c r="BU238" s="170"/>
      <c r="BV238" s="170"/>
      <c r="BW238" s="170"/>
      <c r="BX238" s="170"/>
      <c r="BY238" s="170"/>
      <c r="BZ238" s="170"/>
      <c r="CA238" s="170"/>
      <c r="CB238" s="170"/>
      <c r="CC238" s="170"/>
      <c r="CD238" s="170"/>
      <c r="CE238" s="170"/>
      <c r="CF238" s="170"/>
      <c r="CG238" s="170"/>
      <c r="CH238" s="170"/>
      <c r="CI238" s="170"/>
      <c r="CJ238" s="170"/>
      <c r="CK238" s="170"/>
      <c r="CL238" s="170"/>
      <c r="CM238" s="170"/>
      <c r="CN238" s="170"/>
      <c r="CO238" s="170"/>
    </row>
    <row r="239" spans="1:93" ht="16" thickBot="1">
      <c r="A239" s="77"/>
      <c r="B239" s="168"/>
      <c r="C239" s="12" t="s">
        <v>651</v>
      </c>
      <c r="D239" s="12"/>
      <c r="E239" s="12"/>
      <c r="F239" s="12"/>
      <c r="G239" s="362"/>
      <c r="H239" s="12"/>
      <c r="I239" s="12"/>
      <c r="J239" s="10"/>
      <c r="K239" s="1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170"/>
      <c r="AK239" s="170"/>
      <c r="AL239" s="170"/>
      <c r="AM239" s="170"/>
      <c r="AN239" s="170"/>
      <c r="AO239" s="170"/>
      <c r="AP239" s="170"/>
      <c r="AQ239" s="170"/>
      <c r="AR239" s="170"/>
      <c r="AS239" s="170"/>
      <c r="AT239" s="170"/>
      <c r="AU239" s="170"/>
      <c r="AV239" s="170"/>
      <c r="AW239" s="170"/>
      <c r="AX239" s="170"/>
      <c r="AY239" s="170"/>
      <c r="AZ239" s="170"/>
      <c r="BA239" s="170"/>
      <c r="BB239" s="170"/>
      <c r="BC239" s="170"/>
      <c r="BD239" s="170"/>
      <c r="BE239" s="170"/>
      <c r="BF239" s="170"/>
      <c r="BG239" s="170"/>
      <c r="BH239" s="170"/>
      <c r="BI239" s="170"/>
      <c r="BJ239" s="170"/>
      <c r="BK239" s="170"/>
      <c r="BL239" s="170"/>
      <c r="BM239" s="170"/>
      <c r="BN239" s="170"/>
      <c r="BO239" s="170"/>
      <c r="BP239" s="170"/>
      <c r="BQ239" s="170"/>
      <c r="BR239" s="170"/>
      <c r="BS239" s="170"/>
      <c r="BT239" s="170"/>
      <c r="BU239" s="170"/>
      <c r="BV239" s="170"/>
      <c r="BW239" s="170"/>
      <c r="BX239" s="170"/>
      <c r="BY239" s="170"/>
      <c r="BZ239" s="170"/>
      <c r="CA239" s="170"/>
      <c r="CB239" s="170"/>
      <c r="CC239" s="170"/>
      <c r="CD239" s="170"/>
      <c r="CE239" s="170"/>
      <c r="CF239" s="170"/>
      <c r="CG239" s="170"/>
      <c r="CH239" s="170"/>
      <c r="CI239" s="170"/>
      <c r="CJ239" s="170"/>
      <c r="CK239" s="170"/>
      <c r="CL239" s="170"/>
      <c r="CM239" s="170"/>
      <c r="CN239" s="170"/>
      <c r="CO239" s="170"/>
    </row>
    <row r="240" spans="1:93">
      <c r="A240" s="77"/>
      <c r="B240" s="168"/>
      <c r="C240" s="169"/>
      <c r="D240" s="10"/>
      <c r="E240" s="62"/>
      <c r="F240" s="11"/>
      <c r="G240" s="11"/>
      <c r="H240" s="10"/>
      <c r="I240" s="10"/>
      <c r="J240" s="10"/>
      <c r="K240" s="1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/>
      <c r="V240" s="170"/>
      <c r="W240" s="170"/>
      <c r="X240" s="170"/>
      <c r="Y240" s="170"/>
      <c r="Z240" s="170"/>
      <c r="AA240" s="170"/>
      <c r="AB240" s="170"/>
      <c r="AC240" s="170"/>
      <c r="AD240" s="170"/>
      <c r="AE240" s="170"/>
      <c r="AF240" s="170"/>
      <c r="AG240" s="170"/>
      <c r="AH240" s="170"/>
      <c r="AI240" s="170"/>
      <c r="AJ240" s="170"/>
      <c r="AK240" s="170"/>
      <c r="AL240" s="170"/>
      <c r="AM240" s="170"/>
      <c r="AN240" s="170"/>
      <c r="AO240" s="170"/>
      <c r="AP240" s="170"/>
      <c r="AQ240" s="170"/>
      <c r="AR240" s="170"/>
      <c r="AS240" s="170"/>
      <c r="AT240" s="170"/>
      <c r="AU240" s="170"/>
      <c r="AV240" s="170"/>
      <c r="AW240" s="170"/>
      <c r="AX240" s="170"/>
      <c r="AY240" s="170"/>
      <c r="AZ240" s="170"/>
      <c r="BA240" s="170"/>
      <c r="BB240" s="170"/>
      <c r="BC240" s="170"/>
      <c r="BD240" s="170"/>
      <c r="BE240" s="170"/>
      <c r="BF240" s="170"/>
      <c r="BG240" s="170"/>
      <c r="BH240" s="170"/>
      <c r="BI240" s="170"/>
      <c r="BJ240" s="170"/>
      <c r="BK240" s="170"/>
      <c r="BL240" s="170"/>
      <c r="BM240" s="170"/>
      <c r="BN240" s="170"/>
      <c r="BO240" s="170"/>
      <c r="BP240" s="170"/>
      <c r="BQ240" s="170"/>
      <c r="BR240" s="170"/>
      <c r="BS240" s="170"/>
      <c r="BT240" s="170"/>
      <c r="BU240" s="170"/>
      <c r="BV240" s="170"/>
      <c r="BW240" s="170"/>
      <c r="BX240" s="170"/>
      <c r="BY240" s="170"/>
      <c r="BZ240" s="170"/>
      <c r="CA240" s="170"/>
      <c r="CB240" s="170"/>
      <c r="CC240" s="170"/>
      <c r="CD240" s="170"/>
      <c r="CE240" s="170"/>
      <c r="CF240" s="170"/>
      <c r="CG240" s="170"/>
      <c r="CH240" s="170"/>
      <c r="CI240" s="170"/>
      <c r="CJ240" s="170"/>
      <c r="CK240" s="170"/>
      <c r="CL240" s="170"/>
      <c r="CM240" s="170"/>
      <c r="CN240" s="170"/>
      <c r="CO240" s="170"/>
    </row>
    <row r="241" spans="1:93">
      <c r="A241" s="77"/>
      <c r="B241" s="168"/>
      <c r="C241" s="17" t="s">
        <v>632</v>
      </c>
      <c r="D241" s="10"/>
      <c r="E241" s="184">
        <f xml:space="preserve"> Предпосылки!E348 * $I$114 * $I$97</f>
        <v>0</v>
      </c>
      <c r="F241" s="11"/>
      <c r="G241" s="11" t="str">
        <f>Monetary_Unit</f>
        <v>тыс. руб.</v>
      </c>
      <c r="H241" s="10"/>
      <c r="I241" s="10"/>
      <c r="J241" s="10"/>
      <c r="K241" s="10"/>
      <c r="L241" s="171">
        <f xml:space="preserve"> Предпосылки!L355</f>
        <v>0</v>
      </c>
      <c r="M241" s="171">
        <f xml:space="preserve"> Предпосылки!M355</f>
        <v>0</v>
      </c>
      <c r="N241" s="171">
        <f xml:space="preserve"> Предпосылки!N355</f>
        <v>0</v>
      </c>
      <c r="O241" s="171">
        <f xml:space="preserve"> Предпосылки!O355</f>
        <v>0</v>
      </c>
      <c r="P241" s="171">
        <f xml:space="preserve"> Предпосылки!P355</f>
        <v>0</v>
      </c>
      <c r="Q241" s="171">
        <f xml:space="preserve"> Предпосылки!Q355</f>
        <v>0</v>
      </c>
      <c r="R241" s="171">
        <f xml:space="preserve"> Предпосылки!R355</f>
        <v>0</v>
      </c>
      <c r="S241" s="171">
        <f xml:space="preserve"> Предпосылки!S355</f>
        <v>0</v>
      </c>
      <c r="T241" s="171">
        <f xml:space="preserve"> Предпосылки!T355</f>
        <v>0</v>
      </c>
      <c r="U241" s="171">
        <f xml:space="preserve"> Предпосылки!U355</f>
        <v>0</v>
      </c>
      <c r="V241" s="171">
        <f xml:space="preserve"> Предпосылки!V355</f>
        <v>0</v>
      </c>
      <c r="W241" s="171">
        <f xml:space="preserve"> Предпосылки!W355</f>
        <v>0</v>
      </c>
      <c r="X241" s="171">
        <f xml:space="preserve"> Предпосылки!X355</f>
        <v>0</v>
      </c>
      <c r="Y241" s="171">
        <f xml:space="preserve"> Предпосылки!Y355</f>
        <v>0</v>
      </c>
      <c r="Z241" s="171">
        <f xml:space="preserve"> Предпосылки!Z355</f>
        <v>0</v>
      </c>
      <c r="AA241" s="171">
        <f xml:space="preserve"> Предпосылки!AA355</f>
        <v>0</v>
      </c>
      <c r="AB241" s="171">
        <f xml:space="preserve"> Предпосылки!AB355</f>
        <v>0</v>
      </c>
      <c r="AC241" s="171">
        <f xml:space="preserve"> Предпосылки!AC355</f>
        <v>0</v>
      </c>
      <c r="AD241" s="171">
        <f xml:space="preserve"> Предпосылки!AD355</f>
        <v>0</v>
      </c>
      <c r="AE241" s="171">
        <f xml:space="preserve"> Предпосылки!AE355</f>
        <v>0</v>
      </c>
      <c r="AF241" s="171">
        <f xml:space="preserve"> Предпосылки!AF355</f>
        <v>0</v>
      </c>
      <c r="AG241" s="171">
        <f xml:space="preserve"> Предпосылки!AG355</f>
        <v>0</v>
      </c>
      <c r="AH241" s="171">
        <f xml:space="preserve"> Предпосылки!AH355</f>
        <v>0</v>
      </c>
      <c r="AI241" s="171">
        <f xml:space="preserve"> Предпосылки!AI355</f>
        <v>0</v>
      </c>
      <c r="AJ241" s="171">
        <f xml:space="preserve"> Предпосылки!AJ355</f>
        <v>0</v>
      </c>
      <c r="AK241" s="171">
        <f xml:space="preserve"> Предпосылки!AK355</f>
        <v>0</v>
      </c>
      <c r="AL241" s="171">
        <f xml:space="preserve"> Предпосылки!AL355</f>
        <v>0</v>
      </c>
      <c r="AM241" s="171">
        <f xml:space="preserve"> Предпосылки!AM355</f>
        <v>0</v>
      </c>
      <c r="AN241" s="171">
        <f xml:space="preserve"> Предпосылки!AN355</f>
        <v>0</v>
      </c>
      <c r="AO241" s="171">
        <f xml:space="preserve"> Предпосылки!AO355</f>
        <v>0</v>
      </c>
      <c r="AP241" s="171">
        <f xml:space="preserve"> Предпосылки!AP355</f>
        <v>0</v>
      </c>
      <c r="AQ241" s="171">
        <f xml:space="preserve"> Предпосылки!AQ355</f>
        <v>0</v>
      </c>
      <c r="AR241" s="171">
        <f xml:space="preserve"> Предпосылки!AR355</f>
        <v>0</v>
      </c>
      <c r="AS241" s="171">
        <f xml:space="preserve"> Предпосылки!AS355</f>
        <v>0</v>
      </c>
      <c r="AT241" s="171">
        <f xml:space="preserve"> Предпосылки!AT355</f>
        <v>0</v>
      </c>
      <c r="AU241" s="171">
        <f xml:space="preserve"> Предпосылки!AU355</f>
        <v>0</v>
      </c>
      <c r="AV241" s="171">
        <f xml:space="preserve"> Предпосылки!AV355</f>
        <v>0</v>
      </c>
      <c r="AW241" s="171">
        <f xml:space="preserve"> Предпосылки!AW355</f>
        <v>0</v>
      </c>
      <c r="AX241" s="171">
        <f xml:space="preserve"> Предпосылки!AX355</f>
        <v>0</v>
      </c>
      <c r="AY241" s="171">
        <f xml:space="preserve"> Предпосылки!AY355</f>
        <v>0</v>
      </c>
      <c r="AZ241" s="171">
        <f xml:space="preserve"> Предпосылки!AZ355</f>
        <v>0</v>
      </c>
      <c r="BA241" s="171">
        <f xml:space="preserve"> Предпосылки!BA355</f>
        <v>0</v>
      </c>
      <c r="BB241" s="171">
        <f xml:space="preserve"> Предпосылки!BB355</f>
        <v>0</v>
      </c>
      <c r="BC241" s="171">
        <f xml:space="preserve"> Предпосылки!BC355</f>
        <v>0</v>
      </c>
      <c r="BD241" s="171">
        <f xml:space="preserve"> Предпосылки!BD355</f>
        <v>0</v>
      </c>
      <c r="BE241" s="171">
        <f xml:space="preserve"> Предпосылки!BE355</f>
        <v>0</v>
      </c>
      <c r="BF241" s="171">
        <f xml:space="preserve"> Предпосылки!BF355</f>
        <v>0</v>
      </c>
      <c r="BG241" s="171">
        <f xml:space="preserve"> Предпосылки!BG355</f>
        <v>0</v>
      </c>
      <c r="BH241" s="171">
        <f xml:space="preserve"> Предпосылки!BH355</f>
        <v>0</v>
      </c>
      <c r="BI241" s="171">
        <f xml:space="preserve"> Предпосылки!BI355</f>
        <v>0</v>
      </c>
      <c r="BJ241" s="171">
        <f xml:space="preserve"> Предпосылки!BJ355</f>
        <v>0</v>
      </c>
      <c r="BK241" s="171">
        <f xml:space="preserve"> Предпосылки!BK355</f>
        <v>0</v>
      </c>
      <c r="BL241" s="171">
        <f xml:space="preserve"> Предпосылки!BL355</f>
        <v>0</v>
      </c>
      <c r="BM241" s="171">
        <f xml:space="preserve"> Предпосылки!BM355</f>
        <v>0</v>
      </c>
      <c r="BN241" s="171">
        <f xml:space="preserve"> Предпосылки!BN355</f>
        <v>0</v>
      </c>
      <c r="BO241" s="171">
        <f xml:space="preserve"> Предпосылки!BO355</f>
        <v>0</v>
      </c>
      <c r="BP241" s="171">
        <f xml:space="preserve"> Предпосылки!BP355</f>
        <v>0</v>
      </c>
      <c r="BQ241" s="171">
        <f xml:space="preserve"> Предпосылки!BQ355</f>
        <v>0</v>
      </c>
      <c r="BR241" s="171">
        <f xml:space="preserve"> Предпосылки!BR355</f>
        <v>0</v>
      </c>
      <c r="BS241" s="171">
        <f xml:space="preserve"> Предпосылки!BS355</f>
        <v>0</v>
      </c>
      <c r="BT241" s="171">
        <f xml:space="preserve"> Предпосылки!BT355</f>
        <v>0</v>
      </c>
      <c r="BU241" s="171">
        <f xml:space="preserve"> Предпосылки!BU355</f>
        <v>0</v>
      </c>
      <c r="BV241" s="171">
        <f xml:space="preserve"> Предпосылки!BV355</f>
        <v>0</v>
      </c>
      <c r="BW241" s="171">
        <f xml:space="preserve"> Предпосылки!BW355</f>
        <v>0</v>
      </c>
      <c r="BX241" s="171">
        <f xml:space="preserve"> Предпосылки!BX355</f>
        <v>0</v>
      </c>
      <c r="BY241" s="171">
        <f xml:space="preserve"> Предпосылки!BY355</f>
        <v>0</v>
      </c>
      <c r="BZ241" s="171">
        <f xml:space="preserve"> Предпосылки!BZ355</f>
        <v>0</v>
      </c>
      <c r="CA241" s="171">
        <f xml:space="preserve"> Предпосылки!CA355</f>
        <v>0</v>
      </c>
      <c r="CB241" s="171">
        <f xml:space="preserve"> Предпосылки!CB355</f>
        <v>0</v>
      </c>
      <c r="CC241" s="171">
        <f xml:space="preserve"> Предпосылки!CC355</f>
        <v>0</v>
      </c>
      <c r="CD241" s="171">
        <f xml:space="preserve"> Предпосылки!CD355</f>
        <v>0</v>
      </c>
      <c r="CE241" s="171">
        <f xml:space="preserve"> Предпосылки!CE355</f>
        <v>0</v>
      </c>
      <c r="CF241" s="171">
        <f xml:space="preserve"> Предпосылки!CF355</f>
        <v>0</v>
      </c>
      <c r="CG241" s="171">
        <f xml:space="preserve"> Предпосылки!CG355</f>
        <v>0</v>
      </c>
      <c r="CH241" s="171">
        <f xml:space="preserve"> Предпосылки!CH355</f>
        <v>0</v>
      </c>
      <c r="CI241" s="171">
        <f xml:space="preserve"> Предпосылки!CI355</f>
        <v>0</v>
      </c>
      <c r="CJ241" s="171">
        <f xml:space="preserve"> Предпосылки!CJ355</f>
        <v>0</v>
      </c>
      <c r="CK241" s="171">
        <f xml:space="preserve"> Предпосылки!CK355</f>
        <v>0</v>
      </c>
      <c r="CL241" s="171">
        <f xml:space="preserve"> Предпосылки!CL355</f>
        <v>0</v>
      </c>
      <c r="CM241" s="171">
        <f xml:space="preserve"> Предпосылки!CM355</f>
        <v>0</v>
      </c>
      <c r="CN241" s="171">
        <f xml:space="preserve"> Предпосылки!CN355</f>
        <v>0</v>
      </c>
      <c r="CO241" s="171">
        <f xml:space="preserve"> Предпосылки!CO355</f>
        <v>0</v>
      </c>
    </row>
    <row r="242" spans="1:93">
      <c r="A242" s="77"/>
      <c r="B242" s="168"/>
      <c r="C242" s="17" t="s">
        <v>634</v>
      </c>
      <c r="D242" s="10"/>
      <c r="E242" s="184">
        <f xml:space="preserve"> Предпосылки!E349 * $I$114 * $I$97</f>
        <v>0</v>
      </c>
      <c r="F242" s="11"/>
      <c r="G242" s="11" t="str">
        <f>Monetary_Unit</f>
        <v>тыс. руб.</v>
      </c>
      <c r="H242" s="10"/>
      <c r="I242" s="10"/>
      <c r="J242" s="10"/>
      <c r="K242" s="10"/>
      <c r="L242" s="171">
        <f xml:space="preserve"> Предпосылки!L356</f>
        <v>0</v>
      </c>
      <c r="M242" s="171">
        <f xml:space="preserve"> Предпосылки!M356</f>
        <v>0</v>
      </c>
      <c r="N242" s="171">
        <f xml:space="preserve"> Предпосылки!N356</f>
        <v>0</v>
      </c>
      <c r="O242" s="171">
        <f xml:space="preserve"> Предпосылки!O356</f>
        <v>0</v>
      </c>
      <c r="P242" s="171">
        <f xml:space="preserve"> Предпосылки!P356</f>
        <v>0</v>
      </c>
      <c r="Q242" s="171">
        <f xml:space="preserve"> Предпосылки!Q356</f>
        <v>0</v>
      </c>
      <c r="R242" s="171">
        <f xml:space="preserve"> Предпосылки!R356</f>
        <v>0</v>
      </c>
      <c r="S242" s="171">
        <f xml:space="preserve"> Предпосылки!S356</f>
        <v>0</v>
      </c>
      <c r="T242" s="171">
        <f xml:space="preserve"> Предпосылки!T356</f>
        <v>0</v>
      </c>
      <c r="U242" s="171">
        <f xml:space="preserve"> Предпосылки!U356</f>
        <v>0</v>
      </c>
      <c r="V242" s="171">
        <f xml:space="preserve"> Предпосылки!V356</f>
        <v>0</v>
      </c>
      <c r="W242" s="171">
        <f xml:space="preserve"> Предпосылки!W356</f>
        <v>0</v>
      </c>
      <c r="X242" s="171">
        <f xml:space="preserve"> Предпосылки!X356</f>
        <v>0</v>
      </c>
      <c r="Y242" s="171">
        <f xml:space="preserve"> Предпосылки!Y356</f>
        <v>0</v>
      </c>
      <c r="Z242" s="171">
        <f xml:space="preserve"> Предпосылки!Z356</f>
        <v>0</v>
      </c>
      <c r="AA242" s="171">
        <f xml:space="preserve"> Предпосылки!AA356</f>
        <v>0</v>
      </c>
      <c r="AB242" s="171">
        <f xml:space="preserve"> Предпосылки!AB356</f>
        <v>0</v>
      </c>
      <c r="AC242" s="171">
        <f xml:space="preserve"> Предпосылки!AC356</f>
        <v>0</v>
      </c>
      <c r="AD242" s="171">
        <f xml:space="preserve"> Предпосылки!AD356</f>
        <v>0</v>
      </c>
      <c r="AE242" s="171">
        <f xml:space="preserve"> Предпосылки!AE356</f>
        <v>0</v>
      </c>
      <c r="AF242" s="171">
        <f xml:space="preserve"> Предпосылки!AF356</f>
        <v>0</v>
      </c>
      <c r="AG242" s="171">
        <f xml:space="preserve"> Предпосылки!AG356</f>
        <v>0</v>
      </c>
      <c r="AH242" s="171">
        <f xml:space="preserve"> Предпосылки!AH356</f>
        <v>0</v>
      </c>
      <c r="AI242" s="171">
        <f xml:space="preserve"> Предпосылки!AI356</f>
        <v>0</v>
      </c>
      <c r="AJ242" s="171">
        <f xml:space="preserve"> Предпосылки!AJ356</f>
        <v>0</v>
      </c>
      <c r="AK242" s="171">
        <f xml:space="preserve"> Предпосылки!AK356</f>
        <v>0</v>
      </c>
      <c r="AL242" s="171">
        <f xml:space="preserve"> Предпосылки!AL356</f>
        <v>0</v>
      </c>
      <c r="AM242" s="171">
        <f xml:space="preserve"> Предпосылки!AM356</f>
        <v>0</v>
      </c>
      <c r="AN242" s="171">
        <f xml:space="preserve"> Предпосылки!AN356</f>
        <v>0</v>
      </c>
      <c r="AO242" s="171">
        <f xml:space="preserve"> Предпосылки!AO356</f>
        <v>0</v>
      </c>
      <c r="AP242" s="171">
        <f xml:space="preserve"> Предпосылки!AP356</f>
        <v>0</v>
      </c>
      <c r="AQ242" s="171">
        <f xml:space="preserve"> Предпосылки!AQ356</f>
        <v>0</v>
      </c>
      <c r="AR242" s="171">
        <f xml:space="preserve"> Предпосылки!AR356</f>
        <v>0</v>
      </c>
      <c r="AS242" s="171">
        <f xml:space="preserve"> Предпосылки!AS356</f>
        <v>0</v>
      </c>
      <c r="AT242" s="171">
        <f xml:space="preserve"> Предпосылки!AT356</f>
        <v>0</v>
      </c>
      <c r="AU242" s="171">
        <f xml:space="preserve"> Предпосылки!AU356</f>
        <v>0</v>
      </c>
      <c r="AV242" s="171">
        <f xml:space="preserve"> Предпосылки!AV356</f>
        <v>0</v>
      </c>
      <c r="AW242" s="171">
        <f xml:space="preserve"> Предпосылки!AW356</f>
        <v>0</v>
      </c>
      <c r="AX242" s="171">
        <f xml:space="preserve"> Предпосылки!AX356</f>
        <v>0</v>
      </c>
      <c r="AY242" s="171">
        <f xml:space="preserve"> Предпосылки!AY356</f>
        <v>0</v>
      </c>
      <c r="AZ242" s="171">
        <f xml:space="preserve"> Предпосылки!AZ356</f>
        <v>0</v>
      </c>
      <c r="BA242" s="171">
        <f xml:space="preserve"> Предпосылки!BA356</f>
        <v>0</v>
      </c>
      <c r="BB242" s="171">
        <f xml:space="preserve"> Предпосылки!BB356</f>
        <v>0</v>
      </c>
      <c r="BC242" s="171">
        <f xml:space="preserve"> Предпосылки!BC356</f>
        <v>0</v>
      </c>
      <c r="BD242" s="171">
        <f xml:space="preserve"> Предпосылки!BD356</f>
        <v>0</v>
      </c>
      <c r="BE242" s="171">
        <f xml:space="preserve"> Предпосылки!BE356</f>
        <v>0</v>
      </c>
      <c r="BF242" s="171">
        <f xml:space="preserve"> Предпосылки!BF356</f>
        <v>0</v>
      </c>
      <c r="BG242" s="171">
        <f xml:space="preserve"> Предпосылки!BG356</f>
        <v>0</v>
      </c>
      <c r="BH242" s="171">
        <f xml:space="preserve"> Предпосылки!BH356</f>
        <v>0</v>
      </c>
      <c r="BI242" s="171">
        <f xml:space="preserve"> Предпосылки!BI356</f>
        <v>0</v>
      </c>
      <c r="BJ242" s="171">
        <f xml:space="preserve"> Предпосылки!BJ356</f>
        <v>0</v>
      </c>
      <c r="BK242" s="171">
        <f xml:space="preserve"> Предпосылки!BK356</f>
        <v>0</v>
      </c>
      <c r="BL242" s="171">
        <f xml:space="preserve"> Предпосылки!BL356</f>
        <v>0</v>
      </c>
      <c r="BM242" s="171">
        <f xml:space="preserve"> Предпосылки!BM356</f>
        <v>0</v>
      </c>
      <c r="BN242" s="171">
        <f xml:space="preserve"> Предпосылки!BN356</f>
        <v>0</v>
      </c>
      <c r="BO242" s="171">
        <f xml:space="preserve"> Предпосылки!BO356</f>
        <v>0</v>
      </c>
      <c r="BP242" s="171">
        <f xml:space="preserve"> Предпосылки!BP356</f>
        <v>0</v>
      </c>
      <c r="BQ242" s="171">
        <f xml:space="preserve"> Предпосылки!BQ356</f>
        <v>0</v>
      </c>
      <c r="BR242" s="171">
        <f xml:space="preserve"> Предпосылки!BR356</f>
        <v>0</v>
      </c>
      <c r="BS242" s="171">
        <f xml:space="preserve"> Предпосылки!BS356</f>
        <v>0</v>
      </c>
      <c r="BT242" s="171">
        <f xml:space="preserve"> Предпосылки!BT356</f>
        <v>0</v>
      </c>
      <c r="BU242" s="171">
        <f xml:space="preserve"> Предпосылки!BU356</f>
        <v>0</v>
      </c>
      <c r="BV242" s="171">
        <f xml:space="preserve"> Предпосылки!BV356</f>
        <v>0</v>
      </c>
      <c r="BW242" s="171">
        <f xml:space="preserve"> Предпосылки!BW356</f>
        <v>0</v>
      </c>
      <c r="BX242" s="171">
        <f xml:space="preserve"> Предпосылки!BX356</f>
        <v>0</v>
      </c>
      <c r="BY242" s="171">
        <f xml:space="preserve"> Предпосылки!BY356</f>
        <v>0</v>
      </c>
      <c r="BZ242" s="171">
        <f xml:space="preserve"> Предпосылки!BZ356</f>
        <v>0</v>
      </c>
      <c r="CA242" s="171">
        <f xml:space="preserve"> Предпосылки!CA356</f>
        <v>0</v>
      </c>
      <c r="CB242" s="171">
        <f xml:space="preserve"> Предпосылки!CB356</f>
        <v>0</v>
      </c>
      <c r="CC242" s="171">
        <f xml:space="preserve"> Предпосылки!CC356</f>
        <v>0</v>
      </c>
      <c r="CD242" s="171">
        <f xml:space="preserve"> Предпосылки!CD356</f>
        <v>0</v>
      </c>
      <c r="CE242" s="171">
        <f xml:space="preserve"> Предпосылки!CE356</f>
        <v>0</v>
      </c>
      <c r="CF242" s="171">
        <f xml:space="preserve"> Предпосылки!CF356</f>
        <v>0</v>
      </c>
      <c r="CG242" s="171">
        <f xml:space="preserve"> Предпосылки!CG356</f>
        <v>0</v>
      </c>
      <c r="CH242" s="171">
        <f xml:space="preserve"> Предпосылки!CH356</f>
        <v>0</v>
      </c>
      <c r="CI242" s="171">
        <f xml:space="preserve"> Предпосылки!CI356</f>
        <v>0</v>
      </c>
      <c r="CJ242" s="171">
        <f xml:space="preserve"> Предпосылки!CJ356</f>
        <v>0</v>
      </c>
      <c r="CK242" s="171">
        <f xml:space="preserve"> Предпосылки!CK356</f>
        <v>0</v>
      </c>
      <c r="CL242" s="171">
        <f xml:space="preserve"> Предпосылки!CL356</f>
        <v>0</v>
      </c>
      <c r="CM242" s="171">
        <f xml:space="preserve"> Предпосылки!CM356</f>
        <v>0</v>
      </c>
      <c r="CN242" s="171">
        <f xml:space="preserve"> Предпосылки!CN356</f>
        <v>0</v>
      </c>
      <c r="CO242" s="171">
        <f xml:space="preserve"> Предпосылки!CO356</f>
        <v>0</v>
      </c>
    </row>
    <row r="243" spans="1:93">
      <c r="A243" s="77"/>
      <c r="B243" s="168"/>
      <c r="C243" s="17" t="s">
        <v>848</v>
      </c>
      <c r="D243" s="10"/>
      <c r="E243" s="184">
        <f xml:space="preserve"> Предпосылки!E350 * $I$114 * $I$97</f>
        <v>0</v>
      </c>
      <c r="F243" s="11"/>
      <c r="G243" s="11" t="str">
        <f>Monetary_Unit</f>
        <v>тыс. руб.</v>
      </c>
      <c r="H243" s="10"/>
      <c r="I243" s="10"/>
      <c r="J243" s="10"/>
      <c r="K243" s="10"/>
      <c r="L243" s="171">
        <f xml:space="preserve"> Предпосылки!L357</f>
        <v>0</v>
      </c>
      <c r="M243" s="171">
        <f xml:space="preserve"> Предпосылки!M357</f>
        <v>0</v>
      </c>
      <c r="N243" s="171">
        <f xml:space="preserve"> Предпосылки!N357</f>
        <v>0</v>
      </c>
      <c r="O243" s="171">
        <f xml:space="preserve"> Предпосылки!O357</f>
        <v>0</v>
      </c>
      <c r="P243" s="171">
        <f xml:space="preserve"> Предпосылки!P357</f>
        <v>0</v>
      </c>
      <c r="Q243" s="171">
        <f xml:space="preserve"> Предпосылки!Q357</f>
        <v>0</v>
      </c>
      <c r="R243" s="171">
        <f xml:space="preserve"> Предпосылки!R357</f>
        <v>0</v>
      </c>
      <c r="S243" s="171">
        <f xml:space="preserve"> Предпосылки!S357</f>
        <v>0</v>
      </c>
      <c r="T243" s="171">
        <f xml:space="preserve"> Предпосылки!T357</f>
        <v>0</v>
      </c>
      <c r="U243" s="171">
        <f xml:space="preserve"> Предпосылки!U357</f>
        <v>0</v>
      </c>
      <c r="V243" s="171">
        <f xml:space="preserve"> Предпосылки!V357</f>
        <v>0</v>
      </c>
      <c r="W243" s="171">
        <f xml:space="preserve"> Предпосылки!W357</f>
        <v>0</v>
      </c>
      <c r="X243" s="171">
        <f xml:space="preserve"> Предпосылки!X357</f>
        <v>0</v>
      </c>
      <c r="Y243" s="171">
        <f xml:space="preserve"> Предпосылки!Y357</f>
        <v>0</v>
      </c>
      <c r="Z243" s="171">
        <f xml:space="preserve"> Предпосылки!Z357</f>
        <v>0</v>
      </c>
      <c r="AA243" s="171">
        <f xml:space="preserve"> Предпосылки!AA357</f>
        <v>0</v>
      </c>
      <c r="AB243" s="171">
        <f xml:space="preserve"> Предпосылки!AB357</f>
        <v>0</v>
      </c>
      <c r="AC243" s="171">
        <f xml:space="preserve"> Предпосылки!AC357</f>
        <v>0</v>
      </c>
      <c r="AD243" s="171">
        <f xml:space="preserve"> Предпосылки!AD357</f>
        <v>0</v>
      </c>
      <c r="AE243" s="171">
        <f xml:space="preserve"> Предпосылки!AE357</f>
        <v>0</v>
      </c>
      <c r="AF243" s="171">
        <f xml:space="preserve"> Предпосылки!AF357</f>
        <v>0</v>
      </c>
      <c r="AG243" s="171">
        <f xml:space="preserve"> Предпосылки!AG357</f>
        <v>0</v>
      </c>
      <c r="AH243" s="171">
        <f xml:space="preserve"> Предпосылки!AH357</f>
        <v>0</v>
      </c>
      <c r="AI243" s="171">
        <f xml:space="preserve"> Предпосылки!AI357</f>
        <v>0</v>
      </c>
      <c r="AJ243" s="171">
        <f xml:space="preserve"> Предпосылки!AJ357</f>
        <v>0</v>
      </c>
      <c r="AK243" s="171">
        <f xml:space="preserve"> Предпосылки!AK357</f>
        <v>0</v>
      </c>
      <c r="AL243" s="171">
        <f xml:space="preserve"> Предпосылки!AL357</f>
        <v>0</v>
      </c>
      <c r="AM243" s="171">
        <f xml:space="preserve"> Предпосылки!AM357</f>
        <v>0</v>
      </c>
      <c r="AN243" s="171">
        <f xml:space="preserve"> Предпосылки!AN357</f>
        <v>0</v>
      </c>
      <c r="AO243" s="171">
        <f xml:space="preserve"> Предпосылки!AO357</f>
        <v>0</v>
      </c>
      <c r="AP243" s="171">
        <f xml:space="preserve"> Предпосылки!AP357</f>
        <v>0</v>
      </c>
      <c r="AQ243" s="171">
        <f xml:space="preserve"> Предпосылки!AQ357</f>
        <v>0</v>
      </c>
      <c r="AR243" s="171">
        <f xml:space="preserve"> Предпосылки!AR357</f>
        <v>0</v>
      </c>
      <c r="AS243" s="171">
        <f xml:space="preserve"> Предпосылки!AS357</f>
        <v>0</v>
      </c>
      <c r="AT243" s="171">
        <f xml:space="preserve"> Предпосылки!AT357</f>
        <v>0</v>
      </c>
      <c r="AU243" s="171">
        <f xml:space="preserve"> Предпосылки!AU357</f>
        <v>0</v>
      </c>
      <c r="AV243" s="171">
        <f xml:space="preserve"> Предпосылки!AV357</f>
        <v>0</v>
      </c>
      <c r="AW243" s="171">
        <f xml:space="preserve"> Предпосылки!AW357</f>
        <v>0</v>
      </c>
      <c r="AX243" s="171">
        <f xml:space="preserve"> Предпосылки!AX357</f>
        <v>0</v>
      </c>
      <c r="AY243" s="171">
        <f xml:space="preserve"> Предпосылки!AY357</f>
        <v>0</v>
      </c>
      <c r="AZ243" s="171">
        <f xml:space="preserve"> Предпосылки!AZ357</f>
        <v>0</v>
      </c>
      <c r="BA243" s="171">
        <f xml:space="preserve"> Предпосылки!BA357</f>
        <v>0</v>
      </c>
      <c r="BB243" s="171">
        <f xml:space="preserve"> Предпосылки!BB357</f>
        <v>0</v>
      </c>
      <c r="BC243" s="171">
        <f xml:space="preserve"> Предпосылки!BC357</f>
        <v>0</v>
      </c>
      <c r="BD243" s="171">
        <f xml:space="preserve"> Предпосылки!BD357</f>
        <v>0</v>
      </c>
      <c r="BE243" s="171">
        <f xml:space="preserve"> Предпосылки!BE357</f>
        <v>0</v>
      </c>
      <c r="BF243" s="171">
        <f xml:space="preserve"> Предпосылки!BF357</f>
        <v>0</v>
      </c>
      <c r="BG243" s="171">
        <f xml:space="preserve"> Предпосылки!BG357</f>
        <v>0</v>
      </c>
      <c r="BH243" s="171">
        <f xml:space="preserve"> Предпосылки!BH357</f>
        <v>0</v>
      </c>
      <c r="BI243" s="171">
        <f xml:space="preserve"> Предпосылки!BI357</f>
        <v>0</v>
      </c>
      <c r="BJ243" s="171">
        <f xml:space="preserve"> Предпосылки!BJ357</f>
        <v>0</v>
      </c>
      <c r="BK243" s="171">
        <f xml:space="preserve"> Предпосылки!BK357</f>
        <v>0</v>
      </c>
      <c r="BL243" s="171">
        <f xml:space="preserve"> Предпосылки!BL357</f>
        <v>0</v>
      </c>
      <c r="BM243" s="171">
        <f xml:space="preserve"> Предпосылки!BM357</f>
        <v>0</v>
      </c>
      <c r="BN243" s="171">
        <f xml:space="preserve"> Предпосылки!BN357</f>
        <v>0</v>
      </c>
      <c r="BO243" s="171">
        <f xml:space="preserve"> Предпосылки!BO357</f>
        <v>0</v>
      </c>
      <c r="BP243" s="171">
        <f xml:space="preserve"> Предпосылки!BP357</f>
        <v>0</v>
      </c>
      <c r="BQ243" s="171">
        <f xml:space="preserve"> Предпосылки!BQ357</f>
        <v>0</v>
      </c>
      <c r="BR243" s="171">
        <f xml:space="preserve"> Предпосылки!BR357</f>
        <v>0</v>
      </c>
      <c r="BS243" s="171">
        <f xml:space="preserve"> Предпосылки!BS357</f>
        <v>0</v>
      </c>
      <c r="BT243" s="171">
        <f xml:space="preserve"> Предпосылки!BT357</f>
        <v>0</v>
      </c>
      <c r="BU243" s="171">
        <f xml:space="preserve"> Предпосылки!BU357</f>
        <v>0</v>
      </c>
      <c r="BV243" s="171">
        <f xml:space="preserve"> Предпосылки!BV357</f>
        <v>0</v>
      </c>
      <c r="BW243" s="171">
        <f xml:space="preserve"> Предпосылки!BW357</f>
        <v>0</v>
      </c>
      <c r="BX243" s="171">
        <f xml:space="preserve"> Предпосылки!BX357</f>
        <v>0</v>
      </c>
      <c r="BY243" s="171">
        <f xml:space="preserve"> Предпосылки!BY357</f>
        <v>0</v>
      </c>
      <c r="BZ243" s="171">
        <f xml:space="preserve"> Предпосылки!BZ357</f>
        <v>0</v>
      </c>
      <c r="CA243" s="171">
        <f xml:space="preserve"> Предпосылки!CA357</f>
        <v>0</v>
      </c>
      <c r="CB243" s="171">
        <f xml:space="preserve"> Предпосылки!CB357</f>
        <v>0</v>
      </c>
      <c r="CC243" s="171">
        <f xml:space="preserve"> Предпосылки!CC357</f>
        <v>0</v>
      </c>
      <c r="CD243" s="171">
        <f xml:space="preserve"> Предпосылки!CD357</f>
        <v>0</v>
      </c>
      <c r="CE243" s="171">
        <f xml:space="preserve"> Предпосылки!CE357</f>
        <v>0</v>
      </c>
      <c r="CF243" s="171">
        <f xml:space="preserve"> Предпосылки!CF357</f>
        <v>0</v>
      </c>
      <c r="CG243" s="171">
        <f xml:space="preserve"> Предпосылки!CG357</f>
        <v>0</v>
      </c>
      <c r="CH243" s="171">
        <f xml:space="preserve"> Предпосылки!CH357</f>
        <v>0</v>
      </c>
      <c r="CI243" s="171">
        <f xml:space="preserve"> Предпосылки!CI357</f>
        <v>0</v>
      </c>
      <c r="CJ243" s="171">
        <f xml:space="preserve"> Предпосылки!CJ357</f>
        <v>0</v>
      </c>
      <c r="CK243" s="171">
        <f xml:space="preserve"> Предпосылки!CK357</f>
        <v>0</v>
      </c>
      <c r="CL243" s="171">
        <f xml:space="preserve"> Предпосылки!CL357</f>
        <v>0</v>
      </c>
      <c r="CM243" s="171">
        <f xml:space="preserve"> Предпосылки!CM357</f>
        <v>0</v>
      </c>
      <c r="CN243" s="171">
        <f xml:space="preserve"> Предпосылки!CN357</f>
        <v>0</v>
      </c>
      <c r="CO243" s="171">
        <f xml:space="preserve"> Предпосылки!CO357</f>
        <v>0</v>
      </c>
    </row>
    <row r="244" spans="1:93">
      <c r="A244" s="77"/>
      <c r="B244" s="168"/>
      <c r="C244" s="17" t="s">
        <v>824</v>
      </c>
      <c r="D244" s="10"/>
      <c r="E244" s="232">
        <f xml:space="preserve"> Предпосылки!E345</f>
        <v>0</v>
      </c>
      <c r="F244" s="11"/>
      <c r="G244" s="11" t="s">
        <v>627</v>
      </c>
      <c r="H244" s="10"/>
      <c r="I244" s="10"/>
      <c r="J244" s="10"/>
      <c r="K244" s="10"/>
      <c r="L244" s="170"/>
      <c r="M244" s="170"/>
      <c r="N244" s="170"/>
      <c r="O244" s="170"/>
      <c r="P244" s="170"/>
      <c r="Q244" s="170"/>
      <c r="R244" s="170"/>
      <c r="S244" s="170"/>
      <c r="T244" s="170"/>
      <c r="U244" s="170"/>
      <c r="V244" s="170"/>
      <c r="W244" s="170"/>
      <c r="X244" s="170"/>
      <c r="Y244" s="170"/>
      <c r="Z244" s="170"/>
      <c r="AA244" s="170"/>
      <c r="AB244" s="170"/>
      <c r="AC244" s="170"/>
      <c r="AD244" s="170"/>
      <c r="AE244" s="170"/>
      <c r="AF244" s="170"/>
      <c r="AG244" s="170"/>
      <c r="AH244" s="170"/>
      <c r="AI244" s="170"/>
      <c r="AJ244" s="170"/>
      <c r="AK244" s="170"/>
      <c r="AL244" s="170"/>
      <c r="AM244" s="170"/>
      <c r="AN244" s="170"/>
      <c r="AO244" s="170"/>
      <c r="AP244" s="170"/>
      <c r="AQ244" s="170"/>
      <c r="AR244" s="170"/>
      <c r="AS244" s="170"/>
      <c r="AT244" s="170"/>
      <c r="AU244" s="170"/>
      <c r="AV244" s="170"/>
      <c r="AW244" s="170"/>
      <c r="AX244" s="170"/>
      <c r="AY244" s="170"/>
      <c r="AZ244" s="170"/>
      <c r="BA244" s="170"/>
      <c r="BB244" s="170"/>
      <c r="BC244" s="170"/>
      <c r="BD244" s="170"/>
      <c r="BE244" s="170"/>
      <c r="BF244" s="170"/>
      <c r="BG244" s="170"/>
      <c r="BH244" s="170"/>
      <c r="BI244" s="170"/>
      <c r="BJ244" s="170"/>
      <c r="BK244" s="170"/>
      <c r="BL244" s="170"/>
      <c r="BM244" s="170"/>
      <c r="BN244" s="170"/>
      <c r="BO244" s="170"/>
      <c r="BP244" s="170"/>
      <c r="BQ244" s="170"/>
      <c r="BR244" s="170"/>
      <c r="BS244" s="170"/>
      <c r="BT244" s="170"/>
      <c r="BU244" s="170"/>
      <c r="BV244" s="170"/>
      <c r="BW244" s="170"/>
      <c r="BX244" s="170"/>
      <c r="BY244" s="170"/>
      <c r="BZ244" s="170"/>
      <c r="CA244" s="170"/>
      <c r="CB244" s="170"/>
      <c r="CC244" s="170"/>
      <c r="CD244" s="170"/>
      <c r="CE244" s="170"/>
      <c r="CF244" s="170"/>
      <c r="CG244" s="170"/>
      <c r="CH244" s="170"/>
      <c r="CI244" s="170"/>
      <c r="CJ244" s="170"/>
      <c r="CK244" s="170"/>
      <c r="CL244" s="170"/>
      <c r="CM244" s="170"/>
      <c r="CN244" s="170"/>
      <c r="CO244" s="170"/>
    </row>
    <row r="245" spans="1:93">
      <c r="A245" s="77"/>
      <c r="B245" s="168"/>
      <c r="C245" s="169"/>
      <c r="D245" s="10"/>
      <c r="E245" s="62"/>
      <c r="F245" s="11"/>
      <c r="G245" s="11"/>
      <c r="H245" s="10"/>
      <c r="I245" s="10"/>
      <c r="J245" s="10"/>
      <c r="K245" s="10"/>
      <c r="L245" s="170"/>
      <c r="M245" s="170"/>
      <c r="N245" s="170"/>
      <c r="O245" s="170"/>
      <c r="P245" s="170"/>
      <c r="Q245" s="170"/>
      <c r="R245" s="170"/>
      <c r="S245" s="170"/>
      <c r="T245" s="170"/>
      <c r="U245" s="170"/>
      <c r="V245" s="170"/>
      <c r="W245" s="170"/>
      <c r="X245" s="170"/>
      <c r="Y245" s="170"/>
      <c r="Z245" s="170"/>
      <c r="AA245" s="170"/>
      <c r="AB245" s="170"/>
      <c r="AC245" s="170"/>
      <c r="AD245" s="170"/>
      <c r="AE245" s="170"/>
      <c r="AF245" s="170"/>
      <c r="AG245" s="170"/>
      <c r="AH245" s="170"/>
      <c r="AI245" s="170"/>
      <c r="AJ245" s="170"/>
      <c r="AK245" s="170"/>
      <c r="AL245" s="170"/>
      <c r="AM245" s="170"/>
      <c r="AN245" s="170"/>
      <c r="AO245" s="170"/>
      <c r="AP245" s="170"/>
      <c r="AQ245" s="170"/>
      <c r="AR245" s="170"/>
      <c r="AS245" s="170"/>
      <c r="AT245" s="170"/>
      <c r="AU245" s="170"/>
      <c r="AV245" s="170"/>
      <c r="AW245" s="170"/>
      <c r="AX245" s="170"/>
      <c r="AY245" s="170"/>
      <c r="AZ245" s="170"/>
      <c r="BA245" s="170"/>
      <c r="BB245" s="170"/>
      <c r="BC245" s="170"/>
      <c r="BD245" s="170"/>
      <c r="BE245" s="170"/>
      <c r="BF245" s="170"/>
      <c r="BG245" s="170"/>
      <c r="BH245" s="170"/>
      <c r="BI245" s="170"/>
      <c r="BJ245" s="170"/>
      <c r="BK245" s="170"/>
      <c r="BL245" s="170"/>
      <c r="BM245" s="170"/>
      <c r="BN245" s="170"/>
      <c r="BO245" s="170"/>
      <c r="BP245" s="170"/>
      <c r="BQ245" s="170"/>
      <c r="BR245" s="170"/>
      <c r="BS245" s="170"/>
      <c r="BT245" s="170"/>
      <c r="BU245" s="170"/>
      <c r="BV245" s="170"/>
      <c r="BW245" s="170"/>
      <c r="BX245" s="170"/>
      <c r="BY245" s="170"/>
      <c r="BZ245" s="170"/>
      <c r="CA245" s="170"/>
      <c r="CB245" s="170"/>
      <c r="CC245" s="170"/>
      <c r="CD245" s="170"/>
      <c r="CE245" s="170"/>
      <c r="CF245" s="170"/>
      <c r="CG245" s="170"/>
      <c r="CH245" s="170"/>
      <c r="CI245" s="170"/>
      <c r="CJ245" s="170"/>
      <c r="CK245" s="170"/>
      <c r="CL245" s="170"/>
      <c r="CM245" s="170"/>
      <c r="CN245" s="170"/>
      <c r="CO245" s="170"/>
    </row>
    <row r="246" spans="1:93">
      <c r="A246" s="77"/>
      <c r="B246" s="168"/>
      <c r="C246" s="17" t="s">
        <v>632</v>
      </c>
      <c r="D246" s="10"/>
      <c r="E246" s="62"/>
      <c r="F246" s="11"/>
      <c r="G246" s="11" t="str">
        <f>Monetary_Unit</f>
        <v>тыс. руб.</v>
      </c>
      <c r="H246" s="10"/>
      <c r="I246" s="23">
        <f>SUM(L246:CO246)</f>
        <v>0</v>
      </c>
      <c r="J246" s="10"/>
      <c r="K246" s="10"/>
      <c r="L246" s="10">
        <f xml:space="preserve"> $E241 * L241</f>
        <v>0</v>
      </c>
      <c r="M246" s="10">
        <f t="shared" ref="M246:BX246" si="1275" xml:space="preserve"> $E241 * M241</f>
        <v>0</v>
      </c>
      <c r="N246" s="10">
        <f t="shared" si="1275"/>
        <v>0</v>
      </c>
      <c r="O246" s="10">
        <f t="shared" si="1275"/>
        <v>0</v>
      </c>
      <c r="P246" s="10">
        <f t="shared" si="1275"/>
        <v>0</v>
      </c>
      <c r="Q246" s="10">
        <f t="shared" si="1275"/>
        <v>0</v>
      </c>
      <c r="R246" s="10">
        <f t="shared" si="1275"/>
        <v>0</v>
      </c>
      <c r="S246" s="10">
        <f t="shared" si="1275"/>
        <v>0</v>
      </c>
      <c r="T246" s="10">
        <f t="shared" si="1275"/>
        <v>0</v>
      </c>
      <c r="U246" s="10">
        <f t="shared" si="1275"/>
        <v>0</v>
      </c>
      <c r="V246" s="10">
        <f t="shared" si="1275"/>
        <v>0</v>
      </c>
      <c r="W246" s="10">
        <f t="shared" si="1275"/>
        <v>0</v>
      </c>
      <c r="X246" s="10">
        <f t="shared" si="1275"/>
        <v>0</v>
      </c>
      <c r="Y246" s="10">
        <f t="shared" si="1275"/>
        <v>0</v>
      </c>
      <c r="Z246" s="10">
        <f t="shared" si="1275"/>
        <v>0</v>
      </c>
      <c r="AA246" s="10">
        <f t="shared" si="1275"/>
        <v>0</v>
      </c>
      <c r="AB246" s="10">
        <f t="shared" si="1275"/>
        <v>0</v>
      </c>
      <c r="AC246" s="10">
        <f t="shared" si="1275"/>
        <v>0</v>
      </c>
      <c r="AD246" s="10">
        <f t="shared" si="1275"/>
        <v>0</v>
      </c>
      <c r="AE246" s="10">
        <f t="shared" si="1275"/>
        <v>0</v>
      </c>
      <c r="AF246" s="10">
        <f t="shared" si="1275"/>
        <v>0</v>
      </c>
      <c r="AG246" s="10">
        <f t="shared" si="1275"/>
        <v>0</v>
      </c>
      <c r="AH246" s="10">
        <f t="shared" si="1275"/>
        <v>0</v>
      </c>
      <c r="AI246" s="10">
        <f t="shared" si="1275"/>
        <v>0</v>
      </c>
      <c r="AJ246" s="10">
        <f t="shared" si="1275"/>
        <v>0</v>
      </c>
      <c r="AK246" s="10">
        <f t="shared" si="1275"/>
        <v>0</v>
      </c>
      <c r="AL246" s="10">
        <f t="shared" si="1275"/>
        <v>0</v>
      </c>
      <c r="AM246" s="10">
        <f t="shared" si="1275"/>
        <v>0</v>
      </c>
      <c r="AN246" s="10">
        <f t="shared" si="1275"/>
        <v>0</v>
      </c>
      <c r="AO246" s="10">
        <f t="shared" si="1275"/>
        <v>0</v>
      </c>
      <c r="AP246" s="10">
        <f t="shared" si="1275"/>
        <v>0</v>
      </c>
      <c r="AQ246" s="10">
        <f t="shared" si="1275"/>
        <v>0</v>
      </c>
      <c r="AR246" s="10">
        <f t="shared" si="1275"/>
        <v>0</v>
      </c>
      <c r="AS246" s="10">
        <f t="shared" si="1275"/>
        <v>0</v>
      </c>
      <c r="AT246" s="10">
        <f t="shared" si="1275"/>
        <v>0</v>
      </c>
      <c r="AU246" s="10">
        <f t="shared" si="1275"/>
        <v>0</v>
      </c>
      <c r="AV246" s="10">
        <f t="shared" si="1275"/>
        <v>0</v>
      </c>
      <c r="AW246" s="10">
        <f t="shared" si="1275"/>
        <v>0</v>
      </c>
      <c r="AX246" s="10">
        <f t="shared" si="1275"/>
        <v>0</v>
      </c>
      <c r="AY246" s="10">
        <f t="shared" si="1275"/>
        <v>0</v>
      </c>
      <c r="AZ246" s="10">
        <f t="shared" si="1275"/>
        <v>0</v>
      </c>
      <c r="BA246" s="10">
        <f t="shared" si="1275"/>
        <v>0</v>
      </c>
      <c r="BB246" s="10">
        <f t="shared" si="1275"/>
        <v>0</v>
      </c>
      <c r="BC246" s="10">
        <f t="shared" si="1275"/>
        <v>0</v>
      </c>
      <c r="BD246" s="10">
        <f t="shared" si="1275"/>
        <v>0</v>
      </c>
      <c r="BE246" s="10">
        <f t="shared" si="1275"/>
        <v>0</v>
      </c>
      <c r="BF246" s="10">
        <f t="shared" si="1275"/>
        <v>0</v>
      </c>
      <c r="BG246" s="10">
        <f t="shared" si="1275"/>
        <v>0</v>
      </c>
      <c r="BH246" s="10">
        <f t="shared" si="1275"/>
        <v>0</v>
      </c>
      <c r="BI246" s="10">
        <f t="shared" si="1275"/>
        <v>0</v>
      </c>
      <c r="BJ246" s="10">
        <f t="shared" si="1275"/>
        <v>0</v>
      </c>
      <c r="BK246" s="10">
        <f t="shared" si="1275"/>
        <v>0</v>
      </c>
      <c r="BL246" s="10">
        <f t="shared" si="1275"/>
        <v>0</v>
      </c>
      <c r="BM246" s="10">
        <f t="shared" si="1275"/>
        <v>0</v>
      </c>
      <c r="BN246" s="10">
        <f t="shared" si="1275"/>
        <v>0</v>
      </c>
      <c r="BO246" s="10">
        <f t="shared" si="1275"/>
        <v>0</v>
      </c>
      <c r="BP246" s="10">
        <f t="shared" si="1275"/>
        <v>0</v>
      </c>
      <c r="BQ246" s="10">
        <f t="shared" si="1275"/>
        <v>0</v>
      </c>
      <c r="BR246" s="10">
        <f t="shared" si="1275"/>
        <v>0</v>
      </c>
      <c r="BS246" s="10">
        <f t="shared" si="1275"/>
        <v>0</v>
      </c>
      <c r="BT246" s="10">
        <f t="shared" si="1275"/>
        <v>0</v>
      </c>
      <c r="BU246" s="10">
        <f t="shared" si="1275"/>
        <v>0</v>
      </c>
      <c r="BV246" s="10">
        <f t="shared" si="1275"/>
        <v>0</v>
      </c>
      <c r="BW246" s="10">
        <f t="shared" si="1275"/>
        <v>0</v>
      </c>
      <c r="BX246" s="10">
        <f t="shared" si="1275"/>
        <v>0</v>
      </c>
      <c r="BY246" s="10">
        <f t="shared" ref="BY246:CO246" si="1276" xml:space="preserve"> $E241 * BY241</f>
        <v>0</v>
      </c>
      <c r="BZ246" s="10">
        <f t="shared" si="1276"/>
        <v>0</v>
      </c>
      <c r="CA246" s="10">
        <f t="shared" si="1276"/>
        <v>0</v>
      </c>
      <c r="CB246" s="10">
        <f t="shared" si="1276"/>
        <v>0</v>
      </c>
      <c r="CC246" s="10">
        <f t="shared" si="1276"/>
        <v>0</v>
      </c>
      <c r="CD246" s="10">
        <f t="shared" si="1276"/>
        <v>0</v>
      </c>
      <c r="CE246" s="10">
        <f t="shared" si="1276"/>
        <v>0</v>
      </c>
      <c r="CF246" s="10">
        <f t="shared" si="1276"/>
        <v>0</v>
      </c>
      <c r="CG246" s="10">
        <f t="shared" si="1276"/>
        <v>0</v>
      </c>
      <c r="CH246" s="10">
        <f t="shared" si="1276"/>
        <v>0</v>
      </c>
      <c r="CI246" s="10">
        <f t="shared" si="1276"/>
        <v>0</v>
      </c>
      <c r="CJ246" s="10">
        <f t="shared" si="1276"/>
        <v>0</v>
      </c>
      <c r="CK246" s="10">
        <f t="shared" si="1276"/>
        <v>0</v>
      </c>
      <c r="CL246" s="10">
        <f t="shared" si="1276"/>
        <v>0</v>
      </c>
      <c r="CM246" s="10">
        <f t="shared" si="1276"/>
        <v>0</v>
      </c>
      <c r="CN246" s="10">
        <f t="shared" si="1276"/>
        <v>0</v>
      </c>
      <c r="CO246" s="10">
        <f t="shared" si="1276"/>
        <v>0</v>
      </c>
    </row>
    <row r="247" spans="1:93">
      <c r="A247" s="77"/>
      <c r="B247" s="168"/>
      <c r="C247" s="17" t="s">
        <v>634</v>
      </c>
      <c r="D247" s="10"/>
      <c r="E247" s="62"/>
      <c r="F247" s="11"/>
      <c r="G247" s="11" t="str">
        <f>Monetary_Unit</f>
        <v>тыс. руб.</v>
      </c>
      <c r="H247" s="10"/>
      <c r="I247" s="23">
        <f>SUM(L247:CO247)</f>
        <v>0</v>
      </c>
      <c r="J247" s="10"/>
      <c r="K247" s="10"/>
      <c r="L247" s="10">
        <f xml:space="preserve"> $E242 * L242</f>
        <v>0</v>
      </c>
      <c r="M247" s="10">
        <f t="shared" ref="M247:BX247" si="1277" xml:space="preserve"> $E242 * M242</f>
        <v>0</v>
      </c>
      <c r="N247" s="10">
        <f t="shared" si="1277"/>
        <v>0</v>
      </c>
      <c r="O247" s="10">
        <f t="shared" si="1277"/>
        <v>0</v>
      </c>
      <c r="P247" s="10">
        <f t="shared" si="1277"/>
        <v>0</v>
      </c>
      <c r="Q247" s="10">
        <f t="shared" si="1277"/>
        <v>0</v>
      </c>
      <c r="R247" s="10">
        <f t="shared" si="1277"/>
        <v>0</v>
      </c>
      <c r="S247" s="10">
        <f t="shared" si="1277"/>
        <v>0</v>
      </c>
      <c r="T247" s="10">
        <f t="shared" si="1277"/>
        <v>0</v>
      </c>
      <c r="U247" s="10">
        <f t="shared" si="1277"/>
        <v>0</v>
      </c>
      <c r="V247" s="10">
        <f t="shared" si="1277"/>
        <v>0</v>
      </c>
      <c r="W247" s="10">
        <f t="shared" si="1277"/>
        <v>0</v>
      </c>
      <c r="X247" s="10">
        <f t="shared" si="1277"/>
        <v>0</v>
      </c>
      <c r="Y247" s="10">
        <f t="shared" si="1277"/>
        <v>0</v>
      </c>
      <c r="Z247" s="10">
        <f t="shared" si="1277"/>
        <v>0</v>
      </c>
      <c r="AA247" s="10">
        <f t="shared" si="1277"/>
        <v>0</v>
      </c>
      <c r="AB247" s="10">
        <f t="shared" si="1277"/>
        <v>0</v>
      </c>
      <c r="AC247" s="10">
        <f t="shared" si="1277"/>
        <v>0</v>
      </c>
      <c r="AD247" s="10">
        <f t="shared" si="1277"/>
        <v>0</v>
      </c>
      <c r="AE247" s="10">
        <f t="shared" si="1277"/>
        <v>0</v>
      </c>
      <c r="AF247" s="10">
        <f t="shared" si="1277"/>
        <v>0</v>
      </c>
      <c r="AG247" s="10">
        <f t="shared" si="1277"/>
        <v>0</v>
      </c>
      <c r="AH247" s="10">
        <f t="shared" si="1277"/>
        <v>0</v>
      </c>
      <c r="AI247" s="10">
        <f t="shared" si="1277"/>
        <v>0</v>
      </c>
      <c r="AJ247" s="10">
        <f t="shared" si="1277"/>
        <v>0</v>
      </c>
      <c r="AK247" s="10">
        <f t="shared" si="1277"/>
        <v>0</v>
      </c>
      <c r="AL247" s="10">
        <f t="shared" si="1277"/>
        <v>0</v>
      </c>
      <c r="AM247" s="10">
        <f t="shared" si="1277"/>
        <v>0</v>
      </c>
      <c r="AN247" s="10">
        <f t="shared" si="1277"/>
        <v>0</v>
      </c>
      <c r="AO247" s="10">
        <f t="shared" si="1277"/>
        <v>0</v>
      </c>
      <c r="AP247" s="10">
        <f t="shared" si="1277"/>
        <v>0</v>
      </c>
      <c r="AQ247" s="10">
        <f t="shared" si="1277"/>
        <v>0</v>
      </c>
      <c r="AR247" s="10">
        <f t="shared" si="1277"/>
        <v>0</v>
      </c>
      <c r="AS247" s="10">
        <f t="shared" si="1277"/>
        <v>0</v>
      </c>
      <c r="AT247" s="10">
        <f t="shared" si="1277"/>
        <v>0</v>
      </c>
      <c r="AU247" s="10">
        <f t="shared" si="1277"/>
        <v>0</v>
      </c>
      <c r="AV247" s="10">
        <f t="shared" si="1277"/>
        <v>0</v>
      </c>
      <c r="AW247" s="10">
        <f t="shared" si="1277"/>
        <v>0</v>
      </c>
      <c r="AX247" s="10">
        <f t="shared" si="1277"/>
        <v>0</v>
      </c>
      <c r="AY247" s="10">
        <f t="shared" si="1277"/>
        <v>0</v>
      </c>
      <c r="AZ247" s="10">
        <f t="shared" si="1277"/>
        <v>0</v>
      </c>
      <c r="BA247" s="10">
        <f t="shared" si="1277"/>
        <v>0</v>
      </c>
      <c r="BB247" s="10">
        <f t="shared" si="1277"/>
        <v>0</v>
      </c>
      <c r="BC247" s="10">
        <f t="shared" si="1277"/>
        <v>0</v>
      </c>
      <c r="BD247" s="10">
        <f t="shared" si="1277"/>
        <v>0</v>
      </c>
      <c r="BE247" s="10">
        <f t="shared" si="1277"/>
        <v>0</v>
      </c>
      <c r="BF247" s="10">
        <f t="shared" si="1277"/>
        <v>0</v>
      </c>
      <c r="BG247" s="10">
        <f t="shared" si="1277"/>
        <v>0</v>
      </c>
      <c r="BH247" s="10">
        <f t="shared" si="1277"/>
        <v>0</v>
      </c>
      <c r="BI247" s="10">
        <f t="shared" si="1277"/>
        <v>0</v>
      </c>
      <c r="BJ247" s="10">
        <f t="shared" si="1277"/>
        <v>0</v>
      </c>
      <c r="BK247" s="10">
        <f t="shared" si="1277"/>
        <v>0</v>
      </c>
      <c r="BL247" s="10">
        <f t="shared" si="1277"/>
        <v>0</v>
      </c>
      <c r="BM247" s="10">
        <f t="shared" si="1277"/>
        <v>0</v>
      </c>
      <c r="BN247" s="10">
        <f t="shared" si="1277"/>
        <v>0</v>
      </c>
      <c r="BO247" s="10">
        <f t="shared" si="1277"/>
        <v>0</v>
      </c>
      <c r="BP247" s="10">
        <f t="shared" si="1277"/>
        <v>0</v>
      </c>
      <c r="BQ247" s="10">
        <f t="shared" si="1277"/>
        <v>0</v>
      </c>
      <c r="BR247" s="10">
        <f t="shared" si="1277"/>
        <v>0</v>
      </c>
      <c r="BS247" s="10">
        <f t="shared" si="1277"/>
        <v>0</v>
      </c>
      <c r="BT247" s="10">
        <f t="shared" si="1277"/>
        <v>0</v>
      </c>
      <c r="BU247" s="10">
        <f t="shared" si="1277"/>
        <v>0</v>
      </c>
      <c r="BV247" s="10">
        <f t="shared" si="1277"/>
        <v>0</v>
      </c>
      <c r="BW247" s="10">
        <f t="shared" si="1277"/>
        <v>0</v>
      </c>
      <c r="BX247" s="10">
        <f t="shared" si="1277"/>
        <v>0</v>
      </c>
      <c r="BY247" s="10">
        <f t="shared" ref="BY247:CO247" si="1278" xml:space="preserve"> $E242 * BY242</f>
        <v>0</v>
      </c>
      <c r="BZ247" s="10">
        <f t="shared" si="1278"/>
        <v>0</v>
      </c>
      <c r="CA247" s="10">
        <f t="shared" si="1278"/>
        <v>0</v>
      </c>
      <c r="CB247" s="10">
        <f t="shared" si="1278"/>
        <v>0</v>
      </c>
      <c r="CC247" s="10">
        <f t="shared" si="1278"/>
        <v>0</v>
      </c>
      <c r="CD247" s="10">
        <f t="shared" si="1278"/>
        <v>0</v>
      </c>
      <c r="CE247" s="10">
        <f t="shared" si="1278"/>
        <v>0</v>
      </c>
      <c r="CF247" s="10">
        <f t="shared" si="1278"/>
        <v>0</v>
      </c>
      <c r="CG247" s="10">
        <f t="shared" si="1278"/>
        <v>0</v>
      </c>
      <c r="CH247" s="10">
        <f t="shared" si="1278"/>
        <v>0</v>
      </c>
      <c r="CI247" s="10">
        <f t="shared" si="1278"/>
        <v>0</v>
      </c>
      <c r="CJ247" s="10">
        <f t="shared" si="1278"/>
        <v>0</v>
      </c>
      <c r="CK247" s="10">
        <f t="shared" si="1278"/>
        <v>0</v>
      </c>
      <c r="CL247" s="10">
        <f t="shared" si="1278"/>
        <v>0</v>
      </c>
      <c r="CM247" s="10">
        <f t="shared" si="1278"/>
        <v>0</v>
      </c>
      <c r="CN247" s="10">
        <f t="shared" si="1278"/>
        <v>0</v>
      </c>
      <c r="CO247" s="10">
        <f t="shared" si="1278"/>
        <v>0</v>
      </c>
    </row>
    <row r="248" spans="1:93">
      <c r="A248" s="77"/>
      <c r="B248" s="168"/>
      <c r="C248" s="17" t="s">
        <v>848</v>
      </c>
      <c r="D248" s="10"/>
      <c r="E248" s="62"/>
      <c r="F248" s="11"/>
      <c r="G248" s="11" t="str">
        <f>Monetary_Unit</f>
        <v>тыс. руб.</v>
      </c>
      <c r="H248" s="10"/>
      <c r="I248" s="23">
        <f>SUM(L248:CO248)</f>
        <v>0</v>
      </c>
      <c r="J248" s="10"/>
      <c r="K248" s="10"/>
      <c r="L248" s="10">
        <f xml:space="preserve"> $E243 * L243</f>
        <v>0</v>
      </c>
      <c r="M248" s="10">
        <f t="shared" ref="M248:BX248" si="1279" xml:space="preserve"> $E243 * M243</f>
        <v>0</v>
      </c>
      <c r="N248" s="10">
        <f t="shared" si="1279"/>
        <v>0</v>
      </c>
      <c r="O248" s="10">
        <f t="shared" si="1279"/>
        <v>0</v>
      </c>
      <c r="P248" s="10">
        <f t="shared" si="1279"/>
        <v>0</v>
      </c>
      <c r="Q248" s="10">
        <f t="shared" si="1279"/>
        <v>0</v>
      </c>
      <c r="R248" s="10">
        <f t="shared" si="1279"/>
        <v>0</v>
      </c>
      <c r="S248" s="10">
        <f t="shared" si="1279"/>
        <v>0</v>
      </c>
      <c r="T248" s="10">
        <f t="shared" si="1279"/>
        <v>0</v>
      </c>
      <c r="U248" s="10">
        <f t="shared" si="1279"/>
        <v>0</v>
      </c>
      <c r="V248" s="10">
        <f t="shared" si="1279"/>
        <v>0</v>
      </c>
      <c r="W248" s="10">
        <f t="shared" si="1279"/>
        <v>0</v>
      </c>
      <c r="X248" s="10">
        <f t="shared" si="1279"/>
        <v>0</v>
      </c>
      <c r="Y248" s="10">
        <f t="shared" si="1279"/>
        <v>0</v>
      </c>
      <c r="Z248" s="10">
        <f t="shared" si="1279"/>
        <v>0</v>
      </c>
      <c r="AA248" s="10">
        <f t="shared" si="1279"/>
        <v>0</v>
      </c>
      <c r="AB248" s="10">
        <f t="shared" si="1279"/>
        <v>0</v>
      </c>
      <c r="AC248" s="10">
        <f t="shared" si="1279"/>
        <v>0</v>
      </c>
      <c r="AD248" s="10">
        <f t="shared" si="1279"/>
        <v>0</v>
      </c>
      <c r="AE248" s="10">
        <f t="shared" si="1279"/>
        <v>0</v>
      </c>
      <c r="AF248" s="10">
        <f t="shared" si="1279"/>
        <v>0</v>
      </c>
      <c r="AG248" s="10">
        <f t="shared" si="1279"/>
        <v>0</v>
      </c>
      <c r="AH248" s="10">
        <f t="shared" si="1279"/>
        <v>0</v>
      </c>
      <c r="AI248" s="10">
        <f t="shared" si="1279"/>
        <v>0</v>
      </c>
      <c r="AJ248" s="10">
        <f t="shared" si="1279"/>
        <v>0</v>
      </c>
      <c r="AK248" s="10">
        <f t="shared" si="1279"/>
        <v>0</v>
      </c>
      <c r="AL248" s="10">
        <f t="shared" si="1279"/>
        <v>0</v>
      </c>
      <c r="AM248" s="10">
        <f t="shared" si="1279"/>
        <v>0</v>
      </c>
      <c r="AN248" s="10">
        <f t="shared" si="1279"/>
        <v>0</v>
      </c>
      <c r="AO248" s="10">
        <f t="shared" si="1279"/>
        <v>0</v>
      </c>
      <c r="AP248" s="10">
        <f t="shared" si="1279"/>
        <v>0</v>
      </c>
      <c r="AQ248" s="10">
        <f t="shared" si="1279"/>
        <v>0</v>
      </c>
      <c r="AR248" s="10">
        <f t="shared" si="1279"/>
        <v>0</v>
      </c>
      <c r="AS248" s="10">
        <f t="shared" si="1279"/>
        <v>0</v>
      </c>
      <c r="AT248" s="10">
        <f t="shared" si="1279"/>
        <v>0</v>
      </c>
      <c r="AU248" s="10">
        <f t="shared" si="1279"/>
        <v>0</v>
      </c>
      <c r="AV248" s="10">
        <f t="shared" si="1279"/>
        <v>0</v>
      </c>
      <c r="AW248" s="10">
        <f t="shared" si="1279"/>
        <v>0</v>
      </c>
      <c r="AX248" s="10">
        <f t="shared" si="1279"/>
        <v>0</v>
      </c>
      <c r="AY248" s="10">
        <f t="shared" si="1279"/>
        <v>0</v>
      </c>
      <c r="AZ248" s="10">
        <f t="shared" si="1279"/>
        <v>0</v>
      </c>
      <c r="BA248" s="10">
        <f t="shared" si="1279"/>
        <v>0</v>
      </c>
      <c r="BB248" s="10">
        <f t="shared" si="1279"/>
        <v>0</v>
      </c>
      <c r="BC248" s="10">
        <f t="shared" si="1279"/>
        <v>0</v>
      </c>
      <c r="BD248" s="10">
        <f t="shared" si="1279"/>
        <v>0</v>
      </c>
      <c r="BE248" s="10">
        <f t="shared" si="1279"/>
        <v>0</v>
      </c>
      <c r="BF248" s="10">
        <f t="shared" si="1279"/>
        <v>0</v>
      </c>
      <c r="BG248" s="10">
        <f t="shared" si="1279"/>
        <v>0</v>
      </c>
      <c r="BH248" s="10">
        <f t="shared" si="1279"/>
        <v>0</v>
      </c>
      <c r="BI248" s="10">
        <f t="shared" si="1279"/>
        <v>0</v>
      </c>
      <c r="BJ248" s="10">
        <f t="shared" si="1279"/>
        <v>0</v>
      </c>
      <c r="BK248" s="10">
        <f t="shared" si="1279"/>
        <v>0</v>
      </c>
      <c r="BL248" s="10">
        <f t="shared" si="1279"/>
        <v>0</v>
      </c>
      <c r="BM248" s="10">
        <f t="shared" si="1279"/>
        <v>0</v>
      </c>
      <c r="BN248" s="10">
        <f t="shared" si="1279"/>
        <v>0</v>
      </c>
      <c r="BO248" s="10">
        <f t="shared" si="1279"/>
        <v>0</v>
      </c>
      <c r="BP248" s="10">
        <f t="shared" si="1279"/>
        <v>0</v>
      </c>
      <c r="BQ248" s="10">
        <f t="shared" si="1279"/>
        <v>0</v>
      </c>
      <c r="BR248" s="10">
        <f t="shared" si="1279"/>
        <v>0</v>
      </c>
      <c r="BS248" s="10">
        <f t="shared" si="1279"/>
        <v>0</v>
      </c>
      <c r="BT248" s="10">
        <f t="shared" si="1279"/>
        <v>0</v>
      </c>
      <c r="BU248" s="10">
        <f t="shared" si="1279"/>
        <v>0</v>
      </c>
      <c r="BV248" s="10">
        <f t="shared" si="1279"/>
        <v>0</v>
      </c>
      <c r="BW248" s="10">
        <f t="shared" si="1279"/>
        <v>0</v>
      </c>
      <c r="BX248" s="10">
        <f t="shared" si="1279"/>
        <v>0</v>
      </c>
      <c r="BY248" s="10">
        <f t="shared" ref="BY248:CO248" si="1280" xml:space="preserve"> $E243 * BY243</f>
        <v>0</v>
      </c>
      <c r="BZ248" s="10">
        <f t="shared" si="1280"/>
        <v>0</v>
      </c>
      <c r="CA248" s="10">
        <f t="shared" si="1280"/>
        <v>0</v>
      </c>
      <c r="CB248" s="10">
        <f t="shared" si="1280"/>
        <v>0</v>
      </c>
      <c r="CC248" s="10">
        <f t="shared" si="1280"/>
        <v>0</v>
      </c>
      <c r="CD248" s="10">
        <f t="shared" si="1280"/>
        <v>0</v>
      </c>
      <c r="CE248" s="10">
        <f t="shared" si="1280"/>
        <v>0</v>
      </c>
      <c r="CF248" s="10">
        <f t="shared" si="1280"/>
        <v>0</v>
      </c>
      <c r="CG248" s="10">
        <f t="shared" si="1280"/>
        <v>0</v>
      </c>
      <c r="CH248" s="10">
        <f t="shared" si="1280"/>
        <v>0</v>
      </c>
      <c r="CI248" s="10">
        <f t="shared" si="1280"/>
        <v>0</v>
      </c>
      <c r="CJ248" s="10">
        <f t="shared" si="1280"/>
        <v>0</v>
      </c>
      <c r="CK248" s="10">
        <f t="shared" si="1280"/>
        <v>0</v>
      </c>
      <c r="CL248" s="10">
        <f t="shared" si="1280"/>
        <v>0</v>
      </c>
      <c r="CM248" s="10">
        <f t="shared" si="1280"/>
        <v>0</v>
      </c>
      <c r="CN248" s="10">
        <f t="shared" si="1280"/>
        <v>0</v>
      </c>
      <c r="CO248" s="10">
        <f t="shared" si="1280"/>
        <v>0</v>
      </c>
    </row>
    <row r="249" spans="1:93" ht="15" thickBot="1">
      <c r="A249" s="77"/>
      <c r="B249" s="168"/>
      <c r="C249" s="17" t="s">
        <v>824</v>
      </c>
      <c r="D249" s="10"/>
      <c r="E249" s="62"/>
      <c r="F249" s="11"/>
      <c r="G249" s="11" t="str">
        <f>Monetary_Unit</f>
        <v>тыс. руб.</v>
      </c>
      <c r="H249" s="10"/>
      <c r="I249" s="23">
        <f>SUM(L249:CO249)</f>
        <v>0</v>
      </c>
      <c r="J249" s="10"/>
      <c r="K249" s="10"/>
      <c r="L249" s="10">
        <f xml:space="preserve"> L248 * $E$244</f>
        <v>0</v>
      </c>
      <c r="M249" s="10">
        <f t="shared" ref="M249:BX249" si="1281" xml:space="preserve"> M248 * $E$244</f>
        <v>0</v>
      </c>
      <c r="N249" s="10">
        <f t="shared" si="1281"/>
        <v>0</v>
      </c>
      <c r="O249" s="10">
        <f t="shared" si="1281"/>
        <v>0</v>
      </c>
      <c r="P249" s="10">
        <f t="shared" si="1281"/>
        <v>0</v>
      </c>
      <c r="Q249" s="10">
        <f t="shared" si="1281"/>
        <v>0</v>
      </c>
      <c r="R249" s="10">
        <f t="shared" si="1281"/>
        <v>0</v>
      </c>
      <c r="S249" s="10">
        <f t="shared" si="1281"/>
        <v>0</v>
      </c>
      <c r="T249" s="10">
        <f t="shared" si="1281"/>
        <v>0</v>
      </c>
      <c r="U249" s="10">
        <f t="shared" si="1281"/>
        <v>0</v>
      </c>
      <c r="V249" s="10">
        <f t="shared" si="1281"/>
        <v>0</v>
      </c>
      <c r="W249" s="10">
        <f t="shared" si="1281"/>
        <v>0</v>
      </c>
      <c r="X249" s="10">
        <f t="shared" si="1281"/>
        <v>0</v>
      </c>
      <c r="Y249" s="10">
        <f t="shared" si="1281"/>
        <v>0</v>
      </c>
      <c r="Z249" s="10">
        <f t="shared" si="1281"/>
        <v>0</v>
      </c>
      <c r="AA249" s="10">
        <f t="shared" si="1281"/>
        <v>0</v>
      </c>
      <c r="AB249" s="10">
        <f t="shared" si="1281"/>
        <v>0</v>
      </c>
      <c r="AC249" s="10">
        <f t="shared" si="1281"/>
        <v>0</v>
      </c>
      <c r="AD249" s="10">
        <f t="shared" si="1281"/>
        <v>0</v>
      </c>
      <c r="AE249" s="10">
        <f t="shared" si="1281"/>
        <v>0</v>
      </c>
      <c r="AF249" s="10">
        <f t="shared" si="1281"/>
        <v>0</v>
      </c>
      <c r="AG249" s="10">
        <f t="shared" si="1281"/>
        <v>0</v>
      </c>
      <c r="AH249" s="10">
        <f t="shared" si="1281"/>
        <v>0</v>
      </c>
      <c r="AI249" s="10">
        <f t="shared" si="1281"/>
        <v>0</v>
      </c>
      <c r="AJ249" s="10">
        <f t="shared" si="1281"/>
        <v>0</v>
      </c>
      <c r="AK249" s="10">
        <f t="shared" si="1281"/>
        <v>0</v>
      </c>
      <c r="AL249" s="10">
        <f t="shared" si="1281"/>
        <v>0</v>
      </c>
      <c r="AM249" s="10">
        <f t="shared" si="1281"/>
        <v>0</v>
      </c>
      <c r="AN249" s="10">
        <f t="shared" si="1281"/>
        <v>0</v>
      </c>
      <c r="AO249" s="10">
        <f t="shared" si="1281"/>
        <v>0</v>
      </c>
      <c r="AP249" s="10">
        <f t="shared" si="1281"/>
        <v>0</v>
      </c>
      <c r="AQ249" s="10">
        <f t="shared" si="1281"/>
        <v>0</v>
      </c>
      <c r="AR249" s="10">
        <f t="shared" si="1281"/>
        <v>0</v>
      </c>
      <c r="AS249" s="10">
        <f t="shared" si="1281"/>
        <v>0</v>
      </c>
      <c r="AT249" s="10">
        <f t="shared" si="1281"/>
        <v>0</v>
      </c>
      <c r="AU249" s="10">
        <f t="shared" si="1281"/>
        <v>0</v>
      </c>
      <c r="AV249" s="10">
        <f t="shared" si="1281"/>
        <v>0</v>
      </c>
      <c r="AW249" s="10">
        <f t="shared" si="1281"/>
        <v>0</v>
      </c>
      <c r="AX249" s="10">
        <f t="shared" si="1281"/>
        <v>0</v>
      </c>
      <c r="AY249" s="10">
        <f t="shared" si="1281"/>
        <v>0</v>
      </c>
      <c r="AZ249" s="10">
        <f t="shared" si="1281"/>
        <v>0</v>
      </c>
      <c r="BA249" s="10">
        <f t="shared" si="1281"/>
        <v>0</v>
      </c>
      <c r="BB249" s="10">
        <f t="shared" si="1281"/>
        <v>0</v>
      </c>
      <c r="BC249" s="10">
        <f t="shared" si="1281"/>
        <v>0</v>
      </c>
      <c r="BD249" s="10">
        <f t="shared" si="1281"/>
        <v>0</v>
      </c>
      <c r="BE249" s="10">
        <f t="shared" si="1281"/>
        <v>0</v>
      </c>
      <c r="BF249" s="10">
        <f t="shared" si="1281"/>
        <v>0</v>
      </c>
      <c r="BG249" s="10">
        <f t="shared" si="1281"/>
        <v>0</v>
      </c>
      <c r="BH249" s="10">
        <f t="shared" si="1281"/>
        <v>0</v>
      </c>
      <c r="BI249" s="10">
        <f t="shared" si="1281"/>
        <v>0</v>
      </c>
      <c r="BJ249" s="10">
        <f t="shared" si="1281"/>
        <v>0</v>
      </c>
      <c r="BK249" s="10">
        <f t="shared" si="1281"/>
        <v>0</v>
      </c>
      <c r="BL249" s="10">
        <f t="shared" si="1281"/>
        <v>0</v>
      </c>
      <c r="BM249" s="10">
        <f t="shared" si="1281"/>
        <v>0</v>
      </c>
      <c r="BN249" s="10">
        <f t="shared" si="1281"/>
        <v>0</v>
      </c>
      <c r="BO249" s="10">
        <f t="shared" si="1281"/>
        <v>0</v>
      </c>
      <c r="BP249" s="10">
        <f t="shared" si="1281"/>
        <v>0</v>
      </c>
      <c r="BQ249" s="10">
        <f t="shared" si="1281"/>
        <v>0</v>
      </c>
      <c r="BR249" s="10">
        <f t="shared" si="1281"/>
        <v>0</v>
      </c>
      <c r="BS249" s="10">
        <f t="shared" si="1281"/>
        <v>0</v>
      </c>
      <c r="BT249" s="10">
        <f t="shared" si="1281"/>
        <v>0</v>
      </c>
      <c r="BU249" s="10">
        <f t="shared" si="1281"/>
        <v>0</v>
      </c>
      <c r="BV249" s="10">
        <f t="shared" si="1281"/>
        <v>0</v>
      </c>
      <c r="BW249" s="10">
        <f t="shared" si="1281"/>
        <v>0</v>
      </c>
      <c r="BX249" s="10">
        <f t="shared" si="1281"/>
        <v>0</v>
      </c>
      <c r="BY249" s="10">
        <f t="shared" ref="BY249:CO249" si="1282" xml:space="preserve"> BY248 * $E$244</f>
        <v>0</v>
      </c>
      <c r="BZ249" s="10">
        <f t="shared" si="1282"/>
        <v>0</v>
      </c>
      <c r="CA249" s="10">
        <f t="shared" si="1282"/>
        <v>0</v>
      </c>
      <c r="CB249" s="10">
        <f t="shared" si="1282"/>
        <v>0</v>
      </c>
      <c r="CC249" s="10">
        <f t="shared" si="1282"/>
        <v>0</v>
      </c>
      <c r="CD249" s="10">
        <f t="shared" si="1282"/>
        <v>0</v>
      </c>
      <c r="CE249" s="10">
        <f t="shared" si="1282"/>
        <v>0</v>
      </c>
      <c r="CF249" s="10">
        <f t="shared" si="1282"/>
        <v>0</v>
      </c>
      <c r="CG249" s="10">
        <f t="shared" si="1282"/>
        <v>0</v>
      </c>
      <c r="CH249" s="10">
        <f t="shared" si="1282"/>
        <v>0</v>
      </c>
      <c r="CI249" s="10">
        <f t="shared" si="1282"/>
        <v>0</v>
      </c>
      <c r="CJ249" s="10">
        <f t="shared" si="1282"/>
        <v>0</v>
      </c>
      <c r="CK249" s="10">
        <f t="shared" si="1282"/>
        <v>0</v>
      </c>
      <c r="CL249" s="10">
        <f t="shared" si="1282"/>
        <v>0</v>
      </c>
      <c r="CM249" s="10">
        <f t="shared" si="1282"/>
        <v>0</v>
      </c>
      <c r="CN249" s="10">
        <f t="shared" si="1282"/>
        <v>0</v>
      </c>
      <c r="CO249" s="10">
        <f t="shared" si="1282"/>
        <v>0</v>
      </c>
    </row>
    <row r="250" spans="1:93" ht="15" thickTop="1">
      <c r="A250" s="77"/>
      <c r="B250" s="101"/>
      <c r="C250" s="49" t="s">
        <v>859</v>
      </c>
      <c r="D250" s="49"/>
      <c r="E250" s="136"/>
      <c r="F250" s="49"/>
      <c r="G250" s="159" t="str">
        <f xml:space="preserve"> Monetary_Unit</f>
        <v>тыс. руб.</v>
      </c>
      <c r="H250" s="49"/>
      <c r="I250" s="23">
        <f>SUM(L250:CO250)</f>
        <v>0</v>
      </c>
      <c r="J250" s="49"/>
      <c r="K250" s="49"/>
      <c r="L250" s="49">
        <f t="shared" ref="L250:R250" si="1283" xml:space="preserve"> SUM(L246:L249)</f>
        <v>0</v>
      </c>
      <c r="M250" s="49">
        <f t="shared" si="1283"/>
        <v>0</v>
      </c>
      <c r="N250" s="49">
        <f t="shared" si="1283"/>
        <v>0</v>
      </c>
      <c r="O250" s="49">
        <f t="shared" si="1283"/>
        <v>0</v>
      </c>
      <c r="P250" s="49">
        <f t="shared" si="1283"/>
        <v>0</v>
      </c>
      <c r="Q250" s="49">
        <f t="shared" si="1283"/>
        <v>0</v>
      </c>
      <c r="R250" s="49">
        <f t="shared" si="1283"/>
        <v>0</v>
      </c>
      <c r="S250" s="49">
        <f t="shared" ref="S250" si="1284" xml:space="preserve"> SUM(S246:S249)</f>
        <v>0</v>
      </c>
      <c r="T250" s="49">
        <f t="shared" ref="T250:CE250" si="1285" xml:space="preserve"> SUM(T246:T249)</f>
        <v>0</v>
      </c>
      <c r="U250" s="49">
        <f t="shared" si="1285"/>
        <v>0</v>
      </c>
      <c r="V250" s="49">
        <f t="shared" si="1285"/>
        <v>0</v>
      </c>
      <c r="W250" s="49">
        <f t="shared" si="1285"/>
        <v>0</v>
      </c>
      <c r="X250" s="49">
        <f t="shared" si="1285"/>
        <v>0</v>
      </c>
      <c r="Y250" s="49">
        <f t="shared" si="1285"/>
        <v>0</v>
      </c>
      <c r="Z250" s="49">
        <f t="shared" si="1285"/>
        <v>0</v>
      </c>
      <c r="AA250" s="49">
        <f t="shared" si="1285"/>
        <v>0</v>
      </c>
      <c r="AB250" s="49">
        <f t="shared" si="1285"/>
        <v>0</v>
      </c>
      <c r="AC250" s="49">
        <f t="shared" si="1285"/>
        <v>0</v>
      </c>
      <c r="AD250" s="49">
        <f t="shared" si="1285"/>
        <v>0</v>
      </c>
      <c r="AE250" s="49">
        <f t="shared" si="1285"/>
        <v>0</v>
      </c>
      <c r="AF250" s="49">
        <f t="shared" si="1285"/>
        <v>0</v>
      </c>
      <c r="AG250" s="49">
        <f t="shared" si="1285"/>
        <v>0</v>
      </c>
      <c r="AH250" s="49">
        <f t="shared" si="1285"/>
        <v>0</v>
      </c>
      <c r="AI250" s="49">
        <f t="shared" si="1285"/>
        <v>0</v>
      </c>
      <c r="AJ250" s="49">
        <f t="shared" si="1285"/>
        <v>0</v>
      </c>
      <c r="AK250" s="49">
        <f t="shared" si="1285"/>
        <v>0</v>
      </c>
      <c r="AL250" s="49">
        <f t="shared" si="1285"/>
        <v>0</v>
      </c>
      <c r="AM250" s="49">
        <f t="shared" si="1285"/>
        <v>0</v>
      </c>
      <c r="AN250" s="49">
        <f t="shared" si="1285"/>
        <v>0</v>
      </c>
      <c r="AO250" s="49">
        <f t="shared" si="1285"/>
        <v>0</v>
      </c>
      <c r="AP250" s="49">
        <f t="shared" si="1285"/>
        <v>0</v>
      </c>
      <c r="AQ250" s="49">
        <f t="shared" si="1285"/>
        <v>0</v>
      </c>
      <c r="AR250" s="49">
        <f t="shared" si="1285"/>
        <v>0</v>
      </c>
      <c r="AS250" s="49">
        <f t="shared" si="1285"/>
        <v>0</v>
      </c>
      <c r="AT250" s="49">
        <f t="shared" si="1285"/>
        <v>0</v>
      </c>
      <c r="AU250" s="49">
        <f t="shared" si="1285"/>
        <v>0</v>
      </c>
      <c r="AV250" s="49">
        <f t="shared" si="1285"/>
        <v>0</v>
      </c>
      <c r="AW250" s="49">
        <f t="shared" si="1285"/>
        <v>0</v>
      </c>
      <c r="AX250" s="49">
        <f t="shared" si="1285"/>
        <v>0</v>
      </c>
      <c r="AY250" s="49">
        <f t="shared" si="1285"/>
        <v>0</v>
      </c>
      <c r="AZ250" s="49">
        <f t="shared" si="1285"/>
        <v>0</v>
      </c>
      <c r="BA250" s="49">
        <f t="shared" si="1285"/>
        <v>0</v>
      </c>
      <c r="BB250" s="49">
        <f t="shared" si="1285"/>
        <v>0</v>
      </c>
      <c r="BC250" s="49">
        <f t="shared" si="1285"/>
        <v>0</v>
      </c>
      <c r="BD250" s="49">
        <f t="shared" si="1285"/>
        <v>0</v>
      </c>
      <c r="BE250" s="49">
        <f t="shared" si="1285"/>
        <v>0</v>
      </c>
      <c r="BF250" s="49">
        <f t="shared" si="1285"/>
        <v>0</v>
      </c>
      <c r="BG250" s="49">
        <f t="shared" si="1285"/>
        <v>0</v>
      </c>
      <c r="BH250" s="49">
        <f t="shared" si="1285"/>
        <v>0</v>
      </c>
      <c r="BI250" s="49">
        <f t="shared" si="1285"/>
        <v>0</v>
      </c>
      <c r="BJ250" s="49">
        <f t="shared" si="1285"/>
        <v>0</v>
      </c>
      <c r="BK250" s="49">
        <f t="shared" si="1285"/>
        <v>0</v>
      </c>
      <c r="BL250" s="49">
        <f t="shared" si="1285"/>
        <v>0</v>
      </c>
      <c r="BM250" s="49">
        <f t="shared" si="1285"/>
        <v>0</v>
      </c>
      <c r="BN250" s="49">
        <f t="shared" si="1285"/>
        <v>0</v>
      </c>
      <c r="BO250" s="49">
        <f t="shared" si="1285"/>
        <v>0</v>
      </c>
      <c r="BP250" s="49">
        <f t="shared" si="1285"/>
        <v>0</v>
      </c>
      <c r="BQ250" s="49">
        <f t="shared" si="1285"/>
        <v>0</v>
      </c>
      <c r="BR250" s="49">
        <f t="shared" si="1285"/>
        <v>0</v>
      </c>
      <c r="BS250" s="49">
        <f t="shared" si="1285"/>
        <v>0</v>
      </c>
      <c r="BT250" s="49">
        <f t="shared" si="1285"/>
        <v>0</v>
      </c>
      <c r="BU250" s="49">
        <f t="shared" si="1285"/>
        <v>0</v>
      </c>
      <c r="BV250" s="49">
        <f t="shared" si="1285"/>
        <v>0</v>
      </c>
      <c r="BW250" s="49">
        <f t="shared" si="1285"/>
        <v>0</v>
      </c>
      <c r="BX250" s="49">
        <f t="shared" si="1285"/>
        <v>0</v>
      </c>
      <c r="BY250" s="49">
        <f t="shared" si="1285"/>
        <v>0</v>
      </c>
      <c r="BZ250" s="49">
        <f t="shared" si="1285"/>
        <v>0</v>
      </c>
      <c r="CA250" s="49">
        <f t="shared" si="1285"/>
        <v>0</v>
      </c>
      <c r="CB250" s="49">
        <f t="shared" si="1285"/>
        <v>0</v>
      </c>
      <c r="CC250" s="49">
        <f t="shared" si="1285"/>
        <v>0</v>
      </c>
      <c r="CD250" s="49">
        <f t="shared" si="1285"/>
        <v>0</v>
      </c>
      <c r="CE250" s="49">
        <f t="shared" si="1285"/>
        <v>0</v>
      </c>
      <c r="CF250" s="49">
        <f t="shared" ref="CF250:CO250" si="1286" xml:space="preserve"> SUM(CF246:CF249)</f>
        <v>0</v>
      </c>
      <c r="CG250" s="49">
        <f t="shared" si="1286"/>
        <v>0</v>
      </c>
      <c r="CH250" s="49">
        <f t="shared" si="1286"/>
        <v>0</v>
      </c>
      <c r="CI250" s="49">
        <f t="shared" si="1286"/>
        <v>0</v>
      </c>
      <c r="CJ250" s="49">
        <f t="shared" si="1286"/>
        <v>0</v>
      </c>
      <c r="CK250" s="49">
        <f t="shared" si="1286"/>
        <v>0</v>
      </c>
      <c r="CL250" s="49">
        <f t="shared" si="1286"/>
        <v>0</v>
      </c>
      <c r="CM250" s="49">
        <f t="shared" si="1286"/>
        <v>0</v>
      </c>
      <c r="CN250" s="49">
        <f t="shared" si="1286"/>
        <v>0</v>
      </c>
      <c r="CO250" s="49">
        <f t="shared" si="1286"/>
        <v>0</v>
      </c>
    </row>
    <row r="251" spans="1:93">
      <c r="A251" s="77"/>
      <c r="B251" s="168"/>
      <c r="C251" s="169"/>
      <c r="D251" s="10"/>
      <c r="E251" s="62"/>
      <c r="F251" s="11"/>
      <c r="G251" s="11"/>
      <c r="H251" s="10"/>
      <c r="I251" s="10" t="str">
        <f>IF(IFERROR(I250=Предпосылки!E352*I97*I114,I250=0),"")</f>
        <v/>
      </c>
      <c r="J251" s="10"/>
      <c r="K251" s="1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Z251" s="170"/>
      <c r="AA251" s="170"/>
      <c r="AB251" s="170"/>
      <c r="AC251" s="170"/>
      <c r="AD251" s="170"/>
      <c r="AE251" s="170"/>
      <c r="AF251" s="170"/>
      <c r="AG251" s="170"/>
      <c r="AH251" s="170"/>
      <c r="AI251" s="170"/>
      <c r="AJ251" s="170"/>
      <c r="AK251" s="170"/>
      <c r="AL251" s="170"/>
      <c r="AM251" s="170"/>
      <c r="AN251" s="170"/>
      <c r="AO251" s="170"/>
      <c r="AP251" s="170"/>
      <c r="AQ251" s="170"/>
      <c r="AR251" s="170"/>
      <c r="AS251" s="170"/>
      <c r="AT251" s="170"/>
      <c r="AU251" s="170"/>
      <c r="AV251" s="170"/>
      <c r="AW251" s="170"/>
      <c r="AX251" s="170"/>
      <c r="AY251" s="170"/>
      <c r="AZ251" s="170"/>
      <c r="BA251" s="170"/>
      <c r="BB251" s="170"/>
      <c r="BC251" s="170"/>
      <c r="BD251" s="170"/>
      <c r="BE251" s="170"/>
      <c r="BF251" s="170"/>
      <c r="BG251" s="170"/>
      <c r="BH251" s="170"/>
      <c r="BI251" s="170"/>
      <c r="BJ251" s="170"/>
      <c r="BK251" s="170"/>
      <c r="BL251" s="170"/>
      <c r="BM251" s="170"/>
      <c r="BN251" s="170"/>
      <c r="BO251" s="170"/>
      <c r="BP251" s="170"/>
      <c r="BQ251" s="170"/>
      <c r="BR251" s="170"/>
      <c r="BS251" s="170"/>
      <c r="BT251" s="170"/>
      <c r="BU251" s="170"/>
      <c r="BV251" s="170"/>
      <c r="BW251" s="170"/>
      <c r="BX251" s="170"/>
      <c r="BY251" s="170"/>
      <c r="BZ251" s="170"/>
      <c r="CA251" s="170"/>
      <c r="CB251" s="170"/>
      <c r="CC251" s="170"/>
      <c r="CD251" s="170"/>
      <c r="CE251" s="170"/>
      <c r="CF251" s="170"/>
      <c r="CG251" s="170"/>
      <c r="CH251" s="170"/>
      <c r="CI251" s="170"/>
      <c r="CJ251" s="170"/>
      <c r="CK251" s="170"/>
      <c r="CL251" s="170"/>
      <c r="CM251" s="170"/>
      <c r="CN251" s="170"/>
      <c r="CO251" s="170"/>
    </row>
    <row r="252" spans="1:93" ht="16" thickBot="1">
      <c r="A252" s="9"/>
      <c r="B252" s="168"/>
      <c r="C252" s="12" t="s">
        <v>652</v>
      </c>
      <c r="D252" s="12"/>
      <c r="E252" s="12"/>
      <c r="F252" s="12"/>
      <c r="G252" s="362"/>
      <c r="H252" s="12"/>
      <c r="I252" s="12"/>
      <c r="J252" s="10"/>
      <c r="K252" s="1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Z252" s="170"/>
      <c r="AA252" s="170"/>
      <c r="AB252" s="170"/>
      <c r="AC252" s="170"/>
      <c r="AD252" s="170"/>
      <c r="AE252" s="170"/>
      <c r="AF252" s="170"/>
      <c r="AG252" s="170"/>
      <c r="AH252" s="170"/>
      <c r="AI252" s="170"/>
      <c r="AJ252" s="170"/>
      <c r="AK252" s="170"/>
      <c r="AL252" s="170"/>
      <c r="AM252" s="170"/>
      <c r="AN252" s="170"/>
      <c r="AO252" s="170"/>
      <c r="AP252" s="170"/>
      <c r="AQ252" s="170"/>
      <c r="AR252" s="170"/>
      <c r="AS252" s="170"/>
      <c r="AT252" s="170"/>
      <c r="AU252" s="170"/>
      <c r="AV252" s="170"/>
      <c r="AW252" s="170"/>
      <c r="AX252" s="170"/>
      <c r="AY252" s="170"/>
      <c r="AZ252" s="170"/>
      <c r="BA252" s="170"/>
      <c r="BB252" s="170"/>
      <c r="BC252" s="170"/>
      <c r="BD252" s="170"/>
      <c r="BE252" s="170"/>
      <c r="BF252" s="170"/>
      <c r="BG252" s="170"/>
      <c r="BH252" s="170"/>
      <c r="BI252" s="170"/>
      <c r="BJ252" s="170"/>
      <c r="BK252" s="170"/>
      <c r="BL252" s="170"/>
      <c r="BM252" s="170"/>
      <c r="BN252" s="170"/>
      <c r="BO252" s="170"/>
      <c r="BP252" s="170"/>
      <c r="BQ252" s="170"/>
      <c r="BR252" s="170"/>
      <c r="BS252" s="170"/>
      <c r="BT252" s="170"/>
      <c r="BU252" s="170"/>
      <c r="BV252" s="170"/>
      <c r="BW252" s="170"/>
      <c r="BX252" s="170"/>
      <c r="BY252" s="170"/>
      <c r="BZ252" s="170"/>
      <c r="CA252" s="170"/>
      <c r="CB252" s="170"/>
      <c r="CC252" s="170"/>
      <c r="CD252" s="170"/>
      <c r="CE252" s="170"/>
      <c r="CF252" s="170"/>
      <c r="CG252" s="170"/>
      <c r="CH252" s="170"/>
      <c r="CI252" s="170"/>
      <c r="CJ252" s="170"/>
      <c r="CK252" s="170"/>
      <c r="CL252" s="170"/>
      <c r="CM252" s="170"/>
      <c r="CN252" s="170"/>
      <c r="CO252" s="170"/>
    </row>
    <row r="253" spans="1:93">
      <c r="A253" s="9"/>
      <c r="B253" s="168"/>
      <c r="C253" s="169"/>
      <c r="D253" s="10"/>
      <c r="E253" s="62"/>
      <c r="F253" s="11"/>
      <c r="G253" s="11"/>
      <c r="H253" s="10"/>
      <c r="I253" s="10"/>
      <c r="J253" s="10"/>
      <c r="K253" s="1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170"/>
      <c r="AK253" s="170"/>
      <c r="AL253" s="170"/>
      <c r="AM253" s="170"/>
      <c r="AN253" s="170"/>
      <c r="AO253" s="170"/>
      <c r="AP253" s="170"/>
      <c r="AQ253" s="170"/>
      <c r="AR253" s="170"/>
      <c r="AS253" s="170"/>
      <c r="AT253" s="170"/>
      <c r="AU253" s="170"/>
      <c r="AV253" s="170"/>
      <c r="AW253" s="170"/>
      <c r="AX253" s="170"/>
      <c r="AY253" s="170"/>
      <c r="AZ253" s="170"/>
      <c r="BA253" s="170"/>
      <c r="BB253" s="170"/>
      <c r="BC253" s="170"/>
      <c r="BD253" s="170"/>
      <c r="BE253" s="170"/>
      <c r="BF253" s="170"/>
      <c r="BG253" s="170"/>
      <c r="BH253" s="170"/>
      <c r="BI253" s="170"/>
      <c r="BJ253" s="170"/>
      <c r="BK253" s="170"/>
      <c r="BL253" s="170"/>
      <c r="BM253" s="170"/>
      <c r="BN253" s="170"/>
      <c r="BO253" s="170"/>
      <c r="BP253" s="170"/>
      <c r="BQ253" s="170"/>
      <c r="BR253" s="170"/>
      <c r="BS253" s="170"/>
      <c r="BT253" s="170"/>
      <c r="BU253" s="170"/>
      <c r="BV253" s="170"/>
      <c r="BW253" s="170"/>
      <c r="BX253" s="170"/>
      <c r="BY253" s="170"/>
      <c r="BZ253" s="170"/>
      <c r="CA253" s="170"/>
      <c r="CB253" s="170"/>
      <c r="CC253" s="170"/>
      <c r="CD253" s="170"/>
      <c r="CE253" s="170"/>
      <c r="CF253" s="170"/>
      <c r="CG253" s="170"/>
      <c r="CH253" s="170"/>
      <c r="CI253" s="170"/>
      <c r="CJ253" s="170"/>
      <c r="CK253" s="170"/>
      <c r="CL253" s="170"/>
      <c r="CM253" s="170"/>
      <c r="CN253" s="170"/>
      <c r="CO253" s="170"/>
    </row>
    <row r="254" spans="1:93">
      <c r="A254" s="9"/>
      <c r="B254" s="168"/>
      <c r="C254" s="17" t="s">
        <v>632</v>
      </c>
      <c r="D254" s="10"/>
      <c r="E254" s="62"/>
      <c r="F254" s="11"/>
      <c r="G254" s="11" t="str">
        <f>Monetary_Unit</f>
        <v>тыс. руб.</v>
      </c>
      <c r="H254" s="10"/>
      <c r="I254" s="23">
        <f ca="1">SUM(L254:CO254)</f>
        <v>0</v>
      </c>
      <c r="J254" s="10"/>
      <c r="K254" s="10"/>
      <c r="L254" s="10">
        <f t="shared" ref="L254:AQ254" ca="1" si="1287" xml:space="preserve"> L246 * CAPEX_Accumulated_From_Date</f>
        <v>0</v>
      </c>
      <c r="M254" s="10">
        <f t="shared" ca="1" si="1287"/>
        <v>0</v>
      </c>
      <c r="N254" s="10">
        <f t="shared" ca="1" si="1287"/>
        <v>0</v>
      </c>
      <c r="O254" s="10">
        <f t="shared" ca="1" si="1287"/>
        <v>0</v>
      </c>
      <c r="P254" s="10">
        <f t="shared" ca="1" si="1287"/>
        <v>0</v>
      </c>
      <c r="Q254" s="10">
        <f t="shared" ca="1" si="1287"/>
        <v>0</v>
      </c>
      <c r="R254" s="10">
        <f t="shared" ca="1" si="1287"/>
        <v>0</v>
      </c>
      <c r="S254" s="10">
        <f t="shared" ca="1" si="1287"/>
        <v>0</v>
      </c>
      <c r="T254" s="10">
        <f t="shared" ca="1" si="1287"/>
        <v>0</v>
      </c>
      <c r="U254" s="10">
        <f t="shared" ca="1" si="1287"/>
        <v>0</v>
      </c>
      <c r="V254" s="10">
        <f t="shared" ca="1" si="1287"/>
        <v>0</v>
      </c>
      <c r="W254" s="10">
        <f t="shared" ca="1" si="1287"/>
        <v>0</v>
      </c>
      <c r="X254" s="10">
        <f t="shared" ca="1" si="1287"/>
        <v>0</v>
      </c>
      <c r="Y254" s="10">
        <f t="shared" ca="1" si="1287"/>
        <v>0</v>
      </c>
      <c r="Z254" s="10">
        <f t="shared" ca="1" si="1287"/>
        <v>0</v>
      </c>
      <c r="AA254" s="10">
        <f t="shared" ca="1" si="1287"/>
        <v>0</v>
      </c>
      <c r="AB254" s="10">
        <f t="shared" ca="1" si="1287"/>
        <v>0</v>
      </c>
      <c r="AC254" s="10">
        <f t="shared" ca="1" si="1287"/>
        <v>0</v>
      </c>
      <c r="AD254" s="10">
        <f t="shared" ca="1" si="1287"/>
        <v>0</v>
      </c>
      <c r="AE254" s="10">
        <f t="shared" ca="1" si="1287"/>
        <v>0</v>
      </c>
      <c r="AF254" s="10">
        <f t="shared" ca="1" si="1287"/>
        <v>0</v>
      </c>
      <c r="AG254" s="10">
        <f t="shared" ca="1" si="1287"/>
        <v>0</v>
      </c>
      <c r="AH254" s="10">
        <f t="shared" ca="1" si="1287"/>
        <v>0</v>
      </c>
      <c r="AI254" s="10">
        <f t="shared" ca="1" si="1287"/>
        <v>0</v>
      </c>
      <c r="AJ254" s="10">
        <f t="shared" ca="1" si="1287"/>
        <v>0</v>
      </c>
      <c r="AK254" s="10">
        <f t="shared" ca="1" si="1287"/>
        <v>0</v>
      </c>
      <c r="AL254" s="10">
        <f t="shared" ca="1" si="1287"/>
        <v>0</v>
      </c>
      <c r="AM254" s="10">
        <f t="shared" ca="1" si="1287"/>
        <v>0</v>
      </c>
      <c r="AN254" s="10">
        <f t="shared" ca="1" si="1287"/>
        <v>0</v>
      </c>
      <c r="AO254" s="10">
        <f t="shared" ca="1" si="1287"/>
        <v>0</v>
      </c>
      <c r="AP254" s="10">
        <f t="shared" ca="1" si="1287"/>
        <v>0</v>
      </c>
      <c r="AQ254" s="10">
        <f t="shared" ca="1" si="1287"/>
        <v>0</v>
      </c>
      <c r="AR254" s="10">
        <f t="shared" ref="AR254:BW254" ca="1" si="1288" xml:space="preserve"> AR246 * CAPEX_Accumulated_From_Date</f>
        <v>0</v>
      </c>
      <c r="AS254" s="10">
        <f t="shared" ca="1" si="1288"/>
        <v>0</v>
      </c>
      <c r="AT254" s="10">
        <f t="shared" ca="1" si="1288"/>
        <v>0</v>
      </c>
      <c r="AU254" s="10">
        <f t="shared" ca="1" si="1288"/>
        <v>0</v>
      </c>
      <c r="AV254" s="10">
        <f t="shared" ca="1" si="1288"/>
        <v>0</v>
      </c>
      <c r="AW254" s="10">
        <f t="shared" ca="1" si="1288"/>
        <v>0</v>
      </c>
      <c r="AX254" s="10">
        <f t="shared" ca="1" si="1288"/>
        <v>0</v>
      </c>
      <c r="AY254" s="10">
        <f t="shared" ca="1" si="1288"/>
        <v>0</v>
      </c>
      <c r="AZ254" s="10">
        <f t="shared" ca="1" si="1288"/>
        <v>0</v>
      </c>
      <c r="BA254" s="10">
        <f t="shared" ca="1" si="1288"/>
        <v>0</v>
      </c>
      <c r="BB254" s="10">
        <f t="shared" ca="1" si="1288"/>
        <v>0</v>
      </c>
      <c r="BC254" s="10">
        <f t="shared" ca="1" si="1288"/>
        <v>0</v>
      </c>
      <c r="BD254" s="10">
        <f t="shared" ca="1" si="1288"/>
        <v>0</v>
      </c>
      <c r="BE254" s="10">
        <f t="shared" ca="1" si="1288"/>
        <v>0</v>
      </c>
      <c r="BF254" s="10">
        <f t="shared" ca="1" si="1288"/>
        <v>0</v>
      </c>
      <c r="BG254" s="10">
        <f t="shared" ca="1" si="1288"/>
        <v>0</v>
      </c>
      <c r="BH254" s="10">
        <f t="shared" ca="1" si="1288"/>
        <v>0</v>
      </c>
      <c r="BI254" s="10">
        <f t="shared" ca="1" si="1288"/>
        <v>0</v>
      </c>
      <c r="BJ254" s="10">
        <f t="shared" ca="1" si="1288"/>
        <v>0</v>
      </c>
      <c r="BK254" s="10">
        <f t="shared" ca="1" si="1288"/>
        <v>0</v>
      </c>
      <c r="BL254" s="10">
        <f t="shared" ca="1" si="1288"/>
        <v>0</v>
      </c>
      <c r="BM254" s="10">
        <f t="shared" ca="1" si="1288"/>
        <v>0</v>
      </c>
      <c r="BN254" s="10">
        <f t="shared" ca="1" si="1288"/>
        <v>0</v>
      </c>
      <c r="BO254" s="10">
        <f t="shared" ca="1" si="1288"/>
        <v>0</v>
      </c>
      <c r="BP254" s="10">
        <f t="shared" ca="1" si="1288"/>
        <v>0</v>
      </c>
      <c r="BQ254" s="10">
        <f t="shared" ca="1" si="1288"/>
        <v>0</v>
      </c>
      <c r="BR254" s="10">
        <f t="shared" ca="1" si="1288"/>
        <v>0</v>
      </c>
      <c r="BS254" s="10">
        <f t="shared" ca="1" si="1288"/>
        <v>0</v>
      </c>
      <c r="BT254" s="10">
        <f t="shared" ca="1" si="1288"/>
        <v>0</v>
      </c>
      <c r="BU254" s="10">
        <f t="shared" ca="1" si="1288"/>
        <v>0</v>
      </c>
      <c r="BV254" s="10">
        <f t="shared" ca="1" si="1288"/>
        <v>0</v>
      </c>
      <c r="BW254" s="10">
        <f t="shared" ca="1" si="1288"/>
        <v>0</v>
      </c>
      <c r="BX254" s="10">
        <f t="shared" ref="BX254:CO254" ca="1" si="1289" xml:space="preserve"> BX246 * CAPEX_Accumulated_From_Date</f>
        <v>0</v>
      </c>
      <c r="BY254" s="10">
        <f t="shared" ca="1" si="1289"/>
        <v>0</v>
      </c>
      <c r="BZ254" s="10">
        <f t="shared" ca="1" si="1289"/>
        <v>0</v>
      </c>
      <c r="CA254" s="10">
        <f t="shared" ca="1" si="1289"/>
        <v>0</v>
      </c>
      <c r="CB254" s="10">
        <f t="shared" ca="1" si="1289"/>
        <v>0</v>
      </c>
      <c r="CC254" s="10">
        <f t="shared" ca="1" si="1289"/>
        <v>0</v>
      </c>
      <c r="CD254" s="10">
        <f t="shared" ca="1" si="1289"/>
        <v>0</v>
      </c>
      <c r="CE254" s="10">
        <f t="shared" ca="1" si="1289"/>
        <v>0</v>
      </c>
      <c r="CF254" s="10">
        <f t="shared" ca="1" si="1289"/>
        <v>0</v>
      </c>
      <c r="CG254" s="10">
        <f t="shared" ca="1" si="1289"/>
        <v>0</v>
      </c>
      <c r="CH254" s="10">
        <f t="shared" ca="1" si="1289"/>
        <v>0</v>
      </c>
      <c r="CI254" s="10">
        <f t="shared" ca="1" si="1289"/>
        <v>0</v>
      </c>
      <c r="CJ254" s="10">
        <f t="shared" ca="1" si="1289"/>
        <v>0</v>
      </c>
      <c r="CK254" s="10">
        <f t="shared" ca="1" si="1289"/>
        <v>0</v>
      </c>
      <c r="CL254" s="10">
        <f t="shared" ca="1" si="1289"/>
        <v>0</v>
      </c>
      <c r="CM254" s="10">
        <f t="shared" ca="1" si="1289"/>
        <v>0</v>
      </c>
      <c r="CN254" s="10">
        <f t="shared" ca="1" si="1289"/>
        <v>0</v>
      </c>
      <c r="CO254" s="10">
        <f t="shared" ca="1" si="1289"/>
        <v>0</v>
      </c>
    </row>
    <row r="255" spans="1:93">
      <c r="A255" s="9"/>
      <c r="B255" s="168"/>
      <c r="C255" s="17" t="s">
        <v>634</v>
      </c>
      <c r="D255" s="10"/>
      <c r="E255" s="62"/>
      <c r="F255" s="11"/>
      <c r="G255" s="11" t="str">
        <f>Monetary_Unit</f>
        <v>тыс. руб.</v>
      </c>
      <c r="H255" s="10"/>
      <c r="I255" s="23">
        <f ca="1">SUM(L255:CO255)</f>
        <v>0</v>
      </c>
      <c r="J255" s="10"/>
      <c r="K255" s="10"/>
      <c r="L255" s="10">
        <f t="shared" ref="L255:AQ255" ca="1" si="1290" xml:space="preserve"> L247 * CAPEX_Accumulated_From_Date</f>
        <v>0</v>
      </c>
      <c r="M255" s="10">
        <f t="shared" ca="1" si="1290"/>
        <v>0</v>
      </c>
      <c r="N255" s="10">
        <f t="shared" ca="1" si="1290"/>
        <v>0</v>
      </c>
      <c r="O255" s="10">
        <f t="shared" ca="1" si="1290"/>
        <v>0</v>
      </c>
      <c r="P255" s="10">
        <f t="shared" ca="1" si="1290"/>
        <v>0</v>
      </c>
      <c r="Q255" s="10">
        <f t="shared" ca="1" si="1290"/>
        <v>0</v>
      </c>
      <c r="R255" s="10">
        <f t="shared" ca="1" si="1290"/>
        <v>0</v>
      </c>
      <c r="S255" s="10">
        <f t="shared" ca="1" si="1290"/>
        <v>0</v>
      </c>
      <c r="T255" s="10">
        <f t="shared" ca="1" si="1290"/>
        <v>0</v>
      </c>
      <c r="U255" s="10">
        <f t="shared" ca="1" si="1290"/>
        <v>0</v>
      </c>
      <c r="V255" s="10">
        <f t="shared" ca="1" si="1290"/>
        <v>0</v>
      </c>
      <c r="W255" s="10">
        <f t="shared" ca="1" si="1290"/>
        <v>0</v>
      </c>
      <c r="X255" s="10">
        <f t="shared" ca="1" si="1290"/>
        <v>0</v>
      </c>
      <c r="Y255" s="10">
        <f t="shared" ca="1" si="1290"/>
        <v>0</v>
      </c>
      <c r="Z255" s="10">
        <f t="shared" ca="1" si="1290"/>
        <v>0</v>
      </c>
      <c r="AA255" s="10">
        <f t="shared" ca="1" si="1290"/>
        <v>0</v>
      </c>
      <c r="AB255" s="10">
        <f t="shared" ca="1" si="1290"/>
        <v>0</v>
      </c>
      <c r="AC255" s="10">
        <f t="shared" ca="1" si="1290"/>
        <v>0</v>
      </c>
      <c r="AD255" s="10">
        <f t="shared" ca="1" si="1290"/>
        <v>0</v>
      </c>
      <c r="AE255" s="10">
        <f t="shared" ca="1" si="1290"/>
        <v>0</v>
      </c>
      <c r="AF255" s="10">
        <f t="shared" ca="1" si="1290"/>
        <v>0</v>
      </c>
      <c r="AG255" s="10">
        <f t="shared" ca="1" si="1290"/>
        <v>0</v>
      </c>
      <c r="AH255" s="10">
        <f t="shared" ca="1" si="1290"/>
        <v>0</v>
      </c>
      <c r="AI255" s="10">
        <f t="shared" ca="1" si="1290"/>
        <v>0</v>
      </c>
      <c r="AJ255" s="10">
        <f t="shared" ca="1" si="1290"/>
        <v>0</v>
      </c>
      <c r="AK255" s="10">
        <f t="shared" ca="1" si="1290"/>
        <v>0</v>
      </c>
      <c r="AL255" s="10">
        <f t="shared" ca="1" si="1290"/>
        <v>0</v>
      </c>
      <c r="AM255" s="10">
        <f t="shared" ca="1" si="1290"/>
        <v>0</v>
      </c>
      <c r="AN255" s="10">
        <f t="shared" ca="1" si="1290"/>
        <v>0</v>
      </c>
      <c r="AO255" s="10">
        <f t="shared" ca="1" si="1290"/>
        <v>0</v>
      </c>
      <c r="AP255" s="10">
        <f t="shared" ca="1" si="1290"/>
        <v>0</v>
      </c>
      <c r="AQ255" s="10">
        <f t="shared" ca="1" si="1290"/>
        <v>0</v>
      </c>
      <c r="AR255" s="10">
        <f t="shared" ref="AR255:BW255" ca="1" si="1291" xml:space="preserve"> AR247 * CAPEX_Accumulated_From_Date</f>
        <v>0</v>
      </c>
      <c r="AS255" s="10">
        <f t="shared" ca="1" si="1291"/>
        <v>0</v>
      </c>
      <c r="AT255" s="10">
        <f t="shared" ca="1" si="1291"/>
        <v>0</v>
      </c>
      <c r="AU255" s="10">
        <f t="shared" ca="1" si="1291"/>
        <v>0</v>
      </c>
      <c r="AV255" s="10">
        <f t="shared" ca="1" si="1291"/>
        <v>0</v>
      </c>
      <c r="AW255" s="10">
        <f t="shared" ca="1" si="1291"/>
        <v>0</v>
      </c>
      <c r="AX255" s="10">
        <f t="shared" ca="1" si="1291"/>
        <v>0</v>
      </c>
      <c r="AY255" s="10">
        <f t="shared" ca="1" si="1291"/>
        <v>0</v>
      </c>
      <c r="AZ255" s="10">
        <f t="shared" ca="1" si="1291"/>
        <v>0</v>
      </c>
      <c r="BA255" s="10">
        <f t="shared" ca="1" si="1291"/>
        <v>0</v>
      </c>
      <c r="BB255" s="10">
        <f t="shared" ca="1" si="1291"/>
        <v>0</v>
      </c>
      <c r="BC255" s="10">
        <f t="shared" ca="1" si="1291"/>
        <v>0</v>
      </c>
      <c r="BD255" s="10">
        <f t="shared" ca="1" si="1291"/>
        <v>0</v>
      </c>
      <c r="BE255" s="10">
        <f t="shared" ca="1" si="1291"/>
        <v>0</v>
      </c>
      <c r="BF255" s="10">
        <f t="shared" ca="1" si="1291"/>
        <v>0</v>
      </c>
      <c r="BG255" s="10">
        <f t="shared" ca="1" si="1291"/>
        <v>0</v>
      </c>
      <c r="BH255" s="10">
        <f t="shared" ca="1" si="1291"/>
        <v>0</v>
      </c>
      <c r="BI255" s="10">
        <f t="shared" ca="1" si="1291"/>
        <v>0</v>
      </c>
      <c r="BJ255" s="10">
        <f t="shared" ca="1" si="1291"/>
        <v>0</v>
      </c>
      <c r="BK255" s="10">
        <f t="shared" ca="1" si="1291"/>
        <v>0</v>
      </c>
      <c r="BL255" s="10">
        <f t="shared" ca="1" si="1291"/>
        <v>0</v>
      </c>
      <c r="BM255" s="10">
        <f t="shared" ca="1" si="1291"/>
        <v>0</v>
      </c>
      <c r="BN255" s="10">
        <f t="shared" ca="1" si="1291"/>
        <v>0</v>
      </c>
      <c r="BO255" s="10">
        <f t="shared" ca="1" si="1291"/>
        <v>0</v>
      </c>
      <c r="BP255" s="10">
        <f t="shared" ca="1" si="1291"/>
        <v>0</v>
      </c>
      <c r="BQ255" s="10">
        <f t="shared" ca="1" si="1291"/>
        <v>0</v>
      </c>
      <c r="BR255" s="10">
        <f t="shared" ca="1" si="1291"/>
        <v>0</v>
      </c>
      <c r="BS255" s="10">
        <f t="shared" ca="1" si="1291"/>
        <v>0</v>
      </c>
      <c r="BT255" s="10">
        <f t="shared" ca="1" si="1291"/>
        <v>0</v>
      </c>
      <c r="BU255" s="10">
        <f t="shared" ca="1" si="1291"/>
        <v>0</v>
      </c>
      <c r="BV255" s="10">
        <f t="shared" ca="1" si="1291"/>
        <v>0</v>
      </c>
      <c r="BW255" s="10">
        <f t="shared" ca="1" si="1291"/>
        <v>0</v>
      </c>
      <c r="BX255" s="10">
        <f t="shared" ref="BX255:CO255" ca="1" si="1292" xml:space="preserve"> BX247 * CAPEX_Accumulated_From_Date</f>
        <v>0</v>
      </c>
      <c r="BY255" s="10">
        <f t="shared" ca="1" si="1292"/>
        <v>0</v>
      </c>
      <c r="BZ255" s="10">
        <f t="shared" ca="1" si="1292"/>
        <v>0</v>
      </c>
      <c r="CA255" s="10">
        <f t="shared" ca="1" si="1292"/>
        <v>0</v>
      </c>
      <c r="CB255" s="10">
        <f t="shared" ca="1" si="1292"/>
        <v>0</v>
      </c>
      <c r="CC255" s="10">
        <f t="shared" ca="1" si="1292"/>
        <v>0</v>
      </c>
      <c r="CD255" s="10">
        <f t="shared" ca="1" si="1292"/>
        <v>0</v>
      </c>
      <c r="CE255" s="10">
        <f t="shared" ca="1" si="1292"/>
        <v>0</v>
      </c>
      <c r="CF255" s="10">
        <f t="shared" ca="1" si="1292"/>
        <v>0</v>
      </c>
      <c r="CG255" s="10">
        <f t="shared" ca="1" si="1292"/>
        <v>0</v>
      </c>
      <c r="CH255" s="10">
        <f t="shared" ca="1" si="1292"/>
        <v>0</v>
      </c>
      <c r="CI255" s="10">
        <f t="shared" ca="1" si="1292"/>
        <v>0</v>
      </c>
      <c r="CJ255" s="10">
        <f t="shared" ca="1" si="1292"/>
        <v>0</v>
      </c>
      <c r="CK255" s="10">
        <f t="shared" ca="1" si="1292"/>
        <v>0</v>
      </c>
      <c r="CL255" s="10">
        <f t="shared" ca="1" si="1292"/>
        <v>0</v>
      </c>
      <c r="CM255" s="10">
        <f t="shared" ca="1" si="1292"/>
        <v>0</v>
      </c>
      <c r="CN255" s="10">
        <f t="shared" ca="1" si="1292"/>
        <v>0</v>
      </c>
      <c r="CO255" s="10">
        <f t="shared" ca="1" si="1292"/>
        <v>0</v>
      </c>
    </row>
    <row r="256" spans="1:93">
      <c r="A256" s="9"/>
      <c r="B256" s="168"/>
      <c r="C256" s="17" t="s">
        <v>848</v>
      </c>
      <c r="D256" s="10"/>
      <c r="E256" s="62"/>
      <c r="F256" s="11"/>
      <c r="G256" s="11" t="str">
        <f>Monetary_Unit</f>
        <v>тыс. руб.</v>
      </c>
      <c r="H256" s="10"/>
      <c r="I256" s="23">
        <f ca="1">SUM(L256:CO256)</f>
        <v>0</v>
      </c>
      <c r="J256" s="10"/>
      <c r="K256" s="10"/>
      <c r="L256" s="10">
        <f t="shared" ref="L256:AQ256" ca="1" si="1293" xml:space="preserve"> L248 * CAPEX_Accumulated_From_Date</f>
        <v>0</v>
      </c>
      <c r="M256" s="10">
        <f t="shared" ca="1" si="1293"/>
        <v>0</v>
      </c>
      <c r="N256" s="10">
        <f t="shared" ca="1" si="1293"/>
        <v>0</v>
      </c>
      <c r="O256" s="10">
        <f t="shared" ca="1" si="1293"/>
        <v>0</v>
      </c>
      <c r="P256" s="10">
        <f t="shared" ca="1" si="1293"/>
        <v>0</v>
      </c>
      <c r="Q256" s="10">
        <f t="shared" ca="1" si="1293"/>
        <v>0</v>
      </c>
      <c r="R256" s="10">
        <f t="shared" ca="1" si="1293"/>
        <v>0</v>
      </c>
      <c r="S256" s="10">
        <f t="shared" ca="1" si="1293"/>
        <v>0</v>
      </c>
      <c r="T256" s="10">
        <f t="shared" ca="1" si="1293"/>
        <v>0</v>
      </c>
      <c r="U256" s="10">
        <f t="shared" ca="1" si="1293"/>
        <v>0</v>
      </c>
      <c r="V256" s="10">
        <f t="shared" ca="1" si="1293"/>
        <v>0</v>
      </c>
      <c r="W256" s="10">
        <f t="shared" ca="1" si="1293"/>
        <v>0</v>
      </c>
      <c r="X256" s="10">
        <f t="shared" ca="1" si="1293"/>
        <v>0</v>
      </c>
      <c r="Y256" s="10">
        <f t="shared" ca="1" si="1293"/>
        <v>0</v>
      </c>
      <c r="Z256" s="10">
        <f t="shared" ca="1" si="1293"/>
        <v>0</v>
      </c>
      <c r="AA256" s="10">
        <f t="shared" ca="1" si="1293"/>
        <v>0</v>
      </c>
      <c r="AB256" s="10">
        <f t="shared" ca="1" si="1293"/>
        <v>0</v>
      </c>
      <c r="AC256" s="10">
        <f t="shared" ca="1" si="1293"/>
        <v>0</v>
      </c>
      <c r="AD256" s="10">
        <f t="shared" ca="1" si="1293"/>
        <v>0</v>
      </c>
      <c r="AE256" s="10">
        <f t="shared" ca="1" si="1293"/>
        <v>0</v>
      </c>
      <c r="AF256" s="10">
        <f t="shared" ca="1" si="1293"/>
        <v>0</v>
      </c>
      <c r="AG256" s="10">
        <f t="shared" ca="1" si="1293"/>
        <v>0</v>
      </c>
      <c r="AH256" s="10">
        <f t="shared" ca="1" si="1293"/>
        <v>0</v>
      </c>
      <c r="AI256" s="10">
        <f t="shared" ca="1" si="1293"/>
        <v>0</v>
      </c>
      <c r="AJ256" s="10">
        <f t="shared" ca="1" si="1293"/>
        <v>0</v>
      </c>
      <c r="AK256" s="10">
        <f t="shared" ca="1" si="1293"/>
        <v>0</v>
      </c>
      <c r="AL256" s="10">
        <f t="shared" ca="1" si="1293"/>
        <v>0</v>
      </c>
      <c r="AM256" s="10">
        <f t="shared" ca="1" si="1293"/>
        <v>0</v>
      </c>
      <c r="AN256" s="10">
        <f t="shared" ca="1" si="1293"/>
        <v>0</v>
      </c>
      <c r="AO256" s="10">
        <f t="shared" ca="1" si="1293"/>
        <v>0</v>
      </c>
      <c r="AP256" s="10">
        <f t="shared" ca="1" si="1293"/>
        <v>0</v>
      </c>
      <c r="AQ256" s="10">
        <f t="shared" ca="1" si="1293"/>
        <v>0</v>
      </c>
      <c r="AR256" s="10">
        <f t="shared" ref="AR256:BW256" ca="1" si="1294" xml:space="preserve"> AR248 * CAPEX_Accumulated_From_Date</f>
        <v>0</v>
      </c>
      <c r="AS256" s="10">
        <f t="shared" ca="1" si="1294"/>
        <v>0</v>
      </c>
      <c r="AT256" s="10">
        <f t="shared" ca="1" si="1294"/>
        <v>0</v>
      </c>
      <c r="AU256" s="10">
        <f t="shared" ca="1" si="1294"/>
        <v>0</v>
      </c>
      <c r="AV256" s="10">
        <f t="shared" ca="1" si="1294"/>
        <v>0</v>
      </c>
      <c r="AW256" s="10">
        <f t="shared" ca="1" si="1294"/>
        <v>0</v>
      </c>
      <c r="AX256" s="10">
        <f t="shared" ca="1" si="1294"/>
        <v>0</v>
      </c>
      <c r="AY256" s="10">
        <f t="shared" ca="1" si="1294"/>
        <v>0</v>
      </c>
      <c r="AZ256" s="10">
        <f t="shared" ca="1" si="1294"/>
        <v>0</v>
      </c>
      <c r="BA256" s="10">
        <f t="shared" ca="1" si="1294"/>
        <v>0</v>
      </c>
      <c r="BB256" s="10">
        <f t="shared" ca="1" si="1294"/>
        <v>0</v>
      </c>
      <c r="BC256" s="10">
        <f t="shared" ca="1" si="1294"/>
        <v>0</v>
      </c>
      <c r="BD256" s="10">
        <f t="shared" ca="1" si="1294"/>
        <v>0</v>
      </c>
      <c r="BE256" s="10">
        <f t="shared" ca="1" si="1294"/>
        <v>0</v>
      </c>
      <c r="BF256" s="10">
        <f t="shared" ca="1" si="1294"/>
        <v>0</v>
      </c>
      <c r="BG256" s="10">
        <f t="shared" ca="1" si="1294"/>
        <v>0</v>
      </c>
      <c r="BH256" s="10">
        <f t="shared" ca="1" si="1294"/>
        <v>0</v>
      </c>
      <c r="BI256" s="10">
        <f t="shared" ca="1" si="1294"/>
        <v>0</v>
      </c>
      <c r="BJ256" s="10">
        <f t="shared" ca="1" si="1294"/>
        <v>0</v>
      </c>
      <c r="BK256" s="10">
        <f t="shared" ca="1" si="1294"/>
        <v>0</v>
      </c>
      <c r="BL256" s="10">
        <f t="shared" ca="1" si="1294"/>
        <v>0</v>
      </c>
      <c r="BM256" s="10">
        <f t="shared" ca="1" si="1294"/>
        <v>0</v>
      </c>
      <c r="BN256" s="10">
        <f t="shared" ca="1" si="1294"/>
        <v>0</v>
      </c>
      <c r="BO256" s="10">
        <f t="shared" ca="1" si="1294"/>
        <v>0</v>
      </c>
      <c r="BP256" s="10">
        <f t="shared" ca="1" si="1294"/>
        <v>0</v>
      </c>
      <c r="BQ256" s="10">
        <f t="shared" ca="1" si="1294"/>
        <v>0</v>
      </c>
      <c r="BR256" s="10">
        <f t="shared" ca="1" si="1294"/>
        <v>0</v>
      </c>
      <c r="BS256" s="10">
        <f t="shared" ca="1" si="1294"/>
        <v>0</v>
      </c>
      <c r="BT256" s="10">
        <f t="shared" ca="1" si="1294"/>
        <v>0</v>
      </c>
      <c r="BU256" s="10">
        <f t="shared" ca="1" si="1294"/>
        <v>0</v>
      </c>
      <c r="BV256" s="10">
        <f t="shared" ca="1" si="1294"/>
        <v>0</v>
      </c>
      <c r="BW256" s="10">
        <f t="shared" ca="1" si="1294"/>
        <v>0</v>
      </c>
      <c r="BX256" s="10">
        <f t="shared" ref="BX256:CO256" ca="1" si="1295" xml:space="preserve"> BX248 * CAPEX_Accumulated_From_Date</f>
        <v>0</v>
      </c>
      <c r="BY256" s="10">
        <f t="shared" ca="1" si="1295"/>
        <v>0</v>
      </c>
      <c r="BZ256" s="10">
        <f t="shared" ca="1" si="1295"/>
        <v>0</v>
      </c>
      <c r="CA256" s="10">
        <f t="shared" ca="1" si="1295"/>
        <v>0</v>
      </c>
      <c r="CB256" s="10">
        <f t="shared" ca="1" si="1295"/>
        <v>0</v>
      </c>
      <c r="CC256" s="10">
        <f t="shared" ca="1" si="1295"/>
        <v>0</v>
      </c>
      <c r="CD256" s="10">
        <f t="shared" ca="1" si="1295"/>
        <v>0</v>
      </c>
      <c r="CE256" s="10">
        <f t="shared" ca="1" si="1295"/>
        <v>0</v>
      </c>
      <c r="CF256" s="10">
        <f t="shared" ca="1" si="1295"/>
        <v>0</v>
      </c>
      <c r="CG256" s="10">
        <f t="shared" ca="1" si="1295"/>
        <v>0</v>
      </c>
      <c r="CH256" s="10">
        <f t="shared" ca="1" si="1295"/>
        <v>0</v>
      </c>
      <c r="CI256" s="10">
        <f t="shared" ca="1" si="1295"/>
        <v>0</v>
      </c>
      <c r="CJ256" s="10">
        <f t="shared" ca="1" si="1295"/>
        <v>0</v>
      </c>
      <c r="CK256" s="10">
        <f t="shared" ca="1" si="1295"/>
        <v>0</v>
      </c>
      <c r="CL256" s="10">
        <f t="shared" ca="1" si="1295"/>
        <v>0</v>
      </c>
      <c r="CM256" s="10">
        <f t="shared" ca="1" si="1295"/>
        <v>0</v>
      </c>
      <c r="CN256" s="10">
        <f t="shared" ca="1" si="1295"/>
        <v>0</v>
      </c>
      <c r="CO256" s="10">
        <f t="shared" ca="1" si="1295"/>
        <v>0</v>
      </c>
    </row>
    <row r="257" spans="1:93" ht="15" thickBot="1">
      <c r="A257" s="9"/>
      <c r="B257" s="168"/>
      <c r="C257" s="17" t="s">
        <v>824</v>
      </c>
      <c r="D257" s="10"/>
      <c r="E257" s="62"/>
      <c r="F257" s="11"/>
      <c r="G257" s="11" t="str">
        <f>Monetary_Unit</f>
        <v>тыс. руб.</v>
      </c>
      <c r="H257" s="10"/>
      <c r="I257" s="23">
        <f ca="1">SUM(L257:CO257)</f>
        <v>0</v>
      </c>
      <c r="J257" s="10"/>
      <c r="K257" s="10"/>
      <c r="L257" s="10">
        <f t="shared" ref="L257:AQ257" ca="1" si="1296" xml:space="preserve"> L249 * CAPEX_Accumulated_From_Date</f>
        <v>0</v>
      </c>
      <c r="M257" s="10">
        <f t="shared" ca="1" si="1296"/>
        <v>0</v>
      </c>
      <c r="N257" s="10">
        <f t="shared" ca="1" si="1296"/>
        <v>0</v>
      </c>
      <c r="O257" s="10">
        <f t="shared" ca="1" si="1296"/>
        <v>0</v>
      </c>
      <c r="P257" s="10">
        <f t="shared" ca="1" si="1296"/>
        <v>0</v>
      </c>
      <c r="Q257" s="10">
        <f t="shared" ca="1" si="1296"/>
        <v>0</v>
      </c>
      <c r="R257" s="10">
        <f t="shared" ca="1" si="1296"/>
        <v>0</v>
      </c>
      <c r="S257" s="10">
        <f t="shared" ca="1" si="1296"/>
        <v>0</v>
      </c>
      <c r="T257" s="10">
        <f t="shared" ca="1" si="1296"/>
        <v>0</v>
      </c>
      <c r="U257" s="10">
        <f t="shared" ca="1" si="1296"/>
        <v>0</v>
      </c>
      <c r="V257" s="10">
        <f t="shared" ca="1" si="1296"/>
        <v>0</v>
      </c>
      <c r="W257" s="10">
        <f t="shared" ca="1" si="1296"/>
        <v>0</v>
      </c>
      <c r="X257" s="10">
        <f t="shared" ca="1" si="1296"/>
        <v>0</v>
      </c>
      <c r="Y257" s="10">
        <f t="shared" ca="1" si="1296"/>
        <v>0</v>
      </c>
      <c r="Z257" s="10">
        <f t="shared" ca="1" si="1296"/>
        <v>0</v>
      </c>
      <c r="AA257" s="10">
        <f t="shared" ca="1" si="1296"/>
        <v>0</v>
      </c>
      <c r="AB257" s="10">
        <f t="shared" ca="1" si="1296"/>
        <v>0</v>
      </c>
      <c r="AC257" s="10">
        <f t="shared" ca="1" si="1296"/>
        <v>0</v>
      </c>
      <c r="AD257" s="10">
        <f t="shared" ca="1" si="1296"/>
        <v>0</v>
      </c>
      <c r="AE257" s="10">
        <f t="shared" ca="1" si="1296"/>
        <v>0</v>
      </c>
      <c r="AF257" s="10">
        <f t="shared" ca="1" si="1296"/>
        <v>0</v>
      </c>
      <c r="AG257" s="10">
        <f t="shared" ca="1" si="1296"/>
        <v>0</v>
      </c>
      <c r="AH257" s="10">
        <f t="shared" ca="1" si="1296"/>
        <v>0</v>
      </c>
      <c r="AI257" s="10">
        <f t="shared" ca="1" si="1296"/>
        <v>0</v>
      </c>
      <c r="AJ257" s="10">
        <f t="shared" ca="1" si="1296"/>
        <v>0</v>
      </c>
      <c r="AK257" s="10">
        <f t="shared" ca="1" si="1296"/>
        <v>0</v>
      </c>
      <c r="AL257" s="10">
        <f t="shared" ca="1" si="1296"/>
        <v>0</v>
      </c>
      <c r="AM257" s="10">
        <f t="shared" ca="1" si="1296"/>
        <v>0</v>
      </c>
      <c r="AN257" s="10">
        <f t="shared" ca="1" si="1296"/>
        <v>0</v>
      </c>
      <c r="AO257" s="10">
        <f t="shared" ca="1" si="1296"/>
        <v>0</v>
      </c>
      <c r="AP257" s="10">
        <f t="shared" ca="1" si="1296"/>
        <v>0</v>
      </c>
      <c r="AQ257" s="10">
        <f t="shared" ca="1" si="1296"/>
        <v>0</v>
      </c>
      <c r="AR257" s="10">
        <f t="shared" ref="AR257:BW257" ca="1" si="1297" xml:space="preserve"> AR249 * CAPEX_Accumulated_From_Date</f>
        <v>0</v>
      </c>
      <c r="AS257" s="10">
        <f t="shared" ca="1" si="1297"/>
        <v>0</v>
      </c>
      <c r="AT257" s="10">
        <f t="shared" ca="1" si="1297"/>
        <v>0</v>
      </c>
      <c r="AU257" s="10">
        <f t="shared" ca="1" si="1297"/>
        <v>0</v>
      </c>
      <c r="AV257" s="10">
        <f t="shared" ca="1" si="1297"/>
        <v>0</v>
      </c>
      <c r="AW257" s="10">
        <f t="shared" ca="1" si="1297"/>
        <v>0</v>
      </c>
      <c r="AX257" s="10">
        <f t="shared" ca="1" si="1297"/>
        <v>0</v>
      </c>
      <c r="AY257" s="10">
        <f t="shared" ca="1" si="1297"/>
        <v>0</v>
      </c>
      <c r="AZ257" s="10">
        <f t="shared" ca="1" si="1297"/>
        <v>0</v>
      </c>
      <c r="BA257" s="10">
        <f t="shared" ca="1" si="1297"/>
        <v>0</v>
      </c>
      <c r="BB257" s="10">
        <f t="shared" ca="1" si="1297"/>
        <v>0</v>
      </c>
      <c r="BC257" s="10">
        <f t="shared" ca="1" si="1297"/>
        <v>0</v>
      </c>
      <c r="BD257" s="10">
        <f t="shared" ca="1" si="1297"/>
        <v>0</v>
      </c>
      <c r="BE257" s="10">
        <f t="shared" ca="1" si="1297"/>
        <v>0</v>
      </c>
      <c r="BF257" s="10">
        <f t="shared" ca="1" si="1297"/>
        <v>0</v>
      </c>
      <c r="BG257" s="10">
        <f t="shared" ca="1" si="1297"/>
        <v>0</v>
      </c>
      <c r="BH257" s="10">
        <f t="shared" ca="1" si="1297"/>
        <v>0</v>
      </c>
      <c r="BI257" s="10">
        <f t="shared" ca="1" si="1297"/>
        <v>0</v>
      </c>
      <c r="BJ257" s="10">
        <f t="shared" ca="1" si="1297"/>
        <v>0</v>
      </c>
      <c r="BK257" s="10">
        <f t="shared" ca="1" si="1297"/>
        <v>0</v>
      </c>
      <c r="BL257" s="10">
        <f t="shared" ca="1" si="1297"/>
        <v>0</v>
      </c>
      <c r="BM257" s="10">
        <f t="shared" ca="1" si="1297"/>
        <v>0</v>
      </c>
      <c r="BN257" s="10">
        <f t="shared" ca="1" si="1297"/>
        <v>0</v>
      </c>
      <c r="BO257" s="10">
        <f t="shared" ca="1" si="1297"/>
        <v>0</v>
      </c>
      <c r="BP257" s="10">
        <f t="shared" ca="1" si="1297"/>
        <v>0</v>
      </c>
      <c r="BQ257" s="10">
        <f t="shared" ca="1" si="1297"/>
        <v>0</v>
      </c>
      <c r="BR257" s="10">
        <f t="shared" ca="1" si="1297"/>
        <v>0</v>
      </c>
      <c r="BS257" s="10">
        <f t="shared" ca="1" si="1297"/>
        <v>0</v>
      </c>
      <c r="BT257" s="10">
        <f t="shared" ca="1" si="1297"/>
        <v>0</v>
      </c>
      <c r="BU257" s="10">
        <f t="shared" ca="1" si="1297"/>
        <v>0</v>
      </c>
      <c r="BV257" s="10">
        <f t="shared" ca="1" si="1297"/>
        <v>0</v>
      </c>
      <c r="BW257" s="10">
        <f t="shared" ca="1" si="1297"/>
        <v>0</v>
      </c>
      <c r="BX257" s="10">
        <f t="shared" ref="BX257:CO257" ca="1" si="1298" xml:space="preserve"> BX249 * CAPEX_Accumulated_From_Date</f>
        <v>0</v>
      </c>
      <c r="BY257" s="10">
        <f t="shared" ca="1" si="1298"/>
        <v>0</v>
      </c>
      <c r="BZ257" s="10">
        <f t="shared" ca="1" si="1298"/>
        <v>0</v>
      </c>
      <c r="CA257" s="10">
        <f t="shared" ca="1" si="1298"/>
        <v>0</v>
      </c>
      <c r="CB257" s="10">
        <f t="shared" ca="1" si="1298"/>
        <v>0</v>
      </c>
      <c r="CC257" s="10">
        <f t="shared" ca="1" si="1298"/>
        <v>0</v>
      </c>
      <c r="CD257" s="10">
        <f t="shared" ca="1" si="1298"/>
        <v>0</v>
      </c>
      <c r="CE257" s="10">
        <f t="shared" ca="1" si="1298"/>
        <v>0</v>
      </c>
      <c r="CF257" s="10">
        <f t="shared" ca="1" si="1298"/>
        <v>0</v>
      </c>
      <c r="CG257" s="10">
        <f t="shared" ca="1" si="1298"/>
        <v>0</v>
      </c>
      <c r="CH257" s="10">
        <f t="shared" ca="1" si="1298"/>
        <v>0</v>
      </c>
      <c r="CI257" s="10">
        <f t="shared" ca="1" si="1298"/>
        <v>0</v>
      </c>
      <c r="CJ257" s="10">
        <f t="shared" ca="1" si="1298"/>
        <v>0</v>
      </c>
      <c r="CK257" s="10">
        <f t="shared" ca="1" si="1298"/>
        <v>0</v>
      </c>
      <c r="CL257" s="10">
        <f t="shared" ca="1" si="1298"/>
        <v>0</v>
      </c>
      <c r="CM257" s="10">
        <f t="shared" ca="1" si="1298"/>
        <v>0</v>
      </c>
      <c r="CN257" s="10">
        <f t="shared" ca="1" si="1298"/>
        <v>0</v>
      </c>
      <c r="CO257" s="10">
        <f t="shared" ca="1" si="1298"/>
        <v>0</v>
      </c>
    </row>
    <row r="258" spans="1:93" ht="15" thickTop="1">
      <c r="A258" s="77"/>
      <c r="B258" s="101"/>
      <c r="C258" s="49" t="s">
        <v>858</v>
      </c>
      <c r="D258" s="49"/>
      <c r="E258" s="136"/>
      <c r="F258" s="49"/>
      <c r="G258" s="159" t="str">
        <f xml:space="preserve"> Monetary_Unit</f>
        <v>тыс. руб.</v>
      </c>
      <c r="H258" s="49"/>
      <c r="I258" s="23">
        <f ca="1">SUM(L258:CO258)</f>
        <v>0</v>
      </c>
      <c r="J258" s="49"/>
      <c r="K258" s="49"/>
      <c r="L258" s="49">
        <f t="shared" ref="L258:R258" ca="1" si="1299" xml:space="preserve"> SUM(L254:L257)</f>
        <v>0</v>
      </c>
      <c r="M258" s="49">
        <f t="shared" ca="1" si="1299"/>
        <v>0</v>
      </c>
      <c r="N258" s="49">
        <f t="shared" ca="1" si="1299"/>
        <v>0</v>
      </c>
      <c r="O258" s="49">
        <f t="shared" ca="1" si="1299"/>
        <v>0</v>
      </c>
      <c r="P258" s="49">
        <f t="shared" ca="1" si="1299"/>
        <v>0</v>
      </c>
      <c r="Q258" s="49">
        <f t="shared" ca="1" si="1299"/>
        <v>0</v>
      </c>
      <c r="R258" s="49">
        <f t="shared" ca="1" si="1299"/>
        <v>0</v>
      </c>
      <c r="S258" s="49">
        <f t="shared" ref="S258" ca="1" si="1300" xml:space="preserve"> SUM(S254:S257)</f>
        <v>0</v>
      </c>
      <c r="T258" s="49">
        <f t="shared" ref="T258:CE258" ca="1" si="1301" xml:space="preserve"> SUM(T254:T257)</f>
        <v>0</v>
      </c>
      <c r="U258" s="49">
        <f t="shared" ca="1" si="1301"/>
        <v>0</v>
      </c>
      <c r="V258" s="49">
        <f t="shared" ca="1" si="1301"/>
        <v>0</v>
      </c>
      <c r="W258" s="49">
        <f t="shared" ca="1" si="1301"/>
        <v>0</v>
      </c>
      <c r="X258" s="49">
        <f t="shared" ca="1" si="1301"/>
        <v>0</v>
      </c>
      <c r="Y258" s="49">
        <f t="shared" ca="1" si="1301"/>
        <v>0</v>
      </c>
      <c r="Z258" s="49">
        <f t="shared" ca="1" si="1301"/>
        <v>0</v>
      </c>
      <c r="AA258" s="49">
        <f t="shared" ca="1" si="1301"/>
        <v>0</v>
      </c>
      <c r="AB258" s="49">
        <f t="shared" ca="1" si="1301"/>
        <v>0</v>
      </c>
      <c r="AC258" s="49">
        <f t="shared" ca="1" si="1301"/>
        <v>0</v>
      </c>
      <c r="AD258" s="49">
        <f t="shared" ca="1" si="1301"/>
        <v>0</v>
      </c>
      <c r="AE258" s="49">
        <f t="shared" ca="1" si="1301"/>
        <v>0</v>
      </c>
      <c r="AF258" s="49">
        <f t="shared" ca="1" si="1301"/>
        <v>0</v>
      </c>
      <c r="AG258" s="49">
        <f t="shared" ca="1" si="1301"/>
        <v>0</v>
      </c>
      <c r="AH258" s="49">
        <f t="shared" ca="1" si="1301"/>
        <v>0</v>
      </c>
      <c r="AI258" s="49">
        <f t="shared" ca="1" si="1301"/>
        <v>0</v>
      </c>
      <c r="AJ258" s="49">
        <f t="shared" ca="1" si="1301"/>
        <v>0</v>
      </c>
      <c r="AK258" s="49">
        <f t="shared" ca="1" si="1301"/>
        <v>0</v>
      </c>
      <c r="AL258" s="49">
        <f t="shared" ca="1" si="1301"/>
        <v>0</v>
      </c>
      <c r="AM258" s="49">
        <f t="shared" ca="1" si="1301"/>
        <v>0</v>
      </c>
      <c r="AN258" s="49">
        <f t="shared" ca="1" si="1301"/>
        <v>0</v>
      </c>
      <c r="AO258" s="49">
        <f t="shared" ca="1" si="1301"/>
        <v>0</v>
      </c>
      <c r="AP258" s="49">
        <f t="shared" ca="1" si="1301"/>
        <v>0</v>
      </c>
      <c r="AQ258" s="49">
        <f t="shared" ca="1" si="1301"/>
        <v>0</v>
      </c>
      <c r="AR258" s="49">
        <f t="shared" ca="1" si="1301"/>
        <v>0</v>
      </c>
      <c r="AS258" s="49">
        <f t="shared" ca="1" si="1301"/>
        <v>0</v>
      </c>
      <c r="AT258" s="49">
        <f t="shared" ca="1" si="1301"/>
        <v>0</v>
      </c>
      <c r="AU258" s="49">
        <f t="shared" ca="1" si="1301"/>
        <v>0</v>
      </c>
      <c r="AV258" s="49">
        <f t="shared" ca="1" si="1301"/>
        <v>0</v>
      </c>
      <c r="AW258" s="49">
        <f t="shared" ca="1" si="1301"/>
        <v>0</v>
      </c>
      <c r="AX258" s="49">
        <f t="shared" ca="1" si="1301"/>
        <v>0</v>
      </c>
      <c r="AY258" s="49">
        <f t="shared" ca="1" si="1301"/>
        <v>0</v>
      </c>
      <c r="AZ258" s="49">
        <f t="shared" ca="1" si="1301"/>
        <v>0</v>
      </c>
      <c r="BA258" s="49">
        <f t="shared" ca="1" si="1301"/>
        <v>0</v>
      </c>
      <c r="BB258" s="49">
        <f t="shared" ca="1" si="1301"/>
        <v>0</v>
      </c>
      <c r="BC258" s="49">
        <f t="shared" ca="1" si="1301"/>
        <v>0</v>
      </c>
      <c r="BD258" s="49">
        <f t="shared" ca="1" si="1301"/>
        <v>0</v>
      </c>
      <c r="BE258" s="49">
        <f t="shared" ca="1" si="1301"/>
        <v>0</v>
      </c>
      <c r="BF258" s="49">
        <f t="shared" ca="1" si="1301"/>
        <v>0</v>
      </c>
      <c r="BG258" s="49">
        <f t="shared" ca="1" si="1301"/>
        <v>0</v>
      </c>
      <c r="BH258" s="49">
        <f t="shared" ca="1" si="1301"/>
        <v>0</v>
      </c>
      <c r="BI258" s="49">
        <f t="shared" ca="1" si="1301"/>
        <v>0</v>
      </c>
      <c r="BJ258" s="49">
        <f t="shared" ca="1" si="1301"/>
        <v>0</v>
      </c>
      <c r="BK258" s="49">
        <f t="shared" ca="1" si="1301"/>
        <v>0</v>
      </c>
      <c r="BL258" s="49">
        <f t="shared" ca="1" si="1301"/>
        <v>0</v>
      </c>
      <c r="BM258" s="49">
        <f t="shared" ca="1" si="1301"/>
        <v>0</v>
      </c>
      <c r="BN258" s="49">
        <f t="shared" ca="1" si="1301"/>
        <v>0</v>
      </c>
      <c r="BO258" s="49">
        <f t="shared" ca="1" si="1301"/>
        <v>0</v>
      </c>
      <c r="BP258" s="49">
        <f t="shared" ca="1" si="1301"/>
        <v>0</v>
      </c>
      <c r="BQ258" s="49">
        <f t="shared" ca="1" si="1301"/>
        <v>0</v>
      </c>
      <c r="BR258" s="49">
        <f t="shared" ca="1" si="1301"/>
        <v>0</v>
      </c>
      <c r="BS258" s="49">
        <f t="shared" ca="1" si="1301"/>
        <v>0</v>
      </c>
      <c r="BT258" s="49">
        <f t="shared" ca="1" si="1301"/>
        <v>0</v>
      </c>
      <c r="BU258" s="49">
        <f t="shared" ca="1" si="1301"/>
        <v>0</v>
      </c>
      <c r="BV258" s="49">
        <f t="shared" ca="1" si="1301"/>
        <v>0</v>
      </c>
      <c r="BW258" s="49">
        <f t="shared" ca="1" si="1301"/>
        <v>0</v>
      </c>
      <c r="BX258" s="49">
        <f t="shared" ca="1" si="1301"/>
        <v>0</v>
      </c>
      <c r="BY258" s="49">
        <f t="shared" ca="1" si="1301"/>
        <v>0</v>
      </c>
      <c r="BZ258" s="49">
        <f t="shared" ca="1" si="1301"/>
        <v>0</v>
      </c>
      <c r="CA258" s="49">
        <f t="shared" ca="1" si="1301"/>
        <v>0</v>
      </c>
      <c r="CB258" s="49">
        <f t="shared" ca="1" si="1301"/>
        <v>0</v>
      </c>
      <c r="CC258" s="49">
        <f t="shared" ca="1" si="1301"/>
        <v>0</v>
      </c>
      <c r="CD258" s="49">
        <f t="shared" ca="1" si="1301"/>
        <v>0</v>
      </c>
      <c r="CE258" s="49">
        <f t="shared" ca="1" si="1301"/>
        <v>0</v>
      </c>
      <c r="CF258" s="49">
        <f t="shared" ref="CF258:CO258" ca="1" si="1302" xml:space="preserve"> SUM(CF254:CF257)</f>
        <v>0</v>
      </c>
      <c r="CG258" s="49">
        <f t="shared" ca="1" si="1302"/>
        <v>0</v>
      </c>
      <c r="CH258" s="49">
        <f t="shared" ca="1" si="1302"/>
        <v>0</v>
      </c>
      <c r="CI258" s="49">
        <f t="shared" ca="1" si="1302"/>
        <v>0</v>
      </c>
      <c r="CJ258" s="49">
        <f t="shared" ca="1" si="1302"/>
        <v>0</v>
      </c>
      <c r="CK258" s="49">
        <f t="shared" ca="1" si="1302"/>
        <v>0</v>
      </c>
      <c r="CL258" s="49">
        <f t="shared" ca="1" si="1302"/>
        <v>0</v>
      </c>
      <c r="CM258" s="49">
        <f t="shared" ca="1" si="1302"/>
        <v>0</v>
      </c>
      <c r="CN258" s="49">
        <f t="shared" ca="1" si="1302"/>
        <v>0</v>
      </c>
      <c r="CO258" s="49">
        <f t="shared" ca="1" si="1302"/>
        <v>0</v>
      </c>
    </row>
    <row r="259" spans="1:93">
      <c r="A259" s="9"/>
      <c r="B259" s="168"/>
      <c r="C259" s="169"/>
      <c r="D259" s="10"/>
      <c r="E259" s="62"/>
      <c r="F259" s="11"/>
      <c r="G259" s="11"/>
      <c r="H259" s="10"/>
      <c r="I259" s="10" t="str">
        <f ca="1">IF(IFERROR(I258=Предпосылки!H352*I97*I114,I258=0),"")</f>
        <v/>
      </c>
      <c r="J259" s="10"/>
      <c r="K259" s="10"/>
      <c r="L259" s="170"/>
      <c r="M259" s="170"/>
      <c r="N259" s="170"/>
      <c r="O259" s="170"/>
      <c r="P259" s="170"/>
      <c r="Q259" s="170"/>
      <c r="R259" s="170"/>
      <c r="S259" s="170"/>
      <c r="T259" s="170"/>
      <c r="U259" s="170"/>
      <c r="V259" s="170"/>
      <c r="W259" s="170"/>
      <c r="X259" s="170"/>
      <c r="Y259" s="170"/>
      <c r="Z259" s="170"/>
      <c r="AA259" s="170"/>
      <c r="AB259" s="170"/>
      <c r="AC259" s="170"/>
      <c r="AD259" s="170"/>
      <c r="AE259" s="170"/>
      <c r="AF259" s="170"/>
      <c r="AG259" s="170"/>
      <c r="AH259" s="170"/>
      <c r="AI259" s="170"/>
      <c r="AJ259" s="170"/>
      <c r="AK259" s="170"/>
      <c r="AL259" s="170"/>
      <c r="AM259" s="170"/>
      <c r="AN259" s="170"/>
      <c r="AO259" s="170"/>
      <c r="AP259" s="170"/>
      <c r="AQ259" s="170"/>
      <c r="AR259" s="170"/>
      <c r="AS259" s="170"/>
      <c r="AT259" s="170"/>
      <c r="AU259" s="170"/>
      <c r="AV259" s="170"/>
      <c r="AW259" s="170"/>
      <c r="AX259" s="170"/>
      <c r="AY259" s="170"/>
      <c r="AZ259" s="170"/>
      <c r="BA259" s="170"/>
      <c r="BB259" s="170"/>
      <c r="BC259" s="170"/>
      <c r="BD259" s="170"/>
      <c r="BE259" s="170"/>
      <c r="BF259" s="170"/>
      <c r="BG259" s="170"/>
      <c r="BH259" s="170"/>
      <c r="BI259" s="170"/>
      <c r="BJ259" s="170"/>
      <c r="BK259" s="170"/>
      <c r="BL259" s="170"/>
      <c r="BM259" s="170"/>
      <c r="BN259" s="170"/>
      <c r="BO259" s="170"/>
      <c r="BP259" s="170"/>
      <c r="BQ259" s="170"/>
      <c r="BR259" s="170"/>
      <c r="BS259" s="170"/>
      <c r="BT259" s="170"/>
      <c r="BU259" s="170"/>
      <c r="BV259" s="170"/>
      <c r="BW259" s="170"/>
      <c r="BX259" s="170"/>
      <c r="BY259" s="170"/>
      <c r="BZ259" s="170"/>
      <c r="CA259" s="170"/>
      <c r="CB259" s="170"/>
      <c r="CC259" s="170"/>
      <c r="CD259" s="170"/>
      <c r="CE259" s="170"/>
      <c r="CF259" s="170"/>
      <c r="CG259" s="170"/>
      <c r="CH259" s="170"/>
      <c r="CI259" s="170"/>
      <c r="CJ259" s="170"/>
      <c r="CK259" s="170"/>
      <c r="CL259" s="170"/>
      <c r="CM259" s="170"/>
      <c r="CN259" s="170"/>
      <c r="CO259" s="170"/>
    </row>
    <row r="260" spans="1:93">
      <c r="A260" s="77"/>
      <c r="B260" s="10"/>
      <c r="C260" s="24" t="s">
        <v>576</v>
      </c>
      <c r="D260" s="24"/>
      <c r="E260" s="24"/>
      <c r="F260" s="24"/>
      <c r="G260" s="135" t="str">
        <f>Monetary_Unit</f>
        <v>тыс. руб.</v>
      </c>
      <c r="H260" s="24"/>
      <c r="I260" s="23">
        <f ca="1">SUM(L260:CO260)</f>
        <v>4808399.504779838</v>
      </c>
      <c r="J260" s="24"/>
      <c r="K260" s="24"/>
      <c r="L260" s="24">
        <f t="shared" ref="L260:R260" ca="1" si="1303" xml:space="preserve"> SUM(L163,L170,L177,L212,L235,L258)</f>
        <v>26171.794482739097</v>
      </c>
      <c r="M260" s="24">
        <f t="shared" ca="1" si="1303"/>
        <v>26543.300158756276</v>
      </c>
      <c r="N260" s="24">
        <f t="shared" ca="1" si="1303"/>
        <v>26920.079316016938</v>
      </c>
      <c r="O260" s="24">
        <f t="shared" ca="1" si="1303"/>
        <v>27302.20681099359</v>
      </c>
      <c r="P260" s="24">
        <f t="shared" ca="1" si="1303"/>
        <v>229659.55483999598</v>
      </c>
      <c r="Q260" s="24">
        <f t="shared" ca="1" si="1303"/>
        <v>231922.48380168967</v>
      </c>
      <c r="R260" s="24">
        <f t="shared" ca="1" si="1303"/>
        <v>234207.71032243437</v>
      </c>
      <c r="S260" s="24">
        <f t="shared" ref="S260" ca="1" si="1304" xml:space="preserve"> SUM(S163,S170,S177,S212,S235,S258)</f>
        <v>236515.4541091444</v>
      </c>
      <c r="T260" s="24">
        <f t="shared" ref="T260:CE260" ca="1" si="1305" xml:space="preserve"> SUM(T163,T170,T177,T212,T235,T258)</f>
        <v>238845.93703359578</v>
      </c>
      <c r="U260" s="24">
        <f t="shared" ca="1" si="1305"/>
        <v>241199.38315375723</v>
      </c>
      <c r="V260" s="24">
        <f t="shared" ca="1" si="1305"/>
        <v>243576.01873533166</v>
      </c>
      <c r="W260" s="24">
        <f t="shared" ca="1" si="1305"/>
        <v>245976.07227351013</v>
      </c>
      <c r="X260" s="24">
        <f t="shared" ca="1" si="1305"/>
        <v>518760.33442500973</v>
      </c>
      <c r="Y260" s="24">
        <f t="shared" ca="1" si="1305"/>
        <v>523871.89090157853</v>
      </c>
      <c r="Z260" s="24">
        <f t="shared" ca="1" si="1305"/>
        <v>529033.81362220866</v>
      </c>
      <c r="AA260" s="24">
        <f t="shared" ca="1" si="1305"/>
        <v>534246.59886597958</v>
      </c>
      <c r="AB260" s="24">
        <f t="shared" ca="1" si="1305"/>
        <v>693646.87192709628</v>
      </c>
      <c r="AC260" s="24">
        <f t="shared" ca="1" si="1305"/>
        <v>0</v>
      </c>
      <c r="AD260" s="24">
        <f t="shared" ca="1" si="1305"/>
        <v>0</v>
      </c>
      <c r="AE260" s="24">
        <f t="shared" ca="1" si="1305"/>
        <v>0</v>
      </c>
      <c r="AF260" s="24">
        <f t="shared" ca="1" si="1305"/>
        <v>0</v>
      </c>
      <c r="AG260" s="24">
        <f t="shared" ca="1" si="1305"/>
        <v>0</v>
      </c>
      <c r="AH260" s="24">
        <f t="shared" ca="1" si="1305"/>
        <v>0</v>
      </c>
      <c r="AI260" s="24">
        <f t="shared" ca="1" si="1305"/>
        <v>0</v>
      </c>
      <c r="AJ260" s="24">
        <f t="shared" ca="1" si="1305"/>
        <v>0</v>
      </c>
      <c r="AK260" s="24">
        <f t="shared" ca="1" si="1305"/>
        <v>0</v>
      </c>
      <c r="AL260" s="24">
        <f t="shared" ca="1" si="1305"/>
        <v>0</v>
      </c>
      <c r="AM260" s="24">
        <f t="shared" ca="1" si="1305"/>
        <v>0</v>
      </c>
      <c r="AN260" s="24">
        <f t="shared" ca="1" si="1305"/>
        <v>0</v>
      </c>
      <c r="AO260" s="24">
        <f t="shared" ca="1" si="1305"/>
        <v>0</v>
      </c>
      <c r="AP260" s="24">
        <f t="shared" ca="1" si="1305"/>
        <v>0</v>
      </c>
      <c r="AQ260" s="24">
        <f t="shared" ca="1" si="1305"/>
        <v>0</v>
      </c>
      <c r="AR260" s="24">
        <f t="shared" ca="1" si="1305"/>
        <v>0</v>
      </c>
      <c r="AS260" s="24">
        <f t="shared" ca="1" si="1305"/>
        <v>0</v>
      </c>
      <c r="AT260" s="24">
        <f t="shared" ca="1" si="1305"/>
        <v>0</v>
      </c>
      <c r="AU260" s="24">
        <f t="shared" ca="1" si="1305"/>
        <v>0</v>
      </c>
      <c r="AV260" s="24">
        <f t="shared" ca="1" si="1305"/>
        <v>0</v>
      </c>
      <c r="AW260" s="24">
        <f t="shared" ca="1" si="1305"/>
        <v>0</v>
      </c>
      <c r="AX260" s="24">
        <f t="shared" ca="1" si="1305"/>
        <v>0</v>
      </c>
      <c r="AY260" s="24">
        <f t="shared" ca="1" si="1305"/>
        <v>0</v>
      </c>
      <c r="AZ260" s="24">
        <f t="shared" ca="1" si="1305"/>
        <v>0</v>
      </c>
      <c r="BA260" s="24">
        <f t="shared" ca="1" si="1305"/>
        <v>0</v>
      </c>
      <c r="BB260" s="24">
        <f t="shared" ca="1" si="1305"/>
        <v>0</v>
      </c>
      <c r="BC260" s="24">
        <f t="shared" ca="1" si="1305"/>
        <v>0</v>
      </c>
      <c r="BD260" s="24">
        <f t="shared" ca="1" si="1305"/>
        <v>0</v>
      </c>
      <c r="BE260" s="24">
        <f t="shared" ca="1" si="1305"/>
        <v>0</v>
      </c>
      <c r="BF260" s="24">
        <f t="shared" ca="1" si="1305"/>
        <v>0</v>
      </c>
      <c r="BG260" s="24">
        <f t="shared" ca="1" si="1305"/>
        <v>0</v>
      </c>
      <c r="BH260" s="24">
        <f t="shared" ca="1" si="1305"/>
        <v>0</v>
      </c>
      <c r="BI260" s="24">
        <f t="shared" ca="1" si="1305"/>
        <v>0</v>
      </c>
      <c r="BJ260" s="24">
        <f t="shared" ca="1" si="1305"/>
        <v>0</v>
      </c>
      <c r="BK260" s="24">
        <f t="shared" ca="1" si="1305"/>
        <v>0</v>
      </c>
      <c r="BL260" s="24">
        <f t="shared" ca="1" si="1305"/>
        <v>0</v>
      </c>
      <c r="BM260" s="24">
        <f t="shared" ca="1" si="1305"/>
        <v>0</v>
      </c>
      <c r="BN260" s="24">
        <f t="shared" ca="1" si="1305"/>
        <v>0</v>
      </c>
      <c r="BO260" s="24">
        <f t="shared" ca="1" si="1305"/>
        <v>0</v>
      </c>
      <c r="BP260" s="24">
        <f t="shared" ca="1" si="1305"/>
        <v>0</v>
      </c>
      <c r="BQ260" s="24">
        <f t="shared" ca="1" si="1305"/>
        <v>0</v>
      </c>
      <c r="BR260" s="24">
        <f t="shared" ca="1" si="1305"/>
        <v>0</v>
      </c>
      <c r="BS260" s="24">
        <f t="shared" ca="1" si="1305"/>
        <v>0</v>
      </c>
      <c r="BT260" s="24">
        <f t="shared" ca="1" si="1305"/>
        <v>0</v>
      </c>
      <c r="BU260" s="24">
        <f t="shared" ca="1" si="1305"/>
        <v>0</v>
      </c>
      <c r="BV260" s="24">
        <f t="shared" ca="1" si="1305"/>
        <v>0</v>
      </c>
      <c r="BW260" s="24">
        <f t="shared" ca="1" si="1305"/>
        <v>0</v>
      </c>
      <c r="BX260" s="24">
        <f t="shared" ca="1" si="1305"/>
        <v>0</v>
      </c>
      <c r="BY260" s="24">
        <f t="shared" ca="1" si="1305"/>
        <v>0</v>
      </c>
      <c r="BZ260" s="24">
        <f t="shared" ca="1" si="1305"/>
        <v>0</v>
      </c>
      <c r="CA260" s="24">
        <f t="shared" ca="1" si="1305"/>
        <v>0</v>
      </c>
      <c r="CB260" s="24">
        <f t="shared" ca="1" si="1305"/>
        <v>0</v>
      </c>
      <c r="CC260" s="24">
        <f t="shared" ca="1" si="1305"/>
        <v>0</v>
      </c>
      <c r="CD260" s="24">
        <f t="shared" ca="1" si="1305"/>
        <v>0</v>
      </c>
      <c r="CE260" s="24">
        <f t="shared" ca="1" si="1305"/>
        <v>0</v>
      </c>
      <c r="CF260" s="24">
        <f t="shared" ref="CF260:CO260" ca="1" si="1306" xml:space="preserve"> SUM(CF163,CF170,CF177,CF212,CF235,CF258)</f>
        <v>0</v>
      </c>
      <c r="CG260" s="24">
        <f t="shared" ca="1" si="1306"/>
        <v>0</v>
      </c>
      <c r="CH260" s="24">
        <f t="shared" ca="1" si="1306"/>
        <v>0</v>
      </c>
      <c r="CI260" s="24">
        <f t="shared" ca="1" si="1306"/>
        <v>0</v>
      </c>
      <c r="CJ260" s="24">
        <f t="shared" ca="1" si="1306"/>
        <v>0</v>
      </c>
      <c r="CK260" s="24">
        <f t="shared" ca="1" si="1306"/>
        <v>0</v>
      </c>
      <c r="CL260" s="24">
        <f t="shared" ca="1" si="1306"/>
        <v>0</v>
      </c>
      <c r="CM260" s="24">
        <f t="shared" ca="1" si="1306"/>
        <v>0</v>
      </c>
      <c r="CN260" s="24">
        <f t="shared" ca="1" si="1306"/>
        <v>0</v>
      </c>
      <c r="CO260" s="24">
        <f t="shared" ca="1" si="1306"/>
        <v>0</v>
      </c>
    </row>
    <row r="261" spans="1:93">
      <c r="A261" s="77"/>
      <c r="B261" s="10"/>
      <c r="C261" s="21"/>
      <c r="D261" s="10"/>
      <c r="E261" s="10"/>
      <c r="F261" s="10"/>
      <c r="G261" s="11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</row>
    <row r="262" spans="1:93" ht="16" thickBot="1">
      <c r="A262" s="77"/>
      <c r="B262" s="101"/>
      <c r="C262" s="12" t="s">
        <v>575</v>
      </c>
      <c r="D262" s="12"/>
      <c r="E262" s="12"/>
      <c r="F262" s="12"/>
      <c r="G262" s="362"/>
      <c r="H262" s="12"/>
      <c r="I262" s="12"/>
      <c r="J262" s="69"/>
      <c r="K262" s="69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103"/>
      <c r="BD262" s="103"/>
      <c r="BE262" s="103"/>
      <c r="BF262" s="103"/>
      <c r="BG262" s="103"/>
      <c r="BH262" s="103"/>
      <c r="BI262" s="103"/>
      <c r="BJ262" s="103"/>
      <c r="BK262" s="103"/>
      <c r="BL262" s="103"/>
      <c r="BM262" s="103"/>
      <c r="BN262" s="103"/>
      <c r="BO262" s="103"/>
      <c r="BP262" s="103"/>
      <c r="BQ262" s="103"/>
      <c r="BR262" s="103"/>
      <c r="BS262" s="103"/>
      <c r="BT262" s="103"/>
      <c r="BU262" s="103"/>
      <c r="BV262" s="103"/>
      <c r="BW262" s="103"/>
      <c r="BX262" s="103"/>
      <c r="BY262" s="103"/>
      <c r="BZ262" s="103"/>
      <c r="CA262" s="103"/>
      <c r="CB262" s="103"/>
      <c r="CC262" s="103"/>
      <c r="CD262" s="103"/>
      <c r="CE262" s="103"/>
      <c r="CF262" s="103"/>
      <c r="CG262" s="103"/>
      <c r="CH262" s="103"/>
      <c r="CI262" s="103"/>
      <c r="CJ262" s="103"/>
      <c r="CK262" s="103"/>
      <c r="CL262" s="103"/>
      <c r="CM262" s="103"/>
      <c r="CN262" s="103"/>
      <c r="CO262" s="103"/>
    </row>
    <row r="263" spans="1:93">
      <c r="A263" s="77"/>
      <c r="B263" s="101"/>
      <c r="C263" s="102"/>
      <c r="D263" s="69"/>
      <c r="E263" s="62"/>
      <c r="F263" s="70"/>
      <c r="G263" s="11"/>
      <c r="H263" s="69"/>
      <c r="I263" s="69"/>
      <c r="J263" s="69"/>
      <c r="K263" s="69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103"/>
      <c r="BE263" s="103"/>
      <c r="BF263" s="103"/>
      <c r="BG263" s="103"/>
      <c r="BH263" s="103"/>
      <c r="BI263" s="103"/>
      <c r="BJ263" s="103"/>
      <c r="BK263" s="103"/>
      <c r="BL263" s="103"/>
      <c r="BM263" s="103"/>
      <c r="BN263" s="103"/>
      <c r="BO263" s="103"/>
      <c r="BP263" s="103"/>
      <c r="BQ263" s="103"/>
      <c r="BR263" s="103"/>
      <c r="BS263" s="103"/>
      <c r="BT263" s="103"/>
      <c r="BU263" s="103"/>
      <c r="BV263" s="103"/>
      <c r="BW263" s="103"/>
      <c r="BX263" s="103"/>
      <c r="BY263" s="103"/>
      <c r="BZ263" s="103"/>
      <c r="CA263" s="103"/>
      <c r="CB263" s="103"/>
      <c r="CC263" s="103"/>
      <c r="CD263" s="103"/>
      <c r="CE263" s="103"/>
      <c r="CF263" s="103"/>
      <c r="CG263" s="103"/>
      <c r="CH263" s="103"/>
      <c r="CI263" s="103"/>
      <c r="CJ263" s="103"/>
      <c r="CK263" s="103"/>
      <c r="CL263" s="103"/>
      <c r="CM263" s="103"/>
      <c r="CN263" s="103"/>
      <c r="CO263" s="103"/>
    </row>
    <row r="264" spans="1:93">
      <c r="A264" s="77"/>
      <c r="B264" s="101"/>
      <c r="C264" s="16" t="s">
        <v>577</v>
      </c>
      <c r="D264" s="69"/>
      <c r="E264" s="62"/>
      <c r="F264" s="70"/>
      <c r="G264" s="11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</row>
    <row r="265" spans="1:93">
      <c r="A265" s="77"/>
      <c r="B265" s="101"/>
      <c r="C265" s="17" t="str">
        <f xml:space="preserve"> "Здания и сооружения - " &amp; C32</f>
        <v>Здания и сооружения - Транспортная инфраструктура</v>
      </c>
      <c r="D265" s="69"/>
      <c r="E265" s="62"/>
      <c r="F265" s="70"/>
      <c r="G265" s="11" t="str">
        <f t="shared" ref="G265:G276" si="1307">Monetary_Unit</f>
        <v>тыс. руб.</v>
      </c>
      <c r="H265" s="10"/>
      <c r="I265" s="23">
        <f t="shared" ref="I265:I276" ca="1" si="1308">SUM(L265:CO265)</f>
        <v>27774.797642991573</v>
      </c>
      <c r="J265" s="10"/>
      <c r="K265" s="10"/>
      <c r="L265" s="10">
        <f t="shared" ref="L265:R265" ca="1" si="1309">SUM(L159:L162)</f>
        <v>232.91999784273011</v>
      </c>
      <c r="M265" s="10">
        <f t="shared" ca="1" si="1309"/>
        <v>236.22627098779674</v>
      </c>
      <c r="N265" s="10">
        <f t="shared" ca="1" si="1309"/>
        <v>239.57947630790645</v>
      </c>
      <c r="O265" s="10">
        <f t="shared" ca="1" si="1309"/>
        <v>242.98027999999991</v>
      </c>
      <c r="P265" s="10">
        <f t="shared" ca="1" si="1309"/>
        <v>1944.1207491283758</v>
      </c>
      <c r="Q265" s="10">
        <f t="shared" ca="1" si="1309"/>
        <v>1963.2769612498234</v>
      </c>
      <c r="R265" s="10">
        <f t="shared" ca="1" si="1309"/>
        <v>1982.6219273172421</v>
      </c>
      <c r="S265" s="10">
        <f t="shared" ref="S265" ca="1" si="1310">SUM(S159:S162)</f>
        <v>2002.1575071999982</v>
      </c>
      <c r="T265" s="10">
        <f t="shared" ref="T265:CE265" ca="1" si="1311">SUM(T159:T162)</f>
        <v>2021.8855790935104</v>
      </c>
      <c r="U265" s="10">
        <f t="shared" ca="1" si="1311"/>
        <v>2041.8080396998159</v>
      </c>
      <c r="V265" s="10">
        <f t="shared" ca="1" si="1311"/>
        <v>2061.9268044099308</v>
      </c>
      <c r="W265" s="10">
        <f t="shared" ca="1" si="1311"/>
        <v>2082.2438074879983</v>
      </c>
      <c r="X265" s="10">
        <f t="shared" ca="1" si="1311"/>
        <v>2102.7610022572499</v>
      </c>
      <c r="Y265" s="10">
        <f t="shared" ca="1" si="1311"/>
        <v>2123.4803612878081</v>
      </c>
      <c r="Z265" s="10">
        <f t="shared" ca="1" si="1311"/>
        <v>2144.4038765863284</v>
      </c>
      <c r="AA265" s="10">
        <f t="shared" ca="1" si="1311"/>
        <v>2165.5335597875178</v>
      </c>
      <c r="AB265" s="10">
        <f t="shared" ca="1" si="1311"/>
        <v>2186.871442347538</v>
      </c>
      <c r="AC265" s="10">
        <f t="shared" ca="1" si="1311"/>
        <v>0</v>
      </c>
      <c r="AD265" s="10">
        <f t="shared" ca="1" si="1311"/>
        <v>0</v>
      </c>
      <c r="AE265" s="10">
        <f t="shared" ca="1" si="1311"/>
        <v>0</v>
      </c>
      <c r="AF265" s="10">
        <f t="shared" ca="1" si="1311"/>
        <v>0</v>
      </c>
      <c r="AG265" s="10">
        <f t="shared" ca="1" si="1311"/>
        <v>0</v>
      </c>
      <c r="AH265" s="10">
        <f t="shared" ca="1" si="1311"/>
        <v>0</v>
      </c>
      <c r="AI265" s="10">
        <f t="shared" ca="1" si="1311"/>
        <v>0</v>
      </c>
      <c r="AJ265" s="10">
        <f t="shared" ca="1" si="1311"/>
        <v>0</v>
      </c>
      <c r="AK265" s="10">
        <f t="shared" ca="1" si="1311"/>
        <v>0</v>
      </c>
      <c r="AL265" s="10">
        <f t="shared" ca="1" si="1311"/>
        <v>0</v>
      </c>
      <c r="AM265" s="10">
        <f t="shared" ca="1" si="1311"/>
        <v>0</v>
      </c>
      <c r="AN265" s="10">
        <f t="shared" ca="1" si="1311"/>
        <v>0</v>
      </c>
      <c r="AO265" s="10">
        <f t="shared" ca="1" si="1311"/>
        <v>0</v>
      </c>
      <c r="AP265" s="10">
        <f t="shared" ca="1" si="1311"/>
        <v>0</v>
      </c>
      <c r="AQ265" s="10">
        <f t="shared" ca="1" si="1311"/>
        <v>0</v>
      </c>
      <c r="AR265" s="10">
        <f t="shared" ca="1" si="1311"/>
        <v>0</v>
      </c>
      <c r="AS265" s="10">
        <f t="shared" ca="1" si="1311"/>
        <v>0</v>
      </c>
      <c r="AT265" s="10">
        <f t="shared" ca="1" si="1311"/>
        <v>0</v>
      </c>
      <c r="AU265" s="10">
        <f t="shared" ca="1" si="1311"/>
        <v>0</v>
      </c>
      <c r="AV265" s="10">
        <f t="shared" ca="1" si="1311"/>
        <v>0</v>
      </c>
      <c r="AW265" s="10">
        <f t="shared" ca="1" si="1311"/>
        <v>0</v>
      </c>
      <c r="AX265" s="10">
        <f t="shared" ca="1" si="1311"/>
        <v>0</v>
      </c>
      <c r="AY265" s="10">
        <f t="shared" ca="1" si="1311"/>
        <v>0</v>
      </c>
      <c r="AZ265" s="10">
        <f t="shared" ca="1" si="1311"/>
        <v>0</v>
      </c>
      <c r="BA265" s="10">
        <f t="shared" ca="1" si="1311"/>
        <v>0</v>
      </c>
      <c r="BB265" s="10">
        <f t="shared" ca="1" si="1311"/>
        <v>0</v>
      </c>
      <c r="BC265" s="10">
        <f t="shared" ca="1" si="1311"/>
        <v>0</v>
      </c>
      <c r="BD265" s="10">
        <f t="shared" ca="1" si="1311"/>
        <v>0</v>
      </c>
      <c r="BE265" s="10">
        <f t="shared" ca="1" si="1311"/>
        <v>0</v>
      </c>
      <c r="BF265" s="10">
        <f t="shared" ca="1" si="1311"/>
        <v>0</v>
      </c>
      <c r="BG265" s="10">
        <f t="shared" ca="1" si="1311"/>
        <v>0</v>
      </c>
      <c r="BH265" s="10">
        <f t="shared" ca="1" si="1311"/>
        <v>0</v>
      </c>
      <c r="BI265" s="10">
        <f t="shared" ca="1" si="1311"/>
        <v>0</v>
      </c>
      <c r="BJ265" s="10">
        <f t="shared" ca="1" si="1311"/>
        <v>0</v>
      </c>
      <c r="BK265" s="10">
        <f t="shared" ca="1" si="1311"/>
        <v>0</v>
      </c>
      <c r="BL265" s="10">
        <f t="shared" ca="1" si="1311"/>
        <v>0</v>
      </c>
      <c r="BM265" s="10">
        <f t="shared" ca="1" si="1311"/>
        <v>0</v>
      </c>
      <c r="BN265" s="10">
        <f t="shared" ca="1" si="1311"/>
        <v>0</v>
      </c>
      <c r="BO265" s="10">
        <f t="shared" ca="1" si="1311"/>
        <v>0</v>
      </c>
      <c r="BP265" s="10">
        <f t="shared" ca="1" si="1311"/>
        <v>0</v>
      </c>
      <c r="BQ265" s="10">
        <f t="shared" ca="1" si="1311"/>
        <v>0</v>
      </c>
      <c r="BR265" s="10">
        <f t="shared" ca="1" si="1311"/>
        <v>0</v>
      </c>
      <c r="BS265" s="10">
        <f t="shared" ca="1" si="1311"/>
        <v>0</v>
      </c>
      <c r="BT265" s="10">
        <f t="shared" ca="1" si="1311"/>
        <v>0</v>
      </c>
      <c r="BU265" s="10">
        <f t="shared" ca="1" si="1311"/>
        <v>0</v>
      </c>
      <c r="BV265" s="10">
        <f t="shared" ca="1" si="1311"/>
        <v>0</v>
      </c>
      <c r="BW265" s="10">
        <f t="shared" ca="1" si="1311"/>
        <v>0</v>
      </c>
      <c r="BX265" s="10">
        <f t="shared" ca="1" si="1311"/>
        <v>0</v>
      </c>
      <c r="BY265" s="10">
        <f t="shared" ca="1" si="1311"/>
        <v>0</v>
      </c>
      <c r="BZ265" s="10">
        <f t="shared" ca="1" si="1311"/>
        <v>0</v>
      </c>
      <c r="CA265" s="10">
        <f t="shared" ca="1" si="1311"/>
        <v>0</v>
      </c>
      <c r="CB265" s="10">
        <f t="shared" ca="1" si="1311"/>
        <v>0</v>
      </c>
      <c r="CC265" s="10">
        <f t="shared" ca="1" si="1311"/>
        <v>0</v>
      </c>
      <c r="CD265" s="10">
        <f t="shared" ca="1" si="1311"/>
        <v>0</v>
      </c>
      <c r="CE265" s="10">
        <f t="shared" ca="1" si="1311"/>
        <v>0</v>
      </c>
      <c r="CF265" s="10">
        <f t="shared" ref="CF265:CO265" ca="1" si="1312">SUM(CF159:CF162)</f>
        <v>0</v>
      </c>
      <c r="CG265" s="10">
        <f t="shared" ca="1" si="1312"/>
        <v>0</v>
      </c>
      <c r="CH265" s="10">
        <f t="shared" ca="1" si="1312"/>
        <v>0</v>
      </c>
      <c r="CI265" s="10">
        <f t="shared" ca="1" si="1312"/>
        <v>0</v>
      </c>
      <c r="CJ265" s="10">
        <f t="shared" ca="1" si="1312"/>
        <v>0</v>
      </c>
      <c r="CK265" s="10">
        <f t="shared" ca="1" si="1312"/>
        <v>0</v>
      </c>
      <c r="CL265" s="10">
        <f t="shared" ca="1" si="1312"/>
        <v>0</v>
      </c>
      <c r="CM265" s="10">
        <f t="shared" ca="1" si="1312"/>
        <v>0</v>
      </c>
      <c r="CN265" s="10">
        <f t="shared" ca="1" si="1312"/>
        <v>0</v>
      </c>
      <c r="CO265" s="10">
        <f t="shared" ca="1" si="1312"/>
        <v>0</v>
      </c>
    </row>
    <row r="266" spans="1:93">
      <c r="A266" s="77"/>
      <c r="B266" s="101"/>
      <c r="C266" s="17" t="str">
        <f xml:space="preserve"> "Здания и сооружения - " &amp; C33</f>
        <v>Здания и сооружения - Коммунальная инфраструктура</v>
      </c>
      <c r="D266" s="69"/>
      <c r="E266" s="62"/>
      <c r="F266" s="70"/>
      <c r="G266" s="11" t="str">
        <f t="shared" si="1307"/>
        <v>тыс. руб.</v>
      </c>
      <c r="H266" s="10"/>
      <c r="I266" s="23">
        <f t="shared" ca="1" si="1308"/>
        <v>0</v>
      </c>
      <c r="J266" s="10"/>
      <c r="K266" s="10"/>
      <c r="L266" s="10">
        <f t="shared" ref="L266:R266" ca="1" si="1313">SUM(L166:L169)</f>
        <v>0</v>
      </c>
      <c r="M266" s="10">
        <f t="shared" ca="1" si="1313"/>
        <v>0</v>
      </c>
      <c r="N266" s="10">
        <f t="shared" ca="1" si="1313"/>
        <v>0</v>
      </c>
      <c r="O266" s="10">
        <f t="shared" ca="1" si="1313"/>
        <v>0</v>
      </c>
      <c r="P266" s="10">
        <f t="shared" ca="1" si="1313"/>
        <v>0</v>
      </c>
      <c r="Q266" s="10">
        <f t="shared" ca="1" si="1313"/>
        <v>0</v>
      </c>
      <c r="R266" s="10">
        <f t="shared" ca="1" si="1313"/>
        <v>0</v>
      </c>
      <c r="S266" s="10">
        <f t="shared" ref="S266" ca="1" si="1314">SUM(S166:S169)</f>
        <v>0</v>
      </c>
      <c r="T266" s="10">
        <f t="shared" ref="T266:CE266" ca="1" si="1315">SUM(T166:T169)</f>
        <v>0</v>
      </c>
      <c r="U266" s="10">
        <f t="shared" ca="1" si="1315"/>
        <v>0</v>
      </c>
      <c r="V266" s="10">
        <f t="shared" ca="1" si="1315"/>
        <v>0</v>
      </c>
      <c r="W266" s="10">
        <f t="shared" ca="1" si="1315"/>
        <v>0</v>
      </c>
      <c r="X266" s="10">
        <f t="shared" ca="1" si="1315"/>
        <v>0</v>
      </c>
      <c r="Y266" s="10">
        <f t="shared" ca="1" si="1315"/>
        <v>0</v>
      </c>
      <c r="Z266" s="10">
        <f t="shared" ca="1" si="1315"/>
        <v>0</v>
      </c>
      <c r="AA266" s="10">
        <f t="shared" ca="1" si="1315"/>
        <v>0</v>
      </c>
      <c r="AB266" s="10">
        <f t="shared" ca="1" si="1315"/>
        <v>0</v>
      </c>
      <c r="AC266" s="10">
        <f t="shared" ca="1" si="1315"/>
        <v>0</v>
      </c>
      <c r="AD266" s="10">
        <f t="shared" ca="1" si="1315"/>
        <v>0</v>
      </c>
      <c r="AE266" s="10">
        <f t="shared" ca="1" si="1315"/>
        <v>0</v>
      </c>
      <c r="AF266" s="10">
        <f t="shared" ca="1" si="1315"/>
        <v>0</v>
      </c>
      <c r="AG266" s="10">
        <f t="shared" ca="1" si="1315"/>
        <v>0</v>
      </c>
      <c r="AH266" s="10">
        <f t="shared" ca="1" si="1315"/>
        <v>0</v>
      </c>
      <c r="AI266" s="10">
        <f t="shared" ca="1" si="1315"/>
        <v>0</v>
      </c>
      <c r="AJ266" s="10">
        <f t="shared" ca="1" si="1315"/>
        <v>0</v>
      </c>
      <c r="AK266" s="10">
        <f t="shared" ca="1" si="1315"/>
        <v>0</v>
      </c>
      <c r="AL266" s="10">
        <f t="shared" ca="1" si="1315"/>
        <v>0</v>
      </c>
      <c r="AM266" s="10">
        <f t="shared" ca="1" si="1315"/>
        <v>0</v>
      </c>
      <c r="AN266" s="10">
        <f t="shared" ca="1" si="1315"/>
        <v>0</v>
      </c>
      <c r="AO266" s="10">
        <f t="shared" ca="1" si="1315"/>
        <v>0</v>
      </c>
      <c r="AP266" s="10">
        <f t="shared" ca="1" si="1315"/>
        <v>0</v>
      </c>
      <c r="AQ266" s="10">
        <f t="shared" ca="1" si="1315"/>
        <v>0</v>
      </c>
      <c r="AR266" s="10">
        <f t="shared" ca="1" si="1315"/>
        <v>0</v>
      </c>
      <c r="AS266" s="10">
        <f t="shared" ca="1" si="1315"/>
        <v>0</v>
      </c>
      <c r="AT266" s="10">
        <f t="shared" ca="1" si="1315"/>
        <v>0</v>
      </c>
      <c r="AU266" s="10">
        <f t="shared" ca="1" si="1315"/>
        <v>0</v>
      </c>
      <c r="AV266" s="10">
        <f t="shared" ca="1" si="1315"/>
        <v>0</v>
      </c>
      <c r="AW266" s="10">
        <f t="shared" ca="1" si="1315"/>
        <v>0</v>
      </c>
      <c r="AX266" s="10">
        <f t="shared" ca="1" si="1315"/>
        <v>0</v>
      </c>
      <c r="AY266" s="10">
        <f t="shared" ca="1" si="1315"/>
        <v>0</v>
      </c>
      <c r="AZ266" s="10">
        <f t="shared" ca="1" si="1315"/>
        <v>0</v>
      </c>
      <c r="BA266" s="10">
        <f t="shared" ca="1" si="1315"/>
        <v>0</v>
      </c>
      <c r="BB266" s="10">
        <f t="shared" ca="1" si="1315"/>
        <v>0</v>
      </c>
      <c r="BC266" s="10">
        <f t="shared" ca="1" si="1315"/>
        <v>0</v>
      </c>
      <c r="BD266" s="10">
        <f t="shared" ca="1" si="1315"/>
        <v>0</v>
      </c>
      <c r="BE266" s="10">
        <f t="shared" ca="1" si="1315"/>
        <v>0</v>
      </c>
      <c r="BF266" s="10">
        <f t="shared" ca="1" si="1315"/>
        <v>0</v>
      </c>
      <c r="BG266" s="10">
        <f t="shared" ca="1" si="1315"/>
        <v>0</v>
      </c>
      <c r="BH266" s="10">
        <f t="shared" ca="1" si="1315"/>
        <v>0</v>
      </c>
      <c r="BI266" s="10">
        <f t="shared" ca="1" si="1315"/>
        <v>0</v>
      </c>
      <c r="BJ266" s="10">
        <f t="shared" ca="1" si="1315"/>
        <v>0</v>
      </c>
      <c r="BK266" s="10">
        <f t="shared" ca="1" si="1315"/>
        <v>0</v>
      </c>
      <c r="BL266" s="10">
        <f t="shared" ca="1" si="1315"/>
        <v>0</v>
      </c>
      <c r="BM266" s="10">
        <f t="shared" ca="1" si="1315"/>
        <v>0</v>
      </c>
      <c r="BN266" s="10">
        <f t="shared" ca="1" si="1315"/>
        <v>0</v>
      </c>
      <c r="BO266" s="10">
        <f t="shared" ca="1" si="1315"/>
        <v>0</v>
      </c>
      <c r="BP266" s="10">
        <f t="shared" ca="1" si="1315"/>
        <v>0</v>
      </c>
      <c r="BQ266" s="10">
        <f t="shared" ca="1" si="1315"/>
        <v>0</v>
      </c>
      <c r="BR266" s="10">
        <f t="shared" ca="1" si="1315"/>
        <v>0</v>
      </c>
      <c r="BS266" s="10">
        <f t="shared" ca="1" si="1315"/>
        <v>0</v>
      </c>
      <c r="BT266" s="10">
        <f t="shared" ca="1" si="1315"/>
        <v>0</v>
      </c>
      <c r="BU266" s="10">
        <f t="shared" ca="1" si="1315"/>
        <v>0</v>
      </c>
      <c r="BV266" s="10">
        <f t="shared" ca="1" si="1315"/>
        <v>0</v>
      </c>
      <c r="BW266" s="10">
        <f t="shared" ca="1" si="1315"/>
        <v>0</v>
      </c>
      <c r="BX266" s="10">
        <f t="shared" ca="1" si="1315"/>
        <v>0</v>
      </c>
      <c r="BY266" s="10">
        <f t="shared" ca="1" si="1315"/>
        <v>0</v>
      </c>
      <c r="BZ266" s="10">
        <f t="shared" ca="1" si="1315"/>
        <v>0</v>
      </c>
      <c r="CA266" s="10">
        <f t="shared" ca="1" si="1315"/>
        <v>0</v>
      </c>
      <c r="CB266" s="10">
        <f t="shared" ca="1" si="1315"/>
        <v>0</v>
      </c>
      <c r="CC266" s="10">
        <f t="shared" ca="1" si="1315"/>
        <v>0</v>
      </c>
      <c r="CD266" s="10">
        <f t="shared" ca="1" si="1315"/>
        <v>0</v>
      </c>
      <c r="CE266" s="10">
        <f t="shared" ca="1" si="1315"/>
        <v>0</v>
      </c>
      <c r="CF266" s="10">
        <f t="shared" ref="CF266:CO266" ca="1" si="1316">SUM(CF166:CF169)</f>
        <v>0</v>
      </c>
      <c r="CG266" s="10">
        <f t="shared" ca="1" si="1316"/>
        <v>0</v>
      </c>
      <c r="CH266" s="10">
        <f t="shared" ca="1" si="1316"/>
        <v>0</v>
      </c>
      <c r="CI266" s="10">
        <f t="shared" ca="1" si="1316"/>
        <v>0</v>
      </c>
      <c r="CJ266" s="10">
        <f t="shared" ca="1" si="1316"/>
        <v>0</v>
      </c>
      <c r="CK266" s="10">
        <f t="shared" ca="1" si="1316"/>
        <v>0</v>
      </c>
      <c r="CL266" s="10">
        <f t="shared" ca="1" si="1316"/>
        <v>0</v>
      </c>
      <c r="CM266" s="10">
        <f t="shared" ca="1" si="1316"/>
        <v>0</v>
      </c>
      <c r="CN266" s="10">
        <f t="shared" ca="1" si="1316"/>
        <v>0</v>
      </c>
      <c r="CO266" s="10">
        <f t="shared" ca="1" si="1316"/>
        <v>0</v>
      </c>
    </row>
    <row r="267" spans="1:93">
      <c r="A267" s="77"/>
      <c r="B267" s="101"/>
      <c r="C267" s="17" t="str">
        <f xml:space="preserve"> "Здания и сооружения - " &amp; C34</f>
        <v>Здания и сооружения - Прочая обеспечивающая инфраструктура</v>
      </c>
      <c r="D267" s="69"/>
      <c r="E267" s="62"/>
      <c r="F267" s="70"/>
      <c r="G267" s="11" t="str">
        <f t="shared" si="1307"/>
        <v>тыс. руб.</v>
      </c>
      <c r="H267" s="10"/>
      <c r="I267" s="23">
        <f t="shared" ca="1" si="1308"/>
        <v>0</v>
      </c>
      <c r="J267" s="10"/>
      <c r="K267" s="10"/>
      <c r="L267" s="10">
        <f t="shared" ref="L267:R267" ca="1" si="1317">SUM(L173:L176)</f>
        <v>0</v>
      </c>
      <c r="M267" s="10">
        <f t="shared" ca="1" si="1317"/>
        <v>0</v>
      </c>
      <c r="N267" s="10">
        <f t="shared" ca="1" si="1317"/>
        <v>0</v>
      </c>
      <c r="O267" s="10">
        <f t="shared" ca="1" si="1317"/>
        <v>0</v>
      </c>
      <c r="P267" s="10">
        <f t="shared" ca="1" si="1317"/>
        <v>0</v>
      </c>
      <c r="Q267" s="10">
        <f t="shared" ca="1" si="1317"/>
        <v>0</v>
      </c>
      <c r="R267" s="10">
        <f t="shared" ca="1" si="1317"/>
        <v>0</v>
      </c>
      <c r="S267" s="10">
        <f t="shared" ref="S267" ca="1" si="1318">SUM(S173:S176)</f>
        <v>0</v>
      </c>
      <c r="T267" s="10">
        <f t="shared" ref="T267:CE267" ca="1" si="1319">SUM(T173:T176)</f>
        <v>0</v>
      </c>
      <c r="U267" s="10">
        <f t="shared" ca="1" si="1319"/>
        <v>0</v>
      </c>
      <c r="V267" s="10">
        <f t="shared" ca="1" si="1319"/>
        <v>0</v>
      </c>
      <c r="W267" s="10">
        <f t="shared" ca="1" si="1319"/>
        <v>0</v>
      </c>
      <c r="X267" s="10">
        <f t="shared" ca="1" si="1319"/>
        <v>0</v>
      </c>
      <c r="Y267" s="10">
        <f t="shared" ca="1" si="1319"/>
        <v>0</v>
      </c>
      <c r="Z267" s="10">
        <f t="shared" ca="1" si="1319"/>
        <v>0</v>
      </c>
      <c r="AA267" s="10">
        <f t="shared" ca="1" si="1319"/>
        <v>0</v>
      </c>
      <c r="AB267" s="10">
        <f t="shared" ca="1" si="1319"/>
        <v>0</v>
      </c>
      <c r="AC267" s="10">
        <f t="shared" ca="1" si="1319"/>
        <v>0</v>
      </c>
      <c r="AD267" s="10">
        <f t="shared" ca="1" si="1319"/>
        <v>0</v>
      </c>
      <c r="AE267" s="10">
        <f t="shared" ca="1" si="1319"/>
        <v>0</v>
      </c>
      <c r="AF267" s="10">
        <f t="shared" ca="1" si="1319"/>
        <v>0</v>
      </c>
      <c r="AG267" s="10">
        <f t="shared" ca="1" si="1319"/>
        <v>0</v>
      </c>
      <c r="AH267" s="10">
        <f t="shared" ca="1" si="1319"/>
        <v>0</v>
      </c>
      <c r="AI267" s="10">
        <f t="shared" ca="1" si="1319"/>
        <v>0</v>
      </c>
      <c r="AJ267" s="10">
        <f t="shared" ca="1" si="1319"/>
        <v>0</v>
      </c>
      <c r="AK267" s="10">
        <f t="shared" ca="1" si="1319"/>
        <v>0</v>
      </c>
      <c r="AL267" s="10">
        <f t="shared" ca="1" si="1319"/>
        <v>0</v>
      </c>
      <c r="AM267" s="10">
        <f t="shared" ca="1" si="1319"/>
        <v>0</v>
      </c>
      <c r="AN267" s="10">
        <f t="shared" ca="1" si="1319"/>
        <v>0</v>
      </c>
      <c r="AO267" s="10">
        <f t="shared" ca="1" si="1319"/>
        <v>0</v>
      </c>
      <c r="AP267" s="10">
        <f t="shared" ca="1" si="1319"/>
        <v>0</v>
      </c>
      <c r="AQ267" s="10">
        <f t="shared" ca="1" si="1319"/>
        <v>0</v>
      </c>
      <c r="AR267" s="10">
        <f t="shared" ca="1" si="1319"/>
        <v>0</v>
      </c>
      <c r="AS267" s="10">
        <f t="shared" ca="1" si="1319"/>
        <v>0</v>
      </c>
      <c r="AT267" s="10">
        <f t="shared" ca="1" si="1319"/>
        <v>0</v>
      </c>
      <c r="AU267" s="10">
        <f t="shared" ca="1" si="1319"/>
        <v>0</v>
      </c>
      <c r="AV267" s="10">
        <f t="shared" ca="1" si="1319"/>
        <v>0</v>
      </c>
      <c r="AW267" s="10">
        <f t="shared" ca="1" si="1319"/>
        <v>0</v>
      </c>
      <c r="AX267" s="10">
        <f t="shared" ca="1" si="1319"/>
        <v>0</v>
      </c>
      <c r="AY267" s="10">
        <f t="shared" ca="1" si="1319"/>
        <v>0</v>
      </c>
      <c r="AZ267" s="10">
        <f t="shared" ca="1" si="1319"/>
        <v>0</v>
      </c>
      <c r="BA267" s="10">
        <f t="shared" ca="1" si="1319"/>
        <v>0</v>
      </c>
      <c r="BB267" s="10">
        <f t="shared" ca="1" si="1319"/>
        <v>0</v>
      </c>
      <c r="BC267" s="10">
        <f t="shared" ca="1" si="1319"/>
        <v>0</v>
      </c>
      <c r="BD267" s="10">
        <f t="shared" ca="1" si="1319"/>
        <v>0</v>
      </c>
      <c r="BE267" s="10">
        <f t="shared" ca="1" si="1319"/>
        <v>0</v>
      </c>
      <c r="BF267" s="10">
        <f t="shared" ca="1" si="1319"/>
        <v>0</v>
      </c>
      <c r="BG267" s="10">
        <f t="shared" ca="1" si="1319"/>
        <v>0</v>
      </c>
      <c r="BH267" s="10">
        <f t="shared" ca="1" si="1319"/>
        <v>0</v>
      </c>
      <c r="BI267" s="10">
        <f t="shared" ca="1" si="1319"/>
        <v>0</v>
      </c>
      <c r="BJ267" s="10">
        <f t="shared" ca="1" si="1319"/>
        <v>0</v>
      </c>
      <c r="BK267" s="10">
        <f t="shared" ca="1" si="1319"/>
        <v>0</v>
      </c>
      <c r="BL267" s="10">
        <f t="shared" ca="1" si="1319"/>
        <v>0</v>
      </c>
      <c r="BM267" s="10">
        <f t="shared" ca="1" si="1319"/>
        <v>0</v>
      </c>
      <c r="BN267" s="10">
        <f t="shared" ca="1" si="1319"/>
        <v>0</v>
      </c>
      <c r="BO267" s="10">
        <f t="shared" ca="1" si="1319"/>
        <v>0</v>
      </c>
      <c r="BP267" s="10">
        <f t="shared" ca="1" si="1319"/>
        <v>0</v>
      </c>
      <c r="BQ267" s="10">
        <f t="shared" ca="1" si="1319"/>
        <v>0</v>
      </c>
      <c r="BR267" s="10">
        <f t="shared" ca="1" si="1319"/>
        <v>0</v>
      </c>
      <c r="BS267" s="10">
        <f t="shared" ca="1" si="1319"/>
        <v>0</v>
      </c>
      <c r="BT267" s="10">
        <f t="shared" ca="1" si="1319"/>
        <v>0</v>
      </c>
      <c r="BU267" s="10">
        <f t="shared" ca="1" si="1319"/>
        <v>0</v>
      </c>
      <c r="BV267" s="10">
        <f t="shared" ca="1" si="1319"/>
        <v>0</v>
      </c>
      <c r="BW267" s="10">
        <f t="shared" ca="1" si="1319"/>
        <v>0</v>
      </c>
      <c r="BX267" s="10">
        <f t="shared" ca="1" si="1319"/>
        <v>0</v>
      </c>
      <c r="BY267" s="10">
        <f t="shared" ca="1" si="1319"/>
        <v>0</v>
      </c>
      <c r="BZ267" s="10">
        <f t="shared" ca="1" si="1319"/>
        <v>0</v>
      </c>
      <c r="CA267" s="10">
        <f t="shared" ca="1" si="1319"/>
        <v>0</v>
      </c>
      <c r="CB267" s="10">
        <f t="shared" ca="1" si="1319"/>
        <v>0</v>
      </c>
      <c r="CC267" s="10">
        <f t="shared" ca="1" si="1319"/>
        <v>0</v>
      </c>
      <c r="CD267" s="10">
        <f t="shared" ca="1" si="1319"/>
        <v>0</v>
      </c>
      <c r="CE267" s="10">
        <f t="shared" ca="1" si="1319"/>
        <v>0</v>
      </c>
      <c r="CF267" s="10">
        <f t="shared" ref="CF267:CO267" ca="1" si="1320">SUM(CF173:CF176)</f>
        <v>0</v>
      </c>
      <c r="CG267" s="10">
        <f t="shared" ca="1" si="1320"/>
        <v>0</v>
      </c>
      <c r="CH267" s="10">
        <f t="shared" ca="1" si="1320"/>
        <v>0</v>
      </c>
      <c r="CI267" s="10">
        <f t="shared" ca="1" si="1320"/>
        <v>0</v>
      </c>
      <c r="CJ267" s="10">
        <f t="shared" ca="1" si="1320"/>
        <v>0</v>
      </c>
      <c r="CK267" s="10">
        <f t="shared" ca="1" si="1320"/>
        <v>0</v>
      </c>
      <c r="CL267" s="10">
        <f t="shared" ca="1" si="1320"/>
        <v>0</v>
      </c>
      <c r="CM267" s="10">
        <f t="shared" ca="1" si="1320"/>
        <v>0</v>
      </c>
      <c r="CN267" s="10">
        <f t="shared" ca="1" si="1320"/>
        <v>0</v>
      </c>
      <c r="CO267" s="10">
        <f t="shared" ca="1" si="1320"/>
        <v>0</v>
      </c>
    </row>
    <row r="268" spans="1:93">
      <c r="A268" s="77"/>
      <c r="B268" s="101"/>
      <c r="C268" s="17" t="str">
        <f xml:space="preserve"> "Здания и сооружения - " &amp; C35</f>
        <v>Здания и сооружения - Объект размещения (отель)</v>
      </c>
      <c r="D268" s="69"/>
      <c r="E268" s="62"/>
      <c r="F268" s="70"/>
      <c r="G268" s="11" t="str">
        <f t="shared" si="1307"/>
        <v>тыс. руб.</v>
      </c>
      <c r="H268" s="69"/>
      <c r="I268" s="23">
        <f t="shared" ca="1" si="1308"/>
        <v>3683093.3769661123</v>
      </c>
      <c r="J268" s="10"/>
      <c r="K268" s="10"/>
      <c r="L268" s="10">
        <f t="shared" ref="L268:R268" ca="1" si="1321">SUM(L204:L206,L208:L211)</f>
        <v>25938.874484896365</v>
      </c>
      <c r="M268" s="10">
        <f t="shared" ca="1" si="1321"/>
        <v>26307.073887768478</v>
      </c>
      <c r="N268" s="10">
        <f t="shared" ca="1" si="1321"/>
        <v>26680.499839709031</v>
      </c>
      <c r="O268" s="10">
        <f t="shared" ca="1" si="1321"/>
        <v>27059.22653099359</v>
      </c>
      <c r="P268" s="10">
        <f t="shared" ca="1" si="1321"/>
        <v>227715.43409086761</v>
      </c>
      <c r="Q268" s="10">
        <f t="shared" ca="1" si="1321"/>
        <v>229959.20684043985</v>
      </c>
      <c r="R268" s="10">
        <f t="shared" ca="1" si="1321"/>
        <v>232225.08839511714</v>
      </c>
      <c r="S268" s="10">
        <f t="shared" ref="S268" ca="1" si="1322">SUM(S204:S206,S208:S211)</f>
        <v>234513.2966019444</v>
      </c>
      <c r="T268" s="10">
        <f t="shared" ref="T268:CE268" ca="1" si="1323">SUM(T204:T206,T208:T211)</f>
        <v>236824.05145450227</v>
      </c>
      <c r="U268" s="10">
        <f t="shared" ca="1" si="1323"/>
        <v>239157.5751140574</v>
      </c>
      <c r="V268" s="10">
        <f t="shared" ca="1" si="1323"/>
        <v>241514.09193092171</v>
      </c>
      <c r="W268" s="10">
        <f t="shared" ca="1" si="1323"/>
        <v>243893.82846602213</v>
      </c>
      <c r="X268" s="10">
        <f t="shared" ca="1" si="1323"/>
        <v>246297.01351268223</v>
      </c>
      <c r="Y268" s="10">
        <f t="shared" ca="1" si="1323"/>
        <v>248723.87811861961</v>
      </c>
      <c r="Z268" s="10">
        <f t="shared" ca="1" si="1323"/>
        <v>251174.65560815847</v>
      </c>
      <c r="AA268" s="10">
        <f t="shared" ca="1" si="1323"/>
        <v>253649.5816046627</v>
      </c>
      <c r="AB268" s="10">
        <f t="shared" ca="1" si="1323"/>
        <v>691460.00048474874</v>
      </c>
      <c r="AC268" s="10">
        <f t="shared" ca="1" si="1323"/>
        <v>0</v>
      </c>
      <c r="AD268" s="10">
        <f t="shared" ca="1" si="1323"/>
        <v>0</v>
      </c>
      <c r="AE268" s="10">
        <f t="shared" ca="1" si="1323"/>
        <v>0</v>
      </c>
      <c r="AF268" s="10">
        <f t="shared" ca="1" si="1323"/>
        <v>0</v>
      </c>
      <c r="AG268" s="10">
        <f t="shared" ca="1" si="1323"/>
        <v>0</v>
      </c>
      <c r="AH268" s="10">
        <f t="shared" ca="1" si="1323"/>
        <v>0</v>
      </c>
      <c r="AI268" s="10">
        <f t="shared" ca="1" si="1323"/>
        <v>0</v>
      </c>
      <c r="AJ268" s="10">
        <f t="shared" ca="1" si="1323"/>
        <v>0</v>
      </c>
      <c r="AK268" s="10">
        <f t="shared" ca="1" si="1323"/>
        <v>0</v>
      </c>
      <c r="AL268" s="10">
        <f t="shared" ca="1" si="1323"/>
        <v>0</v>
      </c>
      <c r="AM268" s="10">
        <f t="shared" ca="1" si="1323"/>
        <v>0</v>
      </c>
      <c r="AN268" s="10">
        <f t="shared" ca="1" si="1323"/>
        <v>0</v>
      </c>
      <c r="AO268" s="10">
        <f t="shared" ca="1" si="1323"/>
        <v>0</v>
      </c>
      <c r="AP268" s="10">
        <f t="shared" ca="1" si="1323"/>
        <v>0</v>
      </c>
      <c r="AQ268" s="10">
        <f t="shared" ca="1" si="1323"/>
        <v>0</v>
      </c>
      <c r="AR268" s="10">
        <f t="shared" ca="1" si="1323"/>
        <v>0</v>
      </c>
      <c r="AS268" s="10">
        <f t="shared" ca="1" si="1323"/>
        <v>0</v>
      </c>
      <c r="AT268" s="10">
        <f t="shared" ca="1" si="1323"/>
        <v>0</v>
      </c>
      <c r="AU268" s="10">
        <f t="shared" ca="1" si="1323"/>
        <v>0</v>
      </c>
      <c r="AV268" s="10">
        <f t="shared" ca="1" si="1323"/>
        <v>0</v>
      </c>
      <c r="AW268" s="10">
        <f t="shared" ca="1" si="1323"/>
        <v>0</v>
      </c>
      <c r="AX268" s="10">
        <f t="shared" ca="1" si="1323"/>
        <v>0</v>
      </c>
      <c r="AY268" s="10">
        <f t="shared" ca="1" si="1323"/>
        <v>0</v>
      </c>
      <c r="AZ268" s="10">
        <f t="shared" ca="1" si="1323"/>
        <v>0</v>
      </c>
      <c r="BA268" s="10">
        <f t="shared" ca="1" si="1323"/>
        <v>0</v>
      </c>
      <c r="BB268" s="10">
        <f t="shared" ca="1" si="1323"/>
        <v>0</v>
      </c>
      <c r="BC268" s="10">
        <f t="shared" ca="1" si="1323"/>
        <v>0</v>
      </c>
      <c r="BD268" s="10">
        <f t="shared" ca="1" si="1323"/>
        <v>0</v>
      </c>
      <c r="BE268" s="10">
        <f t="shared" ca="1" si="1323"/>
        <v>0</v>
      </c>
      <c r="BF268" s="10">
        <f t="shared" ca="1" si="1323"/>
        <v>0</v>
      </c>
      <c r="BG268" s="10">
        <f t="shared" ca="1" si="1323"/>
        <v>0</v>
      </c>
      <c r="BH268" s="10">
        <f t="shared" ca="1" si="1323"/>
        <v>0</v>
      </c>
      <c r="BI268" s="10">
        <f t="shared" ca="1" si="1323"/>
        <v>0</v>
      </c>
      <c r="BJ268" s="10">
        <f t="shared" ca="1" si="1323"/>
        <v>0</v>
      </c>
      <c r="BK268" s="10">
        <f t="shared" ca="1" si="1323"/>
        <v>0</v>
      </c>
      <c r="BL268" s="10">
        <f t="shared" ca="1" si="1323"/>
        <v>0</v>
      </c>
      <c r="BM268" s="10">
        <f t="shared" ca="1" si="1323"/>
        <v>0</v>
      </c>
      <c r="BN268" s="10">
        <f t="shared" ca="1" si="1323"/>
        <v>0</v>
      </c>
      <c r="BO268" s="10">
        <f t="shared" ca="1" si="1323"/>
        <v>0</v>
      </c>
      <c r="BP268" s="10">
        <f t="shared" ca="1" si="1323"/>
        <v>0</v>
      </c>
      <c r="BQ268" s="10">
        <f t="shared" ca="1" si="1323"/>
        <v>0</v>
      </c>
      <c r="BR268" s="10">
        <f t="shared" ca="1" si="1323"/>
        <v>0</v>
      </c>
      <c r="BS268" s="10">
        <f t="shared" ca="1" si="1323"/>
        <v>0</v>
      </c>
      <c r="BT268" s="10">
        <f t="shared" ca="1" si="1323"/>
        <v>0</v>
      </c>
      <c r="BU268" s="10">
        <f t="shared" ca="1" si="1323"/>
        <v>0</v>
      </c>
      <c r="BV268" s="10">
        <f t="shared" ca="1" si="1323"/>
        <v>0</v>
      </c>
      <c r="BW268" s="10">
        <f t="shared" ca="1" si="1323"/>
        <v>0</v>
      </c>
      <c r="BX268" s="10">
        <f t="shared" ca="1" si="1323"/>
        <v>0</v>
      </c>
      <c r="BY268" s="10">
        <f t="shared" ca="1" si="1323"/>
        <v>0</v>
      </c>
      <c r="BZ268" s="10">
        <f t="shared" ca="1" si="1323"/>
        <v>0</v>
      </c>
      <c r="CA268" s="10">
        <f t="shared" ca="1" si="1323"/>
        <v>0</v>
      </c>
      <c r="CB268" s="10">
        <f t="shared" ca="1" si="1323"/>
        <v>0</v>
      </c>
      <c r="CC268" s="10">
        <f t="shared" ca="1" si="1323"/>
        <v>0</v>
      </c>
      <c r="CD268" s="10">
        <f t="shared" ca="1" si="1323"/>
        <v>0</v>
      </c>
      <c r="CE268" s="10">
        <f t="shared" ca="1" si="1323"/>
        <v>0</v>
      </c>
      <c r="CF268" s="10">
        <f t="shared" ref="CF268:CO268" ca="1" si="1324">SUM(CF204:CF206,CF208:CF211)</f>
        <v>0</v>
      </c>
      <c r="CG268" s="10">
        <f t="shared" ca="1" si="1324"/>
        <v>0</v>
      </c>
      <c r="CH268" s="10">
        <f t="shared" ca="1" si="1324"/>
        <v>0</v>
      </c>
      <c r="CI268" s="10">
        <f t="shared" ca="1" si="1324"/>
        <v>0</v>
      </c>
      <c r="CJ268" s="10">
        <f t="shared" ca="1" si="1324"/>
        <v>0</v>
      </c>
      <c r="CK268" s="10">
        <f t="shared" ca="1" si="1324"/>
        <v>0</v>
      </c>
      <c r="CL268" s="10">
        <f t="shared" ca="1" si="1324"/>
        <v>0</v>
      </c>
      <c r="CM268" s="10">
        <f t="shared" ca="1" si="1324"/>
        <v>0</v>
      </c>
      <c r="CN268" s="10">
        <f t="shared" ca="1" si="1324"/>
        <v>0</v>
      </c>
      <c r="CO268" s="10">
        <f t="shared" ca="1" si="1324"/>
        <v>0</v>
      </c>
    </row>
    <row r="269" spans="1:93">
      <c r="A269" s="77"/>
      <c r="B269" s="101"/>
      <c r="C269" s="17" t="str">
        <f xml:space="preserve"> "Мебель и оборудование - " &amp; C35</f>
        <v>Мебель и оборудование - Объект размещения (отель)</v>
      </c>
      <c r="D269" s="69"/>
      <c r="E269" s="62"/>
      <c r="F269" s="70"/>
      <c r="G269" s="11" t="str">
        <f t="shared" si="1307"/>
        <v>тыс. руб.</v>
      </c>
      <c r="H269" s="69"/>
      <c r="I269" s="23">
        <f t="shared" ca="1" si="1308"/>
        <v>1097531.3301707346</v>
      </c>
      <c r="J269" s="10"/>
      <c r="K269" s="10"/>
      <c r="L269" s="10">
        <f t="shared" ref="L269:R269" ca="1" si="1325" xml:space="preserve"> L207</f>
        <v>0</v>
      </c>
      <c r="M269" s="10">
        <f t="shared" ca="1" si="1325"/>
        <v>0</v>
      </c>
      <c r="N269" s="10">
        <f t="shared" ca="1" si="1325"/>
        <v>0</v>
      </c>
      <c r="O269" s="10">
        <f t="shared" ca="1" si="1325"/>
        <v>0</v>
      </c>
      <c r="P269" s="10">
        <f t="shared" ca="1" si="1325"/>
        <v>0</v>
      </c>
      <c r="Q269" s="10">
        <f t="shared" ca="1" si="1325"/>
        <v>0</v>
      </c>
      <c r="R269" s="10">
        <f t="shared" ca="1" si="1325"/>
        <v>0</v>
      </c>
      <c r="S269" s="10">
        <f t="shared" ref="S269" ca="1" si="1326" xml:space="preserve"> S207</f>
        <v>0</v>
      </c>
      <c r="T269" s="10">
        <f t="shared" ref="T269:CE269" ca="1" si="1327" xml:space="preserve"> T207</f>
        <v>0</v>
      </c>
      <c r="U269" s="10">
        <f t="shared" ca="1" si="1327"/>
        <v>0</v>
      </c>
      <c r="V269" s="10">
        <f t="shared" ca="1" si="1327"/>
        <v>0</v>
      </c>
      <c r="W269" s="10">
        <f t="shared" ca="1" si="1327"/>
        <v>0</v>
      </c>
      <c r="X269" s="10">
        <f t="shared" ca="1" si="1327"/>
        <v>270360.55991007027</v>
      </c>
      <c r="Y269" s="10">
        <f t="shared" ca="1" si="1327"/>
        <v>273024.53242167109</v>
      </c>
      <c r="Z269" s="10">
        <f t="shared" ca="1" si="1327"/>
        <v>275714.75413746387</v>
      </c>
      <c r="AA269" s="10">
        <f t="shared" ca="1" si="1327"/>
        <v>278431.48370152927</v>
      </c>
      <c r="AB269" s="10">
        <f t="shared" ca="1" si="1327"/>
        <v>0</v>
      </c>
      <c r="AC269" s="10">
        <f t="shared" ca="1" si="1327"/>
        <v>0</v>
      </c>
      <c r="AD269" s="10">
        <f t="shared" ca="1" si="1327"/>
        <v>0</v>
      </c>
      <c r="AE269" s="10">
        <f t="shared" ca="1" si="1327"/>
        <v>0</v>
      </c>
      <c r="AF269" s="10">
        <f t="shared" ca="1" si="1327"/>
        <v>0</v>
      </c>
      <c r="AG269" s="10">
        <f t="shared" ca="1" si="1327"/>
        <v>0</v>
      </c>
      <c r="AH269" s="10">
        <f t="shared" ca="1" si="1327"/>
        <v>0</v>
      </c>
      <c r="AI269" s="10">
        <f t="shared" ca="1" si="1327"/>
        <v>0</v>
      </c>
      <c r="AJ269" s="10">
        <f t="shared" ca="1" si="1327"/>
        <v>0</v>
      </c>
      <c r="AK269" s="10">
        <f t="shared" ca="1" si="1327"/>
        <v>0</v>
      </c>
      <c r="AL269" s="10">
        <f t="shared" ca="1" si="1327"/>
        <v>0</v>
      </c>
      <c r="AM269" s="10">
        <f t="shared" ca="1" si="1327"/>
        <v>0</v>
      </c>
      <c r="AN269" s="10">
        <f t="shared" ca="1" si="1327"/>
        <v>0</v>
      </c>
      <c r="AO269" s="10">
        <f t="shared" ca="1" si="1327"/>
        <v>0</v>
      </c>
      <c r="AP269" s="10">
        <f t="shared" ca="1" si="1327"/>
        <v>0</v>
      </c>
      <c r="AQ269" s="10">
        <f t="shared" ca="1" si="1327"/>
        <v>0</v>
      </c>
      <c r="AR269" s="10">
        <f t="shared" ca="1" si="1327"/>
        <v>0</v>
      </c>
      <c r="AS269" s="10">
        <f t="shared" ca="1" si="1327"/>
        <v>0</v>
      </c>
      <c r="AT269" s="10">
        <f t="shared" ca="1" si="1327"/>
        <v>0</v>
      </c>
      <c r="AU269" s="10">
        <f t="shared" ca="1" si="1327"/>
        <v>0</v>
      </c>
      <c r="AV269" s="10">
        <f t="shared" ca="1" si="1327"/>
        <v>0</v>
      </c>
      <c r="AW269" s="10">
        <f t="shared" ca="1" si="1327"/>
        <v>0</v>
      </c>
      <c r="AX269" s="10">
        <f t="shared" ca="1" si="1327"/>
        <v>0</v>
      </c>
      <c r="AY269" s="10">
        <f t="shared" ca="1" si="1327"/>
        <v>0</v>
      </c>
      <c r="AZ269" s="10">
        <f t="shared" ca="1" si="1327"/>
        <v>0</v>
      </c>
      <c r="BA269" s="10">
        <f t="shared" ca="1" si="1327"/>
        <v>0</v>
      </c>
      <c r="BB269" s="10">
        <f t="shared" ca="1" si="1327"/>
        <v>0</v>
      </c>
      <c r="BC269" s="10">
        <f t="shared" ca="1" si="1327"/>
        <v>0</v>
      </c>
      <c r="BD269" s="10">
        <f t="shared" ca="1" si="1327"/>
        <v>0</v>
      </c>
      <c r="BE269" s="10">
        <f t="shared" ca="1" si="1327"/>
        <v>0</v>
      </c>
      <c r="BF269" s="10">
        <f t="shared" ca="1" si="1327"/>
        <v>0</v>
      </c>
      <c r="BG269" s="10">
        <f t="shared" ca="1" si="1327"/>
        <v>0</v>
      </c>
      <c r="BH269" s="10">
        <f t="shared" ca="1" si="1327"/>
        <v>0</v>
      </c>
      <c r="BI269" s="10">
        <f t="shared" ca="1" si="1327"/>
        <v>0</v>
      </c>
      <c r="BJ269" s="10">
        <f t="shared" ca="1" si="1327"/>
        <v>0</v>
      </c>
      <c r="BK269" s="10">
        <f t="shared" ca="1" si="1327"/>
        <v>0</v>
      </c>
      <c r="BL269" s="10">
        <f t="shared" ca="1" si="1327"/>
        <v>0</v>
      </c>
      <c r="BM269" s="10">
        <f t="shared" ca="1" si="1327"/>
        <v>0</v>
      </c>
      <c r="BN269" s="10">
        <f t="shared" ca="1" si="1327"/>
        <v>0</v>
      </c>
      <c r="BO269" s="10">
        <f t="shared" ca="1" si="1327"/>
        <v>0</v>
      </c>
      <c r="BP269" s="10">
        <f t="shared" ca="1" si="1327"/>
        <v>0</v>
      </c>
      <c r="BQ269" s="10">
        <f t="shared" ca="1" si="1327"/>
        <v>0</v>
      </c>
      <c r="BR269" s="10">
        <f t="shared" ca="1" si="1327"/>
        <v>0</v>
      </c>
      <c r="BS269" s="10">
        <f t="shared" ca="1" si="1327"/>
        <v>0</v>
      </c>
      <c r="BT269" s="10">
        <f t="shared" ca="1" si="1327"/>
        <v>0</v>
      </c>
      <c r="BU269" s="10">
        <f t="shared" ca="1" si="1327"/>
        <v>0</v>
      </c>
      <c r="BV269" s="10">
        <f t="shared" ca="1" si="1327"/>
        <v>0</v>
      </c>
      <c r="BW269" s="10">
        <f t="shared" ca="1" si="1327"/>
        <v>0</v>
      </c>
      <c r="BX269" s="10">
        <f t="shared" ca="1" si="1327"/>
        <v>0</v>
      </c>
      <c r="BY269" s="10">
        <f t="shared" ca="1" si="1327"/>
        <v>0</v>
      </c>
      <c r="BZ269" s="10">
        <f t="shared" ca="1" si="1327"/>
        <v>0</v>
      </c>
      <c r="CA269" s="10">
        <f t="shared" ca="1" si="1327"/>
        <v>0</v>
      </c>
      <c r="CB269" s="10">
        <f t="shared" ca="1" si="1327"/>
        <v>0</v>
      </c>
      <c r="CC269" s="10">
        <f t="shared" ca="1" si="1327"/>
        <v>0</v>
      </c>
      <c r="CD269" s="10">
        <f t="shared" ca="1" si="1327"/>
        <v>0</v>
      </c>
      <c r="CE269" s="10">
        <f t="shared" ca="1" si="1327"/>
        <v>0</v>
      </c>
      <c r="CF269" s="10">
        <f t="shared" ref="CF269:CO269" ca="1" si="1328" xml:space="preserve"> CF207</f>
        <v>0</v>
      </c>
      <c r="CG269" s="10">
        <f t="shared" ca="1" si="1328"/>
        <v>0</v>
      </c>
      <c r="CH269" s="10">
        <f t="shared" ca="1" si="1328"/>
        <v>0</v>
      </c>
      <c r="CI269" s="10">
        <f t="shared" ca="1" si="1328"/>
        <v>0</v>
      </c>
      <c r="CJ269" s="10">
        <f t="shared" ca="1" si="1328"/>
        <v>0</v>
      </c>
      <c r="CK269" s="10">
        <f t="shared" ca="1" si="1328"/>
        <v>0</v>
      </c>
      <c r="CL269" s="10">
        <f t="shared" ca="1" si="1328"/>
        <v>0</v>
      </c>
      <c r="CM269" s="10">
        <f t="shared" ca="1" si="1328"/>
        <v>0</v>
      </c>
      <c r="CN269" s="10">
        <f t="shared" ca="1" si="1328"/>
        <v>0</v>
      </c>
      <c r="CO269" s="10">
        <f t="shared" ca="1" si="1328"/>
        <v>0</v>
      </c>
    </row>
    <row r="270" spans="1:93">
      <c r="A270" s="77"/>
      <c r="B270" s="101"/>
      <c r="C270" s="17" t="str">
        <f xml:space="preserve"> "Здания и сооружения - " &amp; C36</f>
        <v>Здания и сооружения - Развлекательный комплекс</v>
      </c>
      <c r="D270" s="69"/>
      <c r="E270" s="62"/>
      <c r="F270" s="70"/>
      <c r="G270" s="11" t="str">
        <f t="shared" si="1307"/>
        <v>тыс. руб.</v>
      </c>
      <c r="H270" s="69"/>
      <c r="I270" s="23">
        <f t="shared" ca="1" si="1308"/>
        <v>0</v>
      </c>
      <c r="J270" s="10"/>
      <c r="K270" s="10"/>
      <c r="L270" s="10">
        <f t="shared" ref="L270:R270" ca="1" si="1329">SUM(L231:L234)</f>
        <v>0</v>
      </c>
      <c r="M270" s="10">
        <f t="shared" ca="1" si="1329"/>
        <v>0</v>
      </c>
      <c r="N270" s="10">
        <f t="shared" ca="1" si="1329"/>
        <v>0</v>
      </c>
      <c r="O270" s="10">
        <f t="shared" ca="1" si="1329"/>
        <v>0</v>
      </c>
      <c r="P270" s="10">
        <f t="shared" ca="1" si="1329"/>
        <v>0</v>
      </c>
      <c r="Q270" s="10">
        <f t="shared" ca="1" si="1329"/>
        <v>0</v>
      </c>
      <c r="R270" s="10">
        <f t="shared" ca="1" si="1329"/>
        <v>0</v>
      </c>
      <c r="S270" s="10">
        <f t="shared" ref="S270" ca="1" si="1330">SUM(S231:S234)</f>
        <v>0</v>
      </c>
      <c r="T270" s="10">
        <f t="shared" ref="T270:CE270" ca="1" si="1331">SUM(T231:T234)</f>
        <v>0</v>
      </c>
      <c r="U270" s="10">
        <f t="shared" ca="1" si="1331"/>
        <v>0</v>
      </c>
      <c r="V270" s="10">
        <f t="shared" ca="1" si="1331"/>
        <v>0</v>
      </c>
      <c r="W270" s="10">
        <f t="shared" ca="1" si="1331"/>
        <v>0</v>
      </c>
      <c r="X270" s="10">
        <f t="shared" ca="1" si="1331"/>
        <v>0</v>
      </c>
      <c r="Y270" s="10">
        <f t="shared" ca="1" si="1331"/>
        <v>0</v>
      </c>
      <c r="Z270" s="10">
        <f t="shared" ca="1" si="1331"/>
        <v>0</v>
      </c>
      <c r="AA270" s="10">
        <f t="shared" ca="1" si="1331"/>
        <v>0</v>
      </c>
      <c r="AB270" s="10">
        <f t="shared" ca="1" si="1331"/>
        <v>0</v>
      </c>
      <c r="AC270" s="10">
        <f t="shared" ca="1" si="1331"/>
        <v>0</v>
      </c>
      <c r="AD270" s="10">
        <f t="shared" ca="1" si="1331"/>
        <v>0</v>
      </c>
      <c r="AE270" s="10">
        <f t="shared" ca="1" si="1331"/>
        <v>0</v>
      </c>
      <c r="AF270" s="10">
        <f t="shared" ca="1" si="1331"/>
        <v>0</v>
      </c>
      <c r="AG270" s="10">
        <f t="shared" ca="1" si="1331"/>
        <v>0</v>
      </c>
      <c r="AH270" s="10">
        <f t="shared" ca="1" si="1331"/>
        <v>0</v>
      </c>
      <c r="AI270" s="10">
        <f t="shared" ca="1" si="1331"/>
        <v>0</v>
      </c>
      <c r="AJ270" s="10">
        <f t="shared" ca="1" si="1331"/>
        <v>0</v>
      </c>
      <c r="AK270" s="10">
        <f t="shared" ca="1" si="1331"/>
        <v>0</v>
      </c>
      <c r="AL270" s="10">
        <f t="shared" ca="1" si="1331"/>
        <v>0</v>
      </c>
      <c r="AM270" s="10">
        <f t="shared" ca="1" si="1331"/>
        <v>0</v>
      </c>
      <c r="AN270" s="10">
        <f t="shared" ca="1" si="1331"/>
        <v>0</v>
      </c>
      <c r="AO270" s="10">
        <f t="shared" ca="1" si="1331"/>
        <v>0</v>
      </c>
      <c r="AP270" s="10">
        <f t="shared" ca="1" si="1331"/>
        <v>0</v>
      </c>
      <c r="AQ270" s="10">
        <f t="shared" ca="1" si="1331"/>
        <v>0</v>
      </c>
      <c r="AR270" s="10">
        <f t="shared" ca="1" si="1331"/>
        <v>0</v>
      </c>
      <c r="AS270" s="10">
        <f t="shared" ca="1" si="1331"/>
        <v>0</v>
      </c>
      <c r="AT270" s="10">
        <f t="shared" ca="1" si="1331"/>
        <v>0</v>
      </c>
      <c r="AU270" s="10">
        <f t="shared" ca="1" si="1331"/>
        <v>0</v>
      </c>
      <c r="AV270" s="10">
        <f t="shared" ca="1" si="1331"/>
        <v>0</v>
      </c>
      <c r="AW270" s="10">
        <f t="shared" ca="1" si="1331"/>
        <v>0</v>
      </c>
      <c r="AX270" s="10">
        <f t="shared" ca="1" si="1331"/>
        <v>0</v>
      </c>
      <c r="AY270" s="10">
        <f t="shared" ca="1" si="1331"/>
        <v>0</v>
      </c>
      <c r="AZ270" s="10">
        <f t="shared" ca="1" si="1331"/>
        <v>0</v>
      </c>
      <c r="BA270" s="10">
        <f t="shared" ca="1" si="1331"/>
        <v>0</v>
      </c>
      <c r="BB270" s="10">
        <f t="shared" ca="1" si="1331"/>
        <v>0</v>
      </c>
      <c r="BC270" s="10">
        <f t="shared" ca="1" si="1331"/>
        <v>0</v>
      </c>
      <c r="BD270" s="10">
        <f t="shared" ca="1" si="1331"/>
        <v>0</v>
      </c>
      <c r="BE270" s="10">
        <f t="shared" ca="1" si="1331"/>
        <v>0</v>
      </c>
      <c r="BF270" s="10">
        <f t="shared" ca="1" si="1331"/>
        <v>0</v>
      </c>
      <c r="BG270" s="10">
        <f t="shared" ca="1" si="1331"/>
        <v>0</v>
      </c>
      <c r="BH270" s="10">
        <f t="shared" ca="1" si="1331"/>
        <v>0</v>
      </c>
      <c r="BI270" s="10">
        <f t="shared" ca="1" si="1331"/>
        <v>0</v>
      </c>
      <c r="BJ270" s="10">
        <f t="shared" ca="1" si="1331"/>
        <v>0</v>
      </c>
      <c r="BK270" s="10">
        <f t="shared" ca="1" si="1331"/>
        <v>0</v>
      </c>
      <c r="BL270" s="10">
        <f t="shared" ca="1" si="1331"/>
        <v>0</v>
      </c>
      <c r="BM270" s="10">
        <f t="shared" ca="1" si="1331"/>
        <v>0</v>
      </c>
      <c r="BN270" s="10">
        <f t="shared" ca="1" si="1331"/>
        <v>0</v>
      </c>
      <c r="BO270" s="10">
        <f t="shared" ca="1" si="1331"/>
        <v>0</v>
      </c>
      <c r="BP270" s="10">
        <f t="shared" ca="1" si="1331"/>
        <v>0</v>
      </c>
      <c r="BQ270" s="10">
        <f t="shared" ca="1" si="1331"/>
        <v>0</v>
      </c>
      <c r="BR270" s="10">
        <f t="shared" ca="1" si="1331"/>
        <v>0</v>
      </c>
      <c r="BS270" s="10">
        <f t="shared" ca="1" si="1331"/>
        <v>0</v>
      </c>
      <c r="BT270" s="10">
        <f t="shared" ca="1" si="1331"/>
        <v>0</v>
      </c>
      <c r="BU270" s="10">
        <f t="shared" ca="1" si="1331"/>
        <v>0</v>
      </c>
      <c r="BV270" s="10">
        <f t="shared" ca="1" si="1331"/>
        <v>0</v>
      </c>
      <c r="BW270" s="10">
        <f t="shared" ca="1" si="1331"/>
        <v>0</v>
      </c>
      <c r="BX270" s="10">
        <f t="shared" ca="1" si="1331"/>
        <v>0</v>
      </c>
      <c r="BY270" s="10">
        <f t="shared" ca="1" si="1331"/>
        <v>0</v>
      </c>
      <c r="BZ270" s="10">
        <f t="shared" ca="1" si="1331"/>
        <v>0</v>
      </c>
      <c r="CA270" s="10">
        <f t="shared" ca="1" si="1331"/>
        <v>0</v>
      </c>
      <c r="CB270" s="10">
        <f t="shared" ca="1" si="1331"/>
        <v>0</v>
      </c>
      <c r="CC270" s="10">
        <f t="shared" ca="1" si="1331"/>
        <v>0</v>
      </c>
      <c r="CD270" s="10">
        <f t="shared" ca="1" si="1331"/>
        <v>0</v>
      </c>
      <c r="CE270" s="10">
        <f t="shared" ca="1" si="1331"/>
        <v>0</v>
      </c>
      <c r="CF270" s="10">
        <f t="shared" ref="CF270:CO270" ca="1" si="1332">SUM(CF231:CF234)</f>
        <v>0</v>
      </c>
      <c r="CG270" s="10">
        <f t="shared" ca="1" si="1332"/>
        <v>0</v>
      </c>
      <c r="CH270" s="10">
        <f t="shared" ca="1" si="1332"/>
        <v>0</v>
      </c>
      <c r="CI270" s="10">
        <f t="shared" ca="1" si="1332"/>
        <v>0</v>
      </c>
      <c r="CJ270" s="10">
        <f t="shared" ca="1" si="1332"/>
        <v>0</v>
      </c>
      <c r="CK270" s="10">
        <f t="shared" ca="1" si="1332"/>
        <v>0</v>
      </c>
      <c r="CL270" s="10">
        <f t="shared" ca="1" si="1332"/>
        <v>0</v>
      </c>
      <c r="CM270" s="10">
        <f t="shared" ca="1" si="1332"/>
        <v>0</v>
      </c>
      <c r="CN270" s="10">
        <f t="shared" ca="1" si="1332"/>
        <v>0</v>
      </c>
      <c r="CO270" s="10">
        <f t="shared" ca="1" si="1332"/>
        <v>0</v>
      </c>
    </row>
    <row r="271" spans="1:93">
      <c r="A271" s="77"/>
      <c r="B271" s="101"/>
      <c r="C271" s="17" t="str">
        <f xml:space="preserve"> "Здания и сооружения - " &amp; C37</f>
        <v>Здания и сооружения - Крытый парк развлечений</v>
      </c>
      <c r="D271" s="69"/>
      <c r="E271" s="62"/>
      <c r="F271" s="70"/>
      <c r="G271" s="11" t="str">
        <f t="shared" si="1307"/>
        <v>тыс. руб.</v>
      </c>
      <c r="H271" s="69"/>
      <c r="I271" s="23">
        <f t="shared" ca="1" si="1308"/>
        <v>0</v>
      </c>
      <c r="J271" s="10"/>
      <c r="K271" s="10"/>
      <c r="L271" s="10">
        <f t="shared" ref="L271:R271" ca="1" si="1333">SUM(L254:L257)</f>
        <v>0</v>
      </c>
      <c r="M271" s="10">
        <f t="shared" ca="1" si="1333"/>
        <v>0</v>
      </c>
      <c r="N271" s="10">
        <f t="shared" ca="1" si="1333"/>
        <v>0</v>
      </c>
      <c r="O271" s="10">
        <f t="shared" ca="1" si="1333"/>
        <v>0</v>
      </c>
      <c r="P271" s="10">
        <f t="shared" ca="1" si="1333"/>
        <v>0</v>
      </c>
      <c r="Q271" s="10">
        <f t="shared" ca="1" si="1333"/>
        <v>0</v>
      </c>
      <c r="R271" s="10">
        <f t="shared" ca="1" si="1333"/>
        <v>0</v>
      </c>
      <c r="S271" s="10">
        <f t="shared" ref="S271" ca="1" si="1334">SUM(S254:S257)</f>
        <v>0</v>
      </c>
      <c r="T271" s="10">
        <f t="shared" ref="T271:CE271" ca="1" si="1335">SUM(T254:T257)</f>
        <v>0</v>
      </c>
      <c r="U271" s="10">
        <f t="shared" ca="1" si="1335"/>
        <v>0</v>
      </c>
      <c r="V271" s="10">
        <f t="shared" ca="1" si="1335"/>
        <v>0</v>
      </c>
      <c r="W271" s="10">
        <f t="shared" ca="1" si="1335"/>
        <v>0</v>
      </c>
      <c r="X271" s="10">
        <f t="shared" ca="1" si="1335"/>
        <v>0</v>
      </c>
      <c r="Y271" s="10">
        <f t="shared" ca="1" si="1335"/>
        <v>0</v>
      </c>
      <c r="Z271" s="10">
        <f t="shared" ca="1" si="1335"/>
        <v>0</v>
      </c>
      <c r="AA271" s="10">
        <f t="shared" ca="1" si="1335"/>
        <v>0</v>
      </c>
      <c r="AB271" s="10">
        <f t="shared" ca="1" si="1335"/>
        <v>0</v>
      </c>
      <c r="AC271" s="10">
        <f t="shared" ca="1" si="1335"/>
        <v>0</v>
      </c>
      <c r="AD271" s="10">
        <f t="shared" ca="1" si="1335"/>
        <v>0</v>
      </c>
      <c r="AE271" s="10">
        <f t="shared" ca="1" si="1335"/>
        <v>0</v>
      </c>
      <c r="AF271" s="10">
        <f t="shared" ca="1" si="1335"/>
        <v>0</v>
      </c>
      <c r="AG271" s="10">
        <f t="shared" ca="1" si="1335"/>
        <v>0</v>
      </c>
      <c r="AH271" s="10">
        <f t="shared" ca="1" si="1335"/>
        <v>0</v>
      </c>
      <c r="AI271" s="10">
        <f t="shared" ca="1" si="1335"/>
        <v>0</v>
      </c>
      <c r="AJ271" s="10">
        <f t="shared" ca="1" si="1335"/>
        <v>0</v>
      </c>
      <c r="AK271" s="10">
        <f t="shared" ca="1" si="1335"/>
        <v>0</v>
      </c>
      <c r="AL271" s="10">
        <f t="shared" ca="1" si="1335"/>
        <v>0</v>
      </c>
      <c r="AM271" s="10">
        <f t="shared" ca="1" si="1335"/>
        <v>0</v>
      </c>
      <c r="AN271" s="10">
        <f t="shared" ca="1" si="1335"/>
        <v>0</v>
      </c>
      <c r="AO271" s="10">
        <f t="shared" ca="1" si="1335"/>
        <v>0</v>
      </c>
      <c r="AP271" s="10">
        <f t="shared" ca="1" si="1335"/>
        <v>0</v>
      </c>
      <c r="AQ271" s="10">
        <f t="shared" ca="1" si="1335"/>
        <v>0</v>
      </c>
      <c r="AR271" s="10">
        <f t="shared" ca="1" si="1335"/>
        <v>0</v>
      </c>
      <c r="AS271" s="10">
        <f t="shared" ca="1" si="1335"/>
        <v>0</v>
      </c>
      <c r="AT271" s="10">
        <f t="shared" ca="1" si="1335"/>
        <v>0</v>
      </c>
      <c r="AU271" s="10">
        <f t="shared" ca="1" si="1335"/>
        <v>0</v>
      </c>
      <c r="AV271" s="10">
        <f t="shared" ca="1" si="1335"/>
        <v>0</v>
      </c>
      <c r="AW271" s="10">
        <f t="shared" ca="1" si="1335"/>
        <v>0</v>
      </c>
      <c r="AX271" s="10">
        <f t="shared" ca="1" si="1335"/>
        <v>0</v>
      </c>
      <c r="AY271" s="10">
        <f t="shared" ca="1" si="1335"/>
        <v>0</v>
      </c>
      <c r="AZ271" s="10">
        <f t="shared" ca="1" si="1335"/>
        <v>0</v>
      </c>
      <c r="BA271" s="10">
        <f t="shared" ca="1" si="1335"/>
        <v>0</v>
      </c>
      <c r="BB271" s="10">
        <f t="shared" ca="1" si="1335"/>
        <v>0</v>
      </c>
      <c r="BC271" s="10">
        <f t="shared" ca="1" si="1335"/>
        <v>0</v>
      </c>
      <c r="BD271" s="10">
        <f t="shared" ca="1" si="1335"/>
        <v>0</v>
      </c>
      <c r="BE271" s="10">
        <f t="shared" ca="1" si="1335"/>
        <v>0</v>
      </c>
      <c r="BF271" s="10">
        <f t="shared" ca="1" si="1335"/>
        <v>0</v>
      </c>
      <c r="BG271" s="10">
        <f t="shared" ca="1" si="1335"/>
        <v>0</v>
      </c>
      <c r="BH271" s="10">
        <f t="shared" ca="1" si="1335"/>
        <v>0</v>
      </c>
      <c r="BI271" s="10">
        <f t="shared" ca="1" si="1335"/>
        <v>0</v>
      </c>
      <c r="BJ271" s="10">
        <f t="shared" ca="1" si="1335"/>
        <v>0</v>
      </c>
      <c r="BK271" s="10">
        <f t="shared" ca="1" si="1335"/>
        <v>0</v>
      </c>
      <c r="BL271" s="10">
        <f t="shared" ca="1" si="1335"/>
        <v>0</v>
      </c>
      <c r="BM271" s="10">
        <f t="shared" ca="1" si="1335"/>
        <v>0</v>
      </c>
      <c r="BN271" s="10">
        <f t="shared" ca="1" si="1335"/>
        <v>0</v>
      </c>
      <c r="BO271" s="10">
        <f t="shared" ca="1" si="1335"/>
        <v>0</v>
      </c>
      <c r="BP271" s="10">
        <f t="shared" ca="1" si="1335"/>
        <v>0</v>
      </c>
      <c r="BQ271" s="10">
        <f t="shared" ca="1" si="1335"/>
        <v>0</v>
      </c>
      <c r="BR271" s="10">
        <f t="shared" ca="1" si="1335"/>
        <v>0</v>
      </c>
      <c r="BS271" s="10">
        <f t="shared" ca="1" si="1335"/>
        <v>0</v>
      </c>
      <c r="BT271" s="10">
        <f t="shared" ca="1" si="1335"/>
        <v>0</v>
      </c>
      <c r="BU271" s="10">
        <f t="shared" ca="1" si="1335"/>
        <v>0</v>
      </c>
      <c r="BV271" s="10">
        <f t="shared" ca="1" si="1335"/>
        <v>0</v>
      </c>
      <c r="BW271" s="10">
        <f t="shared" ca="1" si="1335"/>
        <v>0</v>
      </c>
      <c r="BX271" s="10">
        <f t="shared" ca="1" si="1335"/>
        <v>0</v>
      </c>
      <c r="BY271" s="10">
        <f t="shared" ca="1" si="1335"/>
        <v>0</v>
      </c>
      <c r="BZ271" s="10">
        <f t="shared" ca="1" si="1335"/>
        <v>0</v>
      </c>
      <c r="CA271" s="10">
        <f t="shared" ca="1" si="1335"/>
        <v>0</v>
      </c>
      <c r="CB271" s="10">
        <f t="shared" ca="1" si="1335"/>
        <v>0</v>
      </c>
      <c r="CC271" s="10">
        <f t="shared" ca="1" si="1335"/>
        <v>0</v>
      </c>
      <c r="CD271" s="10">
        <f t="shared" ca="1" si="1335"/>
        <v>0</v>
      </c>
      <c r="CE271" s="10">
        <f t="shared" ca="1" si="1335"/>
        <v>0</v>
      </c>
      <c r="CF271" s="10">
        <f t="shared" ref="CF271:CO271" ca="1" si="1336">SUM(CF254:CF257)</f>
        <v>0</v>
      </c>
      <c r="CG271" s="10">
        <f t="shared" ca="1" si="1336"/>
        <v>0</v>
      </c>
      <c r="CH271" s="10">
        <f t="shared" ca="1" si="1336"/>
        <v>0</v>
      </c>
      <c r="CI271" s="10">
        <f t="shared" ca="1" si="1336"/>
        <v>0</v>
      </c>
      <c r="CJ271" s="10">
        <f t="shared" ca="1" si="1336"/>
        <v>0</v>
      </c>
      <c r="CK271" s="10">
        <f t="shared" ca="1" si="1336"/>
        <v>0</v>
      </c>
      <c r="CL271" s="10">
        <f t="shared" ca="1" si="1336"/>
        <v>0</v>
      </c>
      <c r="CM271" s="10">
        <f t="shared" ca="1" si="1336"/>
        <v>0</v>
      </c>
      <c r="CN271" s="10">
        <f t="shared" ca="1" si="1336"/>
        <v>0</v>
      </c>
      <c r="CO271" s="10">
        <f t="shared" ca="1" si="1336"/>
        <v>0</v>
      </c>
    </row>
    <row r="272" spans="1:93">
      <c r="A272" s="77"/>
      <c r="B272" s="101"/>
      <c r="C272" s="17" t="s">
        <v>315</v>
      </c>
      <c r="D272" s="69"/>
      <c r="E272" s="62"/>
      <c r="F272" s="70"/>
      <c r="G272" s="11" t="str">
        <f t="shared" si="1307"/>
        <v>тыс. руб.</v>
      </c>
      <c r="H272" s="69"/>
      <c r="I272" s="23">
        <f t="shared" si="1308"/>
        <v>0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</row>
    <row r="273" spans="1:93">
      <c r="A273" s="77"/>
      <c r="B273" s="101"/>
      <c r="C273" s="17" t="s">
        <v>1123</v>
      </c>
      <c r="D273" s="10"/>
      <c r="E273" s="184">
        <f xml:space="preserve"> Предпосылки!E152</f>
        <v>0</v>
      </c>
      <c r="F273" s="10"/>
      <c r="G273" s="11" t="str">
        <f>Monetary_Unit</f>
        <v>тыс. руб.</v>
      </c>
      <c r="H273" s="10"/>
      <c r="I273" s="23">
        <f>SUM(L273:CM273)</f>
        <v>0</v>
      </c>
      <c r="J273" s="10"/>
      <c r="K273" s="10"/>
      <c r="L273" s="10">
        <f>$E273 * L$314</f>
        <v>0</v>
      </c>
      <c r="M273" s="10">
        <f t="shared" ref="M273:BX274" si="1337">$E273 * M$314</f>
        <v>0</v>
      </c>
      <c r="N273" s="10">
        <f>$E273 * N$314</f>
        <v>0</v>
      </c>
      <c r="O273" s="10">
        <f t="shared" si="1337"/>
        <v>0</v>
      </c>
      <c r="P273" s="10">
        <f t="shared" si="1337"/>
        <v>0</v>
      </c>
      <c r="Q273" s="10">
        <f t="shared" si="1337"/>
        <v>0</v>
      </c>
      <c r="R273" s="10">
        <f t="shared" si="1337"/>
        <v>0</v>
      </c>
      <c r="S273" s="10">
        <f t="shared" si="1337"/>
        <v>0</v>
      </c>
      <c r="T273" s="10">
        <f t="shared" si="1337"/>
        <v>0</v>
      </c>
      <c r="U273" s="10">
        <f t="shared" si="1337"/>
        <v>0</v>
      </c>
      <c r="V273" s="10">
        <f t="shared" si="1337"/>
        <v>0</v>
      </c>
      <c r="W273" s="10">
        <f t="shared" si="1337"/>
        <v>0</v>
      </c>
      <c r="X273" s="10">
        <f t="shared" si="1337"/>
        <v>0</v>
      </c>
      <c r="Y273" s="10">
        <f t="shared" si="1337"/>
        <v>0</v>
      </c>
      <c r="Z273" s="10">
        <f t="shared" si="1337"/>
        <v>0</v>
      </c>
      <c r="AA273" s="10">
        <f t="shared" si="1337"/>
        <v>0</v>
      </c>
      <c r="AB273" s="10">
        <f t="shared" si="1337"/>
        <v>0</v>
      </c>
      <c r="AC273" s="10">
        <f t="shared" si="1337"/>
        <v>0</v>
      </c>
      <c r="AD273" s="10">
        <f t="shared" si="1337"/>
        <v>0</v>
      </c>
      <c r="AE273" s="10">
        <f t="shared" si="1337"/>
        <v>0</v>
      </c>
      <c r="AF273" s="10">
        <f t="shared" si="1337"/>
        <v>0</v>
      </c>
      <c r="AG273" s="10">
        <f t="shared" si="1337"/>
        <v>0</v>
      </c>
      <c r="AH273" s="10">
        <f t="shared" si="1337"/>
        <v>0</v>
      </c>
      <c r="AI273" s="10">
        <f t="shared" si="1337"/>
        <v>0</v>
      </c>
      <c r="AJ273" s="10">
        <f t="shared" si="1337"/>
        <v>0</v>
      </c>
      <c r="AK273" s="10">
        <f t="shared" si="1337"/>
        <v>0</v>
      </c>
      <c r="AL273" s="10">
        <f t="shared" si="1337"/>
        <v>0</v>
      </c>
      <c r="AM273" s="10">
        <f t="shared" si="1337"/>
        <v>0</v>
      </c>
      <c r="AN273" s="10">
        <f t="shared" si="1337"/>
        <v>0</v>
      </c>
      <c r="AO273" s="10">
        <f t="shared" si="1337"/>
        <v>0</v>
      </c>
      <c r="AP273" s="10">
        <f t="shared" si="1337"/>
        <v>0</v>
      </c>
      <c r="AQ273" s="10">
        <f t="shared" si="1337"/>
        <v>0</v>
      </c>
      <c r="AR273" s="10">
        <f t="shared" si="1337"/>
        <v>0</v>
      </c>
      <c r="AS273" s="10">
        <f t="shared" si="1337"/>
        <v>0</v>
      </c>
      <c r="AT273" s="10">
        <f t="shared" si="1337"/>
        <v>0</v>
      </c>
      <c r="AU273" s="10">
        <f t="shared" si="1337"/>
        <v>0</v>
      </c>
      <c r="AV273" s="10">
        <f t="shared" si="1337"/>
        <v>0</v>
      </c>
      <c r="AW273" s="10">
        <f t="shared" si="1337"/>
        <v>0</v>
      </c>
      <c r="AX273" s="10">
        <f t="shared" si="1337"/>
        <v>0</v>
      </c>
      <c r="AY273" s="10">
        <f t="shared" si="1337"/>
        <v>0</v>
      </c>
      <c r="AZ273" s="10">
        <f t="shared" si="1337"/>
        <v>0</v>
      </c>
      <c r="BA273" s="10">
        <f t="shared" si="1337"/>
        <v>0</v>
      </c>
      <c r="BB273" s="10">
        <f t="shared" si="1337"/>
        <v>0</v>
      </c>
      <c r="BC273" s="10">
        <f t="shared" si="1337"/>
        <v>0</v>
      </c>
      <c r="BD273" s="10">
        <f t="shared" si="1337"/>
        <v>0</v>
      </c>
      <c r="BE273" s="10">
        <f t="shared" si="1337"/>
        <v>0</v>
      </c>
      <c r="BF273" s="10">
        <f t="shared" si="1337"/>
        <v>0</v>
      </c>
      <c r="BG273" s="10">
        <f t="shared" si="1337"/>
        <v>0</v>
      </c>
      <c r="BH273" s="10">
        <f t="shared" si="1337"/>
        <v>0</v>
      </c>
      <c r="BI273" s="10">
        <f t="shared" si="1337"/>
        <v>0</v>
      </c>
      <c r="BJ273" s="10">
        <f t="shared" si="1337"/>
        <v>0</v>
      </c>
      <c r="BK273" s="10">
        <f t="shared" si="1337"/>
        <v>0</v>
      </c>
      <c r="BL273" s="10">
        <f t="shared" si="1337"/>
        <v>0</v>
      </c>
      <c r="BM273" s="10">
        <f t="shared" si="1337"/>
        <v>0</v>
      </c>
      <c r="BN273" s="10">
        <f t="shared" si="1337"/>
        <v>0</v>
      </c>
      <c r="BO273" s="10">
        <f t="shared" si="1337"/>
        <v>0</v>
      </c>
      <c r="BP273" s="10">
        <f t="shared" si="1337"/>
        <v>0</v>
      </c>
      <c r="BQ273" s="10">
        <f t="shared" si="1337"/>
        <v>0</v>
      </c>
      <c r="BR273" s="10">
        <f t="shared" si="1337"/>
        <v>0</v>
      </c>
      <c r="BS273" s="10">
        <f t="shared" si="1337"/>
        <v>0</v>
      </c>
      <c r="BT273" s="10">
        <f t="shared" si="1337"/>
        <v>0</v>
      </c>
      <c r="BU273" s="10">
        <f t="shared" si="1337"/>
        <v>0</v>
      </c>
      <c r="BV273" s="10">
        <f t="shared" si="1337"/>
        <v>0</v>
      </c>
      <c r="BW273" s="10">
        <f t="shared" si="1337"/>
        <v>0</v>
      </c>
      <c r="BX273" s="10">
        <f t="shared" si="1337"/>
        <v>0</v>
      </c>
      <c r="BY273" s="10">
        <f t="shared" ref="BY273:CO275" si="1338">$E273 * BY$314</f>
        <v>0</v>
      </c>
      <c r="BZ273" s="10">
        <f t="shared" si="1338"/>
        <v>0</v>
      </c>
      <c r="CA273" s="10">
        <f t="shared" si="1338"/>
        <v>0</v>
      </c>
      <c r="CB273" s="10">
        <f t="shared" si="1338"/>
        <v>0</v>
      </c>
      <c r="CC273" s="10">
        <f t="shared" si="1338"/>
        <v>0</v>
      </c>
      <c r="CD273" s="10">
        <f t="shared" si="1338"/>
        <v>0</v>
      </c>
      <c r="CE273" s="10">
        <f t="shared" si="1338"/>
        <v>0</v>
      </c>
      <c r="CF273" s="10">
        <f t="shared" si="1338"/>
        <v>0</v>
      </c>
      <c r="CG273" s="10">
        <f t="shared" si="1338"/>
        <v>0</v>
      </c>
      <c r="CH273" s="10">
        <f t="shared" si="1338"/>
        <v>0</v>
      </c>
      <c r="CI273" s="10">
        <f t="shared" si="1338"/>
        <v>0</v>
      </c>
      <c r="CJ273" s="10">
        <f t="shared" si="1338"/>
        <v>0</v>
      </c>
      <c r="CK273" s="10">
        <f t="shared" si="1338"/>
        <v>0</v>
      </c>
      <c r="CL273" s="10">
        <f t="shared" si="1338"/>
        <v>0</v>
      </c>
      <c r="CM273" s="10">
        <f t="shared" si="1338"/>
        <v>0</v>
      </c>
      <c r="CN273" s="10">
        <f t="shared" si="1338"/>
        <v>0</v>
      </c>
      <c r="CO273" s="10">
        <f t="shared" si="1338"/>
        <v>0</v>
      </c>
    </row>
    <row r="274" spans="1:93">
      <c r="A274" s="77"/>
      <c r="B274" s="101"/>
      <c r="C274" s="17" t="s">
        <v>1122</v>
      </c>
      <c r="D274" s="10"/>
      <c r="E274" s="184">
        <f xml:space="preserve"> Предпосылки!E153</f>
        <v>0</v>
      </c>
      <c r="F274" s="10"/>
      <c r="G274" s="11" t="str">
        <f>Monetary_Unit</f>
        <v>тыс. руб.</v>
      </c>
      <c r="H274" s="10"/>
      <c r="I274" s="23">
        <f>SUM(L274:CM274)</f>
        <v>0</v>
      </c>
      <c r="J274" s="10"/>
      <c r="K274" s="10"/>
      <c r="L274" s="10">
        <f t="shared" ref="L274:AA275" si="1339">$E274 * L$314</f>
        <v>0</v>
      </c>
      <c r="M274" s="10">
        <f t="shared" si="1339"/>
        <v>0</v>
      </c>
      <c r="N274" s="10">
        <f t="shared" si="1339"/>
        <v>0</v>
      </c>
      <c r="O274" s="10">
        <f t="shared" si="1339"/>
        <v>0</v>
      </c>
      <c r="P274" s="10">
        <f t="shared" si="1339"/>
        <v>0</v>
      </c>
      <c r="Q274" s="10">
        <f t="shared" si="1339"/>
        <v>0</v>
      </c>
      <c r="R274" s="10">
        <f t="shared" si="1339"/>
        <v>0</v>
      </c>
      <c r="S274" s="10">
        <f t="shared" si="1339"/>
        <v>0</v>
      </c>
      <c r="T274" s="10">
        <f t="shared" si="1339"/>
        <v>0</v>
      </c>
      <c r="U274" s="10">
        <f t="shared" si="1339"/>
        <v>0</v>
      </c>
      <c r="V274" s="10">
        <f t="shared" si="1339"/>
        <v>0</v>
      </c>
      <c r="W274" s="10">
        <f t="shared" si="1339"/>
        <v>0</v>
      </c>
      <c r="X274" s="10">
        <f t="shared" si="1339"/>
        <v>0</v>
      </c>
      <c r="Y274" s="10">
        <f t="shared" si="1339"/>
        <v>0</v>
      </c>
      <c r="Z274" s="10">
        <f t="shared" si="1339"/>
        <v>0</v>
      </c>
      <c r="AA274" s="10">
        <f t="shared" si="1339"/>
        <v>0</v>
      </c>
      <c r="AB274" s="10">
        <f t="shared" si="1337"/>
        <v>0</v>
      </c>
      <c r="AC274" s="10">
        <f t="shared" si="1337"/>
        <v>0</v>
      </c>
      <c r="AD274" s="10">
        <f t="shared" si="1337"/>
        <v>0</v>
      </c>
      <c r="AE274" s="10">
        <f t="shared" si="1337"/>
        <v>0</v>
      </c>
      <c r="AF274" s="10">
        <f t="shared" si="1337"/>
        <v>0</v>
      </c>
      <c r="AG274" s="10">
        <f t="shared" si="1337"/>
        <v>0</v>
      </c>
      <c r="AH274" s="10">
        <f t="shared" si="1337"/>
        <v>0</v>
      </c>
      <c r="AI274" s="10">
        <f t="shared" si="1337"/>
        <v>0</v>
      </c>
      <c r="AJ274" s="10">
        <f t="shared" si="1337"/>
        <v>0</v>
      </c>
      <c r="AK274" s="10">
        <f t="shared" si="1337"/>
        <v>0</v>
      </c>
      <c r="AL274" s="10">
        <f t="shared" si="1337"/>
        <v>0</v>
      </c>
      <c r="AM274" s="10">
        <f t="shared" si="1337"/>
        <v>0</v>
      </c>
      <c r="AN274" s="10">
        <f t="shared" si="1337"/>
        <v>0</v>
      </c>
      <c r="AO274" s="10">
        <f t="shared" si="1337"/>
        <v>0</v>
      </c>
      <c r="AP274" s="10">
        <f t="shared" si="1337"/>
        <v>0</v>
      </c>
      <c r="AQ274" s="10">
        <f t="shared" si="1337"/>
        <v>0</v>
      </c>
      <c r="AR274" s="10">
        <f t="shared" si="1337"/>
        <v>0</v>
      </c>
      <c r="AS274" s="10">
        <f t="shared" si="1337"/>
        <v>0</v>
      </c>
      <c r="AT274" s="10">
        <f t="shared" si="1337"/>
        <v>0</v>
      </c>
      <c r="AU274" s="10">
        <f t="shared" si="1337"/>
        <v>0</v>
      </c>
      <c r="AV274" s="10">
        <f t="shared" si="1337"/>
        <v>0</v>
      </c>
      <c r="AW274" s="10">
        <f t="shared" si="1337"/>
        <v>0</v>
      </c>
      <c r="AX274" s="10">
        <f t="shared" si="1337"/>
        <v>0</v>
      </c>
      <c r="AY274" s="10">
        <f t="shared" si="1337"/>
        <v>0</v>
      </c>
      <c r="AZ274" s="10">
        <f t="shared" si="1337"/>
        <v>0</v>
      </c>
      <c r="BA274" s="10">
        <f t="shared" si="1337"/>
        <v>0</v>
      </c>
      <c r="BB274" s="10">
        <f t="shared" si="1337"/>
        <v>0</v>
      </c>
      <c r="BC274" s="10">
        <f t="shared" si="1337"/>
        <v>0</v>
      </c>
      <c r="BD274" s="10">
        <f t="shared" si="1337"/>
        <v>0</v>
      </c>
      <c r="BE274" s="10">
        <f t="shared" si="1337"/>
        <v>0</v>
      </c>
      <c r="BF274" s="10">
        <f t="shared" si="1337"/>
        <v>0</v>
      </c>
      <c r="BG274" s="10">
        <f t="shared" si="1337"/>
        <v>0</v>
      </c>
      <c r="BH274" s="10">
        <f t="shared" si="1337"/>
        <v>0</v>
      </c>
      <c r="BI274" s="10">
        <f t="shared" si="1337"/>
        <v>0</v>
      </c>
      <c r="BJ274" s="10">
        <f t="shared" si="1337"/>
        <v>0</v>
      </c>
      <c r="BK274" s="10">
        <f t="shared" si="1337"/>
        <v>0</v>
      </c>
      <c r="BL274" s="10">
        <f t="shared" si="1337"/>
        <v>0</v>
      </c>
      <c r="BM274" s="10">
        <f t="shared" si="1337"/>
        <v>0</v>
      </c>
      <c r="BN274" s="10">
        <f t="shared" si="1337"/>
        <v>0</v>
      </c>
      <c r="BO274" s="10">
        <f t="shared" si="1337"/>
        <v>0</v>
      </c>
      <c r="BP274" s="10">
        <f t="shared" si="1337"/>
        <v>0</v>
      </c>
      <c r="BQ274" s="10">
        <f t="shared" si="1337"/>
        <v>0</v>
      </c>
      <c r="BR274" s="10">
        <f t="shared" si="1337"/>
        <v>0</v>
      </c>
      <c r="BS274" s="10">
        <f t="shared" si="1337"/>
        <v>0</v>
      </c>
      <c r="BT274" s="10">
        <f t="shared" si="1337"/>
        <v>0</v>
      </c>
      <c r="BU274" s="10">
        <f t="shared" si="1337"/>
        <v>0</v>
      </c>
      <c r="BV274" s="10">
        <f t="shared" si="1337"/>
        <v>0</v>
      </c>
      <c r="BW274" s="10">
        <f t="shared" si="1337"/>
        <v>0</v>
      </c>
      <c r="BX274" s="10">
        <f t="shared" si="1337"/>
        <v>0</v>
      </c>
      <c r="BY274" s="10">
        <f t="shared" si="1338"/>
        <v>0</v>
      </c>
      <c r="BZ274" s="10">
        <f t="shared" si="1338"/>
        <v>0</v>
      </c>
      <c r="CA274" s="10">
        <f t="shared" si="1338"/>
        <v>0</v>
      </c>
      <c r="CB274" s="10">
        <f t="shared" si="1338"/>
        <v>0</v>
      </c>
      <c r="CC274" s="10">
        <f t="shared" si="1338"/>
        <v>0</v>
      </c>
      <c r="CD274" s="10">
        <f t="shared" si="1338"/>
        <v>0</v>
      </c>
      <c r="CE274" s="10">
        <f t="shared" si="1338"/>
        <v>0</v>
      </c>
      <c r="CF274" s="10">
        <f t="shared" si="1338"/>
        <v>0</v>
      </c>
      <c r="CG274" s="10">
        <f t="shared" si="1338"/>
        <v>0</v>
      </c>
      <c r="CH274" s="10">
        <f t="shared" si="1338"/>
        <v>0</v>
      </c>
      <c r="CI274" s="10">
        <f t="shared" si="1338"/>
        <v>0</v>
      </c>
      <c r="CJ274" s="10">
        <f t="shared" si="1338"/>
        <v>0</v>
      </c>
      <c r="CK274" s="10">
        <f t="shared" si="1338"/>
        <v>0</v>
      </c>
      <c r="CL274" s="10">
        <f t="shared" si="1338"/>
        <v>0</v>
      </c>
      <c r="CM274" s="10">
        <f t="shared" si="1338"/>
        <v>0</v>
      </c>
      <c r="CN274" s="10">
        <f t="shared" si="1338"/>
        <v>0</v>
      </c>
      <c r="CO274" s="10">
        <f t="shared" si="1338"/>
        <v>0</v>
      </c>
    </row>
    <row r="275" spans="1:93" ht="15" thickBot="1">
      <c r="A275" s="77"/>
      <c r="B275" s="101"/>
      <c r="C275" s="17" t="s">
        <v>1111</v>
      </c>
      <c r="D275" s="10"/>
      <c r="E275" s="184">
        <f xml:space="preserve"> Предпосылки!E154</f>
        <v>0</v>
      </c>
      <c r="F275" s="10"/>
      <c r="G275" s="11" t="str">
        <f>Monetary_Unit</f>
        <v>тыс. руб.</v>
      </c>
      <c r="H275" s="10"/>
      <c r="I275" s="23">
        <f>SUM(L275:CM275)</f>
        <v>0</v>
      </c>
      <c r="J275" s="10"/>
      <c r="K275" s="10"/>
      <c r="L275" s="10">
        <f t="shared" si="1339"/>
        <v>0</v>
      </c>
      <c r="M275" s="10">
        <f t="shared" ref="M275:BX275" si="1340">$E275 * M$314</f>
        <v>0</v>
      </c>
      <c r="N275" s="10">
        <f t="shared" si="1340"/>
        <v>0</v>
      </c>
      <c r="O275" s="10">
        <f t="shared" si="1340"/>
        <v>0</v>
      </c>
      <c r="P275" s="10">
        <f t="shared" si="1340"/>
        <v>0</v>
      </c>
      <c r="Q275" s="10">
        <f t="shared" si="1340"/>
        <v>0</v>
      </c>
      <c r="R275" s="10">
        <f t="shared" si="1340"/>
        <v>0</v>
      </c>
      <c r="S275" s="10">
        <f t="shared" si="1340"/>
        <v>0</v>
      </c>
      <c r="T275" s="10">
        <f t="shared" si="1340"/>
        <v>0</v>
      </c>
      <c r="U275" s="10">
        <f t="shared" si="1340"/>
        <v>0</v>
      </c>
      <c r="V275" s="10">
        <f t="shared" si="1340"/>
        <v>0</v>
      </c>
      <c r="W275" s="10">
        <f t="shared" si="1340"/>
        <v>0</v>
      </c>
      <c r="X275" s="10">
        <f t="shared" si="1340"/>
        <v>0</v>
      </c>
      <c r="Y275" s="10">
        <f t="shared" si="1340"/>
        <v>0</v>
      </c>
      <c r="Z275" s="10">
        <f t="shared" si="1340"/>
        <v>0</v>
      </c>
      <c r="AA275" s="10">
        <f t="shared" si="1340"/>
        <v>0</v>
      </c>
      <c r="AB275" s="10">
        <f t="shared" si="1340"/>
        <v>0</v>
      </c>
      <c r="AC275" s="10">
        <f t="shared" si="1340"/>
        <v>0</v>
      </c>
      <c r="AD275" s="10">
        <f t="shared" si="1340"/>
        <v>0</v>
      </c>
      <c r="AE275" s="10">
        <f t="shared" si="1340"/>
        <v>0</v>
      </c>
      <c r="AF275" s="10">
        <f t="shared" si="1340"/>
        <v>0</v>
      </c>
      <c r="AG275" s="10">
        <f t="shared" si="1340"/>
        <v>0</v>
      </c>
      <c r="AH275" s="10">
        <f t="shared" si="1340"/>
        <v>0</v>
      </c>
      <c r="AI275" s="10">
        <f t="shared" si="1340"/>
        <v>0</v>
      </c>
      <c r="AJ275" s="10">
        <f t="shared" si="1340"/>
        <v>0</v>
      </c>
      <c r="AK275" s="10">
        <f t="shared" si="1340"/>
        <v>0</v>
      </c>
      <c r="AL275" s="10">
        <f t="shared" si="1340"/>
        <v>0</v>
      </c>
      <c r="AM275" s="10">
        <f t="shared" si="1340"/>
        <v>0</v>
      </c>
      <c r="AN275" s="10">
        <f t="shared" si="1340"/>
        <v>0</v>
      </c>
      <c r="AO275" s="10">
        <f t="shared" si="1340"/>
        <v>0</v>
      </c>
      <c r="AP275" s="10">
        <f t="shared" si="1340"/>
        <v>0</v>
      </c>
      <c r="AQ275" s="10">
        <f t="shared" si="1340"/>
        <v>0</v>
      </c>
      <c r="AR275" s="10">
        <f t="shared" si="1340"/>
        <v>0</v>
      </c>
      <c r="AS275" s="10">
        <f t="shared" si="1340"/>
        <v>0</v>
      </c>
      <c r="AT275" s="10">
        <f t="shared" si="1340"/>
        <v>0</v>
      </c>
      <c r="AU275" s="10">
        <f t="shared" si="1340"/>
        <v>0</v>
      </c>
      <c r="AV275" s="10">
        <f t="shared" si="1340"/>
        <v>0</v>
      </c>
      <c r="AW275" s="10">
        <f t="shared" si="1340"/>
        <v>0</v>
      </c>
      <c r="AX275" s="10">
        <f t="shared" si="1340"/>
        <v>0</v>
      </c>
      <c r="AY275" s="10">
        <f t="shared" si="1340"/>
        <v>0</v>
      </c>
      <c r="AZ275" s="10">
        <f t="shared" si="1340"/>
        <v>0</v>
      </c>
      <c r="BA275" s="10">
        <f t="shared" si="1340"/>
        <v>0</v>
      </c>
      <c r="BB275" s="10">
        <f t="shared" si="1340"/>
        <v>0</v>
      </c>
      <c r="BC275" s="10">
        <f t="shared" si="1340"/>
        <v>0</v>
      </c>
      <c r="BD275" s="10">
        <f t="shared" si="1340"/>
        <v>0</v>
      </c>
      <c r="BE275" s="10">
        <f t="shared" si="1340"/>
        <v>0</v>
      </c>
      <c r="BF275" s="10">
        <f t="shared" si="1340"/>
        <v>0</v>
      </c>
      <c r="BG275" s="10">
        <f t="shared" si="1340"/>
        <v>0</v>
      </c>
      <c r="BH275" s="10">
        <f t="shared" si="1340"/>
        <v>0</v>
      </c>
      <c r="BI275" s="10">
        <f t="shared" si="1340"/>
        <v>0</v>
      </c>
      <c r="BJ275" s="10">
        <f t="shared" si="1340"/>
        <v>0</v>
      </c>
      <c r="BK275" s="10">
        <f t="shared" si="1340"/>
        <v>0</v>
      </c>
      <c r="BL275" s="10">
        <f t="shared" si="1340"/>
        <v>0</v>
      </c>
      <c r="BM275" s="10">
        <f t="shared" si="1340"/>
        <v>0</v>
      </c>
      <c r="BN275" s="10">
        <f t="shared" si="1340"/>
        <v>0</v>
      </c>
      <c r="BO275" s="10">
        <f t="shared" si="1340"/>
        <v>0</v>
      </c>
      <c r="BP275" s="10">
        <f t="shared" si="1340"/>
        <v>0</v>
      </c>
      <c r="BQ275" s="10">
        <f t="shared" si="1340"/>
        <v>0</v>
      </c>
      <c r="BR275" s="10">
        <f t="shared" si="1340"/>
        <v>0</v>
      </c>
      <c r="BS275" s="10">
        <f t="shared" si="1340"/>
        <v>0</v>
      </c>
      <c r="BT275" s="10">
        <f t="shared" si="1340"/>
        <v>0</v>
      </c>
      <c r="BU275" s="10">
        <f t="shared" si="1340"/>
        <v>0</v>
      </c>
      <c r="BV275" s="10">
        <f t="shared" si="1340"/>
        <v>0</v>
      </c>
      <c r="BW275" s="10">
        <f t="shared" si="1340"/>
        <v>0</v>
      </c>
      <c r="BX275" s="10">
        <f t="shared" si="1340"/>
        <v>0</v>
      </c>
      <c r="BY275" s="10">
        <f t="shared" si="1338"/>
        <v>0</v>
      </c>
      <c r="BZ275" s="10">
        <f t="shared" si="1338"/>
        <v>0</v>
      </c>
      <c r="CA275" s="10">
        <f t="shared" si="1338"/>
        <v>0</v>
      </c>
      <c r="CB275" s="10">
        <f t="shared" si="1338"/>
        <v>0</v>
      </c>
      <c r="CC275" s="10">
        <f t="shared" si="1338"/>
        <v>0</v>
      </c>
      <c r="CD275" s="10">
        <f t="shared" si="1338"/>
        <v>0</v>
      </c>
      <c r="CE275" s="10">
        <f t="shared" si="1338"/>
        <v>0</v>
      </c>
      <c r="CF275" s="10">
        <f t="shared" si="1338"/>
        <v>0</v>
      </c>
      <c r="CG275" s="10">
        <f t="shared" si="1338"/>
        <v>0</v>
      </c>
      <c r="CH275" s="10">
        <f t="shared" si="1338"/>
        <v>0</v>
      </c>
      <c r="CI275" s="10">
        <f t="shared" si="1338"/>
        <v>0</v>
      </c>
      <c r="CJ275" s="10">
        <f t="shared" si="1338"/>
        <v>0</v>
      </c>
      <c r="CK275" s="10">
        <f t="shared" si="1338"/>
        <v>0</v>
      </c>
      <c r="CL275" s="10">
        <f t="shared" si="1338"/>
        <v>0</v>
      </c>
      <c r="CM275" s="10">
        <f t="shared" si="1338"/>
        <v>0</v>
      </c>
      <c r="CN275" s="10">
        <f t="shared" si="1338"/>
        <v>0</v>
      </c>
      <c r="CO275" s="10">
        <f t="shared" si="1338"/>
        <v>0</v>
      </c>
    </row>
    <row r="276" spans="1:93" ht="15" thickTop="1">
      <c r="A276" s="172"/>
      <c r="B276" s="175"/>
      <c r="C276" s="49" t="s">
        <v>579</v>
      </c>
      <c r="D276" s="49"/>
      <c r="E276" s="49"/>
      <c r="F276" s="49"/>
      <c r="G276" s="159" t="str">
        <f t="shared" si="1307"/>
        <v>тыс. руб.</v>
      </c>
      <c r="H276" s="49"/>
      <c r="I276" s="176">
        <f t="shared" ca="1" si="1308"/>
        <v>4808399.504779838</v>
      </c>
      <c r="J276" s="49"/>
      <c r="K276" s="49"/>
      <c r="L276" s="49">
        <f t="shared" ref="L276" ca="1" si="1341" xml:space="preserve"> SUM(L265:L275)</f>
        <v>26171.794482739097</v>
      </c>
      <c r="M276" s="49">
        <f t="shared" ref="M276" ca="1" si="1342" xml:space="preserve"> SUM(M265:M275)</f>
        <v>26543.300158756276</v>
      </c>
      <c r="N276" s="49">
        <f t="shared" ref="N276" ca="1" si="1343" xml:space="preserve"> SUM(N265:N275)</f>
        <v>26920.079316016938</v>
      </c>
      <c r="O276" s="49">
        <f t="shared" ref="O276" ca="1" si="1344" xml:space="preserve"> SUM(O265:O275)</f>
        <v>27302.20681099359</v>
      </c>
      <c r="P276" s="49">
        <f t="shared" ref="P276" ca="1" si="1345" xml:space="preserve"> SUM(P265:P275)</f>
        <v>229659.55483999598</v>
      </c>
      <c r="Q276" s="49">
        <f t="shared" ref="Q276" ca="1" si="1346" xml:space="preserve"> SUM(Q265:Q275)</f>
        <v>231922.48380168967</v>
      </c>
      <c r="R276" s="49">
        <f t="shared" ref="R276" ca="1" si="1347" xml:space="preserve"> SUM(R265:R275)</f>
        <v>234207.71032243437</v>
      </c>
      <c r="S276" s="49">
        <f t="shared" ref="S276" ca="1" si="1348" xml:space="preserve"> SUM(S265:S275)</f>
        <v>236515.4541091444</v>
      </c>
      <c r="T276" s="49">
        <f t="shared" ref="T276" ca="1" si="1349" xml:space="preserve"> SUM(T265:T275)</f>
        <v>238845.93703359578</v>
      </c>
      <c r="U276" s="49">
        <f t="shared" ref="U276" ca="1" si="1350" xml:space="preserve"> SUM(U265:U275)</f>
        <v>241199.38315375723</v>
      </c>
      <c r="V276" s="49">
        <f t="shared" ref="V276" ca="1" si="1351" xml:space="preserve"> SUM(V265:V275)</f>
        <v>243576.01873533166</v>
      </c>
      <c r="W276" s="49">
        <f t="shared" ref="W276" ca="1" si="1352" xml:space="preserve"> SUM(W265:W275)</f>
        <v>245976.07227351013</v>
      </c>
      <c r="X276" s="49">
        <f t="shared" ref="X276" ca="1" si="1353" xml:space="preserve"> SUM(X265:X275)</f>
        <v>518760.33442500979</v>
      </c>
      <c r="Y276" s="49">
        <f t="shared" ref="Y276" ca="1" si="1354" xml:space="preserve"> SUM(Y265:Y275)</f>
        <v>523871.89090157847</v>
      </c>
      <c r="Z276" s="49">
        <f t="shared" ref="Z276" ca="1" si="1355" xml:space="preserve"> SUM(Z265:Z275)</f>
        <v>529033.81362220866</v>
      </c>
      <c r="AA276" s="49">
        <f t="shared" ref="AA276" ca="1" si="1356" xml:space="preserve"> SUM(AA265:AA275)</f>
        <v>534246.59886597947</v>
      </c>
      <c r="AB276" s="49">
        <f t="shared" ref="AB276" ca="1" si="1357" xml:space="preserve"> SUM(AB265:AB275)</f>
        <v>693646.87192709628</v>
      </c>
      <c r="AC276" s="49">
        <f t="shared" ref="AC276" ca="1" si="1358" xml:space="preserve"> SUM(AC265:AC275)</f>
        <v>0</v>
      </c>
      <c r="AD276" s="49">
        <f t="shared" ref="AD276" ca="1" si="1359" xml:space="preserve"> SUM(AD265:AD275)</f>
        <v>0</v>
      </c>
      <c r="AE276" s="49">
        <f t="shared" ref="AE276" ca="1" si="1360" xml:space="preserve"> SUM(AE265:AE275)</f>
        <v>0</v>
      </c>
      <c r="AF276" s="49">
        <f t="shared" ref="AF276" ca="1" si="1361" xml:space="preserve"> SUM(AF265:AF275)</f>
        <v>0</v>
      </c>
      <c r="AG276" s="49">
        <f t="shared" ref="AG276" ca="1" si="1362" xml:space="preserve"> SUM(AG265:AG275)</f>
        <v>0</v>
      </c>
      <c r="AH276" s="49">
        <f t="shared" ref="AH276" ca="1" si="1363" xml:space="preserve"> SUM(AH265:AH275)</f>
        <v>0</v>
      </c>
      <c r="AI276" s="49">
        <f t="shared" ref="AI276" ca="1" si="1364" xml:space="preserve"> SUM(AI265:AI275)</f>
        <v>0</v>
      </c>
      <c r="AJ276" s="49">
        <f t="shared" ref="AJ276" ca="1" si="1365" xml:space="preserve"> SUM(AJ265:AJ275)</f>
        <v>0</v>
      </c>
      <c r="AK276" s="49">
        <f t="shared" ref="AK276" ca="1" si="1366" xml:space="preserve"> SUM(AK265:AK275)</f>
        <v>0</v>
      </c>
      <c r="AL276" s="49">
        <f t="shared" ref="AL276" ca="1" si="1367" xml:space="preserve"> SUM(AL265:AL275)</f>
        <v>0</v>
      </c>
      <c r="AM276" s="49">
        <f t="shared" ref="AM276" ca="1" si="1368" xml:space="preserve"> SUM(AM265:AM275)</f>
        <v>0</v>
      </c>
      <c r="AN276" s="49">
        <f t="shared" ref="AN276" ca="1" si="1369" xml:space="preserve"> SUM(AN265:AN275)</f>
        <v>0</v>
      </c>
      <c r="AO276" s="49">
        <f t="shared" ref="AO276" ca="1" si="1370" xml:space="preserve"> SUM(AO265:AO275)</f>
        <v>0</v>
      </c>
      <c r="AP276" s="49">
        <f t="shared" ref="AP276" ca="1" si="1371" xml:space="preserve"> SUM(AP265:AP275)</f>
        <v>0</v>
      </c>
      <c r="AQ276" s="49">
        <f t="shared" ref="AQ276" ca="1" si="1372" xml:space="preserve"> SUM(AQ265:AQ275)</f>
        <v>0</v>
      </c>
      <c r="AR276" s="49">
        <f t="shared" ref="AR276" ca="1" si="1373" xml:space="preserve"> SUM(AR265:AR275)</f>
        <v>0</v>
      </c>
      <c r="AS276" s="49">
        <f t="shared" ref="AS276" ca="1" si="1374" xml:space="preserve"> SUM(AS265:AS275)</f>
        <v>0</v>
      </c>
      <c r="AT276" s="49">
        <f t="shared" ref="AT276" ca="1" si="1375" xml:space="preserve"> SUM(AT265:AT275)</f>
        <v>0</v>
      </c>
      <c r="AU276" s="49">
        <f t="shared" ref="AU276" ca="1" si="1376" xml:space="preserve"> SUM(AU265:AU275)</f>
        <v>0</v>
      </c>
      <c r="AV276" s="49">
        <f t="shared" ref="AV276" ca="1" si="1377" xml:space="preserve"> SUM(AV265:AV275)</f>
        <v>0</v>
      </c>
      <c r="AW276" s="49">
        <f t="shared" ref="AW276" ca="1" si="1378" xml:space="preserve"> SUM(AW265:AW275)</f>
        <v>0</v>
      </c>
      <c r="AX276" s="49">
        <f t="shared" ref="AX276" ca="1" si="1379" xml:space="preserve"> SUM(AX265:AX275)</f>
        <v>0</v>
      </c>
      <c r="AY276" s="49">
        <f t="shared" ref="AY276" ca="1" si="1380" xml:space="preserve"> SUM(AY265:AY275)</f>
        <v>0</v>
      </c>
      <c r="AZ276" s="49">
        <f t="shared" ref="AZ276" ca="1" si="1381" xml:space="preserve"> SUM(AZ265:AZ275)</f>
        <v>0</v>
      </c>
      <c r="BA276" s="49">
        <f t="shared" ref="BA276" ca="1" si="1382" xml:space="preserve"> SUM(BA265:BA275)</f>
        <v>0</v>
      </c>
      <c r="BB276" s="49">
        <f t="shared" ref="BB276" ca="1" si="1383" xml:space="preserve"> SUM(BB265:BB275)</f>
        <v>0</v>
      </c>
      <c r="BC276" s="49">
        <f t="shared" ref="BC276" ca="1" si="1384" xml:space="preserve"> SUM(BC265:BC275)</f>
        <v>0</v>
      </c>
      <c r="BD276" s="49">
        <f t="shared" ref="BD276" ca="1" si="1385" xml:space="preserve"> SUM(BD265:BD275)</f>
        <v>0</v>
      </c>
      <c r="BE276" s="49">
        <f t="shared" ref="BE276" ca="1" si="1386" xml:space="preserve"> SUM(BE265:BE275)</f>
        <v>0</v>
      </c>
      <c r="BF276" s="49">
        <f t="shared" ref="BF276" ca="1" si="1387" xml:space="preserve"> SUM(BF265:BF275)</f>
        <v>0</v>
      </c>
      <c r="BG276" s="49">
        <f t="shared" ref="BG276" ca="1" si="1388" xml:space="preserve"> SUM(BG265:BG275)</f>
        <v>0</v>
      </c>
      <c r="BH276" s="49">
        <f t="shared" ref="BH276" ca="1" si="1389" xml:space="preserve"> SUM(BH265:BH275)</f>
        <v>0</v>
      </c>
      <c r="BI276" s="49">
        <f t="shared" ref="BI276" ca="1" si="1390" xml:space="preserve"> SUM(BI265:BI275)</f>
        <v>0</v>
      </c>
      <c r="BJ276" s="49">
        <f t="shared" ref="BJ276" ca="1" si="1391" xml:space="preserve"> SUM(BJ265:BJ275)</f>
        <v>0</v>
      </c>
      <c r="BK276" s="49">
        <f t="shared" ref="BK276" ca="1" si="1392" xml:space="preserve"> SUM(BK265:BK275)</f>
        <v>0</v>
      </c>
      <c r="BL276" s="49">
        <f t="shared" ref="BL276" ca="1" si="1393" xml:space="preserve"> SUM(BL265:BL275)</f>
        <v>0</v>
      </c>
      <c r="BM276" s="49">
        <f t="shared" ref="BM276" ca="1" si="1394" xml:space="preserve"> SUM(BM265:BM275)</f>
        <v>0</v>
      </c>
      <c r="BN276" s="49">
        <f t="shared" ref="BN276" ca="1" si="1395" xml:space="preserve"> SUM(BN265:BN275)</f>
        <v>0</v>
      </c>
      <c r="BO276" s="49">
        <f t="shared" ref="BO276" ca="1" si="1396" xml:space="preserve"> SUM(BO265:BO275)</f>
        <v>0</v>
      </c>
      <c r="BP276" s="49">
        <f t="shared" ref="BP276" ca="1" si="1397" xml:space="preserve"> SUM(BP265:BP275)</f>
        <v>0</v>
      </c>
      <c r="BQ276" s="49">
        <f t="shared" ref="BQ276" ca="1" si="1398" xml:space="preserve"> SUM(BQ265:BQ275)</f>
        <v>0</v>
      </c>
      <c r="BR276" s="49">
        <f t="shared" ref="BR276" ca="1" si="1399" xml:space="preserve"> SUM(BR265:BR275)</f>
        <v>0</v>
      </c>
      <c r="BS276" s="49">
        <f t="shared" ref="BS276" ca="1" si="1400" xml:space="preserve"> SUM(BS265:BS275)</f>
        <v>0</v>
      </c>
      <c r="BT276" s="49">
        <f t="shared" ref="BT276" ca="1" si="1401" xml:space="preserve"> SUM(BT265:BT275)</f>
        <v>0</v>
      </c>
      <c r="BU276" s="49">
        <f t="shared" ref="BU276" ca="1" si="1402" xml:space="preserve"> SUM(BU265:BU275)</f>
        <v>0</v>
      </c>
      <c r="BV276" s="49">
        <f t="shared" ref="BV276" ca="1" si="1403" xml:space="preserve"> SUM(BV265:BV275)</f>
        <v>0</v>
      </c>
      <c r="BW276" s="49">
        <f t="shared" ref="BW276" ca="1" si="1404" xml:space="preserve"> SUM(BW265:BW275)</f>
        <v>0</v>
      </c>
      <c r="BX276" s="49">
        <f t="shared" ref="BX276" ca="1" si="1405" xml:space="preserve"> SUM(BX265:BX275)</f>
        <v>0</v>
      </c>
      <c r="BY276" s="49">
        <f t="shared" ref="BY276" ca="1" si="1406" xml:space="preserve"> SUM(BY265:BY275)</f>
        <v>0</v>
      </c>
      <c r="BZ276" s="49">
        <f t="shared" ref="BZ276" ca="1" si="1407" xml:space="preserve"> SUM(BZ265:BZ275)</f>
        <v>0</v>
      </c>
      <c r="CA276" s="49">
        <f t="shared" ref="CA276" ca="1" si="1408" xml:space="preserve"> SUM(CA265:CA275)</f>
        <v>0</v>
      </c>
      <c r="CB276" s="49">
        <f t="shared" ref="CB276" ca="1" si="1409" xml:space="preserve"> SUM(CB265:CB275)</f>
        <v>0</v>
      </c>
      <c r="CC276" s="49">
        <f t="shared" ref="CC276" ca="1" si="1410" xml:space="preserve"> SUM(CC265:CC275)</f>
        <v>0</v>
      </c>
      <c r="CD276" s="49">
        <f t="shared" ref="CD276" ca="1" si="1411" xml:space="preserve"> SUM(CD265:CD275)</f>
        <v>0</v>
      </c>
      <c r="CE276" s="49">
        <f t="shared" ref="CE276" ca="1" si="1412" xml:space="preserve"> SUM(CE265:CE275)</f>
        <v>0</v>
      </c>
      <c r="CF276" s="49">
        <f t="shared" ref="CF276" ca="1" si="1413" xml:space="preserve"> SUM(CF265:CF275)</f>
        <v>0</v>
      </c>
      <c r="CG276" s="49">
        <f t="shared" ref="CG276" ca="1" si="1414" xml:space="preserve"> SUM(CG265:CG275)</f>
        <v>0</v>
      </c>
      <c r="CH276" s="49">
        <f t="shared" ref="CH276" ca="1" si="1415" xml:space="preserve"> SUM(CH265:CH275)</f>
        <v>0</v>
      </c>
      <c r="CI276" s="49">
        <f t="shared" ref="CI276" ca="1" si="1416" xml:space="preserve"> SUM(CI265:CI275)</f>
        <v>0</v>
      </c>
      <c r="CJ276" s="49">
        <f t="shared" ref="CJ276" ca="1" si="1417" xml:space="preserve"> SUM(CJ265:CJ275)</f>
        <v>0</v>
      </c>
      <c r="CK276" s="49">
        <f t="shared" ref="CK276" ca="1" si="1418" xml:space="preserve"> SUM(CK265:CK275)</f>
        <v>0</v>
      </c>
      <c r="CL276" s="49">
        <f t="shared" ref="CL276" ca="1" si="1419" xml:space="preserve"> SUM(CL265:CL275)</f>
        <v>0</v>
      </c>
      <c r="CM276" s="49">
        <f t="shared" ref="CM276" ca="1" si="1420" xml:space="preserve"> SUM(CM265:CM275)</f>
        <v>0</v>
      </c>
      <c r="CN276" s="49">
        <f t="shared" ref="CN276" ca="1" si="1421" xml:space="preserve"> SUM(CN265:CN275)</f>
        <v>0</v>
      </c>
      <c r="CO276" s="49">
        <f t="shared" ref="CO276" ca="1" si="1422" xml:space="preserve"> SUM(CO265:CO275)</f>
        <v>0</v>
      </c>
    </row>
    <row r="277" spans="1:93">
      <c r="A277" s="77"/>
      <c r="B277" s="101"/>
      <c r="C277" s="102"/>
      <c r="D277" s="69"/>
      <c r="E277" s="62"/>
      <c r="F277" s="70"/>
      <c r="G277" s="11"/>
      <c r="H277" s="69"/>
      <c r="I277" s="69"/>
      <c r="J277" s="69"/>
      <c r="K277" s="69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3"/>
      <c r="AN277" s="103"/>
      <c r="AO277" s="103"/>
      <c r="AP277" s="103"/>
      <c r="AQ277" s="103"/>
      <c r="AR277" s="103"/>
      <c r="AS277" s="103"/>
      <c r="AT277" s="103"/>
      <c r="AU277" s="103"/>
      <c r="AV277" s="103"/>
      <c r="AW277" s="103"/>
      <c r="AX277" s="103"/>
      <c r="AY277" s="103"/>
      <c r="AZ277" s="103"/>
      <c r="BA277" s="103"/>
      <c r="BB277" s="103"/>
      <c r="BC277" s="103"/>
      <c r="BD277" s="103"/>
      <c r="BE277" s="103"/>
      <c r="BF277" s="103"/>
      <c r="BG277" s="103"/>
      <c r="BH277" s="103"/>
      <c r="BI277" s="103"/>
      <c r="BJ277" s="103"/>
      <c r="BK277" s="103"/>
      <c r="BL277" s="103"/>
      <c r="BM277" s="103"/>
      <c r="BN277" s="103"/>
      <c r="BO277" s="103"/>
      <c r="BP277" s="103"/>
      <c r="BQ277" s="103"/>
      <c r="BR277" s="103"/>
      <c r="BS277" s="103"/>
      <c r="BT277" s="103"/>
      <c r="BU277" s="103"/>
      <c r="BV277" s="103"/>
      <c r="BW277" s="103"/>
      <c r="BX277" s="103"/>
      <c r="BY277" s="103"/>
      <c r="BZ277" s="103"/>
      <c r="CA277" s="103"/>
      <c r="CB277" s="103"/>
      <c r="CC277" s="103"/>
      <c r="CD277" s="103"/>
      <c r="CE277" s="103"/>
      <c r="CF277" s="103"/>
      <c r="CG277" s="103"/>
      <c r="CH277" s="103"/>
      <c r="CI277" s="103"/>
      <c r="CJ277" s="103"/>
      <c r="CK277" s="103"/>
      <c r="CL277" s="103"/>
      <c r="CM277" s="103"/>
      <c r="CN277" s="103"/>
      <c r="CO277" s="103"/>
    </row>
    <row r="278" spans="1:93">
      <c r="A278" s="77"/>
      <c r="B278" s="10"/>
      <c r="C278" s="16" t="s">
        <v>50</v>
      </c>
      <c r="D278" s="10"/>
      <c r="E278" s="62"/>
      <c r="F278" s="11"/>
      <c r="G278" s="11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</row>
    <row r="279" spans="1:93">
      <c r="A279" s="77"/>
      <c r="B279" s="10"/>
      <c r="C279" s="17" t="str">
        <f>C265</f>
        <v>Здания и сооружения - Транспортная инфраструктура</v>
      </c>
      <c r="D279" s="10"/>
      <c r="E279" s="62"/>
      <c r="F279" s="11"/>
      <c r="G279" s="134" t="str">
        <f t="shared" ref="G279:G289" si="1423">Monetary_Unit</f>
        <v>тыс. руб.</v>
      </c>
      <c r="H279" s="10"/>
      <c r="I279" s="10"/>
      <c r="J279" s="10"/>
      <c r="K279" s="10"/>
      <c r="L279" s="10">
        <f ca="1">SUM($K265:L265)</f>
        <v>232.91999784273011</v>
      </c>
      <c r="M279" s="10">
        <f ca="1">SUM($K265:M265)</f>
        <v>469.14626883052688</v>
      </c>
      <c r="N279" s="10">
        <f ca="1">SUM($K265:N265)</f>
        <v>708.72574513843335</v>
      </c>
      <c r="O279" s="10">
        <f ca="1">SUM($K265:O265)</f>
        <v>951.70602513843323</v>
      </c>
      <c r="P279" s="10">
        <f ca="1">SUM($K265:P265)</f>
        <v>2895.826774266809</v>
      </c>
      <c r="Q279" s="10">
        <f ca="1">SUM($K265:Q265)</f>
        <v>4859.1037355166327</v>
      </c>
      <c r="R279" s="10">
        <f ca="1">SUM($K265:R265)</f>
        <v>6841.7256628338746</v>
      </c>
      <c r="S279" s="10">
        <f ca="1">SUM($K265:S265)</f>
        <v>8843.8831700338724</v>
      </c>
      <c r="T279" s="10">
        <f ca="1">SUM($K265:T265)</f>
        <v>10865.768749127383</v>
      </c>
      <c r="U279" s="10">
        <f ca="1">SUM($K265:U265)</f>
        <v>12907.576788827198</v>
      </c>
      <c r="V279" s="10">
        <f ca="1">SUM($K265:V265)</f>
        <v>14969.503593237128</v>
      </c>
      <c r="W279" s="10">
        <f ca="1">SUM($K265:W265)</f>
        <v>17051.747400725126</v>
      </c>
      <c r="X279" s="10">
        <f ca="1">SUM($K265:X265)</f>
        <v>19154.508402982377</v>
      </c>
      <c r="Y279" s="10">
        <f ca="1">SUM($K265:Y265)</f>
        <v>21277.988764270187</v>
      </c>
      <c r="Z279" s="10">
        <f ca="1">SUM($K265:Z265)</f>
        <v>23422.392640856517</v>
      </c>
      <c r="AA279" s="10">
        <f ca="1">SUM($K265:AA265)</f>
        <v>25587.926200644033</v>
      </c>
      <c r="AB279" s="10">
        <f ca="1">SUM($K265:AB265)</f>
        <v>27774.797642991573</v>
      </c>
      <c r="AC279" s="10">
        <f ca="1">SUM($K265:AC265)</f>
        <v>27774.797642991573</v>
      </c>
      <c r="AD279" s="10">
        <f ca="1">SUM($K265:AD265)</f>
        <v>27774.797642991573</v>
      </c>
      <c r="AE279" s="10">
        <f ca="1">SUM($K265:AE265)</f>
        <v>27774.797642991573</v>
      </c>
      <c r="AF279" s="10">
        <f ca="1">SUM($K265:AF265)</f>
        <v>27774.797642991573</v>
      </c>
      <c r="AG279" s="10">
        <f ca="1">SUM($K265:AG265)</f>
        <v>27774.797642991573</v>
      </c>
      <c r="AH279" s="10">
        <f ca="1">SUM($K265:AH265)</f>
        <v>27774.797642991573</v>
      </c>
      <c r="AI279" s="10">
        <f ca="1">SUM($K265:AI265)</f>
        <v>27774.797642991573</v>
      </c>
      <c r="AJ279" s="10">
        <f ca="1">SUM($K265:AJ265)</f>
        <v>27774.797642991573</v>
      </c>
      <c r="AK279" s="10">
        <f ca="1">SUM($K265:AK265)</f>
        <v>27774.797642991573</v>
      </c>
      <c r="AL279" s="10">
        <f ca="1">SUM($K265:AL265)</f>
        <v>27774.797642991573</v>
      </c>
      <c r="AM279" s="10">
        <f ca="1">SUM($K265:AM265)</f>
        <v>27774.797642991573</v>
      </c>
      <c r="AN279" s="10">
        <f ca="1">SUM($K265:AN265)</f>
        <v>27774.797642991573</v>
      </c>
      <c r="AO279" s="10">
        <f ca="1">SUM($K265:AO265)</f>
        <v>27774.797642991573</v>
      </c>
      <c r="AP279" s="10">
        <f ca="1">SUM($K265:AP265)</f>
        <v>27774.797642991573</v>
      </c>
      <c r="AQ279" s="10">
        <f ca="1">SUM($K265:AQ265)</f>
        <v>27774.797642991573</v>
      </c>
      <c r="AR279" s="10">
        <f ca="1">SUM($K265:AR265)</f>
        <v>27774.797642991573</v>
      </c>
      <c r="AS279" s="10">
        <f ca="1">SUM($K265:AS265)</f>
        <v>27774.797642991573</v>
      </c>
      <c r="AT279" s="10">
        <f ca="1">SUM($K265:AT265)</f>
        <v>27774.797642991573</v>
      </c>
      <c r="AU279" s="10">
        <f ca="1">SUM($K265:AU265)</f>
        <v>27774.797642991573</v>
      </c>
      <c r="AV279" s="10">
        <f ca="1">SUM($K265:AV265)</f>
        <v>27774.797642991573</v>
      </c>
      <c r="AW279" s="10">
        <f ca="1">SUM($K265:AW265)</f>
        <v>27774.797642991573</v>
      </c>
      <c r="AX279" s="10">
        <f ca="1">SUM($K265:AX265)</f>
        <v>27774.797642991573</v>
      </c>
      <c r="AY279" s="10">
        <f ca="1">SUM($K265:AY265)</f>
        <v>27774.797642991573</v>
      </c>
      <c r="AZ279" s="10">
        <f ca="1">SUM($K265:AZ265)</f>
        <v>27774.797642991573</v>
      </c>
      <c r="BA279" s="10">
        <f ca="1">SUM($K265:BA265)</f>
        <v>27774.797642991573</v>
      </c>
      <c r="BB279" s="10">
        <f ca="1">SUM($K265:BB265)</f>
        <v>27774.797642991573</v>
      </c>
      <c r="BC279" s="10">
        <f ca="1">SUM($K265:BC265)</f>
        <v>27774.797642991573</v>
      </c>
      <c r="BD279" s="10">
        <f ca="1">SUM($K265:BD265)</f>
        <v>27774.797642991573</v>
      </c>
      <c r="BE279" s="10">
        <f ca="1">SUM($K265:BE265)</f>
        <v>27774.797642991573</v>
      </c>
      <c r="BF279" s="10">
        <f ca="1">SUM($K265:BF265)</f>
        <v>27774.797642991573</v>
      </c>
      <c r="BG279" s="10">
        <f ca="1">SUM($K265:BG265)</f>
        <v>27774.797642991573</v>
      </c>
      <c r="BH279" s="10">
        <f ca="1">SUM($K265:BH265)</f>
        <v>27774.797642991573</v>
      </c>
      <c r="BI279" s="10">
        <f ca="1">SUM($K265:BI265)</f>
        <v>27774.797642991573</v>
      </c>
      <c r="BJ279" s="10">
        <f ca="1">SUM($K265:BJ265)</f>
        <v>27774.797642991573</v>
      </c>
      <c r="BK279" s="10">
        <f ca="1">SUM($K265:BK265)</f>
        <v>27774.797642991573</v>
      </c>
      <c r="BL279" s="10">
        <f ca="1">SUM($K265:BL265)</f>
        <v>27774.797642991573</v>
      </c>
      <c r="BM279" s="10">
        <f ca="1">SUM($K265:BM265)</f>
        <v>27774.797642991573</v>
      </c>
      <c r="BN279" s="10">
        <f ca="1">SUM($K265:BN265)</f>
        <v>27774.797642991573</v>
      </c>
      <c r="BO279" s="10">
        <f ca="1">SUM($K265:BO265)</f>
        <v>27774.797642991573</v>
      </c>
      <c r="BP279" s="10">
        <f ca="1">SUM($K265:BP265)</f>
        <v>27774.797642991573</v>
      </c>
      <c r="BQ279" s="10">
        <f ca="1">SUM($K265:BQ265)</f>
        <v>27774.797642991573</v>
      </c>
      <c r="BR279" s="10">
        <f ca="1">SUM($K265:BR265)</f>
        <v>27774.797642991573</v>
      </c>
      <c r="BS279" s="10">
        <f ca="1">SUM($K265:BS265)</f>
        <v>27774.797642991573</v>
      </c>
      <c r="BT279" s="10">
        <f ca="1">SUM($K265:BT265)</f>
        <v>27774.797642991573</v>
      </c>
      <c r="BU279" s="10">
        <f ca="1">SUM($K265:BU265)</f>
        <v>27774.797642991573</v>
      </c>
      <c r="BV279" s="10">
        <f ca="1">SUM($K265:BV265)</f>
        <v>27774.797642991573</v>
      </c>
      <c r="BW279" s="10">
        <f ca="1">SUM($K265:BW265)</f>
        <v>27774.797642991573</v>
      </c>
      <c r="BX279" s="10">
        <f ca="1">SUM($K265:BX265)</f>
        <v>27774.797642991573</v>
      </c>
      <c r="BY279" s="10">
        <f ca="1">SUM($K265:BY265)</f>
        <v>27774.797642991573</v>
      </c>
      <c r="BZ279" s="10">
        <f ca="1">SUM($K265:BZ265)</f>
        <v>27774.797642991573</v>
      </c>
      <c r="CA279" s="10">
        <f ca="1">SUM($K265:CA265)</f>
        <v>27774.797642991573</v>
      </c>
      <c r="CB279" s="10">
        <f ca="1">SUM($K265:CB265)</f>
        <v>27774.797642991573</v>
      </c>
      <c r="CC279" s="10">
        <f ca="1">SUM($K265:CC265)</f>
        <v>27774.797642991573</v>
      </c>
      <c r="CD279" s="10">
        <f ca="1">SUM($K265:CD265)</f>
        <v>27774.797642991573</v>
      </c>
      <c r="CE279" s="10">
        <f ca="1">SUM($K265:CE265)</f>
        <v>27774.797642991573</v>
      </c>
      <c r="CF279" s="10">
        <f ca="1">SUM($K265:CF265)</f>
        <v>27774.797642991573</v>
      </c>
      <c r="CG279" s="10">
        <f ca="1">SUM($K265:CG265)</f>
        <v>27774.797642991573</v>
      </c>
      <c r="CH279" s="10">
        <f ca="1">SUM($K265:CH265)</f>
        <v>27774.797642991573</v>
      </c>
      <c r="CI279" s="10">
        <f ca="1">SUM($K265:CI265)</f>
        <v>27774.797642991573</v>
      </c>
      <c r="CJ279" s="10">
        <f ca="1">SUM($K265:CJ265)</f>
        <v>27774.797642991573</v>
      </c>
      <c r="CK279" s="10">
        <f ca="1">SUM($K265:CK265)</f>
        <v>27774.797642991573</v>
      </c>
      <c r="CL279" s="10">
        <f ca="1">SUM($K265:CL265)</f>
        <v>27774.797642991573</v>
      </c>
      <c r="CM279" s="10">
        <f ca="1">SUM($K265:CM265)</f>
        <v>27774.797642991573</v>
      </c>
      <c r="CN279" s="10">
        <f ca="1">SUM($K265:CN265)</f>
        <v>27774.797642991573</v>
      </c>
      <c r="CO279" s="10">
        <f ca="1">SUM($K265:CO265)</f>
        <v>27774.797642991573</v>
      </c>
    </row>
    <row r="280" spans="1:93">
      <c r="A280" s="77"/>
      <c r="B280" s="10"/>
      <c r="C280" s="17" t="str">
        <f t="shared" ref="C280:C285" si="1424">C266</f>
        <v>Здания и сооружения - Коммунальная инфраструктура</v>
      </c>
      <c r="D280" s="10"/>
      <c r="E280" s="62"/>
      <c r="F280" s="11"/>
      <c r="G280" s="134" t="str">
        <f t="shared" si="1423"/>
        <v>тыс. руб.</v>
      </c>
      <c r="H280" s="10"/>
      <c r="I280" s="10"/>
      <c r="J280" s="10"/>
      <c r="K280" s="10"/>
      <c r="L280" s="10">
        <f ca="1">SUM($K266:L266)</f>
        <v>0</v>
      </c>
      <c r="M280" s="10">
        <f ca="1">SUM($K266:M266)</f>
        <v>0</v>
      </c>
      <c r="N280" s="10">
        <f ca="1">SUM($K266:N266)</f>
        <v>0</v>
      </c>
      <c r="O280" s="10">
        <f ca="1">SUM($K266:O266)</f>
        <v>0</v>
      </c>
      <c r="P280" s="10">
        <f ca="1">SUM($K266:P266)</f>
        <v>0</v>
      </c>
      <c r="Q280" s="10">
        <f ca="1">SUM($K266:Q266)</f>
        <v>0</v>
      </c>
      <c r="R280" s="10">
        <f ca="1">SUM($K266:R266)</f>
        <v>0</v>
      </c>
      <c r="S280" s="10">
        <f ca="1">SUM($K266:S266)</f>
        <v>0</v>
      </c>
      <c r="T280" s="10">
        <f ca="1">SUM($K266:T266)</f>
        <v>0</v>
      </c>
      <c r="U280" s="10">
        <f ca="1">SUM($K266:U266)</f>
        <v>0</v>
      </c>
      <c r="V280" s="10">
        <f ca="1">SUM($K266:V266)</f>
        <v>0</v>
      </c>
      <c r="W280" s="10">
        <f ca="1">SUM($K266:W266)</f>
        <v>0</v>
      </c>
      <c r="X280" s="10">
        <f ca="1">SUM($K266:X266)</f>
        <v>0</v>
      </c>
      <c r="Y280" s="10">
        <f ca="1">SUM($K266:Y266)</f>
        <v>0</v>
      </c>
      <c r="Z280" s="10">
        <f ca="1">SUM($K266:Z266)</f>
        <v>0</v>
      </c>
      <c r="AA280" s="10">
        <f ca="1">SUM($K266:AA266)</f>
        <v>0</v>
      </c>
      <c r="AB280" s="10">
        <f ca="1">SUM($K266:AB266)</f>
        <v>0</v>
      </c>
      <c r="AC280" s="10">
        <f ca="1">SUM($K266:AC266)</f>
        <v>0</v>
      </c>
      <c r="AD280" s="10">
        <f ca="1">SUM($K266:AD266)</f>
        <v>0</v>
      </c>
      <c r="AE280" s="10">
        <f ca="1">SUM($K266:AE266)</f>
        <v>0</v>
      </c>
      <c r="AF280" s="10">
        <f ca="1">SUM($K266:AF266)</f>
        <v>0</v>
      </c>
      <c r="AG280" s="10">
        <f ca="1">SUM($K266:AG266)</f>
        <v>0</v>
      </c>
      <c r="AH280" s="10">
        <f ca="1">SUM($K266:AH266)</f>
        <v>0</v>
      </c>
      <c r="AI280" s="10">
        <f ca="1">SUM($K266:AI266)</f>
        <v>0</v>
      </c>
      <c r="AJ280" s="10">
        <f ca="1">SUM($K266:AJ266)</f>
        <v>0</v>
      </c>
      <c r="AK280" s="10">
        <f ca="1">SUM($K266:AK266)</f>
        <v>0</v>
      </c>
      <c r="AL280" s="10">
        <f ca="1">SUM($K266:AL266)</f>
        <v>0</v>
      </c>
      <c r="AM280" s="10">
        <f ca="1">SUM($K266:AM266)</f>
        <v>0</v>
      </c>
      <c r="AN280" s="10">
        <f ca="1">SUM($K266:AN266)</f>
        <v>0</v>
      </c>
      <c r="AO280" s="10">
        <f ca="1">SUM($K266:AO266)</f>
        <v>0</v>
      </c>
      <c r="AP280" s="10">
        <f ca="1">SUM($K266:AP266)</f>
        <v>0</v>
      </c>
      <c r="AQ280" s="10">
        <f ca="1">SUM($K266:AQ266)</f>
        <v>0</v>
      </c>
      <c r="AR280" s="10">
        <f ca="1">SUM($K266:AR266)</f>
        <v>0</v>
      </c>
      <c r="AS280" s="10">
        <f ca="1">SUM($K266:AS266)</f>
        <v>0</v>
      </c>
      <c r="AT280" s="10">
        <f ca="1">SUM($K266:AT266)</f>
        <v>0</v>
      </c>
      <c r="AU280" s="10">
        <f ca="1">SUM($K266:AU266)</f>
        <v>0</v>
      </c>
      <c r="AV280" s="10">
        <f ca="1">SUM($K266:AV266)</f>
        <v>0</v>
      </c>
      <c r="AW280" s="10">
        <f ca="1">SUM($K266:AW266)</f>
        <v>0</v>
      </c>
      <c r="AX280" s="10">
        <f ca="1">SUM($K266:AX266)</f>
        <v>0</v>
      </c>
      <c r="AY280" s="10">
        <f ca="1">SUM($K266:AY266)</f>
        <v>0</v>
      </c>
      <c r="AZ280" s="10">
        <f ca="1">SUM($K266:AZ266)</f>
        <v>0</v>
      </c>
      <c r="BA280" s="10">
        <f ca="1">SUM($K266:BA266)</f>
        <v>0</v>
      </c>
      <c r="BB280" s="10">
        <f ca="1">SUM($K266:BB266)</f>
        <v>0</v>
      </c>
      <c r="BC280" s="10">
        <f ca="1">SUM($K266:BC266)</f>
        <v>0</v>
      </c>
      <c r="BD280" s="10">
        <f ca="1">SUM($K266:BD266)</f>
        <v>0</v>
      </c>
      <c r="BE280" s="10">
        <f ca="1">SUM($K266:BE266)</f>
        <v>0</v>
      </c>
      <c r="BF280" s="10">
        <f ca="1">SUM($K266:BF266)</f>
        <v>0</v>
      </c>
      <c r="BG280" s="10">
        <f ca="1">SUM($K266:BG266)</f>
        <v>0</v>
      </c>
      <c r="BH280" s="10">
        <f ca="1">SUM($K266:BH266)</f>
        <v>0</v>
      </c>
      <c r="BI280" s="10">
        <f ca="1">SUM($K266:BI266)</f>
        <v>0</v>
      </c>
      <c r="BJ280" s="10">
        <f ca="1">SUM($K266:BJ266)</f>
        <v>0</v>
      </c>
      <c r="BK280" s="10">
        <f ca="1">SUM($K266:BK266)</f>
        <v>0</v>
      </c>
      <c r="BL280" s="10">
        <f ca="1">SUM($K266:BL266)</f>
        <v>0</v>
      </c>
      <c r="BM280" s="10">
        <f ca="1">SUM($K266:BM266)</f>
        <v>0</v>
      </c>
      <c r="BN280" s="10">
        <f ca="1">SUM($K266:BN266)</f>
        <v>0</v>
      </c>
      <c r="BO280" s="10">
        <f ca="1">SUM($K266:BO266)</f>
        <v>0</v>
      </c>
      <c r="BP280" s="10">
        <f ca="1">SUM($K266:BP266)</f>
        <v>0</v>
      </c>
      <c r="BQ280" s="10">
        <f ca="1">SUM($K266:BQ266)</f>
        <v>0</v>
      </c>
      <c r="BR280" s="10">
        <f ca="1">SUM($K266:BR266)</f>
        <v>0</v>
      </c>
      <c r="BS280" s="10">
        <f ca="1">SUM($K266:BS266)</f>
        <v>0</v>
      </c>
      <c r="BT280" s="10">
        <f ca="1">SUM($K266:BT266)</f>
        <v>0</v>
      </c>
      <c r="BU280" s="10">
        <f ca="1">SUM($K266:BU266)</f>
        <v>0</v>
      </c>
      <c r="BV280" s="10">
        <f ca="1">SUM($K266:BV266)</f>
        <v>0</v>
      </c>
      <c r="BW280" s="10">
        <f ca="1">SUM($K266:BW266)</f>
        <v>0</v>
      </c>
      <c r="BX280" s="10">
        <f ca="1">SUM($K266:BX266)</f>
        <v>0</v>
      </c>
      <c r="BY280" s="10">
        <f ca="1">SUM($K266:BY266)</f>
        <v>0</v>
      </c>
      <c r="BZ280" s="10">
        <f ca="1">SUM($K266:BZ266)</f>
        <v>0</v>
      </c>
      <c r="CA280" s="10">
        <f ca="1">SUM($K266:CA266)</f>
        <v>0</v>
      </c>
      <c r="CB280" s="10">
        <f ca="1">SUM($K266:CB266)</f>
        <v>0</v>
      </c>
      <c r="CC280" s="10">
        <f ca="1">SUM($K266:CC266)</f>
        <v>0</v>
      </c>
      <c r="CD280" s="10">
        <f ca="1">SUM($K266:CD266)</f>
        <v>0</v>
      </c>
      <c r="CE280" s="10">
        <f ca="1">SUM($K266:CE266)</f>
        <v>0</v>
      </c>
      <c r="CF280" s="10">
        <f ca="1">SUM($K266:CF266)</f>
        <v>0</v>
      </c>
      <c r="CG280" s="10">
        <f ca="1">SUM($K266:CG266)</f>
        <v>0</v>
      </c>
      <c r="CH280" s="10">
        <f ca="1">SUM($K266:CH266)</f>
        <v>0</v>
      </c>
      <c r="CI280" s="10">
        <f ca="1">SUM($K266:CI266)</f>
        <v>0</v>
      </c>
      <c r="CJ280" s="10">
        <f ca="1">SUM($K266:CJ266)</f>
        <v>0</v>
      </c>
      <c r="CK280" s="10">
        <f ca="1">SUM($K266:CK266)</f>
        <v>0</v>
      </c>
      <c r="CL280" s="10">
        <f ca="1">SUM($K266:CL266)</f>
        <v>0</v>
      </c>
      <c r="CM280" s="10">
        <f ca="1">SUM($K266:CM266)</f>
        <v>0</v>
      </c>
      <c r="CN280" s="10">
        <f ca="1">SUM($K266:CN266)</f>
        <v>0</v>
      </c>
      <c r="CO280" s="10">
        <f ca="1">SUM($K266:CO266)</f>
        <v>0</v>
      </c>
    </row>
    <row r="281" spans="1:93">
      <c r="A281" s="77"/>
      <c r="B281" s="10"/>
      <c r="C281" s="17" t="str">
        <f t="shared" si="1424"/>
        <v>Здания и сооружения - Прочая обеспечивающая инфраструктура</v>
      </c>
      <c r="D281" s="10"/>
      <c r="E281" s="62"/>
      <c r="F281" s="11"/>
      <c r="G281" s="134" t="str">
        <f t="shared" si="1423"/>
        <v>тыс. руб.</v>
      </c>
      <c r="H281" s="10"/>
      <c r="I281" s="10"/>
      <c r="J281" s="10"/>
      <c r="K281" s="10"/>
      <c r="L281" s="10">
        <f ca="1">SUM($K267:L267)</f>
        <v>0</v>
      </c>
      <c r="M281" s="10">
        <f ca="1">SUM($K267:M267)</f>
        <v>0</v>
      </c>
      <c r="N281" s="10">
        <f ca="1">SUM($K267:N267)</f>
        <v>0</v>
      </c>
      <c r="O281" s="10">
        <f ca="1">SUM($K267:O267)</f>
        <v>0</v>
      </c>
      <c r="P281" s="10">
        <f ca="1">SUM($K267:P267)</f>
        <v>0</v>
      </c>
      <c r="Q281" s="10">
        <f ca="1">SUM($K267:Q267)</f>
        <v>0</v>
      </c>
      <c r="R281" s="10">
        <f ca="1">SUM($K267:R267)</f>
        <v>0</v>
      </c>
      <c r="S281" s="10">
        <f ca="1">SUM($K267:S267)</f>
        <v>0</v>
      </c>
      <c r="T281" s="10">
        <f ca="1">SUM($K267:T267)</f>
        <v>0</v>
      </c>
      <c r="U281" s="10">
        <f ca="1">SUM($K267:U267)</f>
        <v>0</v>
      </c>
      <c r="V281" s="10">
        <f ca="1">SUM($K267:V267)</f>
        <v>0</v>
      </c>
      <c r="W281" s="10">
        <f ca="1">SUM($K267:W267)</f>
        <v>0</v>
      </c>
      <c r="X281" s="10">
        <f ca="1">SUM($K267:X267)</f>
        <v>0</v>
      </c>
      <c r="Y281" s="10">
        <f ca="1">SUM($K267:Y267)</f>
        <v>0</v>
      </c>
      <c r="Z281" s="10">
        <f ca="1">SUM($K267:Z267)</f>
        <v>0</v>
      </c>
      <c r="AA281" s="10">
        <f ca="1">SUM($K267:AA267)</f>
        <v>0</v>
      </c>
      <c r="AB281" s="10">
        <f ca="1">SUM($K267:AB267)</f>
        <v>0</v>
      </c>
      <c r="AC281" s="10">
        <f ca="1">SUM($K267:AC267)</f>
        <v>0</v>
      </c>
      <c r="AD281" s="10">
        <f ca="1">SUM($K267:AD267)</f>
        <v>0</v>
      </c>
      <c r="AE281" s="10">
        <f ca="1">SUM($K267:AE267)</f>
        <v>0</v>
      </c>
      <c r="AF281" s="10">
        <f ca="1">SUM($K267:AF267)</f>
        <v>0</v>
      </c>
      <c r="AG281" s="10">
        <f ca="1">SUM($K267:AG267)</f>
        <v>0</v>
      </c>
      <c r="AH281" s="10">
        <f ca="1">SUM($K267:AH267)</f>
        <v>0</v>
      </c>
      <c r="AI281" s="10">
        <f ca="1">SUM($K267:AI267)</f>
        <v>0</v>
      </c>
      <c r="AJ281" s="10">
        <f ca="1">SUM($K267:AJ267)</f>
        <v>0</v>
      </c>
      <c r="AK281" s="10">
        <f ca="1">SUM($K267:AK267)</f>
        <v>0</v>
      </c>
      <c r="AL281" s="10">
        <f ca="1">SUM($K267:AL267)</f>
        <v>0</v>
      </c>
      <c r="AM281" s="10">
        <f ca="1">SUM($K267:AM267)</f>
        <v>0</v>
      </c>
      <c r="AN281" s="10">
        <f ca="1">SUM($K267:AN267)</f>
        <v>0</v>
      </c>
      <c r="AO281" s="10">
        <f ca="1">SUM($K267:AO267)</f>
        <v>0</v>
      </c>
      <c r="AP281" s="10">
        <f ca="1">SUM($K267:AP267)</f>
        <v>0</v>
      </c>
      <c r="AQ281" s="10">
        <f ca="1">SUM($K267:AQ267)</f>
        <v>0</v>
      </c>
      <c r="AR281" s="10">
        <f ca="1">SUM($K267:AR267)</f>
        <v>0</v>
      </c>
      <c r="AS281" s="10">
        <f ca="1">SUM($K267:AS267)</f>
        <v>0</v>
      </c>
      <c r="AT281" s="10">
        <f ca="1">SUM($K267:AT267)</f>
        <v>0</v>
      </c>
      <c r="AU281" s="10">
        <f ca="1">SUM($K267:AU267)</f>
        <v>0</v>
      </c>
      <c r="AV281" s="10">
        <f ca="1">SUM($K267:AV267)</f>
        <v>0</v>
      </c>
      <c r="AW281" s="10">
        <f ca="1">SUM($K267:AW267)</f>
        <v>0</v>
      </c>
      <c r="AX281" s="10">
        <f ca="1">SUM($K267:AX267)</f>
        <v>0</v>
      </c>
      <c r="AY281" s="10">
        <f ca="1">SUM($K267:AY267)</f>
        <v>0</v>
      </c>
      <c r="AZ281" s="10">
        <f ca="1">SUM($K267:AZ267)</f>
        <v>0</v>
      </c>
      <c r="BA281" s="10">
        <f ca="1">SUM($K267:BA267)</f>
        <v>0</v>
      </c>
      <c r="BB281" s="10">
        <f ca="1">SUM($K267:BB267)</f>
        <v>0</v>
      </c>
      <c r="BC281" s="10">
        <f ca="1">SUM($K267:BC267)</f>
        <v>0</v>
      </c>
      <c r="BD281" s="10">
        <f ca="1">SUM($K267:BD267)</f>
        <v>0</v>
      </c>
      <c r="BE281" s="10">
        <f ca="1">SUM($K267:BE267)</f>
        <v>0</v>
      </c>
      <c r="BF281" s="10">
        <f ca="1">SUM($K267:BF267)</f>
        <v>0</v>
      </c>
      <c r="BG281" s="10">
        <f ca="1">SUM($K267:BG267)</f>
        <v>0</v>
      </c>
      <c r="BH281" s="10">
        <f ca="1">SUM($K267:BH267)</f>
        <v>0</v>
      </c>
      <c r="BI281" s="10">
        <f ca="1">SUM($K267:BI267)</f>
        <v>0</v>
      </c>
      <c r="BJ281" s="10">
        <f ca="1">SUM($K267:BJ267)</f>
        <v>0</v>
      </c>
      <c r="BK281" s="10">
        <f ca="1">SUM($K267:BK267)</f>
        <v>0</v>
      </c>
      <c r="BL281" s="10">
        <f ca="1">SUM($K267:BL267)</f>
        <v>0</v>
      </c>
      <c r="BM281" s="10">
        <f ca="1">SUM($K267:BM267)</f>
        <v>0</v>
      </c>
      <c r="BN281" s="10">
        <f ca="1">SUM($K267:BN267)</f>
        <v>0</v>
      </c>
      <c r="BO281" s="10">
        <f ca="1">SUM($K267:BO267)</f>
        <v>0</v>
      </c>
      <c r="BP281" s="10">
        <f ca="1">SUM($K267:BP267)</f>
        <v>0</v>
      </c>
      <c r="BQ281" s="10">
        <f ca="1">SUM($K267:BQ267)</f>
        <v>0</v>
      </c>
      <c r="BR281" s="10">
        <f ca="1">SUM($K267:BR267)</f>
        <v>0</v>
      </c>
      <c r="BS281" s="10">
        <f ca="1">SUM($K267:BS267)</f>
        <v>0</v>
      </c>
      <c r="BT281" s="10">
        <f ca="1">SUM($K267:BT267)</f>
        <v>0</v>
      </c>
      <c r="BU281" s="10">
        <f ca="1">SUM($K267:BU267)</f>
        <v>0</v>
      </c>
      <c r="BV281" s="10">
        <f ca="1">SUM($K267:BV267)</f>
        <v>0</v>
      </c>
      <c r="BW281" s="10">
        <f ca="1">SUM($K267:BW267)</f>
        <v>0</v>
      </c>
      <c r="BX281" s="10">
        <f ca="1">SUM($K267:BX267)</f>
        <v>0</v>
      </c>
      <c r="BY281" s="10">
        <f ca="1">SUM($K267:BY267)</f>
        <v>0</v>
      </c>
      <c r="BZ281" s="10">
        <f ca="1">SUM($K267:BZ267)</f>
        <v>0</v>
      </c>
      <c r="CA281" s="10">
        <f ca="1">SUM($K267:CA267)</f>
        <v>0</v>
      </c>
      <c r="CB281" s="10">
        <f ca="1">SUM($K267:CB267)</f>
        <v>0</v>
      </c>
      <c r="CC281" s="10">
        <f ca="1">SUM($K267:CC267)</f>
        <v>0</v>
      </c>
      <c r="CD281" s="10">
        <f ca="1">SUM($K267:CD267)</f>
        <v>0</v>
      </c>
      <c r="CE281" s="10">
        <f ca="1">SUM($K267:CE267)</f>
        <v>0</v>
      </c>
      <c r="CF281" s="10">
        <f ca="1">SUM($K267:CF267)</f>
        <v>0</v>
      </c>
      <c r="CG281" s="10">
        <f ca="1">SUM($K267:CG267)</f>
        <v>0</v>
      </c>
      <c r="CH281" s="10">
        <f ca="1">SUM($K267:CH267)</f>
        <v>0</v>
      </c>
      <c r="CI281" s="10">
        <f ca="1">SUM($K267:CI267)</f>
        <v>0</v>
      </c>
      <c r="CJ281" s="10">
        <f ca="1">SUM($K267:CJ267)</f>
        <v>0</v>
      </c>
      <c r="CK281" s="10">
        <f ca="1">SUM($K267:CK267)</f>
        <v>0</v>
      </c>
      <c r="CL281" s="10">
        <f ca="1">SUM($K267:CL267)</f>
        <v>0</v>
      </c>
      <c r="CM281" s="10">
        <f ca="1">SUM($K267:CM267)</f>
        <v>0</v>
      </c>
      <c r="CN281" s="10">
        <f ca="1">SUM($K267:CN267)</f>
        <v>0</v>
      </c>
      <c r="CO281" s="10">
        <f ca="1">SUM($K267:CO267)</f>
        <v>0</v>
      </c>
    </row>
    <row r="282" spans="1:93">
      <c r="A282" s="77"/>
      <c r="B282" s="10"/>
      <c r="C282" s="17" t="str">
        <f t="shared" si="1424"/>
        <v>Здания и сооружения - Объект размещения (отель)</v>
      </c>
      <c r="D282" s="10"/>
      <c r="E282" s="62"/>
      <c r="F282" s="11"/>
      <c r="G282" s="134" t="str">
        <f t="shared" si="1423"/>
        <v>тыс. руб.</v>
      </c>
      <c r="H282" s="10"/>
      <c r="I282" s="10"/>
      <c r="J282" s="10"/>
      <c r="K282" s="10"/>
      <c r="L282" s="10">
        <f ca="1">SUM($K268:L268)</f>
        <v>25938.874484896365</v>
      </c>
      <c r="M282" s="10">
        <f ca="1">SUM($K268:M268)</f>
        <v>52245.948372664847</v>
      </c>
      <c r="N282" s="10">
        <f ca="1">SUM($K268:N268)</f>
        <v>78926.448212373885</v>
      </c>
      <c r="O282" s="10">
        <f ca="1">SUM($K268:O268)</f>
        <v>105985.67474336748</v>
      </c>
      <c r="P282" s="10">
        <f ca="1">SUM($K268:P268)</f>
        <v>333701.10883423511</v>
      </c>
      <c r="Q282" s="10">
        <f ca="1">SUM($K268:Q268)</f>
        <v>563660.31567467493</v>
      </c>
      <c r="R282" s="10">
        <f ca="1">SUM($K268:R268)</f>
        <v>795885.40406979201</v>
      </c>
      <c r="S282" s="10">
        <f ca="1">SUM($K268:S268)</f>
        <v>1030398.7006717364</v>
      </c>
      <c r="T282" s="10">
        <f ca="1">SUM($K268:T268)</f>
        <v>1267222.7521262388</v>
      </c>
      <c r="U282" s="10">
        <f ca="1">SUM($K268:U268)</f>
        <v>1506380.3272402962</v>
      </c>
      <c r="V282" s="10">
        <f ca="1">SUM($K268:V268)</f>
        <v>1747894.4191712178</v>
      </c>
      <c r="W282" s="10">
        <f ca="1">SUM($K268:W268)</f>
        <v>1991788.24763724</v>
      </c>
      <c r="X282" s="10">
        <f ca="1">SUM($K268:X268)</f>
        <v>2238085.2611499224</v>
      </c>
      <c r="Y282" s="10">
        <f ca="1">SUM($K268:Y268)</f>
        <v>2486809.1392685422</v>
      </c>
      <c r="Z282" s="10">
        <f ca="1">SUM($K268:Z268)</f>
        <v>2737983.7948767007</v>
      </c>
      <c r="AA282" s="10">
        <f ca="1">SUM($K268:AA268)</f>
        <v>2991633.3764813635</v>
      </c>
      <c r="AB282" s="10">
        <f ca="1">SUM($K268:AB268)</f>
        <v>3683093.3769661123</v>
      </c>
      <c r="AC282" s="10">
        <f ca="1">SUM($K268:AC268)</f>
        <v>3683093.3769661123</v>
      </c>
      <c r="AD282" s="10">
        <f ca="1">SUM($K268:AD268)</f>
        <v>3683093.3769661123</v>
      </c>
      <c r="AE282" s="10">
        <f ca="1">SUM($K268:AE268)</f>
        <v>3683093.3769661123</v>
      </c>
      <c r="AF282" s="10">
        <f ca="1">SUM($K268:AF268)</f>
        <v>3683093.3769661123</v>
      </c>
      <c r="AG282" s="10">
        <f ca="1">SUM($K268:AG268)</f>
        <v>3683093.3769661123</v>
      </c>
      <c r="AH282" s="10">
        <f ca="1">SUM($K268:AH268)</f>
        <v>3683093.3769661123</v>
      </c>
      <c r="AI282" s="10">
        <f ca="1">SUM($K268:AI268)</f>
        <v>3683093.3769661123</v>
      </c>
      <c r="AJ282" s="10">
        <f ca="1">SUM($K268:AJ268)</f>
        <v>3683093.3769661123</v>
      </c>
      <c r="AK282" s="10">
        <f ca="1">SUM($K268:AK268)</f>
        <v>3683093.3769661123</v>
      </c>
      <c r="AL282" s="10">
        <f ca="1">SUM($K268:AL268)</f>
        <v>3683093.3769661123</v>
      </c>
      <c r="AM282" s="10">
        <f ca="1">SUM($K268:AM268)</f>
        <v>3683093.3769661123</v>
      </c>
      <c r="AN282" s="10">
        <f ca="1">SUM($K268:AN268)</f>
        <v>3683093.3769661123</v>
      </c>
      <c r="AO282" s="10">
        <f ca="1">SUM($K268:AO268)</f>
        <v>3683093.3769661123</v>
      </c>
      <c r="AP282" s="10">
        <f ca="1">SUM($K268:AP268)</f>
        <v>3683093.3769661123</v>
      </c>
      <c r="AQ282" s="10">
        <f ca="1">SUM($K268:AQ268)</f>
        <v>3683093.3769661123</v>
      </c>
      <c r="AR282" s="10">
        <f ca="1">SUM($K268:AR268)</f>
        <v>3683093.3769661123</v>
      </c>
      <c r="AS282" s="10">
        <f ca="1">SUM($K268:AS268)</f>
        <v>3683093.3769661123</v>
      </c>
      <c r="AT282" s="10">
        <f ca="1">SUM($K268:AT268)</f>
        <v>3683093.3769661123</v>
      </c>
      <c r="AU282" s="10">
        <f ca="1">SUM($K268:AU268)</f>
        <v>3683093.3769661123</v>
      </c>
      <c r="AV282" s="10">
        <f ca="1">SUM($K268:AV268)</f>
        <v>3683093.3769661123</v>
      </c>
      <c r="AW282" s="10">
        <f ca="1">SUM($K268:AW268)</f>
        <v>3683093.3769661123</v>
      </c>
      <c r="AX282" s="10">
        <f ca="1">SUM($K268:AX268)</f>
        <v>3683093.3769661123</v>
      </c>
      <c r="AY282" s="10">
        <f ca="1">SUM($K268:AY268)</f>
        <v>3683093.3769661123</v>
      </c>
      <c r="AZ282" s="10">
        <f ca="1">SUM($K268:AZ268)</f>
        <v>3683093.3769661123</v>
      </c>
      <c r="BA282" s="10">
        <f ca="1">SUM($K268:BA268)</f>
        <v>3683093.3769661123</v>
      </c>
      <c r="BB282" s="10">
        <f ca="1">SUM($K268:BB268)</f>
        <v>3683093.3769661123</v>
      </c>
      <c r="BC282" s="10">
        <f ca="1">SUM($K268:BC268)</f>
        <v>3683093.3769661123</v>
      </c>
      <c r="BD282" s="10">
        <f ca="1">SUM($K268:BD268)</f>
        <v>3683093.3769661123</v>
      </c>
      <c r="BE282" s="10">
        <f ca="1">SUM($K268:BE268)</f>
        <v>3683093.3769661123</v>
      </c>
      <c r="BF282" s="10">
        <f ca="1">SUM($K268:BF268)</f>
        <v>3683093.3769661123</v>
      </c>
      <c r="BG282" s="10">
        <f ca="1">SUM($K268:BG268)</f>
        <v>3683093.3769661123</v>
      </c>
      <c r="BH282" s="10">
        <f ca="1">SUM($K268:BH268)</f>
        <v>3683093.3769661123</v>
      </c>
      <c r="BI282" s="10">
        <f ca="1">SUM($K268:BI268)</f>
        <v>3683093.3769661123</v>
      </c>
      <c r="BJ282" s="10">
        <f ca="1">SUM($K268:BJ268)</f>
        <v>3683093.3769661123</v>
      </c>
      <c r="BK282" s="10">
        <f ca="1">SUM($K268:BK268)</f>
        <v>3683093.3769661123</v>
      </c>
      <c r="BL282" s="10">
        <f ca="1">SUM($K268:BL268)</f>
        <v>3683093.3769661123</v>
      </c>
      <c r="BM282" s="10">
        <f ca="1">SUM($K268:BM268)</f>
        <v>3683093.3769661123</v>
      </c>
      <c r="BN282" s="10">
        <f ca="1">SUM($K268:BN268)</f>
        <v>3683093.3769661123</v>
      </c>
      <c r="BO282" s="10">
        <f ca="1">SUM($K268:BO268)</f>
        <v>3683093.3769661123</v>
      </c>
      <c r="BP282" s="10">
        <f ca="1">SUM($K268:BP268)</f>
        <v>3683093.3769661123</v>
      </c>
      <c r="BQ282" s="10">
        <f ca="1">SUM($K268:BQ268)</f>
        <v>3683093.3769661123</v>
      </c>
      <c r="BR282" s="10">
        <f ca="1">SUM($K268:BR268)</f>
        <v>3683093.3769661123</v>
      </c>
      <c r="BS282" s="10">
        <f ca="1">SUM($K268:BS268)</f>
        <v>3683093.3769661123</v>
      </c>
      <c r="BT282" s="10">
        <f ca="1">SUM($K268:BT268)</f>
        <v>3683093.3769661123</v>
      </c>
      <c r="BU282" s="10">
        <f ca="1">SUM($K268:BU268)</f>
        <v>3683093.3769661123</v>
      </c>
      <c r="BV282" s="10">
        <f ca="1">SUM($K268:BV268)</f>
        <v>3683093.3769661123</v>
      </c>
      <c r="BW282" s="10">
        <f ca="1">SUM($K268:BW268)</f>
        <v>3683093.3769661123</v>
      </c>
      <c r="BX282" s="10">
        <f ca="1">SUM($K268:BX268)</f>
        <v>3683093.3769661123</v>
      </c>
      <c r="BY282" s="10">
        <f ca="1">SUM($K268:BY268)</f>
        <v>3683093.3769661123</v>
      </c>
      <c r="BZ282" s="10">
        <f ca="1">SUM($K268:BZ268)</f>
        <v>3683093.3769661123</v>
      </c>
      <c r="CA282" s="10">
        <f ca="1">SUM($K268:CA268)</f>
        <v>3683093.3769661123</v>
      </c>
      <c r="CB282" s="10">
        <f ca="1">SUM($K268:CB268)</f>
        <v>3683093.3769661123</v>
      </c>
      <c r="CC282" s="10">
        <f ca="1">SUM($K268:CC268)</f>
        <v>3683093.3769661123</v>
      </c>
      <c r="CD282" s="10">
        <f ca="1">SUM($K268:CD268)</f>
        <v>3683093.3769661123</v>
      </c>
      <c r="CE282" s="10">
        <f ca="1">SUM($K268:CE268)</f>
        <v>3683093.3769661123</v>
      </c>
      <c r="CF282" s="10">
        <f ca="1">SUM($K268:CF268)</f>
        <v>3683093.3769661123</v>
      </c>
      <c r="CG282" s="10">
        <f ca="1">SUM($K268:CG268)</f>
        <v>3683093.3769661123</v>
      </c>
      <c r="CH282" s="10">
        <f ca="1">SUM($K268:CH268)</f>
        <v>3683093.3769661123</v>
      </c>
      <c r="CI282" s="10">
        <f ca="1">SUM($K268:CI268)</f>
        <v>3683093.3769661123</v>
      </c>
      <c r="CJ282" s="10">
        <f ca="1">SUM($K268:CJ268)</f>
        <v>3683093.3769661123</v>
      </c>
      <c r="CK282" s="10">
        <f ca="1">SUM($K268:CK268)</f>
        <v>3683093.3769661123</v>
      </c>
      <c r="CL282" s="10">
        <f ca="1">SUM($K268:CL268)</f>
        <v>3683093.3769661123</v>
      </c>
      <c r="CM282" s="10">
        <f ca="1">SUM($K268:CM268)</f>
        <v>3683093.3769661123</v>
      </c>
      <c r="CN282" s="10">
        <f ca="1">SUM($K268:CN268)</f>
        <v>3683093.3769661123</v>
      </c>
      <c r="CO282" s="10">
        <f ca="1">SUM($K268:CO268)</f>
        <v>3683093.3769661123</v>
      </c>
    </row>
    <row r="283" spans="1:93">
      <c r="A283" s="77"/>
      <c r="B283" s="10"/>
      <c r="C283" s="17" t="str">
        <f t="shared" si="1424"/>
        <v>Мебель и оборудование - Объект размещения (отель)</v>
      </c>
      <c r="D283" s="10"/>
      <c r="E283" s="62"/>
      <c r="F283" s="11"/>
      <c r="G283" s="134" t="str">
        <f t="shared" si="1423"/>
        <v>тыс. руб.</v>
      </c>
      <c r="H283" s="10"/>
      <c r="I283" s="10"/>
      <c r="J283" s="10"/>
      <c r="K283" s="10"/>
      <c r="L283" s="10">
        <f ca="1">SUM($K269:L269)</f>
        <v>0</v>
      </c>
      <c r="M283" s="10">
        <f ca="1">SUM($K269:M269)</f>
        <v>0</v>
      </c>
      <c r="N283" s="10">
        <f ca="1">SUM($K269:N269)</f>
        <v>0</v>
      </c>
      <c r="O283" s="10">
        <f ca="1">SUM($K269:O269)</f>
        <v>0</v>
      </c>
      <c r="P283" s="10">
        <f ca="1">SUM($K269:P269)</f>
        <v>0</v>
      </c>
      <c r="Q283" s="10">
        <f ca="1">SUM($K269:Q269)</f>
        <v>0</v>
      </c>
      <c r="R283" s="10">
        <f ca="1">SUM($K269:R269)</f>
        <v>0</v>
      </c>
      <c r="S283" s="10">
        <f ca="1">SUM($K269:S269)</f>
        <v>0</v>
      </c>
      <c r="T283" s="10">
        <f ca="1">SUM($K269:T269)</f>
        <v>0</v>
      </c>
      <c r="U283" s="10">
        <f ca="1">SUM($K269:U269)</f>
        <v>0</v>
      </c>
      <c r="V283" s="10">
        <f ca="1">SUM($K269:V269)</f>
        <v>0</v>
      </c>
      <c r="W283" s="10">
        <f ca="1">SUM($K269:W269)</f>
        <v>0</v>
      </c>
      <c r="X283" s="10">
        <f ca="1">SUM($K269:X269)</f>
        <v>270360.55991007027</v>
      </c>
      <c r="Y283" s="10">
        <f ca="1">SUM($K269:Y269)</f>
        <v>543385.09233174135</v>
      </c>
      <c r="Z283" s="10">
        <f ca="1">SUM($K269:Z269)</f>
        <v>819099.84646920522</v>
      </c>
      <c r="AA283" s="10">
        <f ca="1">SUM($K269:AA269)</f>
        <v>1097531.3301707346</v>
      </c>
      <c r="AB283" s="10">
        <f ca="1">SUM($K269:AB269)</f>
        <v>1097531.3301707346</v>
      </c>
      <c r="AC283" s="10">
        <f ca="1">SUM($K269:AC269)</f>
        <v>1097531.3301707346</v>
      </c>
      <c r="AD283" s="10">
        <f ca="1">SUM($K269:AD269)</f>
        <v>1097531.3301707346</v>
      </c>
      <c r="AE283" s="10">
        <f ca="1">SUM($K269:AE269)</f>
        <v>1097531.3301707346</v>
      </c>
      <c r="AF283" s="10">
        <f ca="1">SUM($K269:AF269)</f>
        <v>1097531.3301707346</v>
      </c>
      <c r="AG283" s="10">
        <f ca="1">SUM($K269:AG269)</f>
        <v>1097531.3301707346</v>
      </c>
      <c r="AH283" s="10">
        <f ca="1">SUM($K269:AH269)</f>
        <v>1097531.3301707346</v>
      </c>
      <c r="AI283" s="10">
        <f ca="1">SUM($K269:AI269)</f>
        <v>1097531.3301707346</v>
      </c>
      <c r="AJ283" s="10">
        <f ca="1">SUM($K269:AJ269)</f>
        <v>1097531.3301707346</v>
      </c>
      <c r="AK283" s="10">
        <f ca="1">SUM($K269:AK269)</f>
        <v>1097531.3301707346</v>
      </c>
      <c r="AL283" s="10">
        <f ca="1">SUM($K269:AL269)</f>
        <v>1097531.3301707346</v>
      </c>
      <c r="AM283" s="10">
        <f ca="1">SUM($K269:AM269)</f>
        <v>1097531.3301707346</v>
      </c>
      <c r="AN283" s="10">
        <f ca="1">SUM($K269:AN269)</f>
        <v>1097531.3301707346</v>
      </c>
      <c r="AO283" s="10">
        <f ca="1">SUM($K269:AO269)</f>
        <v>1097531.3301707346</v>
      </c>
      <c r="AP283" s="10">
        <f ca="1">SUM($K269:AP269)</f>
        <v>1097531.3301707346</v>
      </c>
      <c r="AQ283" s="10">
        <f ca="1">SUM($K269:AQ269)</f>
        <v>1097531.3301707346</v>
      </c>
      <c r="AR283" s="10">
        <f ca="1">SUM($K269:AR269)</f>
        <v>1097531.3301707346</v>
      </c>
      <c r="AS283" s="10">
        <f ca="1">SUM($K269:AS269)</f>
        <v>1097531.3301707346</v>
      </c>
      <c r="AT283" s="10">
        <f ca="1">SUM($K269:AT269)</f>
        <v>1097531.3301707346</v>
      </c>
      <c r="AU283" s="10">
        <f ca="1">SUM($K269:AU269)</f>
        <v>1097531.3301707346</v>
      </c>
      <c r="AV283" s="10">
        <f ca="1">SUM($K269:AV269)</f>
        <v>1097531.3301707346</v>
      </c>
      <c r="AW283" s="10">
        <f ca="1">SUM($K269:AW269)</f>
        <v>1097531.3301707346</v>
      </c>
      <c r="AX283" s="10">
        <f ca="1">SUM($K269:AX269)</f>
        <v>1097531.3301707346</v>
      </c>
      <c r="AY283" s="10">
        <f ca="1">SUM($K269:AY269)</f>
        <v>1097531.3301707346</v>
      </c>
      <c r="AZ283" s="10">
        <f ca="1">SUM($K269:AZ269)</f>
        <v>1097531.3301707346</v>
      </c>
      <c r="BA283" s="10">
        <f ca="1">SUM($K269:BA269)</f>
        <v>1097531.3301707346</v>
      </c>
      <c r="BB283" s="10">
        <f ca="1">SUM($K269:BB269)</f>
        <v>1097531.3301707346</v>
      </c>
      <c r="BC283" s="10">
        <f ca="1">SUM($K269:BC269)</f>
        <v>1097531.3301707346</v>
      </c>
      <c r="BD283" s="10">
        <f ca="1">SUM($K269:BD269)</f>
        <v>1097531.3301707346</v>
      </c>
      <c r="BE283" s="10">
        <f ca="1">SUM($K269:BE269)</f>
        <v>1097531.3301707346</v>
      </c>
      <c r="BF283" s="10">
        <f ca="1">SUM($K269:BF269)</f>
        <v>1097531.3301707346</v>
      </c>
      <c r="BG283" s="10">
        <f ca="1">SUM($K269:BG269)</f>
        <v>1097531.3301707346</v>
      </c>
      <c r="BH283" s="10">
        <f ca="1">SUM($K269:BH269)</f>
        <v>1097531.3301707346</v>
      </c>
      <c r="BI283" s="10">
        <f ca="1">SUM($K269:BI269)</f>
        <v>1097531.3301707346</v>
      </c>
      <c r="BJ283" s="10">
        <f ca="1">SUM($K269:BJ269)</f>
        <v>1097531.3301707346</v>
      </c>
      <c r="BK283" s="10">
        <f ca="1">SUM($K269:BK269)</f>
        <v>1097531.3301707346</v>
      </c>
      <c r="BL283" s="10">
        <f ca="1">SUM($K269:BL269)</f>
        <v>1097531.3301707346</v>
      </c>
      <c r="BM283" s="10">
        <f ca="1">SUM($K269:BM269)</f>
        <v>1097531.3301707346</v>
      </c>
      <c r="BN283" s="10">
        <f ca="1">SUM($K269:BN269)</f>
        <v>1097531.3301707346</v>
      </c>
      <c r="BO283" s="10">
        <f ca="1">SUM($K269:BO269)</f>
        <v>1097531.3301707346</v>
      </c>
      <c r="BP283" s="10">
        <f ca="1">SUM($K269:BP269)</f>
        <v>1097531.3301707346</v>
      </c>
      <c r="BQ283" s="10">
        <f ca="1">SUM($K269:BQ269)</f>
        <v>1097531.3301707346</v>
      </c>
      <c r="BR283" s="10">
        <f ca="1">SUM($K269:BR269)</f>
        <v>1097531.3301707346</v>
      </c>
      <c r="BS283" s="10">
        <f ca="1">SUM($K269:BS269)</f>
        <v>1097531.3301707346</v>
      </c>
      <c r="BT283" s="10">
        <f ca="1">SUM($K269:BT269)</f>
        <v>1097531.3301707346</v>
      </c>
      <c r="BU283" s="10">
        <f ca="1">SUM($K269:BU269)</f>
        <v>1097531.3301707346</v>
      </c>
      <c r="BV283" s="10">
        <f ca="1">SUM($K269:BV269)</f>
        <v>1097531.3301707346</v>
      </c>
      <c r="BW283" s="10">
        <f ca="1">SUM($K269:BW269)</f>
        <v>1097531.3301707346</v>
      </c>
      <c r="BX283" s="10">
        <f ca="1">SUM($K269:BX269)</f>
        <v>1097531.3301707346</v>
      </c>
      <c r="BY283" s="10">
        <f ca="1">SUM($K269:BY269)</f>
        <v>1097531.3301707346</v>
      </c>
      <c r="BZ283" s="10">
        <f ca="1">SUM($K269:BZ269)</f>
        <v>1097531.3301707346</v>
      </c>
      <c r="CA283" s="10">
        <f ca="1">SUM($K269:CA269)</f>
        <v>1097531.3301707346</v>
      </c>
      <c r="CB283" s="10">
        <f ca="1">SUM($K269:CB269)</f>
        <v>1097531.3301707346</v>
      </c>
      <c r="CC283" s="10">
        <f ca="1">SUM($K269:CC269)</f>
        <v>1097531.3301707346</v>
      </c>
      <c r="CD283" s="10">
        <f ca="1">SUM($K269:CD269)</f>
        <v>1097531.3301707346</v>
      </c>
      <c r="CE283" s="10">
        <f ca="1">SUM($K269:CE269)</f>
        <v>1097531.3301707346</v>
      </c>
      <c r="CF283" s="10">
        <f ca="1">SUM($K269:CF269)</f>
        <v>1097531.3301707346</v>
      </c>
      <c r="CG283" s="10">
        <f ca="1">SUM($K269:CG269)</f>
        <v>1097531.3301707346</v>
      </c>
      <c r="CH283" s="10">
        <f ca="1">SUM($K269:CH269)</f>
        <v>1097531.3301707346</v>
      </c>
      <c r="CI283" s="10">
        <f ca="1">SUM($K269:CI269)</f>
        <v>1097531.3301707346</v>
      </c>
      <c r="CJ283" s="10">
        <f ca="1">SUM($K269:CJ269)</f>
        <v>1097531.3301707346</v>
      </c>
      <c r="CK283" s="10">
        <f ca="1">SUM($K269:CK269)</f>
        <v>1097531.3301707346</v>
      </c>
      <c r="CL283" s="10">
        <f ca="1">SUM($K269:CL269)</f>
        <v>1097531.3301707346</v>
      </c>
      <c r="CM283" s="10">
        <f ca="1">SUM($K269:CM269)</f>
        <v>1097531.3301707346</v>
      </c>
      <c r="CN283" s="10">
        <f ca="1">SUM($K269:CN269)</f>
        <v>1097531.3301707346</v>
      </c>
      <c r="CO283" s="10">
        <f ca="1">SUM($K269:CO269)</f>
        <v>1097531.3301707346</v>
      </c>
    </row>
    <row r="284" spans="1:93">
      <c r="A284" s="77"/>
      <c r="B284" s="10"/>
      <c r="C284" s="17" t="str">
        <f t="shared" si="1424"/>
        <v>Здания и сооружения - Развлекательный комплекс</v>
      </c>
      <c r="D284" s="10"/>
      <c r="E284" s="62"/>
      <c r="F284" s="11"/>
      <c r="G284" s="134" t="str">
        <f t="shared" si="1423"/>
        <v>тыс. руб.</v>
      </c>
      <c r="H284" s="10"/>
      <c r="I284" s="10"/>
      <c r="J284" s="10"/>
      <c r="K284" s="10"/>
      <c r="L284" s="10">
        <f ca="1">SUM($K270:L270)</f>
        <v>0</v>
      </c>
      <c r="M284" s="10">
        <f ca="1">SUM($K270:M270)</f>
        <v>0</v>
      </c>
      <c r="N284" s="10">
        <f ca="1">SUM($K270:N270)</f>
        <v>0</v>
      </c>
      <c r="O284" s="10">
        <f ca="1">SUM($K270:O270)</f>
        <v>0</v>
      </c>
      <c r="P284" s="10">
        <f ca="1">SUM($K270:P270)</f>
        <v>0</v>
      </c>
      <c r="Q284" s="10">
        <f ca="1">SUM($K270:Q270)</f>
        <v>0</v>
      </c>
      <c r="R284" s="10">
        <f ca="1">SUM($K270:R270)</f>
        <v>0</v>
      </c>
      <c r="S284" s="10">
        <f ca="1">SUM($K270:S270)</f>
        <v>0</v>
      </c>
      <c r="T284" s="10">
        <f ca="1">SUM($K270:T270)</f>
        <v>0</v>
      </c>
      <c r="U284" s="10">
        <f ca="1">SUM($K270:U270)</f>
        <v>0</v>
      </c>
      <c r="V284" s="10">
        <f ca="1">SUM($K270:V270)</f>
        <v>0</v>
      </c>
      <c r="W284" s="10">
        <f ca="1">SUM($K270:W270)</f>
        <v>0</v>
      </c>
      <c r="X284" s="10">
        <f ca="1">SUM($K270:X270)</f>
        <v>0</v>
      </c>
      <c r="Y284" s="10">
        <f ca="1">SUM($K270:Y270)</f>
        <v>0</v>
      </c>
      <c r="Z284" s="10">
        <f ca="1">SUM($K270:Z270)</f>
        <v>0</v>
      </c>
      <c r="AA284" s="10">
        <f ca="1">SUM($K270:AA270)</f>
        <v>0</v>
      </c>
      <c r="AB284" s="10">
        <f ca="1">SUM($K270:AB270)</f>
        <v>0</v>
      </c>
      <c r="AC284" s="10">
        <f ca="1">SUM($K270:AC270)</f>
        <v>0</v>
      </c>
      <c r="AD284" s="10">
        <f ca="1">SUM($K270:AD270)</f>
        <v>0</v>
      </c>
      <c r="AE284" s="10">
        <f ca="1">SUM($K270:AE270)</f>
        <v>0</v>
      </c>
      <c r="AF284" s="10">
        <f ca="1">SUM($K270:AF270)</f>
        <v>0</v>
      </c>
      <c r="AG284" s="10">
        <f ca="1">SUM($K270:AG270)</f>
        <v>0</v>
      </c>
      <c r="AH284" s="10">
        <f ca="1">SUM($K270:AH270)</f>
        <v>0</v>
      </c>
      <c r="AI284" s="10">
        <f ca="1">SUM($K270:AI270)</f>
        <v>0</v>
      </c>
      <c r="AJ284" s="10">
        <f ca="1">SUM($K270:AJ270)</f>
        <v>0</v>
      </c>
      <c r="AK284" s="10">
        <f ca="1">SUM($K270:AK270)</f>
        <v>0</v>
      </c>
      <c r="AL284" s="10">
        <f ca="1">SUM($K270:AL270)</f>
        <v>0</v>
      </c>
      <c r="AM284" s="10">
        <f ca="1">SUM($K270:AM270)</f>
        <v>0</v>
      </c>
      <c r="AN284" s="10">
        <f ca="1">SUM($K270:AN270)</f>
        <v>0</v>
      </c>
      <c r="AO284" s="10">
        <f ca="1">SUM($K270:AO270)</f>
        <v>0</v>
      </c>
      <c r="AP284" s="10">
        <f ca="1">SUM($K270:AP270)</f>
        <v>0</v>
      </c>
      <c r="AQ284" s="10">
        <f ca="1">SUM($K270:AQ270)</f>
        <v>0</v>
      </c>
      <c r="AR284" s="10">
        <f ca="1">SUM($K270:AR270)</f>
        <v>0</v>
      </c>
      <c r="AS284" s="10">
        <f ca="1">SUM($K270:AS270)</f>
        <v>0</v>
      </c>
      <c r="AT284" s="10">
        <f ca="1">SUM($K270:AT270)</f>
        <v>0</v>
      </c>
      <c r="AU284" s="10">
        <f ca="1">SUM($K270:AU270)</f>
        <v>0</v>
      </c>
      <c r="AV284" s="10">
        <f ca="1">SUM($K270:AV270)</f>
        <v>0</v>
      </c>
      <c r="AW284" s="10">
        <f ca="1">SUM($K270:AW270)</f>
        <v>0</v>
      </c>
      <c r="AX284" s="10">
        <f ca="1">SUM($K270:AX270)</f>
        <v>0</v>
      </c>
      <c r="AY284" s="10">
        <f ca="1">SUM($K270:AY270)</f>
        <v>0</v>
      </c>
      <c r="AZ284" s="10">
        <f ca="1">SUM($K270:AZ270)</f>
        <v>0</v>
      </c>
      <c r="BA284" s="10">
        <f ca="1">SUM($K270:BA270)</f>
        <v>0</v>
      </c>
      <c r="BB284" s="10">
        <f ca="1">SUM($K270:BB270)</f>
        <v>0</v>
      </c>
      <c r="BC284" s="10">
        <f ca="1">SUM($K270:BC270)</f>
        <v>0</v>
      </c>
      <c r="BD284" s="10">
        <f ca="1">SUM($K270:BD270)</f>
        <v>0</v>
      </c>
      <c r="BE284" s="10">
        <f ca="1">SUM($K270:BE270)</f>
        <v>0</v>
      </c>
      <c r="BF284" s="10">
        <f ca="1">SUM($K270:BF270)</f>
        <v>0</v>
      </c>
      <c r="BG284" s="10">
        <f ca="1">SUM($K270:BG270)</f>
        <v>0</v>
      </c>
      <c r="BH284" s="10">
        <f ca="1">SUM($K270:BH270)</f>
        <v>0</v>
      </c>
      <c r="BI284" s="10">
        <f ca="1">SUM($K270:BI270)</f>
        <v>0</v>
      </c>
      <c r="BJ284" s="10">
        <f ca="1">SUM($K270:BJ270)</f>
        <v>0</v>
      </c>
      <c r="BK284" s="10">
        <f ca="1">SUM($K270:BK270)</f>
        <v>0</v>
      </c>
      <c r="BL284" s="10">
        <f ca="1">SUM($K270:BL270)</f>
        <v>0</v>
      </c>
      <c r="BM284" s="10">
        <f ca="1">SUM($K270:BM270)</f>
        <v>0</v>
      </c>
      <c r="BN284" s="10">
        <f ca="1">SUM($K270:BN270)</f>
        <v>0</v>
      </c>
      <c r="BO284" s="10">
        <f ca="1">SUM($K270:BO270)</f>
        <v>0</v>
      </c>
      <c r="BP284" s="10">
        <f ca="1">SUM($K270:BP270)</f>
        <v>0</v>
      </c>
      <c r="BQ284" s="10">
        <f ca="1">SUM($K270:BQ270)</f>
        <v>0</v>
      </c>
      <c r="BR284" s="10">
        <f ca="1">SUM($K270:BR270)</f>
        <v>0</v>
      </c>
      <c r="BS284" s="10">
        <f ca="1">SUM($K270:BS270)</f>
        <v>0</v>
      </c>
      <c r="BT284" s="10">
        <f ca="1">SUM($K270:BT270)</f>
        <v>0</v>
      </c>
      <c r="BU284" s="10">
        <f ca="1">SUM($K270:BU270)</f>
        <v>0</v>
      </c>
      <c r="BV284" s="10">
        <f ca="1">SUM($K270:BV270)</f>
        <v>0</v>
      </c>
      <c r="BW284" s="10">
        <f ca="1">SUM($K270:BW270)</f>
        <v>0</v>
      </c>
      <c r="BX284" s="10">
        <f ca="1">SUM($K270:BX270)</f>
        <v>0</v>
      </c>
      <c r="BY284" s="10">
        <f ca="1">SUM($K270:BY270)</f>
        <v>0</v>
      </c>
      <c r="BZ284" s="10">
        <f ca="1">SUM($K270:BZ270)</f>
        <v>0</v>
      </c>
      <c r="CA284" s="10">
        <f ca="1">SUM($K270:CA270)</f>
        <v>0</v>
      </c>
      <c r="CB284" s="10">
        <f ca="1">SUM($K270:CB270)</f>
        <v>0</v>
      </c>
      <c r="CC284" s="10">
        <f ca="1">SUM($K270:CC270)</f>
        <v>0</v>
      </c>
      <c r="CD284" s="10">
        <f ca="1">SUM($K270:CD270)</f>
        <v>0</v>
      </c>
      <c r="CE284" s="10">
        <f ca="1">SUM($K270:CE270)</f>
        <v>0</v>
      </c>
      <c r="CF284" s="10">
        <f ca="1">SUM($K270:CF270)</f>
        <v>0</v>
      </c>
      <c r="CG284" s="10">
        <f ca="1">SUM($K270:CG270)</f>
        <v>0</v>
      </c>
      <c r="CH284" s="10">
        <f ca="1">SUM($K270:CH270)</f>
        <v>0</v>
      </c>
      <c r="CI284" s="10">
        <f ca="1">SUM($K270:CI270)</f>
        <v>0</v>
      </c>
      <c r="CJ284" s="10">
        <f ca="1">SUM($K270:CJ270)</f>
        <v>0</v>
      </c>
      <c r="CK284" s="10">
        <f ca="1">SUM($K270:CK270)</f>
        <v>0</v>
      </c>
      <c r="CL284" s="10">
        <f ca="1">SUM($K270:CL270)</f>
        <v>0</v>
      </c>
      <c r="CM284" s="10">
        <f ca="1">SUM($K270:CM270)</f>
        <v>0</v>
      </c>
      <c r="CN284" s="10">
        <f ca="1">SUM($K270:CN270)</f>
        <v>0</v>
      </c>
      <c r="CO284" s="10">
        <f ca="1">SUM($K270:CO270)</f>
        <v>0</v>
      </c>
    </row>
    <row r="285" spans="1:93">
      <c r="A285" s="77"/>
      <c r="B285" s="10"/>
      <c r="C285" s="17" t="str">
        <f t="shared" si="1424"/>
        <v>Здания и сооружения - Крытый парк развлечений</v>
      </c>
      <c r="D285" s="10"/>
      <c r="E285" s="62"/>
      <c r="F285" s="11"/>
      <c r="G285" s="134" t="str">
        <f t="shared" si="1423"/>
        <v>тыс. руб.</v>
      </c>
      <c r="H285" s="10"/>
      <c r="I285" s="10"/>
      <c r="J285" s="10"/>
      <c r="K285" s="10"/>
      <c r="L285" s="10">
        <f ca="1">SUM($K271:L271)</f>
        <v>0</v>
      </c>
      <c r="M285" s="10">
        <f ca="1">SUM($K271:M271)</f>
        <v>0</v>
      </c>
      <c r="N285" s="10">
        <f ca="1">SUM($K271:N271)</f>
        <v>0</v>
      </c>
      <c r="O285" s="10">
        <f ca="1">SUM($K271:O271)</f>
        <v>0</v>
      </c>
      <c r="P285" s="10">
        <f ca="1">SUM($K271:P271)</f>
        <v>0</v>
      </c>
      <c r="Q285" s="10">
        <f ca="1">SUM($K271:Q271)</f>
        <v>0</v>
      </c>
      <c r="R285" s="10">
        <f ca="1">SUM($K271:R271)</f>
        <v>0</v>
      </c>
      <c r="S285" s="10">
        <f ca="1">SUM($K271:S271)</f>
        <v>0</v>
      </c>
      <c r="T285" s="10">
        <f ca="1">SUM($K271:T271)</f>
        <v>0</v>
      </c>
      <c r="U285" s="10">
        <f ca="1">SUM($K271:U271)</f>
        <v>0</v>
      </c>
      <c r="V285" s="10">
        <f ca="1">SUM($K271:V271)</f>
        <v>0</v>
      </c>
      <c r="W285" s="10">
        <f ca="1">SUM($K271:W271)</f>
        <v>0</v>
      </c>
      <c r="X285" s="10">
        <f ca="1">SUM($K271:X271)</f>
        <v>0</v>
      </c>
      <c r="Y285" s="10">
        <f ca="1">SUM($K271:Y271)</f>
        <v>0</v>
      </c>
      <c r="Z285" s="10">
        <f ca="1">SUM($K271:Z271)</f>
        <v>0</v>
      </c>
      <c r="AA285" s="10">
        <f ca="1">SUM($K271:AA271)</f>
        <v>0</v>
      </c>
      <c r="AB285" s="10">
        <f ca="1">SUM($K271:AB271)</f>
        <v>0</v>
      </c>
      <c r="AC285" s="10">
        <f ca="1">SUM($K271:AC271)</f>
        <v>0</v>
      </c>
      <c r="AD285" s="10">
        <f ca="1">SUM($K271:AD271)</f>
        <v>0</v>
      </c>
      <c r="AE285" s="10">
        <f ca="1">SUM($K271:AE271)</f>
        <v>0</v>
      </c>
      <c r="AF285" s="10">
        <f ca="1">SUM($K271:AF271)</f>
        <v>0</v>
      </c>
      <c r="AG285" s="10">
        <f ca="1">SUM($K271:AG271)</f>
        <v>0</v>
      </c>
      <c r="AH285" s="10">
        <f ca="1">SUM($K271:AH271)</f>
        <v>0</v>
      </c>
      <c r="AI285" s="10">
        <f ca="1">SUM($K271:AI271)</f>
        <v>0</v>
      </c>
      <c r="AJ285" s="10">
        <f ca="1">SUM($K271:AJ271)</f>
        <v>0</v>
      </c>
      <c r="AK285" s="10">
        <f ca="1">SUM($K271:AK271)</f>
        <v>0</v>
      </c>
      <c r="AL285" s="10">
        <f ca="1">SUM($K271:AL271)</f>
        <v>0</v>
      </c>
      <c r="AM285" s="10">
        <f ca="1">SUM($K271:AM271)</f>
        <v>0</v>
      </c>
      <c r="AN285" s="10">
        <f ca="1">SUM($K271:AN271)</f>
        <v>0</v>
      </c>
      <c r="AO285" s="10">
        <f ca="1">SUM($K271:AO271)</f>
        <v>0</v>
      </c>
      <c r="AP285" s="10">
        <f ca="1">SUM($K271:AP271)</f>
        <v>0</v>
      </c>
      <c r="AQ285" s="10">
        <f ca="1">SUM($K271:AQ271)</f>
        <v>0</v>
      </c>
      <c r="AR285" s="10">
        <f ca="1">SUM($K271:AR271)</f>
        <v>0</v>
      </c>
      <c r="AS285" s="10">
        <f ca="1">SUM($K271:AS271)</f>
        <v>0</v>
      </c>
      <c r="AT285" s="10">
        <f ca="1">SUM($K271:AT271)</f>
        <v>0</v>
      </c>
      <c r="AU285" s="10">
        <f ca="1">SUM($K271:AU271)</f>
        <v>0</v>
      </c>
      <c r="AV285" s="10">
        <f ca="1">SUM($K271:AV271)</f>
        <v>0</v>
      </c>
      <c r="AW285" s="10">
        <f ca="1">SUM($K271:AW271)</f>
        <v>0</v>
      </c>
      <c r="AX285" s="10">
        <f ca="1">SUM($K271:AX271)</f>
        <v>0</v>
      </c>
      <c r="AY285" s="10">
        <f ca="1">SUM($K271:AY271)</f>
        <v>0</v>
      </c>
      <c r="AZ285" s="10">
        <f ca="1">SUM($K271:AZ271)</f>
        <v>0</v>
      </c>
      <c r="BA285" s="10">
        <f ca="1">SUM($K271:BA271)</f>
        <v>0</v>
      </c>
      <c r="BB285" s="10">
        <f ca="1">SUM($K271:BB271)</f>
        <v>0</v>
      </c>
      <c r="BC285" s="10">
        <f ca="1">SUM($K271:BC271)</f>
        <v>0</v>
      </c>
      <c r="BD285" s="10">
        <f ca="1">SUM($K271:BD271)</f>
        <v>0</v>
      </c>
      <c r="BE285" s="10">
        <f ca="1">SUM($K271:BE271)</f>
        <v>0</v>
      </c>
      <c r="BF285" s="10">
        <f ca="1">SUM($K271:BF271)</f>
        <v>0</v>
      </c>
      <c r="BG285" s="10">
        <f ca="1">SUM($K271:BG271)</f>
        <v>0</v>
      </c>
      <c r="BH285" s="10">
        <f ca="1">SUM($K271:BH271)</f>
        <v>0</v>
      </c>
      <c r="BI285" s="10">
        <f ca="1">SUM($K271:BI271)</f>
        <v>0</v>
      </c>
      <c r="BJ285" s="10">
        <f ca="1">SUM($K271:BJ271)</f>
        <v>0</v>
      </c>
      <c r="BK285" s="10">
        <f ca="1">SUM($K271:BK271)</f>
        <v>0</v>
      </c>
      <c r="BL285" s="10">
        <f ca="1">SUM($K271:BL271)</f>
        <v>0</v>
      </c>
      <c r="BM285" s="10">
        <f ca="1">SUM($K271:BM271)</f>
        <v>0</v>
      </c>
      <c r="BN285" s="10">
        <f ca="1">SUM($K271:BN271)</f>
        <v>0</v>
      </c>
      <c r="BO285" s="10">
        <f ca="1">SUM($K271:BO271)</f>
        <v>0</v>
      </c>
      <c r="BP285" s="10">
        <f ca="1">SUM($K271:BP271)</f>
        <v>0</v>
      </c>
      <c r="BQ285" s="10">
        <f ca="1">SUM($K271:BQ271)</f>
        <v>0</v>
      </c>
      <c r="BR285" s="10">
        <f ca="1">SUM($K271:BR271)</f>
        <v>0</v>
      </c>
      <c r="BS285" s="10">
        <f ca="1">SUM($K271:BS271)</f>
        <v>0</v>
      </c>
      <c r="BT285" s="10">
        <f ca="1">SUM($K271:BT271)</f>
        <v>0</v>
      </c>
      <c r="BU285" s="10">
        <f ca="1">SUM($K271:BU271)</f>
        <v>0</v>
      </c>
      <c r="BV285" s="10">
        <f ca="1">SUM($K271:BV271)</f>
        <v>0</v>
      </c>
      <c r="BW285" s="10">
        <f ca="1">SUM($K271:BW271)</f>
        <v>0</v>
      </c>
      <c r="BX285" s="10">
        <f ca="1">SUM($K271:BX271)</f>
        <v>0</v>
      </c>
      <c r="BY285" s="10">
        <f ca="1">SUM($K271:BY271)</f>
        <v>0</v>
      </c>
      <c r="BZ285" s="10">
        <f ca="1">SUM($K271:BZ271)</f>
        <v>0</v>
      </c>
      <c r="CA285" s="10">
        <f ca="1">SUM($K271:CA271)</f>
        <v>0</v>
      </c>
      <c r="CB285" s="10">
        <f ca="1">SUM($K271:CB271)</f>
        <v>0</v>
      </c>
      <c r="CC285" s="10">
        <f ca="1">SUM($K271:CC271)</f>
        <v>0</v>
      </c>
      <c r="CD285" s="10">
        <f ca="1">SUM($K271:CD271)</f>
        <v>0</v>
      </c>
      <c r="CE285" s="10">
        <f ca="1">SUM($K271:CE271)</f>
        <v>0</v>
      </c>
      <c r="CF285" s="10">
        <f ca="1">SUM($K271:CF271)</f>
        <v>0</v>
      </c>
      <c r="CG285" s="10">
        <f ca="1">SUM($K271:CG271)</f>
        <v>0</v>
      </c>
      <c r="CH285" s="10">
        <f ca="1">SUM($K271:CH271)</f>
        <v>0</v>
      </c>
      <c r="CI285" s="10">
        <f ca="1">SUM($K271:CI271)</f>
        <v>0</v>
      </c>
      <c r="CJ285" s="10">
        <f ca="1">SUM($K271:CJ271)</f>
        <v>0</v>
      </c>
      <c r="CK285" s="10">
        <f ca="1">SUM($K271:CK271)</f>
        <v>0</v>
      </c>
      <c r="CL285" s="10">
        <f ca="1">SUM($K271:CL271)</f>
        <v>0</v>
      </c>
      <c r="CM285" s="10">
        <f ca="1">SUM($K271:CM271)</f>
        <v>0</v>
      </c>
      <c r="CN285" s="10">
        <f ca="1">SUM($K271:CN271)</f>
        <v>0</v>
      </c>
      <c r="CO285" s="10">
        <f ca="1">SUM($K271:CO271)</f>
        <v>0</v>
      </c>
    </row>
    <row r="286" spans="1:93">
      <c r="A286" s="77"/>
      <c r="B286" s="10"/>
      <c r="C286" s="17" t="s">
        <v>315</v>
      </c>
      <c r="D286" s="10"/>
      <c r="E286" s="62"/>
      <c r="F286" s="11"/>
      <c r="G286" s="134" t="str">
        <f t="shared" si="1423"/>
        <v>тыс. руб.</v>
      </c>
      <c r="H286" s="10"/>
      <c r="I286" s="10"/>
      <c r="J286" s="10"/>
      <c r="K286" s="10"/>
      <c r="L286" s="10">
        <f>SUM($K272:L272)</f>
        <v>0</v>
      </c>
      <c r="M286" s="10">
        <f>SUM($K272:M272)</f>
        <v>0</v>
      </c>
      <c r="N286" s="10">
        <f>SUM($K272:N272)</f>
        <v>0</v>
      </c>
      <c r="O286" s="10">
        <f>SUM($K272:O272)</f>
        <v>0</v>
      </c>
      <c r="P286" s="10">
        <f>SUM($K272:P272)</f>
        <v>0</v>
      </c>
      <c r="Q286" s="10">
        <f>SUM($K272:Q272)</f>
        <v>0</v>
      </c>
      <c r="R286" s="10">
        <f>SUM($K272:R272)</f>
        <v>0</v>
      </c>
      <c r="S286" s="10">
        <f>SUM($K272:S272)</f>
        <v>0</v>
      </c>
      <c r="T286" s="10">
        <f>SUM($K272:T272)</f>
        <v>0</v>
      </c>
      <c r="U286" s="10">
        <f>SUM($K272:U272)</f>
        <v>0</v>
      </c>
      <c r="V286" s="10">
        <f>SUM($K272:V272)</f>
        <v>0</v>
      </c>
      <c r="W286" s="10">
        <f>SUM($K272:W272)</f>
        <v>0</v>
      </c>
      <c r="X286" s="10">
        <f>SUM($K272:X272)</f>
        <v>0</v>
      </c>
      <c r="Y286" s="10">
        <f>SUM($K272:Y272)</f>
        <v>0</v>
      </c>
      <c r="Z286" s="10">
        <f>SUM($K272:Z272)</f>
        <v>0</v>
      </c>
      <c r="AA286" s="10">
        <f>SUM($K272:AA272)</f>
        <v>0</v>
      </c>
      <c r="AB286" s="10">
        <f>SUM($K272:AB272)</f>
        <v>0</v>
      </c>
      <c r="AC286" s="10">
        <f>SUM($K272:AC272)</f>
        <v>0</v>
      </c>
      <c r="AD286" s="10">
        <f>SUM($K272:AD272)</f>
        <v>0</v>
      </c>
      <c r="AE286" s="10">
        <f>SUM($K272:AE272)</f>
        <v>0</v>
      </c>
      <c r="AF286" s="10">
        <f>SUM($K272:AF272)</f>
        <v>0</v>
      </c>
      <c r="AG286" s="10">
        <f>SUM($K272:AG272)</f>
        <v>0</v>
      </c>
      <c r="AH286" s="10">
        <f>SUM($K272:AH272)</f>
        <v>0</v>
      </c>
      <c r="AI286" s="10">
        <f>SUM($K272:AI272)</f>
        <v>0</v>
      </c>
      <c r="AJ286" s="10">
        <f>SUM($K272:AJ272)</f>
        <v>0</v>
      </c>
      <c r="AK286" s="10">
        <f>SUM($K272:AK272)</f>
        <v>0</v>
      </c>
      <c r="AL286" s="10">
        <f>SUM($K272:AL272)</f>
        <v>0</v>
      </c>
      <c r="AM286" s="10">
        <f>SUM($K272:AM272)</f>
        <v>0</v>
      </c>
      <c r="AN286" s="10">
        <f>SUM($K272:AN272)</f>
        <v>0</v>
      </c>
      <c r="AO286" s="10">
        <f>SUM($K272:AO272)</f>
        <v>0</v>
      </c>
      <c r="AP286" s="10">
        <f>SUM($K272:AP272)</f>
        <v>0</v>
      </c>
      <c r="AQ286" s="10">
        <f>SUM($K272:AQ272)</f>
        <v>0</v>
      </c>
      <c r="AR286" s="10">
        <f>SUM($K272:AR272)</f>
        <v>0</v>
      </c>
      <c r="AS286" s="10">
        <f>SUM($K272:AS272)</f>
        <v>0</v>
      </c>
      <c r="AT286" s="10">
        <f>SUM($K272:AT272)</f>
        <v>0</v>
      </c>
      <c r="AU286" s="10">
        <f>SUM($K272:AU272)</f>
        <v>0</v>
      </c>
      <c r="AV286" s="10">
        <f>SUM($K272:AV272)</f>
        <v>0</v>
      </c>
      <c r="AW286" s="10">
        <f>SUM($K272:AW272)</f>
        <v>0</v>
      </c>
      <c r="AX286" s="10">
        <f>SUM($K272:AX272)</f>
        <v>0</v>
      </c>
      <c r="AY286" s="10">
        <f>SUM($K272:AY272)</f>
        <v>0</v>
      </c>
      <c r="AZ286" s="10">
        <f>SUM($K272:AZ272)</f>
        <v>0</v>
      </c>
      <c r="BA286" s="10">
        <f>SUM($K272:BA272)</f>
        <v>0</v>
      </c>
      <c r="BB286" s="10">
        <f>SUM($K272:BB272)</f>
        <v>0</v>
      </c>
      <c r="BC286" s="10">
        <f>SUM($K272:BC272)</f>
        <v>0</v>
      </c>
      <c r="BD286" s="10">
        <f>SUM($K272:BD272)</f>
        <v>0</v>
      </c>
      <c r="BE286" s="10">
        <f>SUM($K272:BE272)</f>
        <v>0</v>
      </c>
      <c r="BF286" s="10">
        <f>SUM($K272:BF272)</f>
        <v>0</v>
      </c>
      <c r="BG286" s="10">
        <f>SUM($K272:BG272)</f>
        <v>0</v>
      </c>
      <c r="BH286" s="10">
        <f>SUM($K272:BH272)</f>
        <v>0</v>
      </c>
      <c r="BI286" s="10">
        <f>SUM($K272:BI272)</f>
        <v>0</v>
      </c>
      <c r="BJ286" s="10">
        <f>SUM($K272:BJ272)</f>
        <v>0</v>
      </c>
      <c r="BK286" s="10">
        <f>SUM($K272:BK272)</f>
        <v>0</v>
      </c>
      <c r="BL286" s="10">
        <f>SUM($K272:BL272)</f>
        <v>0</v>
      </c>
      <c r="BM286" s="10">
        <f>SUM($K272:BM272)</f>
        <v>0</v>
      </c>
      <c r="BN286" s="10">
        <f>SUM($K272:BN272)</f>
        <v>0</v>
      </c>
      <c r="BO286" s="10">
        <f>SUM($K272:BO272)</f>
        <v>0</v>
      </c>
      <c r="BP286" s="10">
        <f>SUM($K272:BP272)</f>
        <v>0</v>
      </c>
      <c r="BQ286" s="10">
        <f>SUM($K272:BQ272)</f>
        <v>0</v>
      </c>
      <c r="BR286" s="10">
        <f>SUM($K272:BR272)</f>
        <v>0</v>
      </c>
      <c r="BS286" s="10">
        <f>SUM($K272:BS272)</f>
        <v>0</v>
      </c>
      <c r="BT286" s="10">
        <f>SUM($K272:BT272)</f>
        <v>0</v>
      </c>
      <c r="BU286" s="10">
        <f>SUM($K272:BU272)</f>
        <v>0</v>
      </c>
      <c r="BV286" s="10">
        <f>SUM($K272:BV272)</f>
        <v>0</v>
      </c>
      <c r="BW286" s="10">
        <f>SUM($K272:BW272)</f>
        <v>0</v>
      </c>
      <c r="BX286" s="10">
        <f>SUM($K272:BX272)</f>
        <v>0</v>
      </c>
      <c r="BY286" s="10">
        <f>SUM($K272:BY272)</f>
        <v>0</v>
      </c>
      <c r="BZ286" s="10">
        <f>SUM($K272:BZ272)</f>
        <v>0</v>
      </c>
      <c r="CA286" s="10">
        <f>SUM($K272:CA272)</f>
        <v>0</v>
      </c>
      <c r="CB286" s="10">
        <f>SUM($K272:CB272)</f>
        <v>0</v>
      </c>
      <c r="CC286" s="10">
        <f>SUM($K272:CC272)</f>
        <v>0</v>
      </c>
      <c r="CD286" s="10">
        <f>SUM($K272:CD272)</f>
        <v>0</v>
      </c>
      <c r="CE286" s="10">
        <f>SUM($K272:CE272)</f>
        <v>0</v>
      </c>
      <c r="CF286" s="10">
        <f>SUM($K272:CF272)</f>
        <v>0</v>
      </c>
      <c r="CG286" s="10">
        <f>SUM($K272:CG272)</f>
        <v>0</v>
      </c>
      <c r="CH286" s="10">
        <f>SUM($K272:CH272)</f>
        <v>0</v>
      </c>
      <c r="CI286" s="10">
        <f>SUM($K272:CI272)</f>
        <v>0</v>
      </c>
      <c r="CJ286" s="10">
        <f>SUM($K272:CJ272)</f>
        <v>0</v>
      </c>
      <c r="CK286" s="10">
        <f>SUM($K272:CK272)</f>
        <v>0</v>
      </c>
      <c r="CL286" s="10">
        <f>SUM($K272:CL272)</f>
        <v>0</v>
      </c>
      <c r="CM286" s="10">
        <f>SUM($K272:CM272)</f>
        <v>0</v>
      </c>
      <c r="CN286" s="10">
        <f>SUM($K272:CN272)</f>
        <v>0</v>
      </c>
      <c r="CO286" s="10">
        <f>SUM($K272:CO272)</f>
        <v>0</v>
      </c>
    </row>
    <row r="287" spans="1:93">
      <c r="A287" s="10"/>
      <c r="B287" s="10"/>
      <c r="C287" s="17" t="s">
        <v>1112</v>
      </c>
      <c r="D287" s="10"/>
      <c r="E287" s="62"/>
      <c r="F287" s="11"/>
      <c r="G287" s="134" t="str">
        <f t="shared" si="1423"/>
        <v>тыс. руб.</v>
      </c>
      <c r="H287" s="10"/>
      <c r="I287" s="10"/>
      <c r="J287" s="10"/>
      <c r="K287" s="10"/>
      <c r="L287" s="10">
        <f>SUM($K273:L274)</f>
        <v>0</v>
      </c>
      <c r="M287" s="10">
        <f>SUM($K273:M274)</f>
        <v>0</v>
      </c>
      <c r="N287" s="10">
        <f>SUM($K273:N274)</f>
        <v>0</v>
      </c>
      <c r="O287" s="10">
        <f>SUM($K273:O274)</f>
        <v>0</v>
      </c>
      <c r="P287" s="10">
        <f>SUM($K273:P274)</f>
        <v>0</v>
      </c>
      <c r="Q287" s="10">
        <f>SUM($K273:Q274)</f>
        <v>0</v>
      </c>
      <c r="R287" s="10">
        <f>SUM($K273:R274)</f>
        <v>0</v>
      </c>
      <c r="S287" s="10">
        <f>SUM($K273:S274)</f>
        <v>0</v>
      </c>
      <c r="T287" s="10">
        <f>SUM($K273:T274)</f>
        <v>0</v>
      </c>
      <c r="U287" s="10">
        <f>SUM($K273:U274)</f>
        <v>0</v>
      </c>
      <c r="V287" s="10">
        <f>SUM($K273:V274)</f>
        <v>0</v>
      </c>
      <c r="W287" s="10">
        <f>SUM($K273:W274)</f>
        <v>0</v>
      </c>
      <c r="X287" s="10">
        <f>SUM($K273:X274)</f>
        <v>0</v>
      </c>
      <c r="Y287" s="10">
        <f>SUM($K273:Y274)</f>
        <v>0</v>
      </c>
      <c r="Z287" s="10">
        <f>SUM($K273:Z274)</f>
        <v>0</v>
      </c>
      <c r="AA287" s="10">
        <f>SUM($K273:AA274)</f>
        <v>0</v>
      </c>
      <c r="AB287" s="10">
        <f>SUM($K273:AB274)</f>
        <v>0</v>
      </c>
      <c r="AC287" s="10">
        <f>SUM($K273:AC274)</f>
        <v>0</v>
      </c>
      <c r="AD287" s="10">
        <f>SUM($K273:AD274)</f>
        <v>0</v>
      </c>
      <c r="AE287" s="10">
        <f>SUM($K273:AE274)</f>
        <v>0</v>
      </c>
      <c r="AF287" s="10">
        <f>SUM($K273:AF274)</f>
        <v>0</v>
      </c>
      <c r="AG287" s="10">
        <f>SUM($K273:AG274)</f>
        <v>0</v>
      </c>
      <c r="AH287" s="10">
        <f>SUM($K273:AH274)</f>
        <v>0</v>
      </c>
      <c r="AI287" s="10">
        <f>SUM($K273:AI274)</f>
        <v>0</v>
      </c>
      <c r="AJ287" s="10">
        <f>SUM($K273:AJ274)</f>
        <v>0</v>
      </c>
      <c r="AK287" s="10">
        <f>SUM($K273:AK274)</f>
        <v>0</v>
      </c>
      <c r="AL287" s="10">
        <f>SUM($K273:AL274)</f>
        <v>0</v>
      </c>
      <c r="AM287" s="10">
        <f>SUM($K273:AM274)</f>
        <v>0</v>
      </c>
      <c r="AN287" s="10">
        <f>SUM($K273:AN274)</f>
        <v>0</v>
      </c>
      <c r="AO287" s="10">
        <f>SUM($K273:AO274)</f>
        <v>0</v>
      </c>
      <c r="AP287" s="10">
        <f>SUM($K273:AP274)</f>
        <v>0</v>
      </c>
      <c r="AQ287" s="10">
        <f>SUM($K273:AQ274)</f>
        <v>0</v>
      </c>
      <c r="AR287" s="10">
        <f>SUM($K273:AR274)</f>
        <v>0</v>
      </c>
      <c r="AS287" s="10">
        <f>SUM($K273:AS274)</f>
        <v>0</v>
      </c>
      <c r="AT287" s="10">
        <f>SUM($K273:AT274)</f>
        <v>0</v>
      </c>
      <c r="AU287" s="10">
        <f>SUM($K273:AU274)</f>
        <v>0</v>
      </c>
      <c r="AV287" s="10">
        <f>SUM($K273:AV274)</f>
        <v>0</v>
      </c>
      <c r="AW287" s="10">
        <f>SUM($K273:AW274)</f>
        <v>0</v>
      </c>
      <c r="AX287" s="10">
        <f>SUM($K273:AX274)</f>
        <v>0</v>
      </c>
      <c r="AY287" s="10">
        <f>SUM($K273:AY274)</f>
        <v>0</v>
      </c>
      <c r="AZ287" s="10">
        <f>SUM($K273:AZ274)</f>
        <v>0</v>
      </c>
      <c r="BA287" s="10">
        <f>SUM($K273:BA274)</f>
        <v>0</v>
      </c>
      <c r="BB287" s="10">
        <f>SUM($K273:BB274)</f>
        <v>0</v>
      </c>
      <c r="BC287" s="10">
        <f>SUM($K273:BC274)</f>
        <v>0</v>
      </c>
      <c r="BD287" s="10">
        <f>SUM($K273:BD274)</f>
        <v>0</v>
      </c>
      <c r="BE287" s="10">
        <f>SUM($K273:BE274)</f>
        <v>0</v>
      </c>
      <c r="BF287" s="10">
        <f>SUM($K273:BF274)</f>
        <v>0</v>
      </c>
      <c r="BG287" s="10">
        <f>SUM($K273:BG274)</f>
        <v>0</v>
      </c>
      <c r="BH287" s="10">
        <f>SUM($K273:BH274)</f>
        <v>0</v>
      </c>
      <c r="BI287" s="10">
        <f>SUM($K273:BI274)</f>
        <v>0</v>
      </c>
      <c r="BJ287" s="10">
        <f>SUM($K273:BJ274)</f>
        <v>0</v>
      </c>
      <c r="BK287" s="10">
        <f>SUM($K273:BK274)</f>
        <v>0</v>
      </c>
      <c r="BL287" s="10">
        <f>SUM($K273:BL274)</f>
        <v>0</v>
      </c>
      <c r="BM287" s="10">
        <f>SUM($K273:BM274)</f>
        <v>0</v>
      </c>
      <c r="BN287" s="10">
        <f>SUM($K273:BN274)</f>
        <v>0</v>
      </c>
      <c r="BO287" s="10">
        <f>SUM($K273:BO274)</f>
        <v>0</v>
      </c>
      <c r="BP287" s="10">
        <f>SUM($K273:BP274)</f>
        <v>0</v>
      </c>
      <c r="BQ287" s="10">
        <f>SUM($K273:BQ274)</f>
        <v>0</v>
      </c>
      <c r="BR287" s="10">
        <f>SUM($K273:BR274)</f>
        <v>0</v>
      </c>
      <c r="BS287" s="10">
        <f>SUM($K273:BS274)</f>
        <v>0</v>
      </c>
      <c r="BT287" s="10">
        <f>SUM($K273:BT274)</f>
        <v>0</v>
      </c>
      <c r="BU287" s="10">
        <f>SUM($K273:BU274)</f>
        <v>0</v>
      </c>
      <c r="BV287" s="10">
        <f>SUM($K273:BV274)</f>
        <v>0</v>
      </c>
      <c r="BW287" s="10">
        <f>SUM($K273:BW274)</f>
        <v>0</v>
      </c>
      <c r="BX287" s="10">
        <f>SUM($K273:BX274)</f>
        <v>0</v>
      </c>
      <c r="BY287" s="10">
        <f>SUM($K273:BY274)</f>
        <v>0</v>
      </c>
      <c r="BZ287" s="10">
        <f>SUM($K273:BZ274)</f>
        <v>0</v>
      </c>
      <c r="CA287" s="10">
        <f>SUM($K273:CA274)</f>
        <v>0</v>
      </c>
      <c r="CB287" s="10">
        <f>SUM($K273:CB274)</f>
        <v>0</v>
      </c>
      <c r="CC287" s="10">
        <f>SUM($K273:CC274)</f>
        <v>0</v>
      </c>
      <c r="CD287" s="10">
        <f>SUM($K273:CD274)</f>
        <v>0</v>
      </c>
      <c r="CE287" s="10">
        <f>SUM($K273:CE274)</f>
        <v>0</v>
      </c>
      <c r="CF287" s="10">
        <f>SUM($K273:CF274)</f>
        <v>0</v>
      </c>
      <c r="CG287" s="10">
        <f>SUM($K273:CG274)</f>
        <v>0</v>
      </c>
      <c r="CH287" s="10">
        <f>SUM($K273:CH274)</f>
        <v>0</v>
      </c>
      <c r="CI287" s="10">
        <f>SUM($K273:CI274)</f>
        <v>0</v>
      </c>
      <c r="CJ287" s="10">
        <f>SUM($K273:CJ274)</f>
        <v>0</v>
      </c>
      <c r="CK287" s="10">
        <f>SUM($K273:CK274)</f>
        <v>0</v>
      </c>
      <c r="CL287" s="10">
        <f>SUM($K273:CL274)</f>
        <v>0</v>
      </c>
      <c r="CM287" s="10">
        <f>SUM($K273:CM274)</f>
        <v>0</v>
      </c>
      <c r="CN287" s="10">
        <f>SUM($K273:CN274)</f>
        <v>0</v>
      </c>
      <c r="CO287" s="10">
        <f>SUM($K273:CO274)</f>
        <v>0</v>
      </c>
    </row>
    <row r="288" spans="1:93" ht="15" thickBot="1">
      <c r="A288" s="77"/>
      <c r="B288" s="10"/>
      <c r="C288" s="17" t="s">
        <v>1113</v>
      </c>
      <c r="D288" s="10"/>
      <c r="E288" s="62"/>
      <c r="F288" s="11"/>
      <c r="G288" s="134" t="str">
        <f t="shared" si="1423"/>
        <v>тыс. руб.</v>
      </c>
      <c r="H288" s="10"/>
      <c r="I288" s="10"/>
      <c r="J288" s="10"/>
      <c r="K288" s="10"/>
      <c r="L288" s="10">
        <f>SUM($K275:L275)</f>
        <v>0</v>
      </c>
      <c r="M288" s="10">
        <f>SUM($K275:M275)</f>
        <v>0</v>
      </c>
      <c r="N288" s="10">
        <f>SUM($K275:N275)</f>
        <v>0</v>
      </c>
      <c r="O288" s="10">
        <f>SUM($K275:O275)</f>
        <v>0</v>
      </c>
      <c r="P288" s="10">
        <f>SUM($K275:P275)</f>
        <v>0</v>
      </c>
      <c r="Q288" s="10">
        <f>SUM($K275:Q275)</f>
        <v>0</v>
      </c>
      <c r="R288" s="10">
        <f>SUM($K275:R275)</f>
        <v>0</v>
      </c>
      <c r="S288" s="10">
        <f>SUM($K275:S275)</f>
        <v>0</v>
      </c>
      <c r="T288" s="10">
        <f>SUM($K275:T275)</f>
        <v>0</v>
      </c>
      <c r="U288" s="10">
        <f>SUM($K275:U275)</f>
        <v>0</v>
      </c>
      <c r="V288" s="10">
        <f>SUM($K275:V275)</f>
        <v>0</v>
      </c>
      <c r="W288" s="10">
        <f>SUM($K275:W275)</f>
        <v>0</v>
      </c>
      <c r="X288" s="10">
        <f>SUM($K275:X275)</f>
        <v>0</v>
      </c>
      <c r="Y288" s="10">
        <f>SUM($K275:Y275)</f>
        <v>0</v>
      </c>
      <c r="Z288" s="10">
        <f>SUM($K275:Z275)</f>
        <v>0</v>
      </c>
      <c r="AA288" s="10">
        <f>SUM($K275:AA275)</f>
        <v>0</v>
      </c>
      <c r="AB288" s="10">
        <f>SUM($K275:AB275)</f>
        <v>0</v>
      </c>
      <c r="AC288" s="10">
        <f>SUM($K275:AC275)</f>
        <v>0</v>
      </c>
      <c r="AD288" s="10">
        <f>SUM($K275:AD275)</f>
        <v>0</v>
      </c>
      <c r="AE288" s="10">
        <f>SUM($K275:AE275)</f>
        <v>0</v>
      </c>
      <c r="AF288" s="10">
        <f>SUM($K275:AF275)</f>
        <v>0</v>
      </c>
      <c r="AG288" s="10">
        <f>SUM($K275:AG275)</f>
        <v>0</v>
      </c>
      <c r="AH288" s="10">
        <f>SUM($K275:AH275)</f>
        <v>0</v>
      </c>
      <c r="AI288" s="10">
        <f>SUM($K275:AI275)</f>
        <v>0</v>
      </c>
      <c r="AJ288" s="10">
        <f>SUM($K275:AJ275)</f>
        <v>0</v>
      </c>
      <c r="AK288" s="10">
        <f>SUM($K275:AK275)</f>
        <v>0</v>
      </c>
      <c r="AL288" s="10">
        <f>SUM($K275:AL275)</f>
        <v>0</v>
      </c>
      <c r="AM288" s="10">
        <f>SUM($K275:AM275)</f>
        <v>0</v>
      </c>
      <c r="AN288" s="10">
        <f>SUM($K275:AN275)</f>
        <v>0</v>
      </c>
      <c r="AO288" s="10">
        <f>SUM($K275:AO275)</f>
        <v>0</v>
      </c>
      <c r="AP288" s="10">
        <f>SUM($K275:AP275)</f>
        <v>0</v>
      </c>
      <c r="AQ288" s="10">
        <f>SUM($K275:AQ275)</f>
        <v>0</v>
      </c>
      <c r="AR288" s="10">
        <f>SUM($K275:AR275)</f>
        <v>0</v>
      </c>
      <c r="AS288" s="10">
        <f>SUM($K275:AS275)</f>
        <v>0</v>
      </c>
      <c r="AT288" s="10">
        <f>SUM($K275:AT275)</f>
        <v>0</v>
      </c>
      <c r="AU288" s="10">
        <f>SUM($K275:AU275)</f>
        <v>0</v>
      </c>
      <c r="AV288" s="10">
        <f>SUM($K275:AV275)</f>
        <v>0</v>
      </c>
      <c r="AW288" s="10">
        <f>SUM($K275:AW275)</f>
        <v>0</v>
      </c>
      <c r="AX288" s="10">
        <f>SUM($K275:AX275)</f>
        <v>0</v>
      </c>
      <c r="AY288" s="10">
        <f>SUM($K275:AY275)</f>
        <v>0</v>
      </c>
      <c r="AZ288" s="10">
        <f>SUM($K275:AZ275)</f>
        <v>0</v>
      </c>
      <c r="BA288" s="10">
        <f>SUM($K275:BA275)</f>
        <v>0</v>
      </c>
      <c r="BB288" s="10">
        <f>SUM($K275:BB275)</f>
        <v>0</v>
      </c>
      <c r="BC288" s="10">
        <f>SUM($K275:BC275)</f>
        <v>0</v>
      </c>
      <c r="BD288" s="10">
        <f>SUM($K275:BD275)</f>
        <v>0</v>
      </c>
      <c r="BE288" s="10">
        <f>SUM($K275:BE275)</f>
        <v>0</v>
      </c>
      <c r="BF288" s="10">
        <f>SUM($K275:BF275)</f>
        <v>0</v>
      </c>
      <c r="BG288" s="10">
        <f>SUM($K275:BG275)</f>
        <v>0</v>
      </c>
      <c r="BH288" s="10">
        <f>SUM($K275:BH275)</f>
        <v>0</v>
      </c>
      <c r="BI288" s="10">
        <f>SUM($K275:BI275)</f>
        <v>0</v>
      </c>
      <c r="BJ288" s="10">
        <f>SUM($K275:BJ275)</f>
        <v>0</v>
      </c>
      <c r="BK288" s="10">
        <f>SUM($K275:BK275)</f>
        <v>0</v>
      </c>
      <c r="BL288" s="10">
        <f>SUM($K275:BL275)</f>
        <v>0</v>
      </c>
      <c r="BM288" s="10">
        <f>SUM($K275:BM275)</f>
        <v>0</v>
      </c>
      <c r="BN288" s="10">
        <f>SUM($K275:BN275)</f>
        <v>0</v>
      </c>
      <c r="BO288" s="10">
        <f>SUM($K275:BO275)</f>
        <v>0</v>
      </c>
      <c r="BP288" s="10">
        <f>SUM($K275:BP275)</f>
        <v>0</v>
      </c>
      <c r="BQ288" s="10">
        <f>SUM($K275:BQ275)</f>
        <v>0</v>
      </c>
      <c r="BR288" s="10">
        <f>SUM($K275:BR275)</f>
        <v>0</v>
      </c>
      <c r="BS288" s="10">
        <f>SUM($K275:BS275)</f>
        <v>0</v>
      </c>
      <c r="BT288" s="10">
        <f>SUM($K275:BT275)</f>
        <v>0</v>
      </c>
      <c r="BU288" s="10">
        <f>SUM($K275:BU275)</f>
        <v>0</v>
      </c>
      <c r="BV288" s="10">
        <f>SUM($K275:BV275)</f>
        <v>0</v>
      </c>
      <c r="BW288" s="10">
        <f>SUM($K275:BW275)</f>
        <v>0</v>
      </c>
      <c r="BX288" s="10">
        <f>SUM($K275:BX275)</f>
        <v>0</v>
      </c>
      <c r="BY288" s="10">
        <f>SUM($K275:BY275)</f>
        <v>0</v>
      </c>
      <c r="BZ288" s="10">
        <f>SUM($K275:BZ275)</f>
        <v>0</v>
      </c>
      <c r="CA288" s="10">
        <f>SUM($K275:CA275)</f>
        <v>0</v>
      </c>
      <c r="CB288" s="10">
        <f>SUM($K275:CB275)</f>
        <v>0</v>
      </c>
      <c r="CC288" s="10">
        <f>SUM($K275:CC275)</f>
        <v>0</v>
      </c>
      <c r="CD288" s="10">
        <f>SUM($K275:CD275)</f>
        <v>0</v>
      </c>
      <c r="CE288" s="10">
        <f>SUM($K275:CE275)</f>
        <v>0</v>
      </c>
      <c r="CF288" s="10">
        <f>SUM($K275:CF275)</f>
        <v>0</v>
      </c>
      <c r="CG288" s="10">
        <f>SUM($K275:CG275)</f>
        <v>0</v>
      </c>
      <c r="CH288" s="10">
        <f>SUM($K275:CH275)</f>
        <v>0</v>
      </c>
      <c r="CI288" s="10">
        <f>SUM($K275:CI275)</f>
        <v>0</v>
      </c>
      <c r="CJ288" s="10">
        <f>SUM($K275:CJ275)</f>
        <v>0</v>
      </c>
      <c r="CK288" s="10">
        <f>SUM($K275:CK275)</f>
        <v>0</v>
      </c>
      <c r="CL288" s="10">
        <f>SUM($K275:CL275)</f>
        <v>0</v>
      </c>
      <c r="CM288" s="10">
        <f>SUM($K275:CM275)</f>
        <v>0</v>
      </c>
      <c r="CN288" s="10">
        <f>SUM($K275:CN275)</f>
        <v>0</v>
      </c>
      <c r="CO288" s="10">
        <f>SUM($K275:CO275)</f>
        <v>0</v>
      </c>
    </row>
    <row r="289" spans="1:93" ht="15" thickTop="1">
      <c r="A289" s="172"/>
      <c r="B289" s="35"/>
      <c r="C289" s="173" t="s">
        <v>51</v>
      </c>
      <c r="D289" s="49"/>
      <c r="E289" s="49"/>
      <c r="F289" s="49"/>
      <c r="G289" s="159" t="str">
        <f t="shared" si="1423"/>
        <v>тыс. руб.</v>
      </c>
      <c r="H289" s="49"/>
      <c r="I289" s="49"/>
      <c r="J289" s="49"/>
      <c r="K289" s="49"/>
      <c r="L289" s="174">
        <f t="shared" ref="L289:AQ289" ca="1" si="1425">SUM(L279:L288)</f>
        <v>26171.794482739097</v>
      </c>
      <c r="M289" s="174">
        <f t="shared" ca="1" si="1425"/>
        <v>52715.094641495372</v>
      </c>
      <c r="N289" s="174">
        <f t="shared" ca="1" si="1425"/>
        <v>79635.173957512321</v>
      </c>
      <c r="O289" s="174">
        <f t="shared" ca="1" si="1425"/>
        <v>106937.38076850591</v>
      </c>
      <c r="P289" s="174">
        <f t="shared" ca="1" si="1425"/>
        <v>336596.9356085019</v>
      </c>
      <c r="Q289" s="174">
        <f t="shared" ca="1" si="1425"/>
        <v>568519.41941019159</v>
      </c>
      <c r="R289" s="174">
        <f t="shared" ca="1" si="1425"/>
        <v>802727.12973262591</v>
      </c>
      <c r="S289" s="174">
        <f t="shared" ca="1" si="1425"/>
        <v>1039242.5838417703</v>
      </c>
      <c r="T289" s="174">
        <f t="shared" ca="1" si="1425"/>
        <v>1278088.5208753662</v>
      </c>
      <c r="U289" s="174">
        <f t="shared" ca="1" si="1425"/>
        <v>1519287.9040291235</v>
      </c>
      <c r="V289" s="174">
        <f t="shared" ca="1" si="1425"/>
        <v>1762863.922764455</v>
      </c>
      <c r="W289" s="174">
        <f t="shared" ca="1" si="1425"/>
        <v>2008839.995037965</v>
      </c>
      <c r="X289" s="174">
        <f t="shared" ca="1" si="1425"/>
        <v>2527600.3294629748</v>
      </c>
      <c r="Y289" s="174">
        <f t="shared" ca="1" si="1425"/>
        <v>3051472.2203645539</v>
      </c>
      <c r="Z289" s="174">
        <f t="shared" ca="1" si="1425"/>
        <v>3580506.0339867626</v>
      </c>
      <c r="AA289" s="174">
        <f t="shared" ca="1" si="1425"/>
        <v>4114752.6328527424</v>
      </c>
      <c r="AB289" s="174">
        <f t="shared" ca="1" si="1425"/>
        <v>4808399.504779838</v>
      </c>
      <c r="AC289" s="174">
        <f t="shared" ca="1" si="1425"/>
        <v>4808399.504779838</v>
      </c>
      <c r="AD289" s="174">
        <f t="shared" ca="1" si="1425"/>
        <v>4808399.504779838</v>
      </c>
      <c r="AE289" s="174">
        <f t="shared" ca="1" si="1425"/>
        <v>4808399.504779838</v>
      </c>
      <c r="AF289" s="174">
        <f t="shared" ca="1" si="1425"/>
        <v>4808399.504779838</v>
      </c>
      <c r="AG289" s="174">
        <f t="shared" ca="1" si="1425"/>
        <v>4808399.504779838</v>
      </c>
      <c r="AH289" s="174">
        <f t="shared" ca="1" si="1425"/>
        <v>4808399.504779838</v>
      </c>
      <c r="AI289" s="174">
        <f t="shared" ca="1" si="1425"/>
        <v>4808399.504779838</v>
      </c>
      <c r="AJ289" s="174">
        <f t="shared" ca="1" si="1425"/>
        <v>4808399.504779838</v>
      </c>
      <c r="AK289" s="174">
        <f t="shared" ca="1" si="1425"/>
        <v>4808399.504779838</v>
      </c>
      <c r="AL289" s="174">
        <f t="shared" ca="1" si="1425"/>
        <v>4808399.504779838</v>
      </c>
      <c r="AM289" s="174">
        <f t="shared" ca="1" si="1425"/>
        <v>4808399.504779838</v>
      </c>
      <c r="AN289" s="174">
        <f t="shared" ca="1" si="1425"/>
        <v>4808399.504779838</v>
      </c>
      <c r="AO289" s="174">
        <f t="shared" ca="1" si="1425"/>
        <v>4808399.504779838</v>
      </c>
      <c r="AP289" s="174">
        <f t="shared" ca="1" si="1425"/>
        <v>4808399.504779838</v>
      </c>
      <c r="AQ289" s="174">
        <f t="shared" ca="1" si="1425"/>
        <v>4808399.504779838</v>
      </c>
      <c r="AR289" s="174">
        <f t="shared" ref="AR289:BW289" ca="1" si="1426">SUM(AR279:AR288)</f>
        <v>4808399.504779838</v>
      </c>
      <c r="AS289" s="174">
        <f t="shared" ca="1" si="1426"/>
        <v>4808399.504779838</v>
      </c>
      <c r="AT289" s="174">
        <f t="shared" ca="1" si="1426"/>
        <v>4808399.504779838</v>
      </c>
      <c r="AU289" s="174">
        <f t="shared" ca="1" si="1426"/>
        <v>4808399.504779838</v>
      </c>
      <c r="AV289" s="174">
        <f t="shared" ca="1" si="1426"/>
        <v>4808399.504779838</v>
      </c>
      <c r="AW289" s="174">
        <f t="shared" ca="1" si="1426"/>
        <v>4808399.504779838</v>
      </c>
      <c r="AX289" s="174">
        <f t="shared" ca="1" si="1426"/>
        <v>4808399.504779838</v>
      </c>
      <c r="AY289" s="174">
        <f t="shared" ca="1" si="1426"/>
        <v>4808399.504779838</v>
      </c>
      <c r="AZ289" s="174">
        <f t="shared" ca="1" si="1426"/>
        <v>4808399.504779838</v>
      </c>
      <c r="BA289" s="174">
        <f t="shared" ca="1" si="1426"/>
        <v>4808399.504779838</v>
      </c>
      <c r="BB289" s="174">
        <f t="shared" ca="1" si="1426"/>
        <v>4808399.504779838</v>
      </c>
      <c r="BC289" s="174">
        <f t="shared" ca="1" si="1426"/>
        <v>4808399.504779838</v>
      </c>
      <c r="BD289" s="174">
        <f t="shared" ca="1" si="1426"/>
        <v>4808399.504779838</v>
      </c>
      <c r="BE289" s="174">
        <f t="shared" ca="1" si="1426"/>
        <v>4808399.504779838</v>
      </c>
      <c r="BF289" s="174">
        <f t="shared" ca="1" si="1426"/>
        <v>4808399.504779838</v>
      </c>
      <c r="BG289" s="174">
        <f t="shared" ca="1" si="1426"/>
        <v>4808399.504779838</v>
      </c>
      <c r="BH289" s="174">
        <f t="shared" ca="1" si="1426"/>
        <v>4808399.504779838</v>
      </c>
      <c r="BI289" s="174">
        <f t="shared" ca="1" si="1426"/>
        <v>4808399.504779838</v>
      </c>
      <c r="BJ289" s="174">
        <f t="shared" ca="1" si="1426"/>
        <v>4808399.504779838</v>
      </c>
      <c r="BK289" s="174">
        <f t="shared" ca="1" si="1426"/>
        <v>4808399.504779838</v>
      </c>
      <c r="BL289" s="174">
        <f t="shared" ca="1" si="1426"/>
        <v>4808399.504779838</v>
      </c>
      <c r="BM289" s="174">
        <f t="shared" ca="1" si="1426"/>
        <v>4808399.504779838</v>
      </c>
      <c r="BN289" s="174">
        <f t="shared" ca="1" si="1426"/>
        <v>4808399.504779838</v>
      </c>
      <c r="BO289" s="174">
        <f t="shared" ca="1" si="1426"/>
        <v>4808399.504779838</v>
      </c>
      <c r="BP289" s="174">
        <f t="shared" ca="1" si="1426"/>
        <v>4808399.504779838</v>
      </c>
      <c r="BQ289" s="174">
        <f t="shared" ca="1" si="1426"/>
        <v>4808399.504779838</v>
      </c>
      <c r="BR289" s="174">
        <f t="shared" ca="1" si="1426"/>
        <v>4808399.504779838</v>
      </c>
      <c r="BS289" s="174">
        <f t="shared" ca="1" si="1426"/>
        <v>4808399.504779838</v>
      </c>
      <c r="BT289" s="174">
        <f t="shared" ca="1" si="1426"/>
        <v>4808399.504779838</v>
      </c>
      <c r="BU289" s="174">
        <f t="shared" ca="1" si="1426"/>
        <v>4808399.504779838</v>
      </c>
      <c r="BV289" s="174">
        <f t="shared" ca="1" si="1426"/>
        <v>4808399.504779838</v>
      </c>
      <c r="BW289" s="174">
        <f t="shared" ca="1" si="1426"/>
        <v>4808399.504779838</v>
      </c>
      <c r="BX289" s="174">
        <f t="shared" ref="BX289:CO289" ca="1" si="1427">SUM(BX279:BX288)</f>
        <v>4808399.504779838</v>
      </c>
      <c r="BY289" s="174">
        <f t="shared" ca="1" si="1427"/>
        <v>4808399.504779838</v>
      </c>
      <c r="BZ289" s="174">
        <f t="shared" ca="1" si="1427"/>
        <v>4808399.504779838</v>
      </c>
      <c r="CA289" s="174">
        <f t="shared" ca="1" si="1427"/>
        <v>4808399.504779838</v>
      </c>
      <c r="CB289" s="174">
        <f t="shared" ca="1" si="1427"/>
        <v>4808399.504779838</v>
      </c>
      <c r="CC289" s="174">
        <f t="shared" ca="1" si="1427"/>
        <v>4808399.504779838</v>
      </c>
      <c r="CD289" s="174">
        <f t="shared" ca="1" si="1427"/>
        <v>4808399.504779838</v>
      </c>
      <c r="CE289" s="174">
        <f t="shared" ca="1" si="1427"/>
        <v>4808399.504779838</v>
      </c>
      <c r="CF289" s="174">
        <f t="shared" ca="1" si="1427"/>
        <v>4808399.504779838</v>
      </c>
      <c r="CG289" s="174">
        <f t="shared" ca="1" si="1427"/>
        <v>4808399.504779838</v>
      </c>
      <c r="CH289" s="174">
        <f t="shared" ca="1" si="1427"/>
        <v>4808399.504779838</v>
      </c>
      <c r="CI289" s="174">
        <f t="shared" ca="1" si="1427"/>
        <v>4808399.504779838</v>
      </c>
      <c r="CJ289" s="174">
        <f t="shared" ca="1" si="1427"/>
        <v>4808399.504779838</v>
      </c>
      <c r="CK289" s="174">
        <f t="shared" ca="1" si="1427"/>
        <v>4808399.504779838</v>
      </c>
      <c r="CL289" s="174">
        <f t="shared" ca="1" si="1427"/>
        <v>4808399.504779838</v>
      </c>
      <c r="CM289" s="174">
        <f t="shared" ca="1" si="1427"/>
        <v>4808399.504779838</v>
      </c>
      <c r="CN289" s="174">
        <f t="shared" ca="1" si="1427"/>
        <v>4808399.504779838</v>
      </c>
      <c r="CO289" s="174">
        <f t="shared" ca="1" si="1427"/>
        <v>4808399.504779838</v>
      </c>
    </row>
    <row r="290" spans="1:93">
      <c r="A290" s="77"/>
      <c r="B290" s="10"/>
      <c r="C290" s="48"/>
      <c r="D290" s="10"/>
      <c r="E290" s="10"/>
      <c r="F290" s="10"/>
      <c r="G290" s="11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</row>
    <row r="291" spans="1:93" ht="16" thickBot="1">
      <c r="A291" s="77"/>
      <c r="B291" s="10"/>
      <c r="C291" s="12" t="s">
        <v>52</v>
      </c>
      <c r="D291" s="12"/>
      <c r="E291" s="12"/>
      <c r="F291" s="12"/>
      <c r="G291" s="362"/>
      <c r="H291" s="12"/>
      <c r="I291" s="12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</row>
    <row r="292" spans="1:93">
      <c r="A292" s="77"/>
      <c r="B292" s="10"/>
      <c r="C292" s="17"/>
      <c r="D292" s="10"/>
      <c r="E292" s="62"/>
      <c r="F292" s="11"/>
      <c r="G292" s="11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</row>
    <row r="293" spans="1:93">
      <c r="A293" s="77"/>
      <c r="B293" s="10"/>
      <c r="C293" s="50" t="s">
        <v>53</v>
      </c>
      <c r="D293" s="10"/>
      <c r="E293" s="62"/>
      <c r="F293" s="11"/>
      <c r="G293" s="11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</row>
    <row r="294" spans="1:93">
      <c r="A294" s="77"/>
      <c r="B294" s="10"/>
      <c r="C294" s="21" t="s">
        <v>54</v>
      </c>
      <c r="D294" s="10"/>
      <c r="E294" s="62"/>
      <c r="F294" s="11"/>
      <c r="G294" s="134" t="str">
        <f t="shared" ref="G294:G299" si="1428">Monetary_Unit</f>
        <v>тыс. руб.</v>
      </c>
      <c r="H294" s="10"/>
      <c r="I294" s="23">
        <f t="shared" ref="I294:I299" si="1429">SUM(L294:CO294)</f>
        <v>235253.59987868241</v>
      </c>
      <c r="J294" s="10"/>
      <c r="K294" s="10"/>
      <c r="L294" s="52">
        <f t="shared" ref="L294:AQ294" si="1430">-Debt_Interest_Capitalised * Flag_Construction</f>
        <v>0</v>
      </c>
      <c r="M294" s="52">
        <f t="shared" si="1430"/>
        <v>0</v>
      </c>
      <c r="N294" s="52">
        <f t="shared" si="1430"/>
        <v>0</v>
      </c>
      <c r="O294" s="52">
        <f t="shared" si="1430"/>
        <v>0</v>
      </c>
      <c r="P294" s="52">
        <f t="shared" si="1430"/>
        <v>0</v>
      </c>
      <c r="Q294" s="52">
        <f t="shared" si="1430"/>
        <v>0</v>
      </c>
      <c r="R294" s="52">
        <f t="shared" si="1430"/>
        <v>0</v>
      </c>
      <c r="S294" s="52">
        <f t="shared" si="1430"/>
        <v>738.99174247580174</v>
      </c>
      <c r="T294" s="52">
        <f t="shared" si="1430"/>
        <v>3234.8821767320223</v>
      </c>
      <c r="U294" s="52">
        <f t="shared" si="1430"/>
        <v>7256.2536237105141</v>
      </c>
      <c r="V294" s="52">
        <f t="shared" si="1430"/>
        <v>11404.918486102473</v>
      </c>
      <c r="W294" s="52">
        <f t="shared" si="1430"/>
        <v>15513.937077923534</v>
      </c>
      <c r="X294" s="52">
        <f t="shared" si="1430"/>
        <v>21635.021605468475</v>
      </c>
      <c r="Y294" s="52">
        <f t="shared" si="1430"/>
        <v>30267.503661225743</v>
      </c>
      <c r="Z294" s="52">
        <f t="shared" si="1430"/>
        <v>39413.452160910616</v>
      </c>
      <c r="AA294" s="52">
        <f t="shared" si="1430"/>
        <v>48313.632138229776</v>
      </c>
      <c r="AB294" s="52">
        <f t="shared" si="1430"/>
        <v>57475.007205903479</v>
      </c>
      <c r="AC294" s="52">
        <f t="shared" si="1430"/>
        <v>0</v>
      </c>
      <c r="AD294" s="52">
        <f t="shared" si="1430"/>
        <v>0</v>
      </c>
      <c r="AE294" s="52">
        <f t="shared" si="1430"/>
        <v>0</v>
      </c>
      <c r="AF294" s="52">
        <f t="shared" si="1430"/>
        <v>0</v>
      </c>
      <c r="AG294" s="52">
        <f t="shared" si="1430"/>
        <v>0</v>
      </c>
      <c r="AH294" s="52">
        <f t="shared" si="1430"/>
        <v>0</v>
      </c>
      <c r="AI294" s="52">
        <f t="shared" si="1430"/>
        <v>0</v>
      </c>
      <c r="AJ294" s="52">
        <f t="shared" si="1430"/>
        <v>0</v>
      </c>
      <c r="AK294" s="52">
        <f t="shared" si="1430"/>
        <v>0</v>
      </c>
      <c r="AL294" s="52">
        <f t="shared" si="1430"/>
        <v>0</v>
      </c>
      <c r="AM294" s="52">
        <f t="shared" si="1430"/>
        <v>0</v>
      </c>
      <c r="AN294" s="52">
        <f t="shared" si="1430"/>
        <v>0</v>
      </c>
      <c r="AO294" s="52">
        <f t="shared" si="1430"/>
        <v>0</v>
      </c>
      <c r="AP294" s="52">
        <f t="shared" si="1430"/>
        <v>0</v>
      </c>
      <c r="AQ294" s="52">
        <f t="shared" si="1430"/>
        <v>0</v>
      </c>
      <c r="AR294" s="52">
        <f t="shared" ref="AR294:BW294" si="1431">-Debt_Interest_Capitalised * Flag_Construction</f>
        <v>0</v>
      </c>
      <c r="AS294" s="52">
        <f t="shared" si="1431"/>
        <v>0</v>
      </c>
      <c r="AT294" s="52">
        <f t="shared" si="1431"/>
        <v>0</v>
      </c>
      <c r="AU294" s="52">
        <f t="shared" si="1431"/>
        <v>0</v>
      </c>
      <c r="AV294" s="52">
        <f t="shared" si="1431"/>
        <v>0</v>
      </c>
      <c r="AW294" s="52">
        <f t="shared" si="1431"/>
        <v>0</v>
      </c>
      <c r="AX294" s="52">
        <f t="shared" si="1431"/>
        <v>0</v>
      </c>
      <c r="AY294" s="52">
        <f t="shared" si="1431"/>
        <v>0</v>
      </c>
      <c r="AZ294" s="52">
        <f t="shared" si="1431"/>
        <v>0</v>
      </c>
      <c r="BA294" s="52">
        <f t="shared" si="1431"/>
        <v>0</v>
      </c>
      <c r="BB294" s="52">
        <f t="shared" si="1431"/>
        <v>0</v>
      </c>
      <c r="BC294" s="52">
        <f t="shared" si="1431"/>
        <v>0</v>
      </c>
      <c r="BD294" s="52">
        <f t="shared" si="1431"/>
        <v>0</v>
      </c>
      <c r="BE294" s="52">
        <f t="shared" si="1431"/>
        <v>0</v>
      </c>
      <c r="BF294" s="52">
        <f t="shared" si="1431"/>
        <v>0</v>
      </c>
      <c r="BG294" s="52">
        <f t="shared" si="1431"/>
        <v>0</v>
      </c>
      <c r="BH294" s="52">
        <f t="shared" si="1431"/>
        <v>0</v>
      </c>
      <c r="BI294" s="52">
        <f t="shared" si="1431"/>
        <v>0</v>
      </c>
      <c r="BJ294" s="52">
        <f t="shared" si="1431"/>
        <v>0</v>
      </c>
      <c r="BK294" s="52">
        <f t="shared" si="1431"/>
        <v>0</v>
      </c>
      <c r="BL294" s="52">
        <f t="shared" si="1431"/>
        <v>0</v>
      </c>
      <c r="BM294" s="52">
        <f t="shared" si="1431"/>
        <v>0</v>
      </c>
      <c r="BN294" s="52">
        <f t="shared" si="1431"/>
        <v>0</v>
      </c>
      <c r="BO294" s="52">
        <f t="shared" si="1431"/>
        <v>0</v>
      </c>
      <c r="BP294" s="52">
        <f t="shared" si="1431"/>
        <v>0</v>
      </c>
      <c r="BQ294" s="52">
        <f t="shared" si="1431"/>
        <v>0</v>
      </c>
      <c r="BR294" s="52">
        <f t="shared" si="1431"/>
        <v>0</v>
      </c>
      <c r="BS294" s="52">
        <f t="shared" si="1431"/>
        <v>0</v>
      </c>
      <c r="BT294" s="52">
        <f t="shared" si="1431"/>
        <v>0</v>
      </c>
      <c r="BU294" s="52">
        <f t="shared" si="1431"/>
        <v>0</v>
      </c>
      <c r="BV294" s="52">
        <f t="shared" si="1431"/>
        <v>0</v>
      </c>
      <c r="BW294" s="52">
        <f t="shared" si="1431"/>
        <v>0</v>
      </c>
      <c r="BX294" s="52">
        <f t="shared" ref="BX294:CO294" si="1432">-Debt_Interest_Capitalised * Flag_Construction</f>
        <v>0</v>
      </c>
      <c r="BY294" s="52">
        <f t="shared" si="1432"/>
        <v>0</v>
      </c>
      <c r="BZ294" s="52">
        <f t="shared" si="1432"/>
        <v>0</v>
      </c>
      <c r="CA294" s="52">
        <f t="shared" si="1432"/>
        <v>0</v>
      </c>
      <c r="CB294" s="52">
        <f t="shared" si="1432"/>
        <v>0</v>
      </c>
      <c r="CC294" s="52">
        <f t="shared" si="1432"/>
        <v>0</v>
      </c>
      <c r="CD294" s="52">
        <f t="shared" si="1432"/>
        <v>0</v>
      </c>
      <c r="CE294" s="52">
        <f t="shared" si="1432"/>
        <v>0</v>
      </c>
      <c r="CF294" s="52">
        <f t="shared" si="1432"/>
        <v>0</v>
      </c>
      <c r="CG294" s="52">
        <f t="shared" si="1432"/>
        <v>0</v>
      </c>
      <c r="CH294" s="52">
        <f t="shared" si="1432"/>
        <v>0</v>
      </c>
      <c r="CI294" s="52">
        <f t="shared" si="1432"/>
        <v>0</v>
      </c>
      <c r="CJ294" s="52">
        <f t="shared" si="1432"/>
        <v>0</v>
      </c>
      <c r="CK294" s="52">
        <f t="shared" si="1432"/>
        <v>0</v>
      </c>
      <c r="CL294" s="52">
        <f t="shared" si="1432"/>
        <v>0</v>
      </c>
      <c r="CM294" s="52">
        <f t="shared" si="1432"/>
        <v>0</v>
      </c>
      <c r="CN294" s="52">
        <f t="shared" si="1432"/>
        <v>0</v>
      </c>
      <c r="CO294" s="52">
        <f t="shared" si="1432"/>
        <v>0</v>
      </c>
    </row>
    <row r="295" spans="1:93">
      <c r="A295" s="77"/>
      <c r="B295" s="10"/>
      <c r="C295" s="21" t="s">
        <v>357</v>
      </c>
      <c r="D295" s="10"/>
      <c r="E295" s="62"/>
      <c r="F295" s="11"/>
      <c r="G295" s="134" t="str">
        <f t="shared" si="1428"/>
        <v>тыс. руб.</v>
      </c>
      <c r="H295" s="10"/>
      <c r="I295" s="23">
        <f t="shared" si="1429"/>
        <v>0</v>
      </c>
      <c r="J295" s="10"/>
      <c r="K295" s="10"/>
      <c r="L295" s="52">
        <f t="shared" ref="L295:AQ295" si="1433">Subord_Interest_Accrued * Flag_Construction</f>
        <v>0</v>
      </c>
      <c r="M295" s="52">
        <f t="shared" si="1433"/>
        <v>0</v>
      </c>
      <c r="N295" s="52">
        <f t="shared" si="1433"/>
        <v>0</v>
      </c>
      <c r="O295" s="52">
        <f t="shared" si="1433"/>
        <v>0</v>
      </c>
      <c r="P295" s="52">
        <f t="shared" si="1433"/>
        <v>0</v>
      </c>
      <c r="Q295" s="52">
        <f t="shared" si="1433"/>
        <v>0</v>
      </c>
      <c r="R295" s="52">
        <f t="shared" si="1433"/>
        <v>0</v>
      </c>
      <c r="S295" s="52">
        <f t="shared" si="1433"/>
        <v>0</v>
      </c>
      <c r="T295" s="52">
        <f t="shared" si="1433"/>
        <v>0</v>
      </c>
      <c r="U295" s="52">
        <f t="shared" si="1433"/>
        <v>0</v>
      </c>
      <c r="V295" s="52">
        <f t="shared" si="1433"/>
        <v>0</v>
      </c>
      <c r="W295" s="52">
        <f t="shared" si="1433"/>
        <v>0</v>
      </c>
      <c r="X295" s="52">
        <f t="shared" si="1433"/>
        <v>0</v>
      </c>
      <c r="Y295" s="52">
        <f t="shared" si="1433"/>
        <v>0</v>
      </c>
      <c r="Z295" s="52">
        <f t="shared" si="1433"/>
        <v>0</v>
      </c>
      <c r="AA295" s="52">
        <f t="shared" si="1433"/>
        <v>0</v>
      </c>
      <c r="AB295" s="52">
        <f t="shared" si="1433"/>
        <v>0</v>
      </c>
      <c r="AC295" s="52">
        <f t="shared" si="1433"/>
        <v>0</v>
      </c>
      <c r="AD295" s="52">
        <f t="shared" si="1433"/>
        <v>0</v>
      </c>
      <c r="AE295" s="52">
        <f t="shared" si="1433"/>
        <v>0</v>
      </c>
      <c r="AF295" s="52">
        <f t="shared" si="1433"/>
        <v>0</v>
      </c>
      <c r="AG295" s="52">
        <f t="shared" si="1433"/>
        <v>0</v>
      </c>
      <c r="AH295" s="52">
        <f t="shared" si="1433"/>
        <v>0</v>
      </c>
      <c r="AI295" s="52">
        <f t="shared" si="1433"/>
        <v>0</v>
      </c>
      <c r="AJ295" s="52">
        <f t="shared" si="1433"/>
        <v>0</v>
      </c>
      <c r="AK295" s="52">
        <f t="shared" si="1433"/>
        <v>0</v>
      </c>
      <c r="AL295" s="52">
        <f t="shared" si="1433"/>
        <v>0</v>
      </c>
      <c r="AM295" s="52">
        <f t="shared" si="1433"/>
        <v>0</v>
      </c>
      <c r="AN295" s="52">
        <f t="shared" si="1433"/>
        <v>0</v>
      </c>
      <c r="AO295" s="52">
        <f t="shared" si="1433"/>
        <v>0</v>
      </c>
      <c r="AP295" s="52">
        <f t="shared" si="1433"/>
        <v>0</v>
      </c>
      <c r="AQ295" s="52">
        <f t="shared" si="1433"/>
        <v>0</v>
      </c>
      <c r="AR295" s="52">
        <f t="shared" ref="AR295:BW295" si="1434">Subord_Interest_Accrued * Flag_Construction</f>
        <v>0</v>
      </c>
      <c r="AS295" s="52">
        <f t="shared" si="1434"/>
        <v>0</v>
      </c>
      <c r="AT295" s="52">
        <f t="shared" si="1434"/>
        <v>0</v>
      </c>
      <c r="AU295" s="52">
        <f t="shared" si="1434"/>
        <v>0</v>
      </c>
      <c r="AV295" s="52">
        <f t="shared" si="1434"/>
        <v>0</v>
      </c>
      <c r="AW295" s="52">
        <f t="shared" si="1434"/>
        <v>0</v>
      </c>
      <c r="AX295" s="52">
        <f t="shared" si="1434"/>
        <v>0</v>
      </c>
      <c r="AY295" s="52">
        <f t="shared" si="1434"/>
        <v>0</v>
      </c>
      <c r="AZ295" s="52">
        <f t="shared" si="1434"/>
        <v>0</v>
      </c>
      <c r="BA295" s="52">
        <f t="shared" si="1434"/>
        <v>0</v>
      </c>
      <c r="BB295" s="52">
        <f t="shared" si="1434"/>
        <v>0</v>
      </c>
      <c r="BC295" s="52">
        <f t="shared" si="1434"/>
        <v>0</v>
      </c>
      <c r="BD295" s="52">
        <f t="shared" si="1434"/>
        <v>0</v>
      </c>
      <c r="BE295" s="52">
        <f t="shared" si="1434"/>
        <v>0</v>
      </c>
      <c r="BF295" s="52">
        <f t="shared" si="1434"/>
        <v>0</v>
      </c>
      <c r="BG295" s="52">
        <f t="shared" si="1434"/>
        <v>0</v>
      </c>
      <c r="BH295" s="52">
        <f t="shared" si="1434"/>
        <v>0</v>
      </c>
      <c r="BI295" s="52">
        <f t="shared" si="1434"/>
        <v>0</v>
      </c>
      <c r="BJ295" s="52">
        <f t="shared" si="1434"/>
        <v>0</v>
      </c>
      <c r="BK295" s="52">
        <f t="shared" si="1434"/>
        <v>0</v>
      </c>
      <c r="BL295" s="52">
        <f t="shared" si="1434"/>
        <v>0</v>
      </c>
      <c r="BM295" s="52">
        <f t="shared" si="1434"/>
        <v>0</v>
      </c>
      <c r="BN295" s="52">
        <f t="shared" si="1434"/>
        <v>0</v>
      </c>
      <c r="BO295" s="52">
        <f t="shared" si="1434"/>
        <v>0</v>
      </c>
      <c r="BP295" s="52">
        <f t="shared" si="1434"/>
        <v>0</v>
      </c>
      <c r="BQ295" s="52">
        <f t="shared" si="1434"/>
        <v>0</v>
      </c>
      <c r="BR295" s="52">
        <f t="shared" si="1434"/>
        <v>0</v>
      </c>
      <c r="BS295" s="52">
        <f t="shared" si="1434"/>
        <v>0</v>
      </c>
      <c r="BT295" s="52">
        <f t="shared" si="1434"/>
        <v>0</v>
      </c>
      <c r="BU295" s="52">
        <f t="shared" si="1434"/>
        <v>0</v>
      </c>
      <c r="BV295" s="52">
        <f t="shared" si="1434"/>
        <v>0</v>
      </c>
      <c r="BW295" s="52">
        <f t="shared" si="1434"/>
        <v>0</v>
      </c>
      <c r="BX295" s="52">
        <f t="shared" ref="BX295:CO295" si="1435">Subord_Interest_Accrued * Flag_Construction</f>
        <v>0</v>
      </c>
      <c r="BY295" s="52">
        <f t="shared" si="1435"/>
        <v>0</v>
      </c>
      <c r="BZ295" s="52">
        <f t="shared" si="1435"/>
        <v>0</v>
      </c>
      <c r="CA295" s="52">
        <f t="shared" si="1435"/>
        <v>0</v>
      </c>
      <c r="CB295" s="52">
        <f t="shared" si="1435"/>
        <v>0</v>
      </c>
      <c r="CC295" s="52">
        <f t="shared" si="1435"/>
        <v>0</v>
      </c>
      <c r="CD295" s="52">
        <f t="shared" si="1435"/>
        <v>0</v>
      </c>
      <c r="CE295" s="52">
        <f t="shared" si="1435"/>
        <v>0</v>
      </c>
      <c r="CF295" s="52">
        <f t="shared" si="1435"/>
        <v>0</v>
      </c>
      <c r="CG295" s="52">
        <f t="shared" si="1435"/>
        <v>0</v>
      </c>
      <c r="CH295" s="52">
        <f t="shared" si="1435"/>
        <v>0</v>
      </c>
      <c r="CI295" s="52">
        <f t="shared" si="1435"/>
        <v>0</v>
      </c>
      <c r="CJ295" s="52">
        <f t="shared" si="1435"/>
        <v>0</v>
      </c>
      <c r="CK295" s="52">
        <f t="shared" si="1435"/>
        <v>0</v>
      </c>
      <c r="CL295" s="52">
        <f t="shared" si="1435"/>
        <v>0</v>
      </c>
      <c r="CM295" s="52">
        <f t="shared" si="1435"/>
        <v>0</v>
      </c>
      <c r="CN295" s="52">
        <f t="shared" si="1435"/>
        <v>0</v>
      </c>
      <c r="CO295" s="52">
        <f t="shared" si="1435"/>
        <v>0</v>
      </c>
    </row>
    <row r="296" spans="1:93">
      <c r="A296" s="77"/>
      <c r="B296" s="10"/>
      <c r="C296" s="21" t="s">
        <v>55</v>
      </c>
      <c r="D296" s="10"/>
      <c r="E296" s="62"/>
      <c r="F296" s="11"/>
      <c r="G296" s="134" t="str">
        <f t="shared" si="1428"/>
        <v>тыс. руб.</v>
      </c>
      <c r="H296" s="10"/>
      <c r="I296" s="23">
        <f t="shared" ca="1" si="1429"/>
        <v>0</v>
      </c>
      <c r="J296" s="10"/>
      <c r="K296" s="10"/>
      <c r="L296" s="10">
        <f t="shared" ref="L296:AQ296" ca="1" si="1436" xml:space="preserve"> - COGS_Capitalised</f>
        <v>0</v>
      </c>
      <c r="M296" s="10">
        <f t="shared" ca="1" si="1436"/>
        <v>0</v>
      </c>
      <c r="N296" s="10">
        <f t="shared" ca="1" si="1436"/>
        <v>0</v>
      </c>
      <c r="O296" s="10">
        <f t="shared" ca="1" si="1436"/>
        <v>0</v>
      </c>
      <c r="P296" s="10">
        <f t="shared" ca="1" si="1436"/>
        <v>0</v>
      </c>
      <c r="Q296" s="10">
        <f t="shared" ca="1" si="1436"/>
        <v>0</v>
      </c>
      <c r="R296" s="10">
        <f t="shared" ca="1" si="1436"/>
        <v>0</v>
      </c>
      <c r="S296" s="10">
        <f t="shared" ca="1" si="1436"/>
        <v>0</v>
      </c>
      <c r="T296" s="10">
        <f t="shared" ca="1" si="1436"/>
        <v>0</v>
      </c>
      <c r="U296" s="10">
        <f t="shared" ca="1" si="1436"/>
        <v>0</v>
      </c>
      <c r="V296" s="10">
        <f t="shared" ca="1" si="1436"/>
        <v>0</v>
      </c>
      <c r="W296" s="10">
        <f t="shared" ca="1" si="1436"/>
        <v>0</v>
      </c>
      <c r="X296" s="10">
        <f t="shared" ca="1" si="1436"/>
        <v>0</v>
      </c>
      <c r="Y296" s="10">
        <f t="shared" ca="1" si="1436"/>
        <v>0</v>
      </c>
      <c r="Z296" s="10">
        <f t="shared" ca="1" si="1436"/>
        <v>0</v>
      </c>
      <c r="AA296" s="10">
        <f t="shared" ca="1" si="1436"/>
        <v>0</v>
      </c>
      <c r="AB296" s="10">
        <f t="shared" ca="1" si="1436"/>
        <v>0</v>
      </c>
      <c r="AC296" s="10">
        <f t="shared" ca="1" si="1436"/>
        <v>0</v>
      </c>
      <c r="AD296" s="10">
        <f t="shared" ca="1" si="1436"/>
        <v>0</v>
      </c>
      <c r="AE296" s="10">
        <f t="shared" ca="1" si="1436"/>
        <v>0</v>
      </c>
      <c r="AF296" s="10">
        <f t="shared" ca="1" si="1436"/>
        <v>0</v>
      </c>
      <c r="AG296" s="10">
        <f t="shared" ca="1" si="1436"/>
        <v>0</v>
      </c>
      <c r="AH296" s="10">
        <f t="shared" ca="1" si="1436"/>
        <v>0</v>
      </c>
      <c r="AI296" s="10">
        <f t="shared" ca="1" si="1436"/>
        <v>0</v>
      </c>
      <c r="AJ296" s="10">
        <f t="shared" ca="1" si="1436"/>
        <v>0</v>
      </c>
      <c r="AK296" s="10">
        <f t="shared" ca="1" si="1436"/>
        <v>0</v>
      </c>
      <c r="AL296" s="10">
        <f t="shared" ca="1" si="1436"/>
        <v>0</v>
      </c>
      <c r="AM296" s="10">
        <f t="shared" ca="1" si="1436"/>
        <v>0</v>
      </c>
      <c r="AN296" s="10">
        <f t="shared" ca="1" si="1436"/>
        <v>0</v>
      </c>
      <c r="AO296" s="10">
        <f t="shared" ca="1" si="1436"/>
        <v>0</v>
      </c>
      <c r="AP296" s="10">
        <f t="shared" ca="1" si="1436"/>
        <v>0</v>
      </c>
      <c r="AQ296" s="10">
        <f t="shared" ca="1" si="1436"/>
        <v>0</v>
      </c>
      <c r="AR296" s="10">
        <f t="shared" ref="AR296:BW296" ca="1" si="1437" xml:space="preserve"> - COGS_Capitalised</f>
        <v>0</v>
      </c>
      <c r="AS296" s="10">
        <f t="shared" ca="1" si="1437"/>
        <v>0</v>
      </c>
      <c r="AT296" s="10">
        <f t="shared" ca="1" si="1437"/>
        <v>0</v>
      </c>
      <c r="AU296" s="10">
        <f t="shared" ca="1" si="1437"/>
        <v>0</v>
      </c>
      <c r="AV296" s="10">
        <f t="shared" ca="1" si="1437"/>
        <v>0</v>
      </c>
      <c r="AW296" s="10">
        <f t="shared" ca="1" si="1437"/>
        <v>0</v>
      </c>
      <c r="AX296" s="10">
        <f t="shared" ca="1" si="1437"/>
        <v>0</v>
      </c>
      <c r="AY296" s="10">
        <f t="shared" ca="1" si="1437"/>
        <v>0</v>
      </c>
      <c r="AZ296" s="10">
        <f t="shared" ca="1" si="1437"/>
        <v>0</v>
      </c>
      <c r="BA296" s="10">
        <f t="shared" ca="1" si="1437"/>
        <v>0</v>
      </c>
      <c r="BB296" s="10">
        <f t="shared" ca="1" si="1437"/>
        <v>0</v>
      </c>
      <c r="BC296" s="10">
        <f t="shared" ca="1" si="1437"/>
        <v>0</v>
      </c>
      <c r="BD296" s="10">
        <f t="shared" ca="1" si="1437"/>
        <v>0</v>
      </c>
      <c r="BE296" s="10">
        <f t="shared" ca="1" si="1437"/>
        <v>0</v>
      </c>
      <c r="BF296" s="10">
        <f t="shared" ca="1" si="1437"/>
        <v>0</v>
      </c>
      <c r="BG296" s="10">
        <f t="shared" ca="1" si="1437"/>
        <v>0</v>
      </c>
      <c r="BH296" s="10">
        <f t="shared" ca="1" si="1437"/>
        <v>0</v>
      </c>
      <c r="BI296" s="10">
        <f t="shared" ca="1" si="1437"/>
        <v>0</v>
      </c>
      <c r="BJ296" s="10">
        <f t="shared" ca="1" si="1437"/>
        <v>0</v>
      </c>
      <c r="BK296" s="10">
        <f t="shared" ca="1" si="1437"/>
        <v>0</v>
      </c>
      <c r="BL296" s="10">
        <f t="shared" ca="1" si="1437"/>
        <v>0</v>
      </c>
      <c r="BM296" s="10">
        <f t="shared" ca="1" si="1437"/>
        <v>0</v>
      </c>
      <c r="BN296" s="10">
        <f t="shared" ca="1" si="1437"/>
        <v>0</v>
      </c>
      <c r="BO296" s="10">
        <f t="shared" ca="1" si="1437"/>
        <v>0</v>
      </c>
      <c r="BP296" s="10">
        <f t="shared" ca="1" si="1437"/>
        <v>0</v>
      </c>
      <c r="BQ296" s="10">
        <f t="shared" ca="1" si="1437"/>
        <v>0</v>
      </c>
      <c r="BR296" s="10">
        <f t="shared" ca="1" si="1437"/>
        <v>0</v>
      </c>
      <c r="BS296" s="10">
        <f t="shared" ca="1" si="1437"/>
        <v>0</v>
      </c>
      <c r="BT296" s="10">
        <f t="shared" ca="1" si="1437"/>
        <v>0</v>
      </c>
      <c r="BU296" s="10">
        <f t="shared" ca="1" si="1437"/>
        <v>0</v>
      </c>
      <c r="BV296" s="10">
        <f t="shared" ca="1" si="1437"/>
        <v>0</v>
      </c>
      <c r="BW296" s="10">
        <f t="shared" ca="1" si="1437"/>
        <v>0</v>
      </c>
      <c r="BX296" s="10">
        <f t="shared" ref="BX296:CO296" ca="1" si="1438" xml:space="preserve"> - COGS_Capitalised</f>
        <v>0</v>
      </c>
      <c r="BY296" s="10">
        <f t="shared" ca="1" si="1438"/>
        <v>0</v>
      </c>
      <c r="BZ296" s="10">
        <f t="shared" ca="1" si="1438"/>
        <v>0</v>
      </c>
      <c r="CA296" s="10">
        <f t="shared" ca="1" si="1438"/>
        <v>0</v>
      </c>
      <c r="CB296" s="10">
        <f t="shared" ca="1" si="1438"/>
        <v>0</v>
      </c>
      <c r="CC296" s="10">
        <f t="shared" ca="1" si="1438"/>
        <v>0</v>
      </c>
      <c r="CD296" s="10">
        <f t="shared" ca="1" si="1438"/>
        <v>0</v>
      </c>
      <c r="CE296" s="10">
        <f t="shared" ca="1" si="1438"/>
        <v>0</v>
      </c>
      <c r="CF296" s="10">
        <f t="shared" ca="1" si="1438"/>
        <v>0</v>
      </c>
      <c r="CG296" s="10">
        <f t="shared" ca="1" si="1438"/>
        <v>0</v>
      </c>
      <c r="CH296" s="10">
        <f t="shared" ca="1" si="1438"/>
        <v>0</v>
      </c>
      <c r="CI296" s="10">
        <f t="shared" ca="1" si="1438"/>
        <v>0</v>
      </c>
      <c r="CJ296" s="10">
        <f t="shared" ca="1" si="1438"/>
        <v>0</v>
      </c>
      <c r="CK296" s="10">
        <f t="shared" ca="1" si="1438"/>
        <v>0</v>
      </c>
      <c r="CL296" s="10">
        <f t="shared" ca="1" si="1438"/>
        <v>0</v>
      </c>
      <c r="CM296" s="10">
        <f t="shared" ca="1" si="1438"/>
        <v>0</v>
      </c>
      <c r="CN296" s="10">
        <f t="shared" ca="1" si="1438"/>
        <v>0</v>
      </c>
      <c r="CO296" s="10">
        <f t="shared" ca="1" si="1438"/>
        <v>0</v>
      </c>
    </row>
    <row r="297" spans="1:93">
      <c r="A297" s="77"/>
      <c r="B297" s="10"/>
      <c r="C297" s="21" t="s">
        <v>56</v>
      </c>
      <c r="D297" s="10"/>
      <c r="E297" s="62"/>
      <c r="F297" s="11"/>
      <c r="G297" s="134" t="str">
        <f t="shared" si="1428"/>
        <v>тыс. руб.</v>
      </c>
      <c r="H297" s="10"/>
      <c r="I297" s="23">
        <f t="shared" si="1429"/>
        <v>20126.474624454266</v>
      </c>
      <c r="J297" s="10"/>
      <c r="K297" s="10"/>
      <c r="L297" s="52">
        <f t="shared" ref="L297:AQ297" si="1439">-Bank_Fees * Flag_Construction</f>
        <v>0</v>
      </c>
      <c r="M297" s="52">
        <f t="shared" si="1439"/>
        <v>0</v>
      </c>
      <c r="N297" s="52">
        <f t="shared" si="1439"/>
        <v>0</v>
      </c>
      <c r="O297" s="52">
        <f t="shared" si="1439"/>
        <v>0</v>
      </c>
      <c r="P297" s="52">
        <f t="shared" si="1439"/>
        <v>0</v>
      </c>
      <c r="Q297" s="52">
        <f t="shared" si="1439"/>
        <v>0</v>
      </c>
      <c r="R297" s="52">
        <f t="shared" si="1439"/>
        <v>0</v>
      </c>
      <c r="S297" s="52">
        <f t="shared" si="1439"/>
        <v>0</v>
      </c>
      <c r="T297" s="52">
        <f t="shared" si="1439"/>
        <v>3345.7721709148877</v>
      </c>
      <c r="U297" s="52">
        <f t="shared" si="1439"/>
        <v>3168.5750091153564</v>
      </c>
      <c r="V297" s="52">
        <f t="shared" si="1439"/>
        <v>2984.5308552565393</v>
      </c>
      <c r="W297" s="52">
        <f t="shared" si="1439"/>
        <v>2763.5106431876575</v>
      </c>
      <c r="X297" s="52">
        <f t="shared" si="1439"/>
        <v>2505.8352333099388</v>
      </c>
      <c r="Y297" s="52">
        <f t="shared" si="1439"/>
        <v>2041.5022126606673</v>
      </c>
      <c r="Z297" s="52">
        <f t="shared" si="1439"/>
        <v>1589.8751819626839</v>
      </c>
      <c r="AA297" s="52">
        <f t="shared" si="1439"/>
        <v>1111.1429440619313</v>
      </c>
      <c r="AB297" s="52">
        <f t="shared" si="1439"/>
        <v>615.73037398460076</v>
      </c>
      <c r="AC297" s="52">
        <f t="shared" si="1439"/>
        <v>0</v>
      </c>
      <c r="AD297" s="52">
        <f t="shared" si="1439"/>
        <v>0</v>
      </c>
      <c r="AE297" s="52">
        <f t="shared" si="1439"/>
        <v>0</v>
      </c>
      <c r="AF297" s="52">
        <f t="shared" si="1439"/>
        <v>0</v>
      </c>
      <c r="AG297" s="52">
        <f t="shared" si="1439"/>
        <v>0</v>
      </c>
      <c r="AH297" s="52">
        <f t="shared" si="1439"/>
        <v>0</v>
      </c>
      <c r="AI297" s="52">
        <f t="shared" si="1439"/>
        <v>0</v>
      </c>
      <c r="AJ297" s="52">
        <f t="shared" si="1439"/>
        <v>0</v>
      </c>
      <c r="AK297" s="52">
        <f t="shared" si="1439"/>
        <v>0</v>
      </c>
      <c r="AL297" s="52">
        <f t="shared" si="1439"/>
        <v>0</v>
      </c>
      <c r="AM297" s="52">
        <f t="shared" si="1439"/>
        <v>0</v>
      </c>
      <c r="AN297" s="52">
        <f t="shared" si="1439"/>
        <v>0</v>
      </c>
      <c r="AO297" s="52">
        <f t="shared" si="1439"/>
        <v>0</v>
      </c>
      <c r="AP297" s="52">
        <f t="shared" si="1439"/>
        <v>0</v>
      </c>
      <c r="AQ297" s="52">
        <f t="shared" si="1439"/>
        <v>0</v>
      </c>
      <c r="AR297" s="52">
        <f t="shared" ref="AR297:BW297" si="1440">-Bank_Fees * Flag_Construction</f>
        <v>0</v>
      </c>
      <c r="AS297" s="52">
        <f t="shared" si="1440"/>
        <v>0</v>
      </c>
      <c r="AT297" s="52">
        <f t="shared" si="1440"/>
        <v>0</v>
      </c>
      <c r="AU297" s="52">
        <f t="shared" si="1440"/>
        <v>0</v>
      </c>
      <c r="AV297" s="52">
        <f t="shared" si="1440"/>
        <v>0</v>
      </c>
      <c r="AW297" s="52">
        <f t="shared" si="1440"/>
        <v>0</v>
      </c>
      <c r="AX297" s="52">
        <f t="shared" si="1440"/>
        <v>0</v>
      </c>
      <c r="AY297" s="52">
        <f t="shared" si="1440"/>
        <v>0</v>
      </c>
      <c r="AZ297" s="52">
        <f t="shared" si="1440"/>
        <v>0</v>
      </c>
      <c r="BA297" s="52">
        <f t="shared" si="1440"/>
        <v>0</v>
      </c>
      <c r="BB297" s="52">
        <f t="shared" si="1440"/>
        <v>0</v>
      </c>
      <c r="BC297" s="52">
        <f t="shared" si="1440"/>
        <v>0</v>
      </c>
      <c r="BD297" s="52">
        <f t="shared" si="1440"/>
        <v>0</v>
      </c>
      <c r="BE297" s="52">
        <f t="shared" si="1440"/>
        <v>0</v>
      </c>
      <c r="BF297" s="52">
        <f t="shared" si="1440"/>
        <v>0</v>
      </c>
      <c r="BG297" s="52">
        <f t="shared" si="1440"/>
        <v>0</v>
      </c>
      <c r="BH297" s="52">
        <f t="shared" si="1440"/>
        <v>0</v>
      </c>
      <c r="BI297" s="52">
        <f t="shared" si="1440"/>
        <v>0</v>
      </c>
      <c r="BJ297" s="52">
        <f t="shared" si="1440"/>
        <v>0</v>
      </c>
      <c r="BK297" s="52">
        <f t="shared" si="1440"/>
        <v>0</v>
      </c>
      <c r="BL297" s="52">
        <f t="shared" si="1440"/>
        <v>0</v>
      </c>
      <c r="BM297" s="52">
        <f t="shared" si="1440"/>
        <v>0</v>
      </c>
      <c r="BN297" s="52">
        <f t="shared" si="1440"/>
        <v>0</v>
      </c>
      <c r="BO297" s="52">
        <f t="shared" si="1440"/>
        <v>0</v>
      </c>
      <c r="BP297" s="52">
        <f t="shared" si="1440"/>
        <v>0</v>
      </c>
      <c r="BQ297" s="52">
        <f t="shared" si="1440"/>
        <v>0</v>
      </c>
      <c r="BR297" s="52">
        <f t="shared" si="1440"/>
        <v>0</v>
      </c>
      <c r="BS297" s="52">
        <f t="shared" si="1440"/>
        <v>0</v>
      </c>
      <c r="BT297" s="52">
        <f t="shared" si="1440"/>
        <v>0</v>
      </c>
      <c r="BU297" s="52">
        <f t="shared" si="1440"/>
        <v>0</v>
      </c>
      <c r="BV297" s="52">
        <f t="shared" si="1440"/>
        <v>0</v>
      </c>
      <c r="BW297" s="52">
        <f t="shared" si="1440"/>
        <v>0</v>
      </c>
      <c r="BX297" s="52">
        <f t="shared" ref="BX297:CO297" si="1441">-Bank_Fees * Flag_Construction</f>
        <v>0</v>
      </c>
      <c r="BY297" s="52">
        <f t="shared" si="1441"/>
        <v>0</v>
      </c>
      <c r="BZ297" s="52">
        <f t="shared" si="1441"/>
        <v>0</v>
      </c>
      <c r="CA297" s="52">
        <f t="shared" si="1441"/>
        <v>0</v>
      </c>
      <c r="CB297" s="52">
        <f t="shared" si="1441"/>
        <v>0</v>
      </c>
      <c r="CC297" s="52">
        <f t="shared" si="1441"/>
        <v>0</v>
      </c>
      <c r="CD297" s="52">
        <f t="shared" si="1441"/>
        <v>0</v>
      </c>
      <c r="CE297" s="52">
        <f t="shared" si="1441"/>
        <v>0</v>
      </c>
      <c r="CF297" s="52">
        <f t="shared" si="1441"/>
        <v>0</v>
      </c>
      <c r="CG297" s="52">
        <f t="shared" si="1441"/>
        <v>0</v>
      </c>
      <c r="CH297" s="52">
        <f t="shared" si="1441"/>
        <v>0</v>
      </c>
      <c r="CI297" s="52">
        <f t="shared" si="1441"/>
        <v>0</v>
      </c>
      <c r="CJ297" s="52">
        <f t="shared" si="1441"/>
        <v>0</v>
      </c>
      <c r="CK297" s="52">
        <f t="shared" si="1441"/>
        <v>0</v>
      </c>
      <c r="CL297" s="52">
        <f t="shared" si="1441"/>
        <v>0</v>
      </c>
      <c r="CM297" s="52">
        <f t="shared" si="1441"/>
        <v>0</v>
      </c>
      <c r="CN297" s="52">
        <f t="shared" si="1441"/>
        <v>0</v>
      </c>
      <c r="CO297" s="52">
        <f t="shared" si="1441"/>
        <v>0</v>
      </c>
    </row>
    <row r="298" spans="1:93" ht="15" thickBot="1">
      <c r="A298" s="77"/>
      <c r="B298" s="10"/>
      <c r="C298" s="21" t="s">
        <v>57</v>
      </c>
      <c r="D298" s="10"/>
      <c r="E298" s="62"/>
      <c r="F298" s="11"/>
      <c r="G298" s="134" t="str">
        <f t="shared" si="1428"/>
        <v>тыс. руб.</v>
      </c>
      <c r="H298" s="10"/>
      <c r="I298" s="23">
        <f t="shared" ca="1" si="1429"/>
        <v>0</v>
      </c>
      <c r="J298" s="10"/>
      <c r="K298" s="52"/>
      <c r="L298" s="52">
        <f t="shared" ref="L298:AQ298" ca="1" si="1442">-SGA_Capitalised * Flag_Construction</f>
        <v>0</v>
      </c>
      <c r="M298" s="52">
        <f t="shared" ca="1" si="1442"/>
        <v>0</v>
      </c>
      <c r="N298" s="52">
        <f t="shared" ca="1" si="1442"/>
        <v>0</v>
      </c>
      <c r="O298" s="52">
        <f t="shared" ca="1" si="1442"/>
        <v>0</v>
      </c>
      <c r="P298" s="52">
        <f t="shared" ca="1" si="1442"/>
        <v>0</v>
      </c>
      <c r="Q298" s="52">
        <f t="shared" ca="1" si="1442"/>
        <v>0</v>
      </c>
      <c r="R298" s="52">
        <f t="shared" ca="1" si="1442"/>
        <v>0</v>
      </c>
      <c r="S298" s="52">
        <f t="shared" ca="1" si="1442"/>
        <v>0</v>
      </c>
      <c r="T298" s="52">
        <f t="shared" ca="1" si="1442"/>
        <v>0</v>
      </c>
      <c r="U298" s="52">
        <f t="shared" ca="1" si="1442"/>
        <v>0</v>
      </c>
      <c r="V298" s="52">
        <f t="shared" ca="1" si="1442"/>
        <v>0</v>
      </c>
      <c r="W298" s="52">
        <f t="shared" ca="1" si="1442"/>
        <v>0</v>
      </c>
      <c r="X298" s="52">
        <f t="shared" ca="1" si="1442"/>
        <v>0</v>
      </c>
      <c r="Y298" s="52">
        <f t="shared" ca="1" si="1442"/>
        <v>0</v>
      </c>
      <c r="Z298" s="52">
        <f t="shared" ca="1" si="1442"/>
        <v>0</v>
      </c>
      <c r="AA298" s="52">
        <f t="shared" ca="1" si="1442"/>
        <v>0</v>
      </c>
      <c r="AB298" s="52">
        <f t="shared" ca="1" si="1442"/>
        <v>0</v>
      </c>
      <c r="AC298" s="52">
        <f t="shared" ca="1" si="1442"/>
        <v>0</v>
      </c>
      <c r="AD298" s="52">
        <f t="shared" ca="1" si="1442"/>
        <v>0</v>
      </c>
      <c r="AE298" s="52">
        <f t="shared" ca="1" si="1442"/>
        <v>0</v>
      </c>
      <c r="AF298" s="52">
        <f t="shared" ca="1" si="1442"/>
        <v>0</v>
      </c>
      <c r="AG298" s="52">
        <f t="shared" ca="1" si="1442"/>
        <v>0</v>
      </c>
      <c r="AH298" s="52">
        <f t="shared" ca="1" si="1442"/>
        <v>0</v>
      </c>
      <c r="AI298" s="52">
        <f t="shared" ca="1" si="1442"/>
        <v>0</v>
      </c>
      <c r="AJ298" s="52">
        <f t="shared" ca="1" si="1442"/>
        <v>0</v>
      </c>
      <c r="AK298" s="52">
        <f t="shared" ca="1" si="1442"/>
        <v>0</v>
      </c>
      <c r="AL298" s="52">
        <f t="shared" ca="1" si="1442"/>
        <v>0</v>
      </c>
      <c r="AM298" s="52">
        <f t="shared" ca="1" si="1442"/>
        <v>0</v>
      </c>
      <c r="AN298" s="52">
        <f t="shared" ca="1" si="1442"/>
        <v>0</v>
      </c>
      <c r="AO298" s="52">
        <f t="shared" ca="1" si="1442"/>
        <v>0</v>
      </c>
      <c r="AP298" s="52">
        <f t="shared" ca="1" si="1442"/>
        <v>0</v>
      </c>
      <c r="AQ298" s="52">
        <f t="shared" ca="1" si="1442"/>
        <v>0</v>
      </c>
      <c r="AR298" s="52">
        <f t="shared" ref="AR298:BW298" ca="1" si="1443">-SGA_Capitalised * Flag_Construction</f>
        <v>0</v>
      </c>
      <c r="AS298" s="52">
        <f t="shared" ca="1" si="1443"/>
        <v>0</v>
      </c>
      <c r="AT298" s="52">
        <f t="shared" ca="1" si="1443"/>
        <v>0</v>
      </c>
      <c r="AU298" s="52">
        <f t="shared" ca="1" si="1443"/>
        <v>0</v>
      </c>
      <c r="AV298" s="52">
        <f t="shared" ca="1" si="1443"/>
        <v>0</v>
      </c>
      <c r="AW298" s="52">
        <f t="shared" ca="1" si="1443"/>
        <v>0</v>
      </c>
      <c r="AX298" s="52">
        <f t="shared" ca="1" si="1443"/>
        <v>0</v>
      </c>
      <c r="AY298" s="52">
        <f t="shared" ca="1" si="1443"/>
        <v>0</v>
      </c>
      <c r="AZ298" s="52">
        <f t="shared" ca="1" si="1443"/>
        <v>0</v>
      </c>
      <c r="BA298" s="52">
        <f t="shared" ca="1" si="1443"/>
        <v>0</v>
      </c>
      <c r="BB298" s="52">
        <f t="shared" ca="1" si="1443"/>
        <v>0</v>
      </c>
      <c r="BC298" s="52">
        <f t="shared" ca="1" si="1443"/>
        <v>0</v>
      </c>
      <c r="BD298" s="52">
        <f t="shared" ca="1" si="1443"/>
        <v>0</v>
      </c>
      <c r="BE298" s="52">
        <f t="shared" ca="1" si="1443"/>
        <v>0</v>
      </c>
      <c r="BF298" s="52">
        <f t="shared" ca="1" si="1443"/>
        <v>0</v>
      </c>
      <c r="BG298" s="52">
        <f t="shared" ca="1" si="1443"/>
        <v>0</v>
      </c>
      <c r="BH298" s="52">
        <f t="shared" ca="1" si="1443"/>
        <v>0</v>
      </c>
      <c r="BI298" s="52">
        <f t="shared" ca="1" si="1443"/>
        <v>0</v>
      </c>
      <c r="BJ298" s="52">
        <f t="shared" ca="1" si="1443"/>
        <v>0</v>
      </c>
      <c r="BK298" s="52">
        <f t="shared" ca="1" si="1443"/>
        <v>0</v>
      </c>
      <c r="BL298" s="52">
        <f t="shared" ca="1" si="1443"/>
        <v>0</v>
      </c>
      <c r="BM298" s="52">
        <f t="shared" ca="1" si="1443"/>
        <v>0</v>
      </c>
      <c r="BN298" s="52">
        <f t="shared" ca="1" si="1443"/>
        <v>0</v>
      </c>
      <c r="BO298" s="52">
        <f t="shared" ca="1" si="1443"/>
        <v>0</v>
      </c>
      <c r="BP298" s="52">
        <f t="shared" ca="1" si="1443"/>
        <v>0</v>
      </c>
      <c r="BQ298" s="52">
        <f t="shared" ca="1" si="1443"/>
        <v>0</v>
      </c>
      <c r="BR298" s="52">
        <f t="shared" ca="1" si="1443"/>
        <v>0</v>
      </c>
      <c r="BS298" s="52">
        <f t="shared" ca="1" si="1443"/>
        <v>0</v>
      </c>
      <c r="BT298" s="52">
        <f t="shared" ca="1" si="1443"/>
        <v>0</v>
      </c>
      <c r="BU298" s="52">
        <f t="shared" ca="1" si="1443"/>
        <v>0</v>
      </c>
      <c r="BV298" s="52">
        <f t="shared" ca="1" si="1443"/>
        <v>0</v>
      </c>
      <c r="BW298" s="52">
        <f t="shared" ca="1" si="1443"/>
        <v>0</v>
      </c>
      <c r="BX298" s="52">
        <f t="shared" ref="BX298:CO298" ca="1" si="1444">-SGA_Capitalised * Flag_Construction</f>
        <v>0</v>
      </c>
      <c r="BY298" s="52">
        <f t="shared" ca="1" si="1444"/>
        <v>0</v>
      </c>
      <c r="BZ298" s="52">
        <f t="shared" ca="1" si="1444"/>
        <v>0</v>
      </c>
      <c r="CA298" s="52">
        <f t="shared" ca="1" si="1444"/>
        <v>0</v>
      </c>
      <c r="CB298" s="52">
        <f t="shared" ca="1" si="1444"/>
        <v>0</v>
      </c>
      <c r="CC298" s="52">
        <f t="shared" ca="1" si="1444"/>
        <v>0</v>
      </c>
      <c r="CD298" s="52">
        <f t="shared" ca="1" si="1444"/>
        <v>0</v>
      </c>
      <c r="CE298" s="52">
        <f t="shared" ca="1" si="1444"/>
        <v>0</v>
      </c>
      <c r="CF298" s="52">
        <f t="shared" ca="1" si="1444"/>
        <v>0</v>
      </c>
      <c r="CG298" s="52">
        <f t="shared" ca="1" si="1444"/>
        <v>0</v>
      </c>
      <c r="CH298" s="52">
        <f t="shared" ca="1" si="1444"/>
        <v>0</v>
      </c>
      <c r="CI298" s="52">
        <f t="shared" ca="1" si="1444"/>
        <v>0</v>
      </c>
      <c r="CJ298" s="52">
        <f t="shared" ca="1" si="1444"/>
        <v>0</v>
      </c>
      <c r="CK298" s="52">
        <f t="shared" ca="1" si="1444"/>
        <v>0</v>
      </c>
      <c r="CL298" s="52">
        <f t="shared" ca="1" si="1444"/>
        <v>0</v>
      </c>
      <c r="CM298" s="52">
        <f t="shared" ca="1" si="1444"/>
        <v>0</v>
      </c>
      <c r="CN298" s="52">
        <f t="shared" ca="1" si="1444"/>
        <v>0</v>
      </c>
      <c r="CO298" s="52">
        <f t="shared" ca="1" si="1444"/>
        <v>0</v>
      </c>
    </row>
    <row r="299" spans="1:93" ht="15" thickTop="1">
      <c r="A299" s="172"/>
      <c r="B299" s="35"/>
      <c r="C299" s="173" t="s">
        <v>58</v>
      </c>
      <c r="D299" s="49"/>
      <c r="E299" s="49"/>
      <c r="F299" s="49"/>
      <c r="G299" s="159" t="str">
        <f t="shared" si="1428"/>
        <v>тыс. руб.</v>
      </c>
      <c r="H299" s="49"/>
      <c r="I299" s="176">
        <f t="shared" ca="1" si="1429"/>
        <v>255380.07450313671</v>
      </c>
      <c r="J299" s="49"/>
      <c r="K299" s="49"/>
      <c r="L299" s="49">
        <f t="shared" ref="L299:R299" ca="1" si="1445">SUM(L294:L298)</f>
        <v>0</v>
      </c>
      <c r="M299" s="49">
        <f t="shared" ca="1" si="1445"/>
        <v>0</v>
      </c>
      <c r="N299" s="49">
        <f t="shared" ca="1" si="1445"/>
        <v>0</v>
      </c>
      <c r="O299" s="49">
        <f t="shared" ca="1" si="1445"/>
        <v>0</v>
      </c>
      <c r="P299" s="49">
        <f t="shared" ca="1" si="1445"/>
        <v>0</v>
      </c>
      <c r="Q299" s="49">
        <f t="shared" ca="1" si="1445"/>
        <v>0</v>
      </c>
      <c r="R299" s="49">
        <f t="shared" ca="1" si="1445"/>
        <v>0</v>
      </c>
      <c r="S299" s="49">
        <f t="shared" ref="S299" ca="1" si="1446">SUM(S294:S298)</f>
        <v>738.99174247580174</v>
      </c>
      <c r="T299" s="49">
        <f t="shared" ref="T299:CE299" ca="1" si="1447">SUM(T294:T298)</f>
        <v>6580.6543476469105</v>
      </c>
      <c r="U299" s="49">
        <f t="shared" ca="1" si="1447"/>
        <v>10424.828632825871</v>
      </c>
      <c r="V299" s="49">
        <f t="shared" ca="1" si="1447"/>
        <v>14389.449341359013</v>
      </c>
      <c r="W299" s="49">
        <f t="shared" ca="1" si="1447"/>
        <v>18277.447721111192</v>
      </c>
      <c r="X299" s="49">
        <f t="shared" ca="1" si="1447"/>
        <v>24140.856838778414</v>
      </c>
      <c r="Y299" s="49">
        <f t="shared" ca="1" si="1447"/>
        <v>32309.00587388641</v>
      </c>
      <c r="Z299" s="49">
        <f t="shared" ca="1" si="1447"/>
        <v>41003.327342873301</v>
      </c>
      <c r="AA299" s="49">
        <f t="shared" ca="1" si="1447"/>
        <v>49424.775082291708</v>
      </c>
      <c r="AB299" s="49">
        <f t="shared" ca="1" si="1447"/>
        <v>58090.737579888082</v>
      </c>
      <c r="AC299" s="49">
        <f t="shared" ca="1" si="1447"/>
        <v>0</v>
      </c>
      <c r="AD299" s="49">
        <f t="shared" ca="1" si="1447"/>
        <v>0</v>
      </c>
      <c r="AE299" s="49">
        <f t="shared" ca="1" si="1447"/>
        <v>0</v>
      </c>
      <c r="AF299" s="49">
        <f t="shared" ca="1" si="1447"/>
        <v>0</v>
      </c>
      <c r="AG299" s="49">
        <f t="shared" ca="1" si="1447"/>
        <v>0</v>
      </c>
      <c r="AH299" s="49">
        <f t="shared" ca="1" si="1447"/>
        <v>0</v>
      </c>
      <c r="AI299" s="49">
        <f t="shared" ca="1" si="1447"/>
        <v>0</v>
      </c>
      <c r="AJ299" s="49">
        <f t="shared" ca="1" si="1447"/>
        <v>0</v>
      </c>
      <c r="AK299" s="49">
        <f t="shared" ca="1" si="1447"/>
        <v>0</v>
      </c>
      <c r="AL299" s="49">
        <f t="shared" ca="1" si="1447"/>
        <v>0</v>
      </c>
      <c r="AM299" s="49">
        <f t="shared" ca="1" si="1447"/>
        <v>0</v>
      </c>
      <c r="AN299" s="49">
        <f t="shared" ca="1" si="1447"/>
        <v>0</v>
      </c>
      <c r="AO299" s="49">
        <f t="shared" ca="1" si="1447"/>
        <v>0</v>
      </c>
      <c r="AP299" s="49">
        <f t="shared" ca="1" si="1447"/>
        <v>0</v>
      </c>
      <c r="AQ299" s="49">
        <f t="shared" ca="1" si="1447"/>
        <v>0</v>
      </c>
      <c r="AR299" s="49">
        <f t="shared" ca="1" si="1447"/>
        <v>0</v>
      </c>
      <c r="AS299" s="49">
        <f t="shared" ca="1" si="1447"/>
        <v>0</v>
      </c>
      <c r="AT299" s="49">
        <f t="shared" ca="1" si="1447"/>
        <v>0</v>
      </c>
      <c r="AU299" s="49">
        <f t="shared" ca="1" si="1447"/>
        <v>0</v>
      </c>
      <c r="AV299" s="49">
        <f t="shared" ca="1" si="1447"/>
        <v>0</v>
      </c>
      <c r="AW299" s="49">
        <f t="shared" ca="1" si="1447"/>
        <v>0</v>
      </c>
      <c r="AX299" s="49">
        <f t="shared" ca="1" si="1447"/>
        <v>0</v>
      </c>
      <c r="AY299" s="49">
        <f t="shared" ca="1" si="1447"/>
        <v>0</v>
      </c>
      <c r="AZ299" s="49">
        <f t="shared" ca="1" si="1447"/>
        <v>0</v>
      </c>
      <c r="BA299" s="49">
        <f t="shared" ca="1" si="1447"/>
        <v>0</v>
      </c>
      <c r="BB299" s="49">
        <f t="shared" ca="1" si="1447"/>
        <v>0</v>
      </c>
      <c r="BC299" s="49">
        <f t="shared" ca="1" si="1447"/>
        <v>0</v>
      </c>
      <c r="BD299" s="49">
        <f t="shared" ca="1" si="1447"/>
        <v>0</v>
      </c>
      <c r="BE299" s="49">
        <f t="shared" ca="1" si="1447"/>
        <v>0</v>
      </c>
      <c r="BF299" s="49">
        <f t="shared" ca="1" si="1447"/>
        <v>0</v>
      </c>
      <c r="BG299" s="49">
        <f t="shared" ca="1" si="1447"/>
        <v>0</v>
      </c>
      <c r="BH299" s="49">
        <f t="shared" ca="1" si="1447"/>
        <v>0</v>
      </c>
      <c r="BI299" s="49">
        <f t="shared" ca="1" si="1447"/>
        <v>0</v>
      </c>
      <c r="BJ299" s="49">
        <f t="shared" ca="1" si="1447"/>
        <v>0</v>
      </c>
      <c r="BK299" s="49">
        <f t="shared" ca="1" si="1447"/>
        <v>0</v>
      </c>
      <c r="BL299" s="49">
        <f t="shared" ca="1" si="1447"/>
        <v>0</v>
      </c>
      <c r="BM299" s="49">
        <f t="shared" ca="1" si="1447"/>
        <v>0</v>
      </c>
      <c r="BN299" s="49">
        <f t="shared" ca="1" si="1447"/>
        <v>0</v>
      </c>
      <c r="BO299" s="49">
        <f t="shared" ca="1" si="1447"/>
        <v>0</v>
      </c>
      <c r="BP299" s="49">
        <f t="shared" ca="1" si="1447"/>
        <v>0</v>
      </c>
      <c r="BQ299" s="49">
        <f t="shared" ca="1" si="1447"/>
        <v>0</v>
      </c>
      <c r="BR299" s="49">
        <f t="shared" ca="1" si="1447"/>
        <v>0</v>
      </c>
      <c r="BS299" s="49">
        <f t="shared" ca="1" si="1447"/>
        <v>0</v>
      </c>
      <c r="BT299" s="49">
        <f t="shared" ca="1" si="1447"/>
        <v>0</v>
      </c>
      <c r="BU299" s="49">
        <f t="shared" ca="1" si="1447"/>
        <v>0</v>
      </c>
      <c r="BV299" s="49">
        <f t="shared" ca="1" si="1447"/>
        <v>0</v>
      </c>
      <c r="BW299" s="49">
        <f t="shared" ca="1" si="1447"/>
        <v>0</v>
      </c>
      <c r="BX299" s="49">
        <f t="shared" ca="1" si="1447"/>
        <v>0</v>
      </c>
      <c r="BY299" s="49">
        <f t="shared" ca="1" si="1447"/>
        <v>0</v>
      </c>
      <c r="BZ299" s="49">
        <f t="shared" ca="1" si="1447"/>
        <v>0</v>
      </c>
      <c r="CA299" s="49">
        <f t="shared" ca="1" si="1447"/>
        <v>0</v>
      </c>
      <c r="CB299" s="49">
        <f t="shared" ca="1" si="1447"/>
        <v>0</v>
      </c>
      <c r="CC299" s="49">
        <f t="shared" ca="1" si="1447"/>
        <v>0</v>
      </c>
      <c r="CD299" s="49">
        <f t="shared" ca="1" si="1447"/>
        <v>0</v>
      </c>
      <c r="CE299" s="49">
        <f t="shared" ca="1" si="1447"/>
        <v>0</v>
      </c>
      <c r="CF299" s="49">
        <f t="shared" ref="CF299:CO299" ca="1" si="1448">SUM(CF294:CF298)</f>
        <v>0</v>
      </c>
      <c r="CG299" s="49">
        <f t="shared" ca="1" si="1448"/>
        <v>0</v>
      </c>
      <c r="CH299" s="49">
        <f t="shared" ca="1" si="1448"/>
        <v>0</v>
      </c>
      <c r="CI299" s="49">
        <f t="shared" ca="1" si="1448"/>
        <v>0</v>
      </c>
      <c r="CJ299" s="49">
        <f t="shared" ca="1" si="1448"/>
        <v>0</v>
      </c>
      <c r="CK299" s="49">
        <f t="shared" ca="1" si="1448"/>
        <v>0</v>
      </c>
      <c r="CL299" s="49">
        <f t="shared" ca="1" si="1448"/>
        <v>0</v>
      </c>
      <c r="CM299" s="49">
        <f t="shared" ca="1" si="1448"/>
        <v>0</v>
      </c>
      <c r="CN299" s="49">
        <f t="shared" ca="1" si="1448"/>
        <v>0</v>
      </c>
      <c r="CO299" s="49">
        <f t="shared" ca="1" si="1448"/>
        <v>0</v>
      </c>
    </row>
    <row r="300" spans="1:93">
      <c r="A300" s="77"/>
      <c r="B300" s="10"/>
      <c r="C300" s="48"/>
      <c r="D300" s="10"/>
      <c r="E300" s="10"/>
      <c r="F300" s="10"/>
      <c r="G300" s="11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</row>
    <row r="301" spans="1:93">
      <c r="A301" s="77"/>
      <c r="B301" s="10"/>
      <c r="C301" s="50" t="s">
        <v>59</v>
      </c>
      <c r="D301" s="10"/>
      <c r="E301" s="62"/>
      <c r="F301" s="11"/>
      <c r="G301" s="11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</row>
    <row r="302" spans="1:93">
      <c r="A302" s="77"/>
      <c r="B302" s="10"/>
      <c r="C302" s="21" t="s">
        <v>54</v>
      </c>
      <c r="D302" s="10"/>
      <c r="E302" s="62"/>
      <c r="F302" s="11"/>
      <c r="G302" s="134" t="str">
        <f t="shared" ref="G302:G307" si="1449">Monetary_Unit</f>
        <v>тыс. руб.</v>
      </c>
      <c r="H302" s="10"/>
      <c r="I302" s="10"/>
      <c r="J302" s="10"/>
      <c r="K302" s="10"/>
      <c r="L302" s="52">
        <f>SUM($L294:L294)</f>
        <v>0</v>
      </c>
      <c r="M302" s="52">
        <f>SUM($L294:M294)</f>
        <v>0</v>
      </c>
      <c r="N302" s="52">
        <f>SUM($L294:N294)</f>
        <v>0</v>
      </c>
      <c r="O302" s="52">
        <f>SUM($L294:O294)</f>
        <v>0</v>
      </c>
      <c r="P302" s="52">
        <f>SUM($L294:P294)</f>
        <v>0</v>
      </c>
      <c r="Q302" s="52">
        <f>SUM($L294:Q294)</f>
        <v>0</v>
      </c>
      <c r="R302" s="52">
        <f>SUM($L294:R294)</f>
        <v>0</v>
      </c>
      <c r="S302" s="52">
        <f>SUM($L294:S294)</f>
        <v>738.99174247580174</v>
      </c>
      <c r="T302" s="52">
        <f>SUM($L294:T294)</f>
        <v>3973.8739192078242</v>
      </c>
      <c r="U302" s="52">
        <f>SUM($L294:U294)</f>
        <v>11230.127542918339</v>
      </c>
      <c r="V302" s="52">
        <f>SUM($L294:V294)</f>
        <v>22635.046029020814</v>
      </c>
      <c r="W302" s="52">
        <f>SUM($L294:W294)</f>
        <v>38148.983106944346</v>
      </c>
      <c r="X302" s="52">
        <f>SUM($L294:X294)</f>
        <v>59784.004712412818</v>
      </c>
      <c r="Y302" s="52">
        <f>SUM($L294:Y294)</f>
        <v>90051.508373638557</v>
      </c>
      <c r="Z302" s="52">
        <f>SUM($L294:Z294)</f>
        <v>129464.96053454917</v>
      </c>
      <c r="AA302" s="52">
        <f>SUM($L294:AA294)</f>
        <v>177778.59267277893</v>
      </c>
      <c r="AB302" s="52">
        <f>SUM($L294:AB294)</f>
        <v>235253.59987868241</v>
      </c>
      <c r="AC302" s="52">
        <f>SUM($L294:AC294)</f>
        <v>235253.59987868241</v>
      </c>
      <c r="AD302" s="52">
        <f>SUM($L294:AD294)</f>
        <v>235253.59987868241</v>
      </c>
      <c r="AE302" s="52">
        <f>SUM($L294:AE294)</f>
        <v>235253.59987868241</v>
      </c>
      <c r="AF302" s="52">
        <f>SUM($L294:AF294)</f>
        <v>235253.59987868241</v>
      </c>
      <c r="AG302" s="52">
        <f>SUM($L294:AG294)</f>
        <v>235253.59987868241</v>
      </c>
      <c r="AH302" s="52">
        <f>SUM($L294:AH294)</f>
        <v>235253.59987868241</v>
      </c>
      <c r="AI302" s="52">
        <f>SUM($L294:AI294)</f>
        <v>235253.59987868241</v>
      </c>
      <c r="AJ302" s="52">
        <f>SUM($L294:AJ294)</f>
        <v>235253.59987868241</v>
      </c>
      <c r="AK302" s="52">
        <f>SUM($L294:AK294)</f>
        <v>235253.59987868241</v>
      </c>
      <c r="AL302" s="52">
        <f>SUM($L294:AL294)</f>
        <v>235253.59987868241</v>
      </c>
      <c r="AM302" s="52">
        <f>SUM($L294:AM294)</f>
        <v>235253.59987868241</v>
      </c>
      <c r="AN302" s="52">
        <f>SUM($L294:AN294)</f>
        <v>235253.59987868241</v>
      </c>
      <c r="AO302" s="52">
        <f>SUM($L294:AO294)</f>
        <v>235253.59987868241</v>
      </c>
      <c r="AP302" s="52">
        <f>SUM($L294:AP294)</f>
        <v>235253.59987868241</v>
      </c>
      <c r="AQ302" s="52">
        <f>SUM($L294:AQ294)</f>
        <v>235253.59987868241</v>
      </c>
      <c r="AR302" s="52">
        <f>SUM($L294:AR294)</f>
        <v>235253.59987868241</v>
      </c>
      <c r="AS302" s="52">
        <f>SUM($L294:AS294)</f>
        <v>235253.59987868241</v>
      </c>
      <c r="AT302" s="52">
        <f>SUM($L294:AT294)</f>
        <v>235253.59987868241</v>
      </c>
      <c r="AU302" s="52">
        <f>SUM($L294:AU294)</f>
        <v>235253.59987868241</v>
      </c>
      <c r="AV302" s="52">
        <f>SUM($L294:AV294)</f>
        <v>235253.59987868241</v>
      </c>
      <c r="AW302" s="52">
        <f>SUM($L294:AW294)</f>
        <v>235253.59987868241</v>
      </c>
      <c r="AX302" s="52">
        <f>SUM($L294:AX294)</f>
        <v>235253.59987868241</v>
      </c>
      <c r="AY302" s="52">
        <f>SUM($L294:AY294)</f>
        <v>235253.59987868241</v>
      </c>
      <c r="AZ302" s="52">
        <f>SUM($L294:AZ294)</f>
        <v>235253.59987868241</v>
      </c>
      <c r="BA302" s="52">
        <f>SUM($L294:BA294)</f>
        <v>235253.59987868241</v>
      </c>
      <c r="BB302" s="52">
        <f>SUM($L294:BB294)</f>
        <v>235253.59987868241</v>
      </c>
      <c r="BC302" s="52">
        <f>SUM($L294:BC294)</f>
        <v>235253.59987868241</v>
      </c>
      <c r="BD302" s="52">
        <f>SUM($L294:BD294)</f>
        <v>235253.59987868241</v>
      </c>
      <c r="BE302" s="52">
        <f>SUM($L294:BE294)</f>
        <v>235253.59987868241</v>
      </c>
      <c r="BF302" s="52">
        <f>SUM($L294:BF294)</f>
        <v>235253.59987868241</v>
      </c>
      <c r="BG302" s="52">
        <f>SUM($L294:BG294)</f>
        <v>235253.59987868241</v>
      </c>
      <c r="BH302" s="52">
        <f>SUM($L294:BH294)</f>
        <v>235253.59987868241</v>
      </c>
      <c r="BI302" s="52">
        <f>SUM($L294:BI294)</f>
        <v>235253.59987868241</v>
      </c>
      <c r="BJ302" s="52">
        <f>SUM($L294:BJ294)</f>
        <v>235253.59987868241</v>
      </c>
      <c r="BK302" s="52">
        <f>SUM($L294:BK294)</f>
        <v>235253.59987868241</v>
      </c>
      <c r="BL302" s="52">
        <f>SUM($L294:BL294)</f>
        <v>235253.59987868241</v>
      </c>
      <c r="BM302" s="52">
        <f>SUM($L294:BM294)</f>
        <v>235253.59987868241</v>
      </c>
      <c r="BN302" s="52">
        <f>SUM($L294:BN294)</f>
        <v>235253.59987868241</v>
      </c>
      <c r="BO302" s="52">
        <f>SUM($L294:BO294)</f>
        <v>235253.59987868241</v>
      </c>
      <c r="BP302" s="52">
        <f>SUM($L294:BP294)</f>
        <v>235253.59987868241</v>
      </c>
      <c r="BQ302" s="52">
        <f>SUM($L294:BQ294)</f>
        <v>235253.59987868241</v>
      </c>
      <c r="BR302" s="52">
        <f>SUM($L294:BR294)</f>
        <v>235253.59987868241</v>
      </c>
      <c r="BS302" s="52">
        <f>SUM($L294:BS294)</f>
        <v>235253.59987868241</v>
      </c>
      <c r="BT302" s="52">
        <f>SUM($L294:BT294)</f>
        <v>235253.59987868241</v>
      </c>
      <c r="BU302" s="52">
        <f>SUM($L294:BU294)</f>
        <v>235253.59987868241</v>
      </c>
      <c r="BV302" s="52">
        <f>SUM($L294:BV294)</f>
        <v>235253.59987868241</v>
      </c>
      <c r="BW302" s="52">
        <f>SUM($L294:BW294)</f>
        <v>235253.59987868241</v>
      </c>
      <c r="BX302" s="52">
        <f>SUM($L294:BX294)</f>
        <v>235253.59987868241</v>
      </c>
      <c r="BY302" s="52">
        <f>SUM($L294:BY294)</f>
        <v>235253.59987868241</v>
      </c>
      <c r="BZ302" s="52">
        <f>SUM($L294:BZ294)</f>
        <v>235253.59987868241</v>
      </c>
      <c r="CA302" s="52">
        <f>SUM($L294:CA294)</f>
        <v>235253.59987868241</v>
      </c>
      <c r="CB302" s="52">
        <f>SUM($L294:CB294)</f>
        <v>235253.59987868241</v>
      </c>
      <c r="CC302" s="52">
        <f>SUM($L294:CC294)</f>
        <v>235253.59987868241</v>
      </c>
      <c r="CD302" s="52">
        <f>SUM($L294:CD294)</f>
        <v>235253.59987868241</v>
      </c>
      <c r="CE302" s="52">
        <f>SUM($L294:CE294)</f>
        <v>235253.59987868241</v>
      </c>
      <c r="CF302" s="52">
        <f>SUM($L294:CF294)</f>
        <v>235253.59987868241</v>
      </c>
      <c r="CG302" s="52">
        <f>SUM($L294:CG294)</f>
        <v>235253.59987868241</v>
      </c>
      <c r="CH302" s="52">
        <f>SUM($L294:CH294)</f>
        <v>235253.59987868241</v>
      </c>
      <c r="CI302" s="52">
        <f>SUM($L294:CI294)</f>
        <v>235253.59987868241</v>
      </c>
      <c r="CJ302" s="52">
        <f>SUM($L294:CJ294)</f>
        <v>235253.59987868241</v>
      </c>
      <c r="CK302" s="52">
        <f>SUM($L294:CK294)</f>
        <v>235253.59987868241</v>
      </c>
      <c r="CL302" s="52">
        <f>SUM($L294:CL294)</f>
        <v>235253.59987868241</v>
      </c>
      <c r="CM302" s="52">
        <f>SUM($L294:CM294)</f>
        <v>235253.59987868241</v>
      </c>
      <c r="CN302" s="52">
        <f>SUM($L294:CN294)</f>
        <v>235253.59987868241</v>
      </c>
      <c r="CO302" s="52">
        <f>SUM($L294:CO294)</f>
        <v>235253.59987868241</v>
      </c>
    </row>
    <row r="303" spans="1:93">
      <c r="A303" s="77"/>
      <c r="B303" s="10"/>
      <c r="C303" s="21" t="s">
        <v>357</v>
      </c>
      <c r="D303" s="10"/>
      <c r="E303" s="62"/>
      <c r="F303" s="11"/>
      <c r="G303" s="134" t="str">
        <f t="shared" si="1449"/>
        <v>тыс. руб.</v>
      </c>
      <c r="H303" s="10"/>
      <c r="I303" s="10"/>
      <c r="J303" s="10"/>
      <c r="K303" s="10"/>
      <c r="L303" s="52">
        <f>SUM($L295:L295)</f>
        <v>0</v>
      </c>
      <c r="M303" s="52">
        <f>SUM($L295:M295)</f>
        <v>0</v>
      </c>
      <c r="N303" s="52">
        <f>SUM($L295:N295)</f>
        <v>0</v>
      </c>
      <c r="O303" s="52">
        <f>SUM($L295:O295)</f>
        <v>0</v>
      </c>
      <c r="P303" s="52">
        <f>SUM($L295:P295)</f>
        <v>0</v>
      </c>
      <c r="Q303" s="52">
        <f>SUM($L295:Q295)</f>
        <v>0</v>
      </c>
      <c r="R303" s="52">
        <f>SUM($L295:R295)</f>
        <v>0</v>
      </c>
      <c r="S303" s="52">
        <f>SUM($L295:S295)</f>
        <v>0</v>
      </c>
      <c r="T303" s="52">
        <f>SUM($L295:T295)</f>
        <v>0</v>
      </c>
      <c r="U303" s="52">
        <f>SUM($L295:U295)</f>
        <v>0</v>
      </c>
      <c r="V303" s="52">
        <f>SUM($L295:V295)</f>
        <v>0</v>
      </c>
      <c r="W303" s="52">
        <f>SUM($L295:W295)</f>
        <v>0</v>
      </c>
      <c r="X303" s="52">
        <f>SUM($L295:X295)</f>
        <v>0</v>
      </c>
      <c r="Y303" s="52">
        <f>SUM($L295:Y295)</f>
        <v>0</v>
      </c>
      <c r="Z303" s="52">
        <f>SUM($L295:Z295)</f>
        <v>0</v>
      </c>
      <c r="AA303" s="52">
        <f>SUM($L295:AA295)</f>
        <v>0</v>
      </c>
      <c r="AB303" s="52">
        <f>SUM($L295:AB295)</f>
        <v>0</v>
      </c>
      <c r="AC303" s="52">
        <f>SUM($L295:AC295)</f>
        <v>0</v>
      </c>
      <c r="AD303" s="52">
        <f>SUM($L295:AD295)</f>
        <v>0</v>
      </c>
      <c r="AE303" s="52">
        <f>SUM($L295:AE295)</f>
        <v>0</v>
      </c>
      <c r="AF303" s="52">
        <f>SUM($L295:AF295)</f>
        <v>0</v>
      </c>
      <c r="AG303" s="52">
        <f>SUM($L295:AG295)</f>
        <v>0</v>
      </c>
      <c r="AH303" s="52">
        <f>SUM($L295:AH295)</f>
        <v>0</v>
      </c>
      <c r="AI303" s="52">
        <f>SUM($L295:AI295)</f>
        <v>0</v>
      </c>
      <c r="AJ303" s="52">
        <f>SUM($L295:AJ295)</f>
        <v>0</v>
      </c>
      <c r="AK303" s="52">
        <f>SUM($L295:AK295)</f>
        <v>0</v>
      </c>
      <c r="AL303" s="52">
        <f>SUM($L295:AL295)</f>
        <v>0</v>
      </c>
      <c r="AM303" s="52">
        <f>SUM($L295:AM295)</f>
        <v>0</v>
      </c>
      <c r="AN303" s="52">
        <f>SUM($L295:AN295)</f>
        <v>0</v>
      </c>
      <c r="AO303" s="52">
        <f>SUM($L295:AO295)</f>
        <v>0</v>
      </c>
      <c r="AP303" s="52">
        <f>SUM($L295:AP295)</f>
        <v>0</v>
      </c>
      <c r="AQ303" s="52">
        <f>SUM($L295:AQ295)</f>
        <v>0</v>
      </c>
      <c r="AR303" s="52">
        <f>SUM($L295:AR295)</f>
        <v>0</v>
      </c>
      <c r="AS303" s="52">
        <f>SUM($L295:AS295)</f>
        <v>0</v>
      </c>
      <c r="AT303" s="52">
        <f>SUM($L295:AT295)</f>
        <v>0</v>
      </c>
      <c r="AU303" s="52">
        <f>SUM($L295:AU295)</f>
        <v>0</v>
      </c>
      <c r="AV303" s="52">
        <f>SUM($L295:AV295)</f>
        <v>0</v>
      </c>
      <c r="AW303" s="52">
        <f>SUM($L295:AW295)</f>
        <v>0</v>
      </c>
      <c r="AX303" s="52">
        <f>SUM($L295:AX295)</f>
        <v>0</v>
      </c>
      <c r="AY303" s="52">
        <f>SUM($L295:AY295)</f>
        <v>0</v>
      </c>
      <c r="AZ303" s="52">
        <f>SUM($L295:AZ295)</f>
        <v>0</v>
      </c>
      <c r="BA303" s="52">
        <f>SUM($L295:BA295)</f>
        <v>0</v>
      </c>
      <c r="BB303" s="52">
        <f>SUM($L295:BB295)</f>
        <v>0</v>
      </c>
      <c r="BC303" s="52">
        <f>SUM($L295:BC295)</f>
        <v>0</v>
      </c>
      <c r="BD303" s="52">
        <f>SUM($L295:BD295)</f>
        <v>0</v>
      </c>
      <c r="BE303" s="52">
        <f>SUM($L295:BE295)</f>
        <v>0</v>
      </c>
      <c r="BF303" s="52">
        <f>SUM($L295:BF295)</f>
        <v>0</v>
      </c>
      <c r="BG303" s="52">
        <f>SUM($L295:BG295)</f>
        <v>0</v>
      </c>
      <c r="BH303" s="52">
        <f>SUM($L295:BH295)</f>
        <v>0</v>
      </c>
      <c r="BI303" s="52">
        <f>SUM($L295:BI295)</f>
        <v>0</v>
      </c>
      <c r="BJ303" s="52">
        <f>SUM($L295:BJ295)</f>
        <v>0</v>
      </c>
      <c r="BK303" s="52">
        <f>SUM($L295:BK295)</f>
        <v>0</v>
      </c>
      <c r="BL303" s="52">
        <f>SUM($L295:BL295)</f>
        <v>0</v>
      </c>
      <c r="BM303" s="52">
        <f>SUM($L295:BM295)</f>
        <v>0</v>
      </c>
      <c r="BN303" s="52">
        <f>SUM($L295:BN295)</f>
        <v>0</v>
      </c>
      <c r="BO303" s="52">
        <f>SUM($L295:BO295)</f>
        <v>0</v>
      </c>
      <c r="BP303" s="52">
        <f>SUM($L295:BP295)</f>
        <v>0</v>
      </c>
      <c r="BQ303" s="52">
        <f>SUM($L295:BQ295)</f>
        <v>0</v>
      </c>
      <c r="BR303" s="52">
        <f>SUM($L295:BR295)</f>
        <v>0</v>
      </c>
      <c r="BS303" s="52">
        <f>SUM($L295:BS295)</f>
        <v>0</v>
      </c>
      <c r="BT303" s="52">
        <f>SUM($L295:BT295)</f>
        <v>0</v>
      </c>
      <c r="BU303" s="52">
        <f>SUM($L295:BU295)</f>
        <v>0</v>
      </c>
      <c r="BV303" s="52">
        <f>SUM($L295:BV295)</f>
        <v>0</v>
      </c>
      <c r="BW303" s="52">
        <f>SUM($L295:BW295)</f>
        <v>0</v>
      </c>
      <c r="BX303" s="52">
        <f>SUM($L295:BX295)</f>
        <v>0</v>
      </c>
      <c r="BY303" s="52">
        <f>SUM($L295:BY295)</f>
        <v>0</v>
      </c>
      <c r="BZ303" s="52">
        <f>SUM($L295:BZ295)</f>
        <v>0</v>
      </c>
      <c r="CA303" s="52">
        <f>SUM($L295:CA295)</f>
        <v>0</v>
      </c>
      <c r="CB303" s="52">
        <f>SUM($L295:CB295)</f>
        <v>0</v>
      </c>
      <c r="CC303" s="52">
        <f>SUM($L295:CC295)</f>
        <v>0</v>
      </c>
      <c r="CD303" s="52">
        <f>SUM($L295:CD295)</f>
        <v>0</v>
      </c>
      <c r="CE303" s="52">
        <f>SUM($L295:CE295)</f>
        <v>0</v>
      </c>
      <c r="CF303" s="52">
        <f>SUM($L295:CF295)</f>
        <v>0</v>
      </c>
      <c r="CG303" s="52">
        <f>SUM($L295:CG295)</f>
        <v>0</v>
      </c>
      <c r="CH303" s="52">
        <f>SUM($L295:CH295)</f>
        <v>0</v>
      </c>
      <c r="CI303" s="52">
        <f>SUM($L295:CI295)</f>
        <v>0</v>
      </c>
      <c r="CJ303" s="52">
        <f>SUM($L295:CJ295)</f>
        <v>0</v>
      </c>
      <c r="CK303" s="52">
        <f>SUM($L295:CK295)</f>
        <v>0</v>
      </c>
      <c r="CL303" s="52">
        <f>SUM($L295:CL295)</f>
        <v>0</v>
      </c>
      <c r="CM303" s="52">
        <f>SUM($L295:CM295)</f>
        <v>0</v>
      </c>
      <c r="CN303" s="52">
        <f>SUM($L295:CN295)</f>
        <v>0</v>
      </c>
      <c r="CO303" s="52">
        <f>SUM($L295:CO295)</f>
        <v>0</v>
      </c>
    </row>
    <row r="304" spans="1:93">
      <c r="A304" s="77"/>
      <c r="B304" s="10"/>
      <c r="C304" s="21" t="s">
        <v>55</v>
      </c>
      <c r="D304" s="10"/>
      <c r="E304" s="62"/>
      <c r="F304" s="11"/>
      <c r="G304" s="134" t="str">
        <f t="shared" si="1449"/>
        <v>тыс. руб.</v>
      </c>
      <c r="H304" s="10"/>
      <c r="I304" s="10"/>
      <c r="J304" s="10"/>
      <c r="K304" s="10"/>
      <c r="L304" s="52">
        <f ca="1">SUM($L296:L296)</f>
        <v>0</v>
      </c>
      <c r="M304" s="52">
        <f ca="1">SUM($L296:M296)</f>
        <v>0</v>
      </c>
      <c r="N304" s="52">
        <f ca="1">SUM($L296:N296)</f>
        <v>0</v>
      </c>
      <c r="O304" s="52">
        <f ca="1">SUM($L296:O296)</f>
        <v>0</v>
      </c>
      <c r="P304" s="52">
        <f ca="1">SUM($L296:P296)</f>
        <v>0</v>
      </c>
      <c r="Q304" s="52">
        <f ca="1">SUM($L296:Q296)</f>
        <v>0</v>
      </c>
      <c r="R304" s="52">
        <f ca="1">SUM($L296:R296)</f>
        <v>0</v>
      </c>
      <c r="S304" s="52">
        <f ca="1">SUM($L296:S296)</f>
        <v>0</v>
      </c>
      <c r="T304" s="52">
        <f ca="1">SUM($L296:T296)</f>
        <v>0</v>
      </c>
      <c r="U304" s="52">
        <f ca="1">SUM($L296:U296)</f>
        <v>0</v>
      </c>
      <c r="V304" s="52">
        <f ca="1">SUM($L296:V296)</f>
        <v>0</v>
      </c>
      <c r="W304" s="52">
        <f ca="1">SUM($L296:W296)</f>
        <v>0</v>
      </c>
      <c r="X304" s="52">
        <f ca="1">SUM($L296:X296)</f>
        <v>0</v>
      </c>
      <c r="Y304" s="52">
        <f ca="1">SUM($L296:Y296)</f>
        <v>0</v>
      </c>
      <c r="Z304" s="52">
        <f ca="1">SUM($L296:Z296)</f>
        <v>0</v>
      </c>
      <c r="AA304" s="52">
        <f ca="1">SUM($L296:AA296)</f>
        <v>0</v>
      </c>
      <c r="AB304" s="52">
        <f ca="1">SUM($L296:AB296)</f>
        <v>0</v>
      </c>
      <c r="AC304" s="52">
        <f ca="1">SUM($L296:AC296)</f>
        <v>0</v>
      </c>
      <c r="AD304" s="52">
        <f ca="1">SUM($L296:AD296)</f>
        <v>0</v>
      </c>
      <c r="AE304" s="52">
        <f ca="1">SUM($L296:AE296)</f>
        <v>0</v>
      </c>
      <c r="AF304" s="52">
        <f ca="1">SUM($L296:AF296)</f>
        <v>0</v>
      </c>
      <c r="AG304" s="52">
        <f ca="1">SUM($L296:AG296)</f>
        <v>0</v>
      </c>
      <c r="AH304" s="52">
        <f ca="1">SUM($L296:AH296)</f>
        <v>0</v>
      </c>
      <c r="AI304" s="52">
        <f ca="1">SUM($L296:AI296)</f>
        <v>0</v>
      </c>
      <c r="AJ304" s="52">
        <f ca="1">SUM($L296:AJ296)</f>
        <v>0</v>
      </c>
      <c r="AK304" s="52">
        <f ca="1">SUM($L296:AK296)</f>
        <v>0</v>
      </c>
      <c r="AL304" s="52">
        <f ca="1">SUM($L296:AL296)</f>
        <v>0</v>
      </c>
      <c r="AM304" s="52">
        <f ca="1">SUM($L296:AM296)</f>
        <v>0</v>
      </c>
      <c r="AN304" s="52">
        <f ca="1">SUM($L296:AN296)</f>
        <v>0</v>
      </c>
      <c r="AO304" s="52">
        <f ca="1">SUM($L296:AO296)</f>
        <v>0</v>
      </c>
      <c r="AP304" s="52">
        <f ca="1">SUM($L296:AP296)</f>
        <v>0</v>
      </c>
      <c r="AQ304" s="52">
        <f ca="1">SUM($L296:AQ296)</f>
        <v>0</v>
      </c>
      <c r="AR304" s="52">
        <f ca="1">SUM($L296:AR296)</f>
        <v>0</v>
      </c>
      <c r="AS304" s="52">
        <f ca="1">SUM($L296:AS296)</f>
        <v>0</v>
      </c>
      <c r="AT304" s="52">
        <f ca="1">SUM($L296:AT296)</f>
        <v>0</v>
      </c>
      <c r="AU304" s="52">
        <f ca="1">SUM($L296:AU296)</f>
        <v>0</v>
      </c>
      <c r="AV304" s="52">
        <f ca="1">SUM($L296:AV296)</f>
        <v>0</v>
      </c>
      <c r="AW304" s="52">
        <f ca="1">SUM($L296:AW296)</f>
        <v>0</v>
      </c>
      <c r="AX304" s="52">
        <f ca="1">SUM($L296:AX296)</f>
        <v>0</v>
      </c>
      <c r="AY304" s="52">
        <f ca="1">SUM($L296:AY296)</f>
        <v>0</v>
      </c>
      <c r="AZ304" s="52">
        <f ca="1">SUM($L296:AZ296)</f>
        <v>0</v>
      </c>
      <c r="BA304" s="52">
        <f ca="1">SUM($L296:BA296)</f>
        <v>0</v>
      </c>
      <c r="BB304" s="52">
        <f ca="1">SUM($L296:BB296)</f>
        <v>0</v>
      </c>
      <c r="BC304" s="52">
        <f ca="1">SUM($L296:BC296)</f>
        <v>0</v>
      </c>
      <c r="BD304" s="52">
        <f ca="1">SUM($L296:BD296)</f>
        <v>0</v>
      </c>
      <c r="BE304" s="52">
        <f ca="1">SUM($L296:BE296)</f>
        <v>0</v>
      </c>
      <c r="BF304" s="52">
        <f ca="1">SUM($L296:BF296)</f>
        <v>0</v>
      </c>
      <c r="BG304" s="52">
        <f ca="1">SUM($L296:BG296)</f>
        <v>0</v>
      </c>
      <c r="BH304" s="52">
        <f ca="1">SUM($L296:BH296)</f>
        <v>0</v>
      </c>
      <c r="BI304" s="52">
        <f ca="1">SUM($L296:BI296)</f>
        <v>0</v>
      </c>
      <c r="BJ304" s="52">
        <f ca="1">SUM($L296:BJ296)</f>
        <v>0</v>
      </c>
      <c r="BK304" s="52">
        <f ca="1">SUM($L296:BK296)</f>
        <v>0</v>
      </c>
      <c r="BL304" s="52">
        <f ca="1">SUM($L296:BL296)</f>
        <v>0</v>
      </c>
      <c r="BM304" s="52">
        <f ca="1">SUM($L296:BM296)</f>
        <v>0</v>
      </c>
      <c r="BN304" s="52">
        <f ca="1">SUM($L296:BN296)</f>
        <v>0</v>
      </c>
      <c r="BO304" s="52">
        <f ca="1">SUM($L296:BO296)</f>
        <v>0</v>
      </c>
      <c r="BP304" s="52">
        <f ca="1">SUM($L296:BP296)</f>
        <v>0</v>
      </c>
      <c r="BQ304" s="52">
        <f ca="1">SUM($L296:BQ296)</f>
        <v>0</v>
      </c>
      <c r="BR304" s="52">
        <f ca="1">SUM($L296:BR296)</f>
        <v>0</v>
      </c>
      <c r="BS304" s="52">
        <f ca="1">SUM($L296:BS296)</f>
        <v>0</v>
      </c>
      <c r="BT304" s="52">
        <f ca="1">SUM($L296:BT296)</f>
        <v>0</v>
      </c>
      <c r="BU304" s="52">
        <f ca="1">SUM($L296:BU296)</f>
        <v>0</v>
      </c>
      <c r="BV304" s="52">
        <f ca="1">SUM($L296:BV296)</f>
        <v>0</v>
      </c>
      <c r="BW304" s="52">
        <f ca="1">SUM($L296:BW296)</f>
        <v>0</v>
      </c>
      <c r="BX304" s="52">
        <f ca="1">SUM($L296:BX296)</f>
        <v>0</v>
      </c>
      <c r="BY304" s="52">
        <f ca="1">SUM($L296:BY296)</f>
        <v>0</v>
      </c>
      <c r="BZ304" s="52">
        <f ca="1">SUM($L296:BZ296)</f>
        <v>0</v>
      </c>
      <c r="CA304" s="52">
        <f ca="1">SUM($L296:CA296)</f>
        <v>0</v>
      </c>
      <c r="CB304" s="52">
        <f ca="1">SUM($L296:CB296)</f>
        <v>0</v>
      </c>
      <c r="CC304" s="52">
        <f ca="1">SUM($L296:CC296)</f>
        <v>0</v>
      </c>
      <c r="CD304" s="52">
        <f ca="1">SUM($L296:CD296)</f>
        <v>0</v>
      </c>
      <c r="CE304" s="52">
        <f ca="1">SUM($L296:CE296)</f>
        <v>0</v>
      </c>
      <c r="CF304" s="52">
        <f ca="1">SUM($L296:CF296)</f>
        <v>0</v>
      </c>
      <c r="CG304" s="52">
        <f ca="1">SUM($L296:CG296)</f>
        <v>0</v>
      </c>
      <c r="CH304" s="52">
        <f ca="1">SUM($L296:CH296)</f>
        <v>0</v>
      </c>
      <c r="CI304" s="52">
        <f ca="1">SUM($L296:CI296)</f>
        <v>0</v>
      </c>
      <c r="CJ304" s="52">
        <f ca="1">SUM($L296:CJ296)</f>
        <v>0</v>
      </c>
      <c r="CK304" s="52">
        <f ca="1">SUM($L296:CK296)</f>
        <v>0</v>
      </c>
      <c r="CL304" s="52">
        <f ca="1">SUM($L296:CL296)</f>
        <v>0</v>
      </c>
      <c r="CM304" s="52">
        <f ca="1">SUM($L296:CM296)</f>
        <v>0</v>
      </c>
      <c r="CN304" s="52">
        <f ca="1">SUM($L296:CN296)</f>
        <v>0</v>
      </c>
      <c r="CO304" s="52">
        <f ca="1">SUM($L296:CO296)</f>
        <v>0</v>
      </c>
    </row>
    <row r="305" spans="1:93">
      <c r="A305" s="77"/>
      <c r="B305" s="10"/>
      <c r="C305" s="21" t="s">
        <v>56</v>
      </c>
      <c r="D305" s="10"/>
      <c r="E305" s="62"/>
      <c r="F305" s="11"/>
      <c r="G305" s="134" t="str">
        <f t="shared" si="1449"/>
        <v>тыс. руб.</v>
      </c>
      <c r="H305" s="10"/>
      <c r="I305" s="10"/>
      <c r="J305" s="10"/>
      <c r="K305" s="10"/>
      <c r="L305" s="52">
        <f>SUM($L297:L297)</f>
        <v>0</v>
      </c>
      <c r="M305" s="52">
        <f>SUM($L297:M297)</f>
        <v>0</v>
      </c>
      <c r="N305" s="52">
        <f>SUM($L297:N297)</f>
        <v>0</v>
      </c>
      <c r="O305" s="52">
        <f>SUM($L297:O297)</f>
        <v>0</v>
      </c>
      <c r="P305" s="52">
        <f>SUM($L297:P297)</f>
        <v>0</v>
      </c>
      <c r="Q305" s="52">
        <f>SUM($L297:Q297)</f>
        <v>0</v>
      </c>
      <c r="R305" s="52">
        <f>SUM($L297:R297)</f>
        <v>0</v>
      </c>
      <c r="S305" s="52">
        <f>SUM($L297:S297)</f>
        <v>0</v>
      </c>
      <c r="T305" s="52">
        <f>SUM($L297:T297)</f>
        <v>3345.7721709148877</v>
      </c>
      <c r="U305" s="52">
        <f>SUM($L297:U297)</f>
        <v>6514.3471800302441</v>
      </c>
      <c r="V305" s="52">
        <f>SUM($L297:V297)</f>
        <v>9498.8780352867834</v>
      </c>
      <c r="W305" s="52">
        <f>SUM($L297:W297)</f>
        <v>12262.388678474441</v>
      </c>
      <c r="X305" s="52">
        <f>SUM($L297:X297)</f>
        <v>14768.22391178438</v>
      </c>
      <c r="Y305" s="52">
        <f>SUM($L297:Y297)</f>
        <v>16809.726124445049</v>
      </c>
      <c r="Z305" s="52">
        <f>SUM($L297:Z297)</f>
        <v>18399.601306407734</v>
      </c>
      <c r="AA305" s="52">
        <f>SUM($L297:AA297)</f>
        <v>19510.744250469666</v>
      </c>
      <c r="AB305" s="52">
        <f>SUM($L297:AB297)</f>
        <v>20126.474624454266</v>
      </c>
      <c r="AC305" s="52">
        <f>SUM($L297:AC297)</f>
        <v>20126.474624454266</v>
      </c>
      <c r="AD305" s="52">
        <f>SUM($L297:AD297)</f>
        <v>20126.474624454266</v>
      </c>
      <c r="AE305" s="52">
        <f>SUM($L297:AE297)</f>
        <v>20126.474624454266</v>
      </c>
      <c r="AF305" s="52">
        <f>SUM($L297:AF297)</f>
        <v>20126.474624454266</v>
      </c>
      <c r="AG305" s="52">
        <f>SUM($L297:AG297)</f>
        <v>20126.474624454266</v>
      </c>
      <c r="AH305" s="52">
        <f>SUM($L297:AH297)</f>
        <v>20126.474624454266</v>
      </c>
      <c r="AI305" s="52">
        <f>SUM($L297:AI297)</f>
        <v>20126.474624454266</v>
      </c>
      <c r="AJ305" s="52">
        <f>SUM($L297:AJ297)</f>
        <v>20126.474624454266</v>
      </c>
      <c r="AK305" s="52">
        <f>SUM($L297:AK297)</f>
        <v>20126.474624454266</v>
      </c>
      <c r="AL305" s="52">
        <f>SUM($L297:AL297)</f>
        <v>20126.474624454266</v>
      </c>
      <c r="AM305" s="52">
        <f>SUM($L297:AM297)</f>
        <v>20126.474624454266</v>
      </c>
      <c r="AN305" s="52">
        <f>SUM($L297:AN297)</f>
        <v>20126.474624454266</v>
      </c>
      <c r="AO305" s="52">
        <f>SUM($L297:AO297)</f>
        <v>20126.474624454266</v>
      </c>
      <c r="AP305" s="52">
        <f>SUM($L297:AP297)</f>
        <v>20126.474624454266</v>
      </c>
      <c r="AQ305" s="52">
        <f>SUM($L297:AQ297)</f>
        <v>20126.474624454266</v>
      </c>
      <c r="AR305" s="52">
        <f>SUM($L297:AR297)</f>
        <v>20126.474624454266</v>
      </c>
      <c r="AS305" s="52">
        <f>SUM($L297:AS297)</f>
        <v>20126.474624454266</v>
      </c>
      <c r="AT305" s="52">
        <f>SUM($L297:AT297)</f>
        <v>20126.474624454266</v>
      </c>
      <c r="AU305" s="52">
        <f>SUM($L297:AU297)</f>
        <v>20126.474624454266</v>
      </c>
      <c r="AV305" s="52">
        <f>SUM($L297:AV297)</f>
        <v>20126.474624454266</v>
      </c>
      <c r="AW305" s="52">
        <f>SUM($L297:AW297)</f>
        <v>20126.474624454266</v>
      </c>
      <c r="AX305" s="52">
        <f>SUM($L297:AX297)</f>
        <v>20126.474624454266</v>
      </c>
      <c r="AY305" s="52">
        <f>SUM($L297:AY297)</f>
        <v>20126.474624454266</v>
      </c>
      <c r="AZ305" s="52">
        <f>SUM($L297:AZ297)</f>
        <v>20126.474624454266</v>
      </c>
      <c r="BA305" s="52">
        <f>SUM($L297:BA297)</f>
        <v>20126.474624454266</v>
      </c>
      <c r="BB305" s="52">
        <f>SUM($L297:BB297)</f>
        <v>20126.474624454266</v>
      </c>
      <c r="BC305" s="52">
        <f>SUM($L297:BC297)</f>
        <v>20126.474624454266</v>
      </c>
      <c r="BD305" s="52">
        <f>SUM($L297:BD297)</f>
        <v>20126.474624454266</v>
      </c>
      <c r="BE305" s="52">
        <f>SUM($L297:BE297)</f>
        <v>20126.474624454266</v>
      </c>
      <c r="BF305" s="52">
        <f>SUM($L297:BF297)</f>
        <v>20126.474624454266</v>
      </c>
      <c r="BG305" s="52">
        <f>SUM($L297:BG297)</f>
        <v>20126.474624454266</v>
      </c>
      <c r="BH305" s="52">
        <f>SUM($L297:BH297)</f>
        <v>20126.474624454266</v>
      </c>
      <c r="BI305" s="52">
        <f>SUM($L297:BI297)</f>
        <v>20126.474624454266</v>
      </c>
      <c r="BJ305" s="52">
        <f>SUM($L297:BJ297)</f>
        <v>20126.474624454266</v>
      </c>
      <c r="BK305" s="52">
        <f>SUM($L297:BK297)</f>
        <v>20126.474624454266</v>
      </c>
      <c r="BL305" s="52">
        <f>SUM($L297:BL297)</f>
        <v>20126.474624454266</v>
      </c>
      <c r="BM305" s="52">
        <f>SUM($L297:BM297)</f>
        <v>20126.474624454266</v>
      </c>
      <c r="BN305" s="52">
        <f>SUM($L297:BN297)</f>
        <v>20126.474624454266</v>
      </c>
      <c r="BO305" s="52">
        <f>SUM($L297:BO297)</f>
        <v>20126.474624454266</v>
      </c>
      <c r="BP305" s="52">
        <f>SUM($L297:BP297)</f>
        <v>20126.474624454266</v>
      </c>
      <c r="BQ305" s="52">
        <f>SUM($L297:BQ297)</f>
        <v>20126.474624454266</v>
      </c>
      <c r="BR305" s="52">
        <f>SUM($L297:BR297)</f>
        <v>20126.474624454266</v>
      </c>
      <c r="BS305" s="52">
        <f>SUM($L297:BS297)</f>
        <v>20126.474624454266</v>
      </c>
      <c r="BT305" s="52">
        <f>SUM($L297:BT297)</f>
        <v>20126.474624454266</v>
      </c>
      <c r="BU305" s="52">
        <f>SUM($L297:BU297)</f>
        <v>20126.474624454266</v>
      </c>
      <c r="BV305" s="52">
        <f>SUM($L297:BV297)</f>
        <v>20126.474624454266</v>
      </c>
      <c r="BW305" s="52">
        <f>SUM($L297:BW297)</f>
        <v>20126.474624454266</v>
      </c>
      <c r="BX305" s="52">
        <f>SUM($L297:BX297)</f>
        <v>20126.474624454266</v>
      </c>
      <c r="BY305" s="52">
        <f>SUM($L297:BY297)</f>
        <v>20126.474624454266</v>
      </c>
      <c r="BZ305" s="52">
        <f>SUM($L297:BZ297)</f>
        <v>20126.474624454266</v>
      </c>
      <c r="CA305" s="52">
        <f>SUM($L297:CA297)</f>
        <v>20126.474624454266</v>
      </c>
      <c r="CB305" s="52">
        <f>SUM($L297:CB297)</f>
        <v>20126.474624454266</v>
      </c>
      <c r="CC305" s="52">
        <f>SUM($L297:CC297)</f>
        <v>20126.474624454266</v>
      </c>
      <c r="CD305" s="52">
        <f>SUM($L297:CD297)</f>
        <v>20126.474624454266</v>
      </c>
      <c r="CE305" s="52">
        <f>SUM($L297:CE297)</f>
        <v>20126.474624454266</v>
      </c>
      <c r="CF305" s="52">
        <f>SUM($L297:CF297)</f>
        <v>20126.474624454266</v>
      </c>
      <c r="CG305" s="52">
        <f>SUM($L297:CG297)</f>
        <v>20126.474624454266</v>
      </c>
      <c r="CH305" s="52">
        <f>SUM($L297:CH297)</f>
        <v>20126.474624454266</v>
      </c>
      <c r="CI305" s="52">
        <f>SUM($L297:CI297)</f>
        <v>20126.474624454266</v>
      </c>
      <c r="CJ305" s="52">
        <f>SUM($L297:CJ297)</f>
        <v>20126.474624454266</v>
      </c>
      <c r="CK305" s="52">
        <f>SUM($L297:CK297)</f>
        <v>20126.474624454266</v>
      </c>
      <c r="CL305" s="52">
        <f>SUM($L297:CL297)</f>
        <v>20126.474624454266</v>
      </c>
      <c r="CM305" s="52">
        <f>SUM($L297:CM297)</f>
        <v>20126.474624454266</v>
      </c>
      <c r="CN305" s="52">
        <f>SUM($L297:CN297)</f>
        <v>20126.474624454266</v>
      </c>
      <c r="CO305" s="52">
        <f>SUM($L297:CO297)</f>
        <v>20126.474624454266</v>
      </c>
    </row>
    <row r="306" spans="1:93" ht="15" thickBot="1">
      <c r="A306" s="77"/>
      <c r="B306" s="10"/>
      <c r="C306" s="21" t="s">
        <v>57</v>
      </c>
      <c r="D306" s="10"/>
      <c r="E306" s="62"/>
      <c r="F306" s="11"/>
      <c r="G306" s="134" t="str">
        <f t="shared" si="1449"/>
        <v>тыс. руб.</v>
      </c>
      <c r="H306" s="10"/>
      <c r="I306" s="10"/>
      <c r="J306" s="10"/>
      <c r="K306" s="10"/>
      <c r="L306" s="52">
        <f ca="1">SUM($L298:L298)</f>
        <v>0</v>
      </c>
      <c r="M306" s="52">
        <f ca="1">SUM($L298:M298)</f>
        <v>0</v>
      </c>
      <c r="N306" s="52">
        <f ca="1">SUM($L298:N298)</f>
        <v>0</v>
      </c>
      <c r="O306" s="52">
        <f ca="1">SUM($L298:O298)</f>
        <v>0</v>
      </c>
      <c r="P306" s="52">
        <f ca="1">SUM($L298:P298)</f>
        <v>0</v>
      </c>
      <c r="Q306" s="52">
        <f ca="1">SUM($L298:Q298)</f>
        <v>0</v>
      </c>
      <c r="R306" s="52">
        <f ca="1">SUM($L298:R298)</f>
        <v>0</v>
      </c>
      <c r="S306" s="52">
        <f ca="1">SUM($L298:S298)</f>
        <v>0</v>
      </c>
      <c r="T306" s="52">
        <f ca="1">SUM($L298:T298)</f>
        <v>0</v>
      </c>
      <c r="U306" s="52">
        <f ca="1">SUM($L298:U298)</f>
        <v>0</v>
      </c>
      <c r="V306" s="52">
        <f ca="1">SUM($L298:V298)</f>
        <v>0</v>
      </c>
      <c r="W306" s="52">
        <f ca="1">SUM($L298:W298)</f>
        <v>0</v>
      </c>
      <c r="X306" s="52">
        <f ca="1">SUM($L298:X298)</f>
        <v>0</v>
      </c>
      <c r="Y306" s="52">
        <f ca="1">SUM($L298:Y298)</f>
        <v>0</v>
      </c>
      <c r="Z306" s="52">
        <f ca="1">SUM($L298:Z298)</f>
        <v>0</v>
      </c>
      <c r="AA306" s="52">
        <f ca="1">SUM($L298:AA298)</f>
        <v>0</v>
      </c>
      <c r="AB306" s="52">
        <f ca="1">SUM($L298:AB298)</f>
        <v>0</v>
      </c>
      <c r="AC306" s="52">
        <f ca="1">SUM($L298:AC298)</f>
        <v>0</v>
      </c>
      <c r="AD306" s="52">
        <f ca="1">SUM($L298:AD298)</f>
        <v>0</v>
      </c>
      <c r="AE306" s="52">
        <f ca="1">SUM($L298:AE298)</f>
        <v>0</v>
      </c>
      <c r="AF306" s="52">
        <f ca="1">SUM($L298:AF298)</f>
        <v>0</v>
      </c>
      <c r="AG306" s="52">
        <f ca="1">SUM($L298:AG298)</f>
        <v>0</v>
      </c>
      <c r="AH306" s="52">
        <f ca="1">SUM($L298:AH298)</f>
        <v>0</v>
      </c>
      <c r="AI306" s="52">
        <f ca="1">SUM($L298:AI298)</f>
        <v>0</v>
      </c>
      <c r="AJ306" s="52">
        <f ca="1">SUM($L298:AJ298)</f>
        <v>0</v>
      </c>
      <c r="AK306" s="52">
        <f ca="1">SUM($L298:AK298)</f>
        <v>0</v>
      </c>
      <c r="AL306" s="52">
        <f ca="1">SUM($L298:AL298)</f>
        <v>0</v>
      </c>
      <c r="AM306" s="52">
        <f ca="1">SUM($L298:AM298)</f>
        <v>0</v>
      </c>
      <c r="AN306" s="52">
        <f ca="1">SUM($L298:AN298)</f>
        <v>0</v>
      </c>
      <c r="AO306" s="52">
        <f ca="1">SUM($L298:AO298)</f>
        <v>0</v>
      </c>
      <c r="AP306" s="52">
        <f ca="1">SUM($L298:AP298)</f>
        <v>0</v>
      </c>
      <c r="AQ306" s="52">
        <f ca="1">SUM($L298:AQ298)</f>
        <v>0</v>
      </c>
      <c r="AR306" s="52">
        <f ca="1">SUM($L298:AR298)</f>
        <v>0</v>
      </c>
      <c r="AS306" s="52">
        <f ca="1">SUM($L298:AS298)</f>
        <v>0</v>
      </c>
      <c r="AT306" s="52">
        <f ca="1">SUM($L298:AT298)</f>
        <v>0</v>
      </c>
      <c r="AU306" s="52">
        <f ca="1">SUM($L298:AU298)</f>
        <v>0</v>
      </c>
      <c r="AV306" s="52">
        <f ca="1">SUM($L298:AV298)</f>
        <v>0</v>
      </c>
      <c r="AW306" s="52">
        <f ca="1">SUM($L298:AW298)</f>
        <v>0</v>
      </c>
      <c r="AX306" s="52">
        <f ca="1">SUM($L298:AX298)</f>
        <v>0</v>
      </c>
      <c r="AY306" s="52">
        <f ca="1">SUM($L298:AY298)</f>
        <v>0</v>
      </c>
      <c r="AZ306" s="52">
        <f ca="1">SUM($L298:AZ298)</f>
        <v>0</v>
      </c>
      <c r="BA306" s="52">
        <f ca="1">SUM($L298:BA298)</f>
        <v>0</v>
      </c>
      <c r="BB306" s="52">
        <f ca="1">SUM($L298:BB298)</f>
        <v>0</v>
      </c>
      <c r="BC306" s="52">
        <f ca="1">SUM($L298:BC298)</f>
        <v>0</v>
      </c>
      <c r="BD306" s="52">
        <f ca="1">SUM($L298:BD298)</f>
        <v>0</v>
      </c>
      <c r="BE306" s="52">
        <f ca="1">SUM($L298:BE298)</f>
        <v>0</v>
      </c>
      <c r="BF306" s="52">
        <f ca="1">SUM($L298:BF298)</f>
        <v>0</v>
      </c>
      <c r="BG306" s="52">
        <f ca="1">SUM($L298:BG298)</f>
        <v>0</v>
      </c>
      <c r="BH306" s="52">
        <f ca="1">SUM($L298:BH298)</f>
        <v>0</v>
      </c>
      <c r="BI306" s="52">
        <f ca="1">SUM($L298:BI298)</f>
        <v>0</v>
      </c>
      <c r="BJ306" s="52">
        <f ca="1">SUM($L298:BJ298)</f>
        <v>0</v>
      </c>
      <c r="BK306" s="52">
        <f ca="1">SUM($L298:BK298)</f>
        <v>0</v>
      </c>
      <c r="BL306" s="52">
        <f ca="1">SUM($L298:BL298)</f>
        <v>0</v>
      </c>
      <c r="BM306" s="52">
        <f ca="1">SUM($L298:BM298)</f>
        <v>0</v>
      </c>
      <c r="BN306" s="52">
        <f ca="1">SUM($L298:BN298)</f>
        <v>0</v>
      </c>
      <c r="BO306" s="52">
        <f ca="1">SUM($L298:BO298)</f>
        <v>0</v>
      </c>
      <c r="BP306" s="52">
        <f ca="1">SUM($L298:BP298)</f>
        <v>0</v>
      </c>
      <c r="BQ306" s="52">
        <f ca="1">SUM($L298:BQ298)</f>
        <v>0</v>
      </c>
      <c r="BR306" s="52">
        <f ca="1">SUM($L298:BR298)</f>
        <v>0</v>
      </c>
      <c r="BS306" s="52">
        <f ca="1">SUM($L298:BS298)</f>
        <v>0</v>
      </c>
      <c r="BT306" s="52">
        <f ca="1">SUM($L298:BT298)</f>
        <v>0</v>
      </c>
      <c r="BU306" s="52">
        <f ca="1">SUM($L298:BU298)</f>
        <v>0</v>
      </c>
      <c r="BV306" s="52">
        <f ca="1">SUM($L298:BV298)</f>
        <v>0</v>
      </c>
      <c r="BW306" s="52">
        <f ca="1">SUM($L298:BW298)</f>
        <v>0</v>
      </c>
      <c r="BX306" s="52">
        <f ca="1">SUM($L298:BX298)</f>
        <v>0</v>
      </c>
      <c r="BY306" s="52">
        <f ca="1">SUM($L298:BY298)</f>
        <v>0</v>
      </c>
      <c r="BZ306" s="52">
        <f ca="1">SUM($L298:BZ298)</f>
        <v>0</v>
      </c>
      <c r="CA306" s="52">
        <f ca="1">SUM($L298:CA298)</f>
        <v>0</v>
      </c>
      <c r="CB306" s="52">
        <f ca="1">SUM($L298:CB298)</f>
        <v>0</v>
      </c>
      <c r="CC306" s="52">
        <f ca="1">SUM($L298:CC298)</f>
        <v>0</v>
      </c>
      <c r="CD306" s="52">
        <f ca="1">SUM($L298:CD298)</f>
        <v>0</v>
      </c>
      <c r="CE306" s="52">
        <f ca="1">SUM($L298:CE298)</f>
        <v>0</v>
      </c>
      <c r="CF306" s="52">
        <f ca="1">SUM($L298:CF298)</f>
        <v>0</v>
      </c>
      <c r="CG306" s="52">
        <f ca="1">SUM($L298:CG298)</f>
        <v>0</v>
      </c>
      <c r="CH306" s="52">
        <f ca="1">SUM($L298:CH298)</f>
        <v>0</v>
      </c>
      <c r="CI306" s="52">
        <f ca="1">SUM($L298:CI298)</f>
        <v>0</v>
      </c>
      <c r="CJ306" s="52">
        <f ca="1">SUM($L298:CJ298)</f>
        <v>0</v>
      </c>
      <c r="CK306" s="52">
        <f ca="1">SUM($L298:CK298)</f>
        <v>0</v>
      </c>
      <c r="CL306" s="52">
        <f ca="1">SUM($L298:CL298)</f>
        <v>0</v>
      </c>
      <c r="CM306" s="52">
        <f ca="1">SUM($L298:CM298)</f>
        <v>0</v>
      </c>
      <c r="CN306" s="52">
        <f ca="1">SUM($L298:CN298)</f>
        <v>0</v>
      </c>
      <c r="CO306" s="52">
        <f ca="1">SUM($L298:CO298)</f>
        <v>0</v>
      </c>
    </row>
    <row r="307" spans="1:93" ht="15" thickTop="1">
      <c r="A307" s="172"/>
      <c r="B307" s="35"/>
      <c r="C307" s="173" t="s">
        <v>60</v>
      </c>
      <c r="D307" s="49"/>
      <c r="E307" s="49"/>
      <c r="F307" s="49"/>
      <c r="G307" s="159" t="str">
        <f t="shared" si="1449"/>
        <v>тыс. руб.</v>
      </c>
      <c r="H307" s="49"/>
      <c r="I307" s="49"/>
      <c r="J307" s="49"/>
      <c r="K307" s="49"/>
      <c r="L307" s="49">
        <f t="shared" ref="L307:Q307" ca="1" si="1450">SUM(L302:L306)</f>
        <v>0</v>
      </c>
      <c r="M307" s="49">
        <f t="shared" ca="1" si="1450"/>
        <v>0</v>
      </c>
      <c r="N307" s="49">
        <f t="shared" ca="1" si="1450"/>
        <v>0</v>
      </c>
      <c r="O307" s="49">
        <f t="shared" ca="1" si="1450"/>
        <v>0</v>
      </c>
      <c r="P307" s="49">
        <f t="shared" ca="1" si="1450"/>
        <v>0</v>
      </c>
      <c r="Q307" s="49">
        <f t="shared" ca="1" si="1450"/>
        <v>0</v>
      </c>
      <c r="R307" s="49">
        <f t="shared" ref="R307" ca="1" si="1451">SUM(R302:R306)</f>
        <v>0</v>
      </c>
      <c r="S307" s="49">
        <f t="shared" ref="S307:CD307" ca="1" si="1452">SUM(S302:S306)</f>
        <v>738.99174247580174</v>
      </c>
      <c r="T307" s="49">
        <f t="shared" ca="1" si="1452"/>
        <v>7319.6460901227119</v>
      </c>
      <c r="U307" s="49">
        <f t="shared" ca="1" si="1452"/>
        <v>17744.474722948584</v>
      </c>
      <c r="V307" s="49">
        <f t="shared" ca="1" si="1452"/>
        <v>32133.924064307597</v>
      </c>
      <c r="W307" s="49">
        <f t="shared" ca="1" si="1452"/>
        <v>50411.371785418785</v>
      </c>
      <c r="X307" s="49">
        <f t="shared" ca="1" si="1452"/>
        <v>74552.228624197203</v>
      </c>
      <c r="Y307" s="49">
        <f t="shared" ca="1" si="1452"/>
        <v>106861.23449808361</v>
      </c>
      <c r="Z307" s="49">
        <f t="shared" ca="1" si="1452"/>
        <v>147864.56184095691</v>
      </c>
      <c r="AA307" s="49">
        <f t="shared" ca="1" si="1452"/>
        <v>197289.3369232486</v>
      </c>
      <c r="AB307" s="49">
        <f t="shared" ca="1" si="1452"/>
        <v>255380.07450313668</v>
      </c>
      <c r="AC307" s="49">
        <f t="shared" ca="1" si="1452"/>
        <v>255380.07450313668</v>
      </c>
      <c r="AD307" s="49">
        <f t="shared" ca="1" si="1452"/>
        <v>255380.07450313668</v>
      </c>
      <c r="AE307" s="49">
        <f t="shared" ca="1" si="1452"/>
        <v>255380.07450313668</v>
      </c>
      <c r="AF307" s="49">
        <f t="shared" ca="1" si="1452"/>
        <v>255380.07450313668</v>
      </c>
      <c r="AG307" s="49">
        <f t="shared" ca="1" si="1452"/>
        <v>255380.07450313668</v>
      </c>
      <c r="AH307" s="49">
        <f t="shared" ca="1" si="1452"/>
        <v>255380.07450313668</v>
      </c>
      <c r="AI307" s="49">
        <f t="shared" ca="1" si="1452"/>
        <v>255380.07450313668</v>
      </c>
      <c r="AJ307" s="49">
        <f t="shared" ca="1" si="1452"/>
        <v>255380.07450313668</v>
      </c>
      <c r="AK307" s="49">
        <f t="shared" ca="1" si="1452"/>
        <v>255380.07450313668</v>
      </c>
      <c r="AL307" s="49">
        <f t="shared" ca="1" si="1452"/>
        <v>255380.07450313668</v>
      </c>
      <c r="AM307" s="49">
        <f t="shared" ca="1" si="1452"/>
        <v>255380.07450313668</v>
      </c>
      <c r="AN307" s="49">
        <f t="shared" ca="1" si="1452"/>
        <v>255380.07450313668</v>
      </c>
      <c r="AO307" s="49">
        <f t="shared" ca="1" si="1452"/>
        <v>255380.07450313668</v>
      </c>
      <c r="AP307" s="49">
        <f t="shared" ca="1" si="1452"/>
        <v>255380.07450313668</v>
      </c>
      <c r="AQ307" s="49">
        <f t="shared" ca="1" si="1452"/>
        <v>255380.07450313668</v>
      </c>
      <c r="AR307" s="49">
        <f t="shared" ca="1" si="1452"/>
        <v>255380.07450313668</v>
      </c>
      <c r="AS307" s="49">
        <f t="shared" ca="1" si="1452"/>
        <v>255380.07450313668</v>
      </c>
      <c r="AT307" s="49">
        <f t="shared" ca="1" si="1452"/>
        <v>255380.07450313668</v>
      </c>
      <c r="AU307" s="49">
        <f t="shared" ca="1" si="1452"/>
        <v>255380.07450313668</v>
      </c>
      <c r="AV307" s="49">
        <f t="shared" ca="1" si="1452"/>
        <v>255380.07450313668</v>
      </c>
      <c r="AW307" s="49">
        <f t="shared" ca="1" si="1452"/>
        <v>255380.07450313668</v>
      </c>
      <c r="AX307" s="49">
        <f t="shared" ca="1" si="1452"/>
        <v>255380.07450313668</v>
      </c>
      <c r="AY307" s="49">
        <f t="shared" ca="1" si="1452"/>
        <v>255380.07450313668</v>
      </c>
      <c r="AZ307" s="49">
        <f t="shared" ca="1" si="1452"/>
        <v>255380.07450313668</v>
      </c>
      <c r="BA307" s="49">
        <f t="shared" ca="1" si="1452"/>
        <v>255380.07450313668</v>
      </c>
      <c r="BB307" s="49">
        <f t="shared" ca="1" si="1452"/>
        <v>255380.07450313668</v>
      </c>
      <c r="BC307" s="49">
        <f t="shared" ca="1" si="1452"/>
        <v>255380.07450313668</v>
      </c>
      <c r="BD307" s="49">
        <f t="shared" ca="1" si="1452"/>
        <v>255380.07450313668</v>
      </c>
      <c r="BE307" s="49">
        <f t="shared" ca="1" si="1452"/>
        <v>255380.07450313668</v>
      </c>
      <c r="BF307" s="49">
        <f t="shared" ca="1" si="1452"/>
        <v>255380.07450313668</v>
      </c>
      <c r="BG307" s="49">
        <f t="shared" ca="1" si="1452"/>
        <v>255380.07450313668</v>
      </c>
      <c r="BH307" s="49">
        <f t="shared" ca="1" si="1452"/>
        <v>255380.07450313668</v>
      </c>
      <c r="BI307" s="49">
        <f t="shared" ca="1" si="1452"/>
        <v>255380.07450313668</v>
      </c>
      <c r="BJ307" s="49">
        <f t="shared" ca="1" si="1452"/>
        <v>255380.07450313668</v>
      </c>
      <c r="BK307" s="49">
        <f t="shared" ca="1" si="1452"/>
        <v>255380.07450313668</v>
      </c>
      <c r="BL307" s="49">
        <f t="shared" ca="1" si="1452"/>
        <v>255380.07450313668</v>
      </c>
      <c r="BM307" s="49">
        <f t="shared" ca="1" si="1452"/>
        <v>255380.07450313668</v>
      </c>
      <c r="BN307" s="49">
        <f t="shared" ca="1" si="1452"/>
        <v>255380.07450313668</v>
      </c>
      <c r="BO307" s="49">
        <f t="shared" ca="1" si="1452"/>
        <v>255380.07450313668</v>
      </c>
      <c r="BP307" s="49">
        <f t="shared" ca="1" si="1452"/>
        <v>255380.07450313668</v>
      </c>
      <c r="BQ307" s="49">
        <f t="shared" ca="1" si="1452"/>
        <v>255380.07450313668</v>
      </c>
      <c r="BR307" s="49">
        <f t="shared" ca="1" si="1452"/>
        <v>255380.07450313668</v>
      </c>
      <c r="BS307" s="49">
        <f t="shared" ca="1" si="1452"/>
        <v>255380.07450313668</v>
      </c>
      <c r="BT307" s="49">
        <f t="shared" ca="1" si="1452"/>
        <v>255380.07450313668</v>
      </c>
      <c r="BU307" s="49">
        <f t="shared" ca="1" si="1452"/>
        <v>255380.07450313668</v>
      </c>
      <c r="BV307" s="49">
        <f t="shared" ca="1" si="1452"/>
        <v>255380.07450313668</v>
      </c>
      <c r="BW307" s="49">
        <f t="shared" ca="1" si="1452"/>
        <v>255380.07450313668</v>
      </c>
      <c r="BX307" s="49">
        <f t="shared" ca="1" si="1452"/>
        <v>255380.07450313668</v>
      </c>
      <c r="BY307" s="49">
        <f t="shared" ca="1" si="1452"/>
        <v>255380.07450313668</v>
      </c>
      <c r="BZ307" s="49">
        <f t="shared" ca="1" si="1452"/>
        <v>255380.07450313668</v>
      </c>
      <c r="CA307" s="49">
        <f t="shared" ca="1" si="1452"/>
        <v>255380.07450313668</v>
      </c>
      <c r="CB307" s="49">
        <f t="shared" ca="1" si="1452"/>
        <v>255380.07450313668</v>
      </c>
      <c r="CC307" s="49">
        <f t="shared" ca="1" si="1452"/>
        <v>255380.07450313668</v>
      </c>
      <c r="CD307" s="49">
        <f t="shared" ca="1" si="1452"/>
        <v>255380.07450313668</v>
      </c>
      <c r="CE307" s="49">
        <f t="shared" ref="CE307:CO307" ca="1" si="1453">SUM(CE302:CE306)</f>
        <v>255380.07450313668</v>
      </c>
      <c r="CF307" s="49">
        <f t="shared" ca="1" si="1453"/>
        <v>255380.07450313668</v>
      </c>
      <c r="CG307" s="49">
        <f t="shared" ca="1" si="1453"/>
        <v>255380.07450313668</v>
      </c>
      <c r="CH307" s="49">
        <f t="shared" ca="1" si="1453"/>
        <v>255380.07450313668</v>
      </c>
      <c r="CI307" s="49">
        <f t="shared" ca="1" si="1453"/>
        <v>255380.07450313668</v>
      </c>
      <c r="CJ307" s="49">
        <f t="shared" ca="1" si="1453"/>
        <v>255380.07450313668</v>
      </c>
      <c r="CK307" s="49">
        <f t="shared" ca="1" si="1453"/>
        <v>255380.07450313668</v>
      </c>
      <c r="CL307" s="49">
        <f t="shared" ca="1" si="1453"/>
        <v>255380.07450313668</v>
      </c>
      <c r="CM307" s="49">
        <f t="shared" ca="1" si="1453"/>
        <v>255380.07450313668</v>
      </c>
      <c r="CN307" s="49">
        <f t="shared" ca="1" si="1453"/>
        <v>255380.07450313668</v>
      </c>
      <c r="CO307" s="49">
        <f t="shared" ca="1" si="1453"/>
        <v>255380.07450313668</v>
      </c>
    </row>
    <row r="308" spans="1:93">
      <c r="A308" s="77"/>
      <c r="B308" s="10"/>
      <c r="C308" s="17"/>
      <c r="D308" s="10"/>
      <c r="E308" s="62"/>
      <c r="F308" s="11"/>
      <c r="G308" s="11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</row>
    <row r="309" spans="1:93">
      <c r="A309" s="77"/>
      <c r="B309" s="10"/>
      <c r="C309" s="87" t="s">
        <v>61</v>
      </c>
      <c r="D309" s="10"/>
      <c r="E309" s="62"/>
      <c r="F309" s="11"/>
      <c r="G309" s="11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</row>
    <row r="310" spans="1:93">
      <c r="A310" s="77"/>
      <c r="B310" s="10"/>
      <c r="C310" s="21" t="str">
        <f xml:space="preserve"> "Флаг - ввод в эксплуатацию - Сегмент 0 - " &amp; C32</f>
        <v>Флаг - ввод в эксплуатацию - Сегмент 0 - Транспортная инфраструктура</v>
      </c>
      <c r="D310" s="10"/>
      <c r="E310" s="62"/>
      <c r="F310" s="11"/>
      <c r="G310" s="134" t="str">
        <f t="shared" ref="G310:G316" ca="1" si="1454">MIN(L310:CO310) &amp; ".." &amp; MAX(L310:CO310)</f>
        <v>0..1</v>
      </c>
      <c r="H310" s="10"/>
      <c r="I310" s="23">
        <f t="shared" ref="I310:I316" ca="1" si="1455">SUM(L310:CO310)</f>
        <v>1</v>
      </c>
      <c r="J310" s="10"/>
      <c r="K310" s="10"/>
      <c r="L310" s="52">
        <f ca="1" xml:space="preserve"> (SUM(M265:$CO265) = 0) * (L265 &lt;&gt; 0)</f>
        <v>0</v>
      </c>
      <c r="M310" s="52">
        <f ca="1" xml:space="preserve"> (SUM(N265:$CO265) = 0) * (M265 &lt;&gt; 0)</f>
        <v>0</v>
      </c>
      <c r="N310" s="52">
        <f ca="1" xml:space="preserve"> (SUM(O265:$CO265) = 0) * (N265 &lt;&gt; 0)</f>
        <v>0</v>
      </c>
      <c r="O310" s="52">
        <f ca="1" xml:space="preserve"> (SUM(P265:$CO265) = 0) * (O265 &lt;&gt; 0)</f>
        <v>0</v>
      </c>
      <c r="P310" s="52">
        <f ca="1" xml:space="preserve"> (SUM(Q265:$CO265) = 0) * (P265 &lt;&gt; 0)</f>
        <v>0</v>
      </c>
      <c r="Q310" s="52">
        <f ca="1" xml:space="preserve"> (SUM(R265:$CO265) = 0) * (Q265 &lt;&gt; 0)</f>
        <v>0</v>
      </c>
      <c r="R310" s="52">
        <f ca="1" xml:space="preserve"> (SUM(S265:$CO265) = 0) * (R265 &lt;&gt; 0)</f>
        <v>0</v>
      </c>
      <c r="S310" s="52">
        <f ca="1" xml:space="preserve"> (SUM(T265:$CO265) = 0) * (S265 &lt;&gt; 0)</f>
        <v>0</v>
      </c>
      <c r="T310" s="52">
        <f ca="1" xml:space="preserve"> (SUM(U265:$CO265) = 0) * (T265 &lt;&gt; 0)</f>
        <v>0</v>
      </c>
      <c r="U310" s="52">
        <f ca="1" xml:space="preserve"> (SUM(V265:$CO265) = 0) * (U265 &lt;&gt; 0)</f>
        <v>0</v>
      </c>
      <c r="V310" s="52">
        <f ca="1" xml:space="preserve"> (SUM(W265:$CO265) = 0) * (V265 &lt;&gt; 0)</f>
        <v>0</v>
      </c>
      <c r="W310" s="52">
        <f ca="1" xml:space="preserve"> (SUM(X265:$CO265) = 0) * (W265 &lt;&gt; 0)</f>
        <v>0</v>
      </c>
      <c r="X310" s="52">
        <f ca="1" xml:space="preserve"> (SUM(Y265:$CO265) = 0) * (X265 &lt;&gt; 0)</f>
        <v>0</v>
      </c>
      <c r="Y310" s="52">
        <f ca="1" xml:space="preserve"> (SUM(Z265:$CO265) = 0) * (Y265 &lt;&gt; 0)</f>
        <v>0</v>
      </c>
      <c r="Z310" s="52">
        <f ca="1" xml:space="preserve"> (SUM(AA265:$CO265) = 0) * (Z265 &lt;&gt; 0)</f>
        <v>0</v>
      </c>
      <c r="AA310" s="52">
        <f ca="1" xml:space="preserve"> (SUM(AB265:$CO265) = 0) * (AA265 &lt;&gt; 0)</f>
        <v>0</v>
      </c>
      <c r="AB310" s="52">
        <f ca="1" xml:space="preserve"> (SUM(AC265:$CO265) = 0) * (AB265 &lt;&gt; 0)</f>
        <v>1</v>
      </c>
      <c r="AC310" s="52">
        <f ca="1" xml:space="preserve"> (SUM(AD265:$CO265) = 0) * (AC265 &lt;&gt; 0)</f>
        <v>0</v>
      </c>
      <c r="AD310" s="52">
        <f ca="1" xml:space="preserve"> (SUM(AE265:$CO265) = 0) * (AD265 &lt;&gt; 0)</f>
        <v>0</v>
      </c>
      <c r="AE310" s="52">
        <f ca="1" xml:space="preserve"> (SUM(AF265:$CO265) = 0) * (AE265 &lt;&gt; 0)</f>
        <v>0</v>
      </c>
      <c r="AF310" s="52">
        <f ca="1" xml:space="preserve"> (SUM(AG265:$CO265) = 0) * (AF265 &lt;&gt; 0)</f>
        <v>0</v>
      </c>
      <c r="AG310" s="52">
        <f ca="1" xml:space="preserve"> (SUM(AH265:$CO265) = 0) * (AG265 &lt;&gt; 0)</f>
        <v>0</v>
      </c>
      <c r="AH310" s="52">
        <f ca="1" xml:space="preserve"> (SUM(AI265:$CO265) = 0) * (AH265 &lt;&gt; 0)</f>
        <v>0</v>
      </c>
      <c r="AI310" s="52">
        <f ca="1" xml:space="preserve"> (SUM(AJ265:$CO265) = 0) * (AI265 &lt;&gt; 0)</f>
        <v>0</v>
      </c>
      <c r="AJ310" s="52">
        <f ca="1" xml:space="preserve"> (SUM(AK265:$CO265) = 0) * (AJ265 &lt;&gt; 0)</f>
        <v>0</v>
      </c>
      <c r="AK310" s="52">
        <f ca="1" xml:space="preserve"> (SUM(AL265:$CO265) = 0) * (AK265 &lt;&gt; 0)</f>
        <v>0</v>
      </c>
      <c r="AL310" s="52">
        <f ca="1" xml:space="preserve"> (SUM(AM265:$CO265) = 0) * (AL265 &lt;&gt; 0)</f>
        <v>0</v>
      </c>
      <c r="AM310" s="52">
        <f ca="1" xml:space="preserve"> (SUM(AN265:$CO265) = 0) * (AM265 &lt;&gt; 0)</f>
        <v>0</v>
      </c>
      <c r="AN310" s="52">
        <f ca="1" xml:space="preserve"> (SUM(AO265:$CO265) = 0) * (AN265 &lt;&gt; 0)</f>
        <v>0</v>
      </c>
      <c r="AO310" s="52">
        <f ca="1" xml:space="preserve"> (SUM(AP265:$CO265) = 0) * (AO265 &lt;&gt; 0)</f>
        <v>0</v>
      </c>
      <c r="AP310" s="52">
        <f ca="1" xml:space="preserve"> (SUM(AQ265:$CO265) = 0) * (AP265 &lt;&gt; 0)</f>
        <v>0</v>
      </c>
      <c r="AQ310" s="52">
        <f ca="1" xml:space="preserve"> (SUM(AR265:$CO265) = 0) * (AQ265 &lt;&gt; 0)</f>
        <v>0</v>
      </c>
      <c r="AR310" s="52">
        <f ca="1" xml:space="preserve"> (SUM(AS265:$CO265) = 0) * (AR265 &lt;&gt; 0)</f>
        <v>0</v>
      </c>
      <c r="AS310" s="52">
        <f ca="1" xml:space="preserve"> (SUM(AT265:$CO265) = 0) * (AS265 &lt;&gt; 0)</f>
        <v>0</v>
      </c>
      <c r="AT310" s="52">
        <f ca="1" xml:space="preserve"> (SUM(AU265:$CO265) = 0) * (AT265 &lt;&gt; 0)</f>
        <v>0</v>
      </c>
      <c r="AU310" s="52">
        <f ca="1" xml:space="preserve"> (SUM(AV265:$CO265) = 0) * (AU265 &lt;&gt; 0)</f>
        <v>0</v>
      </c>
      <c r="AV310" s="52">
        <f ca="1" xml:space="preserve"> (SUM(AW265:$CO265) = 0) * (AV265 &lt;&gt; 0)</f>
        <v>0</v>
      </c>
      <c r="AW310" s="52">
        <f ca="1" xml:space="preserve"> (SUM(AX265:$CO265) = 0) * (AW265 &lt;&gt; 0)</f>
        <v>0</v>
      </c>
      <c r="AX310" s="52">
        <f ca="1" xml:space="preserve"> (SUM(AY265:$CO265) = 0) * (AX265 &lt;&gt; 0)</f>
        <v>0</v>
      </c>
      <c r="AY310" s="52">
        <f ca="1" xml:space="preserve"> (SUM(AZ265:$CO265) = 0) * (AY265 &lt;&gt; 0)</f>
        <v>0</v>
      </c>
      <c r="AZ310" s="52">
        <f ca="1" xml:space="preserve"> (SUM(BA265:$CO265) = 0) * (AZ265 &lt;&gt; 0)</f>
        <v>0</v>
      </c>
      <c r="BA310" s="52">
        <f ca="1" xml:space="preserve"> (SUM(BB265:$CO265) = 0) * (BA265 &lt;&gt; 0)</f>
        <v>0</v>
      </c>
      <c r="BB310" s="52">
        <f ca="1" xml:space="preserve"> (SUM(BC265:$CO265) = 0) * (BB265 &lt;&gt; 0)</f>
        <v>0</v>
      </c>
      <c r="BC310" s="52">
        <f ca="1" xml:space="preserve"> (SUM(BD265:$CO265) = 0) * (BC265 &lt;&gt; 0)</f>
        <v>0</v>
      </c>
      <c r="BD310" s="52">
        <f ca="1" xml:space="preserve"> (SUM(BE265:$CO265) = 0) * (BD265 &lt;&gt; 0)</f>
        <v>0</v>
      </c>
      <c r="BE310" s="52">
        <f ca="1" xml:space="preserve"> (SUM(BF265:$CO265) = 0) * (BE265 &lt;&gt; 0)</f>
        <v>0</v>
      </c>
      <c r="BF310" s="52">
        <f ca="1" xml:space="preserve"> (SUM(BG265:$CO265) = 0) * (BF265 &lt;&gt; 0)</f>
        <v>0</v>
      </c>
      <c r="BG310" s="52">
        <f ca="1" xml:space="preserve"> (SUM(BH265:$CO265) = 0) * (BG265 &lt;&gt; 0)</f>
        <v>0</v>
      </c>
      <c r="BH310" s="52">
        <f ca="1" xml:space="preserve"> (SUM(BI265:$CO265) = 0) * (BH265 &lt;&gt; 0)</f>
        <v>0</v>
      </c>
      <c r="BI310" s="52">
        <f ca="1" xml:space="preserve"> (SUM(BJ265:$CO265) = 0) * (BI265 &lt;&gt; 0)</f>
        <v>0</v>
      </c>
      <c r="BJ310" s="52">
        <f ca="1" xml:space="preserve"> (SUM(BK265:$CO265) = 0) * (BJ265 &lt;&gt; 0)</f>
        <v>0</v>
      </c>
      <c r="BK310" s="52">
        <f ca="1" xml:space="preserve"> (SUM(BL265:$CO265) = 0) * (BK265 &lt;&gt; 0)</f>
        <v>0</v>
      </c>
      <c r="BL310" s="52">
        <f ca="1" xml:space="preserve"> (SUM(BM265:$CO265) = 0) * (BL265 &lt;&gt; 0)</f>
        <v>0</v>
      </c>
      <c r="BM310" s="52">
        <f ca="1" xml:space="preserve"> (SUM(BN265:$CO265) = 0) * (BM265 &lt;&gt; 0)</f>
        <v>0</v>
      </c>
      <c r="BN310" s="52">
        <f ca="1" xml:space="preserve"> (SUM(BO265:$CO265) = 0) * (BN265 &lt;&gt; 0)</f>
        <v>0</v>
      </c>
      <c r="BO310" s="52">
        <f ca="1" xml:space="preserve"> (SUM(BP265:$CO265) = 0) * (BO265 &lt;&gt; 0)</f>
        <v>0</v>
      </c>
      <c r="BP310" s="52">
        <f ca="1" xml:space="preserve"> (SUM(BQ265:$CO265) = 0) * (BP265 &lt;&gt; 0)</f>
        <v>0</v>
      </c>
      <c r="BQ310" s="52">
        <f ca="1" xml:space="preserve"> (SUM(BR265:$CO265) = 0) * (BQ265 &lt;&gt; 0)</f>
        <v>0</v>
      </c>
      <c r="BR310" s="52">
        <f ca="1" xml:space="preserve"> (SUM(BS265:$CO265) = 0) * (BR265 &lt;&gt; 0)</f>
        <v>0</v>
      </c>
      <c r="BS310" s="52">
        <f ca="1" xml:space="preserve"> (SUM(BT265:$CO265) = 0) * (BS265 &lt;&gt; 0)</f>
        <v>0</v>
      </c>
      <c r="BT310" s="52">
        <f ca="1" xml:space="preserve"> (SUM(BU265:$CO265) = 0) * (BT265 &lt;&gt; 0)</f>
        <v>0</v>
      </c>
      <c r="BU310" s="52">
        <f ca="1" xml:space="preserve"> (SUM(BV265:$CO265) = 0) * (BU265 &lt;&gt; 0)</f>
        <v>0</v>
      </c>
      <c r="BV310" s="52">
        <f ca="1" xml:space="preserve"> (SUM(BW265:$CO265) = 0) * (BV265 &lt;&gt; 0)</f>
        <v>0</v>
      </c>
      <c r="BW310" s="52">
        <f ca="1" xml:space="preserve"> (SUM(BX265:$CO265) = 0) * (BW265 &lt;&gt; 0)</f>
        <v>0</v>
      </c>
      <c r="BX310" s="52">
        <f ca="1" xml:space="preserve"> (SUM(BY265:$CO265) = 0) * (BX265 &lt;&gt; 0)</f>
        <v>0</v>
      </c>
      <c r="BY310" s="52">
        <f ca="1" xml:space="preserve"> (SUM(BZ265:$CO265) = 0) * (BY265 &lt;&gt; 0)</f>
        <v>0</v>
      </c>
      <c r="BZ310" s="52">
        <f ca="1" xml:space="preserve"> (SUM(CA265:$CO265) = 0) * (BZ265 &lt;&gt; 0)</f>
        <v>0</v>
      </c>
      <c r="CA310" s="52">
        <f ca="1" xml:space="preserve"> (SUM(CB265:$CO265) = 0) * (CA265 &lt;&gt; 0)</f>
        <v>0</v>
      </c>
      <c r="CB310" s="52">
        <f ca="1" xml:space="preserve"> (SUM(CC265:$CO265) = 0) * (CB265 &lt;&gt; 0)</f>
        <v>0</v>
      </c>
      <c r="CC310" s="52">
        <f ca="1" xml:space="preserve"> (SUM(CD265:$CO265) = 0) * (CC265 &lt;&gt; 0)</f>
        <v>0</v>
      </c>
      <c r="CD310" s="52">
        <f ca="1" xml:space="preserve"> (SUM(CE265:$CO265) = 0) * (CD265 &lt;&gt; 0)</f>
        <v>0</v>
      </c>
      <c r="CE310" s="52">
        <f ca="1" xml:space="preserve"> (SUM(CF265:$CO265) = 0) * (CE265 &lt;&gt; 0)</f>
        <v>0</v>
      </c>
      <c r="CF310" s="52">
        <f ca="1" xml:space="preserve"> (SUM(CG265:$CO265) = 0) * (CF265 &lt;&gt; 0)</f>
        <v>0</v>
      </c>
      <c r="CG310" s="52">
        <f ca="1" xml:space="preserve"> (SUM(CH265:$CO265) = 0) * (CG265 &lt;&gt; 0)</f>
        <v>0</v>
      </c>
      <c r="CH310" s="52">
        <f ca="1" xml:space="preserve"> (SUM(CI265:$CO265) = 0) * (CH265 &lt;&gt; 0)</f>
        <v>0</v>
      </c>
      <c r="CI310" s="52">
        <f ca="1" xml:space="preserve"> (SUM(CJ265:$CO265) = 0) * (CI265 &lt;&gt; 0)</f>
        <v>0</v>
      </c>
      <c r="CJ310" s="52">
        <f ca="1" xml:space="preserve"> (SUM(CK265:$CO265) = 0) * (CJ265 &lt;&gt; 0)</f>
        <v>0</v>
      </c>
      <c r="CK310" s="52">
        <f ca="1" xml:space="preserve"> (SUM(CL265:$CO265) = 0) * (CK265 &lt;&gt; 0)</f>
        <v>0</v>
      </c>
      <c r="CL310" s="52">
        <f ca="1" xml:space="preserve"> (SUM(CM265:$CO265) = 0) * (CL265 &lt;&gt; 0)</f>
        <v>0</v>
      </c>
      <c r="CM310" s="52">
        <f ca="1" xml:space="preserve"> (SUM(CN265:$CO265) = 0) * (CM265 &lt;&gt; 0)</f>
        <v>0</v>
      </c>
      <c r="CN310" s="52">
        <f ca="1" xml:space="preserve"> (SUM(CO265:$CO265) = 0) * (CN265 &lt;&gt; 0)</f>
        <v>0</v>
      </c>
      <c r="CO310" s="52">
        <f ca="1" xml:space="preserve"> (SUM($CO265:CP265) = 0) * (CO265 &lt;&gt; 0)</f>
        <v>0</v>
      </c>
    </row>
    <row r="311" spans="1:93">
      <c r="A311" s="77"/>
      <c r="B311" s="10"/>
      <c r="C311" s="21" t="str">
        <f xml:space="preserve"> "Флаг - ввод в эксплуатацию - Сегмент 0 - " &amp; C33</f>
        <v>Флаг - ввод в эксплуатацию - Сегмент 0 - Коммунальная инфраструктура</v>
      </c>
      <c r="D311" s="10"/>
      <c r="E311" s="62"/>
      <c r="F311" s="11"/>
      <c r="G311" s="134" t="str">
        <f t="shared" ca="1" si="1454"/>
        <v>0..0</v>
      </c>
      <c r="H311" s="10"/>
      <c r="I311" s="23">
        <f t="shared" ca="1" si="1455"/>
        <v>0</v>
      </c>
      <c r="J311" s="10"/>
      <c r="K311" s="10"/>
      <c r="L311" s="52">
        <f ca="1" xml:space="preserve"> (SUM(M266:$CO266) = 0) * (L266 &lt;&gt; 0)</f>
        <v>0</v>
      </c>
      <c r="M311" s="52">
        <f ca="1" xml:space="preserve"> (SUM(N266:$CO266) = 0) * (M266 &lt;&gt; 0)</f>
        <v>0</v>
      </c>
      <c r="N311" s="52">
        <f ca="1" xml:space="preserve"> (SUM(O266:$CO266) = 0) * (N266 &lt;&gt; 0)</f>
        <v>0</v>
      </c>
      <c r="O311" s="52">
        <f ca="1" xml:space="preserve"> (SUM(P266:$CO266) = 0) * (O266 &lt;&gt; 0)</f>
        <v>0</v>
      </c>
      <c r="P311" s="52">
        <f ca="1" xml:space="preserve"> (SUM(Q266:$CO266) = 0) * (P266 &lt;&gt; 0)</f>
        <v>0</v>
      </c>
      <c r="Q311" s="52">
        <f ca="1" xml:space="preserve"> (SUM(R266:$CO266) = 0) * (Q266 &lt;&gt; 0)</f>
        <v>0</v>
      </c>
      <c r="R311" s="52">
        <f ca="1" xml:space="preserve"> (SUM(S266:$CO266) = 0) * (R266 &lt;&gt; 0)</f>
        <v>0</v>
      </c>
      <c r="S311" s="52">
        <f ca="1" xml:space="preserve"> (SUM(T266:$CO266) = 0) * (S266 &lt;&gt; 0)</f>
        <v>0</v>
      </c>
      <c r="T311" s="52">
        <f ca="1" xml:space="preserve"> (SUM(U266:$CO266) = 0) * (T266 &lt;&gt; 0)</f>
        <v>0</v>
      </c>
      <c r="U311" s="52">
        <f ca="1" xml:space="preserve"> (SUM(V266:$CO266) = 0) * (U266 &lt;&gt; 0)</f>
        <v>0</v>
      </c>
      <c r="V311" s="52">
        <f ca="1" xml:space="preserve"> (SUM(W266:$CO266) = 0) * (V266 &lt;&gt; 0)</f>
        <v>0</v>
      </c>
      <c r="W311" s="52">
        <f ca="1" xml:space="preserve"> (SUM(X266:$CO266) = 0) * (W266 &lt;&gt; 0)</f>
        <v>0</v>
      </c>
      <c r="X311" s="52">
        <f ca="1" xml:space="preserve"> (SUM(Y266:$CO266) = 0) * (X266 &lt;&gt; 0)</f>
        <v>0</v>
      </c>
      <c r="Y311" s="52">
        <f ca="1" xml:space="preserve"> (SUM(Z266:$CO266) = 0) * (Y266 &lt;&gt; 0)</f>
        <v>0</v>
      </c>
      <c r="Z311" s="52">
        <f ca="1" xml:space="preserve"> (SUM(AA266:$CO266) = 0) * (Z266 &lt;&gt; 0)</f>
        <v>0</v>
      </c>
      <c r="AA311" s="52">
        <f ca="1" xml:space="preserve"> (SUM(AB266:$CO266) = 0) * (AA266 &lt;&gt; 0)</f>
        <v>0</v>
      </c>
      <c r="AB311" s="52">
        <f ca="1" xml:space="preserve"> (SUM(AC266:$CO266) = 0) * (AB266 &lt;&gt; 0)</f>
        <v>0</v>
      </c>
      <c r="AC311" s="52">
        <f ca="1" xml:space="preserve"> (SUM(AD266:$CO266) = 0) * (AC266 &lt;&gt; 0)</f>
        <v>0</v>
      </c>
      <c r="AD311" s="52">
        <f ca="1" xml:space="preserve"> (SUM(AE266:$CO266) = 0) * (AD266 &lt;&gt; 0)</f>
        <v>0</v>
      </c>
      <c r="AE311" s="52">
        <f ca="1" xml:space="preserve"> (SUM(AF266:$CO266) = 0) * (AE266 &lt;&gt; 0)</f>
        <v>0</v>
      </c>
      <c r="AF311" s="52">
        <f ca="1" xml:space="preserve"> (SUM(AG266:$CO266) = 0) * (AF266 &lt;&gt; 0)</f>
        <v>0</v>
      </c>
      <c r="AG311" s="52">
        <f ca="1" xml:space="preserve"> (SUM(AH266:$CO266) = 0) * (AG266 &lt;&gt; 0)</f>
        <v>0</v>
      </c>
      <c r="AH311" s="52">
        <f ca="1" xml:space="preserve"> (SUM(AI266:$CO266) = 0) * (AH266 &lt;&gt; 0)</f>
        <v>0</v>
      </c>
      <c r="AI311" s="52">
        <f ca="1" xml:space="preserve"> (SUM(AJ266:$CO266) = 0) * (AI266 &lt;&gt; 0)</f>
        <v>0</v>
      </c>
      <c r="AJ311" s="52">
        <f ca="1" xml:space="preserve"> (SUM(AK266:$CO266) = 0) * (AJ266 &lt;&gt; 0)</f>
        <v>0</v>
      </c>
      <c r="AK311" s="52">
        <f ca="1" xml:space="preserve"> (SUM(AL266:$CO266) = 0) * (AK266 &lt;&gt; 0)</f>
        <v>0</v>
      </c>
      <c r="AL311" s="52">
        <f ca="1" xml:space="preserve"> (SUM(AM266:$CO266) = 0) * (AL266 &lt;&gt; 0)</f>
        <v>0</v>
      </c>
      <c r="AM311" s="52">
        <f ca="1" xml:space="preserve"> (SUM(AN266:$CO266) = 0) * (AM266 &lt;&gt; 0)</f>
        <v>0</v>
      </c>
      <c r="AN311" s="52">
        <f ca="1" xml:space="preserve"> (SUM(AO266:$CO266) = 0) * (AN266 &lt;&gt; 0)</f>
        <v>0</v>
      </c>
      <c r="AO311" s="52">
        <f ca="1" xml:space="preserve"> (SUM(AP266:$CO266) = 0) * (AO266 &lt;&gt; 0)</f>
        <v>0</v>
      </c>
      <c r="AP311" s="52">
        <f ca="1" xml:space="preserve"> (SUM(AQ266:$CO266) = 0) * (AP266 &lt;&gt; 0)</f>
        <v>0</v>
      </c>
      <c r="AQ311" s="52">
        <f ca="1" xml:space="preserve"> (SUM(AR266:$CO266) = 0) * (AQ266 &lt;&gt; 0)</f>
        <v>0</v>
      </c>
      <c r="AR311" s="52">
        <f ca="1" xml:space="preserve"> (SUM(AS266:$CO266) = 0) * (AR266 &lt;&gt; 0)</f>
        <v>0</v>
      </c>
      <c r="AS311" s="52">
        <f ca="1" xml:space="preserve"> (SUM(AT266:$CO266) = 0) * (AS266 &lt;&gt; 0)</f>
        <v>0</v>
      </c>
      <c r="AT311" s="52">
        <f ca="1" xml:space="preserve"> (SUM(AU266:$CO266) = 0) * (AT266 &lt;&gt; 0)</f>
        <v>0</v>
      </c>
      <c r="AU311" s="52">
        <f ca="1" xml:space="preserve"> (SUM(AV266:$CO266) = 0) * (AU266 &lt;&gt; 0)</f>
        <v>0</v>
      </c>
      <c r="AV311" s="52">
        <f ca="1" xml:space="preserve"> (SUM(AW266:$CO266) = 0) * (AV266 &lt;&gt; 0)</f>
        <v>0</v>
      </c>
      <c r="AW311" s="52">
        <f ca="1" xml:space="preserve"> (SUM(AX266:$CO266) = 0) * (AW266 &lt;&gt; 0)</f>
        <v>0</v>
      </c>
      <c r="AX311" s="52">
        <f ca="1" xml:space="preserve"> (SUM(AY266:$CO266) = 0) * (AX266 &lt;&gt; 0)</f>
        <v>0</v>
      </c>
      <c r="AY311" s="52">
        <f ca="1" xml:space="preserve"> (SUM(AZ266:$CO266) = 0) * (AY266 &lt;&gt; 0)</f>
        <v>0</v>
      </c>
      <c r="AZ311" s="52">
        <f ca="1" xml:space="preserve"> (SUM(BA266:$CO266) = 0) * (AZ266 &lt;&gt; 0)</f>
        <v>0</v>
      </c>
      <c r="BA311" s="52">
        <f ca="1" xml:space="preserve"> (SUM(BB266:$CO266) = 0) * (BA266 &lt;&gt; 0)</f>
        <v>0</v>
      </c>
      <c r="BB311" s="52">
        <f ca="1" xml:space="preserve"> (SUM(BC266:$CO266) = 0) * (BB266 &lt;&gt; 0)</f>
        <v>0</v>
      </c>
      <c r="BC311" s="52">
        <f ca="1" xml:space="preserve"> (SUM(BD266:$CO266) = 0) * (BC266 &lt;&gt; 0)</f>
        <v>0</v>
      </c>
      <c r="BD311" s="52">
        <f ca="1" xml:space="preserve"> (SUM(BE266:$CO266) = 0) * (BD266 &lt;&gt; 0)</f>
        <v>0</v>
      </c>
      <c r="BE311" s="52">
        <f ca="1" xml:space="preserve"> (SUM(BF266:$CO266) = 0) * (BE266 &lt;&gt; 0)</f>
        <v>0</v>
      </c>
      <c r="BF311" s="52">
        <f ca="1" xml:space="preserve"> (SUM(BG266:$CO266) = 0) * (BF266 &lt;&gt; 0)</f>
        <v>0</v>
      </c>
      <c r="BG311" s="52">
        <f ca="1" xml:space="preserve"> (SUM(BH266:$CO266) = 0) * (BG266 &lt;&gt; 0)</f>
        <v>0</v>
      </c>
      <c r="BH311" s="52">
        <f ca="1" xml:space="preserve"> (SUM(BI266:$CO266) = 0) * (BH266 &lt;&gt; 0)</f>
        <v>0</v>
      </c>
      <c r="BI311" s="52">
        <f ca="1" xml:space="preserve"> (SUM(BJ266:$CO266) = 0) * (BI266 &lt;&gt; 0)</f>
        <v>0</v>
      </c>
      <c r="BJ311" s="52">
        <f ca="1" xml:space="preserve"> (SUM(BK266:$CO266) = 0) * (BJ266 &lt;&gt; 0)</f>
        <v>0</v>
      </c>
      <c r="BK311" s="52">
        <f ca="1" xml:space="preserve"> (SUM(BL266:$CO266) = 0) * (BK266 &lt;&gt; 0)</f>
        <v>0</v>
      </c>
      <c r="BL311" s="52">
        <f ca="1" xml:space="preserve"> (SUM(BM266:$CO266) = 0) * (BL266 &lt;&gt; 0)</f>
        <v>0</v>
      </c>
      <c r="BM311" s="52">
        <f ca="1" xml:space="preserve"> (SUM(BN266:$CO266) = 0) * (BM266 &lt;&gt; 0)</f>
        <v>0</v>
      </c>
      <c r="BN311" s="52">
        <f ca="1" xml:space="preserve"> (SUM(BO266:$CO266) = 0) * (BN266 &lt;&gt; 0)</f>
        <v>0</v>
      </c>
      <c r="BO311" s="52">
        <f ca="1" xml:space="preserve"> (SUM(BP266:$CO266) = 0) * (BO266 &lt;&gt; 0)</f>
        <v>0</v>
      </c>
      <c r="BP311" s="52">
        <f ca="1" xml:space="preserve"> (SUM(BQ266:$CO266) = 0) * (BP266 &lt;&gt; 0)</f>
        <v>0</v>
      </c>
      <c r="BQ311" s="52">
        <f ca="1" xml:space="preserve"> (SUM(BR266:$CO266) = 0) * (BQ266 &lt;&gt; 0)</f>
        <v>0</v>
      </c>
      <c r="BR311" s="52">
        <f ca="1" xml:space="preserve"> (SUM(BS266:$CO266) = 0) * (BR266 &lt;&gt; 0)</f>
        <v>0</v>
      </c>
      <c r="BS311" s="52">
        <f ca="1" xml:space="preserve"> (SUM(BT266:$CO266) = 0) * (BS266 &lt;&gt; 0)</f>
        <v>0</v>
      </c>
      <c r="BT311" s="52">
        <f ca="1" xml:space="preserve"> (SUM(BU266:$CO266) = 0) * (BT266 &lt;&gt; 0)</f>
        <v>0</v>
      </c>
      <c r="BU311" s="52">
        <f ca="1" xml:space="preserve"> (SUM(BV266:$CO266) = 0) * (BU266 &lt;&gt; 0)</f>
        <v>0</v>
      </c>
      <c r="BV311" s="52">
        <f ca="1" xml:space="preserve"> (SUM(BW266:$CO266) = 0) * (BV266 &lt;&gt; 0)</f>
        <v>0</v>
      </c>
      <c r="BW311" s="52">
        <f ca="1" xml:space="preserve"> (SUM(BX266:$CO266) = 0) * (BW266 &lt;&gt; 0)</f>
        <v>0</v>
      </c>
      <c r="BX311" s="52">
        <f ca="1" xml:space="preserve"> (SUM(BY266:$CO266) = 0) * (BX266 &lt;&gt; 0)</f>
        <v>0</v>
      </c>
      <c r="BY311" s="52">
        <f ca="1" xml:space="preserve"> (SUM(BZ266:$CO266) = 0) * (BY266 &lt;&gt; 0)</f>
        <v>0</v>
      </c>
      <c r="BZ311" s="52">
        <f ca="1" xml:space="preserve"> (SUM(CA266:$CO266) = 0) * (BZ266 &lt;&gt; 0)</f>
        <v>0</v>
      </c>
      <c r="CA311" s="52">
        <f ca="1" xml:space="preserve"> (SUM(CB266:$CO266) = 0) * (CA266 &lt;&gt; 0)</f>
        <v>0</v>
      </c>
      <c r="CB311" s="52">
        <f ca="1" xml:space="preserve"> (SUM(CC266:$CO266) = 0) * (CB266 &lt;&gt; 0)</f>
        <v>0</v>
      </c>
      <c r="CC311" s="52">
        <f ca="1" xml:space="preserve"> (SUM(CD266:$CO266) = 0) * (CC266 &lt;&gt; 0)</f>
        <v>0</v>
      </c>
      <c r="CD311" s="52">
        <f ca="1" xml:space="preserve"> (SUM(CE266:$CO266) = 0) * (CD266 &lt;&gt; 0)</f>
        <v>0</v>
      </c>
      <c r="CE311" s="52">
        <f ca="1" xml:space="preserve"> (SUM(CF266:$CO266) = 0) * (CE266 &lt;&gt; 0)</f>
        <v>0</v>
      </c>
      <c r="CF311" s="52">
        <f ca="1" xml:space="preserve"> (SUM(CG266:$CO266) = 0) * (CF266 &lt;&gt; 0)</f>
        <v>0</v>
      </c>
      <c r="CG311" s="52">
        <f ca="1" xml:space="preserve"> (SUM(CH266:$CO266) = 0) * (CG266 &lt;&gt; 0)</f>
        <v>0</v>
      </c>
      <c r="CH311" s="52">
        <f ca="1" xml:space="preserve"> (SUM(CI266:$CO266) = 0) * (CH266 &lt;&gt; 0)</f>
        <v>0</v>
      </c>
      <c r="CI311" s="52">
        <f ca="1" xml:space="preserve"> (SUM(CJ266:$CO266) = 0) * (CI266 &lt;&gt; 0)</f>
        <v>0</v>
      </c>
      <c r="CJ311" s="52">
        <f ca="1" xml:space="preserve"> (SUM(CK266:$CO266) = 0) * (CJ266 &lt;&gt; 0)</f>
        <v>0</v>
      </c>
      <c r="CK311" s="52">
        <f ca="1" xml:space="preserve"> (SUM(CL266:$CO266) = 0) * (CK266 &lt;&gt; 0)</f>
        <v>0</v>
      </c>
      <c r="CL311" s="52">
        <f ca="1" xml:space="preserve"> (SUM(CM266:$CO266) = 0) * (CL266 &lt;&gt; 0)</f>
        <v>0</v>
      </c>
      <c r="CM311" s="52">
        <f ca="1" xml:space="preserve"> (SUM(CN266:$CO266) = 0) * (CM266 &lt;&gt; 0)</f>
        <v>0</v>
      </c>
      <c r="CN311" s="52">
        <f ca="1" xml:space="preserve"> (SUM(CO266:$CO266) = 0) * (CN266 &lt;&gt; 0)</f>
        <v>0</v>
      </c>
      <c r="CO311" s="52">
        <f ca="1" xml:space="preserve"> (SUM($CO266:CP266) = 0) * (CO266 &lt;&gt; 0)</f>
        <v>0</v>
      </c>
    </row>
    <row r="312" spans="1:93">
      <c r="A312" s="77"/>
      <c r="B312" s="10"/>
      <c r="C312" s="21" t="str">
        <f xml:space="preserve"> "Флаг - ввод в эксплуатацию - Сегмент 0 - " &amp; C34</f>
        <v>Флаг - ввод в эксплуатацию - Сегмент 0 - Прочая обеспечивающая инфраструктура</v>
      </c>
      <c r="D312" s="10"/>
      <c r="E312" s="62"/>
      <c r="F312" s="11"/>
      <c r="G312" s="134" t="str">
        <f t="shared" ca="1" si="1454"/>
        <v>0..0</v>
      </c>
      <c r="H312" s="10"/>
      <c r="I312" s="23">
        <f t="shared" ca="1" si="1455"/>
        <v>0</v>
      </c>
      <c r="J312" s="10"/>
      <c r="K312" s="10"/>
      <c r="L312" s="52">
        <f ca="1" xml:space="preserve"> (SUM(M267:$CO267) = 0) * (L267 &lt;&gt; 0)</f>
        <v>0</v>
      </c>
      <c r="M312" s="52">
        <f ca="1" xml:space="preserve"> (SUM(N267:$CO267) = 0) * (M267 &lt;&gt; 0)</f>
        <v>0</v>
      </c>
      <c r="N312" s="52">
        <f ca="1" xml:space="preserve"> (SUM(O267:$CO267) = 0) * (N267 &lt;&gt; 0)</f>
        <v>0</v>
      </c>
      <c r="O312" s="52">
        <f ca="1" xml:space="preserve"> (SUM(P267:$CO267) = 0) * (O267 &lt;&gt; 0)</f>
        <v>0</v>
      </c>
      <c r="P312" s="52">
        <f ca="1" xml:space="preserve"> (SUM(Q267:$CO267) = 0) * (P267 &lt;&gt; 0)</f>
        <v>0</v>
      </c>
      <c r="Q312" s="52">
        <f ca="1" xml:space="preserve"> (SUM(R267:$CO267) = 0) * (Q267 &lt;&gt; 0)</f>
        <v>0</v>
      </c>
      <c r="R312" s="52">
        <f ca="1" xml:space="preserve"> (SUM(S267:$CO267) = 0) * (R267 &lt;&gt; 0)</f>
        <v>0</v>
      </c>
      <c r="S312" s="52">
        <f ca="1" xml:space="preserve"> (SUM(T267:$CO267) = 0) * (S267 &lt;&gt; 0)</f>
        <v>0</v>
      </c>
      <c r="T312" s="52">
        <f ca="1" xml:space="preserve"> (SUM(U267:$CO267) = 0) * (T267 &lt;&gt; 0)</f>
        <v>0</v>
      </c>
      <c r="U312" s="52">
        <f ca="1" xml:space="preserve"> (SUM(V267:$CO267) = 0) * (U267 &lt;&gt; 0)</f>
        <v>0</v>
      </c>
      <c r="V312" s="52">
        <f ca="1" xml:space="preserve"> (SUM(W267:$CO267) = 0) * (V267 &lt;&gt; 0)</f>
        <v>0</v>
      </c>
      <c r="W312" s="52">
        <f ca="1" xml:space="preserve"> (SUM(X267:$CO267) = 0) * (W267 &lt;&gt; 0)</f>
        <v>0</v>
      </c>
      <c r="X312" s="52">
        <f ca="1" xml:space="preserve"> (SUM(Y267:$CO267) = 0) * (X267 &lt;&gt; 0)</f>
        <v>0</v>
      </c>
      <c r="Y312" s="52">
        <f ca="1" xml:space="preserve"> (SUM(Z267:$CO267) = 0) * (Y267 &lt;&gt; 0)</f>
        <v>0</v>
      </c>
      <c r="Z312" s="52">
        <f ca="1" xml:space="preserve"> (SUM(AA267:$CO267) = 0) * (Z267 &lt;&gt; 0)</f>
        <v>0</v>
      </c>
      <c r="AA312" s="52">
        <f ca="1" xml:space="preserve"> (SUM(AB267:$CO267) = 0) * (AA267 &lt;&gt; 0)</f>
        <v>0</v>
      </c>
      <c r="AB312" s="52">
        <f ca="1" xml:space="preserve"> (SUM(AC267:$CO267) = 0) * (AB267 &lt;&gt; 0)</f>
        <v>0</v>
      </c>
      <c r="AC312" s="52">
        <f ca="1" xml:space="preserve"> (SUM(AD267:$CO267) = 0) * (AC267 &lt;&gt; 0)</f>
        <v>0</v>
      </c>
      <c r="AD312" s="52">
        <f ca="1" xml:space="preserve"> (SUM(AE267:$CO267) = 0) * (AD267 &lt;&gt; 0)</f>
        <v>0</v>
      </c>
      <c r="AE312" s="52">
        <f ca="1" xml:space="preserve"> (SUM(AF267:$CO267) = 0) * (AE267 &lt;&gt; 0)</f>
        <v>0</v>
      </c>
      <c r="AF312" s="52">
        <f ca="1" xml:space="preserve"> (SUM(AG267:$CO267) = 0) * (AF267 &lt;&gt; 0)</f>
        <v>0</v>
      </c>
      <c r="AG312" s="52">
        <f ca="1" xml:space="preserve"> (SUM(AH267:$CO267) = 0) * (AG267 &lt;&gt; 0)</f>
        <v>0</v>
      </c>
      <c r="AH312" s="52">
        <f ca="1" xml:space="preserve"> (SUM(AI267:$CO267) = 0) * (AH267 &lt;&gt; 0)</f>
        <v>0</v>
      </c>
      <c r="AI312" s="52">
        <f ca="1" xml:space="preserve"> (SUM(AJ267:$CO267) = 0) * (AI267 &lt;&gt; 0)</f>
        <v>0</v>
      </c>
      <c r="AJ312" s="52">
        <f ca="1" xml:space="preserve"> (SUM(AK267:$CO267) = 0) * (AJ267 &lt;&gt; 0)</f>
        <v>0</v>
      </c>
      <c r="AK312" s="52">
        <f ca="1" xml:space="preserve"> (SUM(AL267:$CO267) = 0) * (AK267 &lt;&gt; 0)</f>
        <v>0</v>
      </c>
      <c r="AL312" s="52">
        <f ca="1" xml:space="preserve"> (SUM(AM267:$CO267) = 0) * (AL267 &lt;&gt; 0)</f>
        <v>0</v>
      </c>
      <c r="AM312" s="52">
        <f ca="1" xml:space="preserve"> (SUM(AN267:$CO267) = 0) * (AM267 &lt;&gt; 0)</f>
        <v>0</v>
      </c>
      <c r="AN312" s="52">
        <f ca="1" xml:space="preserve"> (SUM(AO267:$CO267) = 0) * (AN267 &lt;&gt; 0)</f>
        <v>0</v>
      </c>
      <c r="AO312" s="52">
        <f ca="1" xml:space="preserve"> (SUM(AP267:$CO267) = 0) * (AO267 &lt;&gt; 0)</f>
        <v>0</v>
      </c>
      <c r="AP312" s="52">
        <f ca="1" xml:space="preserve"> (SUM(AQ267:$CO267) = 0) * (AP267 &lt;&gt; 0)</f>
        <v>0</v>
      </c>
      <c r="AQ312" s="52">
        <f ca="1" xml:space="preserve"> (SUM(AR267:$CO267) = 0) * (AQ267 &lt;&gt; 0)</f>
        <v>0</v>
      </c>
      <c r="AR312" s="52">
        <f ca="1" xml:space="preserve"> (SUM(AS267:$CO267) = 0) * (AR267 &lt;&gt; 0)</f>
        <v>0</v>
      </c>
      <c r="AS312" s="52">
        <f ca="1" xml:space="preserve"> (SUM(AT267:$CO267) = 0) * (AS267 &lt;&gt; 0)</f>
        <v>0</v>
      </c>
      <c r="AT312" s="52">
        <f ca="1" xml:space="preserve"> (SUM(AU267:$CO267) = 0) * (AT267 &lt;&gt; 0)</f>
        <v>0</v>
      </c>
      <c r="AU312" s="52">
        <f ca="1" xml:space="preserve"> (SUM(AV267:$CO267) = 0) * (AU267 &lt;&gt; 0)</f>
        <v>0</v>
      </c>
      <c r="AV312" s="52">
        <f ca="1" xml:space="preserve"> (SUM(AW267:$CO267) = 0) * (AV267 &lt;&gt; 0)</f>
        <v>0</v>
      </c>
      <c r="AW312" s="52">
        <f ca="1" xml:space="preserve"> (SUM(AX267:$CO267) = 0) * (AW267 &lt;&gt; 0)</f>
        <v>0</v>
      </c>
      <c r="AX312" s="52">
        <f ca="1" xml:space="preserve"> (SUM(AY267:$CO267) = 0) * (AX267 &lt;&gt; 0)</f>
        <v>0</v>
      </c>
      <c r="AY312" s="52">
        <f ca="1" xml:space="preserve"> (SUM(AZ267:$CO267) = 0) * (AY267 &lt;&gt; 0)</f>
        <v>0</v>
      </c>
      <c r="AZ312" s="52">
        <f ca="1" xml:space="preserve"> (SUM(BA267:$CO267) = 0) * (AZ267 &lt;&gt; 0)</f>
        <v>0</v>
      </c>
      <c r="BA312" s="52">
        <f ca="1" xml:space="preserve"> (SUM(BB267:$CO267) = 0) * (BA267 &lt;&gt; 0)</f>
        <v>0</v>
      </c>
      <c r="BB312" s="52">
        <f ca="1" xml:space="preserve"> (SUM(BC267:$CO267) = 0) * (BB267 &lt;&gt; 0)</f>
        <v>0</v>
      </c>
      <c r="BC312" s="52">
        <f ca="1" xml:space="preserve"> (SUM(BD267:$CO267) = 0) * (BC267 &lt;&gt; 0)</f>
        <v>0</v>
      </c>
      <c r="BD312" s="52">
        <f ca="1" xml:space="preserve"> (SUM(BE267:$CO267) = 0) * (BD267 &lt;&gt; 0)</f>
        <v>0</v>
      </c>
      <c r="BE312" s="52">
        <f ca="1" xml:space="preserve"> (SUM(BF267:$CO267) = 0) * (BE267 &lt;&gt; 0)</f>
        <v>0</v>
      </c>
      <c r="BF312" s="52">
        <f ca="1" xml:space="preserve"> (SUM(BG267:$CO267) = 0) * (BF267 &lt;&gt; 0)</f>
        <v>0</v>
      </c>
      <c r="BG312" s="52">
        <f ca="1" xml:space="preserve"> (SUM(BH267:$CO267) = 0) * (BG267 &lt;&gt; 0)</f>
        <v>0</v>
      </c>
      <c r="BH312" s="52">
        <f ca="1" xml:space="preserve"> (SUM(BI267:$CO267) = 0) * (BH267 &lt;&gt; 0)</f>
        <v>0</v>
      </c>
      <c r="BI312" s="52">
        <f ca="1" xml:space="preserve"> (SUM(BJ267:$CO267) = 0) * (BI267 &lt;&gt; 0)</f>
        <v>0</v>
      </c>
      <c r="BJ312" s="52">
        <f ca="1" xml:space="preserve"> (SUM(BK267:$CO267) = 0) * (BJ267 &lt;&gt; 0)</f>
        <v>0</v>
      </c>
      <c r="BK312" s="52">
        <f ca="1" xml:space="preserve"> (SUM(BL267:$CO267) = 0) * (BK267 &lt;&gt; 0)</f>
        <v>0</v>
      </c>
      <c r="BL312" s="52">
        <f ca="1" xml:space="preserve"> (SUM(BM267:$CO267) = 0) * (BL267 &lt;&gt; 0)</f>
        <v>0</v>
      </c>
      <c r="BM312" s="52">
        <f ca="1" xml:space="preserve"> (SUM(BN267:$CO267) = 0) * (BM267 &lt;&gt; 0)</f>
        <v>0</v>
      </c>
      <c r="BN312" s="52">
        <f ca="1" xml:space="preserve"> (SUM(BO267:$CO267) = 0) * (BN267 &lt;&gt; 0)</f>
        <v>0</v>
      </c>
      <c r="BO312" s="52">
        <f ca="1" xml:space="preserve"> (SUM(BP267:$CO267) = 0) * (BO267 &lt;&gt; 0)</f>
        <v>0</v>
      </c>
      <c r="BP312" s="52">
        <f ca="1" xml:space="preserve"> (SUM(BQ267:$CO267) = 0) * (BP267 &lt;&gt; 0)</f>
        <v>0</v>
      </c>
      <c r="BQ312" s="52">
        <f ca="1" xml:space="preserve"> (SUM(BR267:$CO267) = 0) * (BQ267 &lt;&gt; 0)</f>
        <v>0</v>
      </c>
      <c r="BR312" s="52">
        <f ca="1" xml:space="preserve"> (SUM(BS267:$CO267) = 0) * (BR267 &lt;&gt; 0)</f>
        <v>0</v>
      </c>
      <c r="BS312" s="52">
        <f ca="1" xml:space="preserve"> (SUM(BT267:$CO267) = 0) * (BS267 &lt;&gt; 0)</f>
        <v>0</v>
      </c>
      <c r="BT312" s="52">
        <f ca="1" xml:space="preserve"> (SUM(BU267:$CO267) = 0) * (BT267 &lt;&gt; 0)</f>
        <v>0</v>
      </c>
      <c r="BU312" s="52">
        <f ca="1" xml:space="preserve"> (SUM(BV267:$CO267) = 0) * (BU267 &lt;&gt; 0)</f>
        <v>0</v>
      </c>
      <c r="BV312" s="52">
        <f ca="1" xml:space="preserve"> (SUM(BW267:$CO267) = 0) * (BV267 &lt;&gt; 0)</f>
        <v>0</v>
      </c>
      <c r="BW312" s="52">
        <f ca="1" xml:space="preserve"> (SUM(BX267:$CO267) = 0) * (BW267 &lt;&gt; 0)</f>
        <v>0</v>
      </c>
      <c r="BX312" s="52">
        <f ca="1" xml:space="preserve"> (SUM(BY267:$CO267) = 0) * (BX267 &lt;&gt; 0)</f>
        <v>0</v>
      </c>
      <c r="BY312" s="52">
        <f ca="1" xml:space="preserve"> (SUM(BZ267:$CO267) = 0) * (BY267 &lt;&gt; 0)</f>
        <v>0</v>
      </c>
      <c r="BZ312" s="52">
        <f ca="1" xml:space="preserve"> (SUM(CA267:$CO267) = 0) * (BZ267 &lt;&gt; 0)</f>
        <v>0</v>
      </c>
      <c r="CA312" s="52">
        <f ca="1" xml:space="preserve"> (SUM(CB267:$CO267) = 0) * (CA267 &lt;&gt; 0)</f>
        <v>0</v>
      </c>
      <c r="CB312" s="52">
        <f ca="1" xml:space="preserve"> (SUM(CC267:$CO267) = 0) * (CB267 &lt;&gt; 0)</f>
        <v>0</v>
      </c>
      <c r="CC312" s="52">
        <f ca="1" xml:space="preserve"> (SUM(CD267:$CO267) = 0) * (CC267 &lt;&gt; 0)</f>
        <v>0</v>
      </c>
      <c r="CD312" s="52">
        <f ca="1" xml:space="preserve"> (SUM(CE267:$CO267) = 0) * (CD267 &lt;&gt; 0)</f>
        <v>0</v>
      </c>
      <c r="CE312" s="52">
        <f ca="1" xml:space="preserve"> (SUM(CF267:$CO267) = 0) * (CE267 &lt;&gt; 0)</f>
        <v>0</v>
      </c>
      <c r="CF312" s="52">
        <f ca="1" xml:space="preserve"> (SUM(CG267:$CO267) = 0) * (CF267 &lt;&gt; 0)</f>
        <v>0</v>
      </c>
      <c r="CG312" s="52">
        <f ca="1" xml:space="preserve"> (SUM(CH267:$CO267) = 0) * (CG267 &lt;&gt; 0)</f>
        <v>0</v>
      </c>
      <c r="CH312" s="52">
        <f ca="1" xml:space="preserve"> (SUM(CI267:$CO267) = 0) * (CH267 &lt;&gt; 0)</f>
        <v>0</v>
      </c>
      <c r="CI312" s="52">
        <f ca="1" xml:space="preserve"> (SUM(CJ267:$CO267) = 0) * (CI267 &lt;&gt; 0)</f>
        <v>0</v>
      </c>
      <c r="CJ312" s="52">
        <f ca="1" xml:space="preserve"> (SUM(CK267:$CO267) = 0) * (CJ267 &lt;&gt; 0)</f>
        <v>0</v>
      </c>
      <c r="CK312" s="52">
        <f ca="1" xml:space="preserve"> (SUM(CL267:$CO267) = 0) * (CK267 &lt;&gt; 0)</f>
        <v>0</v>
      </c>
      <c r="CL312" s="52">
        <f ca="1" xml:space="preserve"> (SUM(CM267:$CO267) = 0) * (CL267 &lt;&gt; 0)</f>
        <v>0</v>
      </c>
      <c r="CM312" s="52">
        <f ca="1" xml:space="preserve"> (SUM(CN267:$CO267) = 0) * (CM267 &lt;&gt; 0)</f>
        <v>0</v>
      </c>
      <c r="CN312" s="52">
        <f ca="1" xml:space="preserve"> (SUM(CO267:$CO267) = 0) * (CN267 &lt;&gt; 0)</f>
        <v>0</v>
      </c>
      <c r="CO312" s="52">
        <f ca="1" xml:space="preserve"> (SUM($CO267:CP267) = 0) * (CO267 &lt;&gt; 0)</f>
        <v>0</v>
      </c>
    </row>
    <row r="313" spans="1:93">
      <c r="A313" s="77"/>
      <c r="B313" s="10"/>
      <c r="C313" s="21" t="str">
        <f xml:space="preserve"> "Флаг - ввод в эксплуатацию - " &amp; C95</f>
        <v>Флаг - ввод в эксплуатацию - Сегмент 1: Объект размещения (отель)</v>
      </c>
      <c r="D313" s="10"/>
      <c r="E313" s="62"/>
      <c r="F313" s="11"/>
      <c r="G313" s="134" t="str">
        <f t="shared" ca="1" si="1454"/>
        <v>0..1</v>
      </c>
      <c r="H313" s="10"/>
      <c r="I313" s="23">
        <f t="shared" ca="1" si="1455"/>
        <v>1</v>
      </c>
      <c r="J313" s="10"/>
      <c r="K313" s="10"/>
      <c r="L313" s="52">
        <f ca="1" xml:space="preserve"> (SUM(M268:$CO268) = 0) * (L268 &lt;&gt; 0)</f>
        <v>0</v>
      </c>
      <c r="M313" s="52">
        <f ca="1" xml:space="preserve"> (SUM(N268:$CO268) = 0) * (M268 &lt;&gt; 0)</f>
        <v>0</v>
      </c>
      <c r="N313" s="52">
        <f ca="1" xml:space="preserve"> (SUM(O268:$CO268) = 0) * (N268 &lt;&gt; 0)</f>
        <v>0</v>
      </c>
      <c r="O313" s="52">
        <f ca="1" xml:space="preserve"> (SUM(P268:$CO268) = 0) * (O268 &lt;&gt; 0)</f>
        <v>0</v>
      </c>
      <c r="P313" s="52">
        <f ca="1" xml:space="preserve"> (SUM(Q268:$CO268) = 0) * (P268 &lt;&gt; 0)</f>
        <v>0</v>
      </c>
      <c r="Q313" s="52">
        <f ca="1" xml:space="preserve"> (SUM(R268:$CO268) = 0) * (Q268 &lt;&gt; 0)</f>
        <v>0</v>
      </c>
      <c r="R313" s="52">
        <f ca="1" xml:space="preserve"> (SUM(S268:$CO268) = 0) * (R268 &lt;&gt; 0)</f>
        <v>0</v>
      </c>
      <c r="S313" s="52">
        <f ca="1" xml:space="preserve"> (SUM(T268:$CO268) = 0) * (S268 &lt;&gt; 0)</f>
        <v>0</v>
      </c>
      <c r="T313" s="52">
        <f ca="1" xml:space="preserve"> (SUM(U268:$CO268) = 0) * (T268 &lt;&gt; 0)</f>
        <v>0</v>
      </c>
      <c r="U313" s="52">
        <f ca="1" xml:space="preserve"> (SUM(V268:$CO268) = 0) * (U268 &lt;&gt; 0)</f>
        <v>0</v>
      </c>
      <c r="V313" s="52">
        <f ca="1" xml:space="preserve"> (SUM(W268:$CO268) = 0) * (V268 &lt;&gt; 0)</f>
        <v>0</v>
      </c>
      <c r="W313" s="52">
        <f ca="1" xml:space="preserve"> (SUM(X268:$CO268) = 0) * (W268 &lt;&gt; 0)</f>
        <v>0</v>
      </c>
      <c r="X313" s="52">
        <f ca="1" xml:space="preserve"> (SUM(Y268:$CO268) = 0) * (X268 &lt;&gt; 0)</f>
        <v>0</v>
      </c>
      <c r="Y313" s="52">
        <f ca="1" xml:space="preserve"> (SUM(Z268:$CO268) = 0) * (Y268 &lt;&gt; 0)</f>
        <v>0</v>
      </c>
      <c r="Z313" s="52">
        <f ca="1" xml:space="preserve"> (SUM(AA268:$CO268) = 0) * (Z268 &lt;&gt; 0)</f>
        <v>0</v>
      </c>
      <c r="AA313" s="52">
        <f ca="1" xml:space="preserve"> (SUM(AB268:$CO268) = 0) * (AA268 &lt;&gt; 0)</f>
        <v>0</v>
      </c>
      <c r="AB313" s="52">
        <f ca="1" xml:space="preserve"> (SUM(AC268:$CO268) = 0) * (AB268 &lt;&gt; 0)</f>
        <v>1</v>
      </c>
      <c r="AC313" s="52">
        <f ca="1" xml:space="preserve"> (SUM(AD268:$CO268) = 0) * (AC268 &lt;&gt; 0)</f>
        <v>0</v>
      </c>
      <c r="AD313" s="52">
        <f ca="1" xml:space="preserve"> (SUM(AE268:$CO268) = 0) * (AD268 &lt;&gt; 0)</f>
        <v>0</v>
      </c>
      <c r="AE313" s="52">
        <f ca="1" xml:space="preserve"> (SUM(AF268:$CO268) = 0) * (AE268 &lt;&gt; 0)</f>
        <v>0</v>
      </c>
      <c r="AF313" s="52">
        <f ca="1" xml:space="preserve"> (SUM(AG268:$CO268) = 0) * (AF268 &lt;&gt; 0)</f>
        <v>0</v>
      </c>
      <c r="AG313" s="52">
        <f ca="1" xml:space="preserve"> (SUM(AH268:$CO268) = 0) * (AG268 &lt;&gt; 0)</f>
        <v>0</v>
      </c>
      <c r="AH313" s="52">
        <f ca="1" xml:space="preserve"> (SUM(AI268:$CO268) = 0) * (AH268 &lt;&gt; 0)</f>
        <v>0</v>
      </c>
      <c r="AI313" s="52">
        <f ca="1" xml:space="preserve"> (SUM(AJ268:$CO268) = 0) * (AI268 &lt;&gt; 0)</f>
        <v>0</v>
      </c>
      <c r="AJ313" s="52">
        <f ca="1" xml:space="preserve"> (SUM(AK268:$CO268) = 0) * (AJ268 &lt;&gt; 0)</f>
        <v>0</v>
      </c>
      <c r="AK313" s="52">
        <f ca="1" xml:space="preserve"> (SUM(AL268:$CO268) = 0) * (AK268 &lt;&gt; 0)</f>
        <v>0</v>
      </c>
      <c r="AL313" s="52">
        <f ca="1" xml:space="preserve"> (SUM(AM268:$CO268) = 0) * (AL268 &lt;&gt; 0)</f>
        <v>0</v>
      </c>
      <c r="AM313" s="52">
        <f ca="1" xml:space="preserve"> (SUM(AN268:$CO268) = 0) * (AM268 &lt;&gt; 0)</f>
        <v>0</v>
      </c>
      <c r="AN313" s="52">
        <f ca="1" xml:space="preserve"> (SUM(AO268:$CO268) = 0) * (AN268 &lt;&gt; 0)</f>
        <v>0</v>
      </c>
      <c r="AO313" s="52">
        <f ca="1" xml:space="preserve"> (SUM(AP268:$CO268) = 0) * (AO268 &lt;&gt; 0)</f>
        <v>0</v>
      </c>
      <c r="AP313" s="52">
        <f ca="1" xml:space="preserve"> (SUM(AQ268:$CO268) = 0) * (AP268 &lt;&gt; 0)</f>
        <v>0</v>
      </c>
      <c r="AQ313" s="52">
        <f ca="1" xml:space="preserve"> (SUM(AR268:$CO268) = 0) * (AQ268 &lt;&gt; 0)</f>
        <v>0</v>
      </c>
      <c r="AR313" s="52">
        <f ca="1" xml:space="preserve"> (SUM(AS268:$CO268) = 0) * (AR268 &lt;&gt; 0)</f>
        <v>0</v>
      </c>
      <c r="AS313" s="52">
        <f ca="1" xml:space="preserve"> (SUM(AT268:$CO268) = 0) * (AS268 &lt;&gt; 0)</f>
        <v>0</v>
      </c>
      <c r="AT313" s="52">
        <f ca="1" xml:space="preserve"> (SUM(AU268:$CO268) = 0) * (AT268 &lt;&gt; 0)</f>
        <v>0</v>
      </c>
      <c r="AU313" s="52">
        <f ca="1" xml:space="preserve"> (SUM(AV268:$CO268) = 0) * (AU268 &lt;&gt; 0)</f>
        <v>0</v>
      </c>
      <c r="AV313" s="52">
        <f ca="1" xml:space="preserve"> (SUM(AW268:$CO268) = 0) * (AV268 &lt;&gt; 0)</f>
        <v>0</v>
      </c>
      <c r="AW313" s="52">
        <f ca="1" xml:space="preserve"> (SUM(AX268:$CO268) = 0) * (AW268 &lt;&gt; 0)</f>
        <v>0</v>
      </c>
      <c r="AX313" s="52">
        <f ca="1" xml:space="preserve"> (SUM(AY268:$CO268) = 0) * (AX268 &lt;&gt; 0)</f>
        <v>0</v>
      </c>
      <c r="AY313" s="52">
        <f ca="1" xml:space="preserve"> (SUM(AZ268:$CO268) = 0) * (AY268 &lt;&gt; 0)</f>
        <v>0</v>
      </c>
      <c r="AZ313" s="52">
        <f ca="1" xml:space="preserve"> (SUM(BA268:$CO268) = 0) * (AZ268 &lt;&gt; 0)</f>
        <v>0</v>
      </c>
      <c r="BA313" s="52">
        <f ca="1" xml:space="preserve"> (SUM(BB268:$CO268) = 0) * (BA268 &lt;&gt; 0)</f>
        <v>0</v>
      </c>
      <c r="BB313" s="52">
        <f ca="1" xml:space="preserve"> (SUM(BC268:$CO268) = 0) * (BB268 &lt;&gt; 0)</f>
        <v>0</v>
      </c>
      <c r="BC313" s="52">
        <f ca="1" xml:space="preserve"> (SUM(BD268:$CO268) = 0) * (BC268 &lt;&gt; 0)</f>
        <v>0</v>
      </c>
      <c r="BD313" s="52">
        <f ca="1" xml:space="preserve"> (SUM(BE268:$CO268) = 0) * (BD268 &lt;&gt; 0)</f>
        <v>0</v>
      </c>
      <c r="BE313" s="52">
        <f ca="1" xml:space="preserve"> (SUM(BF268:$CO268) = 0) * (BE268 &lt;&gt; 0)</f>
        <v>0</v>
      </c>
      <c r="BF313" s="52">
        <f ca="1" xml:space="preserve"> (SUM(BG268:$CO268) = 0) * (BF268 &lt;&gt; 0)</f>
        <v>0</v>
      </c>
      <c r="BG313" s="52">
        <f ca="1" xml:space="preserve"> (SUM(BH268:$CO268) = 0) * (BG268 &lt;&gt; 0)</f>
        <v>0</v>
      </c>
      <c r="BH313" s="52">
        <f ca="1" xml:space="preserve"> (SUM(BI268:$CO268) = 0) * (BH268 &lt;&gt; 0)</f>
        <v>0</v>
      </c>
      <c r="BI313" s="52">
        <f ca="1" xml:space="preserve"> (SUM(BJ268:$CO268) = 0) * (BI268 &lt;&gt; 0)</f>
        <v>0</v>
      </c>
      <c r="BJ313" s="52">
        <f ca="1" xml:space="preserve"> (SUM(BK268:$CO268) = 0) * (BJ268 &lt;&gt; 0)</f>
        <v>0</v>
      </c>
      <c r="BK313" s="52">
        <f ca="1" xml:space="preserve"> (SUM(BL268:$CO268) = 0) * (BK268 &lt;&gt; 0)</f>
        <v>0</v>
      </c>
      <c r="BL313" s="52">
        <f ca="1" xml:space="preserve"> (SUM(BM268:$CO268) = 0) * (BL268 &lt;&gt; 0)</f>
        <v>0</v>
      </c>
      <c r="BM313" s="52">
        <f ca="1" xml:space="preserve"> (SUM(BN268:$CO268) = 0) * (BM268 &lt;&gt; 0)</f>
        <v>0</v>
      </c>
      <c r="BN313" s="52">
        <f ca="1" xml:space="preserve"> (SUM(BO268:$CO268) = 0) * (BN268 &lt;&gt; 0)</f>
        <v>0</v>
      </c>
      <c r="BO313" s="52">
        <f ca="1" xml:space="preserve"> (SUM(BP268:$CO268) = 0) * (BO268 &lt;&gt; 0)</f>
        <v>0</v>
      </c>
      <c r="BP313" s="52">
        <f ca="1" xml:space="preserve"> (SUM(BQ268:$CO268) = 0) * (BP268 &lt;&gt; 0)</f>
        <v>0</v>
      </c>
      <c r="BQ313" s="52">
        <f ca="1" xml:space="preserve"> (SUM(BR268:$CO268) = 0) * (BQ268 &lt;&gt; 0)</f>
        <v>0</v>
      </c>
      <c r="BR313" s="52">
        <f ca="1" xml:space="preserve"> (SUM(BS268:$CO268) = 0) * (BR268 &lt;&gt; 0)</f>
        <v>0</v>
      </c>
      <c r="BS313" s="52">
        <f ca="1" xml:space="preserve"> (SUM(BT268:$CO268) = 0) * (BS268 &lt;&gt; 0)</f>
        <v>0</v>
      </c>
      <c r="BT313" s="52">
        <f ca="1" xml:space="preserve"> (SUM(BU268:$CO268) = 0) * (BT268 &lt;&gt; 0)</f>
        <v>0</v>
      </c>
      <c r="BU313" s="52">
        <f ca="1" xml:space="preserve"> (SUM(BV268:$CO268) = 0) * (BU268 &lt;&gt; 0)</f>
        <v>0</v>
      </c>
      <c r="BV313" s="52">
        <f ca="1" xml:space="preserve"> (SUM(BW268:$CO268) = 0) * (BV268 &lt;&gt; 0)</f>
        <v>0</v>
      </c>
      <c r="BW313" s="52">
        <f ca="1" xml:space="preserve"> (SUM(BX268:$CO268) = 0) * (BW268 &lt;&gt; 0)</f>
        <v>0</v>
      </c>
      <c r="BX313" s="52">
        <f ca="1" xml:space="preserve"> (SUM(BY268:$CO268) = 0) * (BX268 &lt;&gt; 0)</f>
        <v>0</v>
      </c>
      <c r="BY313" s="52">
        <f ca="1" xml:space="preserve"> (SUM(BZ268:$CO268) = 0) * (BY268 &lt;&gt; 0)</f>
        <v>0</v>
      </c>
      <c r="BZ313" s="52">
        <f ca="1" xml:space="preserve"> (SUM(CA268:$CO268) = 0) * (BZ268 &lt;&gt; 0)</f>
        <v>0</v>
      </c>
      <c r="CA313" s="52">
        <f ca="1" xml:space="preserve"> (SUM(CB268:$CO268) = 0) * (CA268 &lt;&gt; 0)</f>
        <v>0</v>
      </c>
      <c r="CB313" s="52">
        <f ca="1" xml:space="preserve"> (SUM(CC268:$CO268) = 0) * (CB268 &lt;&gt; 0)</f>
        <v>0</v>
      </c>
      <c r="CC313" s="52">
        <f ca="1" xml:space="preserve"> (SUM(CD268:$CO268) = 0) * (CC268 &lt;&gt; 0)</f>
        <v>0</v>
      </c>
      <c r="CD313" s="52">
        <f ca="1" xml:space="preserve"> (SUM(CE268:$CO268) = 0) * (CD268 &lt;&gt; 0)</f>
        <v>0</v>
      </c>
      <c r="CE313" s="52">
        <f ca="1" xml:space="preserve"> (SUM(CF268:$CO268) = 0) * (CE268 &lt;&gt; 0)</f>
        <v>0</v>
      </c>
      <c r="CF313" s="52">
        <f ca="1" xml:space="preserve"> (SUM(CG268:$CO268) = 0) * (CF268 &lt;&gt; 0)</f>
        <v>0</v>
      </c>
      <c r="CG313" s="52">
        <f ca="1" xml:space="preserve"> (SUM(CH268:$CO268) = 0) * (CG268 &lt;&gt; 0)</f>
        <v>0</v>
      </c>
      <c r="CH313" s="52">
        <f ca="1" xml:space="preserve"> (SUM(CI268:$CO268) = 0) * (CH268 &lt;&gt; 0)</f>
        <v>0</v>
      </c>
      <c r="CI313" s="52">
        <f ca="1" xml:space="preserve"> (SUM(CJ268:$CO268) = 0) * (CI268 &lt;&gt; 0)</f>
        <v>0</v>
      </c>
      <c r="CJ313" s="52">
        <f ca="1" xml:space="preserve"> (SUM(CK268:$CO268) = 0) * (CJ268 &lt;&gt; 0)</f>
        <v>0</v>
      </c>
      <c r="CK313" s="52">
        <f ca="1" xml:space="preserve"> (SUM(CL268:$CO268) = 0) * (CK268 &lt;&gt; 0)</f>
        <v>0</v>
      </c>
      <c r="CL313" s="52">
        <f ca="1" xml:space="preserve"> (SUM(CM268:$CO268) = 0) * (CL268 &lt;&gt; 0)</f>
        <v>0</v>
      </c>
      <c r="CM313" s="52">
        <f ca="1" xml:space="preserve"> (SUM(CN268:$CO268) = 0) * (CM268 &lt;&gt; 0)</f>
        <v>0</v>
      </c>
      <c r="CN313" s="52">
        <f ca="1" xml:space="preserve"> (SUM(CO268:$CO268) = 0) * (CN268 &lt;&gt; 0)</f>
        <v>0</v>
      </c>
      <c r="CO313" s="52">
        <f ca="1" xml:space="preserve"> (SUM($CO268:CP268) = 0) * (CO268 &lt;&gt; 0)</f>
        <v>0</v>
      </c>
    </row>
    <row r="314" spans="1:93">
      <c r="A314" s="77"/>
      <c r="B314" s="10"/>
      <c r="C314" s="21" t="s">
        <v>1133</v>
      </c>
      <c r="D314" s="10"/>
      <c r="E314" s="62"/>
      <c r="F314" s="11"/>
      <c r="G314" s="134" t="str">
        <f t="shared" si="1454"/>
        <v>0..0</v>
      </c>
      <c r="H314" s="10"/>
      <c r="I314" s="23">
        <f t="shared" ref="I314" si="1456">SUM(L314:CO314)</f>
        <v>0</v>
      </c>
      <c r="J314" s="10"/>
      <c r="K314" s="10"/>
      <c r="L314" s="52">
        <f xml:space="preserve"> (Beginning_of_period &lt;=Предпосылки!$E$156) * (End_of_period &gt;=Предпосылки!$E$156)</f>
        <v>0</v>
      </c>
      <c r="M314" s="52">
        <f xml:space="preserve"> (Beginning_of_period &lt;=Предпосылки!$E$156) * (End_of_period &gt;=Предпосылки!$E$156)</f>
        <v>0</v>
      </c>
      <c r="N314" s="52">
        <f xml:space="preserve"> (Beginning_of_period &lt;=Предпосылки!$E$156) * (End_of_period &gt;=Предпосылки!$E$156)</f>
        <v>0</v>
      </c>
      <c r="O314" s="52">
        <f xml:space="preserve"> (Beginning_of_period &lt;=Предпосылки!$E$156) * (End_of_period &gt;=Предпосылки!$E$156)</f>
        <v>0</v>
      </c>
      <c r="P314" s="52">
        <f xml:space="preserve"> (Beginning_of_period &lt;=Предпосылки!$E$156) * (End_of_period &gt;=Предпосылки!$E$156)</f>
        <v>0</v>
      </c>
      <c r="Q314" s="52">
        <f xml:space="preserve"> (Beginning_of_period &lt;=Предпосылки!$E$156) * (End_of_period &gt;=Предпосылки!$E$156)</f>
        <v>0</v>
      </c>
      <c r="R314" s="52">
        <f xml:space="preserve"> (Beginning_of_period &lt;=Предпосылки!$E$156) * (End_of_period &gt;=Предпосылки!$E$156)</f>
        <v>0</v>
      </c>
      <c r="S314" s="52">
        <f xml:space="preserve"> (Beginning_of_period &lt;=Предпосылки!$E$156) * (End_of_period &gt;=Предпосылки!$E$156)</f>
        <v>0</v>
      </c>
      <c r="T314" s="52">
        <f xml:space="preserve"> (Beginning_of_period &lt;=Предпосылки!$E$156) * (End_of_period &gt;=Предпосылки!$E$156)</f>
        <v>0</v>
      </c>
      <c r="U314" s="52">
        <f xml:space="preserve"> (Beginning_of_period &lt;=Предпосылки!$E$156) * (End_of_period &gt;=Предпосылки!$E$156)</f>
        <v>0</v>
      </c>
      <c r="V314" s="52">
        <f xml:space="preserve"> (Beginning_of_period &lt;=Предпосылки!$E$156) * (End_of_period &gt;=Предпосылки!$E$156)</f>
        <v>0</v>
      </c>
      <c r="W314" s="52">
        <f xml:space="preserve"> (Beginning_of_period &lt;=Предпосылки!$E$156) * (End_of_period &gt;=Предпосылки!$E$156)</f>
        <v>0</v>
      </c>
      <c r="X314" s="52">
        <f xml:space="preserve"> (Beginning_of_period &lt;=Предпосылки!$E$156) * (End_of_period &gt;=Предпосылки!$E$156)</f>
        <v>0</v>
      </c>
      <c r="Y314" s="52">
        <f xml:space="preserve"> (Beginning_of_period &lt;=Предпосылки!$E$156) * (End_of_period &gt;=Предпосылки!$E$156)</f>
        <v>0</v>
      </c>
      <c r="Z314" s="52">
        <f xml:space="preserve"> (Beginning_of_period &lt;=Предпосылки!$E$156) * (End_of_period &gt;=Предпосылки!$E$156)</f>
        <v>0</v>
      </c>
      <c r="AA314" s="52">
        <f xml:space="preserve"> (Beginning_of_period &lt;=Предпосылки!$E$156) * (End_of_period &gt;=Предпосылки!$E$156)</f>
        <v>0</v>
      </c>
      <c r="AB314" s="52">
        <f xml:space="preserve"> (Beginning_of_period &lt;=Предпосылки!$E$156) * (End_of_period &gt;=Предпосылки!$E$156)</f>
        <v>0</v>
      </c>
      <c r="AC314" s="52">
        <f xml:space="preserve"> (Beginning_of_period &lt;=Предпосылки!$E$156) * (End_of_period &gt;=Предпосылки!$E$156)</f>
        <v>0</v>
      </c>
      <c r="AD314" s="52">
        <f xml:space="preserve"> (Beginning_of_period &lt;=Предпосылки!$E$156) * (End_of_period &gt;=Предпосылки!$E$156)</f>
        <v>0</v>
      </c>
      <c r="AE314" s="52">
        <f xml:space="preserve"> (Beginning_of_period &lt;=Предпосылки!$E$156) * (End_of_period &gt;=Предпосылки!$E$156)</f>
        <v>0</v>
      </c>
      <c r="AF314" s="52">
        <f xml:space="preserve"> (Beginning_of_period &lt;=Предпосылки!$E$156) * (End_of_period &gt;=Предпосылки!$E$156)</f>
        <v>0</v>
      </c>
      <c r="AG314" s="52">
        <f xml:space="preserve"> (Beginning_of_period &lt;=Предпосылки!$E$156) * (End_of_period &gt;=Предпосылки!$E$156)</f>
        <v>0</v>
      </c>
      <c r="AH314" s="52">
        <f xml:space="preserve"> (Beginning_of_period &lt;=Предпосылки!$E$156) * (End_of_period &gt;=Предпосылки!$E$156)</f>
        <v>0</v>
      </c>
      <c r="AI314" s="52">
        <f xml:space="preserve"> (Beginning_of_period &lt;=Предпосылки!$E$156) * (End_of_period &gt;=Предпосылки!$E$156)</f>
        <v>0</v>
      </c>
      <c r="AJ314" s="52">
        <f xml:space="preserve"> (Beginning_of_period &lt;=Предпосылки!$E$156) * (End_of_period &gt;=Предпосылки!$E$156)</f>
        <v>0</v>
      </c>
      <c r="AK314" s="52">
        <f xml:space="preserve"> (Beginning_of_period &lt;=Предпосылки!$E$156) * (End_of_period &gt;=Предпосылки!$E$156)</f>
        <v>0</v>
      </c>
      <c r="AL314" s="52">
        <f xml:space="preserve"> (Beginning_of_period &lt;=Предпосылки!$E$156) * (End_of_period &gt;=Предпосылки!$E$156)</f>
        <v>0</v>
      </c>
      <c r="AM314" s="52">
        <f xml:space="preserve"> (Beginning_of_period &lt;=Предпосылки!$E$156) * (End_of_period &gt;=Предпосылки!$E$156)</f>
        <v>0</v>
      </c>
      <c r="AN314" s="52">
        <f xml:space="preserve"> (Beginning_of_period &lt;=Предпосылки!$E$156) * (End_of_period &gt;=Предпосылки!$E$156)</f>
        <v>0</v>
      </c>
      <c r="AO314" s="52">
        <f xml:space="preserve"> (Beginning_of_period &lt;=Предпосылки!$E$156) * (End_of_period &gt;=Предпосылки!$E$156)</f>
        <v>0</v>
      </c>
      <c r="AP314" s="52">
        <f xml:space="preserve"> (Beginning_of_period &lt;=Предпосылки!$E$156) * (End_of_period &gt;=Предпосылки!$E$156)</f>
        <v>0</v>
      </c>
      <c r="AQ314" s="52">
        <f xml:space="preserve"> (Beginning_of_period &lt;=Предпосылки!$E$156) * (End_of_period &gt;=Предпосылки!$E$156)</f>
        <v>0</v>
      </c>
      <c r="AR314" s="52">
        <f xml:space="preserve"> (Beginning_of_period &lt;=Предпосылки!$E$156) * (End_of_period &gt;=Предпосылки!$E$156)</f>
        <v>0</v>
      </c>
      <c r="AS314" s="52">
        <f xml:space="preserve"> (Beginning_of_period &lt;=Предпосылки!$E$156) * (End_of_period &gt;=Предпосылки!$E$156)</f>
        <v>0</v>
      </c>
      <c r="AT314" s="52">
        <f xml:space="preserve"> (Beginning_of_period &lt;=Предпосылки!$E$156) * (End_of_period &gt;=Предпосылки!$E$156)</f>
        <v>0</v>
      </c>
      <c r="AU314" s="52">
        <f xml:space="preserve"> (Beginning_of_period &lt;=Предпосылки!$E$156) * (End_of_period &gt;=Предпосылки!$E$156)</f>
        <v>0</v>
      </c>
      <c r="AV314" s="52">
        <f xml:space="preserve"> (Beginning_of_period &lt;=Предпосылки!$E$156) * (End_of_period &gt;=Предпосылки!$E$156)</f>
        <v>0</v>
      </c>
      <c r="AW314" s="52">
        <f xml:space="preserve"> (Beginning_of_period &lt;=Предпосылки!$E$156) * (End_of_period &gt;=Предпосылки!$E$156)</f>
        <v>0</v>
      </c>
      <c r="AX314" s="52">
        <f xml:space="preserve"> (Beginning_of_period &lt;=Предпосылки!$E$156) * (End_of_period &gt;=Предпосылки!$E$156)</f>
        <v>0</v>
      </c>
      <c r="AY314" s="52">
        <f xml:space="preserve"> (Beginning_of_period &lt;=Предпосылки!$E$156) * (End_of_period &gt;=Предпосылки!$E$156)</f>
        <v>0</v>
      </c>
      <c r="AZ314" s="52">
        <f xml:space="preserve"> (Beginning_of_period &lt;=Предпосылки!$E$156) * (End_of_period &gt;=Предпосылки!$E$156)</f>
        <v>0</v>
      </c>
      <c r="BA314" s="52">
        <f xml:space="preserve"> (Beginning_of_period &lt;=Предпосылки!$E$156) * (End_of_period &gt;=Предпосылки!$E$156)</f>
        <v>0</v>
      </c>
      <c r="BB314" s="52">
        <f xml:space="preserve"> (Beginning_of_period &lt;=Предпосылки!$E$156) * (End_of_period &gt;=Предпосылки!$E$156)</f>
        <v>0</v>
      </c>
      <c r="BC314" s="52">
        <f xml:space="preserve"> (Beginning_of_period &lt;=Предпосылки!$E$156) * (End_of_period &gt;=Предпосылки!$E$156)</f>
        <v>0</v>
      </c>
      <c r="BD314" s="52">
        <f xml:space="preserve"> (Beginning_of_period &lt;=Предпосылки!$E$156) * (End_of_period &gt;=Предпосылки!$E$156)</f>
        <v>0</v>
      </c>
      <c r="BE314" s="52">
        <f xml:space="preserve"> (Beginning_of_period &lt;=Предпосылки!$E$156) * (End_of_period &gt;=Предпосылки!$E$156)</f>
        <v>0</v>
      </c>
      <c r="BF314" s="52">
        <f xml:space="preserve"> (Beginning_of_period &lt;=Предпосылки!$E$156) * (End_of_period &gt;=Предпосылки!$E$156)</f>
        <v>0</v>
      </c>
      <c r="BG314" s="52">
        <f xml:space="preserve"> (Beginning_of_period &lt;=Предпосылки!$E$156) * (End_of_period &gt;=Предпосылки!$E$156)</f>
        <v>0</v>
      </c>
      <c r="BH314" s="52">
        <f xml:space="preserve"> (Beginning_of_period &lt;=Предпосылки!$E$156) * (End_of_period &gt;=Предпосылки!$E$156)</f>
        <v>0</v>
      </c>
      <c r="BI314" s="52">
        <f xml:space="preserve"> (Beginning_of_period &lt;=Предпосылки!$E$156) * (End_of_period &gt;=Предпосылки!$E$156)</f>
        <v>0</v>
      </c>
      <c r="BJ314" s="52">
        <f xml:space="preserve"> (Beginning_of_period &lt;=Предпосылки!$E$156) * (End_of_period &gt;=Предпосылки!$E$156)</f>
        <v>0</v>
      </c>
      <c r="BK314" s="52">
        <f xml:space="preserve"> (Beginning_of_period &lt;=Предпосылки!$E$156) * (End_of_period &gt;=Предпосылки!$E$156)</f>
        <v>0</v>
      </c>
      <c r="BL314" s="52">
        <f xml:space="preserve"> (Beginning_of_period &lt;=Предпосылки!$E$156) * (End_of_period &gt;=Предпосылки!$E$156)</f>
        <v>0</v>
      </c>
      <c r="BM314" s="52">
        <f xml:space="preserve"> (Beginning_of_period &lt;=Предпосылки!$E$156) * (End_of_period &gt;=Предпосылки!$E$156)</f>
        <v>0</v>
      </c>
      <c r="BN314" s="52">
        <f xml:space="preserve"> (Beginning_of_period &lt;=Предпосылки!$E$156) * (End_of_period &gt;=Предпосылки!$E$156)</f>
        <v>0</v>
      </c>
      <c r="BO314" s="52">
        <f xml:space="preserve"> (Beginning_of_period &lt;=Предпосылки!$E$156) * (End_of_period &gt;=Предпосылки!$E$156)</f>
        <v>0</v>
      </c>
      <c r="BP314" s="52">
        <f xml:space="preserve"> (Beginning_of_period &lt;=Предпосылки!$E$156) * (End_of_period &gt;=Предпосылки!$E$156)</f>
        <v>0</v>
      </c>
      <c r="BQ314" s="52">
        <f xml:space="preserve"> (Beginning_of_period &lt;=Предпосылки!$E$156) * (End_of_period &gt;=Предпосылки!$E$156)</f>
        <v>0</v>
      </c>
      <c r="BR314" s="52">
        <f xml:space="preserve"> (Beginning_of_period &lt;=Предпосылки!$E$156) * (End_of_period &gt;=Предпосылки!$E$156)</f>
        <v>0</v>
      </c>
      <c r="BS314" s="52">
        <f xml:space="preserve"> (Beginning_of_period &lt;=Предпосылки!$E$156) * (End_of_period &gt;=Предпосылки!$E$156)</f>
        <v>0</v>
      </c>
      <c r="BT314" s="52">
        <f xml:space="preserve"> (Beginning_of_period &lt;=Предпосылки!$E$156) * (End_of_period &gt;=Предпосылки!$E$156)</f>
        <v>0</v>
      </c>
      <c r="BU314" s="52">
        <f xml:space="preserve"> (Beginning_of_period &lt;=Предпосылки!$E$156) * (End_of_period &gt;=Предпосылки!$E$156)</f>
        <v>0</v>
      </c>
      <c r="BV314" s="52">
        <f xml:space="preserve"> (Beginning_of_period &lt;=Предпосылки!$E$156) * (End_of_period &gt;=Предпосылки!$E$156)</f>
        <v>0</v>
      </c>
      <c r="BW314" s="52">
        <f xml:space="preserve"> (Beginning_of_period &lt;=Предпосылки!$E$156) * (End_of_period &gt;=Предпосылки!$E$156)</f>
        <v>0</v>
      </c>
      <c r="BX314" s="52">
        <f xml:space="preserve"> (Beginning_of_period &lt;=Предпосылки!$E$156) * (End_of_period &gt;=Предпосылки!$E$156)</f>
        <v>0</v>
      </c>
      <c r="BY314" s="52">
        <f xml:space="preserve"> (Beginning_of_period &lt;=Предпосылки!$E$156) * (End_of_period &gt;=Предпосылки!$E$156)</f>
        <v>0</v>
      </c>
      <c r="BZ314" s="52">
        <f xml:space="preserve"> (Beginning_of_period &lt;=Предпосылки!$E$156) * (End_of_period &gt;=Предпосылки!$E$156)</f>
        <v>0</v>
      </c>
      <c r="CA314" s="52">
        <f xml:space="preserve"> (Beginning_of_period &lt;=Предпосылки!$E$156) * (End_of_period &gt;=Предпосылки!$E$156)</f>
        <v>0</v>
      </c>
      <c r="CB314" s="52">
        <f xml:space="preserve"> (Beginning_of_period &lt;=Предпосылки!$E$156) * (End_of_period &gt;=Предпосылки!$E$156)</f>
        <v>0</v>
      </c>
      <c r="CC314" s="52">
        <f xml:space="preserve"> (Beginning_of_period &lt;=Предпосылки!$E$156) * (End_of_period &gt;=Предпосылки!$E$156)</f>
        <v>0</v>
      </c>
      <c r="CD314" s="52">
        <f xml:space="preserve"> (Beginning_of_period &lt;=Предпосылки!$E$156) * (End_of_period &gt;=Предпосылки!$E$156)</f>
        <v>0</v>
      </c>
      <c r="CE314" s="52">
        <f xml:space="preserve"> (Beginning_of_period &lt;=Предпосылки!$E$156) * (End_of_period &gt;=Предпосылки!$E$156)</f>
        <v>0</v>
      </c>
      <c r="CF314" s="52">
        <f xml:space="preserve"> (Beginning_of_period &lt;=Предпосылки!$E$156) * (End_of_period &gt;=Предпосылки!$E$156)</f>
        <v>0</v>
      </c>
      <c r="CG314" s="52">
        <f xml:space="preserve"> (Beginning_of_period &lt;=Предпосылки!$E$156) * (End_of_period &gt;=Предпосылки!$E$156)</f>
        <v>0</v>
      </c>
      <c r="CH314" s="52">
        <f xml:space="preserve"> (Beginning_of_period &lt;=Предпосылки!$E$156) * (End_of_period &gt;=Предпосылки!$E$156)</f>
        <v>0</v>
      </c>
      <c r="CI314" s="52">
        <f xml:space="preserve"> (Beginning_of_period &lt;=Предпосылки!$E$156) * (End_of_period &gt;=Предпосылки!$E$156)</f>
        <v>0</v>
      </c>
      <c r="CJ314" s="52">
        <f xml:space="preserve"> (Beginning_of_period &lt;=Предпосылки!$E$156) * (End_of_period &gt;=Предпосылки!$E$156)</f>
        <v>0</v>
      </c>
      <c r="CK314" s="52">
        <f xml:space="preserve"> (Beginning_of_period &lt;=Предпосылки!$E$156) * (End_of_period &gt;=Предпосылки!$E$156)</f>
        <v>0</v>
      </c>
      <c r="CL314" s="52">
        <f xml:space="preserve"> (Beginning_of_period &lt;=Предпосылки!$E$156) * (End_of_period &gt;=Предпосылки!$E$156)</f>
        <v>0</v>
      </c>
      <c r="CM314" s="52">
        <f xml:space="preserve"> (Beginning_of_period &lt;=Предпосылки!$E$156) * (End_of_period &gt;=Предпосылки!$E$156)</f>
        <v>0</v>
      </c>
      <c r="CN314" s="52">
        <f xml:space="preserve"> (Beginning_of_period &lt;=Предпосылки!$E$156) * (End_of_period &gt;=Предпосылки!$E$156)</f>
        <v>0</v>
      </c>
      <c r="CO314" s="52">
        <f xml:space="preserve"> (Beginning_of_period &lt;=Предпосылки!$E$156) * (End_of_period &gt;=Предпосылки!$E$156)</f>
        <v>0</v>
      </c>
    </row>
    <row r="315" spans="1:93">
      <c r="A315" s="77"/>
      <c r="B315" s="10"/>
      <c r="C315" s="21" t="str">
        <f xml:space="preserve"> "Флаг - ввод в эксплуатацию - " &amp; C96</f>
        <v>Флаг - ввод в эксплуатацию - Сегмент 2: Развлекательный комплекс</v>
      </c>
      <c r="D315" s="10"/>
      <c r="E315" s="62"/>
      <c r="F315" s="11"/>
      <c r="G315" s="134" t="str">
        <f t="shared" ca="1" si="1454"/>
        <v>0..0</v>
      </c>
      <c r="H315" s="10"/>
      <c r="I315" s="23">
        <f t="shared" ca="1" si="1455"/>
        <v>0</v>
      </c>
      <c r="J315" s="10"/>
      <c r="K315" s="10"/>
      <c r="L315" s="10">
        <f ca="1" xml:space="preserve"> (SUM(M270:$CO270) = 0) * (L270 &lt;&gt; 0)</f>
        <v>0</v>
      </c>
      <c r="M315" s="10">
        <f ca="1" xml:space="preserve"> (SUM(N270:$CO270) = 0) * (M270 &lt;&gt; 0)</f>
        <v>0</v>
      </c>
      <c r="N315" s="10">
        <f ca="1" xml:space="preserve"> (SUM(O270:$CO270) = 0) * (N270 &lt;&gt; 0)</f>
        <v>0</v>
      </c>
      <c r="O315" s="10">
        <f ca="1" xml:space="preserve"> (SUM(P270:$CO270) = 0) * (O270 &lt;&gt; 0)</f>
        <v>0</v>
      </c>
      <c r="P315" s="10">
        <f ca="1" xml:space="preserve"> (SUM(Q270:$CO270) = 0) * (P270 &lt;&gt; 0)</f>
        <v>0</v>
      </c>
      <c r="Q315" s="10">
        <f ca="1" xml:space="preserve"> (SUM(R270:$CO270) = 0) * (Q270 &lt;&gt; 0)</f>
        <v>0</v>
      </c>
      <c r="R315" s="10">
        <f ca="1" xml:space="preserve"> (SUM(S270:$CO270) = 0) * (R270 &lt;&gt; 0)</f>
        <v>0</v>
      </c>
      <c r="S315" s="10">
        <f ca="1" xml:space="preserve"> (SUM(T270:$CO270) = 0) * (S270 &lt;&gt; 0)</f>
        <v>0</v>
      </c>
      <c r="T315" s="10">
        <f ca="1" xml:space="preserve"> (SUM(U270:$CO270) = 0) * (T270 &lt;&gt; 0)</f>
        <v>0</v>
      </c>
      <c r="U315" s="10">
        <f ca="1" xml:space="preserve"> (SUM(V270:$CO270) = 0) * (U270 &lt;&gt; 0)</f>
        <v>0</v>
      </c>
      <c r="V315" s="10">
        <f ca="1" xml:space="preserve"> (SUM(W270:$CO270) = 0) * (V270 &lt;&gt; 0)</f>
        <v>0</v>
      </c>
      <c r="W315" s="10">
        <f ca="1" xml:space="preserve"> (SUM(X270:$CO270) = 0) * (W270 &lt;&gt; 0)</f>
        <v>0</v>
      </c>
      <c r="X315" s="10">
        <f ca="1" xml:space="preserve"> (SUM(Y270:$CO270) = 0) * (X270 &lt;&gt; 0)</f>
        <v>0</v>
      </c>
      <c r="Y315" s="10">
        <f ca="1" xml:space="preserve"> (SUM(Z270:$CO270) = 0) * (Y270 &lt;&gt; 0)</f>
        <v>0</v>
      </c>
      <c r="Z315" s="10">
        <f ca="1" xml:space="preserve"> (SUM(AA270:$CO270) = 0) * (Z270 &lt;&gt; 0)</f>
        <v>0</v>
      </c>
      <c r="AA315" s="10">
        <f ca="1" xml:space="preserve"> (SUM(AB270:$CO270) = 0) * (AA270 &lt;&gt; 0)</f>
        <v>0</v>
      </c>
      <c r="AB315" s="10">
        <f ca="1" xml:space="preserve"> (SUM(AC270:$CO270) = 0) * (AB270 &lt;&gt; 0)</f>
        <v>0</v>
      </c>
      <c r="AC315" s="10">
        <f ca="1" xml:space="preserve"> (SUM(AD270:$CO270) = 0) * (AC270 &lt;&gt; 0)</f>
        <v>0</v>
      </c>
      <c r="AD315" s="10">
        <f ca="1" xml:space="preserve"> (SUM(AE270:$CO270) = 0) * (AD270 &lt;&gt; 0)</f>
        <v>0</v>
      </c>
      <c r="AE315" s="10">
        <f ca="1" xml:space="preserve"> (SUM(AF270:$CO270) = 0) * (AE270 &lt;&gt; 0)</f>
        <v>0</v>
      </c>
      <c r="AF315" s="10">
        <f ca="1" xml:space="preserve"> (SUM(AG270:$CO270) = 0) * (AF270 &lt;&gt; 0)</f>
        <v>0</v>
      </c>
      <c r="AG315" s="10">
        <f ca="1" xml:space="preserve"> (SUM(AH270:$CO270) = 0) * (AG270 &lt;&gt; 0)</f>
        <v>0</v>
      </c>
      <c r="AH315" s="10">
        <f ca="1" xml:space="preserve"> (SUM(AI270:$CO270) = 0) * (AH270 &lt;&gt; 0)</f>
        <v>0</v>
      </c>
      <c r="AI315" s="10">
        <f ca="1" xml:space="preserve"> (SUM(AJ270:$CO270) = 0) * (AI270 &lt;&gt; 0)</f>
        <v>0</v>
      </c>
      <c r="AJ315" s="10">
        <f ca="1" xml:space="preserve"> (SUM(AK270:$CO270) = 0) * (AJ270 &lt;&gt; 0)</f>
        <v>0</v>
      </c>
      <c r="AK315" s="10">
        <f ca="1" xml:space="preserve"> (SUM(AL270:$CO270) = 0) * (AK270 &lt;&gt; 0)</f>
        <v>0</v>
      </c>
      <c r="AL315" s="10">
        <f ca="1" xml:space="preserve"> (SUM(AM270:$CO270) = 0) * (AL270 &lt;&gt; 0)</f>
        <v>0</v>
      </c>
      <c r="AM315" s="10">
        <f ca="1" xml:space="preserve"> (SUM(AN270:$CO270) = 0) * (AM270 &lt;&gt; 0)</f>
        <v>0</v>
      </c>
      <c r="AN315" s="10">
        <f ca="1" xml:space="preserve"> (SUM(AO270:$CO270) = 0) * (AN270 &lt;&gt; 0)</f>
        <v>0</v>
      </c>
      <c r="AO315" s="10">
        <f ca="1" xml:space="preserve"> (SUM(AP270:$CO270) = 0) * (AO270 &lt;&gt; 0)</f>
        <v>0</v>
      </c>
      <c r="AP315" s="10">
        <f ca="1" xml:space="preserve"> (SUM(AQ270:$CO270) = 0) * (AP270 &lt;&gt; 0)</f>
        <v>0</v>
      </c>
      <c r="AQ315" s="10">
        <f ca="1" xml:space="preserve"> (SUM(AR270:$CO270) = 0) * (AQ270 &lt;&gt; 0)</f>
        <v>0</v>
      </c>
      <c r="AR315" s="10">
        <f ca="1" xml:space="preserve"> (SUM(AS270:$CO270) = 0) * (AR270 &lt;&gt; 0)</f>
        <v>0</v>
      </c>
      <c r="AS315" s="10">
        <f ca="1" xml:space="preserve"> (SUM(AT270:$CO270) = 0) * (AS270 &lt;&gt; 0)</f>
        <v>0</v>
      </c>
      <c r="AT315" s="10">
        <f ca="1" xml:space="preserve"> (SUM(AU270:$CO270) = 0) * (AT270 &lt;&gt; 0)</f>
        <v>0</v>
      </c>
      <c r="AU315" s="10">
        <f ca="1" xml:space="preserve"> (SUM(AV270:$CO270) = 0) * (AU270 &lt;&gt; 0)</f>
        <v>0</v>
      </c>
      <c r="AV315" s="10">
        <f ca="1" xml:space="preserve"> (SUM(AW270:$CO270) = 0) * (AV270 &lt;&gt; 0)</f>
        <v>0</v>
      </c>
      <c r="AW315" s="10">
        <f ca="1" xml:space="preserve"> (SUM(AX270:$CO270) = 0) * (AW270 &lt;&gt; 0)</f>
        <v>0</v>
      </c>
      <c r="AX315" s="10">
        <f ca="1" xml:space="preserve"> (SUM(AY270:$CO270) = 0) * (AX270 &lt;&gt; 0)</f>
        <v>0</v>
      </c>
      <c r="AY315" s="10">
        <f ca="1" xml:space="preserve"> (SUM(AZ270:$CO270) = 0) * (AY270 &lt;&gt; 0)</f>
        <v>0</v>
      </c>
      <c r="AZ315" s="10">
        <f ca="1" xml:space="preserve"> (SUM(BA270:$CO270) = 0) * (AZ270 &lt;&gt; 0)</f>
        <v>0</v>
      </c>
      <c r="BA315" s="10">
        <f ca="1" xml:space="preserve"> (SUM(BB270:$CO270) = 0) * (BA270 &lt;&gt; 0)</f>
        <v>0</v>
      </c>
      <c r="BB315" s="10">
        <f ca="1" xml:space="preserve"> (SUM(BC270:$CO270) = 0) * (BB270 &lt;&gt; 0)</f>
        <v>0</v>
      </c>
      <c r="BC315" s="10">
        <f ca="1" xml:space="preserve"> (SUM(BD270:$CO270) = 0) * (BC270 &lt;&gt; 0)</f>
        <v>0</v>
      </c>
      <c r="BD315" s="10">
        <f ca="1" xml:space="preserve"> (SUM(BE270:$CO270) = 0) * (BD270 &lt;&gt; 0)</f>
        <v>0</v>
      </c>
      <c r="BE315" s="10">
        <f ca="1" xml:space="preserve"> (SUM(BF270:$CO270) = 0) * (BE270 &lt;&gt; 0)</f>
        <v>0</v>
      </c>
      <c r="BF315" s="10">
        <f ca="1" xml:space="preserve"> (SUM(BG270:$CO270) = 0) * (BF270 &lt;&gt; 0)</f>
        <v>0</v>
      </c>
      <c r="BG315" s="10">
        <f ca="1" xml:space="preserve"> (SUM(BH270:$CO270) = 0) * (BG270 &lt;&gt; 0)</f>
        <v>0</v>
      </c>
      <c r="BH315" s="10">
        <f ca="1" xml:space="preserve"> (SUM(BI270:$CO270) = 0) * (BH270 &lt;&gt; 0)</f>
        <v>0</v>
      </c>
      <c r="BI315" s="10">
        <f ca="1" xml:space="preserve"> (SUM(BJ270:$CO270) = 0) * (BI270 &lt;&gt; 0)</f>
        <v>0</v>
      </c>
      <c r="BJ315" s="10">
        <f ca="1" xml:space="preserve"> (SUM(BK270:$CO270) = 0) * (BJ270 &lt;&gt; 0)</f>
        <v>0</v>
      </c>
      <c r="BK315" s="10">
        <f ca="1" xml:space="preserve"> (SUM(BL270:$CO270) = 0) * (BK270 &lt;&gt; 0)</f>
        <v>0</v>
      </c>
      <c r="BL315" s="10">
        <f ca="1" xml:space="preserve"> (SUM(BM270:$CO270) = 0) * (BL270 &lt;&gt; 0)</f>
        <v>0</v>
      </c>
      <c r="BM315" s="10">
        <f ca="1" xml:space="preserve"> (SUM(BN270:$CO270) = 0) * (BM270 &lt;&gt; 0)</f>
        <v>0</v>
      </c>
      <c r="BN315" s="10">
        <f ca="1" xml:space="preserve"> (SUM(BO270:$CO270) = 0) * (BN270 &lt;&gt; 0)</f>
        <v>0</v>
      </c>
      <c r="BO315" s="10">
        <f ca="1" xml:space="preserve"> (SUM(BP270:$CO270) = 0) * (BO270 &lt;&gt; 0)</f>
        <v>0</v>
      </c>
      <c r="BP315" s="10">
        <f ca="1" xml:space="preserve"> (SUM(BQ270:$CO270) = 0) * (BP270 &lt;&gt; 0)</f>
        <v>0</v>
      </c>
      <c r="BQ315" s="10">
        <f ca="1" xml:space="preserve"> (SUM(BR270:$CO270) = 0) * (BQ270 &lt;&gt; 0)</f>
        <v>0</v>
      </c>
      <c r="BR315" s="10">
        <f ca="1" xml:space="preserve"> (SUM(BS270:$CO270) = 0) * (BR270 &lt;&gt; 0)</f>
        <v>0</v>
      </c>
      <c r="BS315" s="10">
        <f ca="1" xml:space="preserve"> (SUM(BT270:$CO270) = 0) * (BS270 &lt;&gt; 0)</f>
        <v>0</v>
      </c>
      <c r="BT315" s="10">
        <f ca="1" xml:space="preserve"> (SUM(BU270:$CO270) = 0) * (BT270 &lt;&gt; 0)</f>
        <v>0</v>
      </c>
      <c r="BU315" s="10">
        <f ca="1" xml:space="preserve"> (SUM(BV270:$CO270) = 0) * (BU270 &lt;&gt; 0)</f>
        <v>0</v>
      </c>
      <c r="BV315" s="10">
        <f ca="1" xml:space="preserve"> (SUM(BW270:$CO270) = 0) * (BV270 &lt;&gt; 0)</f>
        <v>0</v>
      </c>
      <c r="BW315" s="10">
        <f ca="1" xml:space="preserve"> (SUM(BX270:$CO270) = 0) * (BW270 &lt;&gt; 0)</f>
        <v>0</v>
      </c>
      <c r="BX315" s="10">
        <f ca="1" xml:space="preserve"> (SUM(BY270:$CO270) = 0) * (BX270 &lt;&gt; 0)</f>
        <v>0</v>
      </c>
      <c r="BY315" s="10">
        <f ca="1" xml:space="preserve"> (SUM(BZ270:$CO270) = 0) * (BY270 &lt;&gt; 0)</f>
        <v>0</v>
      </c>
      <c r="BZ315" s="10">
        <f ca="1" xml:space="preserve"> (SUM(CA270:$CO270) = 0) * (BZ270 &lt;&gt; 0)</f>
        <v>0</v>
      </c>
      <c r="CA315" s="10">
        <f ca="1" xml:space="preserve"> (SUM(CB270:$CO270) = 0) * (CA270 &lt;&gt; 0)</f>
        <v>0</v>
      </c>
      <c r="CB315" s="10">
        <f ca="1" xml:space="preserve"> (SUM(CC270:$CO270) = 0) * (CB270 &lt;&gt; 0)</f>
        <v>0</v>
      </c>
      <c r="CC315" s="10">
        <f ca="1" xml:space="preserve"> (SUM(CD270:$CO270) = 0) * (CC270 &lt;&gt; 0)</f>
        <v>0</v>
      </c>
      <c r="CD315" s="10">
        <f ca="1" xml:space="preserve"> (SUM(CE270:$CO270) = 0) * (CD270 &lt;&gt; 0)</f>
        <v>0</v>
      </c>
      <c r="CE315" s="10">
        <f ca="1" xml:space="preserve"> (SUM(CF270:$CO270) = 0) * (CE270 &lt;&gt; 0)</f>
        <v>0</v>
      </c>
      <c r="CF315" s="10">
        <f ca="1" xml:space="preserve"> (SUM(CG270:$CO270) = 0) * (CF270 &lt;&gt; 0)</f>
        <v>0</v>
      </c>
      <c r="CG315" s="10">
        <f ca="1" xml:space="preserve"> (SUM(CH270:$CO270) = 0) * (CG270 &lt;&gt; 0)</f>
        <v>0</v>
      </c>
      <c r="CH315" s="10">
        <f ca="1" xml:space="preserve"> (SUM(CI270:$CO270) = 0) * (CH270 &lt;&gt; 0)</f>
        <v>0</v>
      </c>
      <c r="CI315" s="10">
        <f ca="1" xml:space="preserve"> (SUM(CJ270:$CO270) = 0) * (CI270 &lt;&gt; 0)</f>
        <v>0</v>
      </c>
      <c r="CJ315" s="10">
        <f ca="1" xml:space="preserve"> (SUM(CK270:$CO270) = 0) * (CJ270 &lt;&gt; 0)</f>
        <v>0</v>
      </c>
      <c r="CK315" s="10">
        <f ca="1" xml:space="preserve"> (SUM(CL270:$CO270) = 0) * (CK270 &lt;&gt; 0)</f>
        <v>0</v>
      </c>
      <c r="CL315" s="10">
        <f ca="1" xml:space="preserve"> (SUM(CM270:$CO270) = 0) * (CL270 &lt;&gt; 0)</f>
        <v>0</v>
      </c>
      <c r="CM315" s="10">
        <f ca="1" xml:space="preserve"> (SUM(CN270:$CO270) = 0) * (CM270 &lt;&gt; 0)</f>
        <v>0</v>
      </c>
      <c r="CN315" s="10">
        <f ca="1" xml:space="preserve"> (SUM(CO270:$CO270) = 0) * (CN270 &lt;&gt; 0)</f>
        <v>0</v>
      </c>
      <c r="CO315" s="10">
        <f ca="1" xml:space="preserve"> (SUM($CO270:CP270) = 0) * (CO270 &lt;&gt; 0)</f>
        <v>0</v>
      </c>
    </row>
    <row r="316" spans="1:93">
      <c r="A316" s="77"/>
      <c r="B316" s="10"/>
      <c r="C316" s="21" t="str">
        <f xml:space="preserve"> "Флаг - ввод в эксплуатацию - " &amp; C97</f>
        <v>Флаг - ввод в эксплуатацию - Сегмент 3: Крытый парк развлечений</v>
      </c>
      <c r="D316" s="10"/>
      <c r="E316" s="62"/>
      <c r="F316" s="11"/>
      <c r="G316" s="134" t="str">
        <f t="shared" ca="1" si="1454"/>
        <v>0..0</v>
      </c>
      <c r="H316" s="10"/>
      <c r="I316" s="23">
        <f t="shared" ca="1" si="1455"/>
        <v>0</v>
      </c>
      <c r="J316" s="10"/>
      <c r="K316" s="10"/>
      <c r="L316" s="10">
        <f ca="1" xml:space="preserve"> (SUM(M271:$CO271) = 0) * (L271 &lt;&gt; 0)</f>
        <v>0</v>
      </c>
      <c r="M316" s="10">
        <f ca="1" xml:space="preserve"> (SUM(N271:$CO271) = 0) * (M271 &lt;&gt; 0)</f>
        <v>0</v>
      </c>
      <c r="N316" s="10">
        <f ca="1" xml:space="preserve"> (SUM(O271:$CO271) = 0) * (N271 &lt;&gt; 0)</f>
        <v>0</v>
      </c>
      <c r="O316" s="10">
        <f ca="1" xml:space="preserve"> (SUM(P271:$CO271) = 0) * (O271 &lt;&gt; 0)</f>
        <v>0</v>
      </c>
      <c r="P316" s="10">
        <f ca="1" xml:space="preserve"> (SUM(Q271:$CO271) = 0) * (P271 &lt;&gt; 0)</f>
        <v>0</v>
      </c>
      <c r="Q316" s="10">
        <f ca="1" xml:space="preserve"> (SUM(R271:$CO271) = 0) * (Q271 &lt;&gt; 0)</f>
        <v>0</v>
      </c>
      <c r="R316" s="10">
        <f ca="1" xml:space="preserve"> (SUM(S271:$CO271) = 0) * (R271 &lt;&gt; 0)</f>
        <v>0</v>
      </c>
      <c r="S316" s="10">
        <f ca="1" xml:space="preserve"> (SUM(T271:$CO271) = 0) * (S271 &lt;&gt; 0)</f>
        <v>0</v>
      </c>
      <c r="T316" s="10">
        <f ca="1" xml:space="preserve"> (SUM(U271:$CO271) = 0) * (T271 &lt;&gt; 0)</f>
        <v>0</v>
      </c>
      <c r="U316" s="10">
        <f ca="1" xml:space="preserve"> (SUM(V271:$CO271) = 0) * (U271 &lt;&gt; 0)</f>
        <v>0</v>
      </c>
      <c r="V316" s="10">
        <f ca="1" xml:space="preserve"> (SUM(W271:$CO271) = 0) * (V271 &lt;&gt; 0)</f>
        <v>0</v>
      </c>
      <c r="W316" s="10">
        <f ca="1" xml:space="preserve"> (SUM(X271:$CO271) = 0) * (W271 &lt;&gt; 0)</f>
        <v>0</v>
      </c>
      <c r="X316" s="10">
        <f ca="1" xml:space="preserve"> (SUM(Y271:$CO271) = 0) * (X271 &lt;&gt; 0)</f>
        <v>0</v>
      </c>
      <c r="Y316" s="10">
        <f ca="1" xml:space="preserve"> (SUM(Z271:$CO271) = 0) * (Y271 &lt;&gt; 0)</f>
        <v>0</v>
      </c>
      <c r="Z316" s="10">
        <f ca="1" xml:space="preserve"> (SUM(AA271:$CO271) = 0) * (Z271 &lt;&gt; 0)</f>
        <v>0</v>
      </c>
      <c r="AA316" s="10">
        <f ca="1" xml:space="preserve"> (SUM(AB271:$CO271) = 0) * (AA271 &lt;&gt; 0)</f>
        <v>0</v>
      </c>
      <c r="AB316" s="10">
        <f ca="1" xml:space="preserve"> (SUM(AC271:$CO271) = 0) * (AB271 &lt;&gt; 0)</f>
        <v>0</v>
      </c>
      <c r="AC316" s="10">
        <f ca="1" xml:space="preserve"> (SUM(AD271:$CO271) = 0) * (AC271 &lt;&gt; 0)</f>
        <v>0</v>
      </c>
      <c r="AD316" s="10">
        <f ca="1" xml:space="preserve"> (SUM(AE271:$CO271) = 0) * (AD271 &lt;&gt; 0)</f>
        <v>0</v>
      </c>
      <c r="AE316" s="10">
        <f ca="1" xml:space="preserve"> (SUM(AF271:$CO271) = 0) * (AE271 &lt;&gt; 0)</f>
        <v>0</v>
      </c>
      <c r="AF316" s="10">
        <f ca="1" xml:space="preserve"> (SUM(AG271:$CO271) = 0) * (AF271 &lt;&gt; 0)</f>
        <v>0</v>
      </c>
      <c r="AG316" s="10">
        <f ca="1" xml:space="preserve"> (SUM(AH271:$CO271) = 0) * (AG271 &lt;&gt; 0)</f>
        <v>0</v>
      </c>
      <c r="AH316" s="10">
        <f ca="1" xml:space="preserve"> (SUM(AI271:$CO271) = 0) * (AH271 &lt;&gt; 0)</f>
        <v>0</v>
      </c>
      <c r="AI316" s="10">
        <f ca="1" xml:space="preserve"> (SUM(AJ271:$CO271) = 0) * (AI271 &lt;&gt; 0)</f>
        <v>0</v>
      </c>
      <c r="AJ316" s="10">
        <f ca="1" xml:space="preserve"> (SUM(AK271:$CO271) = 0) * (AJ271 &lt;&gt; 0)</f>
        <v>0</v>
      </c>
      <c r="AK316" s="10">
        <f ca="1" xml:space="preserve"> (SUM(AL271:$CO271) = 0) * (AK271 &lt;&gt; 0)</f>
        <v>0</v>
      </c>
      <c r="AL316" s="10">
        <f ca="1" xml:space="preserve"> (SUM(AM271:$CO271) = 0) * (AL271 &lt;&gt; 0)</f>
        <v>0</v>
      </c>
      <c r="AM316" s="10">
        <f ca="1" xml:space="preserve"> (SUM(AN271:$CO271) = 0) * (AM271 &lt;&gt; 0)</f>
        <v>0</v>
      </c>
      <c r="AN316" s="10">
        <f ca="1" xml:space="preserve"> (SUM(AO271:$CO271) = 0) * (AN271 &lt;&gt; 0)</f>
        <v>0</v>
      </c>
      <c r="AO316" s="10">
        <f ca="1" xml:space="preserve"> (SUM(AP271:$CO271) = 0) * (AO271 &lt;&gt; 0)</f>
        <v>0</v>
      </c>
      <c r="AP316" s="10">
        <f ca="1" xml:space="preserve"> (SUM(AQ271:$CO271) = 0) * (AP271 &lt;&gt; 0)</f>
        <v>0</v>
      </c>
      <c r="AQ316" s="10">
        <f ca="1" xml:space="preserve"> (SUM(AR271:$CO271) = 0) * (AQ271 &lt;&gt; 0)</f>
        <v>0</v>
      </c>
      <c r="AR316" s="10">
        <f ca="1" xml:space="preserve"> (SUM(AS271:$CO271) = 0) * (AR271 &lt;&gt; 0)</f>
        <v>0</v>
      </c>
      <c r="AS316" s="10">
        <f ca="1" xml:space="preserve"> (SUM(AT271:$CO271) = 0) * (AS271 &lt;&gt; 0)</f>
        <v>0</v>
      </c>
      <c r="AT316" s="10">
        <f ca="1" xml:space="preserve"> (SUM(AU271:$CO271) = 0) * (AT271 &lt;&gt; 0)</f>
        <v>0</v>
      </c>
      <c r="AU316" s="10">
        <f ca="1" xml:space="preserve"> (SUM(AV271:$CO271) = 0) * (AU271 &lt;&gt; 0)</f>
        <v>0</v>
      </c>
      <c r="AV316" s="10">
        <f ca="1" xml:space="preserve"> (SUM(AW271:$CO271) = 0) * (AV271 &lt;&gt; 0)</f>
        <v>0</v>
      </c>
      <c r="AW316" s="10">
        <f ca="1" xml:space="preserve"> (SUM(AX271:$CO271) = 0) * (AW271 &lt;&gt; 0)</f>
        <v>0</v>
      </c>
      <c r="AX316" s="10">
        <f ca="1" xml:space="preserve"> (SUM(AY271:$CO271) = 0) * (AX271 &lt;&gt; 0)</f>
        <v>0</v>
      </c>
      <c r="AY316" s="10">
        <f ca="1" xml:space="preserve"> (SUM(AZ271:$CO271) = 0) * (AY271 &lt;&gt; 0)</f>
        <v>0</v>
      </c>
      <c r="AZ316" s="10">
        <f ca="1" xml:space="preserve"> (SUM(BA271:$CO271) = 0) * (AZ271 &lt;&gt; 0)</f>
        <v>0</v>
      </c>
      <c r="BA316" s="10">
        <f ca="1" xml:space="preserve"> (SUM(BB271:$CO271) = 0) * (BA271 &lt;&gt; 0)</f>
        <v>0</v>
      </c>
      <c r="BB316" s="10">
        <f ca="1" xml:space="preserve"> (SUM(BC271:$CO271) = 0) * (BB271 &lt;&gt; 0)</f>
        <v>0</v>
      </c>
      <c r="BC316" s="10">
        <f ca="1" xml:space="preserve"> (SUM(BD271:$CO271) = 0) * (BC271 &lt;&gt; 0)</f>
        <v>0</v>
      </c>
      <c r="BD316" s="10">
        <f ca="1" xml:space="preserve"> (SUM(BE271:$CO271) = 0) * (BD271 &lt;&gt; 0)</f>
        <v>0</v>
      </c>
      <c r="BE316" s="10">
        <f ca="1" xml:space="preserve"> (SUM(BF271:$CO271) = 0) * (BE271 &lt;&gt; 0)</f>
        <v>0</v>
      </c>
      <c r="BF316" s="10">
        <f ca="1" xml:space="preserve"> (SUM(BG271:$CO271) = 0) * (BF271 &lt;&gt; 0)</f>
        <v>0</v>
      </c>
      <c r="BG316" s="10">
        <f ca="1" xml:space="preserve"> (SUM(BH271:$CO271) = 0) * (BG271 &lt;&gt; 0)</f>
        <v>0</v>
      </c>
      <c r="BH316" s="10">
        <f ca="1" xml:space="preserve"> (SUM(BI271:$CO271) = 0) * (BH271 &lt;&gt; 0)</f>
        <v>0</v>
      </c>
      <c r="BI316" s="10">
        <f ca="1" xml:space="preserve"> (SUM(BJ271:$CO271) = 0) * (BI271 &lt;&gt; 0)</f>
        <v>0</v>
      </c>
      <c r="BJ316" s="10">
        <f ca="1" xml:space="preserve"> (SUM(BK271:$CO271) = 0) * (BJ271 &lt;&gt; 0)</f>
        <v>0</v>
      </c>
      <c r="BK316" s="10">
        <f ca="1" xml:space="preserve"> (SUM(BL271:$CO271) = 0) * (BK271 &lt;&gt; 0)</f>
        <v>0</v>
      </c>
      <c r="BL316" s="10">
        <f ca="1" xml:space="preserve"> (SUM(BM271:$CO271) = 0) * (BL271 &lt;&gt; 0)</f>
        <v>0</v>
      </c>
      <c r="BM316" s="10">
        <f ca="1" xml:space="preserve"> (SUM(BN271:$CO271) = 0) * (BM271 &lt;&gt; 0)</f>
        <v>0</v>
      </c>
      <c r="BN316" s="10">
        <f ca="1" xml:space="preserve"> (SUM(BO271:$CO271) = 0) * (BN271 &lt;&gt; 0)</f>
        <v>0</v>
      </c>
      <c r="BO316" s="10">
        <f ca="1" xml:space="preserve"> (SUM(BP271:$CO271) = 0) * (BO271 &lt;&gt; 0)</f>
        <v>0</v>
      </c>
      <c r="BP316" s="10">
        <f ca="1" xml:space="preserve"> (SUM(BQ271:$CO271) = 0) * (BP271 &lt;&gt; 0)</f>
        <v>0</v>
      </c>
      <c r="BQ316" s="10">
        <f ca="1" xml:space="preserve"> (SUM(BR271:$CO271) = 0) * (BQ271 &lt;&gt; 0)</f>
        <v>0</v>
      </c>
      <c r="BR316" s="10">
        <f ca="1" xml:space="preserve"> (SUM(BS271:$CO271) = 0) * (BR271 &lt;&gt; 0)</f>
        <v>0</v>
      </c>
      <c r="BS316" s="10">
        <f ca="1" xml:space="preserve"> (SUM(BT271:$CO271) = 0) * (BS271 &lt;&gt; 0)</f>
        <v>0</v>
      </c>
      <c r="BT316" s="10">
        <f ca="1" xml:space="preserve"> (SUM(BU271:$CO271) = 0) * (BT271 &lt;&gt; 0)</f>
        <v>0</v>
      </c>
      <c r="BU316" s="10">
        <f ca="1" xml:space="preserve"> (SUM(BV271:$CO271) = 0) * (BU271 &lt;&gt; 0)</f>
        <v>0</v>
      </c>
      <c r="BV316" s="10">
        <f ca="1" xml:space="preserve"> (SUM(BW271:$CO271) = 0) * (BV271 &lt;&gt; 0)</f>
        <v>0</v>
      </c>
      <c r="BW316" s="10">
        <f ca="1" xml:space="preserve"> (SUM(BX271:$CO271) = 0) * (BW271 &lt;&gt; 0)</f>
        <v>0</v>
      </c>
      <c r="BX316" s="10">
        <f ca="1" xml:space="preserve"> (SUM(BY271:$CO271) = 0) * (BX271 &lt;&gt; 0)</f>
        <v>0</v>
      </c>
      <c r="BY316" s="10">
        <f ca="1" xml:space="preserve"> (SUM(BZ271:$CO271) = 0) * (BY271 &lt;&gt; 0)</f>
        <v>0</v>
      </c>
      <c r="BZ316" s="10">
        <f ca="1" xml:space="preserve"> (SUM(CA271:$CO271) = 0) * (BZ271 &lt;&gt; 0)</f>
        <v>0</v>
      </c>
      <c r="CA316" s="10">
        <f ca="1" xml:space="preserve"> (SUM(CB271:$CO271) = 0) * (CA271 &lt;&gt; 0)</f>
        <v>0</v>
      </c>
      <c r="CB316" s="10">
        <f ca="1" xml:space="preserve"> (SUM(CC271:$CO271) = 0) * (CB271 &lt;&gt; 0)</f>
        <v>0</v>
      </c>
      <c r="CC316" s="10">
        <f ca="1" xml:space="preserve"> (SUM(CD271:$CO271) = 0) * (CC271 &lt;&gt; 0)</f>
        <v>0</v>
      </c>
      <c r="CD316" s="10">
        <f ca="1" xml:space="preserve"> (SUM(CE271:$CO271) = 0) * (CD271 &lt;&gt; 0)</f>
        <v>0</v>
      </c>
      <c r="CE316" s="10">
        <f ca="1" xml:space="preserve"> (SUM(CF271:$CO271) = 0) * (CE271 &lt;&gt; 0)</f>
        <v>0</v>
      </c>
      <c r="CF316" s="10">
        <f ca="1" xml:space="preserve"> (SUM(CG271:$CO271) = 0) * (CF271 &lt;&gt; 0)</f>
        <v>0</v>
      </c>
      <c r="CG316" s="10">
        <f ca="1" xml:space="preserve"> (SUM(CH271:$CO271) = 0) * (CG271 &lt;&gt; 0)</f>
        <v>0</v>
      </c>
      <c r="CH316" s="10">
        <f ca="1" xml:space="preserve"> (SUM(CI271:$CO271) = 0) * (CH271 &lt;&gt; 0)</f>
        <v>0</v>
      </c>
      <c r="CI316" s="10">
        <f ca="1" xml:space="preserve"> (SUM(CJ271:$CO271) = 0) * (CI271 &lt;&gt; 0)</f>
        <v>0</v>
      </c>
      <c r="CJ316" s="10">
        <f ca="1" xml:space="preserve"> (SUM(CK271:$CO271) = 0) * (CJ271 &lt;&gt; 0)</f>
        <v>0</v>
      </c>
      <c r="CK316" s="10">
        <f ca="1" xml:space="preserve"> (SUM(CL271:$CO271) = 0) * (CK271 &lt;&gt; 0)</f>
        <v>0</v>
      </c>
      <c r="CL316" s="10">
        <f ca="1" xml:space="preserve"> (SUM(CM271:$CO271) = 0) * (CL271 &lt;&gt; 0)</f>
        <v>0</v>
      </c>
      <c r="CM316" s="10">
        <f ca="1" xml:space="preserve"> (SUM(CN271:$CO271) = 0) * (CM271 &lt;&gt; 0)</f>
        <v>0</v>
      </c>
      <c r="CN316" s="10">
        <f ca="1" xml:space="preserve"> (SUM(CO271:$CO271) = 0) * (CN271 &lt;&gt; 0)</f>
        <v>0</v>
      </c>
      <c r="CO316" s="10">
        <f ca="1" xml:space="preserve"> (SUM($CO271:CP271) = 0) * (CO271 &lt;&gt; 0)</f>
        <v>0</v>
      </c>
    </row>
    <row r="317" spans="1:93">
      <c r="A317" s="77"/>
      <c r="B317" s="10"/>
      <c r="C317" s="21"/>
      <c r="D317" s="10"/>
      <c r="E317" s="62"/>
      <c r="F317" s="11"/>
      <c r="G317" s="11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</row>
    <row r="318" spans="1:93">
      <c r="A318" s="10"/>
      <c r="B318" s="10"/>
      <c r="C318" s="21" t="s">
        <v>580</v>
      </c>
      <c r="D318" s="10"/>
      <c r="E318" s="62"/>
      <c r="F318" s="11"/>
      <c r="G318" s="134" t="str">
        <f>MIN(L318:CO318) &amp; ".." &amp; MAX(L318:CO318)</f>
        <v>0..1</v>
      </c>
      <c r="H318" s="10"/>
      <c r="I318" s="23">
        <f>SUM(L318:CO318)</f>
        <v>66</v>
      </c>
      <c r="J318" s="10"/>
      <c r="K318" s="10"/>
      <c r="L318" s="52">
        <f t="shared" ref="L318:AQ318" si="1457">Flag_Operations+Flag_Last_Construction</f>
        <v>0</v>
      </c>
      <c r="M318" s="52">
        <f t="shared" si="1457"/>
        <v>0</v>
      </c>
      <c r="N318" s="52">
        <f t="shared" si="1457"/>
        <v>0</v>
      </c>
      <c r="O318" s="52">
        <f t="shared" si="1457"/>
        <v>0</v>
      </c>
      <c r="P318" s="52">
        <f t="shared" si="1457"/>
        <v>0</v>
      </c>
      <c r="Q318" s="52">
        <f t="shared" si="1457"/>
        <v>0</v>
      </c>
      <c r="R318" s="52">
        <f t="shared" si="1457"/>
        <v>0</v>
      </c>
      <c r="S318" s="52">
        <f t="shared" si="1457"/>
        <v>0</v>
      </c>
      <c r="T318" s="52">
        <f t="shared" si="1457"/>
        <v>0</v>
      </c>
      <c r="U318" s="52">
        <f t="shared" si="1457"/>
        <v>0</v>
      </c>
      <c r="V318" s="52">
        <f t="shared" si="1457"/>
        <v>0</v>
      </c>
      <c r="W318" s="52">
        <f t="shared" si="1457"/>
        <v>0</v>
      </c>
      <c r="X318" s="52">
        <f t="shared" si="1457"/>
        <v>0</v>
      </c>
      <c r="Y318" s="52">
        <f t="shared" si="1457"/>
        <v>0</v>
      </c>
      <c r="Z318" s="52">
        <f t="shared" si="1457"/>
        <v>0</v>
      </c>
      <c r="AA318" s="52">
        <f t="shared" si="1457"/>
        <v>0</v>
      </c>
      <c r="AB318" s="52">
        <f t="shared" si="1457"/>
        <v>1</v>
      </c>
      <c r="AC318" s="52">
        <f t="shared" si="1457"/>
        <v>1</v>
      </c>
      <c r="AD318" s="52">
        <f t="shared" si="1457"/>
        <v>1</v>
      </c>
      <c r="AE318" s="52">
        <f t="shared" si="1457"/>
        <v>1</v>
      </c>
      <c r="AF318" s="52">
        <f t="shared" si="1457"/>
        <v>1</v>
      </c>
      <c r="AG318" s="52">
        <f t="shared" si="1457"/>
        <v>1</v>
      </c>
      <c r="AH318" s="52">
        <f t="shared" si="1457"/>
        <v>1</v>
      </c>
      <c r="AI318" s="52">
        <f t="shared" si="1457"/>
        <v>1</v>
      </c>
      <c r="AJ318" s="52">
        <f t="shared" si="1457"/>
        <v>1</v>
      </c>
      <c r="AK318" s="52">
        <f t="shared" si="1457"/>
        <v>1</v>
      </c>
      <c r="AL318" s="52">
        <f t="shared" si="1457"/>
        <v>1</v>
      </c>
      <c r="AM318" s="52">
        <f t="shared" si="1457"/>
        <v>1</v>
      </c>
      <c r="AN318" s="52">
        <f t="shared" si="1457"/>
        <v>1</v>
      </c>
      <c r="AO318" s="52">
        <f t="shared" si="1457"/>
        <v>1</v>
      </c>
      <c r="AP318" s="52">
        <f t="shared" si="1457"/>
        <v>1</v>
      </c>
      <c r="AQ318" s="52">
        <f t="shared" si="1457"/>
        <v>1</v>
      </c>
      <c r="AR318" s="52">
        <f t="shared" ref="AR318:BW318" si="1458">Flag_Operations+Flag_Last_Construction</f>
        <v>1</v>
      </c>
      <c r="AS318" s="52">
        <f t="shared" si="1458"/>
        <v>1</v>
      </c>
      <c r="AT318" s="52">
        <f t="shared" si="1458"/>
        <v>1</v>
      </c>
      <c r="AU318" s="52">
        <f t="shared" si="1458"/>
        <v>1</v>
      </c>
      <c r="AV318" s="52">
        <f t="shared" si="1458"/>
        <v>1</v>
      </c>
      <c r="AW318" s="52">
        <f t="shared" si="1458"/>
        <v>1</v>
      </c>
      <c r="AX318" s="52">
        <f t="shared" si="1458"/>
        <v>1</v>
      </c>
      <c r="AY318" s="52">
        <f t="shared" si="1458"/>
        <v>1</v>
      </c>
      <c r="AZ318" s="52">
        <f t="shared" si="1458"/>
        <v>1</v>
      </c>
      <c r="BA318" s="52">
        <f t="shared" si="1458"/>
        <v>1</v>
      </c>
      <c r="BB318" s="52">
        <f t="shared" si="1458"/>
        <v>1</v>
      </c>
      <c r="BC318" s="52">
        <f t="shared" si="1458"/>
        <v>1</v>
      </c>
      <c r="BD318" s="52">
        <f t="shared" si="1458"/>
        <v>1</v>
      </c>
      <c r="BE318" s="52">
        <f t="shared" si="1458"/>
        <v>1</v>
      </c>
      <c r="BF318" s="52">
        <f t="shared" si="1458"/>
        <v>1</v>
      </c>
      <c r="BG318" s="52">
        <f t="shared" si="1458"/>
        <v>1</v>
      </c>
      <c r="BH318" s="52">
        <f t="shared" si="1458"/>
        <v>1</v>
      </c>
      <c r="BI318" s="52">
        <f t="shared" si="1458"/>
        <v>1</v>
      </c>
      <c r="BJ318" s="52">
        <f t="shared" si="1458"/>
        <v>1</v>
      </c>
      <c r="BK318" s="52">
        <f t="shared" si="1458"/>
        <v>1</v>
      </c>
      <c r="BL318" s="52">
        <f t="shared" si="1458"/>
        <v>1</v>
      </c>
      <c r="BM318" s="52">
        <f t="shared" si="1458"/>
        <v>1</v>
      </c>
      <c r="BN318" s="52">
        <f t="shared" si="1458"/>
        <v>1</v>
      </c>
      <c r="BO318" s="52">
        <f t="shared" si="1458"/>
        <v>1</v>
      </c>
      <c r="BP318" s="52">
        <f t="shared" si="1458"/>
        <v>1</v>
      </c>
      <c r="BQ318" s="52">
        <f t="shared" si="1458"/>
        <v>1</v>
      </c>
      <c r="BR318" s="52">
        <f t="shared" si="1458"/>
        <v>1</v>
      </c>
      <c r="BS318" s="52">
        <f t="shared" si="1458"/>
        <v>1</v>
      </c>
      <c r="BT318" s="52">
        <f t="shared" si="1458"/>
        <v>1</v>
      </c>
      <c r="BU318" s="52">
        <f t="shared" si="1458"/>
        <v>1</v>
      </c>
      <c r="BV318" s="52">
        <f t="shared" si="1458"/>
        <v>1</v>
      </c>
      <c r="BW318" s="52">
        <f t="shared" si="1458"/>
        <v>1</v>
      </c>
      <c r="BX318" s="52">
        <f t="shared" ref="BX318:CO318" si="1459">Flag_Operations+Flag_Last_Construction</f>
        <v>1</v>
      </c>
      <c r="BY318" s="52">
        <f t="shared" si="1459"/>
        <v>1</v>
      </c>
      <c r="BZ318" s="52">
        <f t="shared" si="1459"/>
        <v>1</v>
      </c>
      <c r="CA318" s="52">
        <f t="shared" si="1459"/>
        <v>1</v>
      </c>
      <c r="CB318" s="52">
        <f t="shared" si="1459"/>
        <v>1</v>
      </c>
      <c r="CC318" s="52">
        <f t="shared" si="1459"/>
        <v>1</v>
      </c>
      <c r="CD318" s="52">
        <f t="shared" si="1459"/>
        <v>1</v>
      </c>
      <c r="CE318" s="52">
        <f t="shared" si="1459"/>
        <v>1</v>
      </c>
      <c r="CF318" s="52">
        <f t="shared" si="1459"/>
        <v>1</v>
      </c>
      <c r="CG318" s="52">
        <f t="shared" si="1459"/>
        <v>1</v>
      </c>
      <c r="CH318" s="52">
        <f t="shared" si="1459"/>
        <v>1</v>
      </c>
      <c r="CI318" s="52">
        <f t="shared" si="1459"/>
        <v>1</v>
      </c>
      <c r="CJ318" s="52">
        <f t="shared" si="1459"/>
        <v>1</v>
      </c>
      <c r="CK318" s="52">
        <f t="shared" si="1459"/>
        <v>1</v>
      </c>
      <c r="CL318" s="52">
        <f t="shared" si="1459"/>
        <v>1</v>
      </c>
      <c r="CM318" s="52">
        <f t="shared" si="1459"/>
        <v>1</v>
      </c>
      <c r="CN318" s="52">
        <f t="shared" si="1459"/>
        <v>1</v>
      </c>
      <c r="CO318" s="52">
        <f t="shared" si="1459"/>
        <v>1</v>
      </c>
    </row>
    <row r="319" spans="1:93">
      <c r="A319" s="10"/>
      <c r="B319" s="10"/>
      <c r="C319" s="21"/>
      <c r="D319" s="10"/>
      <c r="E319" s="62"/>
      <c r="F319" s="11"/>
      <c r="G319" s="11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</row>
    <row r="320" spans="1:93">
      <c r="A320" s="10"/>
      <c r="B320" s="10"/>
      <c r="C320" s="21" t="str">
        <f xml:space="preserve"> "Ввод в эксплуатацию - " &amp; C265</f>
        <v>Ввод в эксплуатацию - Здания и сооружения - Транспортная инфраструктура</v>
      </c>
      <c r="D320" s="10"/>
      <c r="E320" s="62"/>
      <c r="F320" s="11"/>
      <c r="G320" s="134" t="str">
        <f t="shared" ref="G320:G332" si="1460">Monetary_Unit</f>
        <v>тыс. руб.</v>
      </c>
      <c r="H320" s="10"/>
      <c r="I320" s="23">
        <f t="shared" ref="I320:I331" ca="1" si="1461">SUM(L320:CO320)</f>
        <v>27774.797642991573</v>
      </c>
      <c r="J320" s="10"/>
      <c r="K320" s="10"/>
      <c r="L320" s="10">
        <f ca="1">(SUM(L279:L279)-SUM($K320:K320))*L310</f>
        <v>0</v>
      </c>
      <c r="M320" s="10">
        <f ca="1">(SUM(M279:M279)-SUM($K320:L320))*M310</f>
        <v>0</v>
      </c>
      <c r="N320" s="10">
        <f ca="1">(SUM(N279:N279)-SUM($K320:M320))*N310</f>
        <v>0</v>
      </c>
      <c r="O320" s="10">
        <f ca="1">(SUM(O279:O279)-SUM($K320:N320))*O310</f>
        <v>0</v>
      </c>
      <c r="P320" s="10">
        <f ca="1">(SUM(P279:P279)-SUM($K320:O320))*P310</f>
        <v>0</v>
      </c>
      <c r="Q320" s="10">
        <f ca="1">(SUM(Q279:Q279)-SUM($K320:P320))*Q310</f>
        <v>0</v>
      </c>
      <c r="R320" s="10">
        <f ca="1">(SUM(R279:R279)-SUM($K320:Q320))*R310</f>
        <v>0</v>
      </c>
      <c r="S320" s="10">
        <f ca="1">(SUM(S279:S279)-SUM($K320:R320))*S310</f>
        <v>0</v>
      </c>
      <c r="T320" s="10">
        <f ca="1">(SUM(T279:T279)-SUM($K320:S320))*T310</f>
        <v>0</v>
      </c>
      <c r="U320" s="10">
        <f ca="1">(SUM(U279:U279)-SUM($K320:T320))*U310</f>
        <v>0</v>
      </c>
      <c r="V320" s="10">
        <f ca="1">(SUM(V279:V279)-SUM($K320:U320))*V310</f>
        <v>0</v>
      </c>
      <c r="W320" s="10">
        <f ca="1">(SUM(W279:W279)-SUM($K320:V320))*W310</f>
        <v>0</v>
      </c>
      <c r="X320" s="10">
        <f ca="1">(SUM(X279:X279)-SUM($K320:W320))*X310</f>
        <v>0</v>
      </c>
      <c r="Y320" s="10">
        <f ca="1">(SUM(Y279:Y279)-SUM($K320:X320))*Y310</f>
        <v>0</v>
      </c>
      <c r="Z320" s="10">
        <f ca="1">(SUM(Z279:Z279)-SUM($K320:Y320))*Z310</f>
        <v>0</v>
      </c>
      <c r="AA320" s="10">
        <f ca="1">(SUM(AA279:AA279)-SUM($K320:Z320))*AA310</f>
        <v>0</v>
      </c>
      <c r="AB320" s="10">
        <f ca="1">(SUM(AB279:AB279)-SUM($K320:AA320))*AB310</f>
        <v>27774.797642991573</v>
      </c>
      <c r="AC320" s="10">
        <f ca="1">(SUM(AC279:AC279)-SUM($K320:AB320))*AC310</f>
        <v>0</v>
      </c>
      <c r="AD320" s="10">
        <f ca="1">(SUM(AD279:AD279)-SUM($K320:AC320))*AD310</f>
        <v>0</v>
      </c>
      <c r="AE320" s="10">
        <f ca="1">(SUM(AE279:AE279)-SUM($K320:AD320))*AE310</f>
        <v>0</v>
      </c>
      <c r="AF320" s="10">
        <f ca="1">(SUM(AF279:AF279)-SUM($K320:AE320))*AF310</f>
        <v>0</v>
      </c>
      <c r="AG320" s="10">
        <f ca="1">(SUM(AG279:AG279)-SUM($K320:AF320))*AG310</f>
        <v>0</v>
      </c>
      <c r="AH320" s="10">
        <f ca="1">(SUM(AH279:AH279)-SUM($K320:AG320))*AH310</f>
        <v>0</v>
      </c>
      <c r="AI320" s="10">
        <f ca="1">(SUM(AI279:AI279)-SUM($K320:AH320))*AI310</f>
        <v>0</v>
      </c>
      <c r="AJ320" s="10">
        <f ca="1">(SUM(AJ279:AJ279)-SUM($K320:AI320))*AJ310</f>
        <v>0</v>
      </c>
      <c r="AK320" s="10">
        <f ca="1">(SUM(AK279:AK279)-SUM($K320:AJ320))*AK310</f>
        <v>0</v>
      </c>
      <c r="AL320" s="10">
        <f ca="1">(SUM(AL279:AL279)-SUM($K320:AK320))*AL310</f>
        <v>0</v>
      </c>
      <c r="AM320" s="10">
        <f ca="1">(SUM(AM279:AM279)-SUM($K320:AL320))*AM310</f>
        <v>0</v>
      </c>
      <c r="AN320" s="10">
        <f ca="1">(SUM(AN279:AN279)-SUM($K320:AM320))*AN310</f>
        <v>0</v>
      </c>
      <c r="AO320" s="10">
        <f ca="1">(SUM(AO279:AO279)-SUM($K320:AN320))*AO310</f>
        <v>0</v>
      </c>
      <c r="AP320" s="10">
        <f ca="1">(SUM(AP279:AP279)-SUM($K320:AO320))*AP310</f>
        <v>0</v>
      </c>
      <c r="AQ320" s="10">
        <f ca="1">(SUM(AQ279:AQ279)-SUM($K320:AP320))*AQ310</f>
        <v>0</v>
      </c>
      <c r="AR320" s="10">
        <f ca="1">(SUM(AR279:AR279)-SUM($K320:AQ320))*AR310</f>
        <v>0</v>
      </c>
      <c r="AS320" s="10">
        <f ca="1">(SUM(AS279:AS279)-SUM($K320:AR320))*AS310</f>
        <v>0</v>
      </c>
      <c r="AT320" s="10">
        <f ca="1">(SUM(AT279:AT279)-SUM($K320:AS320))*AT310</f>
        <v>0</v>
      </c>
      <c r="AU320" s="10">
        <f ca="1">(SUM(AU279:AU279)-SUM($K320:AT320))*AU310</f>
        <v>0</v>
      </c>
      <c r="AV320" s="10">
        <f ca="1">(SUM(AV279:AV279)-SUM($K320:AU320))*AV310</f>
        <v>0</v>
      </c>
      <c r="AW320" s="10">
        <f ca="1">(SUM(AW279:AW279)-SUM($K320:AV320))*AW310</f>
        <v>0</v>
      </c>
      <c r="AX320" s="10">
        <f ca="1">(SUM(AX279:AX279)-SUM($K320:AW320))*AX310</f>
        <v>0</v>
      </c>
      <c r="AY320" s="10">
        <f ca="1">(SUM(AY279:AY279)-SUM($K320:AX320))*AY310</f>
        <v>0</v>
      </c>
      <c r="AZ320" s="10">
        <f ca="1">(SUM(AZ279:AZ279)-SUM($K320:AY320))*AZ310</f>
        <v>0</v>
      </c>
      <c r="BA320" s="10">
        <f ca="1">(SUM(BA279:BA279)-SUM($K320:AZ320))*BA310</f>
        <v>0</v>
      </c>
      <c r="BB320" s="10">
        <f ca="1">(SUM(BB279:BB279)-SUM($K320:BA320))*BB310</f>
        <v>0</v>
      </c>
      <c r="BC320" s="10">
        <f ca="1">(SUM(BC279:BC279)-SUM($K320:BB320))*BC310</f>
        <v>0</v>
      </c>
      <c r="BD320" s="10">
        <f ca="1">(SUM(BD279:BD279)-SUM($K320:BC320))*BD310</f>
        <v>0</v>
      </c>
      <c r="BE320" s="10">
        <f ca="1">(SUM(BE279:BE279)-SUM($K320:BD320))*BE310</f>
        <v>0</v>
      </c>
      <c r="BF320" s="10">
        <f ca="1">(SUM(BF279:BF279)-SUM($K320:BE320))*BF310</f>
        <v>0</v>
      </c>
      <c r="BG320" s="10">
        <f ca="1">(SUM(BG279:BG279)-SUM($K320:BF320))*BG310</f>
        <v>0</v>
      </c>
      <c r="BH320" s="10">
        <f ca="1">(SUM(BH279:BH279)-SUM($K320:BG320))*BH310</f>
        <v>0</v>
      </c>
      <c r="BI320" s="10">
        <f ca="1">(SUM(BI279:BI279)-SUM($K320:BH320))*BI310</f>
        <v>0</v>
      </c>
      <c r="BJ320" s="10">
        <f ca="1">(SUM(BJ279:BJ279)-SUM($K320:BI320))*BJ310</f>
        <v>0</v>
      </c>
      <c r="BK320" s="10">
        <f ca="1">(SUM(BK279:BK279)-SUM($K320:BJ320))*BK310</f>
        <v>0</v>
      </c>
      <c r="BL320" s="10">
        <f ca="1">(SUM(BL279:BL279)-SUM($K320:BK320))*BL310</f>
        <v>0</v>
      </c>
      <c r="BM320" s="10">
        <f ca="1">(SUM(BM279:BM279)-SUM($K320:BL320))*BM310</f>
        <v>0</v>
      </c>
      <c r="BN320" s="10">
        <f ca="1">(SUM(BN279:BN279)-SUM($K320:BM320))*BN310</f>
        <v>0</v>
      </c>
      <c r="BO320" s="10">
        <f ca="1">(SUM(BO279:BO279)-SUM($K320:BN320))*BO310</f>
        <v>0</v>
      </c>
      <c r="BP320" s="10">
        <f ca="1">(SUM(BP279:BP279)-SUM($K320:BO320))*BP310</f>
        <v>0</v>
      </c>
      <c r="BQ320" s="10">
        <f ca="1">(SUM(BQ279:BQ279)-SUM($K320:BP320))*BQ310</f>
        <v>0</v>
      </c>
      <c r="BR320" s="10">
        <f ca="1">(SUM(BR279:BR279)-SUM($K320:BQ320))*BR310</f>
        <v>0</v>
      </c>
      <c r="BS320" s="10">
        <f ca="1">(SUM(BS279:BS279)-SUM($K320:BR320))*BS310</f>
        <v>0</v>
      </c>
      <c r="BT320" s="10">
        <f ca="1">(SUM(BT279:BT279)-SUM($K320:BS320))*BT310</f>
        <v>0</v>
      </c>
      <c r="BU320" s="10">
        <f ca="1">(SUM(BU279:BU279)-SUM($K320:BT320))*BU310</f>
        <v>0</v>
      </c>
      <c r="BV320" s="10">
        <f ca="1">(SUM(BV279:BV279)-SUM($K320:BU320))*BV310</f>
        <v>0</v>
      </c>
      <c r="BW320" s="10">
        <f ca="1">(SUM(BW279:BW279)-SUM($K320:BV320))*BW310</f>
        <v>0</v>
      </c>
      <c r="BX320" s="10">
        <f ca="1">(SUM(BX279:BX279)-SUM($K320:BW320))*BX310</f>
        <v>0</v>
      </c>
      <c r="BY320" s="10">
        <f ca="1">(SUM(BY279:BY279)-SUM($K320:BX320))*BY310</f>
        <v>0</v>
      </c>
      <c r="BZ320" s="10">
        <f ca="1">(SUM(BZ279:BZ279)-SUM($K320:BY320))*BZ310</f>
        <v>0</v>
      </c>
      <c r="CA320" s="10">
        <f ca="1">(SUM(CA279:CA279)-SUM($K320:BZ320))*CA310</f>
        <v>0</v>
      </c>
      <c r="CB320" s="10">
        <f ca="1">(SUM(CB279:CB279)-SUM($K320:CA320))*CB310</f>
        <v>0</v>
      </c>
      <c r="CC320" s="10">
        <f ca="1">(SUM(CC279:CC279)-SUM($K320:CB320))*CC310</f>
        <v>0</v>
      </c>
      <c r="CD320" s="10">
        <f ca="1">(SUM(CD279:CD279)-SUM($K320:CC320))*CD310</f>
        <v>0</v>
      </c>
      <c r="CE320" s="10">
        <f ca="1">(SUM(CE279:CE279)-SUM($K320:CD320))*CE310</f>
        <v>0</v>
      </c>
      <c r="CF320" s="10">
        <f ca="1">(SUM(CF279:CF279)-SUM($K320:CE320))*CF310</f>
        <v>0</v>
      </c>
      <c r="CG320" s="10">
        <f ca="1">(SUM(CG279:CG279)-SUM($K320:CF320))*CG310</f>
        <v>0</v>
      </c>
      <c r="CH320" s="10">
        <f ca="1">(SUM(CH279:CH279)-SUM($K320:CG320))*CH310</f>
        <v>0</v>
      </c>
      <c r="CI320" s="10">
        <f ca="1">(SUM(CI279:CI279)-SUM($K320:CH320))*CI310</f>
        <v>0</v>
      </c>
      <c r="CJ320" s="10">
        <f ca="1">(SUM(CJ279:CJ279)-SUM($K320:CI320))*CJ310</f>
        <v>0</v>
      </c>
      <c r="CK320" s="10">
        <f ca="1">(SUM(CK279:CK279)-SUM($K320:CJ320))*CK310</f>
        <v>0</v>
      </c>
      <c r="CL320" s="10">
        <f ca="1">(SUM(CL279:CL279)-SUM($K320:CK320))*CL310</f>
        <v>0</v>
      </c>
      <c r="CM320" s="10">
        <f ca="1">(SUM(CM279:CM279)-SUM($K320:CL320))*CM310</f>
        <v>0</v>
      </c>
      <c r="CN320" s="10">
        <f ca="1">(SUM(CN279:CN279)-SUM($K320:CM320))*CN310</f>
        <v>0</v>
      </c>
      <c r="CO320" s="10">
        <f ca="1">(SUM(CO279:CO279)-SUM($K320:CN320))*CO310</f>
        <v>0</v>
      </c>
    </row>
    <row r="321" spans="1:93">
      <c r="A321" s="10"/>
      <c r="B321" s="10"/>
      <c r="C321" s="21" t="str">
        <f t="shared" ref="C321:C323" si="1462" xml:space="preserve"> "Ввод в эксплуатацию - " &amp; C266</f>
        <v>Ввод в эксплуатацию - Здания и сооружения - Коммунальная инфраструктура</v>
      </c>
      <c r="D321" s="10"/>
      <c r="E321" s="62"/>
      <c r="F321" s="11"/>
      <c r="G321" s="134" t="str">
        <f t="shared" si="1460"/>
        <v>тыс. руб.</v>
      </c>
      <c r="H321" s="10"/>
      <c r="I321" s="23">
        <f t="shared" ca="1" si="1461"/>
        <v>0</v>
      </c>
      <c r="J321" s="10"/>
      <c r="K321" s="10"/>
      <c r="L321" s="10">
        <f ca="1">(SUM(L280:L280)-SUM($K321:K321))*L311</f>
        <v>0</v>
      </c>
      <c r="M321" s="10">
        <f ca="1">(SUM(M280:M280)-SUM($K321:L321))*M311</f>
        <v>0</v>
      </c>
      <c r="N321" s="10">
        <f ca="1">(SUM(N280:N280)-SUM($K321:M321))*N311</f>
        <v>0</v>
      </c>
      <c r="O321" s="10">
        <f ca="1">(SUM(O280:O280)-SUM($K321:N321))*O311</f>
        <v>0</v>
      </c>
      <c r="P321" s="10">
        <f ca="1">(SUM(P280:P280)-SUM($K321:O321))*P311</f>
        <v>0</v>
      </c>
      <c r="Q321" s="10">
        <f ca="1">(SUM(Q280:Q280)-SUM($K321:P321))*Q311</f>
        <v>0</v>
      </c>
      <c r="R321" s="10">
        <f ca="1">(SUM(R280:R280)-SUM($K321:Q321))*R311</f>
        <v>0</v>
      </c>
      <c r="S321" s="10">
        <f ca="1">(SUM(S280:S280)-SUM($K321:R321))*S311</f>
        <v>0</v>
      </c>
      <c r="T321" s="10">
        <f ca="1">(SUM(T280:T280)-SUM($K321:S321))*T311</f>
        <v>0</v>
      </c>
      <c r="U321" s="10">
        <f ca="1">(SUM(U280:U280)-SUM($K321:T321))*U311</f>
        <v>0</v>
      </c>
      <c r="V321" s="10">
        <f ca="1">(SUM(V280:V280)-SUM($K321:U321))*V311</f>
        <v>0</v>
      </c>
      <c r="W321" s="10">
        <f ca="1">(SUM(W280:W280)-SUM($K321:V321))*W311</f>
        <v>0</v>
      </c>
      <c r="X321" s="10">
        <f ca="1">(SUM(X280:X280)-SUM($K321:W321))*X311</f>
        <v>0</v>
      </c>
      <c r="Y321" s="10">
        <f ca="1">(SUM(Y280:Y280)-SUM($K321:X321))*Y311</f>
        <v>0</v>
      </c>
      <c r="Z321" s="10">
        <f ca="1">(SUM(Z280:Z280)-SUM($K321:Y321))*Z311</f>
        <v>0</v>
      </c>
      <c r="AA321" s="10">
        <f ca="1">(SUM(AA280:AA280)-SUM($K321:Z321))*AA311</f>
        <v>0</v>
      </c>
      <c r="AB321" s="10">
        <f ca="1">(SUM(AB280:AB280)-SUM($K321:AA321))*AB311</f>
        <v>0</v>
      </c>
      <c r="AC321" s="10">
        <f ca="1">(SUM(AC280:AC280)-SUM($K321:AB321))*AC311</f>
        <v>0</v>
      </c>
      <c r="AD321" s="10">
        <f ca="1">(SUM(AD280:AD280)-SUM($K321:AC321))*AD311</f>
        <v>0</v>
      </c>
      <c r="AE321" s="10">
        <f ca="1">(SUM(AE280:AE280)-SUM($K321:AD321))*AE311</f>
        <v>0</v>
      </c>
      <c r="AF321" s="10">
        <f ca="1">(SUM(AF280:AF280)-SUM($K321:AE321))*AF311</f>
        <v>0</v>
      </c>
      <c r="AG321" s="10">
        <f ca="1">(SUM(AG280:AG280)-SUM($K321:AF321))*AG311</f>
        <v>0</v>
      </c>
      <c r="AH321" s="10">
        <f ca="1">(SUM(AH280:AH280)-SUM($K321:AG321))*AH311</f>
        <v>0</v>
      </c>
      <c r="AI321" s="10">
        <f ca="1">(SUM(AI280:AI280)-SUM($K321:AH321))*AI311</f>
        <v>0</v>
      </c>
      <c r="AJ321" s="10">
        <f ca="1">(SUM(AJ280:AJ280)-SUM($K321:AI321))*AJ311</f>
        <v>0</v>
      </c>
      <c r="AK321" s="10">
        <f ca="1">(SUM(AK280:AK280)-SUM($K321:AJ321))*AK311</f>
        <v>0</v>
      </c>
      <c r="AL321" s="10">
        <f ca="1">(SUM(AL280:AL280)-SUM($K321:AK321))*AL311</f>
        <v>0</v>
      </c>
      <c r="AM321" s="10">
        <f ca="1">(SUM(AM280:AM280)-SUM($K321:AL321))*AM311</f>
        <v>0</v>
      </c>
      <c r="AN321" s="10">
        <f ca="1">(SUM(AN280:AN280)-SUM($K321:AM321))*AN311</f>
        <v>0</v>
      </c>
      <c r="AO321" s="10">
        <f ca="1">(SUM(AO280:AO280)-SUM($K321:AN321))*AO311</f>
        <v>0</v>
      </c>
      <c r="AP321" s="10">
        <f ca="1">(SUM(AP280:AP280)-SUM($K321:AO321))*AP311</f>
        <v>0</v>
      </c>
      <c r="AQ321" s="10">
        <f ca="1">(SUM(AQ280:AQ280)-SUM($K321:AP321))*AQ311</f>
        <v>0</v>
      </c>
      <c r="AR321" s="10">
        <f ca="1">(SUM(AR280:AR280)-SUM($K321:AQ321))*AR311</f>
        <v>0</v>
      </c>
      <c r="AS321" s="10">
        <f ca="1">(SUM(AS280:AS280)-SUM($K321:AR321))*AS311</f>
        <v>0</v>
      </c>
      <c r="AT321" s="10">
        <f ca="1">(SUM(AT280:AT280)-SUM($K321:AS321))*AT311</f>
        <v>0</v>
      </c>
      <c r="AU321" s="10">
        <f ca="1">(SUM(AU280:AU280)-SUM($K321:AT321))*AU311</f>
        <v>0</v>
      </c>
      <c r="AV321" s="10">
        <f ca="1">(SUM(AV280:AV280)-SUM($K321:AU321))*AV311</f>
        <v>0</v>
      </c>
      <c r="AW321" s="10">
        <f ca="1">(SUM(AW280:AW280)-SUM($K321:AV321))*AW311</f>
        <v>0</v>
      </c>
      <c r="AX321" s="10">
        <f ca="1">(SUM(AX280:AX280)-SUM($K321:AW321))*AX311</f>
        <v>0</v>
      </c>
      <c r="AY321" s="10">
        <f ca="1">(SUM(AY280:AY280)-SUM($K321:AX321))*AY311</f>
        <v>0</v>
      </c>
      <c r="AZ321" s="10">
        <f ca="1">(SUM(AZ280:AZ280)-SUM($K321:AY321))*AZ311</f>
        <v>0</v>
      </c>
      <c r="BA321" s="10">
        <f ca="1">(SUM(BA280:BA280)-SUM($K321:AZ321))*BA311</f>
        <v>0</v>
      </c>
      <c r="BB321" s="10">
        <f ca="1">(SUM(BB280:BB280)-SUM($K321:BA321))*BB311</f>
        <v>0</v>
      </c>
      <c r="BC321" s="10">
        <f ca="1">(SUM(BC280:BC280)-SUM($K321:BB321))*BC311</f>
        <v>0</v>
      </c>
      <c r="BD321" s="10">
        <f ca="1">(SUM(BD280:BD280)-SUM($K321:BC321))*BD311</f>
        <v>0</v>
      </c>
      <c r="BE321" s="10">
        <f ca="1">(SUM(BE280:BE280)-SUM($K321:BD321))*BE311</f>
        <v>0</v>
      </c>
      <c r="BF321" s="10">
        <f ca="1">(SUM(BF280:BF280)-SUM($K321:BE321))*BF311</f>
        <v>0</v>
      </c>
      <c r="BG321" s="10">
        <f ca="1">(SUM(BG280:BG280)-SUM($K321:BF321))*BG311</f>
        <v>0</v>
      </c>
      <c r="BH321" s="10">
        <f ca="1">(SUM(BH280:BH280)-SUM($K321:BG321))*BH311</f>
        <v>0</v>
      </c>
      <c r="BI321" s="10">
        <f ca="1">(SUM(BI280:BI280)-SUM($K321:BH321))*BI311</f>
        <v>0</v>
      </c>
      <c r="BJ321" s="10">
        <f ca="1">(SUM(BJ280:BJ280)-SUM($K321:BI321))*BJ311</f>
        <v>0</v>
      </c>
      <c r="BK321" s="10">
        <f ca="1">(SUM(BK280:BK280)-SUM($K321:BJ321))*BK311</f>
        <v>0</v>
      </c>
      <c r="BL321" s="10">
        <f ca="1">(SUM(BL280:BL280)-SUM($K321:BK321))*BL311</f>
        <v>0</v>
      </c>
      <c r="BM321" s="10">
        <f ca="1">(SUM(BM280:BM280)-SUM($K321:BL321))*BM311</f>
        <v>0</v>
      </c>
      <c r="BN321" s="10">
        <f ca="1">(SUM(BN280:BN280)-SUM($K321:BM321))*BN311</f>
        <v>0</v>
      </c>
      <c r="BO321" s="10">
        <f ca="1">(SUM(BO280:BO280)-SUM($K321:BN321))*BO311</f>
        <v>0</v>
      </c>
      <c r="BP321" s="10">
        <f ca="1">(SUM(BP280:BP280)-SUM($K321:BO321))*BP311</f>
        <v>0</v>
      </c>
      <c r="BQ321" s="10">
        <f ca="1">(SUM(BQ280:BQ280)-SUM($K321:BP321))*BQ311</f>
        <v>0</v>
      </c>
      <c r="BR321" s="10">
        <f ca="1">(SUM(BR280:BR280)-SUM($K321:BQ321))*BR311</f>
        <v>0</v>
      </c>
      <c r="BS321" s="10">
        <f ca="1">(SUM(BS280:BS280)-SUM($K321:BR321))*BS311</f>
        <v>0</v>
      </c>
      <c r="BT321" s="10">
        <f ca="1">(SUM(BT280:BT280)-SUM($K321:BS321))*BT311</f>
        <v>0</v>
      </c>
      <c r="BU321" s="10">
        <f ca="1">(SUM(BU280:BU280)-SUM($K321:BT321))*BU311</f>
        <v>0</v>
      </c>
      <c r="BV321" s="10">
        <f ca="1">(SUM(BV280:BV280)-SUM($K321:BU321))*BV311</f>
        <v>0</v>
      </c>
      <c r="BW321" s="10">
        <f ca="1">(SUM(BW280:BW280)-SUM($K321:BV321))*BW311</f>
        <v>0</v>
      </c>
      <c r="BX321" s="10">
        <f ca="1">(SUM(BX280:BX280)-SUM($K321:BW321))*BX311</f>
        <v>0</v>
      </c>
      <c r="BY321" s="10">
        <f ca="1">(SUM(BY280:BY280)-SUM($K321:BX321))*BY311</f>
        <v>0</v>
      </c>
      <c r="BZ321" s="10">
        <f ca="1">(SUM(BZ280:BZ280)-SUM($K321:BY321))*BZ311</f>
        <v>0</v>
      </c>
      <c r="CA321" s="10">
        <f ca="1">(SUM(CA280:CA280)-SUM($K321:BZ321))*CA311</f>
        <v>0</v>
      </c>
      <c r="CB321" s="10">
        <f ca="1">(SUM(CB280:CB280)-SUM($K321:CA321))*CB311</f>
        <v>0</v>
      </c>
      <c r="CC321" s="10">
        <f ca="1">(SUM(CC280:CC280)-SUM($K321:CB321))*CC311</f>
        <v>0</v>
      </c>
      <c r="CD321" s="10">
        <f ca="1">(SUM(CD280:CD280)-SUM($K321:CC321))*CD311</f>
        <v>0</v>
      </c>
      <c r="CE321" s="10">
        <f ca="1">(SUM(CE280:CE280)-SUM($K321:CD321))*CE311</f>
        <v>0</v>
      </c>
      <c r="CF321" s="10">
        <f ca="1">(SUM(CF280:CF280)-SUM($K321:CE321))*CF311</f>
        <v>0</v>
      </c>
      <c r="CG321" s="10">
        <f ca="1">(SUM(CG280:CG280)-SUM($K321:CF321))*CG311</f>
        <v>0</v>
      </c>
      <c r="CH321" s="10">
        <f ca="1">(SUM(CH280:CH280)-SUM($K321:CG321))*CH311</f>
        <v>0</v>
      </c>
      <c r="CI321" s="10">
        <f ca="1">(SUM(CI280:CI280)-SUM($K321:CH321))*CI311</f>
        <v>0</v>
      </c>
      <c r="CJ321" s="10">
        <f ca="1">(SUM(CJ280:CJ280)-SUM($K321:CI321))*CJ311</f>
        <v>0</v>
      </c>
      <c r="CK321" s="10">
        <f ca="1">(SUM(CK280:CK280)-SUM($K321:CJ321))*CK311</f>
        <v>0</v>
      </c>
      <c r="CL321" s="10">
        <f ca="1">(SUM(CL280:CL280)-SUM($K321:CK321))*CL311</f>
        <v>0</v>
      </c>
      <c r="CM321" s="10">
        <f ca="1">(SUM(CM280:CM280)-SUM($K321:CL321))*CM311</f>
        <v>0</v>
      </c>
      <c r="CN321" s="10">
        <f ca="1">(SUM(CN280:CN280)-SUM($K321:CM321))*CN311</f>
        <v>0</v>
      </c>
      <c r="CO321" s="10">
        <f ca="1">(SUM(CO280:CO280)-SUM($K321:CN321))*CO311</f>
        <v>0</v>
      </c>
    </row>
    <row r="322" spans="1:93">
      <c r="A322" s="10"/>
      <c r="B322" s="10"/>
      <c r="C322" s="21" t="str">
        <f t="shared" si="1462"/>
        <v>Ввод в эксплуатацию - Здания и сооружения - Прочая обеспечивающая инфраструктура</v>
      </c>
      <c r="D322" s="10"/>
      <c r="E322" s="62"/>
      <c r="F322" s="11"/>
      <c r="G322" s="134" t="str">
        <f t="shared" si="1460"/>
        <v>тыс. руб.</v>
      </c>
      <c r="H322" s="10"/>
      <c r="I322" s="23">
        <f t="shared" ca="1" si="1461"/>
        <v>0</v>
      </c>
      <c r="J322" s="10"/>
      <c r="K322" s="10"/>
      <c r="L322" s="10">
        <f ca="1">(SUM(L281:L281)-SUM($K322:K322))*L312</f>
        <v>0</v>
      </c>
      <c r="M322" s="10">
        <f ca="1">(SUM(M281:M281)-SUM($K322:L322))*M312</f>
        <v>0</v>
      </c>
      <c r="N322" s="10">
        <f ca="1">(SUM(N281:N281)-SUM($K322:M322))*N312</f>
        <v>0</v>
      </c>
      <c r="O322" s="10">
        <f ca="1">(SUM(O281:O281)-SUM($K322:N322))*O312</f>
        <v>0</v>
      </c>
      <c r="P322" s="10">
        <f ca="1">(SUM(P281:P281)-SUM($K322:O322))*P312</f>
        <v>0</v>
      </c>
      <c r="Q322" s="10">
        <f ca="1">(SUM(Q281:Q281)-SUM($K322:P322))*Q312</f>
        <v>0</v>
      </c>
      <c r="R322" s="10">
        <f ca="1">(SUM(R281:R281)-SUM($K322:Q322))*R312</f>
        <v>0</v>
      </c>
      <c r="S322" s="10">
        <f ca="1">(SUM(S281:S281)-SUM($K322:R322))*S312</f>
        <v>0</v>
      </c>
      <c r="T322" s="10">
        <f ca="1">(SUM(T281:T281)-SUM($K322:S322))*T312</f>
        <v>0</v>
      </c>
      <c r="U322" s="10">
        <f ca="1">(SUM(U281:U281)-SUM($K322:T322))*U312</f>
        <v>0</v>
      </c>
      <c r="V322" s="10">
        <f ca="1">(SUM(V281:V281)-SUM($K322:U322))*V312</f>
        <v>0</v>
      </c>
      <c r="W322" s="10">
        <f ca="1">(SUM(W281:W281)-SUM($K322:V322))*W312</f>
        <v>0</v>
      </c>
      <c r="X322" s="10">
        <f ca="1">(SUM(X281:X281)-SUM($K322:W322))*X312</f>
        <v>0</v>
      </c>
      <c r="Y322" s="10">
        <f ca="1">(SUM(Y281:Y281)-SUM($K322:X322))*Y312</f>
        <v>0</v>
      </c>
      <c r="Z322" s="10">
        <f ca="1">(SUM(Z281:Z281)-SUM($K322:Y322))*Z312</f>
        <v>0</v>
      </c>
      <c r="AA322" s="10">
        <f ca="1">(SUM(AA281:AA281)-SUM($K322:Z322))*AA312</f>
        <v>0</v>
      </c>
      <c r="AB322" s="10">
        <f ca="1">(SUM(AB281:AB281)-SUM($K322:AA322))*AB312</f>
        <v>0</v>
      </c>
      <c r="AC322" s="10">
        <f ca="1">(SUM(AC281:AC281)-SUM($K322:AB322))*AC312</f>
        <v>0</v>
      </c>
      <c r="AD322" s="10">
        <f ca="1">(SUM(AD281:AD281)-SUM($K322:AC322))*AD312</f>
        <v>0</v>
      </c>
      <c r="AE322" s="10">
        <f ca="1">(SUM(AE281:AE281)-SUM($K322:AD322))*AE312</f>
        <v>0</v>
      </c>
      <c r="AF322" s="10">
        <f ca="1">(SUM(AF281:AF281)-SUM($K322:AE322))*AF312</f>
        <v>0</v>
      </c>
      <c r="AG322" s="10">
        <f ca="1">(SUM(AG281:AG281)-SUM($K322:AF322))*AG312</f>
        <v>0</v>
      </c>
      <c r="AH322" s="10">
        <f ca="1">(SUM(AH281:AH281)-SUM($K322:AG322))*AH312</f>
        <v>0</v>
      </c>
      <c r="AI322" s="10">
        <f ca="1">(SUM(AI281:AI281)-SUM($K322:AH322))*AI312</f>
        <v>0</v>
      </c>
      <c r="AJ322" s="10">
        <f ca="1">(SUM(AJ281:AJ281)-SUM($K322:AI322))*AJ312</f>
        <v>0</v>
      </c>
      <c r="AK322" s="10">
        <f ca="1">(SUM(AK281:AK281)-SUM($K322:AJ322))*AK312</f>
        <v>0</v>
      </c>
      <c r="AL322" s="10">
        <f ca="1">(SUM(AL281:AL281)-SUM($K322:AK322))*AL312</f>
        <v>0</v>
      </c>
      <c r="AM322" s="10">
        <f ca="1">(SUM(AM281:AM281)-SUM($K322:AL322))*AM312</f>
        <v>0</v>
      </c>
      <c r="AN322" s="10">
        <f ca="1">(SUM(AN281:AN281)-SUM($K322:AM322))*AN312</f>
        <v>0</v>
      </c>
      <c r="AO322" s="10">
        <f ca="1">(SUM(AO281:AO281)-SUM($K322:AN322))*AO312</f>
        <v>0</v>
      </c>
      <c r="AP322" s="10">
        <f ca="1">(SUM(AP281:AP281)-SUM($K322:AO322))*AP312</f>
        <v>0</v>
      </c>
      <c r="AQ322" s="10">
        <f ca="1">(SUM(AQ281:AQ281)-SUM($K322:AP322))*AQ312</f>
        <v>0</v>
      </c>
      <c r="AR322" s="10">
        <f ca="1">(SUM(AR281:AR281)-SUM($K322:AQ322))*AR312</f>
        <v>0</v>
      </c>
      <c r="AS322" s="10">
        <f ca="1">(SUM(AS281:AS281)-SUM($K322:AR322))*AS312</f>
        <v>0</v>
      </c>
      <c r="AT322" s="10">
        <f ca="1">(SUM(AT281:AT281)-SUM($K322:AS322))*AT312</f>
        <v>0</v>
      </c>
      <c r="AU322" s="10">
        <f ca="1">(SUM(AU281:AU281)-SUM($K322:AT322))*AU312</f>
        <v>0</v>
      </c>
      <c r="AV322" s="10">
        <f ca="1">(SUM(AV281:AV281)-SUM($K322:AU322))*AV312</f>
        <v>0</v>
      </c>
      <c r="AW322" s="10">
        <f ca="1">(SUM(AW281:AW281)-SUM($K322:AV322))*AW312</f>
        <v>0</v>
      </c>
      <c r="AX322" s="10">
        <f ca="1">(SUM(AX281:AX281)-SUM($K322:AW322))*AX312</f>
        <v>0</v>
      </c>
      <c r="AY322" s="10">
        <f ca="1">(SUM(AY281:AY281)-SUM($K322:AX322))*AY312</f>
        <v>0</v>
      </c>
      <c r="AZ322" s="10">
        <f ca="1">(SUM(AZ281:AZ281)-SUM($K322:AY322))*AZ312</f>
        <v>0</v>
      </c>
      <c r="BA322" s="10">
        <f ca="1">(SUM(BA281:BA281)-SUM($K322:AZ322))*BA312</f>
        <v>0</v>
      </c>
      <c r="BB322" s="10">
        <f ca="1">(SUM(BB281:BB281)-SUM($K322:BA322))*BB312</f>
        <v>0</v>
      </c>
      <c r="BC322" s="10">
        <f ca="1">(SUM(BC281:BC281)-SUM($K322:BB322))*BC312</f>
        <v>0</v>
      </c>
      <c r="BD322" s="10">
        <f ca="1">(SUM(BD281:BD281)-SUM($K322:BC322))*BD312</f>
        <v>0</v>
      </c>
      <c r="BE322" s="10">
        <f ca="1">(SUM(BE281:BE281)-SUM($K322:BD322))*BE312</f>
        <v>0</v>
      </c>
      <c r="BF322" s="10">
        <f ca="1">(SUM(BF281:BF281)-SUM($K322:BE322))*BF312</f>
        <v>0</v>
      </c>
      <c r="BG322" s="10">
        <f ca="1">(SUM(BG281:BG281)-SUM($K322:BF322))*BG312</f>
        <v>0</v>
      </c>
      <c r="BH322" s="10">
        <f ca="1">(SUM(BH281:BH281)-SUM($K322:BG322))*BH312</f>
        <v>0</v>
      </c>
      <c r="BI322" s="10">
        <f ca="1">(SUM(BI281:BI281)-SUM($K322:BH322))*BI312</f>
        <v>0</v>
      </c>
      <c r="BJ322" s="10">
        <f ca="1">(SUM(BJ281:BJ281)-SUM($K322:BI322))*BJ312</f>
        <v>0</v>
      </c>
      <c r="BK322" s="10">
        <f ca="1">(SUM(BK281:BK281)-SUM($K322:BJ322))*BK312</f>
        <v>0</v>
      </c>
      <c r="BL322" s="10">
        <f ca="1">(SUM(BL281:BL281)-SUM($K322:BK322))*BL312</f>
        <v>0</v>
      </c>
      <c r="BM322" s="10">
        <f ca="1">(SUM(BM281:BM281)-SUM($K322:BL322))*BM312</f>
        <v>0</v>
      </c>
      <c r="BN322" s="10">
        <f ca="1">(SUM(BN281:BN281)-SUM($K322:BM322))*BN312</f>
        <v>0</v>
      </c>
      <c r="BO322" s="10">
        <f ca="1">(SUM(BO281:BO281)-SUM($K322:BN322))*BO312</f>
        <v>0</v>
      </c>
      <c r="BP322" s="10">
        <f ca="1">(SUM(BP281:BP281)-SUM($K322:BO322))*BP312</f>
        <v>0</v>
      </c>
      <c r="BQ322" s="10">
        <f ca="1">(SUM(BQ281:BQ281)-SUM($K322:BP322))*BQ312</f>
        <v>0</v>
      </c>
      <c r="BR322" s="10">
        <f ca="1">(SUM(BR281:BR281)-SUM($K322:BQ322))*BR312</f>
        <v>0</v>
      </c>
      <c r="BS322" s="10">
        <f ca="1">(SUM(BS281:BS281)-SUM($K322:BR322))*BS312</f>
        <v>0</v>
      </c>
      <c r="BT322" s="10">
        <f ca="1">(SUM(BT281:BT281)-SUM($K322:BS322))*BT312</f>
        <v>0</v>
      </c>
      <c r="BU322" s="10">
        <f ca="1">(SUM(BU281:BU281)-SUM($K322:BT322))*BU312</f>
        <v>0</v>
      </c>
      <c r="BV322" s="10">
        <f ca="1">(SUM(BV281:BV281)-SUM($K322:BU322))*BV312</f>
        <v>0</v>
      </c>
      <c r="BW322" s="10">
        <f ca="1">(SUM(BW281:BW281)-SUM($K322:BV322))*BW312</f>
        <v>0</v>
      </c>
      <c r="BX322" s="10">
        <f ca="1">(SUM(BX281:BX281)-SUM($K322:BW322))*BX312</f>
        <v>0</v>
      </c>
      <c r="BY322" s="10">
        <f ca="1">(SUM(BY281:BY281)-SUM($K322:BX322))*BY312</f>
        <v>0</v>
      </c>
      <c r="BZ322" s="10">
        <f ca="1">(SUM(BZ281:BZ281)-SUM($K322:BY322))*BZ312</f>
        <v>0</v>
      </c>
      <c r="CA322" s="10">
        <f ca="1">(SUM(CA281:CA281)-SUM($K322:BZ322))*CA312</f>
        <v>0</v>
      </c>
      <c r="CB322" s="10">
        <f ca="1">(SUM(CB281:CB281)-SUM($K322:CA322))*CB312</f>
        <v>0</v>
      </c>
      <c r="CC322" s="10">
        <f ca="1">(SUM(CC281:CC281)-SUM($K322:CB322))*CC312</f>
        <v>0</v>
      </c>
      <c r="CD322" s="10">
        <f ca="1">(SUM(CD281:CD281)-SUM($K322:CC322))*CD312</f>
        <v>0</v>
      </c>
      <c r="CE322" s="10">
        <f ca="1">(SUM(CE281:CE281)-SUM($K322:CD322))*CE312</f>
        <v>0</v>
      </c>
      <c r="CF322" s="10">
        <f ca="1">(SUM(CF281:CF281)-SUM($K322:CE322))*CF312</f>
        <v>0</v>
      </c>
      <c r="CG322" s="10">
        <f ca="1">(SUM(CG281:CG281)-SUM($K322:CF322))*CG312</f>
        <v>0</v>
      </c>
      <c r="CH322" s="10">
        <f ca="1">(SUM(CH281:CH281)-SUM($K322:CG322))*CH312</f>
        <v>0</v>
      </c>
      <c r="CI322" s="10">
        <f ca="1">(SUM(CI281:CI281)-SUM($K322:CH322))*CI312</f>
        <v>0</v>
      </c>
      <c r="CJ322" s="10">
        <f ca="1">(SUM(CJ281:CJ281)-SUM($K322:CI322))*CJ312</f>
        <v>0</v>
      </c>
      <c r="CK322" s="10">
        <f ca="1">(SUM(CK281:CK281)-SUM($K322:CJ322))*CK312</f>
        <v>0</v>
      </c>
      <c r="CL322" s="10">
        <f ca="1">(SUM(CL281:CL281)-SUM($K322:CK322))*CL312</f>
        <v>0</v>
      </c>
      <c r="CM322" s="10">
        <f ca="1">(SUM(CM281:CM281)-SUM($K322:CL322))*CM312</f>
        <v>0</v>
      </c>
      <c r="CN322" s="10">
        <f ca="1">(SUM(CN281:CN281)-SUM($K322:CM322))*CN312</f>
        <v>0</v>
      </c>
      <c r="CO322" s="10">
        <f ca="1">(SUM(CO281:CO281)-SUM($K322:CN322))*CO312</f>
        <v>0</v>
      </c>
    </row>
    <row r="323" spans="1:93">
      <c r="A323" s="10"/>
      <c r="B323" s="10"/>
      <c r="C323" s="21" t="str">
        <f t="shared" si="1462"/>
        <v>Ввод в эксплуатацию - Здания и сооружения - Объект размещения (отель)</v>
      </c>
      <c r="D323" s="10"/>
      <c r="E323" s="62"/>
      <c r="F323" s="11"/>
      <c r="G323" s="134" t="str">
        <f t="shared" si="1460"/>
        <v>тыс. руб.</v>
      </c>
      <c r="H323" s="10"/>
      <c r="I323" s="23">
        <f t="shared" ref="I323:I329" ca="1" si="1463">SUM(L323:CO323)</f>
        <v>3683093.3769661123</v>
      </c>
      <c r="J323" s="10"/>
      <c r="K323" s="10"/>
      <c r="L323" s="10">
        <f ca="1" xml:space="preserve"> (L282 - SUM($K323:K323)) * L313</f>
        <v>0</v>
      </c>
      <c r="M323" s="10">
        <f ca="1" xml:space="preserve"> (M282 - SUM($K323:L323)) * M313</f>
        <v>0</v>
      </c>
      <c r="N323" s="10">
        <f ca="1" xml:space="preserve"> (N282 - SUM($K323:M323)) * N313</f>
        <v>0</v>
      </c>
      <c r="O323" s="10">
        <f ca="1" xml:space="preserve"> (O282 - SUM($K323:N323)) * O313</f>
        <v>0</v>
      </c>
      <c r="P323" s="10">
        <f ca="1" xml:space="preserve"> (P282 - SUM($K323:O323)) * P313</f>
        <v>0</v>
      </c>
      <c r="Q323" s="10">
        <f ca="1" xml:space="preserve"> (Q282 - SUM($K323:P323)) * Q313</f>
        <v>0</v>
      </c>
      <c r="R323" s="10">
        <f ca="1" xml:space="preserve"> (R282 - SUM($K323:Q323)) * R313</f>
        <v>0</v>
      </c>
      <c r="S323" s="10">
        <f ca="1" xml:space="preserve"> (S282 - SUM($K323:R323)) * S313</f>
        <v>0</v>
      </c>
      <c r="T323" s="10">
        <f ca="1" xml:space="preserve"> (T282 - SUM($K323:S323)) * T313</f>
        <v>0</v>
      </c>
      <c r="U323" s="10">
        <f ca="1" xml:space="preserve"> (U282 - SUM($K323:T323)) * U313</f>
        <v>0</v>
      </c>
      <c r="V323" s="10">
        <f ca="1" xml:space="preserve"> (V282 - SUM($K323:U323)) * V313</f>
        <v>0</v>
      </c>
      <c r="W323" s="10">
        <f ca="1" xml:space="preserve"> (W282 - SUM($K323:V323)) * W313</f>
        <v>0</v>
      </c>
      <c r="X323" s="10">
        <f ca="1" xml:space="preserve"> (X282 - SUM($K323:W323)) * X313</f>
        <v>0</v>
      </c>
      <c r="Y323" s="10">
        <f ca="1" xml:space="preserve"> (Y282 - SUM($K323:X323)) * Y313</f>
        <v>0</v>
      </c>
      <c r="Z323" s="10">
        <f ca="1" xml:space="preserve"> (Z282 - SUM($K323:Y323)) * Z313</f>
        <v>0</v>
      </c>
      <c r="AA323" s="10">
        <f ca="1" xml:space="preserve"> (AA282 - SUM($K323:Z323)) * AA313</f>
        <v>0</v>
      </c>
      <c r="AB323" s="10">
        <f ca="1" xml:space="preserve"> (AB282 - SUM($K323:AA323)) * AB313</f>
        <v>3683093.3769661123</v>
      </c>
      <c r="AC323" s="10">
        <f ca="1" xml:space="preserve"> (AC282 - SUM($K323:AB323)) * AC313</f>
        <v>0</v>
      </c>
      <c r="AD323" s="10">
        <f ca="1" xml:space="preserve"> (AD282 - SUM($K323:AC323)) * AD313</f>
        <v>0</v>
      </c>
      <c r="AE323" s="10">
        <f ca="1" xml:space="preserve"> (AE282 - SUM($K323:AD323)) * AE313</f>
        <v>0</v>
      </c>
      <c r="AF323" s="10">
        <f ca="1" xml:space="preserve"> (AF282 - SUM($K323:AE323)) * AF313</f>
        <v>0</v>
      </c>
      <c r="AG323" s="10">
        <f ca="1" xml:space="preserve"> (AG282 - SUM($K323:AF323)) * AG313</f>
        <v>0</v>
      </c>
      <c r="AH323" s="10">
        <f ca="1" xml:space="preserve"> (AH282 - SUM($K323:AG323)) * AH313</f>
        <v>0</v>
      </c>
      <c r="AI323" s="10">
        <f ca="1" xml:space="preserve"> (AI282 - SUM($K323:AH323)) * AI313</f>
        <v>0</v>
      </c>
      <c r="AJ323" s="10">
        <f ca="1" xml:space="preserve"> (AJ282 - SUM($K323:AI323)) * AJ313</f>
        <v>0</v>
      </c>
      <c r="AK323" s="10">
        <f ca="1" xml:space="preserve"> (AK282 - SUM($K323:AJ323)) * AK313</f>
        <v>0</v>
      </c>
      <c r="AL323" s="10">
        <f ca="1" xml:space="preserve"> (AL282 - SUM($K323:AK323)) * AL313</f>
        <v>0</v>
      </c>
      <c r="AM323" s="10">
        <f ca="1" xml:space="preserve"> (AM282 - SUM($K323:AL323)) * AM313</f>
        <v>0</v>
      </c>
      <c r="AN323" s="10">
        <f ca="1" xml:space="preserve"> (AN282 - SUM($K323:AM323)) * AN313</f>
        <v>0</v>
      </c>
      <c r="AO323" s="10">
        <f ca="1" xml:space="preserve"> (AO282 - SUM($K323:AN323)) * AO313</f>
        <v>0</v>
      </c>
      <c r="AP323" s="10">
        <f ca="1" xml:space="preserve"> (AP282 - SUM($K323:AO323)) * AP313</f>
        <v>0</v>
      </c>
      <c r="AQ323" s="10">
        <f ca="1" xml:space="preserve"> (AQ282 - SUM($K323:AP323)) * AQ313</f>
        <v>0</v>
      </c>
      <c r="AR323" s="10">
        <f ca="1" xml:space="preserve"> (AR282 - SUM($K323:AQ323)) * AR313</f>
        <v>0</v>
      </c>
      <c r="AS323" s="10">
        <f ca="1" xml:space="preserve"> (AS282 - SUM($K323:AR323)) * AS313</f>
        <v>0</v>
      </c>
      <c r="AT323" s="10">
        <f ca="1" xml:space="preserve"> (AT282 - SUM($K323:AS323)) * AT313</f>
        <v>0</v>
      </c>
      <c r="AU323" s="10">
        <f ca="1" xml:space="preserve"> (AU282 - SUM($K323:AT323)) * AU313</f>
        <v>0</v>
      </c>
      <c r="AV323" s="10">
        <f ca="1" xml:space="preserve"> (AV282 - SUM($K323:AU323)) * AV313</f>
        <v>0</v>
      </c>
      <c r="AW323" s="10">
        <f ca="1" xml:space="preserve"> (AW282 - SUM($K323:AV323)) * AW313</f>
        <v>0</v>
      </c>
      <c r="AX323" s="10">
        <f ca="1" xml:space="preserve"> (AX282 - SUM($K323:AW323)) * AX313</f>
        <v>0</v>
      </c>
      <c r="AY323" s="10">
        <f ca="1" xml:space="preserve"> (AY282 - SUM($K323:AX323)) * AY313</f>
        <v>0</v>
      </c>
      <c r="AZ323" s="10">
        <f ca="1" xml:space="preserve"> (AZ282 - SUM($K323:AY323)) * AZ313</f>
        <v>0</v>
      </c>
      <c r="BA323" s="10">
        <f ca="1" xml:space="preserve"> (BA282 - SUM($K323:AZ323)) * BA313</f>
        <v>0</v>
      </c>
      <c r="BB323" s="10">
        <f ca="1" xml:space="preserve"> (BB282 - SUM($K323:BA323)) * BB313</f>
        <v>0</v>
      </c>
      <c r="BC323" s="10">
        <f ca="1" xml:space="preserve"> (BC282 - SUM($K323:BB323)) * BC313</f>
        <v>0</v>
      </c>
      <c r="BD323" s="10">
        <f ca="1" xml:space="preserve"> (BD282 - SUM($K323:BC323)) * BD313</f>
        <v>0</v>
      </c>
      <c r="BE323" s="10">
        <f ca="1" xml:space="preserve"> (BE282 - SUM($K323:BD323)) * BE313</f>
        <v>0</v>
      </c>
      <c r="BF323" s="10">
        <f ca="1" xml:space="preserve"> (BF282 - SUM($K323:BE323)) * BF313</f>
        <v>0</v>
      </c>
      <c r="BG323" s="10">
        <f ca="1" xml:space="preserve"> (BG282 - SUM($K323:BF323)) * BG313</f>
        <v>0</v>
      </c>
      <c r="BH323" s="10">
        <f ca="1" xml:space="preserve"> (BH282 - SUM($K323:BG323)) * BH313</f>
        <v>0</v>
      </c>
      <c r="BI323" s="10">
        <f ca="1" xml:space="preserve"> (BI282 - SUM($K323:BH323)) * BI313</f>
        <v>0</v>
      </c>
      <c r="BJ323" s="10">
        <f ca="1" xml:space="preserve"> (BJ282 - SUM($K323:BI323)) * BJ313</f>
        <v>0</v>
      </c>
      <c r="BK323" s="10">
        <f ca="1" xml:space="preserve"> (BK282 - SUM($K323:BJ323)) * BK313</f>
        <v>0</v>
      </c>
      <c r="BL323" s="10">
        <f ca="1" xml:space="preserve"> (BL282 - SUM($K323:BK323)) * BL313</f>
        <v>0</v>
      </c>
      <c r="BM323" s="10">
        <f ca="1" xml:space="preserve"> (BM282 - SUM($K323:BL323)) * BM313</f>
        <v>0</v>
      </c>
      <c r="BN323" s="10">
        <f ca="1" xml:space="preserve"> (BN282 - SUM($K323:BM323)) * BN313</f>
        <v>0</v>
      </c>
      <c r="BO323" s="10">
        <f ca="1" xml:space="preserve"> (BO282 - SUM($K323:BN323)) * BO313</f>
        <v>0</v>
      </c>
      <c r="BP323" s="10">
        <f ca="1" xml:space="preserve"> (BP282 - SUM($K323:BO323)) * BP313</f>
        <v>0</v>
      </c>
      <c r="BQ323" s="10">
        <f ca="1" xml:space="preserve"> (BQ282 - SUM($K323:BP323)) * BQ313</f>
        <v>0</v>
      </c>
      <c r="BR323" s="10">
        <f ca="1" xml:space="preserve"> (BR282 - SUM($K323:BQ323)) * BR313</f>
        <v>0</v>
      </c>
      <c r="BS323" s="10">
        <f ca="1" xml:space="preserve"> (BS282 - SUM($K323:BR323)) * BS313</f>
        <v>0</v>
      </c>
      <c r="BT323" s="10">
        <f ca="1" xml:space="preserve"> (BT282 - SUM($K323:BS323)) * BT313</f>
        <v>0</v>
      </c>
      <c r="BU323" s="10">
        <f ca="1" xml:space="preserve"> (BU282 - SUM($K323:BT323)) * BU313</f>
        <v>0</v>
      </c>
      <c r="BV323" s="10">
        <f ca="1" xml:space="preserve"> (BV282 - SUM($K323:BU323)) * BV313</f>
        <v>0</v>
      </c>
      <c r="BW323" s="10">
        <f ca="1" xml:space="preserve"> (BW282 - SUM($K323:BV323)) * BW313</f>
        <v>0</v>
      </c>
      <c r="BX323" s="10">
        <f ca="1" xml:space="preserve"> (BX282 - SUM($K323:BW323)) * BX313</f>
        <v>0</v>
      </c>
      <c r="BY323" s="10">
        <f ca="1" xml:space="preserve"> (BY282 - SUM($K323:BX323)) * BY313</f>
        <v>0</v>
      </c>
      <c r="BZ323" s="10">
        <f ca="1" xml:space="preserve"> (BZ282 - SUM($K323:BY323)) * BZ313</f>
        <v>0</v>
      </c>
      <c r="CA323" s="10">
        <f ca="1" xml:space="preserve"> (CA282 - SUM($K323:BZ323)) * CA313</f>
        <v>0</v>
      </c>
      <c r="CB323" s="10">
        <f ca="1" xml:space="preserve"> (CB282 - SUM($K323:CA323)) * CB313</f>
        <v>0</v>
      </c>
      <c r="CC323" s="10">
        <f ca="1" xml:space="preserve"> (CC282 - SUM($K323:CB323)) * CC313</f>
        <v>0</v>
      </c>
      <c r="CD323" s="10">
        <f ca="1" xml:space="preserve"> (CD282 - SUM($K323:CC323)) * CD313</f>
        <v>0</v>
      </c>
      <c r="CE323" s="10">
        <f ca="1" xml:space="preserve"> (CE282 - SUM($K323:CD323)) * CE313</f>
        <v>0</v>
      </c>
      <c r="CF323" s="10">
        <f ca="1" xml:space="preserve"> (CF282 - SUM($K323:CE323)) * CF313</f>
        <v>0</v>
      </c>
      <c r="CG323" s="10">
        <f ca="1" xml:space="preserve"> (CG282 - SUM($K323:CF323)) * CG313</f>
        <v>0</v>
      </c>
      <c r="CH323" s="10">
        <f ca="1" xml:space="preserve"> (CH282 - SUM($K323:CG323)) * CH313</f>
        <v>0</v>
      </c>
      <c r="CI323" s="10">
        <f ca="1" xml:space="preserve"> (CI282 - SUM($K323:CH323)) * CI313</f>
        <v>0</v>
      </c>
      <c r="CJ323" s="10">
        <f ca="1" xml:space="preserve"> (CJ282 - SUM($K323:CI323)) * CJ313</f>
        <v>0</v>
      </c>
      <c r="CK323" s="10">
        <f ca="1" xml:space="preserve"> (CK282 - SUM($K323:CJ323)) * CK313</f>
        <v>0</v>
      </c>
      <c r="CL323" s="10">
        <f ca="1" xml:space="preserve"> (CL282 - SUM($K323:CK323)) * CL313</f>
        <v>0</v>
      </c>
      <c r="CM323" s="10">
        <f ca="1" xml:space="preserve"> (CM282 - SUM($K323:CL323)) * CM313</f>
        <v>0</v>
      </c>
      <c r="CN323" s="10">
        <f ca="1" xml:space="preserve"> (CN282 - SUM($K323:CM323)) * CN313</f>
        <v>0</v>
      </c>
      <c r="CO323" s="10">
        <f ca="1" xml:space="preserve"> (CO282 - SUM($K323:CN323)) * CO313</f>
        <v>0</v>
      </c>
    </row>
    <row r="324" spans="1:93">
      <c r="A324" s="10"/>
      <c r="B324" s="10"/>
      <c r="C324" s="21" t="s">
        <v>1124</v>
      </c>
      <c r="D324" s="10"/>
      <c r="E324" s="62"/>
      <c r="F324" s="11"/>
      <c r="G324" s="134" t="str">
        <f t="shared" si="1460"/>
        <v>тыс. руб.</v>
      </c>
      <c r="H324" s="10"/>
      <c r="I324" s="23">
        <f t="shared" si="1463"/>
        <v>0</v>
      </c>
      <c r="J324" s="10"/>
      <c r="K324" s="10"/>
      <c r="L324" s="10">
        <f xml:space="preserve"> (L287 - SUM($K324:K324)) * L314</f>
        <v>0</v>
      </c>
      <c r="M324" s="10">
        <f xml:space="preserve"> (M287 - SUM($K324:L324)) * M314</f>
        <v>0</v>
      </c>
      <c r="N324" s="10">
        <f xml:space="preserve"> (N287 - SUM($K324:M324)) * N314</f>
        <v>0</v>
      </c>
      <c r="O324" s="10">
        <f xml:space="preserve"> (O287 - SUM($K324:N324)) * O314</f>
        <v>0</v>
      </c>
      <c r="P324" s="10">
        <f xml:space="preserve"> (P287 - SUM($K324:O324)) * P314</f>
        <v>0</v>
      </c>
      <c r="Q324" s="10">
        <f xml:space="preserve"> (Q287 - SUM($K324:P324)) * Q314</f>
        <v>0</v>
      </c>
      <c r="R324" s="10">
        <f xml:space="preserve"> (R287 - SUM($K324:Q324)) * R314</f>
        <v>0</v>
      </c>
      <c r="S324" s="10">
        <f xml:space="preserve"> (S287 - SUM($K324:R324)) * S314</f>
        <v>0</v>
      </c>
      <c r="T324" s="10">
        <f xml:space="preserve"> (T287 - SUM($K324:S324)) * T314</f>
        <v>0</v>
      </c>
      <c r="U324" s="10">
        <f xml:space="preserve"> (U287 - SUM($K324:T324)) * U314</f>
        <v>0</v>
      </c>
      <c r="V324" s="10">
        <f xml:space="preserve"> (V287 - SUM($K324:U324)) * V314</f>
        <v>0</v>
      </c>
      <c r="W324" s="10">
        <f xml:space="preserve"> (W287 - SUM($K324:V324)) * W314</f>
        <v>0</v>
      </c>
      <c r="X324" s="10">
        <f xml:space="preserve"> (X287 - SUM($K324:W324)) * X314</f>
        <v>0</v>
      </c>
      <c r="Y324" s="10">
        <f xml:space="preserve"> (Y287 - SUM($K324:X324)) * Y314</f>
        <v>0</v>
      </c>
      <c r="Z324" s="10">
        <f xml:space="preserve"> (Z287 - SUM($K324:Y324)) * Z314</f>
        <v>0</v>
      </c>
      <c r="AA324" s="10">
        <f xml:space="preserve"> (AA287 - SUM($K324:Z324)) * AA314</f>
        <v>0</v>
      </c>
      <c r="AB324" s="10">
        <f xml:space="preserve"> (AB287 - SUM($K324:AA324)) * AB314</f>
        <v>0</v>
      </c>
      <c r="AC324" s="10">
        <f xml:space="preserve"> (AC287 - SUM($K324:AB324)) * AC314</f>
        <v>0</v>
      </c>
      <c r="AD324" s="10">
        <f xml:space="preserve"> (AD287 - SUM($K324:AC324)) * AD314</f>
        <v>0</v>
      </c>
      <c r="AE324" s="10">
        <f xml:space="preserve"> (AE287 - SUM($K324:AD324)) * AE314</f>
        <v>0</v>
      </c>
      <c r="AF324" s="10">
        <f xml:space="preserve"> (AF287 - SUM($K324:AE324)) * AF314</f>
        <v>0</v>
      </c>
      <c r="AG324" s="10">
        <f xml:space="preserve"> (AG287 - SUM($K324:AF324)) * AG314</f>
        <v>0</v>
      </c>
      <c r="AH324" s="10">
        <f xml:space="preserve"> (AH287 - SUM($K324:AG324)) * AH314</f>
        <v>0</v>
      </c>
      <c r="AI324" s="10">
        <f xml:space="preserve"> (AI287 - SUM($K324:AH324)) * AI314</f>
        <v>0</v>
      </c>
      <c r="AJ324" s="10">
        <f xml:space="preserve"> (AJ287 - SUM($K324:AI324)) * AJ314</f>
        <v>0</v>
      </c>
      <c r="AK324" s="10">
        <f xml:space="preserve"> (AK287 - SUM($K324:AJ324)) * AK314</f>
        <v>0</v>
      </c>
      <c r="AL324" s="10">
        <f xml:space="preserve"> (AL287 - SUM($K324:AK324)) * AL314</f>
        <v>0</v>
      </c>
      <c r="AM324" s="10">
        <f xml:space="preserve"> (AM287 - SUM($K324:AL324)) * AM314</f>
        <v>0</v>
      </c>
      <c r="AN324" s="10">
        <f xml:space="preserve"> (AN287 - SUM($K324:AM324)) * AN314</f>
        <v>0</v>
      </c>
      <c r="AO324" s="10">
        <f xml:space="preserve"> (AO287 - SUM($K324:AN324)) * AO314</f>
        <v>0</v>
      </c>
      <c r="AP324" s="10">
        <f xml:space="preserve"> (AP287 - SUM($K324:AO324)) * AP314</f>
        <v>0</v>
      </c>
      <c r="AQ324" s="10">
        <f xml:space="preserve"> (AQ287 - SUM($K324:AP324)) * AQ314</f>
        <v>0</v>
      </c>
      <c r="AR324" s="10">
        <f xml:space="preserve"> (AR287 - SUM($K324:AQ324)) * AR314</f>
        <v>0</v>
      </c>
      <c r="AS324" s="10">
        <f xml:space="preserve"> (AS287 - SUM($K324:AR324)) * AS314</f>
        <v>0</v>
      </c>
      <c r="AT324" s="10">
        <f xml:space="preserve"> (AT287 - SUM($K324:AS324)) * AT314</f>
        <v>0</v>
      </c>
      <c r="AU324" s="10">
        <f xml:space="preserve"> (AU287 - SUM($K324:AT324)) * AU314</f>
        <v>0</v>
      </c>
      <c r="AV324" s="10">
        <f xml:space="preserve"> (AV287 - SUM($K324:AU324)) * AV314</f>
        <v>0</v>
      </c>
      <c r="AW324" s="10">
        <f xml:space="preserve"> (AW287 - SUM($K324:AV324)) * AW314</f>
        <v>0</v>
      </c>
      <c r="AX324" s="10">
        <f xml:space="preserve"> (AX287 - SUM($K324:AW324)) * AX314</f>
        <v>0</v>
      </c>
      <c r="AY324" s="10">
        <f xml:space="preserve"> (AY287 - SUM($K324:AX324)) * AY314</f>
        <v>0</v>
      </c>
      <c r="AZ324" s="10">
        <f xml:space="preserve"> (AZ287 - SUM($K324:AY324)) * AZ314</f>
        <v>0</v>
      </c>
      <c r="BA324" s="10">
        <f xml:space="preserve"> (BA287 - SUM($K324:AZ324)) * BA314</f>
        <v>0</v>
      </c>
      <c r="BB324" s="10">
        <f xml:space="preserve"> (BB287 - SUM($K324:BA324)) * BB314</f>
        <v>0</v>
      </c>
      <c r="BC324" s="10">
        <f xml:space="preserve"> (BC287 - SUM($K324:BB324)) * BC314</f>
        <v>0</v>
      </c>
      <c r="BD324" s="10">
        <f xml:space="preserve"> (BD287 - SUM($K324:BC324)) * BD314</f>
        <v>0</v>
      </c>
      <c r="BE324" s="10">
        <f xml:space="preserve"> (BE287 - SUM($K324:BD324)) * BE314</f>
        <v>0</v>
      </c>
      <c r="BF324" s="10">
        <f xml:space="preserve"> (BF287 - SUM($K324:BE324)) * BF314</f>
        <v>0</v>
      </c>
      <c r="BG324" s="10">
        <f xml:space="preserve"> (BG287 - SUM($K324:BF324)) * BG314</f>
        <v>0</v>
      </c>
      <c r="BH324" s="10">
        <f xml:space="preserve"> (BH287 - SUM($K324:BG324)) * BH314</f>
        <v>0</v>
      </c>
      <c r="BI324" s="10">
        <f xml:space="preserve"> (BI287 - SUM($K324:BH324)) * BI314</f>
        <v>0</v>
      </c>
      <c r="BJ324" s="10">
        <f xml:space="preserve"> (BJ287 - SUM($K324:BI324)) * BJ314</f>
        <v>0</v>
      </c>
      <c r="BK324" s="10">
        <f xml:space="preserve"> (BK287 - SUM($K324:BJ324)) * BK314</f>
        <v>0</v>
      </c>
      <c r="BL324" s="10">
        <f xml:space="preserve"> (BL287 - SUM($K324:BK324)) * BL314</f>
        <v>0</v>
      </c>
      <c r="BM324" s="10">
        <f xml:space="preserve"> (BM287 - SUM($K324:BL324)) * BM314</f>
        <v>0</v>
      </c>
      <c r="BN324" s="10">
        <f xml:space="preserve"> (BN287 - SUM($K324:BM324)) * BN314</f>
        <v>0</v>
      </c>
      <c r="BO324" s="10">
        <f xml:space="preserve"> (BO287 - SUM($K324:BN324)) * BO314</f>
        <v>0</v>
      </c>
      <c r="BP324" s="10">
        <f xml:space="preserve"> (BP287 - SUM($K324:BO324)) * BP314</f>
        <v>0</v>
      </c>
      <c r="BQ324" s="10">
        <f xml:space="preserve"> (BQ287 - SUM($K324:BP324)) * BQ314</f>
        <v>0</v>
      </c>
      <c r="BR324" s="10">
        <f xml:space="preserve"> (BR287 - SUM($K324:BQ324)) * BR314</f>
        <v>0</v>
      </c>
      <c r="BS324" s="10">
        <f xml:space="preserve"> (BS287 - SUM($K324:BR324)) * BS314</f>
        <v>0</v>
      </c>
      <c r="BT324" s="10">
        <f xml:space="preserve"> (BT287 - SUM($K324:BS324)) * BT314</f>
        <v>0</v>
      </c>
      <c r="BU324" s="10">
        <f xml:space="preserve"> (BU287 - SUM($K324:BT324)) * BU314</f>
        <v>0</v>
      </c>
      <c r="BV324" s="10">
        <f xml:space="preserve"> (BV287 - SUM($K324:BU324)) * BV314</f>
        <v>0</v>
      </c>
      <c r="BW324" s="10">
        <f xml:space="preserve"> (BW287 - SUM($K324:BV324)) * BW314</f>
        <v>0</v>
      </c>
      <c r="BX324" s="10">
        <f xml:space="preserve"> (BX287 - SUM($K324:BW324)) * BX314</f>
        <v>0</v>
      </c>
      <c r="BY324" s="10">
        <f xml:space="preserve"> (BY287 - SUM($K324:BX324)) * BY314</f>
        <v>0</v>
      </c>
      <c r="BZ324" s="10">
        <f xml:space="preserve"> (BZ287 - SUM($K324:BY324)) * BZ314</f>
        <v>0</v>
      </c>
      <c r="CA324" s="10">
        <f xml:space="preserve"> (CA287 - SUM($K324:BZ324)) * CA314</f>
        <v>0</v>
      </c>
      <c r="CB324" s="10">
        <f xml:space="preserve"> (CB287 - SUM($K324:CA324)) * CB314</f>
        <v>0</v>
      </c>
      <c r="CC324" s="10">
        <f xml:space="preserve"> (CC287 - SUM($K324:CB324)) * CC314</f>
        <v>0</v>
      </c>
      <c r="CD324" s="10">
        <f xml:space="preserve"> (CD287 - SUM($K324:CC324)) * CD314</f>
        <v>0</v>
      </c>
      <c r="CE324" s="10">
        <f xml:space="preserve"> (CE287 - SUM($K324:CD324)) * CE314</f>
        <v>0</v>
      </c>
      <c r="CF324" s="10">
        <f xml:space="preserve"> (CF287 - SUM($K324:CE324)) * CF314</f>
        <v>0</v>
      </c>
      <c r="CG324" s="10">
        <f xml:space="preserve"> (CG287 - SUM($K324:CF324)) * CG314</f>
        <v>0</v>
      </c>
      <c r="CH324" s="10">
        <f xml:space="preserve"> (CH287 - SUM($K324:CG324)) * CH314</f>
        <v>0</v>
      </c>
      <c r="CI324" s="10">
        <f xml:space="preserve"> (CI287 - SUM($K324:CH324)) * CI314</f>
        <v>0</v>
      </c>
      <c r="CJ324" s="10">
        <f xml:space="preserve"> (CJ287 - SUM($K324:CI324)) * CJ314</f>
        <v>0</v>
      </c>
      <c r="CK324" s="10">
        <f xml:space="preserve"> (CK287 - SUM($K324:CJ324)) * CK314</f>
        <v>0</v>
      </c>
      <c r="CL324" s="10">
        <f xml:space="preserve"> (CL287 - SUM($K324:CK324)) * CL314</f>
        <v>0</v>
      </c>
      <c r="CM324" s="10">
        <f xml:space="preserve"> (CM287 - SUM($K324:CL324)) * CM314</f>
        <v>0</v>
      </c>
      <c r="CN324" s="10">
        <f xml:space="preserve"> (CN287 - SUM($K324:CM324)) * CN314</f>
        <v>0</v>
      </c>
      <c r="CO324" s="10">
        <f xml:space="preserve"> (CO287 - SUM($K324:CN324)) * CO314</f>
        <v>0</v>
      </c>
    </row>
    <row r="325" spans="1:93">
      <c r="A325" s="10"/>
      <c r="B325" s="10"/>
      <c r="C325" s="21" t="str">
        <f xml:space="preserve"> "Ввод в эксплуатацию - " &amp; C269</f>
        <v>Ввод в эксплуатацию - Мебель и оборудование - Объект размещения (отель)</v>
      </c>
      <c r="D325" s="10"/>
      <c r="E325" s="62"/>
      <c r="F325" s="11"/>
      <c r="G325" s="134" t="str">
        <f t="shared" si="1460"/>
        <v>тыс. руб.</v>
      </c>
      <c r="H325" s="10"/>
      <c r="I325" s="23">
        <f t="shared" ca="1" si="1463"/>
        <v>1097531.3301707346</v>
      </c>
      <c r="J325" s="10"/>
      <c r="K325" s="10"/>
      <c r="L325" s="10">
        <f ca="1" xml:space="preserve"> (L283 - SUM($K325:K325)) * L313</f>
        <v>0</v>
      </c>
      <c r="M325" s="10">
        <f ca="1" xml:space="preserve"> (M283 - SUM($K325:L325)) * M313</f>
        <v>0</v>
      </c>
      <c r="N325" s="10">
        <f ca="1" xml:space="preserve"> (N283 - SUM($K325:M325)) * N313</f>
        <v>0</v>
      </c>
      <c r="O325" s="10">
        <f ca="1" xml:space="preserve"> (O283 - SUM($K325:N325)) * O313</f>
        <v>0</v>
      </c>
      <c r="P325" s="10">
        <f ca="1" xml:space="preserve"> (P283 - SUM($K325:O325)) * P313</f>
        <v>0</v>
      </c>
      <c r="Q325" s="10">
        <f ca="1" xml:space="preserve"> (Q283 - SUM($K325:P325)) * Q313</f>
        <v>0</v>
      </c>
      <c r="R325" s="10">
        <f ca="1" xml:space="preserve"> (R283 - SUM($K325:Q325)) * R313</f>
        <v>0</v>
      </c>
      <c r="S325" s="10">
        <f ca="1" xml:space="preserve"> (S283 - SUM($K325:R325)) * S313</f>
        <v>0</v>
      </c>
      <c r="T325" s="10">
        <f ca="1" xml:space="preserve"> (T283 - SUM($K325:S325)) * T313</f>
        <v>0</v>
      </c>
      <c r="U325" s="10">
        <f ca="1" xml:space="preserve"> (U283 - SUM($K325:T325)) * U313</f>
        <v>0</v>
      </c>
      <c r="V325" s="10">
        <f ca="1" xml:space="preserve"> (V283 - SUM($K325:U325)) * V313</f>
        <v>0</v>
      </c>
      <c r="W325" s="10">
        <f ca="1" xml:space="preserve"> (W283 - SUM($K325:V325)) * W313</f>
        <v>0</v>
      </c>
      <c r="X325" s="10">
        <f ca="1" xml:space="preserve"> (X283 - SUM($K325:W325)) * X313</f>
        <v>0</v>
      </c>
      <c r="Y325" s="10">
        <f ca="1" xml:space="preserve"> (Y283 - SUM($K325:X325)) * Y313</f>
        <v>0</v>
      </c>
      <c r="Z325" s="10">
        <f ca="1" xml:space="preserve"> (Z283 - SUM($K325:Y325)) * Z313</f>
        <v>0</v>
      </c>
      <c r="AA325" s="10">
        <f ca="1" xml:space="preserve"> (AA283 - SUM($K325:Z325)) * AA313</f>
        <v>0</v>
      </c>
      <c r="AB325" s="10">
        <f ca="1" xml:space="preserve"> (AB283 - SUM($K325:AA325)) * AB313</f>
        <v>1097531.3301707346</v>
      </c>
      <c r="AC325" s="10">
        <f ca="1" xml:space="preserve"> (AC283 - SUM($K325:AB325)) * AC313</f>
        <v>0</v>
      </c>
      <c r="AD325" s="10">
        <f ca="1" xml:space="preserve"> (AD283 - SUM($K325:AC325)) * AD313</f>
        <v>0</v>
      </c>
      <c r="AE325" s="10">
        <f ca="1" xml:space="preserve"> (AE283 - SUM($K325:AD325)) * AE313</f>
        <v>0</v>
      </c>
      <c r="AF325" s="10">
        <f ca="1" xml:space="preserve"> (AF283 - SUM($K325:AE325)) * AF313</f>
        <v>0</v>
      </c>
      <c r="AG325" s="10">
        <f ca="1" xml:space="preserve"> (AG283 - SUM($K325:AF325)) * AG313</f>
        <v>0</v>
      </c>
      <c r="AH325" s="10">
        <f ca="1" xml:space="preserve"> (AH283 - SUM($K325:AG325)) * AH313</f>
        <v>0</v>
      </c>
      <c r="AI325" s="10">
        <f ca="1" xml:space="preserve"> (AI283 - SUM($K325:AH325)) * AI313</f>
        <v>0</v>
      </c>
      <c r="AJ325" s="10">
        <f ca="1" xml:space="preserve"> (AJ283 - SUM($K325:AI325)) * AJ313</f>
        <v>0</v>
      </c>
      <c r="AK325" s="10">
        <f ca="1" xml:space="preserve"> (AK283 - SUM($K325:AJ325)) * AK313</f>
        <v>0</v>
      </c>
      <c r="AL325" s="10">
        <f ca="1" xml:space="preserve"> (AL283 - SUM($K325:AK325)) * AL313</f>
        <v>0</v>
      </c>
      <c r="AM325" s="10">
        <f ca="1" xml:space="preserve"> (AM283 - SUM($K325:AL325)) * AM313</f>
        <v>0</v>
      </c>
      <c r="AN325" s="10">
        <f ca="1" xml:space="preserve"> (AN283 - SUM($K325:AM325)) * AN313</f>
        <v>0</v>
      </c>
      <c r="AO325" s="10">
        <f ca="1" xml:space="preserve"> (AO283 - SUM($K325:AN325)) * AO313</f>
        <v>0</v>
      </c>
      <c r="AP325" s="10">
        <f ca="1" xml:space="preserve"> (AP283 - SUM($K325:AO325)) * AP313</f>
        <v>0</v>
      </c>
      <c r="AQ325" s="10">
        <f ca="1" xml:space="preserve"> (AQ283 - SUM($K325:AP325)) * AQ313</f>
        <v>0</v>
      </c>
      <c r="AR325" s="10">
        <f ca="1" xml:space="preserve"> (AR283 - SUM($K325:AQ325)) * AR313</f>
        <v>0</v>
      </c>
      <c r="AS325" s="10">
        <f ca="1" xml:space="preserve"> (AS283 - SUM($K325:AR325)) * AS313</f>
        <v>0</v>
      </c>
      <c r="AT325" s="10">
        <f ca="1" xml:space="preserve"> (AT283 - SUM($K325:AS325)) * AT313</f>
        <v>0</v>
      </c>
      <c r="AU325" s="10">
        <f ca="1" xml:space="preserve"> (AU283 - SUM($K325:AT325)) * AU313</f>
        <v>0</v>
      </c>
      <c r="AV325" s="10">
        <f ca="1" xml:space="preserve"> (AV283 - SUM($K325:AU325)) * AV313</f>
        <v>0</v>
      </c>
      <c r="AW325" s="10">
        <f ca="1" xml:space="preserve"> (AW283 - SUM($K325:AV325)) * AW313</f>
        <v>0</v>
      </c>
      <c r="AX325" s="10">
        <f ca="1" xml:space="preserve"> (AX283 - SUM($K325:AW325)) * AX313</f>
        <v>0</v>
      </c>
      <c r="AY325" s="10">
        <f ca="1" xml:space="preserve"> (AY283 - SUM($K325:AX325)) * AY313</f>
        <v>0</v>
      </c>
      <c r="AZ325" s="10">
        <f ca="1" xml:space="preserve"> (AZ283 - SUM($K325:AY325)) * AZ313</f>
        <v>0</v>
      </c>
      <c r="BA325" s="10">
        <f ca="1" xml:space="preserve"> (BA283 - SUM($K325:AZ325)) * BA313</f>
        <v>0</v>
      </c>
      <c r="BB325" s="10">
        <f ca="1" xml:space="preserve"> (BB283 - SUM($K325:BA325)) * BB313</f>
        <v>0</v>
      </c>
      <c r="BC325" s="10">
        <f ca="1" xml:space="preserve"> (BC283 - SUM($K325:BB325)) * BC313</f>
        <v>0</v>
      </c>
      <c r="BD325" s="10">
        <f ca="1" xml:space="preserve"> (BD283 - SUM($K325:BC325)) * BD313</f>
        <v>0</v>
      </c>
      <c r="BE325" s="10">
        <f ca="1" xml:space="preserve"> (BE283 - SUM($K325:BD325)) * BE313</f>
        <v>0</v>
      </c>
      <c r="BF325" s="10">
        <f ca="1" xml:space="preserve"> (BF283 - SUM($K325:BE325)) * BF313</f>
        <v>0</v>
      </c>
      <c r="BG325" s="10">
        <f ca="1" xml:space="preserve"> (BG283 - SUM($K325:BF325)) * BG313</f>
        <v>0</v>
      </c>
      <c r="BH325" s="10">
        <f ca="1" xml:space="preserve"> (BH283 - SUM($K325:BG325)) * BH313</f>
        <v>0</v>
      </c>
      <c r="BI325" s="10">
        <f ca="1" xml:space="preserve"> (BI283 - SUM($K325:BH325)) * BI313</f>
        <v>0</v>
      </c>
      <c r="BJ325" s="10">
        <f ca="1" xml:space="preserve"> (BJ283 - SUM($K325:BI325)) * BJ313</f>
        <v>0</v>
      </c>
      <c r="BK325" s="10">
        <f ca="1" xml:space="preserve"> (BK283 - SUM($K325:BJ325)) * BK313</f>
        <v>0</v>
      </c>
      <c r="BL325" s="10">
        <f ca="1" xml:space="preserve"> (BL283 - SUM($K325:BK325)) * BL313</f>
        <v>0</v>
      </c>
      <c r="BM325" s="10">
        <f ca="1" xml:space="preserve"> (BM283 - SUM($K325:BL325)) * BM313</f>
        <v>0</v>
      </c>
      <c r="BN325" s="10">
        <f ca="1" xml:space="preserve"> (BN283 - SUM($K325:BM325)) * BN313</f>
        <v>0</v>
      </c>
      <c r="BO325" s="10">
        <f ca="1" xml:space="preserve"> (BO283 - SUM($K325:BN325)) * BO313</f>
        <v>0</v>
      </c>
      <c r="BP325" s="10">
        <f ca="1" xml:space="preserve"> (BP283 - SUM($K325:BO325)) * BP313</f>
        <v>0</v>
      </c>
      <c r="BQ325" s="10">
        <f ca="1" xml:space="preserve"> (BQ283 - SUM($K325:BP325)) * BQ313</f>
        <v>0</v>
      </c>
      <c r="BR325" s="10">
        <f ca="1" xml:space="preserve"> (BR283 - SUM($K325:BQ325)) * BR313</f>
        <v>0</v>
      </c>
      <c r="BS325" s="10">
        <f ca="1" xml:space="preserve"> (BS283 - SUM($K325:BR325)) * BS313</f>
        <v>0</v>
      </c>
      <c r="BT325" s="10">
        <f ca="1" xml:space="preserve"> (BT283 - SUM($K325:BS325)) * BT313</f>
        <v>0</v>
      </c>
      <c r="BU325" s="10">
        <f ca="1" xml:space="preserve"> (BU283 - SUM($K325:BT325)) * BU313</f>
        <v>0</v>
      </c>
      <c r="BV325" s="10">
        <f ca="1" xml:space="preserve"> (BV283 - SUM($K325:BU325)) * BV313</f>
        <v>0</v>
      </c>
      <c r="BW325" s="10">
        <f ca="1" xml:space="preserve"> (BW283 - SUM($K325:BV325)) * BW313</f>
        <v>0</v>
      </c>
      <c r="BX325" s="10">
        <f ca="1" xml:space="preserve"> (BX283 - SUM($K325:BW325)) * BX313</f>
        <v>0</v>
      </c>
      <c r="BY325" s="10">
        <f ca="1" xml:space="preserve"> (BY283 - SUM($K325:BX325)) * BY313</f>
        <v>0</v>
      </c>
      <c r="BZ325" s="10">
        <f ca="1" xml:space="preserve"> (BZ283 - SUM($K325:BY325)) * BZ313</f>
        <v>0</v>
      </c>
      <c r="CA325" s="10">
        <f ca="1" xml:space="preserve"> (CA283 - SUM($K325:BZ325)) * CA313</f>
        <v>0</v>
      </c>
      <c r="CB325" s="10">
        <f ca="1" xml:space="preserve"> (CB283 - SUM($K325:CA325)) * CB313</f>
        <v>0</v>
      </c>
      <c r="CC325" s="10">
        <f ca="1" xml:space="preserve"> (CC283 - SUM($K325:CB325)) * CC313</f>
        <v>0</v>
      </c>
      <c r="CD325" s="10">
        <f ca="1" xml:space="preserve"> (CD283 - SUM($K325:CC325)) * CD313</f>
        <v>0</v>
      </c>
      <c r="CE325" s="10">
        <f ca="1" xml:space="preserve"> (CE283 - SUM($K325:CD325)) * CE313</f>
        <v>0</v>
      </c>
      <c r="CF325" s="10">
        <f ca="1" xml:space="preserve"> (CF283 - SUM($K325:CE325)) * CF313</f>
        <v>0</v>
      </c>
      <c r="CG325" s="10">
        <f ca="1" xml:space="preserve"> (CG283 - SUM($K325:CF325)) * CG313</f>
        <v>0</v>
      </c>
      <c r="CH325" s="10">
        <f ca="1" xml:space="preserve"> (CH283 - SUM($K325:CG325)) * CH313</f>
        <v>0</v>
      </c>
      <c r="CI325" s="10">
        <f ca="1" xml:space="preserve"> (CI283 - SUM($K325:CH325)) * CI313</f>
        <v>0</v>
      </c>
      <c r="CJ325" s="10">
        <f ca="1" xml:space="preserve"> (CJ283 - SUM($K325:CI325)) * CJ313</f>
        <v>0</v>
      </c>
      <c r="CK325" s="10">
        <f ca="1" xml:space="preserve"> (CK283 - SUM($K325:CJ325)) * CK313</f>
        <v>0</v>
      </c>
      <c r="CL325" s="10">
        <f ca="1" xml:space="preserve"> (CL283 - SUM($K325:CK325)) * CL313</f>
        <v>0</v>
      </c>
      <c r="CM325" s="10">
        <f ca="1" xml:space="preserve"> (CM283 - SUM($K325:CL325)) * CM313</f>
        <v>0</v>
      </c>
      <c r="CN325" s="10">
        <f ca="1" xml:space="preserve"> (CN283 - SUM($K325:CM325)) * CN313</f>
        <v>0</v>
      </c>
      <c r="CO325" s="10">
        <f ca="1" xml:space="preserve"> (CO283 - SUM($K325:CN325)) * CO313</f>
        <v>0</v>
      </c>
    </row>
    <row r="326" spans="1:93">
      <c r="A326" s="10"/>
      <c r="B326" s="10"/>
      <c r="C326" s="21" t="str">
        <f xml:space="preserve"> "Ввод в эксплуатацию - " &amp; C270</f>
        <v>Ввод в эксплуатацию - Здания и сооружения - Развлекательный комплекс</v>
      </c>
      <c r="D326" s="10"/>
      <c r="E326" s="62"/>
      <c r="F326" s="11"/>
      <c r="G326" s="134" t="str">
        <f t="shared" si="1460"/>
        <v>тыс. руб.</v>
      </c>
      <c r="H326" s="10"/>
      <c r="I326" s="23">
        <f t="shared" ca="1" si="1463"/>
        <v>0</v>
      </c>
      <c r="J326" s="10"/>
      <c r="K326" s="10"/>
      <c r="L326" s="10">
        <f ca="1">(SUM(L284:L284)-SUM($K326:K326))*L315</f>
        <v>0</v>
      </c>
      <c r="M326" s="10">
        <f ca="1">(SUM(M284:M284)-SUM($K326:L326))*M315</f>
        <v>0</v>
      </c>
      <c r="N326" s="10">
        <f ca="1">(SUM(N284:N284)-SUM($K326:M326))*N315</f>
        <v>0</v>
      </c>
      <c r="O326" s="10">
        <f ca="1">(SUM(O284:O284)-SUM($K326:N326))*O315</f>
        <v>0</v>
      </c>
      <c r="P326" s="10">
        <f ca="1">(SUM(P284:P284)-SUM($K326:O326))*P315</f>
        <v>0</v>
      </c>
      <c r="Q326" s="10">
        <f ca="1">(SUM(Q284:Q284)-SUM($K326:P326))*Q315</f>
        <v>0</v>
      </c>
      <c r="R326" s="10">
        <f ca="1">(SUM(R284:R284)-SUM($K326:Q326))*R315</f>
        <v>0</v>
      </c>
      <c r="S326" s="10">
        <f ca="1">(SUM(S284:S284)-SUM($K326:R326))*S315</f>
        <v>0</v>
      </c>
      <c r="T326" s="10">
        <f ca="1">(SUM(T284:T284)-SUM($K326:S326))*T315</f>
        <v>0</v>
      </c>
      <c r="U326" s="10">
        <f ca="1">(SUM(U284:U284)-SUM($K326:T326))*U315</f>
        <v>0</v>
      </c>
      <c r="V326" s="10">
        <f ca="1">(SUM(V284:V284)-SUM($K326:U326))*V315</f>
        <v>0</v>
      </c>
      <c r="W326" s="10">
        <f ca="1">(SUM(W284:W284)-SUM($K326:V326))*W315</f>
        <v>0</v>
      </c>
      <c r="X326" s="10">
        <f ca="1">(SUM(X284:X284)-SUM($K326:W326))*X315</f>
        <v>0</v>
      </c>
      <c r="Y326" s="10">
        <f ca="1">(SUM(Y284:Y284)-SUM($K326:X326))*Y315</f>
        <v>0</v>
      </c>
      <c r="Z326" s="10">
        <f ca="1">(SUM(Z284:Z284)-SUM($K326:Y326))*Z315</f>
        <v>0</v>
      </c>
      <c r="AA326" s="10">
        <f ca="1">(SUM(AA284:AA284)-SUM($K326:Z326))*AA315</f>
        <v>0</v>
      </c>
      <c r="AB326" s="10">
        <f ca="1">(SUM(AB284:AB284)-SUM($K326:AA326))*AB315</f>
        <v>0</v>
      </c>
      <c r="AC326" s="10">
        <f ca="1">(SUM(AC284:AC284)-SUM($K326:AB326))*AC315</f>
        <v>0</v>
      </c>
      <c r="AD326" s="10">
        <f ca="1">(SUM(AD284:AD284)-SUM($K326:AC326))*AD315</f>
        <v>0</v>
      </c>
      <c r="AE326" s="10">
        <f ca="1">(SUM(AE284:AE284)-SUM($K326:AD326))*AE315</f>
        <v>0</v>
      </c>
      <c r="AF326" s="10">
        <f ca="1">(SUM(AF284:AF284)-SUM($K326:AE326))*AF315</f>
        <v>0</v>
      </c>
      <c r="AG326" s="10">
        <f ca="1">(SUM(AG284:AG284)-SUM($K326:AF326))*AG315</f>
        <v>0</v>
      </c>
      <c r="AH326" s="10">
        <f ca="1">(SUM(AH284:AH284)-SUM($K326:AG326))*AH315</f>
        <v>0</v>
      </c>
      <c r="AI326" s="10">
        <f ca="1">(SUM(AI284:AI284)-SUM($K326:AH326))*AI315</f>
        <v>0</v>
      </c>
      <c r="AJ326" s="10">
        <f ca="1">(SUM(AJ284:AJ284)-SUM($K326:AI326))*AJ315</f>
        <v>0</v>
      </c>
      <c r="AK326" s="10">
        <f ca="1">(SUM(AK284:AK284)-SUM($K326:AJ326))*AK315</f>
        <v>0</v>
      </c>
      <c r="AL326" s="10">
        <f ca="1">(SUM(AL284:AL284)-SUM($K326:AK326))*AL315</f>
        <v>0</v>
      </c>
      <c r="AM326" s="10">
        <f ca="1">(SUM(AM284:AM284)-SUM($K326:AL326))*AM315</f>
        <v>0</v>
      </c>
      <c r="AN326" s="10">
        <f ca="1">(SUM(AN284:AN284)-SUM($K326:AM326))*AN315</f>
        <v>0</v>
      </c>
      <c r="AO326" s="10">
        <f ca="1">(SUM(AO284:AO284)-SUM($K326:AN326))*AO315</f>
        <v>0</v>
      </c>
      <c r="AP326" s="10">
        <f ca="1">(SUM(AP284:AP284)-SUM($K326:AO326))*AP315</f>
        <v>0</v>
      </c>
      <c r="AQ326" s="10">
        <f ca="1">(SUM(AQ284:AQ284)-SUM($K326:AP326))*AQ315</f>
        <v>0</v>
      </c>
      <c r="AR326" s="10">
        <f ca="1">(SUM(AR284:AR284)-SUM($K326:AQ326))*AR315</f>
        <v>0</v>
      </c>
      <c r="AS326" s="10">
        <f ca="1">(SUM(AS284:AS284)-SUM($K326:AR326))*AS315</f>
        <v>0</v>
      </c>
      <c r="AT326" s="10">
        <f ca="1">(SUM(AT284:AT284)-SUM($K326:AS326))*AT315</f>
        <v>0</v>
      </c>
      <c r="AU326" s="10">
        <f ca="1">(SUM(AU284:AU284)-SUM($K326:AT326))*AU315</f>
        <v>0</v>
      </c>
      <c r="AV326" s="10">
        <f ca="1">(SUM(AV284:AV284)-SUM($K326:AU326))*AV315</f>
        <v>0</v>
      </c>
      <c r="AW326" s="10">
        <f ca="1">(SUM(AW284:AW284)-SUM($K326:AV326))*AW315</f>
        <v>0</v>
      </c>
      <c r="AX326" s="10">
        <f ca="1">(SUM(AX284:AX284)-SUM($K326:AW326))*AX315</f>
        <v>0</v>
      </c>
      <c r="AY326" s="10">
        <f ca="1">(SUM(AY284:AY284)-SUM($K326:AX326))*AY315</f>
        <v>0</v>
      </c>
      <c r="AZ326" s="10">
        <f ca="1">(SUM(AZ284:AZ284)-SUM($K326:AY326))*AZ315</f>
        <v>0</v>
      </c>
      <c r="BA326" s="10">
        <f ca="1">(SUM(BA284:BA284)-SUM($K326:AZ326))*BA315</f>
        <v>0</v>
      </c>
      <c r="BB326" s="10">
        <f ca="1">(SUM(BB284:BB284)-SUM($K326:BA326))*BB315</f>
        <v>0</v>
      </c>
      <c r="BC326" s="10">
        <f ca="1">(SUM(BC284:BC284)-SUM($K326:BB326))*BC315</f>
        <v>0</v>
      </c>
      <c r="BD326" s="10">
        <f ca="1">(SUM(BD284:BD284)-SUM($K326:BC326))*BD315</f>
        <v>0</v>
      </c>
      <c r="BE326" s="10">
        <f ca="1">(SUM(BE284:BE284)-SUM($K326:BD326))*BE315</f>
        <v>0</v>
      </c>
      <c r="BF326" s="10">
        <f ca="1">(SUM(BF284:BF284)-SUM($K326:BE326))*BF315</f>
        <v>0</v>
      </c>
      <c r="BG326" s="10">
        <f ca="1">(SUM(BG284:BG284)-SUM($K326:BF326))*BG315</f>
        <v>0</v>
      </c>
      <c r="BH326" s="10">
        <f ca="1">(SUM(BH284:BH284)-SUM($K326:BG326))*BH315</f>
        <v>0</v>
      </c>
      <c r="BI326" s="10">
        <f ca="1">(SUM(BI284:BI284)-SUM($K326:BH326))*BI315</f>
        <v>0</v>
      </c>
      <c r="BJ326" s="10">
        <f ca="1">(SUM(BJ284:BJ284)-SUM($K326:BI326))*BJ315</f>
        <v>0</v>
      </c>
      <c r="BK326" s="10">
        <f ca="1">(SUM(BK284:BK284)-SUM($K326:BJ326))*BK315</f>
        <v>0</v>
      </c>
      <c r="BL326" s="10">
        <f ca="1">(SUM(BL284:BL284)-SUM($K326:BK326))*BL315</f>
        <v>0</v>
      </c>
      <c r="BM326" s="10">
        <f ca="1">(SUM(BM284:BM284)-SUM($K326:BL326))*BM315</f>
        <v>0</v>
      </c>
      <c r="BN326" s="10">
        <f ca="1">(SUM(BN284:BN284)-SUM($K326:BM326))*BN315</f>
        <v>0</v>
      </c>
      <c r="BO326" s="10">
        <f ca="1">(SUM(BO284:BO284)-SUM($K326:BN326))*BO315</f>
        <v>0</v>
      </c>
      <c r="BP326" s="10">
        <f ca="1">(SUM(BP284:BP284)-SUM($K326:BO326))*BP315</f>
        <v>0</v>
      </c>
      <c r="BQ326" s="10">
        <f ca="1">(SUM(BQ284:BQ284)-SUM($K326:BP326))*BQ315</f>
        <v>0</v>
      </c>
      <c r="BR326" s="10">
        <f ca="1">(SUM(BR284:BR284)-SUM($K326:BQ326))*BR315</f>
        <v>0</v>
      </c>
      <c r="BS326" s="10">
        <f ca="1">(SUM(BS284:BS284)-SUM($K326:BR326))*BS315</f>
        <v>0</v>
      </c>
      <c r="BT326" s="10">
        <f ca="1">(SUM(BT284:BT284)-SUM($K326:BS326))*BT315</f>
        <v>0</v>
      </c>
      <c r="BU326" s="10">
        <f ca="1">(SUM(BU284:BU284)-SUM($K326:BT326))*BU315</f>
        <v>0</v>
      </c>
      <c r="BV326" s="10">
        <f ca="1">(SUM(BV284:BV284)-SUM($K326:BU326))*BV315</f>
        <v>0</v>
      </c>
      <c r="BW326" s="10">
        <f ca="1">(SUM(BW284:BW284)-SUM($K326:BV326))*BW315</f>
        <v>0</v>
      </c>
      <c r="BX326" s="10">
        <f ca="1">(SUM(BX284:BX284)-SUM($K326:BW326))*BX315</f>
        <v>0</v>
      </c>
      <c r="BY326" s="10">
        <f ca="1">(SUM(BY284:BY284)-SUM($K326:BX326))*BY315</f>
        <v>0</v>
      </c>
      <c r="BZ326" s="10">
        <f ca="1">(SUM(BZ284:BZ284)-SUM($K326:BY326))*BZ315</f>
        <v>0</v>
      </c>
      <c r="CA326" s="10">
        <f ca="1">(SUM(CA284:CA284)-SUM($K326:BZ326))*CA315</f>
        <v>0</v>
      </c>
      <c r="CB326" s="10">
        <f ca="1">(SUM(CB284:CB284)-SUM($K326:CA326))*CB315</f>
        <v>0</v>
      </c>
      <c r="CC326" s="10">
        <f ca="1">(SUM(CC284:CC284)-SUM($K326:CB326))*CC315</f>
        <v>0</v>
      </c>
      <c r="CD326" s="10">
        <f ca="1">(SUM(CD284:CD284)-SUM($K326:CC326))*CD315</f>
        <v>0</v>
      </c>
      <c r="CE326" s="10">
        <f ca="1">(SUM(CE284:CE284)-SUM($K326:CD326))*CE315</f>
        <v>0</v>
      </c>
      <c r="CF326" s="10">
        <f ca="1">(SUM(CF284:CF284)-SUM($K326:CE326))*CF315</f>
        <v>0</v>
      </c>
      <c r="CG326" s="10">
        <f ca="1">(SUM(CG284:CG284)-SUM($K326:CF326))*CG315</f>
        <v>0</v>
      </c>
      <c r="CH326" s="10">
        <f ca="1">(SUM(CH284:CH284)-SUM($K326:CG326))*CH315</f>
        <v>0</v>
      </c>
      <c r="CI326" s="10">
        <f ca="1">(SUM(CI284:CI284)-SUM($K326:CH326))*CI315</f>
        <v>0</v>
      </c>
      <c r="CJ326" s="10">
        <f ca="1">(SUM(CJ284:CJ284)-SUM($K326:CI326))*CJ315</f>
        <v>0</v>
      </c>
      <c r="CK326" s="10">
        <f ca="1">(SUM(CK284:CK284)-SUM($K326:CJ326))*CK315</f>
        <v>0</v>
      </c>
      <c r="CL326" s="10">
        <f ca="1">(SUM(CL284:CL284)-SUM($K326:CK326))*CL315</f>
        <v>0</v>
      </c>
      <c r="CM326" s="10">
        <f ca="1">(SUM(CM284:CM284)-SUM($K326:CL326))*CM315</f>
        <v>0</v>
      </c>
      <c r="CN326" s="10">
        <f ca="1">(SUM(CN284:CN284)-SUM($K326:CM326))*CN315</f>
        <v>0</v>
      </c>
      <c r="CO326" s="10">
        <f ca="1">(SUM(CO284:CO284)-SUM($K326:CN326))*CO315</f>
        <v>0</v>
      </c>
    </row>
    <row r="327" spans="1:93">
      <c r="A327" s="10"/>
      <c r="B327" s="10"/>
      <c r="C327" s="21" t="str">
        <f xml:space="preserve"> "Ввод в эксплуатацию - " &amp; C271</f>
        <v>Ввод в эксплуатацию - Здания и сооружения - Крытый парк развлечений</v>
      </c>
      <c r="D327" s="10"/>
      <c r="E327" s="62"/>
      <c r="F327" s="11"/>
      <c r="G327" s="134" t="str">
        <f t="shared" si="1460"/>
        <v>тыс. руб.</v>
      </c>
      <c r="H327" s="10"/>
      <c r="I327" s="23">
        <f t="shared" ca="1" si="1463"/>
        <v>0</v>
      </c>
      <c r="J327" s="10"/>
      <c r="K327" s="10"/>
      <c r="L327" s="10">
        <f ca="1">(SUM(L285:L285)-SUM($K327:K327))*L316</f>
        <v>0</v>
      </c>
      <c r="M327" s="10">
        <f ca="1">(SUM(M285:M285)-SUM($K327:L327))*M316</f>
        <v>0</v>
      </c>
      <c r="N327" s="10">
        <f ca="1">(SUM(N285:N285)-SUM($K327:M327))*N316</f>
        <v>0</v>
      </c>
      <c r="O327" s="10">
        <f ca="1">(SUM(O285:O285)-SUM($K327:N327))*O316</f>
        <v>0</v>
      </c>
      <c r="P327" s="10">
        <f ca="1">(SUM(P285:P285)-SUM($K327:O327))*P316</f>
        <v>0</v>
      </c>
      <c r="Q327" s="10">
        <f ca="1">(SUM(Q285:Q285)-SUM($K327:P327))*Q316</f>
        <v>0</v>
      </c>
      <c r="R327" s="10">
        <f ca="1">(SUM(R285:R285)-SUM($K327:Q327))*R316</f>
        <v>0</v>
      </c>
      <c r="S327" s="10">
        <f ca="1">(SUM(S285:S285)-SUM($K327:R327))*S316</f>
        <v>0</v>
      </c>
      <c r="T327" s="10">
        <f ca="1">(SUM(T285:T285)-SUM($K327:S327))*T316</f>
        <v>0</v>
      </c>
      <c r="U327" s="10">
        <f ca="1">(SUM(U285:U285)-SUM($K327:T327))*U316</f>
        <v>0</v>
      </c>
      <c r="V327" s="10">
        <f ca="1">(SUM(V285:V285)-SUM($K327:U327))*V316</f>
        <v>0</v>
      </c>
      <c r="W327" s="10">
        <f ca="1">(SUM(W285:W285)-SUM($K327:V327))*W316</f>
        <v>0</v>
      </c>
      <c r="X327" s="10">
        <f ca="1">(SUM(X285:X285)-SUM($K327:W327))*X316</f>
        <v>0</v>
      </c>
      <c r="Y327" s="10">
        <f ca="1">(SUM(Y285:Y285)-SUM($K327:X327))*Y316</f>
        <v>0</v>
      </c>
      <c r="Z327" s="10">
        <f ca="1">(SUM(Z285:Z285)-SUM($K327:Y327))*Z316</f>
        <v>0</v>
      </c>
      <c r="AA327" s="10">
        <f ca="1">(SUM(AA285:AA285)-SUM($K327:Z327))*AA316</f>
        <v>0</v>
      </c>
      <c r="AB327" s="10">
        <f ca="1">(SUM(AB285:AB285)-SUM($K327:AA327))*AB316</f>
        <v>0</v>
      </c>
      <c r="AC327" s="10">
        <f ca="1">(SUM(AC285:AC285)-SUM($K327:AB327))*AC316</f>
        <v>0</v>
      </c>
      <c r="AD327" s="10">
        <f ca="1">(SUM(AD285:AD285)-SUM($K327:AC327))*AD316</f>
        <v>0</v>
      </c>
      <c r="AE327" s="10">
        <f ca="1">(SUM(AE285:AE285)-SUM($K327:AD327))*AE316</f>
        <v>0</v>
      </c>
      <c r="AF327" s="10">
        <f ca="1">(SUM(AF285:AF285)-SUM($K327:AE327))*AF316</f>
        <v>0</v>
      </c>
      <c r="AG327" s="10">
        <f ca="1">(SUM(AG285:AG285)-SUM($K327:AF327))*AG316</f>
        <v>0</v>
      </c>
      <c r="AH327" s="10">
        <f ca="1">(SUM(AH285:AH285)-SUM($K327:AG327))*AH316</f>
        <v>0</v>
      </c>
      <c r="AI327" s="10">
        <f ca="1">(SUM(AI285:AI285)-SUM($K327:AH327))*AI316</f>
        <v>0</v>
      </c>
      <c r="AJ327" s="10">
        <f ca="1">(SUM(AJ285:AJ285)-SUM($K327:AI327))*AJ316</f>
        <v>0</v>
      </c>
      <c r="AK327" s="10">
        <f ca="1">(SUM(AK285:AK285)-SUM($K327:AJ327))*AK316</f>
        <v>0</v>
      </c>
      <c r="AL327" s="10">
        <f ca="1">(SUM(AL285:AL285)-SUM($K327:AK327))*AL316</f>
        <v>0</v>
      </c>
      <c r="AM327" s="10">
        <f ca="1">(SUM(AM285:AM285)-SUM($K327:AL327))*AM316</f>
        <v>0</v>
      </c>
      <c r="AN327" s="10">
        <f ca="1">(SUM(AN285:AN285)-SUM($K327:AM327))*AN316</f>
        <v>0</v>
      </c>
      <c r="AO327" s="10">
        <f ca="1">(SUM(AO285:AO285)-SUM($K327:AN327))*AO316</f>
        <v>0</v>
      </c>
      <c r="AP327" s="10">
        <f ca="1">(SUM(AP285:AP285)-SUM($K327:AO327))*AP316</f>
        <v>0</v>
      </c>
      <c r="AQ327" s="10">
        <f ca="1">(SUM(AQ285:AQ285)-SUM($K327:AP327))*AQ316</f>
        <v>0</v>
      </c>
      <c r="AR327" s="10">
        <f ca="1">(SUM(AR285:AR285)-SUM($K327:AQ327))*AR316</f>
        <v>0</v>
      </c>
      <c r="AS327" s="10">
        <f ca="1">(SUM(AS285:AS285)-SUM($K327:AR327))*AS316</f>
        <v>0</v>
      </c>
      <c r="AT327" s="10">
        <f ca="1">(SUM(AT285:AT285)-SUM($K327:AS327))*AT316</f>
        <v>0</v>
      </c>
      <c r="AU327" s="10">
        <f ca="1">(SUM(AU285:AU285)-SUM($K327:AT327))*AU316</f>
        <v>0</v>
      </c>
      <c r="AV327" s="10">
        <f ca="1">(SUM(AV285:AV285)-SUM($K327:AU327))*AV316</f>
        <v>0</v>
      </c>
      <c r="AW327" s="10">
        <f ca="1">(SUM(AW285:AW285)-SUM($K327:AV327))*AW316</f>
        <v>0</v>
      </c>
      <c r="AX327" s="10">
        <f ca="1">(SUM(AX285:AX285)-SUM($K327:AW327))*AX316</f>
        <v>0</v>
      </c>
      <c r="AY327" s="10">
        <f ca="1">(SUM(AY285:AY285)-SUM($K327:AX327))*AY316</f>
        <v>0</v>
      </c>
      <c r="AZ327" s="10">
        <f ca="1">(SUM(AZ285:AZ285)-SUM($K327:AY327))*AZ316</f>
        <v>0</v>
      </c>
      <c r="BA327" s="10">
        <f ca="1">(SUM(BA285:BA285)-SUM($K327:AZ327))*BA316</f>
        <v>0</v>
      </c>
      <c r="BB327" s="10">
        <f ca="1">(SUM(BB285:BB285)-SUM($K327:BA327))*BB316</f>
        <v>0</v>
      </c>
      <c r="BC327" s="10">
        <f ca="1">(SUM(BC285:BC285)-SUM($K327:BB327))*BC316</f>
        <v>0</v>
      </c>
      <c r="BD327" s="10">
        <f ca="1">(SUM(BD285:BD285)-SUM($K327:BC327))*BD316</f>
        <v>0</v>
      </c>
      <c r="BE327" s="10">
        <f ca="1">(SUM(BE285:BE285)-SUM($K327:BD327))*BE316</f>
        <v>0</v>
      </c>
      <c r="BF327" s="10">
        <f ca="1">(SUM(BF285:BF285)-SUM($K327:BE327))*BF316</f>
        <v>0</v>
      </c>
      <c r="BG327" s="10">
        <f ca="1">(SUM(BG285:BG285)-SUM($K327:BF327))*BG316</f>
        <v>0</v>
      </c>
      <c r="BH327" s="10">
        <f ca="1">(SUM(BH285:BH285)-SUM($K327:BG327))*BH316</f>
        <v>0</v>
      </c>
      <c r="BI327" s="10">
        <f ca="1">(SUM(BI285:BI285)-SUM($K327:BH327))*BI316</f>
        <v>0</v>
      </c>
      <c r="BJ327" s="10">
        <f ca="1">(SUM(BJ285:BJ285)-SUM($K327:BI327))*BJ316</f>
        <v>0</v>
      </c>
      <c r="BK327" s="10">
        <f ca="1">(SUM(BK285:BK285)-SUM($K327:BJ327))*BK316</f>
        <v>0</v>
      </c>
      <c r="BL327" s="10">
        <f ca="1">(SUM(BL285:BL285)-SUM($K327:BK327))*BL316</f>
        <v>0</v>
      </c>
      <c r="BM327" s="10">
        <f ca="1">(SUM(BM285:BM285)-SUM($K327:BL327))*BM316</f>
        <v>0</v>
      </c>
      <c r="BN327" s="10">
        <f ca="1">(SUM(BN285:BN285)-SUM($K327:BM327))*BN316</f>
        <v>0</v>
      </c>
      <c r="BO327" s="10">
        <f ca="1">(SUM(BO285:BO285)-SUM($K327:BN327))*BO316</f>
        <v>0</v>
      </c>
      <c r="BP327" s="10">
        <f ca="1">(SUM(BP285:BP285)-SUM($K327:BO327))*BP316</f>
        <v>0</v>
      </c>
      <c r="BQ327" s="10">
        <f ca="1">(SUM(BQ285:BQ285)-SUM($K327:BP327))*BQ316</f>
        <v>0</v>
      </c>
      <c r="BR327" s="10">
        <f ca="1">(SUM(BR285:BR285)-SUM($K327:BQ327))*BR316</f>
        <v>0</v>
      </c>
      <c r="BS327" s="10">
        <f ca="1">(SUM(BS285:BS285)-SUM($K327:BR327))*BS316</f>
        <v>0</v>
      </c>
      <c r="BT327" s="10">
        <f ca="1">(SUM(BT285:BT285)-SUM($K327:BS327))*BT316</f>
        <v>0</v>
      </c>
      <c r="BU327" s="10">
        <f ca="1">(SUM(BU285:BU285)-SUM($K327:BT327))*BU316</f>
        <v>0</v>
      </c>
      <c r="BV327" s="10">
        <f ca="1">(SUM(BV285:BV285)-SUM($K327:BU327))*BV316</f>
        <v>0</v>
      </c>
      <c r="BW327" s="10">
        <f ca="1">(SUM(BW285:BW285)-SUM($K327:BV327))*BW316</f>
        <v>0</v>
      </c>
      <c r="BX327" s="10">
        <f ca="1">(SUM(BX285:BX285)-SUM($K327:BW327))*BX316</f>
        <v>0</v>
      </c>
      <c r="BY327" s="10">
        <f ca="1">(SUM(BY285:BY285)-SUM($K327:BX327))*BY316</f>
        <v>0</v>
      </c>
      <c r="BZ327" s="10">
        <f ca="1">(SUM(BZ285:BZ285)-SUM($K327:BY327))*BZ316</f>
        <v>0</v>
      </c>
      <c r="CA327" s="10">
        <f ca="1">(SUM(CA285:CA285)-SUM($K327:BZ327))*CA316</f>
        <v>0</v>
      </c>
      <c r="CB327" s="10">
        <f ca="1">(SUM(CB285:CB285)-SUM($K327:CA327))*CB316</f>
        <v>0</v>
      </c>
      <c r="CC327" s="10">
        <f ca="1">(SUM(CC285:CC285)-SUM($K327:CB327))*CC316</f>
        <v>0</v>
      </c>
      <c r="CD327" s="10">
        <f ca="1">(SUM(CD285:CD285)-SUM($K327:CC327))*CD316</f>
        <v>0</v>
      </c>
      <c r="CE327" s="10">
        <f ca="1">(SUM(CE285:CE285)-SUM($K327:CD327))*CE316</f>
        <v>0</v>
      </c>
      <c r="CF327" s="10">
        <f ca="1">(SUM(CF285:CF285)-SUM($K327:CE327))*CF316</f>
        <v>0</v>
      </c>
      <c r="CG327" s="10">
        <f ca="1">(SUM(CG285:CG285)-SUM($K327:CF327))*CG316</f>
        <v>0</v>
      </c>
      <c r="CH327" s="10">
        <f ca="1">(SUM(CH285:CH285)-SUM($K327:CG327))*CH316</f>
        <v>0</v>
      </c>
      <c r="CI327" s="10">
        <f ca="1">(SUM(CI285:CI285)-SUM($K327:CH327))*CI316</f>
        <v>0</v>
      </c>
      <c r="CJ327" s="10">
        <f ca="1">(SUM(CJ285:CJ285)-SUM($K327:CI327))*CJ316</f>
        <v>0</v>
      </c>
      <c r="CK327" s="10">
        <f ca="1">(SUM(CK285:CK285)-SUM($K327:CJ327))*CK316</f>
        <v>0</v>
      </c>
      <c r="CL327" s="10">
        <f ca="1">(SUM(CL285:CL285)-SUM($K327:CK327))*CL316</f>
        <v>0</v>
      </c>
      <c r="CM327" s="10">
        <f ca="1">(SUM(CM285:CM285)-SUM($K327:CL327))*CM316</f>
        <v>0</v>
      </c>
      <c r="CN327" s="10">
        <f ca="1">(SUM(CN285:CN285)-SUM($K327:CM327))*CN316</f>
        <v>0</v>
      </c>
      <c r="CO327" s="10">
        <f ca="1">(SUM(CO285:CO285)-SUM($K327:CN327))*CO316</f>
        <v>0</v>
      </c>
    </row>
    <row r="328" spans="1:93">
      <c r="A328" s="10"/>
      <c r="B328" s="10"/>
      <c r="C328" s="21" t="s">
        <v>763</v>
      </c>
      <c r="D328" s="10"/>
      <c r="E328" s="62"/>
      <c r="F328" s="11"/>
      <c r="G328" s="134" t="str">
        <f t="shared" si="1460"/>
        <v>тыс. руб.</v>
      </c>
      <c r="H328" s="10"/>
      <c r="I328" s="23">
        <f t="shared" si="1463"/>
        <v>0</v>
      </c>
      <c r="J328" s="10"/>
      <c r="K328" s="10"/>
      <c r="L328" s="10">
        <f>(SUM(L286:L286)-SUM($K328:K328))*L$318</f>
        <v>0</v>
      </c>
      <c r="M328" s="10">
        <f>(SUM(M286:M286)-SUM($K328:L328))*M$318</f>
        <v>0</v>
      </c>
      <c r="N328" s="10">
        <f>(SUM(N286:N286)-SUM($K328:M328))*N$318</f>
        <v>0</v>
      </c>
      <c r="O328" s="10">
        <f>(SUM(O286:O286)-SUM($K328:N328))*O$318</f>
        <v>0</v>
      </c>
      <c r="P328" s="10">
        <f>(SUM(P286:P286)-SUM($K328:O328))*P$318</f>
        <v>0</v>
      </c>
      <c r="Q328" s="10">
        <f>(SUM(Q286:Q286)-SUM($K328:P328))*Q$318</f>
        <v>0</v>
      </c>
      <c r="R328" s="10">
        <f>(SUM(R286:R286)-SUM($K328:Q328))*R$318</f>
        <v>0</v>
      </c>
      <c r="S328" s="10">
        <f>(SUM(S286:S286)-SUM($K328:R328))*S$318</f>
        <v>0</v>
      </c>
      <c r="T328" s="10">
        <f>(SUM(T286:T286)-SUM($K328:S328))*T$318</f>
        <v>0</v>
      </c>
      <c r="U328" s="10">
        <f>(SUM(U286:U286)-SUM($K328:T328))*U$318</f>
        <v>0</v>
      </c>
      <c r="V328" s="10">
        <f>(SUM(V286:V286)-SUM($K328:U328))*V$318</f>
        <v>0</v>
      </c>
      <c r="W328" s="10">
        <f>(SUM(W286:W286)-SUM($K328:V328))*W$318</f>
        <v>0</v>
      </c>
      <c r="X328" s="10">
        <f>(SUM(X286:X286)-SUM($K328:W328))*X$318</f>
        <v>0</v>
      </c>
      <c r="Y328" s="10">
        <f>(SUM(Y286:Y286)-SUM($K328:X328))*Y$318</f>
        <v>0</v>
      </c>
      <c r="Z328" s="10">
        <f>(SUM(Z286:Z286)-SUM($K328:Y328))*Z$318</f>
        <v>0</v>
      </c>
      <c r="AA328" s="10">
        <f>(SUM(AA286:AA286)-SUM($K328:Z328))*AA$318</f>
        <v>0</v>
      </c>
      <c r="AB328" s="10">
        <f>(SUM(AB286:AB286)-SUM($K328:AA328))*AB$318</f>
        <v>0</v>
      </c>
      <c r="AC328" s="10">
        <f>(SUM(AC286:AC286)-SUM($K328:AB328))*AC$318</f>
        <v>0</v>
      </c>
      <c r="AD328" s="10">
        <f>(SUM(AD286:AD286)-SUM($K328:AC328))*AD$318</f>
        <v>0</v>
      </c>
      <c r="AE328" s="10">
        <f>(SUM(AE286:AE286)-SUM($K328:AD328))*AE$318</f>
        <v>0</v>
      </c>
      <c r="AF328" s="10">
        <f>(SUM(AF286:AF286)-SUM($K328:AE328))*AF$318</f>
        <v>0</v>
      </c>
      <c r="AG328" s="10">
        <f>(SUM(AG286:AG286)-SUM($K328:AF328))*AG$318</f>
        <v>0</v>
      </c>
      <c r="AH328" s="10">
        <f>(SUM(AH286:AH286)-SUM($K328:AG328))*AH$318</f>
        <v>0</v>
      </c>
      <c r="AI328" s="10">
        <f>(SUM(AI286:AI286)-SUM($K328:AH328))*AI$318</f>
        <v>0</v>
      </c>
      <c r="AJ328" s="10">
        <f>(SUM(AJ286:AJ286)-SUM($K328:AI328))*AJ$318</f>
        <v>0</v>
      </c>
      <c r="AK328" s="10">
        <f>(SUM(AK286:AK286)-SUM($K328:AJ328))*AK$318</f>
        <v>0</v>
      </c>
      <c r="AL328" s="10">
        <f>(SUM(AL286:AL286)-SUM($K328:AK328))*AL$318</f>
        <v>0</v>
      </c>
      <c r="AM328" s="10">
        <f>(SUM(AM286:AM286)-SUM($K328:AL328))*AM$318</f>
        <v>0</v>
      </c>
      <c r="AN328" s="10">
        <f>(SUM(AN286:AN286)-SUM($K328:AM328))*AN$318</f>
        <v>0</v>
      </c>
      <c r="AO328" s="10">
        <f>(SUM(AO286:AO286)-SUM($K328:AN328))*AO$318</f>
        <v>0</v>
      </c>
      <c r="AP328" s="10">
        <f>(SUM(AP286:AP286)-SUM($K328:AO328))*AP$318</f>
        <v>0</v>
      </c>
      <c r="AQ328" s="10">
        <f>(SUM(AQ286:AQ286)-SUM($K328:AP328))*AQ$318</f>
        <v>0</v>
      </c>
      <c r="AR328" s="10">
        <f>(SUM(AR286:AR286)-SUM($K328:AQ328))*AR$318</f>
        <v>0</v>
      </c>
      <c r="AS328" s="10">
        <f>(SUM(AS286:AS286)-SUM($K328:AR328))*AS$318</f>
        <v>0</v>
      </c>
      <c r="AT328" s="10">
        <f>(SUM(AT286:AT286)-SUM($K328:AS328))*AT$318</f>
        <v>0</v>
      </c>
      <c r="AU328" s="10">
        <f>(SUM(AU286:AU286)-SUM($K328:AT328))*AU$318</f>
        <v>0</v>
      </c>
      <c r="AV328" s="10">
        <f>(SUM(AV286:AV286)-SUM($K328:AU328))*AV$318</f>
        <v>0</v>
      </c>
      <c r="AW328" s="10">
        <f>(SUM(AW286:AW286)-SUM($K328:AV328))*AW$318</f>
        <v>0</v>
      </c>
      <c r="AX328" s="10">
        <f>(SUM(AX286:AX286)-SUM($K328:AW328))*AX$318</f>
        <v>0</v>
      </c>
      <c r="AY328" s="10">
        <f>(SUM(AY286:AY286)-SUM($K328:AX328))*AY$318</f>
        <v>0</v>
      </c>
      <c r="AZ328" s="10">
        <f>(SUM(AZ286:AZ286)-SUM($K328:AY328))*AZ$318</f>
        <v>0</v>
      </c>
      <c r="BA328" s="10">
        <f>(SUM(BA286:BA286)-SUM($K328:AZ328))*BA$318</f>
        <v>0</v>
      </c>
      <c r="BB328" s="10">
        <f>(SUM(BB286:BB286)-SUM($K328:BA328))*BB$318</f>
        <v>0</v>
      </c>
      <c r="BC328" s="10">
        <f>(SUM(BC286:BC286)-SUM($K328:BB328))*BC$318</f>
        <v>0</v>
      </c>
      <c r="BD328" s="10">
        <f>(SUM(BD286:BD286)-SUM($K328:BC328))*BD$318</f>
        <v>0</v>
      </c>
      <c r="BE328" s="10">
        <f>(SUM(BE286:BE286)-SUM($K328:BD328))*BE$318</f>
        <v>0</v>
      </c>
      <c r="BF328" s="10">
        <f>(SUM(BF286:BF286)-SUM($K328:BE328))*BF$318</f>
        <v>0</v>
      </c>
      <c r="BG328" s="10">
        <f>(SUM(BG286:BG286)-SUM($K328:BF328))*BG$318</f>
        <v>0</v>
      </c>
      <c r="BH328" s="10">
        <f>(SUM(BH286:BH286)-SUM($K328:BG328))*BH$318</f>
        <v>0</v>
      </c>
      <c r="BI328" s="10">
        <f>(SUM(BI286:BI286)-SUM($K328:BH328))*BI$318</f>
        <v>0</v>
      </c>
      <c r="BJ328" s="10">
        <f>(SUM(BJ286:BJ286)-SUM($K328:BI328))*BJ$318</f>
        <v>0</v>
      </c>
      <c r="BK328" s="10">
        <f>(SUM(BK286:BK286)-SUM($K328:BJ328))*BK$318</f>
        <v>0</v>
      </c>
      <c r="BL328" s="10">
        <f>(SUM(BL286:BL286)-SUM($K328:BK328))*BL$318</f>
        <v>0</v>
      </c>
      <c r="BM328" s="10">
        <f>(SUM(BM286:BM286)-SUM($K328:BL328))*BM$318</f>
        <v>0</v>
      </c>
      <c r="BN328" s="10">
        <f>(SUM(BN286:BN286)-SUM($K328:BM328))*BN$318</f>
        <v>0</v>
      </c>
      <c r="BO328" s="10">
        <f>(SUM(BO286:BO286)-SUM($K328:BN328))*BO$318</f>
        <v>0</v>
      </c>
      <c r="BP328" s="10">
        <f>(SUM(BP286:BP286)-SUM($K328:BO328))*BP$318</f>
        <v>0</v>
      </c>
      <c r="BQ328" s="10">
        <f>(SUM(BQ286:BQ286)-SUM($K328:BP328))*BQ$318</f>
        <v>0</v>
      </c>
      <c r="BR328" s="10">
        <f>(SUM(BR286:BR286)-SUM($K328:BQ328))*BR$318</f>
        <v>0</v>
      </c>
      <c r="BS328" s="10">
        <f>(SUM(BS286:BS286)-SUM($K328:BR328))*BS$318</f>
        <v>0</v>
      </c>
      <c r="BT328" s="10">
        <f>(SUM(BT286:BT286)-SUM($K328:BS328))*BT$318</f>
        <v>0</v>
      </c>
      <c r="BU328" s="10">
        <f>(SUM(BU286:BU286)-SUM($K328:BT328))*BU$318</f>
        <v>0</v>
      </c>
      <c r="BV328" s="10">
        <f>(SUM(BV286:BV286)-SUM($K328:BU328))*BV$318</f>
        <v>0</v>
      </c>
      <c r="BW328" s="10">
        <f>(SUM(BW286:BW286)-SUM($K328:BV328))*BW$318</f>
        <v>0</v>
      </c>
      <c r="BX328" s="10">
        <f>(SUM(BX286:BX286)-SUM($K328:BW328))*BX$318</f>
        <v>0</v>
      </c>
      <c r="BY328" s="10">
        <f>(SUM(BY286:BY286)-SUM($K328:BX328))*BY$318</f>
        <v>0</v>
      </c>
      <c r="BZ328" s="10">
        <f>(SUM(BZ286:BZ286)-SUM($K328:BY328))*BZ$318</f>
        <v>0</v>
      </c>
      <c r="CA328" s="10">
        <f>(SUM(CA286:CA286)-SUM($K328:BZ328))*CA$318</f>
        <v>0</v>
      </c>
      <c r="CB328" s="10">
        <f>(SUM(CB286:CB286)-SUM($K328:CA328))*CB$318</f>
        <v>0</v>
      </c>
      <c r="CC328" s="10">
        <f>(SUM(CC286:CC286)-SUM($K328:CB328))*CC$318</f>
        <v>0</v>
      </c>
      <c r="CD328" s="10">
        <f>(SUM(CD286:CD286)-SUM($K328:CC328))*CD$318</f>
        <v>0</v>
      </c>
      <c r="CE328" s="10">
        <f>(SUM(CE286:CE286)-SUM($K328:CD328))*CE$318</f>
        <v>0</v>
      </c>
      <c r="CF328" s="10">
        <f>(SUM(CF286:CF286)-SUM($K328:CE328))*CF$318</f>
        <v>0</v>
      </c>
      <c r="CG328" s="10">
        <f>(SUM(CG286:CG286)-SUM($K328:CF328))*CG$318</f>
        <v>0</v>
      </c>
      <c r="CH328" s="10">
        <f>(SUM(CH286:CH286)-SUM($K328:CG328))*CH$318</f>
        <v>0</v>
      </c>
      <c r="CI328" s="10">
        <f>(SUM(CI286:CI286)-SUM($K328:CH328))*CI$318</f>
        <v>0</v>
      </c>
      <c r="CJ328" s="10">
        <f>(SUM(CJ286:CJ286)-SUM($K328:CI328))*CJ$318</f>
        <v>0</v>
      </c>
      <c r="CK328" s="10">
        <f>(SUM(CK286:CK286)-SUM($K328:CJ328))*CK$318</f>
        <v>0</v>
      </c>
      <c r="CL328" s="10">
        <f>(SUM(CL286:CL286)-SUM($K328:CK328))*CL$318</f>
        <v>0</v>
      </c>
      <c r="CM328" s="10">
        <f>(SUM(CM286:CM286)-SUM($K328:CL328))*CM$318</f>
        <v>0</v>
      </c>
      <c r="CN328" s="10">
        <f>(SUM(CN286:CN286)-SUM($K328:CM328))*CN$318</f>
        <v>0</v>
      </c>
      <c r="CO328" s="10">
        <f>(SUM(CO286:CO286)-SUM($K328:CN328))*CO$318</f>
        <v>0</v>
      </c>
    </row>
    <row r="329" spans="1:93">
      <c r="A329" s="10"/>
      <c r="B329" s="10"/>
      <c r="C329" s="21" t="s">
        <v>1115</v>
      </c>
      <c r="D329" s="10"/>
      <c r="E329" s="62"/>
      <c r="F329" s="11"/>
      <c r="G329" s="134" t="str">
        <f t="shared" si="1460"/>
        <v>тыс. руб.</v>
      </c>
      <c r="H329" s="10"/>
      <c r="I329" s="23">
        <f t="shared" si="1463"/>
        <v>0</v>
      </c>
      <c r="J329" s="10"/>
      <c r="K329" s="10"/>
      <c r="L329" s="10">
        <f>(SUM(L288)-SUM($K329:K329))*L$314</f>
        <v>0</v>
      </c>
      <c r="M329" s="10">
        <f>(SUM(M288)-SUM($K329:L329))*M$314</f>
        <v>0</v>
      </c>
      <c r="N329" s="10">
        <f>(SUM(N288)-SUM($K329:M329))*N$314</f>
        <v>0</v>
      </c>
      <c r="O329" s="10">
        <f>(SUM(O288)-SUM($K329:N329))*O$314</f>
        <v>0</v>
      </c>
      <c r="P329" s="10">
        <f>(SUM(P288)-SUM($K329:O329))*P$314</f>
        <v>0</v>
      </c>
      <c r="Q329" s="10">
        <f>(SUM(Q288)-SUM($K329:P329))*Q$314</f>
        <v>0</v>
      </c>
      <c r="R329" s="10">
        <f>(SUM(R288)-SUM($K329:Q329))*R$314</f>
        <v>0</v>
      </c>
      <c r="S329" s="10">
        <f>(SUM(S288)-SUM($K329:R329))*S$314</f>
        <v>0</v>
      </c>
      <c r="T329" s="10">
        <f>(SUM(T288)-SUM($K329:S329))*T$314</f>
        <v>0</v>
      </c>
      <c r="U329" s="10">
        <f>(SUM(U288)-SUM($K329:T329))*U$314</f>
        <v>0</v>
      </c>
      <c r="V329" s="10">
        <f>(SUM(V288)-SUM($K329:U329))*V$314</f>
        <v>0</v>
      </c>
      <c r="W329" s="10">
        <f>(SUM(W288)-SUM($K329:V329))*W$314</f>
        <v>0</v>
      </c>
      <c r="X329" s="10">
        <f>(SUM(X288)-SUM($K329:W329))*X$314</f>
        <v>0</v>
      </c>
      <c r="Y329" s="10">
        <f>(SUM(Y288)-SUM($K329:X329))*Y$314</f>
        <v>0</v>
      </c>
      <c r="Z329" s="10">
        <f>(SUM(Z288)-SUM($K329:Y329))*Z$314</f>
        <v>0</v>
      </c>
      <c r="AA329" s="10">
        <f>(SUM(AA288)-SUM($K329:Z329))*AA$314</f>
        <v>0</v>
      </c>
      <c r="AB329" s="10">
        <f>(SUM(AB288)-SUM($K329:AA329))*AB$314</f>
        <v>0</v>
      </c>
      <c r="AC329" s="10">
        <f>(SUM(AC288)-SUM($K329:AB329))*AC$314</f>
        <v>0</v>
      </c>
      <c r="AD329" s="10">
        <f>(SUM(AD288)-SUM($K329:AC329))*AD$314</f>
        <v>0</v>
      </c>
      <c r="AE329" s="10">
        <f>(SUM(AE288)-SUM($K329:AD329))*AE$314</f>
        <v>0</v>
      </c>
      <c r="AF329" s="10">
        <f>(SUM(AF288)-SUM($K329:AE329))*AF$314</f>
        <v>0</v>
      </c>
      <c r="AG329" s="10">
        <f>(SUM(AG288)-SUM($K329:AF329))*AG$314</f>
        <v>0</v>
      </c>
      <c r="AH329" s="10">
        <f>(SUM(AH288)-SUM($K329:AG329))*AH$314</f>
        <v>0</v>
      </c>
      <c r="AI329" s="10">
        <f>(SUM(AI288)-SUM($K329:AH329))*AI$314</f>
        <v>0</v>
      </c>
      <c r="AJ329" s="10">
        <f>(SUM(AJ288)-SUM($K329:AI329))*AJ$314</f>
        <v>0</v>
      </c>
      <c r="AK329" s="10">
        <f>(SUM(AK288)-SUM($K329:AJ329))*AK$314</f>
        <v>0</v>
      </c>
      <c r="AL329" s="10">
        <f>(SUM(AL288)-SUM($K329:AK329))*AL$314</f>
        <v>0</v>
      </c>
      <c r="AM329" s="10">
        <f>(SUM(AM288)-SUM($K329:AL329))*AM$314</f>
        <v>0</v>
      </c>
      <c r="AN329" s="10">
        <f>(SUM(AN288)-SUM($K329:AM329))*AN$314</f>
        <v>0</v>
      </c>
      <c r="AO329" s="10">
        <f>(SUM(AO288)-SUM($K329:AN329))*AO$314</f>
        <v>0</v>
      </c>
      <c r="AP329" s="10">
        <f>(SUM(AP288)-SUM($K329:AO329))*AP$314</f>
        <v>0</v>
      </c>
      <c r="AQ329" s="10">
        <f>(SUM(AQ288)-SUM($K329:AP329))*AQ$314</f>
        <v>0</v>
      </c>
      <c r="AR329" s="10">
        <f>(SUM(AR288)-SUM($K329:AQ329))*AR$314</f>
        <v>0</v>
      </c>
      <c r="AS329" s="10">
        <f>(SUM(AS288)-SUM($K329:AR329))*AS$314</f>
        <v>0</v>
      </c>
      <c r="AT329" s="10">
        <f>(SUM(AT288)-SUM($K329:AS329))*AT$314</f>
        <v>0</v>
      </c>
      <c r="AU329" s="10">
        <f>(SUM(AU288)-SUM($K329:AT329))*AU$314</f>
        <v>0</v>
      </c>
      <c r="AV329" s="10">
        <f>(SUM(AV288)-SUM($K329:AU329))*AV$314</f>
        <v>0</v>
      </c>
      <c r="AW329" s="10">
        <f>(SUM(AW288)-SUM($K329:AV329))*AW$314</f>
        <v>0</v>
      </c>
      <c r="AX329" s="10">
        <f>(SUM(AX288)-SUM($K329:AW329))*AX$314</f>
        <v>0</v>
      </c>
      <c r="AY329" s="10">
        <f>(SUM(AY288)-SUM($K329:AX329))*AY$314</f>
        <v>0</v>
      </c>
      <c r="AZ329" s="10">
        <f>(SUM(AZ288)-SUM($K329:AY329))*AZ$314</f>
        <v>0</v>
      </c>
      <c r="BA329" s="10">
        <f>(SUM(BA288)-SUM($K329:AZ329))*BA$314</f>
        <v>0</v>
      </c>
      <c r="BB329" s="10">
        <f>(SUM(BB288)-SUM($K329:BA329))*BB$314</f>
        <v>0</v>
      </c>
      <c r="BC329" s="10">
        <f>(SUM(BC288)-SUM($K329:BB329))*BC$314</f>
        <v>0</v>
      </c>
      <c r="BD329" s="10">
        <f>(SUM(BD288)-SUM($K329:BC329))*BD$314</f>
        <v>0</v>
      </c>
      <c r="BE329" s="10">
        <f>(SUM(BE288)-SUM($K329:BD329))*BE$314</f>
        <v>0</v>
      </c>
      <c r="BF329" s="10">
        <f>(SUM(BF288)-SUM($K329:BE329))*BF$314</f>
        <v>0</v>
      </c>
      <c r="BG329" s="10">
        <f>(SUM(BG288)-SUM($K329:BF329))*BG$314</f>
        <v>0</v>
      </c>
      <c r="BH329" s="10">
        <f>(SUM(BH288)-SUM($K329:BG329))*BH$314</f>
        <v>0</v>
      </c>
      <c r="BI329" s="10">
        <f>(SUM(BI288)-SUM($K329:BH329))*BI$314</f>
        <v>0</v>
      </c>
      <c r="BJ329" s="10">
        <f>(SUM(BJ288)-SUM($K329:BI329))*BJ$314</f>
        <v>0</v>
      </c>
      <c r="BK329" s="10">
        <f>(SUM(BK288)-SUM($K329:BJ329))*BK$314</f>
        <v>0</v>
      </c>
      <c r="BL329" s="10">
        <f>(SUM(BL288)-SUM($K329:BK329))*BL$314</f>
        <v>0</v>
      </c>
      <c r="BM329" s="10">
        <f>(SUM(BM288)-SUM($K329:BL329))*BM$314</f>
        <v>0</v>
      </c>
      <c r="BN329" s="10">
        <f>(SUM(BN288)-SUM($K329:BM329))*BN$314</f>
        <v>0</v>
      </c>
      <c r="BO329" s="10">
        <f>(SUM(BO288)-SUM($K329:BN329))*BO$314</f>
        <v>0</v>
      </c>
      <c r="BP329" s="10">
        <f>(SUM(BP288)-SUM($K329:BO329))*BP$314</f>
        <v>0</v>
      </c>
      <c r="BQ329" s="10">
        <f>(SUM(BQ288)-SUM($K329:BP329))*BQ$314</f>
        <v>0</v>
      </c>
      <c r="BR329" s="10">
        <f>(SUM(BR288)-SUM($K329:BQ329))*BR$314</f>
        <v>0</v>
      </c>
      <c r="BS329" s="10">
        <f>(SUM(BS288)-SUM($K329:BR329))*BS$314</f>
        <v>0</v>
      </c>
      <c r="BT329" s="10">
        <f>(SUM(BT288)-SUM($K329:BS329))*BT$314</f>
        <v>0</v>
      </c>
      <c r="BU329" s="10">
        <f>(SUM(BU288)-SUM($K329:BT329))*BU$314</f>
        <v>0</v>
      </c>
      <c r="BV329" s="10">
        <f>(SUM(BV288)-SUM($K329:BU329))*BV$314</f>
        <v>0</v>
      </c>
      <c r="BW329" s="10">
        <f>(SUM(BW288)-SUM($K329:BV329))*BW$314</f>
        <v>0</v>
      </c>
      <c r="BX329" s="10">
        <f>(SUM(BX288)-SUM($K329:BW329))*BX$314</f>
        <v>0</v>
      </c>
      <c r="BY329" s="10">
        <f>(SUM(BY288)-SUM($K329:BX329))*BY$314</f>
        <v>0</v>
      </c>
      <c r="BZ329" s="10">
        <f>(SUM(BZ288)-SUM($K329:BY329))*BZ$314</f>
        <v>0</v>
      </c>
      <c r="CA329" s="10">
        <f>(SUM(CA288)-SUM($K329:BZ329))*CA$314</f>
        <v>0</v>
      </c>
      <c r="CB329" s="10">
        <f>(SUM(CB288)-SUM($K329:CA329))*CB$314</f>
        <v>0</v>
      </c>
      <c r="CC329" s="10">
        <f>(SUM(CC288)-SUM($K329:CB329))*CC$314</f>
        <v>0</v>
      </c>
      <c r="CD329" s="10">
        <f>(SUM(CD288)-SUM($K329:CC329))*CD$314</f>
        <v>0</v>
      </c>
      <c r="CE329" s="10">
        <f>(SUM(CE288)-SUM($K329:CD329))*CE$314</f>
        <v>0</v>
      </c>
      <c r="CF329" s="10">
        <f>(SUM(CF288)-SUM($K329:CE329))*CF$314</f>
        <v>0</v>
      </c>
      <c r="CG329" s="10">
        <f>(SUM(CG288)-SUM($K329:CF329))*CG$314</f>
        <v>0</v>
      </c>
      <c r="CH329" s="10">
        <f>(SUM(CH288)-SUM($K329:CG329))*CH$314</f>
        <v>0</v>
      </c>
      <c r="CI329" s="10">
        <f>(SUM(CI288)-SUM($K329:CH329))*CI$314</f>
        <v>0</v>
      </c>
      <c r="CJ329" s="10">
        <f>(SUM(CJ288)-SUM($K329:CI329))*CJ$314</f>
        <v>0</v>
      </c>
      <c r="CK329" s="10">
        <f>(SUM(CK288)-SUM($K329:CJ329))*CK$314</f>
        <v>0</v>
      </c>
      <c r="CL329" s="10">
        <f>(SUM(CL288)-SUM($K329:CK329))*CL$314</f>
        <v>0</v>
      </c>
      <c r="CM329" s="10">
        <f>(SUM(CM288)-SUM($K329:CL329))*CM$314</f>
        <v>0</v>
      </c>
      <c r="CN329" s="10">
        <f>(SUM(CN288)-SUM($K329:CM329))*CN$314</f>
        <v>0</v>
      </c>
      <c r="CO329" s="10">
        <f>(SUM(CO288)-SUM($K329:CN329))*CO$314</f>
        <v>0</v>
      </c>
    </row>
    <row r="330" spans="1:93">
      <c r="A330" s="10"/>
      <c r="B330" s="10"/>
      <c r="C330" s="21" t="s">
        <v>335</v>
      </c>
      <c r="D330" s="10"/>
      <c r="E330" s="62"/>
      <c r="F330" s="11"/>
      <c r="G330" s="134" t="str">
        <f t="shared" si="1460"/>
        <v>тыс. руб.</v>
      </c>
      <c r="H330" s="10"/>
      <c r="I330" s="23">
        <f t="shared" ca="1" si="1461"/>
        <v>0</v>
      </c>
      <c r="J330" s="10"/>
      <c r="K330" s="10"/>
      <c r="L330" s="10">
        <f ca="1">(SUM(L304,L305*0,L306)-SUM($K330:K330))*L$318</f>
        <v>0</v>
      </c>
      <c r="M330" s="10">
        <f ca="1">(SUM(M304,M305*0,M306)-SUM($K330:L330))*M$318</f>
        <v>0</v>
      </c>
      <c r="N330" s="10">
        <f ca="1">(SUM(N304,N305*0,N306)-SUM($K330:M330))*N$318</f>
        <v>0</v>
      </c>
      <c r="O330" s="10">
        <f ca="1">(SUM(O304,O305*0,O306)-SUM($K330:N330))*O$318</f>
        <v>0</v>
      </c>
      <c r="P330" s="10">
        <f ca="1">(SUM(P304,P305*0,P306)-SUM($K330:O330))*P$318</f>
        <v>0</v>
      </c>
      <c r="Q330" s="10">
        <f ca="1">(SUM(Q304,Q305*0,Q306)-SUM($K330:P330))*Q$318</f>
        <v>0</v>
      </c>
      <c r="R330" s="10">
        <f ca="1">(SUM(R304,R305*0,R306)-SUM($K330:Q330))*R$318</f>
        <v>0</v>
      </c>
      <c r="S330" s="10">
        <f ca="1">(SUM(S304,S305*0,S306)-SUM($K330:R330))*S$318</f>
        <v>0</v>
      </c>
      <c r="T330" s="10">
        <f ca="1">(SUM(T304,T305*0,T306)-SUM($K330:S330))*T$318</f>
        <v>0</v>
      </c>
      <c r="U330" s="10">
        <f ca="1">(SUM(U304,U305*0,U306)-SUM($K330:T330))*U$318</f>
        <v>0</v>
      </c>
      <c r="V330" s="10">
        <f ca="1">(SUM(V304,V305*0,V306)-SUM($K330:U330))*V$318</f>
        <v>0</v>
      </c>
      <c r="W330" s="10">
        <f ca="1">(SUM(W304,W305*0,W306)-SUM($K330:V330))*W$318</f>
        <v>0</v>
      </c>
      <c r="X330" s="10">
        <f ca="1">(SUM(X304,X305*0,X306)-SUM($K330:W330))*X$318</f>
        <v>0</v>
      </c>
      <c r="Y330" s="10">
        <f ca="1">(SUM(Y304,Y305*0,Y306)-SUM($K330:X330))*Y$318</f>
        <v>0</v>
      </c>
      <c r="Z330" s="10">
        <f ca="1">(SUM(Z304,Z305*0,Z306)-SUM($K330:Y330))*Z$318</f>
        <v>0</v>
      </c>
      <c r="AA330" s="10">
        <f ca="1">(SUM(AA304,AA305*0,AA306)-SUM($K330:Z330))*AA$318</f>
        <v>0</v>
      </c>
      <c r="AB330" s="10">
        <f ca="1">(SUM(AB304,AB305*0,AB306)-SUM($K330:AA330))*AB$318</f>
        <v>0</v>
      </c>
      <c r="AC330" s="10">
        <f ca="1">(SUM(AC304,AC305*0,AC306)-SUM($K330:AB330))*AC$318</f>
        <v>0</v>
      </c>
      <c r="AD330" s="10">
        <f ca="1">(SUM(AD304,AD305*0,AD306)-SUM($K330:AC330))*AD$318</f>
        <v>0</v>
      </c>
      <c r="AE330" s="10">
        <f ca="1">(SUM(AE304,AE305*0,AE306)-SUM($K330:AD330))*AE$318</f>
        <v>0</v>
      </c>
      <c r="AF330" s="10">
        <f ca="1">(SUM(AF304,AF305*0,AF306)-SUM($K330:AE330))*AF$318</f>
        <v>0</v>
      </c>
      <c r="AG330" s="10">
        <f ca="1">(SUM(AG304,AG305*0,AG306)-SUM($K330:AF330))*AG$318</f>
        <v>0</v>
      </c>
      <c r="AH330" s="10">
        <f ca="1">(SUM(AH304,AH305*0,AH306)-SUM($K330:AG330))*AH$318</f>
        <v>0</v>
      </c>
      <c r="AI330" s="10">
        <f ca="1">(SUM(AI304,AI305*0,AI306)-SUM($K330:AH330))*AI$318</f>
        <v>0</v>
      </c>
      <c r="AJ330" s="10">
        <f ca="1">(SUM(AJ304,AJ305*0,AJ306)-SUM($K330:AI330))*AJ$318</f>
        <v>0</v>
      </c>
      <c r="AK330" s="10">
        <f ca="1">(SUM(AK304,AK305*0,AK306)-SUM($K330:AJ330))*AK$318</f>
        <v>0</v>
      </c>
      <c r="AL330" s="10">
        <f ca="1">(SUM(AL304,AL305*0,AL306)-SUM($K330:AK330))*AL$318</f>
        <v>0</v>
      </c>
      <c r="AM330" s="10">
        <f ca="1">(SUM(AM304,AM305*0,AM306)-SUM($K330:AL330))*AM$318</f>
        <v>0</v>
      </c>
      <c r="AN330" s="10">
        <f ca="1">(SUM(AN304,AN305*0,AN306)-SUM($K330:AM330))*AN$318</f>
        <v>0</v>
      </c>
      <c r="AO330" s="10">
        <f ca="1">(SUM(AO304,AO305*0,AO306)-SUM($K330:AN330))*AO$318</f>
        <v>0</v>
      </c>
      <c r="AP330" s="10">
        <f ca="1">(SUM(AP304,AP305*0,AP306)-SUM($K330:AO330))*AP$318</f>
        <v>0</v>
      </c>
      <c r="AQ330" s="10">
        <f ca="1">(SUM(AQ304,AQ305*0,AQ306)-SUM($K330:AP330))*AQ$318</f>
        <v>0</v>
      </c>
      <c r="AR330" s="10">
        <f ca="1">(SUM(AR304,AR305*0,AR306)-SUM($K330:AQ330))*AR$318</f>
        <v>0</v>
      </c>
      <c r="AS330" s="10">
        <f ca="1">(SUM(AS304,AS305*0,AS306)-SUM($K330:AR330))*AS$318</f>
        <v>0</v>
      </c>
      <c r="AT330" s="10">
        <f ca="1">(SUM(AT304,AT305*0,AT306)-SUM($K330:AS330))*AT$318</f>
        <v>0</v>
      </c>
      <c r="AU330" s="10">
        <f ca="1">(SUM(AU304,AU305*0,AU306)-SUM($K330:AT330))*AU$318</f>
        <v>0</v>
      </c>
      <c r="AV330" s="10">
        <f ca="1">(SUM(AV304,AV305*0,AV306)-SUM($K330:AU330))*AV$318</f>
        <v>0</v>
      </c>
      <c r="AW330" s="10">
        <f ca="1">(SUM(AW304,AW305*0,AW306)-SUM($K330:AV330))*AW$318</f>
        <v>0</v>
      </c>
      <c r="AX330" s="10">
        <f ca="1">(SUM(AX304,AX305*0,AX306)-SUM($K330:AW330))*AX$318</f>
        <v>0</v>
      </c>
      <c r="AY330" s="10">
        <f ca="1">(SUM(AY304,AY305*0,AY306)-SUM($K330:AX330))*AY$318</f>
        <v>0</v>
      </c>
      <c r="AZ330" s="10">
        <f ca="1">(SUM(AZ304,AZ305*0,AZ306)-SUM($K330:AY330))*AZ$318</f>
        <v>0</v>
      </c>
      <c r="BA330" s="10">
        <f ca="1">(SUM(BA304,BA305*0,BA306)-SUM($K330:AZ330))*BA$318</f>
        <v>0</v>
      </c>
      <c r="BB330" s="10">
        <f ca="1">(SUM(BB304,BB305*0,BB306)-SUM($K330:BA330))*BB$318</f>
        <v>0</v>
      </c>
      <c r="BC330" s="10">
        <f ca="1">(SUM(BC304,BC305*0,BC306)-SUM($K330:BB330))*BC$318</f>
        <v>0</v>
      </c>
      <c r="BD330" s="10">
        <f ca="1">(SUM(BD304,BD305*0,BD306)-SUM($K330:BC330))*BD$318</f>
        <v>0</v>
      </c>
      <c r="BE330" s="10">
        <f ca="1">(SUM(BE304,BE305*0,BE306)-SUM($K330:BD330))*BE$318</f>
        <v>0</v>
      </c>
      <c r="BF330" s="10">
        <f ca="1">(SUM(BF304,BF305*0,BF306)-SUM($K330:BE330))*BF$318</f>
        <v>0</v>
      </c>
      <c r="BG330" s="10">
        <f ca="1">(SUM(BG304,BG305*0,BG306)-SUM($K330:BF330))*BG$318</f>
        <v>0</v>
      </c>
      <c r="BH330" s="10">
        <f ca="1">(SUM(BH304,BH305*0,BH306)-SUM($K330:BG330))*BH$318</f>
        <v>0</v>
      </c>
      <c r="BI330" s="10">
        <f ca="1">(SUM(BI304,BI305*0,BI306)-SUM($K330:BH330))*BI$318</f>
        <v>0</v>
      </c>
      <c r="BJ330" s="10">
        <f ca="1">(SUM(BJ304,BJ305*0,BJ306)-SUM($K330:BI330))*BJ$318</f>
        <v>0</v>
      </c>
      <c r="BK330" s="10">
        <f ca="1">(SUM(BK304,BK305*0,BK306)-SUM($K330:BJ330))*BK$318</f>
        <v>0</v>
      </c>
      <c r="BL330" s="10">
        <f ca="1">(SUM(BL304,BL305*0,BL306)-SUM($K330:BK330))*BL$318</f>
        <v>0</v>
      </c>
      <c r="BM330" s="10">
        <f ca="1">(SUM(BM304,BM305*0,BM306)-SUM($K330:BL330))*BM$318</f>
        <v>0</v>
      </c>
      <c r="BN330" s="10">
        <f ca="1">(SUM(BN304,BN305*0,BN306)-SUM($K330:BM330))*BN$318</f>
        <v>0</v>
      </c>
      <c r="BO330" s="10">
        <f ca="1">(SUM(BO304,BO305*0,BO306)-SUM($K330:BN330))*BO$318</f>
        <v>0</v>
      </c>
      <c r="BP330" s="10">
        <f ca="1">(SUM(BP304,BP305*0,BP306)-SUM($K330:BO330))*BP$318</f>
        <v>0</v>
      </c>
      <c r="BQ330" s="10">
        <f ca="1">(SUM(BQ304,BQ305*0,BQ306)-SUM($K330:BP330))*BQ$318</f>
        <v>0</v>
      </c>
      <c r="BR330" s="10">
        <f ca="1">(SUM(BR304,BR305*0,BR306)-SUM($K330:BQ330))*BR$318</f>
        <v>0</v>
      </c>
      <c r="BS330" s="10">
        <f ca="1">(SUM(BS304,BS305*0,BS306)-SUM($K330:BR330))*BS$318</f>
        <v>0</v>
      </c>
      <c r="BT330" s="10">
        <f ca="1">(SUM(BT304,BT305*0,BT306)-SUM($K330:BS330))*BT$318</f>
        <v>0</v>
      </c>
      <c r="BU330" s="10">
        <f ca="1">(SUM(BU304,BU305*0,BU306)-SUM($K330:BT330))*BU$318</f>
        <v>0</v>
      </c>
      <c r="BV330" s="10">
        <f ca="1">(SUM(BV304,BV305*0,BV306)-SUM($K330:BU330))*BV$318</f>
        <v>0</v>
      </c>
      <c r="BW330" s="10">
        <f ca="1">(SUM(BW304,BW305*0,BW306)-SUM($K330:BV330))*BW$318</f>
        <v>0</v>
      </c>
      <c r="BX330" s="10">
        <f ca="1">(SUM(BX304,BX305*0,BX306)-SUM($K330:BW330))*BX$318</f>
        <v>0</v>
      </c>
      <c r="BY330" s="10">
        <f ca="1">(SUM(BY304,BY305*0,BY306)-SUM($K330:BX330))*BY$318</f>
        <v>0</v>
      </c>
      <c r="BZ330" s="10">
        <f ca="1">(SUM(BZ304,BZ305*0,BZ306)-SUM($K330:BY330))*BZ$318</f>
        <v>0</v>
      </c>
      <c r="CA330" s="10">
        <f ca="1">(SUM(CA304,CA305*0,CA306)-SUM($K330:BZ330))*CA$318</f>
        <v>0</v>
      </c>
      <c r="CB330" s="10">
        <f ca="1">(SUM(CB304,CB305*0,CB306)-SUM($K330:CA330))*CB$318</f>
        <v>0</v>
      </c>
      <c r="CC330" s="10">
        <f ca="1">(SUM(CC304,CC305*0,CC306)-SUM($K330:CB330))*CC$318</f>
        <v>0</v>
      </c>
      <c r="CD330" s="10">
        <f ca="1">(SUM(CD304,CD305*0,CD306)-SUM($K330:CC330))*CD$318</f>
        <v>0</v>
      </c>
      <c r="CE330" s="10">
        <f ca="1">(SUM(CE304,CE305*0,CE306)-SUM($K330:CD330))*CE$318</f>
        <v>0</v>
      </c>
      <c r="CF330" s="10">
        <f ca="1">(SUM(CF304,CF305*0,CF306)-SUM($K330:CE330))*CF$318</f>
        <v>0</v>
      </c>
      <c r="CG330" s="10">
        <f ca="1">(SUM(CG304,CG305*0,CG306)-SUM($K330:CF330))*CG$318</f>
        <v>0</v>
      </c>
      <c r="CH330" s="10">
        <f ca="1">(SUM(CH304,CH305*0,CH306)-SUM($K330:CG330))*CH$318</f>
        <v>0</v>
      </c>
      <c r="CI330" s="10">
        <f ca="1">(SUM(CI304,CI305*0,CI306)-SUM($K330:CH330))*CI$318</f>
        <v>0</v>
      </c>
      <c r="CJ330" s="10">
        <f ca="1">(SUM(CJ304,CJ305*0,CJ306)-SUM($K330:CI330))*CJ$318</f>
        <v>0</v>
      </c>
      <c r="CK330" s="10">
        <f ca="1">(SUM(CK304,CK305*0,CK306)-SUM($K330:CJ330))*CK$318</f>
        <v>0</v>
      </c>
      <c r="CL330" s="10">
        <f ca="1">(SUM(CL304,CL305*0,CL306)-SUM($K330:CK330))*CL$318</f>
        <v>0</v>
      </c>
      <c r="CM330" s="10">
        <f ca="1">(SUM(CM304,CM305*0,CM306)-SUM($K330:CL330))*CM$318</f>
        <v>0</v>
      </c>
      <c r="CN330" s="10">
        <f ca="1">(SUM(CN304,CN305*0,CN306)-SUM($K330:CM330))*CN$318</f>
        <v>0</v>
      </c>
      <c r="CO330" s="10">
        <f ca="1">(SUM(CO304,CO305*0,CO306)-SUM($K330:CN330))*CO$318</f>
        <v>0</v>
      </c>
    </row>
    <row r="331" spans="1:93" ht="15" thickBot="1">
      <c r="A331" s="10"/>
      <c r="B331" s="10"/>
      <c r="C331" s="21" t="s">
        <v>1193</v>
      </c>
      <c r="D331" s="10"/>
      <c r="E331" s="62"/>
      <c r="F331" s="11"/>
      <c r="G331" s="134" t="str">
        <f t="shared" si="1460"/>
        <v>тыс. руб.</v>
      </c>
      <c r="H331" s="10"/>
      <c r="I331" s="23">
        <f t="shared" si="1461"/>
        <v>255380.07450313668</v>
      </c>
      <c r="J331" s="10"/>
      <c r="K331" s="10"/>
      <c r="L331" s="10">
        <f>(SUM(L302:L303,L305)-SUM($K331:K331))*L$318</f>
        <v>0</v>
      </c>
      <c r="M331" s="10">
        <f>(SUM(M302:M303,M305)-SUM($K331:L331))*M$318</f>
        <v>0</v>
      </c>
      <c r="N331" s="10">
        <f>(SUM(N302:N303,N305)-SUM($K331:M331))*N$318</f>
        <v>0</v>
      </c>
      <c r="O331" s="10">
        <f>(SUM(O302:O303,O305)-SUM($K331:N331))*O$318</f>
        <v>0</v>
      </c>
      <c r="P331" s="10">
        <f>(SUM(P302:P303,P305)-SUM($K331:O331))*P$318</f>
        <v>0</v>
      </c>
      <c r="Q331" s="10">
        <f>(SUM(Q302:Q303,Q305)-SUM($K331:P331))*Q$318</f>
        <v>0</v>
      </c>
      <c r="R331" s="10">
        <f>(SUM(R302:R303,R305)-SUM($K331:Q331))*R$318</f>
        <v>0</v>
      </c>
      <c r="S331" s="10">
        <f>(SUM(S302:S303,S305)-SUM($K331:R331))*S$318</f>
        <v>0</v>
      </c>
      <c r="T331" s="10">
        <f>(SUM(T302:T303,T305)-SUM($K331:S331))*T$318</f>
        <v>0</v>
      </c>
      <c r="U331" s="10">
        <f>(SUM(U302:U303,U305)-SUM($K331:T331))*U$318</f>
        <v>0</v>
      </c>
      <c r="V331" s="10">
        <f>(SUM(V302:V303,V305)-SUM($K331:U331))*V$318</f>
        <v>0</v>
      </c>
      <c r="W331" s="10">
        <f>(SUM(W302:W303,W305)-SUM($K331:V331))*W$318</f>
        <v>0</v>
      </c>
      <c r="X331" s="10">
        <f>(SUM(X302:X303,X305)-SUM($K331:W331))*X$318</f>
        <v>0</v>
      </c>
      <c r="Y331" s="10">
        <f>(SUM(Y302:Y303,Y305)-SUM($K331:X331))*Y$318</f>
        <v>0</v>
      </c>
      <c r="Z331" s="10">
        <f>(SUM(Z302:Z303,Z305)-SUM($K331:Y331))*Z$318</f>
        <v>0</v>
      </c>
      <c r="AA331" s="10">
        <f>(SUM(AA302:AA303,AA305)-SUM($K331:Z331))*AA$318</f>
        <v>0</v>
      </c>
      <c r="AB331" s="10">
        <f>(SUM(AB302:AB303,AB305)-SUM($K331:AA331))*AB$318</f>
        <v>255380.07450313668</v>
      </c>
      <c r="AC331" s="10">
        <f>(SUM(AC302:AC303,AC305)-SUM($K331:AB331))*AC$318</f>
        <v>0</v>
      </c>
      <c r="AD331" s="10">
        <f>(SUM(AD302:AD303,AD305)-SUM($K331:AC331))*AD$318</f>
        <v>0</v>
      </c>
      <c r="AE331" s="10">
        <f>(SUM(AE302:AE303,AE305)-SUM($K331:AD331))*AE$318</f>
        <v>0</v>
      </c>
      <c r="AF331" s="10">
        <f>(SUM(AF302:AF303,AF305)-SUM($K331:AE331))*AF$318</f>
        <v>0</v>
      </c>
      <c r="AG331" s="10">
        <f>(SUM(AG302:AG303,AG305)-SUM($K331:AF331))*AG$318</f>
        <v>0</v>
      </c>
      <c r="AH331" s="10">
        <f>(SUM(AH302:AH303,AH305)-SUM($K331:AG331))*AH$318</f>
        <v>0</v>
      </c>
      <c r="AI331" s="10">
        <f>(SUM(AI302:AI303,AI305)-SUM($K331:AH331))*AI$318</f>
        <v>0</v>
      </c>
      <c r="AJ331" s="10">
        <f>(SUM(AJ302:AJ303,AJ305)-SUM($K331:AI331))*AJ$318</f>
        <v>0</v>
      </c>
      <c r="AK331" s="10">
        <f>(SUM(AK302:AK303,AK305)-SUM($K331:AJ331))*AK$318</f>
        <v>0</v>
      </c>
      <c r="AL331" s="10">
        <f>(SUM(AL302:AL303,AL305)-SUM($K331:AK331))*AL$318</f>
        <v>0</v>
      </c>
      <c r="AM331" s="10">
        <f>(SUM(AM302:AM303,AM305)-SUM($K331:AL331))*AM$318</f>
        <v>0</v>
      </c>
      <c r="AN331" s="10">
        <f>(SUM(AN302:AN303,AN305)-SUM($K331:AM331))*AN$318</f>
        <v>0</v>
      </c>
      <c r="AO331" s="10">
        <f>(SUM(AO302:AO303,AO305)-SUM($K331:AN331))*AO$318</f>
        <v>0</v>
      </c>
      <c r="AP331" s="10">
        <f>(SUM(AP302:AP303,AP305)-SUM($K331:AO331))*AP$318</f>
        <v>0</v>
      </c>
      <c r="AQ331" s="10">
        <f>(SUM(AQ302:AQ303,AQ305)-SUM($K331:AP331))*AQ$318</f>
        <v>0</v>
      </c>
      <c r="AR331" s="10">
        <f>(SUM(AR302:AR303,AR305)-SUM($K331:AQ331))*AR$318</f>
        <v>0</v>
      </c>
      <c r="AS331" s="10">
        <f>(SUM(AS302:AS303,AS305)-SUM($K331:AR331))*AS$318</f>
        <v>0</v>
      </c>
      <c r="AT331" s="10">
        <f>(SUM(AT302:AT303,AT305)-SUM($K331:AS331))*AT$318</f>
        <v>0</v>
      </c>
      <c r="AU331" s="10">
        <f>(SUM(AU302:AU303,AU305)-SUM($K331:AT331))*AU$318</f>
        <v>0</v>
      </c>
      <c r="AV331" s="10">
        <f>(SUM(AV302:AV303,AV305)-SUM($K331:AU331))*AV$318</f>
        <v>0</v>
      </c>
      <c r="AW331" s="10">
        <f>(SUM(AW302:AW303,AW305)-SUM($K331:AV331))*AW$318</f>
        <v>0</v>
      </c>
      <c r="AX331" s="10">
        <f>(SUM(AX302:AX303,AX305)-SUM($K331:AW331))*AX$318</f>
        <v>0</v>
      </c>
      <c r="AY331" s="10">
        <f>(SUM(AY302:AY303,AY305)-SUM($K331:AX331))*AY$318</f>
        <v>0</v>
      </c>
      <c r="AZ331" s="10">
        <f>(SUM(AZ302:AZ303,AZ305)-SUM($K331:AY331))*AZ$318</f>
        <v>0</v>
      </c>
      <c r="BA331" s="10">
        <f>(SUM(BA302:BA303,BA305)-SUM($K331:AZ331))*BA$318</f>
        <v>0</v>
      </c>
      <c r="BB331" s="10">
        <f>(SUM(BB302:BB303,BB305)-SUM($K331:BA331))*BB$318</f>
        <v>0</v>
      </c>
      <c r="BC331" s="10">
        <f>(SUM(BC302:BC303,BC305)-SUM($K331:BB331))*BC$318</f>
        <v>0</v>
      </c>
      <c r="BD331" s="10">
        <f>(SUM(BD302:BD303,BD305)-SUM($K331:BC331))*BD$318</f>
        <v>0</v>
      </c>
      <c r="BE331" s="10">
        <f>(SUM(BE302:BE303,BE305)-SUM($K331:BD331))*BE$318</f>
        <v>0</v>
      </c>
      <c r="BF331" s="10">
        <f>(SUM(BF302:BF303,BF305)-SUM($K331:BE331))*BF$318</f>
        <v>0</v>
      </c>
      <c r="BG331" s="10">
        <f>(SUM(BG302:BG303,BG305)-SUM($K331:BF331))*BG$318</f>
        <v>0</v>
      </c>
      <c r="BH331" s="10">
        <f>(SUM(BH302:BH303,BH305)-SUM($K331:BG331))*BH$318</f>
        <v>0</v>
      </c>
      <c r="BI331" s="10">
        <f>(SUM(BI302:BI303,BI305)-SUM($K331:BH331))*BI$318</f>
        <v>0</v>
      </c>
      <c r="BJ331" s="10">
        <f>(SUM(BJ302:BJ303,BJ305)-SUM($K331:BI331))*BJ$318</f>
        <v>0</v>
      </c>
      <c r="BK331" s="10">
        <f>(SUM(BK302:BK303,BK305)-SUM($K331:BJ331))*BK$318</f>
        <v>0</v>
      </c>
      <c r="BL331" s="10">
        <f>(SUM(BL302:BL303,BL305)-SUM($K331:BK331))*BL$318</f>
        <v>0</v>
      </c>
      <c r="BM331" s="10">
        <f>(SUM(BM302:BM303,BM305)-SUM($K331:BL331))*BM$318</f>
        <v>0</v>
      </c>
      <c r="BN331" s="10">
        <f>(SUM(BN302:BN303,BN305)-SUM($K331:BM331))*BN$318</f>
        <v>0</v>
      </c>
      <c r="BO331" s="10">
        <f>(SUM(BO302:BO303,BO305)-SUM($K331:BN331))*BO$318</f>
        <v>0</v>
      </c>
      <c r="BP331" s="10">
        <f>(SUM(BP302:BP303,BP305)-SUM($K331:BO331))*BP$318</f>
        <v>0</v>
      </c>
      <c r="BQ331" s="10">
        <f>(SUM(BQ302:BQ303,BQ305)-SUM($K331:BP331))*BQ$318</f>
        <v>0</v>
      </c>
      <c r="BR331" s="10">
        <f>(SUM(BR302:BR303,BR305)-SUM($K331:BQ331))*BR$318</f>
        <v>0</v>
      </c>
      <c r="BS331" s="10">
        <f>(SUM(BS302:BS303,BS305)-SUM($K331:BR331))*BS$318</f>
        <v>0</v>
      </c>
      <c r="BT331" s="10">
        <f>(SUM(BT302:BT303,BT305)-SUM($K331:BS331))*BT$318</f>
        <v>0</v>
      </c>
      <c r="BU331" s="10">
        <f>(SUM(BU302:BU303,BU305)-SUM($K331:BT331))*BU$318</f>
        <v>0</v>
      </c>
      <c r="BV331" s="10">
        <f>(SUM(BV302:BV303,BV305)-SUM($K331:BU331))*BV$318</f>
        <v>0</v>
      </c>
      <c r="BW331" s="10">
        <f>(SUM(BW302:BW303,BW305)-SUM($K331:BV331))*BW$318</f>
        <v>0</v>
      </c>
      <c r="BX331" s="10">
        <f>(SUM(BX302:BX303,BX305)-SUM($K331:BW331))*BX$318</f>
        <v>0</v>
      </c>
      <c r="BY331" s="10">
        <f>(SUM(BY302:BY303,BY305)-SUM($K331:BX331))*BY$318</f>
        <v>0</v>
      </c>
      <c r="BZ331" s="10">
        <f>(SUM(BZ302:BZ303,BZ305)-SUM($K331:BY331))*BZ$318</f>
        <v>0</v>
      </c>
      <c r="CA331" s="10">
        <f>(SUM(CA302:CA303,CA305)-SUM($K331:BZ331))*CA$318</f>
        <v>0</v>
      </c>
      <c r="CB331" s="10">
        <f>(SUM(CB302:CB303,CB305)-SUM($K331:CA331))*CB$318</f>
        <v>0</v>
      </c>
      <c r="CC331" s="10">
        <f>(SUM(CC302:CC303,CC305)-SUM($K331:CB331))*CC$318</f>
        <v>0</v>
      </c>
      <c r="CD331" s="10">
        <f>(SUM(CD302:CD303,CD305)-SUM($K331:CC331))*CD$318</f>
        <v>0</v>
      </c>
      <c r="CE331" s="10">
        <f>(SUM(CE302:CE303,CE305)-SUM($K331:CD331))*CE$318</f>
        <v>0</v>
      </c>
      <c r="CF331" s="10">
        <f>(SUM(CF302:CF303,CF305)-SUM($K331:CE331))*CF$318</f>
        <v>0</v>
      </c>
      <c r="CG331" s="10">
        <f>(SUM(CG302:CG303,CG305)-SUM($K331:CF331))*CG$318</f>
        <v>0</v>
      </c>
      <c r="CH331" s="10">
        <f>(SUM(CH302:CH303,CH305)-SUM($K331:CG331))*CH$318</f>
        <v>0</v>
      </c>
      <c r="CI331" s="10">
        <f>(SUM(CI302:CI303,CI305)-SUM($K331:CH331))*CI$318</f>
        <v>0</v>
      </c>
      <c r="CJ331" s="10">
        <f>(SUM(CJ302:CJ303,CJ305)-SUM($K331:CI331))*CJ$318</f>
        <v>0</v>
      </c>
      <c r="CK331" s="10">
        <f>(SUM(CK302:CK303,CK305)-SUM($K331:CJ331))*CK$318</f>
        <v>0</v>
      </c>
      <c r="CL331" s="10">
        <f>(SUM(CL302:CL303,CL305)-SUM($K331:CK331))*CL$318</f>
        <v>0</v>
      </c>
      <c r="CM331" s="10">
        <f>(SUM(CM302:CM303,CM305)-SUM($K331:CL331))*CM$318</f>
        <v>0</v>
      </c>
      <c r="CN331" s="10">
        <f>(SUM(CN302:CN303,CN305)-SUM($K331:CM331))*CN$318</f>
        <v>0</v>
      </c>
      <c r="CO331" s="10">
        <f>(SUM(CO302:CO303,CO305)-SUM($K331:CN331))*CO$318</f>
        <v>0</v>
      </c>
    </row>
    <row r="332" spans="1:93" ht="15" thickTop="1">
      <c r="A332" s="35"/>
      <c r="B332" s="35"/>
      <c r="C332" s="49" t="s">
        <v>349</v>
      </c>
      <c r="D332" s="49"/>
      <c r="E332" s="49"/>
      <c r="F332" s="49"/>
      <c r="G332" s="159" t="str">
        <f t="shared" si="1460"/>
        <v>тыс. руб.</v>
      </c>
      <c r="H332" s="49"/>
      <c r="I332" s="49"/>
      <c r="J332" s="49"/>
      <c r="K332" s="49"/>
      <c r="L332" s="49">
        <f ca="1" xml:space="preserve"> (SUM(L289,L307)-SUM($L320:L331))*Flag_Financial_Model</f>
        <v>26171.794482739097</v>
      </c>
      <c r="M332" s="49">
        <f ca="1" xml:space="preserve"> (SUM(M289,M307)-SUM($L320:M331))*Flag_Financial_Model</f>
        <v>52715.094641495372</v>
      </c>
      <c r="N332" s="49">
        <f ca="1" xml:space="preserve"> (SUM(N289,N307)-SUM($L320:N331))*Flag_Financial_Model</f>
        <v>79635.173957512321</v>
      </c>
      <c r="O332" s="49">
        <f ca="1" xml:space="preserve"> (SUM(O289,O307)-SUM($L320:O331))*Flag_Financial_Model</f>
        <v>106937.38076850591</v>
      </c>
      <c r="P332" s="49">
        <f ca="1" xml:space="preserve"> (SUM(P289,P307)-SUM($L320:P331))*Flag_Financial_Model</f>
        <v>336596.9356085019</v>
      </c>
      <c r="Q332" s="49">
        <f ca="1" xml:space="preserve"> (SUM(Q289,Q307)-SUM($L320:Q331))*Flag_Financial_Model</f>
        <v>568519.41941019159</v>
      </c>
      <c r="R332" s="49">
        <f ca="1" xml:space="preserve"> (SUM(R289,R307)-SUM($L320:R331))*Flag_Financial_Model</f>
        <v>802727.12973262591</v>
      </c>
      <c r="S332" s="49">
        <f ca="1" xml:space="preserve"> (SUM(S289,S307)-SUM($L320:S331))*Flag_Financial_Model</f>
        <v>1039981.5755842461</v>
      </c>
      <c r="T332" s="49">
        <f ca="1" xml:space="preserve"> (SUM(T289,T307)-SUM($L320:T331))*Flag_Financial_Model</f>
        <v>1285408.1669654888</v>
      </c>
      <c r="U332" s="49">
        <f ca="1" xml:space="preserve"> (SUM(U289,U307)-SUM($L320:U331))*Flag_Financial_Model</f>
        <v>1537032.3787520721</v>
      </c>
      <c r="V332" s="49">
        <f ca="1" xml:space="preserve"> (SUM(V289,V307)-SUM($L320:V331))*Flag_Financial_Model</f>
        <v>1794997.8468287627</v>
      </c>
      <c r="W332" s="49">
        <f ca="1" xml:space="preserve"> (SUM(W289,W307)-SUM($L320:W331))*Flag_Financial_Model</f>
        <v>2059251.3668233838</v>
      </c>
      <c r="X332" s="49">
        <f ca="1" xml:space="preserve"> (SUM(X289,X307)-SUM($L320:X331))*Flag_Financial_Model</f>
        <v>2602152.558087172</v>
      </c>
      <c r="Y332" s="49">
        <f ca="1" xml:space="preserve"> (SUM(Y289,Y307)-SUM($L320:Y331))*Flag_Financial_Model</f>
        <v>3158333.4548626374</v>
      </c>
      <c r="Z332" s="49">
        <f ca="1" xml:space="preserve"> (SUM(Z289,Z307)-SUM($L320:Z331))*Flag_Financial_Model</f>
        <v>3728370.5958277197</v>
      </c>
      <c r="AA332" s="49">
        <f ca="1" xml:space="preserve"> (SUM(AA289,AA307)-SUM($L320:AA331))*Flag_Financial_Model</f>
        <v>4312041.9697759915</v>
      </c>
      <c r="AB332" s="49">
        <f ca="1" xml:space="preserve"> (SUM(AB289,AB307)-SUM($L320:AB331))*Flag_Financial_Model</f>
        <v>0</v>
      </c>
      <c r="AC332" s="49">
        <f ca="1" xml:space="preserve"> (SUM(AC289,AC307)-SUM($L320:AC331))*Flag_Financial_Model</f>
        <v>0</v>
      </c>
      <c r="AD332" s="49">
        <f ca="1" xml:space="preserve"> (SUM(AD289,AD307)-SUM($L320:AD331))*Flag_Financial_Model</f>
        <v>0</v>
      </c>
      <c r="AE332" s="49">
        <f ca="1" xml:space="preserve"> (SUM(AE289,AE307)-SUM($L320:AE331))*Flag_Financial_Model</f>
        <v>0</v>
      </c>
      <c r="AF332" s="49">
        <f ca="1" xml:space="preserve"> (SUM(AF289,AF307)-SUM($L320:AF331))*Flag_Financial_Model</f>
        <v>0</v>
      </c>
      <c r="AG332" s="49">
        <f ca="1" xml:space="preserve"> (SUM(AG289,AG307)-SUM($L320:AG331))*Flag_Financial_Model</f>
        <v>0</v>
      </c>
      <c r="AH332" s="49">
        <f ca="1" xml:space="preserve"> (SUM(AH289,AH307)-SUM($L320:AH331))*Flag_Financial_Model</f>
        <v>0</v>
      </c>
      <c r="AI332" s="49">
        <f ca="1" xml:space="preserve"> (SUM(AI289,AI307)-SUM($L320:AI331))*Flag_Financial_Model</f>
        <v>0</v>
      </c>
      <c r="AJ332" s="49">
        <f ca="1" xml:space="preserve"> (SUM(AJ289,AJ307)-SUM($L320:AJ331))*Flag_Financial_Model</f>
        <v>0</v>
      </c>
      <c r="AK332" s="49">
        <f ca="1" xml:space="preserve"> (SUM(AK289,AK307)-SUM($L320:AK331))*Flag_Financial_Model</f>
        <v>0</v>
      </c>
      <c r="AL332" s="49">
        <f ca="1" xml:space="preserve"> (SUM(AL289,AL307)-SUM($L320:AL331))*Flag_Financial_Model</f>
        <v>0</v>
      </c>
      <c r="AM332" s="49">
        <f ca="1" xml:space="preserve"> (SUM(AM289,AM307)-SUM($L320:AM331))*Flag_Financial_Model</f>
        <v>0</v>
      </c>
      <c r="AN332" s="49">
        <f ca="1" xml:space="preserve"> (SUM(AN289,AN307)-SUM($L320:AN331))*Flag_Financial_Model</f>
        <v>0</v>
      </c>
      <c r="AO332" s="49">
        <f ca="1" xml:space="preserve"> (SUM(AO289,AO307)-SUM($L320:AO331))*Flag_Financial_Model</f>
        <v>0</v>
      </c>
      <c r="AP332" s="49">
        <f ca="1" xml:space="preserve"> (SUM(AP289,AP307)-SUM($L320:AP331))*Flag_Financial_Model</f>
        <v>0</v>
      </c>
      <c r="AQ332" s="49">
        <f ca="1" xml:space="preserve"> (SUM(AQ289,AQ307)-SUM($L320:AQ331))*Flag_Financial_Model</f>
        <v>0</v>
      </c>
      <c r="AR332" s="49">
        <f ca="1" xml:space="preserve"> (SUM(AR289,AR307)-SUM($L320:AR331))*Flag_Financial_Model</f>
        <v>0</v>
      </c>
      <c r="AS332" s="49">
        <f ca="1" xml:space="preserve"> (SUM(AS289,AS307)-SUM($L320:AS331))*Flag_Financial_Model</f>
        <v>0</v>
      </c>
      <c r="AT332" s="49">
        <f ca="1" xml:space="preserve"> (SUM(AT289,AT307)-SUM($L320:AT331))*Flag_Financial_Model</f>
        <v>0</v>
      </c>
      <c r="AU332" s="49">
        <f ca="1" xml:space="preserve"> (SUM(AU289,AU307)-SUM($L320:AU331))*Flag_Financial_Model</f>
        <v>0</v>
      </c>
      <c r="AV332" s="49">
        <f ca="1" xml:space="preserve"> (SUM(AV289,AV307)-SUM($L320:AV331))*Flag_Financial_Model</f>
        <v>0</v>
      </c>
      <c r="AW332" s="49">
        <f ca="1" xml:space="preserve"> (SUM(AW289,AW307)-SUM($L320:AW331))*Flag_Financial_Model</f>
        <v>0</v>
      </c>
      <c r="AX332" s="49">
        <f ca="1" xml:space="preserve"> (SUM(AX289,AX307)-SUM($L320:AX331))*Flag_Financial_Model</f>
        <v>0</v>
      </c>
      <c r="AY332" s="49">
        <f ca="1" xml:space="preserve"> (SUM(AY289,AY307)-SUM($L320:AY331))*Flag_Financial_Model</f>
        <v>0</v>
      </c>
      <c r="AZ332" s="49">
        <f ca="1" xml:space="preserve"> (SUM(AZ289,AZ307)-SUM($L320:AZ331))*Flag_Financial_Model</f>
        <v>0</v>
      </c>
      <c r="BA332" s="49">
        <f ca="1" xml:space="preserve"> (SUM(BA289,BA307)-SUM($L320:BA331))*Flag_Financial_Model</f>
        <v>0</v>
      </c>
      <c r="BB332" s="49">
        <f ca="1" xml:space="preserve"> (SUM(BB289,BB307)-SUM($L320:BB331))*Flag_Financial_Model</f>
        <v>0</v>
      </c>
      <c r="BC332" s="49">
        <f ca="1" xml:space="preserve"> (SUM(BC289,BC307)-SUM($L320:BC331))*Flag_Financial_Model</f>
        <v>0</v>
      </c>
      <c r="BD332" s="49">
        <f ca="1" xml:space="preserve"> (SUM(BD289,BD307)-SUM($L320:BD331))*Flag_Financial_Model</f>
        <v>0</v>
      </c>
      <c r="BE332" s="49">
        <f ca="1" xml:space="preserve"> (SUM(BE289,BE307)-SUM($L320:BE331))*Flag_Financial_Model</f>
        <v>0</v>
      </c>
      <c r="BF332" s="49">
        <f ca="1" xml:space="preserve"> (SUM(BF289,BF307)-SUM($L320:BF331))*Flag_Financial_Model</f>
        <v>0</v>
      </c>
      <c r="BG332" s="49">
        <f ca="1" xml:space="preserve"> (SUM(BG289,BG307)-SUM($L320:BG331))*Flag_Financial_Model</f>
        <v>0</v>
      </c>
      <c r="BH332" s="49">
        <f ca="1" xml:space="preserve"> (SUM(BH289,BH307)-SUM($L320:BH331))*Flag_Financial_Model</f>
        <v>0</v>
      </c>
      <c r="BI332" s="49">
        <f ca="1" xml:space="preserve"> (SUM(BI289,BI307)-SUM($L320:BI331))*Flag_Financial_Model</f>
        <v>0</v>
      </c>
      <c r="BJ332" s="49">
        <f ca="1" xml:space="preserve"> (SUM(BJ289,BJ307)-SUM($L320:BJ331))*Flag_Financial_Model</f>
        <v>0</v>
      </c>
      <c r="BK332" s="49">
        <f ca="1" xml:space="preserve"> (SUM(BK289,BK307)-SUM($L320:BK331))*Flag_Financial_Model</f>
        <v>0</v>
      </c>
      <c r="BL332" s="49">
        <f ca="1" xml:space="preserve"> (SUM(BL289,BL307)-SUM($L320:BL331))*Flag_Financial_Model</f>
        <v>0</v>
      </c>
      <c r="BM332" s="49">
        <f ca="1" xml:space="preserve"> (SUM(BM289,BM307)-SUM($L320:BM331))*Flag_Financial_Model</f>
        <v>0</v>
      </c>
      <c r="BN332" s="49">
        <f ca="1" xml:space="preserve"> (SUM(BN289,BN307)-SUM($L320:BN331))*Flag_Financial_Model</f>
        <v>0</v>
      </c>
      <c r="BO332" s="49">
        <f ca="1" xml:space="preserve"> (SUM(BO289,BO307)-SUM($L320:BO331))*Flag_Financial_Model</f>
        <v>0</v>
      </c>
      <c r="BP332" s="49">
        <f ca="1" xml:space="preserve"> (SUM(BP289,BP307)-SUM($L320:BP331))*Flag_Financial_Model</f>
        <v>0</v>
      </c>
      <c r="BQ332" s="49">
        <f ca="1" xml:space="preserve"> (SUM(BQ289,BQ307)-SUM($L320:BQ331))*Flag_Financial_Model</f>
        <v>0</v>
      </c>
      <c r="BR332" s="49">
        <f ca="1" xml:space="preserve"> (SUM(BR289,BR307)-SUM($L320:BR331))*Flag_Financial_Model</f>
        <v>0</v>
      </c>
      <c r="BS332" s="49">
        <f ca="1" xml:space="preserve"> (SUM(BS289,BS307)-SUM($L320:BS331))*Flag_Financial_Model</f>
        <v>0</v>
      </c>
      <c r="BT332" s="49">
        <f ca="1" xml:space="preserve"> (SUM(BT289,BT307)-SUM($L320:BT331))*Flag_Financial_Model</f>
        <v>0</v>
      </c>
      <c r="BU332" s="49">
        <f ca="1" xml:space="preserve"> (SUM(BU289,BU307)-SUM($L320:BU331))*Flag_Financial_Model</f>
        <v>0</v>
      </c>
      <c r="BV332" s="49">
        <f ca="1" xml:space="preserve"> (SUM(BV289,BV307)-SUM($L320:BV331))*Flag_Financial_Model</f>
        <v>0</v>
      </c>
      <c r="BW332" s="49">
        <f ca="1" xml:space="preserve"> (SUM(BW289,BW307)-SUM($L320:BW331))*Flag_Financial_Model</f>
        <v>0</v>
      </c>
      <c r="BX332" s="49">
        <f ca="1" xml:space="preserve"> (SUM(BX289,BX307)-SUM($L320:BX331))*Flag_Financial_Model</f>
        <v>0</v>
      </c>
      <c r="BY332" s="49">
        <f ca="1" xml:space="preserve"> (SUM(BY289,BY307)-SUM($L320:BY331))*Flag_Financial_Model</f>
        <v>0</v>
      </c>
      <c r="BZ332" s="49">
        <f ca="1" xml:space="preserve"> (SUM(BZ289,BZ307)-SUM($L320:BZ331))*Flag_Financial_Model</f>
        <v>0</v>
      </c>
      <c r="CA332" s="49">
        <f ca="1" xml:space="preserve"> (SUM(CA289,CA307)-SUM($L320:CA331))*Flag_Financial_Model</f>
        <v>0</v>
      </c>
      <c r="CB332" s="49">
        <f ca="1" xml:space="preserve"> (SUM(CB289,CB307)-SUM($L320:CB331))*Flag_Financial_Model</f>
        <v>0</v>
      </c>
      <c r="CC332" s="49">
        <f ca="1" xml:space="preserve"> (SUM(CC289,CC307)-SUM($L320:CC331))*Flag_Financial_Model</f>
        <v>0</v>
      </c>
      <c r="CD332" s="49">
        <f ca="1" xml:space="preserve"> (SUM(CD289,CD307)-SUM($L320:CD331))*Flag_Financial_Model</f>
        <v>0</v>
      </c>
      <c r="CE332" s="49">
        <f ca="1" xml:space="preserve"> (SUM(CE289,CE307)-SUM($L320:CE331))*Flag_Financial_Model</f>
        <v>0</v>
      </c>
      <c r="CF332" s="49">
        <f ca="1" xml:space="preserve"> (SUM(CF289,CF307)-SUM($L320:CF331))*Flag_Financial_Model</f>
        <v>0</v>
      </c>
      <c r="CG332" s="49">
        <f ca="1" xml:space="preserve"> (SUM(CG289,CG307)-SUM($L320:CG331))*Flag_Financial_Model</f>
        <v>0</v>
      </c>
      <c r="CH332" s="49">
        <f ca="1" xml:space="preserve"> (SUM(CH289,CH307)-SUM($L320:CH331))*Flag_Financial_Model</f>
        <v>0</v>
      </c>
      <c r="CI332" s="49">
        <f ca="1" xml:space="preserve"> (SUM(CI289,CI307)-SUM($L320:CI331))*Flag_Financial_Model</f>
        <v>0</v>
      </c>
      <c r="CJ332" s="49">
        <f ca="1" xml:space="preserve"> (SUM(CJ289,CJ307)-SUM($L320:CJ331))*Flag_Financial_Model</f>
        <v>0</v>
      </c>
      <c r="CK332" s="49">
        <f ca="1" xml:space="preserve"> (SUM(CK289,CK307)-SUM($L320:CK331))*Flag_Financial_Model</f>
        <v>0</v>
      </c>
      <c r="CL332" s="49">
        <f ca="1" xml:space="preserve"> (SUM(CL289,CL307)-SUM($L320:CL331))*Flag_Financial_Model</f>
        <v>0</v>
      </c>
      <c r="CM332" s="49">
        <f ca="1" xml:space="preserve"> (SUM(CM289,CM307)-SUM($L320:CM331))*Flag_Financial_Model</f>
        <v>0</v>
      </c>
      <c r="CN332" s="49">
        <f ca="1" xml:space="preserve"> (SUM(CN289,CN307)-SUM($L320:CN331))*Flag_Financial_Model</f>
        <v>0</v>
      </c>
      <c r="CO332" s="49">
        <f ca="1" xml:space="preserve"> (SUM(CO289,CO307)-SUM($L320:CO331))*Flag_Financial_Model</f>
        <v>0</v>
      </c>
    </row>
    <row r="333" spans="1:93">
      <c r="A333" s="10"/>
      <c r="B333" s="10"/>
      <c r="C333" s="10"/>
      <c r="D333" s="10"/>
      <c r="E333" s="62"/>
      <c r="F333" s="11"/>
      <c r="G333" s="11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</row>
    <row r="334" spans="1:93">
      <c r="A334" s="77"/>
      <c r="B334" s="10"/>
      <c r="C334" s="17" t="s">
        <v>204</v>
      </c>
      <c r="D334" s="10"/>
      <c r="E334" s="62"/>
      <c r="F334" s="11"/>
      <c r="G334" s="134" t="str">
        <f>Monetary_Unit</f>
        <v>тыс. руб.</v>
      </c>
      <c r="H334" s="10"/>
      <c r="I334" s="23">
        <f ca="1">SUM(L334:CO334)</f>
        <v>4808399.504779838</v>
      </c>
      <c r="J334" s="10"/>
      <c r="K334" s="10"/>
      <c r="L334" s="10">
        <f ca="1">SUM(L265:L272)</f>
        <v>26171.794482739097</v>
      </c>
      <c r="M334" s="10">
        <f t="shared" ref="M334:BX334" ca="1" si="1464">SUM(M265:M272)</f>
        <v>26543.300158756276</v>
      </c>
      <c r="N334" s="10">
        <f t="shared" ca="1" si="1464"/>
        <v>26920.079316016938</v>
      </c>
      <c r="O334" s="10">
        <f t="shared" ca="1" si="1464"/>
        <v>27302.20681099359</v>
      </c>
      <c r="P334" s="10">
        <f t="shared" ca="1" si="1464"/>
        <v>229659.55483999598</v>
      </c>
      <c r="Q334" s="10">
        <f t="shared" ca="1" si="1464"/>
        <v>231922.48380168967</v>
      </c>
      <c r="R334" s="10">
        <f t="shared" ca="1" si="1464"/>
        <v>234207.71032243437</v>
      </c>
      <c r="S334" s="10">
        <f t="shared" ca="1" si="1464"/>
        <v>236515.4541091444</v>
      </c>
      <c r="T334" s="10">
        <f t="shared" ca="1" si="1464"/>
        <v>238845.93703359578</v>
      </c>
      <c r="U334" s="10">
        <f t="shared" ca="1" si="1464"/>
        <v>241199.38315375723</v>
      </c>
      <c r="V334" s="10">
        <f t="shared" ca="1" si="1464"/>
        <v>243576.01873533166</v>
      </c>
      <c r="W334" s="10">
        <f t="shared" ca="1" si="1464"/>
        <v>245976.07227351013</v>
      </c>
      <c r="X334" s="10">
        <f t="shared" ca="1" si="1464"/>
        <v>518760.33442500979</v>
      </c>
      <c r="Y334" s="10">
        <f t="shared" ca="1" si="1464"/>
        <v>523871.89090157847</v>
      </c>
      <c r="Z334" s="10">
        <f t="shared" ca="1" si="1464"/>
        <v>529033.81362220866</v>
      </c>
      <c r="AA334" s="10">
        <f t="shared" ca="1" si="1464"/>
        <v>534246.59886597947</v>
      </c>
      <c r="AB334" s="10">
        <f t="shared" ca="1" si="1464"/>
        <v>693646.87192709628</v>
      </c>
      <c r="AC334" s="10">
        <f t="shared" ca="1" si="1464"/>
        <v>0</v>
      </c>
      <c r="AD334" s="10">
        <f t="shared" ca="1" si="1464"/>
        <v>0</v>
      </c>
      <c r="AE334" s="10">
        <f t="shared" ca="1" si="1464"/>
        <v>0</v>
      </c>
      <c r="AF334" s="10">
        <f t="shared" ca="1" si="1464"/>
        <v>0</v>
      </c>
      <c r="AG334" s="10">
        <f t="shared" ca="1" si="1464"/>
        <v>0</v>
      </c>
      <c r="AH334" s="10">
        <f t="shared" ca="1" si="1464"/>
        <v>0</v>
      </c>
      <c r="AI334" s="10">
        <f t="shared" ca="1" si="1464"/>
        <v>0</v>
      </c>
      <c r="AJ334" s="10">
        <f t="shared" ca="1" si="1464"/>
        <v>0</v>
      </c>
      <c r="AK334" s="10">
        <f t="shared" ca="1" si="1464"/>
        <v>0</v>
      </c>
      <c r="AL334" s="10">
        <f t="shared" ca="1" si="1464"/>
        <v>0</v>
      </c>
      <c r="AM334" s="10">
        <f t="shared" ca="1" si="1464"/>
        <v>0</v>
      </c>
      <c r="AN334" s="10">
        <f t="shared" ca="1" si="1464"/>
        <v>0</v>
      </c>
      <c r="AO334" s="10">
        <f t="shared" ca="1" si="1464"/>
        <v>0</v>
      </c>
      <c r="AP334" s="10">
        <f t="shared" ca="1" si="1464"/>
        <v>0</v>
      </c>
      <c r="AQ334" s="10">
        <f t="shared" ca="1" si="1464"/>
        <v>0</v>
      </c>
      <c r="AR334" s="10">
        <f t="shared" ca="1" si="1464"/>
        <v>0</v>
      </c>
      <c r="AS334" s="10">
        <f t="shared" ca="1" si="1464"/>
        <v>0</v>
      </c>
      <c r="AT334" s="10">
        <f t="shared" ca="1" si="1464"/>
        <v>0</v>
      </c>
      <c r="AU334" s="10">
        <f t="shared" ca="1" si="1464"/>
        <v>0</v>
      </c>
      <c r="AV334" s="10">
        <f t="shared" ca="1" si="1464"/>
        <v>0</v>
      </c>
      <c r="AW334" s="10">
        <f t="shared" ca="1" si="1464"/>
        <v>0</v>
      </c>
      <c r="AX334" s="10">
        <f t="shared" ca="1" si="1464"/>
        <v>0</v>
      </c>
      <c r="AY334" s="10">
        <f t="shared" ca="1" si="1464"/>
        <v>0</v>
      </c>
      <c r="AZ334" s="10">
        <f t="shared" ca="1" si="1464"/>
        <v>0</v>
      </c>
      <c r="BA334" s="10">
        <f t="shared" ca="1" si="1464"/>
        <v>0</v>
      </c>
      <c r="BB334" s="10">
        <f t="shared" ca="1" si="1464"/>
        <v>0</v>
      </c>
      <c r="BC334" s="10">
        <f t="shared" ca="1" si="1464"/>
        <v>0</v>
      </c>
      <c r="BD334" s="10">
        <f t="shared" ca="1" si="1464"/>
        <v>0</v>
      </c>
      <c r="BE334" s="10">
        <f t="shared" ca="1" si="1464"/>
        <v>0</v>
      </c>
      <c r="BF334" s="10">
        <f t="shared" ca="1" si="1464"/>
        <v>0</v>
      </c>
      <c r="BG334" s="10">
        <f t="shared" ca="1" si="1464"/>
        <v>0</v>
      </c>
      <c r="BH334" s="10">
        <f t="shared" ca="1" si="1464"/>
        <v>0</v>
      </c>
      <c r="BI334" s="10">
        <f t="shared" ca="1" si="1464"/>
        <v>0</v>
      </c>
      <c r="BJ334" s="10">
        <f t="shared" ca="1" si="1464"/>
        <v>0</v>
      </c>
      <c r="BK334" s="10">
        <f t="shared" ca="1" si="1464"/>
        <v>0</v>
      </c>
      <c r="BL334" s="10">
        <f t="shared" ca="1" si="1464"/>
        <v>0</v>
      </c>
      <c r="BM334" s="10">
        <f t="shared" ca="1" si="1464"/>
        <v>0</v>
      </c>
      <c r="BN334" s="10">
        <f t="shared" ca="1" si="1464"/>
        <v>0</v>
      </c>
      <c r="BO334" s="10">
        <f t="shared" ca="1" si="1464"/>
        <v>0</v>
      </c>
      <c r="BP334" s="10">
        <f t="shared" ca="1" si="1464"/>
        <v>0</v>
      </c>
      <c r="BQ334" s="10">
        <f t="shared" ca="1" si="1464"/>
        <v>0</v>
      </c>
      <c r="BR334" s="10">
        <f t="shared" ca="1" si="1464"/>
        <v>0</v>
      </c>
      <c r="BS334" s="10">
        <f t="shared" ca="1" si="1464"/>
        <v>0</v>
      </c>
      <c r="BT334" s="10">
        <f t="shared" ca="1" si="1464"/>
        <v>0</v>
      </c>
      <c r="BU334" s="10">
        <f t="shared" ca="1" si="1464"/>
        <v>0</v>
      </c>
      <c r="BV334" s="10">
        <f t="shared" ca="1" si="1464"/>
        <v>0</v>
      </c>
      <c r="BW334" s="10">
        <f t="shared" ca="1" si="1464"/>
        <v>0</v>
      </c>
      <c r="BX334" s="10">
        <f t="shared" ca="1" si="1464"/>
        <v>0</v>
      </c>
      <c r="BY334" s="10">
        <f t="shared" ref="BY334:CO334" ca="1" si="1465">SUM(BY265:BY272)</f>
        <v>0</v>
      </c>
      <c r="BZ334" s="10">
        <f t="shared" ca="1" si="1465"/>
        <v>0</v>
      </c>
      <c r="CA334" s="10">
        <f t="shared" ca="1" si="1465"/>
        <v>0</v>
      </c>
      <c r="CB334" s="10">
        <f t="shared" ca="1" si="1465"/>
        <v>0</v>
      </c>
      <c r="CC334" s="10">
        <f t="shared" ca="1" si="1465"/>
        <v>0</v>
      </c>
      <c r="CD334" s="10">
        <f t="shared" ca="1" si="1465"/>
        <v>0</v>
      </c>
      <c r="CE334" s="10">
        <f t="shared" ca="1" si="1465"/>
        <v>0</v>
      </c>
      <c r="CF334" s="10">
        <f t="shared" ca="1" si="1465"/>
        <v>0</v>
      </c>
      <c r="CG334" s="10">
        <f t="shared" ca="1" si="1465"/>
        <v>0</v>
      </c>
      <c r="CH334" s="10">
        <f t="shared" ca="1" si="1465"/>
        <v>0</v>
      </c>
      <c r="CI334" s="10">
        <f t="shared" ca="1" si="1465"/>
        <v>0</v>
      </c>
      <c r="CJ334" s="10">
        <f t="shared" ca="1" si="1465"/>
        <v>0</v>
      </c>
      <c r="CK334" s="10">
        <f t="shared" ca="1" si="1465"/>
        <v>0</v>
      </c>
      <c r="CL334" s="10">
        <f t="shared" ca="1" si="1465"/>
        <v>0</v>
      </c>
      <c r="CM334" s="10">
        <f t="shared" ca="1" si="1465"/>
        <v>0</v>
      </c>
      <c r="CN334" s="10">
        <f t="shared" ca="1" si="1465"/>
        <v>0</v>
      </c>
      <c r="CO334" s="10">
        <f t="shared" ca="1" si="1465"/>
        <v>0</v>
      </c>
    </row>
    <row r="335" spans="1:93">
      <c r="A335" s="77"/>
      <c r="B335" s="10"/>
      <c r="C335" s="17" t="s">
        <v>1225</v>
      </c>
      <c r="D335" s="10"/>
      <c r="E335" s="62"/>
      <c r="F335" s="11"/>
      <c r="G335" s="134" t="str">
        <f>Monetary_Unit</f>
        <v>тыс. руб.</v>
      </c>
      <c r="H335" s="10"/>
      <c r="I335" s="23">
        <f>SUM(L335:CO335)</f>
        <v>0</v>
      </c>
      <c r="J335" s="10"/>
      <c r="K335" s="10"/>
      <c r="L335" s="10">
        <f>L274</f>
        <v>0</v>
      </c>
      <c r="M335" s="10">
        <f t="shared" ref="M335:BX335" si="1466">M274</f>
        <v>0</v>
      </c>
      <c r="N335" s="10">
        <f t="shared" si="1466"/>
        <v>0</v>
      </c>
      <c r="O335" s="10">
        <f t="shared" si="1466"/>
        <v>0</v>
      </c>
      <c r="P335" s="10">
        <f t="shared" si="1466"/>
        <v>0</v>
      </c>
      <c r="Q335" s="10">
        <f t="shared" si="1466"/>
        <v>0</v>
      </c>
      <c r="R335" s="10">
        <f t="shared" si="1466"/>
        <v>0</v>
      </c>
      <c r="S335" s="10">
        <f t="shared" si="1466"/>
        <v>0</v>
      </c>
      <c r="T335" s="10">
        <f t="shared" si="1466"/>
        <v>0</v>
      </c>
      <c r="U335" s="10">
        <f t="shared" si="1466"/>
        <v>0</v>
      </c>
      <c r="V335" s="10">
        <f t="shared" si="1466"/>
        <v>0</v>
      </c>
      <c r="W335" s="10">
        <f t="shared" si="1466"/>
        <v>0</v>
      </c>
      <c r="X335" s="10">
        <f t="shared" si="1466"/>
        <v>0</v>
      </c>
      <c r="Y335" s="10">
        <f t="shared" si="1466"/>
        <v>0</v>
      </c>
      <c r="Z335" s="10">
        <f t="shared" si="1466"/>
        <v>0</v>
      </c>
      <c r="AA335" s="10">
        <f t="shared" si="1466"/>
        <v>0</v>
      </c>
      <c r="AB335" s="10">
        <f t="shared" si="1466"/>
        <v>0</v>
      </c>
      <c r="AC335" s="10">
        <f t="shared" si="1466"/>
        <v>0</v>
      </c>
      <c r="AD335" s="10">
        <f t="shared" si="1466"/>
        <v>0</v>
      </c>
      <c r="AE335" s="10">
        <f t="shared" si="1466"/>
        <v>0</v>
      </c>
      <c r="AF335" s="10">
        <f t="shared" si="1466"/>
        <v>0</v>
      </c>
      <c r="AG335" s="10">
        <f t="shared" si="1466"/>
        <v>0</v>
      </c>
      <c r="AH335" s="10">
        <f t="shared" si="1466"/>
        <v>0</v>
      </c>
      <c r="AI335" s="10">
        <f t="shared" si="1466"/>
        <v>0</v>
      </c>
      <c r="AJ335" s="10">
        <f t="shared" si="1466"/>
        <v>0</v>
      </c>
      <c r="AK335" s="10">
        <f t="shared" si="1466"/>
        <v>0</v>
      </c>
      <c r="AL335" s="10">
        <f t="shared" si="1466"/>
        <v>0</v>
      </c>
      <c r="AM335" s="10">
        <f t="shared" si="1466"/>
        <v>0</v>
      </c>
      <c r="AN335" s="10">
        <f t="shared" si="1466"/>
        <v>0</v>
      </c>
      <c r="AO335" s="10">
        <f t="shared" si="1466"/>
        <v>0</v>
      </c>
      <c r="AP335" s="10">
        <f t="shared" si="1466"/>
        <v>0</v>
      </c>
      <c r="AQ335" s="10">
        <f t="shared" si="1466"/>
        <v>0</v>
      </c>
      <c r="AR335" s="10">
        <f t="shared" si="1466"/>
        <v>0</v>
      </c>
      <c r="AS335" s="10">
        <f t="shared" si="1466"/>
        <v>0</v>
      </c>
      <c r="AT335" s="10">
        <f t="shared" si="1466"/>
        <v>0</v>
      </c>
      <c r="AU335" s="10">
        <f t="shared" si="1466"/>
        <v>0</v>
      </c>
      <c r="AV335" s="10">
        <f t="shared" si="1466"/>
        <v>0</v>
      </c>
      <c r="AW335" s="10">
        <f t="shared" si="1466"/>
        <v>0</v>
      </c>
      <c r="AX335" s="10">
        <f t="shared" si="1466"/>
        <v>0</v>
      </c>
      <c r="AY335" s="10">
        <f t="shared" si="1466"/>
        <v>0</v>
      </c>
      <c r="AZ335" s="10">
        <f t="shared" si="1466"/>
        <v>0</v>
      </c>
      <c r="BA335" s="10">
        <f t="shared" si="1466"/>
        <v>0</v>
      </c>
      <c r="BB335" s="10">
        <f t="shared" si="1466"/>
        <v>0</v>
      </c>
      <c r="BC335" s="10">
        <f t="shared" si="1466"/>
        <v>0</v>
      </c>
      <c r="BD335" s="10">
        <f t="shared" si="1466"/>
        <v>0</v>
      </c>
      <c r="BE335" s="10">
        <f t="shared" si="1466"/>
        <v>0</v>
      </c>
      <c r="BF335" s="10">
        <f t="shared" si="1466"/>
        <v>0</v>
      </c>
      <c r="BG335" s="10">
        <f t="shared" si="1466"/>
        <v>0</v>
      </c>
      <c r="BH335" s="10">
        <f t="shared" si="1466"/>
        <v>0</v>
      </c>
      <c r="BI335" s="10">
        <f t="shared" si="1466"/>
        <v>0</v>
      </c>
      <c r="BJ335" s="10">
        <f t="shared" si="1466"/>
        <v>0</v>
      </c>
      <c r="BK335" s="10">
        <f t="shared" si="1466"/>
        <v>0</v>
      </c>
      <c r="BL335" s="10">
        <f t="shared" si="1466"/>
        <v>0</v>
      </c>
      <c r="BM335" s="10">
        <f t="shared" si="1466"/>
        <v>0</v>
      </c>
      <c r="BN335" s="10">
        <f t="shared" si="1466"/>
        <v>0</v>
      </c>
      <c r="BO335" s="10">
        <f t="shared" si="1466"/>
        <v>0</v>
      </c>
      <c r="BP335" s="10">
        <f t="shared" si="1466"/>
        <v>0</v>
      </c>
      <c r="BQ335" s="10">
        <f t="shared" si="1466"/>
        <v>0</v>
      </c>
      <c r="BR335" s="10">
        <f t="shared" si="1466"/>
        <v>0</v>
      </c>
      <c r="BS335" s="10">
        <f t="shared" si="1466"/>
        <v>0</v>
      </c>
      <c r="BT335" s="10">
        <f t="shared" si="1466"/>
        <v>0</v>
      </c>
      <c r="BU335" s="10">
        <f t="shared" si="1466"/>
        <v>0</v>
      </c>
      <c r="BV335" s="10">
        <f t="shared" si="1466"/>
        <v>0</v>
      </c>
      <c r="BW335" s="10">
        <f t="shared" si="1466"/>
        <v>0</v>
      </c>
      <c r="BX335" s="10">
        <f t="shared" si="1466"/>
        <v>0</v>
      </c>
      <c r="BY335" s="10">
        <f t="shared" ref="BY335:CO335" si="1467">BY274</f>
        <v>0</v>
      </c>
      <c r="BZ335" s="10">
        <f t="shared" si="1467"/>
        <v>0</v>
      </c>
      <c r="CA335" s="10">
        <f t="shared" si="1467"/>
        <v>0</v>
      </c>
      <c r="CB335" s="10">
        <f t="shared" si="1467"/>
        <v>0</v>
      </c>
      <c r="CC335" s="10">
        <f t="shared" si="1467"/>
        <v>0</v>
      </c>
      <c r="CD335" s="10">
        <f t="shared" si="1467"/>
        <v>0</v>
      </c>
      <c r="CE335" s="10">
        <f t="shared" si="1467"/>
        <v>0</v>
      </c>
      <c r="CF335" s="10">
        <f t="shared" si="1467"/>
        <v>0</v>
      </c>
      <c r="CG335" s="10">
        <f t="shared" si="1467"/>
        <v>0</v>
      </c>
      <c r="CH335" s="10">
        <f t="shared" si="1467"/>
        <v>0</v>
      </c>
      <c r="CI335" s="10">
        <f t="shared" si="1467"/>
        <v>0</v>
      </c>
      <c r="CJ335" s="10">
        <f t="shared" si="1467"/>
        <v>0</v>
      </c>
      <c r="CK335" s="10">
        <f t="shared" si="1467"/>
        <v>0</v>
      </c>
      <c r="CL335" s="10">
        <f t="shared" si="1467"/>
        <v>0</v>
      </c>
      <c r="CM335" s="10">
        <f t="shared" si="1467"/>
        <v>0</v>
      </c>
      <c r="CN335" s="10">
        <f t="shared" si="1467"/>
        <v>0</v>
      </c>
      <c r="CO335" s="10">
        <f t="shared" si="1467"/>
        <v>0</v>
      </c>
    </row>
    <row r="336" spans="1:93">
      <c r="A336" s="10"/>
      <c r="B336" s="10"/>
      <c r="C336" s="10"/>
      <c r="D336" s="10"/>
      <c r="E336" s="62"/>
      <c r="F336" s="11"/>
      <c r="G336" s="11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</row>
    <row r="337" spans="1:93" ht="22.5" customHeight="1">
      <c r="A337" s="10" t="s">
        <v>113</v>
      </c>
      <c r="B337" s="5" t="s">
        <v>310</v>
      </c>
      <c r="C337" s="5"/>
      <c r="D337" s="15"/>
      <c r="E337" s="15"/>
      <c r="F337" s="31"/>
      <c r="G337" s="18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  <c r="CJ337" s="31"/>
      <c r="CK337" s="31"/>
      <c r="CL337" s="31"/>
      <c r="CM337" s="31"/>
      <c r="CN337" s="31"/>
      <c r="CO337" s="31"/>
    </row>
    <row r="338" spans="1:93">
      <c r="A338" s="10"/>
      <c r="B338" s="10"/>
      <c r="C338" s="10"/>
      <c r="D338" s="10"/>
      <c r="E338" s="62"/>
      <c r="F338" s="11"/>
      <c r="G338" s="11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</row>
    <row r="339" spans="1:93" ht="16" thickBot="1">
      <c r="A339" s="10"/>
      <c r="B339" s="10"/>
      <c r="C339" s="12" t="s">
        <v>1094</v>
      </c>
      <c r="D339" s="10"/>
      <c r="E339" s="62"/>
      <c r="F339" s="11"/>
      <c r="G339" s="11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</row>
    <row r="340" spans="1:93">
      <c r="A340" s="10"/>
      <c r="B340" s="10"/>
      <c r="C340" s="10"/>
      <c r="D340" s="10"/>
      <c r="E340" s="62"/>
      <c r="F340" s="11"/>
      <c r="G340" s="11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</row>
    <row r="341" spans="1:93">
      <c r="A341" s="10"/>
      <c r="B341" s="10"/>
      <c r="C341" s="17" t="s">
        <v>868</v>
      </c>
      <c r="D341" s="10"/>
      <c r="E341" s="65">
        <f ca="1" xml:space="preserve"> SUM(L320:CO322,L326:CO326)</f>
        <v>27774.797642991573</v>
      </c>
      <c r="F341" s="11"/>
      <c r="G341" s="134" t="str">
        <f>Monetary_Unit</f>
        <v>тыс. руб.</v>
      </c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</row>
    <row r="342" spans="1:93">
      <c r="A342" s="10"/>
      <c r="B342" s="10"/>
      <c r="C342" s="17" t="s">
        <v>581</v>
      </c>
      <c r="D342" s="10"/>
      <c r="E342" s="65">
        <f ca="1" xml:space="preserve"> SUM(L323:CO323,L324:CO324,L327:CO327)</f>
        <v>3683093.3769661123</v>
      </c>
      <c r="F342" s="11"/>
      <c r="G342" s="134" t="str">
        <f>Monetary_Unit</f>
        <v>тыс. руб.</v>
      </c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</row>
    <row r="343" spans="1:93">
      <c r="A343" s="10"/>
      <c r="B343" s="10"/>
      <c r="C343" s="17" t="s">
        <v>635</v>
      </c>
      <c r="D343" s="10"/>
      <c r="E343" s="65">
        <f ca="1" xml:space="preserve"> SUM(L325:CO325)</f>
        <v>1097531.3301707346</v>
      </c>
      <c r="F343" s="11"/>
      <c r="G343" s="134" t="str">
        <f>Monetary_Unit</f>
        <v>тыс. руб.</v>
      </c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</row>
    <row r="344" spans="1:9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</row>
    <row r="345" spans="1:93">
      <c r="A345" s="10"/>
      <c r="B345" s="10"/>
      <c r="C345" s="17" t="s">
        <v>868</v>
      </c>
      <c r="D345" s="10"/>
      <c r="E345" s="186">
        <f ca="1" xml:space="preserve"> E341 / SUM(E$341:E$343)</f>
        <v>5.7763082321636867E-3</v>
      </c>
      <c r="F345" s="11"/>
      <c r="G345" s="134" t="s">
        <v>28</v>
      </c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</row>
    <row r="346" spans="1:93">
      <c r="A346" s="10"/>
      <c r="B346" s="10"/>
      <c r="C346" s="17" t="s">
        <v>581</v>
      </c>
      <c r="D346" s="10"/>
      <c r="E346" s="186">
        <f t="shared" ref="E346:E347" ca="1" si="1468" xml:space="preserve"> E342 / SUM(E$341:E$343)</f>
        <v>0.76597075041391549</v>
      </c>
      <c r="F346" s="11"/>
      <c r="G346" s="134" t="s">
        <v>28</v>
      </c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</row>
    <row r="347" spans="1:93">
      <c r="A347" s="10"/>
      <c r="B347" s="10"/>
      <c r="C347" s="17" t="s">
        <v>635</v>
      </c>
      <c r="D347" s="10"/>
      <c r="E347" s="186">
        <f t="shared" ca="1" si="1468"/>
        <v>0.22825294135392088</v>
      </c>
      <c r="F347" s="11"/>
      <c r="G347" s="134" t="s">
        <v>28</v>
      </c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</row>
    <row r="348" spans="1:93">
      <c r="A348" s="10"/>
      <c r="B348" s="10"/>
      <c r="C348" s="10"/>
      <c r="D348" s="10"/>
      <c r="E348" s="62"/>
      <c r="F348" s="11"/>
      <c r="G348" s="11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</row>
    <row r="349" spans="1:93" ht="16" thickBot="1">
      <c r="A349" s="10"/>
      <c r="B349" s="10"/>
      <c r="C349" s="12" t="s">
        <v>317</v>
      </c>
      <c r="D349" s="12"/>
      <c r="E349" s="12"/>
      <c r="F349" s="12"/>
      <c r="G349" s="362"/>
      <c r="H349" s="12"/>
      <c r="I349" s="12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</row>
    <row r="350" spans="1:93">
      <c r="A350" s="10"/>
      <c r="B350" s="10"/>
      <c r="C350" s="21"/>
      <c r="D350" s="10"/>
      <c r="E350" s="62"/>
      <c r="F350" s="11"/>
      <c r="G350" s="11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</row>
    <row r="351" spans="1:93">
      <c r="A351" s="10"/>
      <c r="B351" s="10"/>
      <c r="C351" s="87" t="s">
        <v>868</v>
      </c>
      <c r="D351" s="10"/>
      <c r="E351" s="62"/>
      <c r="F351" s="11"/>
      <c r="G351" s="11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</row>
    <row r="352" spans="1:93">
      <c r="A352" s="10"/>
      <c r="B352" s="10"/>
      <c r="C352" s="17" t="s">
        <v>386</v>
      </c>
      <c r="D352" s="10"/>
      <c r="E352" s="184">
        <f xml:space="preserve"> Предпосылки!E365</f>
        <v>30</v>
      </c>
      <c r="F352" s="11"/>
      <c r="G352" s="11" t="s">
        <v>123</v>
      </c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</row>
    <row r="353" spans="1:93">
      <c r="A353" s="10"/>
      <c r="B353" s="10"/>
      <c r="C353" s="17" t="s">
        <v>387</v>
      </c>
      <c r="D353" s="10"/>
      <c r="F353" s="11"/>
      <c r="G353" s="11" t="s">
        <v>28</v>
      </c>
      <c r="H353" s="10"/>
      <c r="I353" s="10"/>
      <c r="J353" s="10"/>
      <c r="K353" s="10"/>
      <c r="L353" s="157">
        <f t="shared" ref="L353:Q353" si="1469">IF($E352&lt;&gt;0,1/$E352,0)/Periods_in_Year</f>
        <v>8.3333333333333332E-3</v>
      </c>
      <c r="M353" s="157">
        <f t="shared" si="1469"/>
        <v>8.3333333333333332E-3</v>
      </c>
      <c r="N353" s="157">
        <f t="shared" si="1469"/>
        <v>8.3333333333333332E-3</v>
      </c>
      <c r="O353" s="157">
        <f t="shared" si="1469"/>
        <v>8.3333333333333332E-3</v>
      </c>
      <c r="P353" s="157">
        <f t="shared" si="1469"/>
        <v>8.3333333333333332E-3</v>
      </c>
      <c r="Q353" s="157">
        <f t="shared" si="1469"/>
        <v>8.3333333333333332E-3</v>
      </c>
      <c r="R353" s="157">
        <f t="shared" ref="R353" si="1470">IF($E352&lt;&gt;0,1/$E352,0)/Periods_in_Year</f>
        <v>8.3333333333333332E-3</v>
      </c>
      <c r="S353" s="157">
        <f t="shared" ref="S353:CD353" si="1471">IF($E352&lt;&gt;0,1/$E352,0)/Periods_in_Year</f>
        <v>8.3333333333333332E-3</v>
      </c>
      <c r="T353" s="157">
        <f t="shared" si="1471"/>
        <v>8.3333333333333332E-3</v>
      </c>
      <c r="U353" s="157">
        <f t="shared" si="1471"/>
        <v>8.3333333333333332E-3</v>
      </c>
      <c r="V353" s="157">
        <f t="shared" si="1471"/>
        <v>8.3333333333333332E-3</v>
      </c>
      <c r="W353" s="157">
        <f t="shared" si="1471"/>
        <v>8.3333333333333332E-3</v>
      </c>
      <c r="X353" s="157">
        <f t="shared" si="1471"/>
        <v>8.3333333333333332E-3</v>
      </c>
      <c r="Y353" s="157">
        <f t="shared" si="1471"/>
        <v>8.3333333333333332E-3</v>
      </c>
      <c r="Z353" s="157">
        <f t="shared" si="1471"/>
        <v>8.3333333333333332E-3</v>
      </c>
      <c r="AA353" s="157">
        <f t="shared" si="1471"/>
        <v>8.3333333333333332E-3</v>
      </c>
      <c r="AB353" s="157">
        <f t="shared" si="1471"/>
        <v>8.3333333333333332E-3</v>
      </c>
      <c r="AC353" s="157">
        <f t="shared" si="1471"/>
        <v>8.3333333333333332E-3</v>
      </c>
      <c r="AD353" s="157">
        <f t="shared" si="1471"/>
        <v>8.3333333333333332E-3</v>
      </c>
      <c r="AE353" s="157">
        <f t="shared" si="1471"/>
        <v>8.3333333333333332E-3</v>
      </c>
      <c r="AF353" s="157">
        <f t="shared" si="1471"/>
        <v>8.3333333333333332E-3</v>
      </c>
      <c r="AG353" s="157">
        <f t="shared" si="1471"/>
        <v>8.3333333333333332E-3</v>
      </c>
      <c r="AH353" s="157">
        <f t="shared" si="1471"/>
        <v>8.3333333333333332E-3</v>
      </c>
      <c r="AI353" s="157">
        <f t="shared" si="1471"/>
        <v>8.3333333333333332E-3</v>
      </c>
      <c r="AJ353" s="157">
        <f t="shared" si="1471"/>
        <v>8.3333333333333332E-3</v>
      </c>
      <c r="AK353" s="157">
        <f t="shared" si="1471"/>
        <v>8.3333333333333332E-3</v>
      </c>
      <c r="AL353" s="157">
        <f t="shared" si="1471"/>
        <v>8.3333333333333332E-3</v>
      </c>
      <c r="AM353" s="157">
        <f t="shared" si="1471"/>
        <v>8.3333333333333332E-3</v>
      </c>
      <c r="AN353" s="157">
        <f t="shared" si="1471"/>
        <v>8.3333333333333332E-3</v>
      </c>
      <c r="AO353" s="157">
        <f t="shared" si="1471"/>
        <v>8.3333333333333332E-3</v>
      </c>
      <c r="AP353" s="157">
        <f t="shared" si="1471"/>
        <v>8.3333333333333332E-3</v>
      </c>
      <c r="AQ353" s="157">
        <f t="shared" si="1471"/>
        <v>8.3333333333333332E-3</v>
      </c>
      <c r="AR353" s="157">
        <f t="shared" si="1471"/>
        <v>8.3333333333333332E-3</v>
      </c>
      <c r="AS353" s="157">
        <f t="shared" si="1471"/>
        <v>8.3333333333333332E-3</v>
      </c>
      <c r="AT353" s="157">
        <f t="shared" si="1471"/>
        <v>8.3333333333333332E-3</v>
      </c>
      <c r="AU353" s="157">
        <f t="shared" si="1471"/>
        <v>8.3333333333333332E-3</v>
      </c>
      <c r="AV353" s="157">
        <f t="shared" si="1471"/>
        <v>8.3333333333333332E-3</v>
      </c>
      <c r="AW353" s="157">
        <f t="shared" si="1471"/>
        <v>8.3333333333333332E-3</v>
      </c>
      <c r="AX353" s="157">
        <f t="shared" si="1471"/>
        <v>8.3333333333333332E-3</v>
      </c>
      <c r="AY353" s="157">
        <f t="shared" si="1471"/>
        <v>8.3333333333333332E-3</v>
      </c>
      <c r="AZ353" s="157">
        <f t="shared" si="1471"/>
        <v>8.3333333333333332E-3</v>
      </c>
      <c r="BA353" s="157">
        <f t="shared" si="1471"/>
        <v>8.3333333333333332E-3</v>
      </c>
      <c r="BB353" s="157">
        <f t="shared" si="1471"/>
        <v>8.3333333333333332E-3</v>
      </c>
      <c r="BC353" s="157">
        <f t="shared" si="1471"/>
        <v>8.3333333333333332E-3</v>
      </c>
      <c r="BD353" s="157">
        <f t="shared" si="1471"/>
        <v>8.3333333333333332E-3</v>
      </c>
      <c r="BE353" s="157">
        <f t="shared" si="1471"/>
        <v>8.3333333333333332E-3</v>
      </c>
      <c r="BF353" s="157">
        <f t="shared" si="1471"/>
        <v>8.3333333333333332E-3</v>
      </c>
      <c r="BG353" s="157">
        <f t="shared" si="1471"/>
        <v>8.3333333333333332E-3</v>
      </c>
      <c r="BH353" s="157">
        <f t="shared" si="1471"/>
        <v>8.3333333333333332E-3</v>
      </c>
      <c r="BI353" s="157">
        <f t="shared" si="1471"/>
        <v>8.3333333333333332E-3</v>
      </c>
      <c r="BJ353" s="157">
        <f t="shared" si="1471"/>
        <v>8.3333333333333332E-3</v>
      </c>
      <c r="BK353" s="157">
        <f t="shared" si="1471"/>
        <v>8.3333333333333332E-3</v>
      </c>
      <c r="BL353" s="157">
        <f t="shared" si="1471"/>
        <v>8.3333333333333332E-3</v>
      </c>
      <c r="BM353" s="157">
        <f t="shared" si="1471"/>
        <v>8.3333333333333332E-3</v>
      </c>
      <c r="BN353" s="157">
        <f t="shared" si="1471"/>
        <v>8.3333333333333332E-3</v>
      </c>
      <c r="BO353" s="157">
        <f t="shared" si="1471"/>
        <v>8.3333333333333332E-3</v>
      </c>
      <c r="BP353" s="157">
        <f t="shared" si="1471"/>
        <v>8.3333333333333332E-3</v>
      </c>
      <c r="BQ353" s="157">
        <f t="shared" si="1471"/>
        <v>8.3333333333333332E-3</v>
      </c>
      <c r="BR353" s="157">
        <f t="shared" si="1471"/>
        <v>8.3333333333333332E-3</v>
      </c>
      <c r="BS353" s="157">
        <f t="shared" si="1471"/>
        <v>8.3333333333333332E-3</v>
      </c>
      <c r="BT353" s="157">
        <f t="shared" si="1471"/>
        <v>8.3333333333333332E-3</v>
      </c>
      <c r="BU353" s="157">
        <f t="shared" si="1471"/>
        <v>8.3333333333333332E-3</v>
      </c>
      <c r="BV353" s="157">
        <f t="shared" si="1471"/>
        <v>8.3333333333333332E-3</v>
      </c>
      <c r="BW353" s="157">
        <f t="shared" si="1471"/>
        <v>8.3333333333333332E-3</v>
      </c>
      <c r="BX353" s="157">
        <f t="shared" si="1471"/>
        <v>8.3333333333333332E-3</v>
      </c>
      <c r="BY353" s="157">
        <f t="shared" si="1471"/>
        <v>8.3333333333333332E-3</v>
      </c>
      <c r="BZ353" s="157">
        <f t="shared" si="1471"/>
        <v>8.3333333333333332E-3</v>
      </c>
      <c r="CA353" s="157">
        <f t="shared" si="1471"/>
        <v>8.3333333333333332E-3</v>
      </c>
      <c r="CB353" s="157">
        <f t="shared" si="1471"/>
        <v>8.3333333333333332E-3</v>
      </c>
      <c r="CC353" s="157">
        <f t="shared" si="1471"/>
        <v>8.3333333333333332E-3</v>
      </c>
      <c r="CD353" s="157">
        <f t="shared" si="1471"/>
        <v>8.3333333333333332E-3</v>
      </c>
      <c r="CE353" s="157">
        <f t="shared" ref="CE353:CO353" si="1472">IF($E352&lt;&gt;0,1/$E352,0)/Periods_in_Year</f>
        <v>8.3333333333333332E-3</v>
      </c>
      <c r="CF353" s="157">
        <f t="shared" si="1472"/>
        <v>8.3333333333333332E-3</v>
      </c>
      <c r="CG353" s="157">
        <f t="shared" si="1472"/>
        <v>8.3333333333333332E-3</v>
      </c>
      <c r="CH353" s="157">
        <f t="shared" si="1472"/>
        <v>8.3333333333333332E-3</v>
      </c>
      <c r="CI353" s="157">
        <f t="shared" si="1472"/>
        <v>8.3333333333333332E-3</v>
      </c>
      <c r="CJ353" s="157">
        <f t="shared" si="1472"/>
        <v>8.3333333333333332E-3</v>
      </c>
      <c r="CK353" s="157">
        <f t="shared" si="1472"/>
        <v>8.3333333333333332E-3</v>
      </c>
      <c r="CL353" s="157">
        <f t="shared" si="1472"/>
        <v>8.3333333333333332E-3</v>
      </c>
      <c r="CM353" s="157">
        <f t="shared" si="1472"/>
        <v>8.3333333333333332E-3</v>
      </c>
      <c r="CN353" s="157">
        <f t="shared" si="1472"/>
        <v>8.3333333333333332E-3</v>
      </c>
      <c r="CO353" s="157">
        <f t="shared" si="1472"/>
        <v>8.3333333333333332E-3</v>
      </c>
    </row>
    <row r="354" spans="1:93">
      <c r="A354" s="10"/>
      <c r="B354" s="10"/>
      <c r="C354" s="17" t="s">
        <v>125</v>
      </c>
      <c r="D354" s="10"/>
      <c r="E354" s="62"/>
      <c r="F354" s="11"/>
      <c r="G354" s="134" t="str">
        <f t="shared" ref="G354:G359" si="1473">Monetary_Unit</f>
        <v>тыс. руб.</v>
      </c>
      <c r="H354" s="10"/>
      <c r="I354" s="10"/>
      <c r="J354" s="10"/>
      <c r="K354" s="10"/>
      <c r="L354" s="10">
        <f t="shared" ref="L354" si="1474">K359</f>
        <v>0</v>
      </c>
      <c r="M354" s="10">
        <f t="shared" ref="M354" ca="1" si="1475">L359</f>
        <v>0</v>
      </c>
      <c r="N354" s="10">
        <f t="shared" ref="N354" ca="1" si="1476">M359</f>
        <v>0</v>
      </c>
      <c r="O354" s="10">
        <f t="shared" ref="O354" ca="1" si="1477">N359</f>
        <v>0</v>
      </c>
      <c r="P354" s="10">
        <f t="shared" ref="P354" ca="1" si="1478">O359</f>
        <v>0</v>
      </c>
      <c r="Q354" s="10">
        <f t="shared" ref="Q354" ca="1" si="1479">P359</f>
        <v>0</v>
      </c>
      <c r="R354" s="10">
        <f t="shared" ref="R354" ca="1" si="1480">Q359</f>
        <v>0</v>
      </c>
      <c r="S354" s="10">
        <f t="shared" ref="S354" ca="1" si="1481">R359</f>
        <v>0</v>
      </c>
      <c r="T354" s="10">
        <f t="shared" ref="T354" ca="1" si="1482">S359</f>
        <v>0</v>
      </c>
      <c r="U354" s="10">
        <f t="shared" ref="U354" ca="1" si="1483">T359</f>
        <v>0</v>
      </c>
      <c r="V354" s="10">
        <f t="shared" ref="V354" ca="1" si="1484">U359</f>
        <v>0</v>
      </c>
      <c r="W354" s="10">
        <f t="shared" ref="W354" ca="1" si="1485">V359</f>
        <v>0</v>
      </c>
      <c r="X354" s="10">
        <f t="shared" ref="X354" ca="1" si="1486">W359</f>
        <v>0</v>
      </c>
      <c r="Y354" s="10">
        <f t="shared" ref="Y354" ca="1" si="1487">X359</f>
        <v>0</v>
      </c>
      <c r="Z354" s="10">
        <f t="shared" ref="Z354" ca="1" si="1488">Y359</f>
        <v>0</v>
      </c>
      <c r="AA354" s="10">
        <f t="shared" ref="AA354" ca="1" si="1489">Z359</f>
        <v>0</v>
      </c>
      <c r="AB354" s="10">
        <f t="shared" ref="AB354" ca="1" si="1490">AA359</f>
        <v>0</v>
      </c>
      <c r="AC354" s="10">
        <f t="shared" ref="AC354" ca="1" si="1491">AB359</f>
        <v>27774.797642991573</v>
      </c>
      <c r="AD354" s="10">
        <f t="shared" ref="AD354" ca="1" si="1492">AC359</f>
        <v>27543.340995966642</v>
      </c>
      <c r="AE354" s="10">
        <f t="shared" ref="AE354" ca="1" si="1493">AD359</f>
        <v>27311.884348941712</v>
      </c>
      <c r="AF354" s="10">
        <f t="shared" ref="AF354" ca="1" si="1494">AE359</f>
        <v>27080.427701916782</v>
      </c>
      <c r="AG354" s="10">
        <f t="shared" ref="AG354" ca="1" si="1495">AF359</f>
        <v>26848.971054891852</v>
      </c>
      <c r="AH354" s="10">
        <f t="shared" ref="AH354" ca="1" si="1496">AG359</f>
        <v>26617.514407866925</v>
      </c>
      <c r="AI354" s="10">
        <f t="shared" ref="AI354" ca="1" si="1497">AH359</f>
        <v>26386.057760841995</v>
      </c>
      <c r="AJ354" s="10">
        <f t="shared" ref="AJ354" ca="1" si="1498">AI359</f>
        <v>26154.601113817065</v>
      </c>
      <c r="AK354" s="10">
        <f t="shared" ref="AK354" ca="1" si="1499">AJ359</f>
        <v>25923.144466792135</v>
      </c>
      <c r="AL354" s="10">
        <f t="shared" ref="AL354" ca="1" si="1500">AK359</f>
        <v>25691.687819767205</v>
      </c>
      <c r="AM354" s="10">
        <f t="shared" ref="AM354" ca="1" si="1501">AL359</f>
        <v>25460.231172742275</v>
      </c>
      <c r="AN354" s="10">
        <f t="shared" ref="AN354" ca="1" si="1502">AM359</f>
        <v>25228.774525717345</v>
      </c>
      <c r="AO354" s="10">
        <f t="shared" ref="AO354" ca="1" si="1503">AN359</f>
        <v>24997.317878692415</v>
      </c>
      <c r="AP354" s="10">
        <f t="shared" ref="AP354" ca="1" si="1504">AO359</f>
        <v>24765.861231667484</v>
      </c>
      <c r="AQ354" s="10">
        <f t="shared" ref="AQ354" ca="1" si="1505">AP359</f>
        <v>24534.404584642558</v>
      </c>
      <c r="AR354" s="10">
        <f t="shared" ref="AR354" ca="1" si="1506">AQ359</f>
        <v>24302.947937617628</v>
      </c>
      <c r="AS354" s="10">
        <f t="shared" ref="AS354" ca="1" si="1507">AR359</f>
        <v>24071.491290592698</v>
      </c>
      <c r="AT354" s="10">
        <f t="shared" ref="AT354" ca="1" si="1508">AS359</f>
        <v>23840.034643567767</v>
      </c>
      <c r="AU354" s="10">
        <f t="shared" ref="AU354" ca="1" si="1509">AT359</f>
        <v>23608.577996542837</v>
      </c>
      <c r="AV354" s="10">
        <f t="shared" ref="AV354" ca="1" si="1510">AU359</f>
        <v>23377.121349517907</v>
      </c>
      <c r="AW354" s="10">
        <f t="shared" ref="AW354" ca="1" si="1511">AV359</f>
        <v>23145.664702492977</v>
      </c>
      <c r="AX354" s="10">
        <f t="shared" ref="AX354" ca="1" si="1512">AW359</f>
        <v>22914.208055468047</v>
      </c>
      <c r="AY354" s="10">
        <f t="shared" ref="AY354" ca="1" si="1513">AX359</f>
        <v>22682.751408443117</v>
      </c>
      <c r="AZ354" s="10">
        <f t="shared" ref="AZ354" ca="1" si="1514">AY359</f>
        <v>22451.294761418187</v>
      </c>
      <c r="BA354" s="10">
        <f t="shared" ref="BA354" ca="1" si="1515">AZ359</f>
        <v>22219.838114393257</v>
      </c>
      <c r="BB354" s="10">
        <f t="shared" ref="BB354" ca="1" si="1516">BA359</f>
        <v>21988.381467368326</v>
      </c>
      <c r="BC354" s="10">
        <f t="shared" ref="BC354" ca="1" si="1517">BB359</f>
        <v>21756.924820343396</v>
      </c>
      <c r="BD354" s="10">
        <f t="shared" ref="BD354" ca="1" si="1518">BC359</f>
        <v>21525.468173318466</v>
      </c>
      <c r="BE354" s="10">
        <f t="shared" ref="BE354" ca="1" si="1519">BD359</f>
        <v>21294.011526293536</v>
      </c>
      <c r="BF354" s="10">
        <f t="shared" ref="BF354" ca="1" si="1520">BE359</f>
        <v>21062.554879268606</v>
      </c>
      <c r="BG354" s="10">
        <f t="shared" ref="BG354" ca="1" si="1521">BF359</f>
        <v>20831.098232243676</v>
      </c>
      <c r="BH354" s="10">
        <f t="shared" ref="BH354" ca="1" si="1522">BG359</f>
        <v>20599.641585218746</v>
      </c>
      <c r="BI354" s="10">
        <f t="shared" ref="BI354" ca="1" si="1523">BH359</f>
        <v>20368.184938193815</v>
      </c>
      <c r="BJ354" s="10">
        <f t="shared" ref="BJ354" ca="1" si="1524">BI359</f>
        <v>20136.728291168885</v>
      </c>
      <c r="BK354" s="10">
        <f t="shared" ref="BK354" ca="1" si="1525">BJ359</f>
        <v>19905.271644143955</v>
      </c>
      <c r="BL354" s="10">
        <f t="shared" ref="BL354" ca="1" si="1526">BK359</f>
        <v>19673.814997119025</v>
      </c>
      <c r="BM354" s="10">
        <f t="shared" ref="BM354" ca="1" si="1527">BL359</f>
        <v>19442.358350094095</v>
      </c>
      <c r="BN354" s="10">
        <f t="shared" ref="BN354" ca="1" si="1528">BM359</f>
        <v>19210.901703069165</v>
      </c>
      <c r="BO354" s="10">
        <f t="shared" ref="BO354" ca="1" si="1529">BN359</f>
        <v>18979.445056044235</v>
      </c>
      <c r="BP354" s="10">
        <f t="shared" ref="BP354" ca="1" si="1530">BO359</f>
        <v>18747.988409019305</v>
      </c>
      <c r="BQ354" s="10">
        <f t="shared" ref="BQ354" ca="1" si="1531">BP359</f>
        <v>18516.531761994374</v>
      </c>
      <c r="BR354" s="10">
        <f t="shared" ref="BR354" ca="1" si="1532">BQ359</f>
        <v>18285.075114969444</v>
      </c>
      <c r="BS354" s="10">
        <f t="shared" ref="BS354" ca="1" si="1533">BR359</f>
        <v>18053.618467944514</v>
      </c>
      <c r="BT354" s="10">
        <f t="shared" ref="BT354" ca="1" si="1534">BS359</f>
        <v>17822.161820919584</v>
      </c>
      <c r="BU354" s="10">
        <f t="shared" ref="BU354" ca="1" si="1535">BT359</f>
        <v>17590.705173894654</v>
      </c>
      <c r="BV354" s="10">
        <f t="shared" ref="BV354" ca="1" si="1536">BU359</f>
        <v>17359.248526869724</v>
      </c>
      <c r="BW354" s="10">
        <f t="shared" ref="BW354" ca="1" si="1537">BV359</f>
        <v>17127.791879844794</v>
      </c>
      <c r="BX354" s="10">
        <f t="shared" ref="BX354" ca="1" si="1538">BW359</f>
        <v>16896.335232819863</v>
      </c>
      <c r="BY354" s="10">
        <f t="shared" ref="BY354" ca="1" si="1539">BX359</f>
        <v>16664.878585794933</v>
      </c>
      <c r="BZ354" s="10">
        <f t="shared" ref="BZ354" ca="1" si="1540">BY359</f>
        <v>16433.421938770003</v>
      </c>
      <c r="CA354" s="10">
        <f t="shared" ref="CA354" ca="1" si="1541">BZ359</f>
        <v>16201.965291745073</v>
      </c>
      <c r="CB354" s="10">
        <f t="shared" ref="CB354" ca="1" si="1542">CA359</f>
        <v>15970.508644720143</v>
      </c>
      <c r="CC354" s="10">
        <f t="shared" ref="CC354" ca="1" si="1543">CB359</f>
        <v>15739.051997695213</v>
      </c>
      <c r="CD354" s="10">
        <f t="shared" ref="CD354" ca="1" si="1544">CC359</f>
        <v>15507.595350670283</v>
      </c>
      <c r="CE354" s="10">
        <f t="shared" ref="CE354" ca="1" si="1545">CD359</f>
        <v>15276.138703645353</v>
      </c>
      <c r="CF354" s="10">
        <f t="shared" ref="CF354" ca="1" si="1546">CE359</f>
        <v>15044.682056620422</v>
      </c>
      <c r="CG354" s="10">
        <f t="shared" ref="CG354" ca="1" si="1547">CF359</f>
        <v>14813.225409595492</v>
      </c>
      <c r="CH354" s="10">
        <f t="shared" ref="CH354" ca="1" si="1548">CG359</f>
        <v>14581.768762570562</v>
      </c>
      <c r="CI354" s="10">
        <f t="shared" ref="CI354" ca="1" si="1549">CH359</f>
        <v>14350.312115545632</v>
      </c>
      <c r="CJ354" s="10">
        <f t="shared" ref="CJ354" ca="1" si="1550">CI359</f>
        <v>14118.855468520702</v>
      </c>
      <c r="CK354" s="10">
        <f t="shared" ref="CK354" ca="1" si="1551">CJ359</f>
        <v>13887.398821495772</v>
      </c>
      <c r="CL354" s="10">
        <f t="shared" ref="CL354" ca="1" si="1552">CK359</f>
        <v>13655.942174470842</v>
      </c>
      <c r="CM354" s="10">
        <f t="shared" ref="CM354" ca="1" si="1553">CL359</f>
        <v>13424.485527445911</v>
      </c>
      <c r="CN354" s="10">
        <f t="shared" ref="CN354" ca="1" si="1554">CM359</f>
        <v>13193.028880420981</v>
      </c>
      <c r="CO354" s="10">
        <f t="shared" ref="CO354" ca="1" si="1555">CN359</f>
        <v>12961.572233396051</v>
      </c>
    </row>
    <row r="355" spans="1:93">
      <c r="A355" s="10"/>
      <c r="B355" s="10"/>
      <c r="C355" s="17" t="s">
        <v>126</v>
      </c>
      <c r="D355" s="10"/>
      <c r="E355" s="62"/>
      <c r="F355" s="11"/>
      <c r="G355" s="134" t="str">
        <f t="shared" si="1473"/>
        <v>тыс. руб.</v>
      </c>
      <c r="H355" s="10"/>
      <c r="I355" s="23">
        <f ca="1">SUM(L355:CO355)</f>
        <v>27774.797642991573</v>
      </c>
      <c r="J355" s="10"/>
      <c r="K355" s="10"/>
      <c r="L355" s="10">
        <f t="shared" ref="L355:AQ355" ca="1" si="1556">SUM(L320:L322,L326)</f>
        <v>0</v>
      </c>
      <c r="M355" s="10">
        <f t="shared" ca="1" si="1556"/>
        <v>0</v>
      </c>
      <c r="N355" s="10">
        <f t="shared" ca="1" si="1556"/>
        <v>0</v>
      </c>
      <c r="O355" s="10">
        <f t="shared" ca="1" si="1556"/>
        <v>0</v>
      </c>
      <c r="P355" s="10">
        <f t="shared" ca="1" si="1556"/>
        <v>0</v>
      </c>
      <c r="Q355" s="10">
        <f t="shared" ca="1" si="1556"/>
        <v>0</v>
      </c>
      <c r="R355" s="10">
        <f t="shared" ca="1" si="1556"/>
        <v>0</v>
      </c>
      <c r="S355" s="10">
        <f t="shared" ca="1" si="1556"/>
        <v>0</v>
      </c>
      <c r="T355" s="10">
        <f t="shared" ca="1" si="1556"/>
        <v>0</v>
      </c>
      <c r="U355" s="10">
        <f t="shared" ca="1" si="1556"/>
        <v>0</v>
      </c>
      <c r="V355" s="10">
        <f t="shared" ca="1" si="1556"/>
        <v>0</v>
      </c>
      <c r="W355" s="10">
        <f t="shared" ca="1" si="1556"/>
        <v>0</v>
      </c>
      <c r="X355" s="10">
        <f t="shared" ca="1" si="1556"/>
        <v>0</v>
      </c>
      <c r="Y355" s="10">
        <f t="shared" ca="1" si="1556"/>
        <v>0</v>
      </c>
      <c r="Z355" s="10">
        <f t="shared" ca="1" si="1556"/>
        <v>0</v>
      </c>
      <c r="AA355" s="10">
        <f t="shared" ca="1" si="1556"/>
        <v>0</v>
      </c>
      <c r="AB355" s="10">
        <f t="shared" ca="1" si="1556"/>
        <v>27774.797642991573</v>
      </c>
      <c r="AC355" s="10">
        <f t="shared" ca="1" si="1556"/>
        <v>0</v>
      </c>
      <c r="AD355" s="10">
        <f t="shared" ca="1" si="1556"/>
        <v>0</v>
      </c>
      <c r="AE355" s="10">
        <f t="shared" ca="1" si="1556"/>
        <v>0</v>
      </c>
      <c r="AF355" s="10">
        <f t="shared" ca="1" si="1556"/>
        <v>0</v>
      </c>
      <c r="AG355" s="10">
        <f t="shared" ca="1" si="1556"/>
        <v>0</v>
      </c>
      <c r="AH355" s="10">
        <f t="shared" ca="1" si="1556"/>
        <v>0</v>
      </c>
      <c r="AI355" s="10">
        <f t="shared" ca="1" si="1556"/>
        <v>0</v>
      </c>
      <c r="AJ355" s="10">
        <f t="shared" ca="1" si="1556"/>
        <v>0</v>
      </c>
      <c r="AK355" s="10">
        <f t="shared" ca="1" si="1556"/>
        <v>0</v>
      </c>
      <c r="AL355" s="10">
        <f t="shared" ca="1" si="1556"/>
        <v>0</v>
      </c>
      <c r="AM355" s="10">
        <f t="shared" ca="1" si="1556"/>
        <v>0</v>
      </c>
      <c r="AN355" s="10">
        <f t="shared" ca="1" si="1556"/>
        <v>0</v>
      </c>
      <c r="AO355" s="10">
        <f t="shared" ca="1" si="1556"/>
        <v>0</v>
      </c>
      <c r="AP355" s="10">
        <f t="shared" ca="1" si="1556"/>
        <v>0</v>
      </c>
      <c r="AQ355" s="10">
        <f t="shared" ca="1" si="1556"/>
        <v>0</v>
      </c>
      <c r="AR355" s="10">
        <f t="shared" ref="AR355:BW355" ca="1" si="1557">SUM(AR320:AR322,AR326)</f>
        <v>0</v>
      </c>
      <c r="AS355" s="10">
        <f t="shared" ca="1" si="1557"/>
        <v>0</v>
      </c>
      <c r="AT355" s="10">
        <f t="shared" ca="1" si="1557"/>
        <v>0</v>
      </c>
      <c r="AU355" s="10">
        <f t="shared" ca="1" si="1557"/>
        <v>0</v>
      </c>
      <c r="AV355" s="10">
        <f t="shared" ca="1" si="1557"/>
        <v>0</v>
      </c>
      <c r="AW355" s="10">
        <f t="shared" ca="1" si="1557"/>
        <v>0</v>
      </c>
      <c r="AX355" s="10">
        <f t="shared" ca="1" si="1557"/>
        <v>0</v>
      </c>
      <c r="AY355" s="10">
        <f t="shared" ca="1" si="1557"/>
        <v>0</v>
      </c>
      <c r="AZ355" s="10">
        <f t="shared" ca="1" si="1557"/>
        <v>0</v>
      </c>
      <c r="BA355" s="10">
        <f t="shared" ca="1" si="1557"/>
        <v>0</v>
      </c>
      <c r="BB355" s="10">
        <f t="shared" ca="1" si="1557"/>
        <v>0</v>
      </c>
      <c r="BC355" s="10">
        <f t="shared" ca="1" si="1557"/>
        <v>0</v>
      </c>
      <c r="BD355" s="10">
        <f t="shared" ca="1" si="1557"/>
        <v>0</v>
      </c>
      <c r="BE355" s="10">
        <f t="shared" ca="1" si="1557"/>
        <v>0</v>
      </c>
      <c r="BF355" s="10">
        <f t="shared" ca="1" si="1557"/>
        <v>0</v>
      </c>
      <c r="BG355" s="10">
        <f t="shared" ca="1" si="1557"/>
        <v>0</v>
      </c>
      <c r="BH355" s="10">
        <f t="shared" ca="1" si="1557"/>
        <v>0</v>
      </c>
      <c r="BI355" s="10">
        <f t="shared" ca="1" si="1557"/>
        <v>0</v>
      </c>
      <c r="BJ355" s="10">
        <f t="shared" ca="1" si="1557"/>
        <v>0</v>
      </c>
      <c r="BK355" s="10">
        <f t="shared" ca="1" si="1557"/>
        <v>0</v>
      </c>
      <c r="BL355" s="10">
        <f t="shared" ca="1" si="1557"/>
        <v>0</v>
      </c>
      <c r="BM355" s="10">
        <f t="shared" ca="1" si="1557"/>
        <v>0</v>
      </c>
      <c r="BN355" s="10">
        <f t="shared" ca="1" si="1557"/>
        <v>0</v>
      </c>
      <c r="BO355" s="10">
        <f t="shared" ca="1" si="1557"/>
        <v>0</v>
      </c>
      <c r="BP355" s="10">
        <f t="shared" ca="1" si="1557"/>
        <v>0</v>
      </c>
      <c r="BQ355" s="10">
        <f t="shared" ca="1" si="1557"/>
        <v>0</v>
      </c>
      <c r="BR355" s="10">
        <f t="shared" ca="1" si="1557"/>
        <v>0</v>
      </c>
      <c r="BS355" s="10">
        <f t="shared" ca="1" si="1557"/>
        <v>0</v>
      </c>
      <c r="BT355" s="10">
        <f t="shared" ca="1" si="1557"/>
        <v>0</v>
      </c>
      <c r="BU355" s="10">
        <f t="shared" ca="1" si="1557"/>
        <v>0</v>
      </c>
      <c r="BV355" s="10">
        <f t="shared" ca="1" si="1557"/>
        <v>0</v>
      </c>
      <c r="BW355" s="10">
        <f t="shared" ca="1" si="1557"/>
        <v>0</v>
      </c>
      <c r="BX355" s="10">
        <f t="shared" ref="BX355:CO355" ca="1" si="1558">SUM(BX320:BX322,BX326)</f>
        <v>0</v>
      </c>
      <c r="BY355" s="10">
        <f t="shared" ca="1" si="1558"/>
        <v>0</v>
      </c>
      <c r="BZ355" s="10">
        <f t="shared" ca="1" si="1558"/>
        <v>0</v>
      </c>
      <c r="CA355" s="10">
        <f t="shared" ca="1" si="1558"/>
        <v>0</v>
      </c>
      <c r="CB355" s="10">
        <f t="shared" ca="1" si="1558"/>
        <v>0</v>
      </c>
      <c r="CC355" s="10">
        <f t="shared" ca="1" si="1558"/>
        <v>0</v>
      </c>
      <c r="CD355" s="10">
        <f t="shared" ca="1" si="1558"/>
        <v>0</v>
      </c>
      <c r="CE355" s="10">
        <f t="shared" ca="1" si="1558"/>
        <v>0</v>
      </c>
      <c r="CF355" s="10">
        <f t="shared" ca="1" si="1558"/>
        <v>0</v>
      </c>
      <c r="CG355" s="10">
        <f t="shared" ca="1" si="1558"/>
        <v>0</v>
      </c>
      <c r="CH355" s="10">
        <f t="shared" ca="1" si="1558"/>
        <v>0</v>
      </c>
      <c r="CI355" s="10">
        <f t="shared" ca="1" si="1558"/>
        <v>0</v>
      </c>
      <c r="CJ355" s="10">
        <f t="shared" ca="1" si="1558"/>
        <v>0</v>
      </c>
      <c r="CK355" s="10">
        <f t="shared" ca="1" si="1558"/>
        <v>0</v>
      </c>
      <c r="CL355" s="10">
        <f t="shared" ca="1" si="1558"/>
        <v>0</v>
      </c>
      <c r="CM355" s="10">
        <f t="shared" ca="1" si="1558"/>
        <v>0</v>
      </c>
      <c r="CN355" s="10">
        <f t="shared" ca="1" si="1558"/>
        <v>0</v>
      </c>
      <c r="CO355" s="10">
        <f t="shared" ca="1" si="1558"/>
        <v>0</v>
      </c>
    </row>
    <row r="356" spans="1:93">
      <c r="A356" s="10"/>
      <c r="B356" s="10"/>
      <c r="C356" s="17" t="s">
        <v>388</v>
      </c>
      <c r="D356" s="10"/>
      <c r="E356" s="62"/>
      <c r="F356" s="11"/>
      <c r="G356" s="134" t="str">
        <f t="shared" si="1473"/>
        <v>тыс. руб.</v>
      </c>
      <c r="H356" s="10"/>
      <c r="I356" s="10"/>
      <c r="J356" s="10"/>
      <c r="K356" s="10"/>
      <c r="L356" s="10">
        <f t="shared" ref="L356" ca="1" si="1559">L355+K356</f>
        <v>0</v>
      </c>
      <c r="M356" s="10">
        <f t="shared" ref="M356" ca="1" si="1560">M355+L356</f>
        <v>0</v>
      </c>
      <c r="N356" s="10">
        <f t="shared" ref="N356" ca="1" si="1561">N355+M356</f>
        <v>0</v>
      </c>
      <c r="O356" s="10">
        <f t="shared" ref="O356" ca="1" si="1562">O355+N356</f>
        <v>0</v>
      </c>
      <c r="P356" s="10">
        <f t="shared" ref="P356" ca="1" si="1563">P355+O356</f>
        <v>0</v>
      </c>
      <c r="Q356" s="10">
        <f t="shared" ref="Q356" ca="1" si="1564">Q355+P356</f>
        <v>0</v>
      </c>
      <c r="R356" s="10">
        <f t="shared" ref="R356" ca="1" si="1565">R355+Q356</f>
        <v>0</v>
      </c>
      <c r="S356" s="10">
        <f t="shared" ref="S356" ca="1" si="1566">S355+R356</f>
        <v>0</v>
      </c>
      <c r="T356" s="10">
        <f t="shared" ref="T356" ca="1" si="1567">T355+S356</f>
        <v>0</v>
      </c>
      <c r="U356" s="10">
        <f t="shared" ref="U356" ca="1" si="1568">U355+T356</f>
        <v>0</v>
      </c>
      <c r="V356" s="10">
        <f t="shared" ref="V356" ca="1" si="1569">V355+U356</f>
        <v>0</v>
      </c>
      <c r="W356" s="10">
        <f t="shared" ref="W356" ca="1" si="1570">W355+V356</f>
        <v>0</v>
      </c>
      <c r="X356" s="10">
        <f t="shared" ref="X356" ca="1" si="1571">X355+W356</f>
        <v>0</v>
      </c>
      <c r="Y356" s="10">
        <f t="shared" ref="Y356" ca="1" si="1572">Y355+X356</f>
        <v>0</v>
      </c>
      <c r="Z356" s="10">
        <f t="shared" ref="Z356" ca="1" si="1573">Z355+Y356</f>
        <v>0</v>
      </c>
      <c r="AA356" s="10">
        <f t="shared" ref="AA356" ca="1" si="1574">AA355+Z356</f>
        <v>0</v>
      </c>
      <c r="AB356" s="10">
        <f t="shared" ref="AB356" ca="1" si="1575">AB355+AA356</f>
        <v>27774.797642991573</v>
      </c>
      <c r="AC356" s="10">
        <f t="shared" ref="AC356" ca="1" si="1576">AC355+AB356</f>
        <v>27774.797642991573</v>
      </c>
      <c r="AD356" s="10">
        <f t="shared" ref="AD356" ca="1" si="1577">AD355+AC356</f>
        <v>27774.797642991573</v>
      </c>
      <c r="AE356" s="10">
        <f t="shared" ref="AE356" ca="1" si="1578">AE355+AD356</f>
        <v>27774.797642991573</v>
      </c>
      <c r="AF356" s="10">
        <f t="shared" ref="AF356" ca="1" si="1579">AF355+AE356</f>
        <v>27774.797642991573</v>
      </c>
      <c r="AG356" s="10">
        <f t="shared" ref="AG356" ca="1" si="1580">AG355+AF356</f>
        <v>27774.797642991573</v>
      </c>
      <c r="AH356" s="10">
        <f t="shared" ref="AH356" ca="1" si="1581">AH355+AG356</f>
        <v>27774.797642991573</v>
      </c>
      <c r="AI356" s="10">
        <f t="shared" ref="AI356" ca="1" si="1582">AI355+AH356</f>
        <v>27774.797642991573</v>
      </c>
      <c r="AJ356" s="10">
        <f t="shared" ref="AJ356" ca="1" si="1583">AJ355+AI356</f>
        <v>27774.797642991573</v>
      </c>
      <c r="AK356" s="10">
        <f t="shared" ref="AK356" ca="1" si="1584">AK355+AJ356</f>
        <v>27774.797642991573</v>
      </c>
      <c r="AL356" s="10">
        <f t="shared" ref="AL356" ca="1" si="1585">AL355+AK356</f>
        <v>27774.797642991573</v>
      </c>
      <c r="AM356" s="10">
        <f t="shared" ref="AM356" ca="1" si="1586">AM355+AL356</f>
        <v>27774.797642991573</v>
      </c>
      <c r="AN356" s="10">
        <f t="shared" ref="AN356" ca="1" si="1587">AN355+AM356</f>
        <v>27774.797642991573</v>
      </c>
      <c r="AO356" s="10">
        <f t="shared" ref="AO356" ca="1" si="1588">AO355+AN356</f>
        <v>27774.797642991573</v>
      </c>
      <c r="AP356" s="10">
        <f t="shared" ref="AP356" ca="1" si="1589">AP355+AO356</f>
        <v>27774.797642991573</v>
      </c>
      <c r="AQ356" s="10">
        <f t="shared" ref="AQ356" ca="1" si="1590">AQ355+AP356</f>
        <v>27774.797642991573</v>
      </c>
      <c r="AR356" s="10">
        <f t="shared" ref="AR356" ca="1" si="1591">AR355+AQ356</f>
        <v>27774.797642991573</v>
      </c>
      <c r="AS356" s="10">
        <f t="shared" ref="AS356" ca="1" si="1592">AS355+AR356</f>
        <v>27774.797642991573</v>
      </c>
      <c r="AT356" s="10">
        <f t="shared" ref="AT356" ca="1" si="1593">AT355+AS356</f>
        <v>27774.797642991573</v>
      </c>
      <c r="AU356" s="10">
        <f t="shared" ref="AU356" ca="1" si="1594">AU355+AT356</f>
        <v>27774.797642991573</v>
      </c>
      <c r="AV356" s="10">
        <f t="shared" ref="AV356" ca="1" si="1595">AV355+AU356</f>
        <v>27774.797642991573</v>
      </c>
      <c r="AW356" s="10">
        <f t="shared" ref="AW356" ca="1" si="1596">AW355+AV356</f>
        <v>27774.797642991573</v>
      </c>
      <c r="AX356" s="10">
        <f t="shared" ref="AX356" ca="1" si="1597">AX355+AW356</f>
        <v>27774.797642991573</v>
      </c>
      <c r="AY356" s="10">
        <f t="shared" ref="AY356" ca="1" si="1598">AY355+AX356</f>
        <v>27774.797642991573</v>
      </c>
      <c r="AZ356" s="10">
        <f t="shared" ref="AZ356" ca="1" si="1599">AZ355+AY356</f>
        <v>27774.797642991573</v>
      </c>
      <c r="BA356" s="10">
        <f t="shared" ref="BA356" ca="1" si="1600">BA355+AZ356</f>
        <v>27774.797642991573</v>
      </c>
      <c r="BB356" s="10">
        <f t="shared" ref="BB356" ca="1" si="1601">BB355+BA356</f>
        <v>27774.797642991573</v>
      </c>
      <c r="BC356" s="10">
        <f t="shared" ref="BC356" ca="1" si="1602">BC355+BB356</f>
        <v>27774.797642991573</v>
      </c>
      <c r="BD356" s="10">
        <f t="shared" ref="BD356" ca="1" si="1603">BD355+BC356</f>
        <v>27774.797642991573</v>
      </c>
      <c r="BE356" s="10">
        <f t="shared" ref="BE356" ca="1" si="1604">BE355+BD356</f>
        <v>27774.797642991573</v>
      </c>
      <c r="BF356" s="10">
        <f t="shared" ref="BF356" ca="1" si="1605">BF355+BE356</f>
        <v>27774.797642991573</v>
      </c>
      <c r="BG356" s="10">
        <f t="shared" ref="BG356" ca="1" si="1606">BG355+BF356</f>
        <v>27774.797642991573</v>
      </c>
      <c r="BH356" s="10">
        <f t="shared" ref="BH356" ca="1" si="1607">BH355+BG356</f>
        <v>27774.797642991573</v>
      </c>
      <c r="BI356" s="10">
        <f t="shared" ref="BI356" ca="1" si="1608">BI355+BH356</f>
        <v>27774.797642991573</v>
      </c>
      <c r="BJ356" s="10">
        <f t="shared" ref="BJ356" ca="1" si="1609">BJ355+BI356</f>
        <v>27774.797642991573</v>
      </c>
      <c r="BK356" s="10">
        <f t="shared" ref="BK356" ca="1" si="1610">BK355+BJ356</f>
        <v>27774.797642991573</v>
      </c>
      <c r="BL356" s="10">
        <f t="shared" ref="BL356" ca="1" si="1611">BL355+BK356</f>
        <v>27774.797642991573</v>
      </c>
      <c r="BM356" s="10">
        <f t="shared" ref="BM356" ca="1" si="1612">BM355+BL356</f>
        <v>27774.797642991573</v>
      </c>
      <c r="BN356" s="10">
        <f t="shared" ref="BN356" ca="1" si="1613">BN355+BM356</f>
        <v>27774.797642991573</v>
      </c>
      <c r="BO356" s="10">
        <f t="shared" ref="BO356" ca="1" si="1614">BO355+BN356</f>
        <v>27774.797642991573</v>
      </c>
      <c r="BP356" s="10">
        <f t="shared" ref="BP356" ca="1" si="1615">BP355+BO356</f>
        <v>27774.797642991573</v>
      </c>
      <c r="BQ356" s="10">
        <f t="shared" ref="BQ356" ca="1" si="1616">BQ355+BP356</f>
        <v>27774.797642991573</v>
      </c>
      <c r="BR356" s="10">
        <f t="shared" ref="BR356" ca="1" si="1617">BR355+BQ356</f>
        <v>27774.797642991573</v>
      </c>
      <c r="BS356" s="10">
        <f t="shared" ref="BS356" ca="1" si="1618">BS355+BR356</f>
        <v>27774.797642991573</v>
      </c>
      <c r="BT356" s="10">
        <f t="shared" ref="BT356" ca="1" si="1619">BT355+BS356</f>
        <v>27774.797642991573</v>
      </c>
      <c r="BU356" s="10">
        <f t="shared" ref="BU356" ca="1" si="1620">BU355+BT356</f>
        <v>27774.797642991573</v>
      </c>
      <c r="BV356" s="10">
        <f t="shared" ref="BV356" ca="1" si="1621">BV355+BU356</f>
        <v>27774.797642991573</v>
      </c>
      <c r="BW356" s="10">
        <f t="shared" ref="BW356" ca="1" si="1622">BW355+BV356</f>
        <v>27774.797642991573</v>
      </c>
      <c r="BX356" s="10">
        <f t="shared" ref="BX356" ca="1" si="1623">BX355+BW356</f>
        <v>27774.797642991573</v>
      </c>
      <c r="BY356" s="10">
        <f t="shared" ref="BY356" ca="1" si="1624">BY355+BX356</f>
        <v>27774.797642991573</v>
      </c>
      <c r="BZ356" s="10">
        <f t="shared" ref="BZ356" ca="1" si="1625">BZ355+BY356</f>
        <v>27774.797642991573</v>
      </c>
      <c r="CA356" s="10">
        <f t="shared" ref="CA356" ca="1" si="1626">CA355+BZ356</f>
        <v>27774.797642991573</v>
      </c>
      <c r="CB356" s="10">
        <f t="shared" ref="CB356" ca="1" si="1627">CB355+CA356</f>
        <v>27774.797642991573</v>
      </c>
      <c r="CC356" s="10">
        <f t="shared" ref="CC356" ca="1" si="1628">CC355+CB356</f>
        <v>27774.797642991573</v>
      </c>
      <c r="CD356" s="10">
        <f t="shared" ref="CD356" ca="1" si="1629">CD355+CC356</f>
        <v>27774.797642991573</v>
      </c>
      <c r="CE356" s="10">
        <f t="shared" ref="CE356" ca="1" si="1630">CE355+CD356</f>
        <v>27774.797642991573</v>
      </c>
      <c r="CF356" s="10">
        <f t="shared" ref="CF356" ca="1" si="1631">CF355+CE356</f>
        <v>27774.797642991573</v>
      </c>
      <c r="CG356" s="10">
        <f t="shared" ref="CG356" ca="1" si="1632">CG355+CF356</f>
        <v>27774.797642991573</v>
      </c>
      <c r="CH356" s="10">
        <f t="shared" ref="CH356" ca="1" si="1633">CH355+CG356</f>
        <v>27774.797642991573</v>
      </c>
      <c r="CI356" s="10">
        <f t="shared" ref="CI356" ca="1" si="1634">CI355+CH356</f>
        <v>27774.797642991573</v>
      </c>
      <c r="CJ356" s="10">
        <f t="shared" ref="CJ356" ca="1" si="1635">CJ355+CI356</f>
        <v>27774.797642991573</v>
      </c>
      <c r="CK356" s="10">
        <f t="shared" ref="CK356" ca="1" si="1636">CK355+CJ356</f>
        <v>27774.797642991573</v>
      </c>
      <c r="CL356" s="10">
        <f t="shared" ref="CL356" ca="1" si="1637">CL355+CK356</f>
        <v>27774.797642991573</v>
      </c>
      <c r="CM356" s="10">
        <f t="shared" ref="CM356" ca="1" si="1638">CM355+CL356</f>
        <v>27774.797642991573</v>
      </c>
      <c r="CN356" s="10">
        <f t="shared" ref="CN356" ca="1" si="1639">CN355+CM356</f>
        <v>27774.797642991573</v>
      </c>
      <c r="CO356" s="10">
        <f t="shared" ref="CO356" ca="1" si="1640">CO355+CN356</f>
        <v>27774.797642991573</v>
      </c>
    </row>
    <row r="357" spans="1:93">
      <c r="A357" s="10"/>
      <c r="B357" s="10"/>
      <c r="C357" s="17" t="s">
        <v>389</v>
      </c>
      <c r="D357" s="10"/>
      <c r="E357" s="62"/>
      <c r="F357" s="11"/>
      <c r="G357" s="134" t="str">
        <f t="shared" si="1473"/>
        <v>тыс. руб.</v>
      </c>
      <c r="H357" s="10"/>
      <c r="I357" s="23">
        <f ca="1">SUM(L357:CO357)</f>
        <v>15044.682056620451</v>
      </c>
      <c r="J357" s="10"/>
      <c r="K357" s="10"/>
      <c r="L357" s="10">
        <f t="shared" ref="L357" ca="1" si="1641">MIN(L356*L353,K359)</f>
        <v>0</v>
      </c>
      <c r="M357" s="10">
        <f t="shared" ref="M357" ca="1" si="1642">MIN(M356*M353,L359)</f>
        <v>0</v>
      </c>
      <c r="N357" s="10">
        <f t="shared" ref="N357" ca="1" si="1643">MIN(N356*N353,M359)</f>
        <v>0</v>
      </c>
      <c r="O357" s="10">
        <f t="shared" ref="O357" ca="1" si="1644">MIN(O356*O353,N359)</f>
        <v>0</v>
      </c>
      <c r="P357" s="10">
        <f t="shared" ref="P357" ca="1" si="1645">MIN(P356*P353,O359)</f>
        <v>0</v>
      </c>
      <c r="Q357" s="10">
        <f t="shared" ref="Q357" ca="1" si="1646">MIN(Q356*Q353,P359)</f>
        <v>0</v>
      </c>
      <c r="R357" s="10">
        <f t="shared" ref="R357" ca="1" si="1647">MIN(R356*R353,Q359)</f>
        <v>0</v>
      </c>
      <c r="S357" s="10">
        <f t="shared" ref="S357" ca="1" si="1648">MIN(S356*S353,R359)</f>
        <v>0</v>
      </c>
      <c r="T357" s="10">
        <f t="shared" ref="T357" ca="1" si="1649">MIN(T356*T353,S359)</f>
        <v>0</v>
      </c>
      <c r="U357" s="10">
        <f t="shared" ref="U357" ca="1" si="1650">MIN(U356*U353,T359)</f>
        <v>0</v>
      </c>
      <c r="V357" s="10">
        <f t="shared" ref="V357" ca="1" si="1651">MIN(V356*V353,U359)</f>
        <v>0</v>
      </c>
      <c r="W357" s="10">
        <f t="shared" ref="W357" ca="1" si="1652">MIN(W356*W353,V359)</f>
        <v>0</v>
      </c>
      <c r="X357" s="10">
        <f t="shared" ref="X357" ca="1" si="1653">MIN(X356*X353,W359)</f>
        <v>0</v>
      </c>
      <c r="Y357" s="10">
        <f t="shared" ref="Y357" ca="1" si="1654">MIN(Y356*Y353,X359)</f>
        <v>0</v>
      </c>
      <c r="Z357" s="10">
        <f t="shared" ref="Z357" ca="1" si="1655">MIN(Z356*Z353,Y359)</f>
        <v>0</v>
      </c>
      <c r="AA357" s="10">
        <f t="shared" ref="AA357" ca="1" si="1656">MIN(AA356*AA353,Z359)</f>
        <v>0</v>
      </c>
      <c r="AB357" s="10">
        <f t="shared" ref="AB357" ca="1" si="1657">MIN(AB356*AB353,AA359)</f>
        <v>0</v>
      </c>
      <c r="AC357" s="10">
        <f t="shared" ref="AC357" ca="1" si="1658">MIN(AC356*AC353,AB359)</f>
        <v>231.45664702492977</v>
      </c>
      <c r="AD357" s="10">
        <f t="shared" ref="AD357" ca="1" si="1659">MIN(AD356*AD353,AC359)</f>
        <v>231.45664702492977</v>
      </c>
      <c r="AE357" s="10">
        <f t="shared" ref="AE357" ca="1" si="1660">MIN(AE356*AE353,AD359)</f>
        <v>231.45664702492977</v>
      </c>
      <c r="AF357" s="10">
        <f t="shared" ref="AF357" ca="1" si="1661">MIN(AF356*AF353,AE359)</f>
        <v>231.45664702492977</v>
      </c>
      <c r="AG357" s="10">
        <f t="shared" ref="AG357" ca="1" si="1662">MIN(AG356*AG353,AF359)</f>
        <v>231.45664702492977</v>
      </c>
      <c r="AH357" s="10">
        <f t="shared" ref="AH357" ca="1" si="1663">MIN(AH356*AH353,AG359)</f>
        <v>231.45664702492977</v>
      </c>
      <c r="AI357" s="10">
        <f t="shared" ref="AI357" ca="1" si="1664">MIN(AI356*AI353,AH359)</f>
        <v>231.45664702492977</v>
      </c>
      <c r="AJ357" s="10">
        <f t="shared" ref="AJ357" ca="1" si="1665">MIN(AJ356*AJ353,AI359)</f>
        <v>231.45664702492977</v>
      </c>
      <c r="AK357" s="10">
        <f t="shared" ref="AK357" ca="1" si="1666">MIN(AK356*AK353,AJ359)</f>
        <v>231.45664702492977</v>
      </c>
      <c r="AL357" s="10">
        <f t="shared" ref="AL357" ca="1" si="1667">MIN(AL356*AL353,AK359)</f>
        <v>231.45664702492977</v>
      </c>
      <c r="AM357" s="10">
        <f t="shared" ref="AM357" ca="1" si="1668">MIN(AM356*AM353,AL359)</f>
        <v>231.45664702492977</v>
      </c>
      <c r="AN357" s="10">
        <f t="shared" ref="AN357" ca="1" si="1669">MIN(AN356*AN353,AM359)</f>
        <v>231.45664702492977</v>
      </c>
      <c r="AO357" s="10">
        <f t="shared" ref="AO357" ca="1" si="1670">MIN(AO356*AO353,AN359)</f>
        <v>231.45664702492977</v>
      </c>
      <c r="AP357" s="10">
        <f t="shared" ref="AP357" ca="1" si="1671">MIN(AP356*AP353,AO359)</f>
        <v>231.45664702492977</v>
      </c>
      <c r="AQ357" s="10">
        <f t="shared" ref="AQ357" ca="1" si="1672">MIN(AQ356*AQ353,AP359)</f>
        <v>231.45664702492977</v>
      </c>
      <c r="AR357" s="10">
        <f t="shared" ref="AR357" ca="1" si="1673">MIN(AR356*AR353,AQ359)</f>
        <v>231.45664702492977</v>
      </c>
      <c r="AS357" s="10">
        <f t="shared" ref="AS357" ca="1" si="1674">MIN(AS356*AS353,AR359)</f>
        <v>231.45664702492977</v>
      </c>
      <c r="AT357" s="10">
        <f t="shared" ref="AT357" ca="1" si="1675">MIN(AT356*AT353,AS359)</f>
        <v>231.45664702492977</v>
      </c>
      <c r="AU357" s="10">
        <f t="shared" ref="AU357" ca="1" si="1676">MIN(AU356*AU353,AT359)</f>
        <v>231.45664702492977</v>
      </c>
      <c r="AV357" s="10">
        <f t="shared" ref="AV357" ca="1" si="1677">MIN(AV356*AV353,AU359)</f>
        <v>231.45664702492977</v>
      </c>
      <c r="AW357" s="10">
        <f t="shared" ref="AW357" ca="1" si="1678">MIN(AW356*AW353,AV359)</f>
        <v>231.45664702492977</v>
      </c>
      <c r="AX357" s="10">
        <f t="shared" ref="AX357" ca="1" si="1679">MIN(AX356*AX353,AW359)</f>
        <v>231.45664702492977</v>
      </c>
      <c r="AY357" s="10">
        <f t="shared" ref="AY357" ca="1" si="1680">MIN(AY356*AY353,AX359)</f>
        <v>231.45664702492977</v>
      </c>
      <c r="AZ357" s="10">
        <f t="shared" ref="AZ357" ca="1" si="1681">MIN(AZ356*AZ353,AY359)</f>
        <v>231.45664702492977</v>
      </c>
      <c r="BA357" s="10">
        <f t="shared" ref="BA357" ca="1" si="1682">MIN(BA356*BA353,AZ359)</f>
        <v>231.45664702492977</v>
      </c>
      <c r="BB357" s="10">
        <f t="shared" ref="BB357" ca="1" si="1683">MIN(BB356*BB353,BA359)</f>
        <v>231.45664702492977</v>
      </c>
      <c r="BC357" s="10">
        <f t="shared" ref="BC357" ca="1" si="1684">MIN(BC356*BC353,BB359)</f>
        <v>231.45664702492977</v>
      </c>
      <c r="BD357" s="10">
        <f t="shared" ref="BD357" ca="1" si="1685">MIN(BD356*BD353,BC359)</f>
        <v>231.45664702492977</v>
      </c>
      <c r="BE357" s="10">
        <f t="shared" ref="BE357" ca="1" si="1686">MIN(BE356*BE353,BD359)</f>
        <v>231.45664702492977</v>
      </c>
      <c r="BF357" s="10">
        <f t="shared" ref="BF357" ca="1" si="1687">MIN(BF356*BF353,BE359)</f>
        <v>231.45664702492977</v>
      </c>
      <c r="BG357" s="10">
        <f t="shared" ref="BG357" ca="1" si="1688">MIN(BG356*BG353,BF359)</f>
        <v>231.45664702492977</v>
      </c>
      <c r="BH357" s="10">
        <f t="shared" ref="BH357" ca="1" si="1689">MIN(BH356*BH353,BG359)</f>
        <v>231.45664702492977</v>
      </c>
      <c r="BI357" s="10">
        <f t="shared" ref="BI357" ca="1" si="1690">MIN(BI356*BI353,BH359)</f>
        <v>231.45664702492977</v>
      </c>
      <c r="BJ357" s="10">
        <f t="shared" ref="BJ357" ca="1" si="1691">MIN(BJ356*BJ353,BI359)</f>
        <v>231.45664702492977</v>
      </c>
      <c r="BK357" s="10">
        <f t="shared" ref="BK357" ca="1" si="1692">MIN(BK356*BK353,BJ359)</f>
        <v>231.45664702492977</v>
      </c>
      <c r="BL357" s="10">
        <f t="shared" ref="BL357" ca="1" si="1693">MIN(BL356*BL353,BK359)</f>
        <v>231.45664702492977</v>
      </c>
      <c r="BM357" s="10">
        <f t="shared" ref="BM357" ca="1" si="1694">MIN(BM356*BM353,BL359)</f>
        <v>231.45664702492977</v>
      </c>
      <c r="BN357" s="10">
        <f t="shared" ref="BN357" ca="1" si="1695">MIN(BN356*BN353,BM359)</f>
        <v>231.45664702492977</v>
      </c>
      <c r="BO357" s="10">
        <f t="shared" ref="BO357" ca="1" si="1696">MIN(BO356*BO353,BN359)</f>
        <v>231.45664702492977</v>
      </c>
      <c r="BP357" s="10">
        <f t="shared" ref="BP357" ca="1" si="1697">MIN(BP356*BP353,BO359)</f>
        <v>231.45664702492977</v>
      </c>
      <c r="BQ357" s="10">
        <f t="shared" ref="BQ357" ca="1" si="1698">MIN(BQ356*BQ353,BP359)</f>
        <v>231.45664702492977</v>
      </c>
      <c r="BR357" s="10">
        <f t="shared" ref="BR357" ca="1" si="1699">MIN(BR356*BR353,BQ359)</f>
        <v>231.45664702492977</v>
      </c>
      <c r="BS357" s="10">
        <f t="shared" ref="BS357" ca="1" si="1700">MIN(BS356*BS353,BR359)</f>
        <v>231.45664702492977</v>
      </c>
      <c r="BT357" s="10">
        <f t="shared" ref="BT357" ca="1" si="1701">MIN(BT356*BT353,BS359)</f>
        <v>231.45664702492977</v>
      </c>
      <c r="BU357" s="10">
        <f t="shared" ref="BU357" ca="1" si="1702">MIN(BU356*BU353,BT359)</f>
        <v>231.45664702492977</v>
      </c>
      <c r="BV357" s="10">
        <f t="shared" ref="BV357" ca="1" si="1703">MIN(BV356*BV353,BU359)</f>
        <v>231.45664702492977</v>
      </c>
      <c r="BW357" s="10">
        <f t="shared" ref="BW357" ca="1" si="1704">MIN(BW356*BW353,BV359)</f>
        <v>231.45664702492977</v>
      </c>
      <c r="BX357" s="10">
        <f t="shared" ref="BX357" ca="1" si="1705">MIN(BX356*BX353,BW359)</f>
        <v>231.45664702492977</v>
      </c>
      <c r="BY357" s="10">
        <f t="shared" ref="BY357" ca="1" si="1706">MIN(BY356*BY353,BX359)</f>
        <v>231.45664702492977</v>
      </c>
      <c r="BZ357" s="10">
        <f t="shared" ref="BZ357" ca="1" si="1707">MIN(BZ356*BZ353,BY359)</f>
        <v>231.45664702492977</v>
      </c>
      <c r="CA357" s="10">
        <f t="shared" ref="CA357" ca="1" si="1708">MIN(CA356*CA353,BZ359)</f>
        <v>231.45664702492977</v>
      </c>
      <c r="CB357" s="10">
        <f t="shared" ref="CB357" ca="1" si="1709">MIN(CB356*CB353,CA359)</f>
        <v>231.45664702492977</v>
      </c>
      <c r="CC357" s="10">
        <f t="shared" ref="CC357" ca="1" si="1710">MIN(CC356*CC353,CB359)</f>
        <v>231.45664702492977</v>
      </c>
      <c r="CD357" s="10">
        <f t="shared" ref="CD357" ca="1" si="1711">MIN(CD356*CD353,CC359)</f>
        <v>231.45664702492977</v>
      </c>
      <c r="CE357" s="10">
        <f t="shared" ref="CE357" ca="1" si="1712">MIN(CE356*CE353,CD359)</f>
        <v>231.45664702492977</v>
      </c>
      <c r="CF357" s="10">
        <f t="shared" ref="CF357" ca="1" si="1713">MIN(CF356*CF353,CE359)</f>
        <v>231.45664702492977</v>
      </c>
      <c r="CG357" s="10">
        <f t="shared" ref="CG357" ca="1" si="1714">MIN(CG356*CG353,CF359)</f>
        <v>231.45664702492977</v>
      </c>
      <c r="CH357" s="10">
        <f t="shared" ref="CH357" ca="1" si="1715">MIN(CH356*CH353,CG359)</f>
        <v>231.45664702492977</v>
      </c>
      <c r="CI357" s="10">
        <f t="shared" ref="CI357" ca="1" si="1716">MIN(CI356*CI353,CH359)</f>
        <v>231.45664702492977</v>
      </c>
      <c r="CJ357" s="10">
        <f t="shared" ref="CJ357" ca="1" si="1717">MIN(CJ356*CJ353,CI359)</f>
        <v>231.45664702492977</v>
      </c>
      <c r="CK357" s="10">
        <f t="shared" ref="CK357" ca="1" si="1718">MIN(CK356*CK353,CJ359)</f>
        <v>231.45664702492977</v>
      </c>
      <c r="CL357" s="10">
        <f t="shared" ref="CL357" ca="1" si="1719">MIN(CL356*CL353,CK359)</f>
        <v>231.45664702492977</v>
      </c>
      <c r="CM357" s="10">
        <f t="shared" ref="CM357" ca="1" si="1720">MIN(CM356*CM353,CL359)</f>
        <v>231.45664702492977</v>
      </c>
      <c r="CN357" s="10">
        <f t="shared" ref="CN357" ca="1" si="1721">MIN(CN356*CN353,CM359)</f>
        <v>231.45664702492977</v>
      </c>
      <c r="CO357" s="10">
        <f t="shared" ref="CO357" ca="1" si="1722">MIN(CO356*CO353,CN359)</f>
        <v>231.45664702492977</v>
      </c>
    </row>
    <row r="358" spans="1:93">
      <c r="A358" s="10"/>
      <c r="B358" s="10"/>
      <c r="C358" s="17" t="s">
        <v>127</v>
      </c>
      <c r="D358" s="10"/>
      <c r="E358" s="62"/>
      <c r="F358" s="11"/>
      <c r="G358" s="134" t="str">
        <f t="shared" si="1473"/>
        <v>тыс. руб.</v>
      </c>
      <c r="H358" s="10"/>
      <c r="I358" s="10"/>
      <c r="J358" s="10"/>
      <c r="K358" s="10"/>
      <c r="L358" s="10">
        <f t="shared" ref="L358" ca="1" si="1723">SUM(K358,-L357)</f>
        <v>0</v>
      </c>
      <c r="M358" s="10">
        <f t="shared" ref="M358" ca="1" si="1724">SUM(L358,-M357)</f>
        <v>0</v>
      </c>
      <c r="N358" s="10">
        <f t="shared" ref="N358" ca="1" si="1725">SUM(M358,-N357)</f>
        <v>0</v>
      </c>
      <c r="O358" s="10">
        <f t="shared" ref="O358" ca="1" si="1726">SUM(N358,-O357)</f>
        <v>0</v>
      </c>
      <c r="P358" s="10">
        <f t="shared" ref="P358" ca="1" si="1727">SUM(O358,-P357)</f>
        <v>0</v>
      </c>
      <c r="Q358" s="10">
        <f t="shared" ref="Q358" ca="1" si="1728">SUM(P358,-Q357)</f>
        <v>0</v>
      </c>
      <c r="R358" s="10">
        <f t="shared" ref="R358" ca="1" si="1729">SUM(Q358,-R357)</f>
        <v>0</v>
      </c>
      <c r="S358" s="10">
        <f t="shared" ref="S358" ca="1" si="1730">SUM(R358,-S357)</f>
        <v>0</v>
      </c>
      <c r="T358" s="10">
        <f t="shared" ref="T358" ca="1" si="1731">SUM(S358,-T357)</f>
        <v>0</v>
      </c>
      <c r="U358" s="10">
        <f t="shared" ref="U358" ca="1" si="1732">SUM(T358,-U357)</f>
        <v>0</v>
      </c>
      <c r="V358" s="10">
        <f t="shared" ref="V358" ca="1" si="1733">SUM(U358,-V357)</f>
        <v>0</v>
      </c>
      <c r="W358" s="10">
        <f t="shared" ref="W358" ca="1" si="1734">SUM(V358,-W357)</f>
        <v>0</v>
      </c>
      <c r="X358" s="10">
        <f t="shared" ref="X358" ca="1" si="1735">SUM(W358,-X357)</f>
        <v>0</v>
      </c>
      <c r="Y358" s="10">
        <f t="shared" ref="Y358" ca="1" si="1736">SUM(X358,-Y357)</f>
        <v>0</v>
      </c>
      <c r="Z358" s="10">
        <f t="shared" ref="Z358" ca="1" si="1737">SUM(Y358,-Z357)</f>
        <v>0</v>
      </c>
      <c r="AA358" s="10">
        <f t="shared" ref="AA358" ca="1" si="1738">SUM(Z358,-AA357)</f>
        <v>0</v>
      </c>
      <c r="AB358" s="10">
        <f t="shared" ref="AB358" ca="1" si="1739">SUM(AA358,-AB357)</f>
        <v>0</v>
      </c>
      <c r="AC358" s="10">
        <f t="shared" ref="AC358" ca="1" si="1740">SUM(AB358,-AC357)</f>
        <v>-231.45664702492977</v>
      </c>
      <c r="AD358" s="10">
        <f t="shared" ref="AD358" ca="1" si="1741">SUM(AC358,-AD357)</f>
        <v>-462.91329404985953</v>
      </c>
      <c r="AE358" s="10">
        <f t="shared" ref="AE358" ca="1" si="1742">SUM(AD358,-AE357)</f>
        <v>-694.36994107478927</v>
      </c>
      <c r="AF358" s="10">
        <f t="shared" ref="AF358" ca="1" si="1743">SUM(AE358,-AF357)</f>
        <v>-925.82658809971906</v>
      </c>
      <c r="AG358" s="10">
        <f t="shared" ref="AG358" ca="1" si="1744">SUM(AF358,-AG357)</f>
        <v>-1157.2832351246489</v>
      </c>
      <c r="AH358" s="10">
        <f t="shared" ref="AH358" ca="1" si="1745">SUM(AG358,-AH357)</f>
        <v>-1388.7398821495785</v>
      </c>
      <c r="AI358" s="10">
        <f t="shared" ref="AI358" ca="1" si="1746">SUM(AH358,-AI357)</f>
        <v>-1620.1965291745082</v>
      </c>
      <c r="AJ358" s="10">
        <f t="shared" ref="AJ358" ca="1" si="1747">SUM(AI358,-AJ357)</f>
        <v>-1851.6531761994379</v>
      </c>
      <c r="AK358" s="10">
        <f t="shared" ref="AK358" ca="1" si="1748">SUM(AJ358,-AK357)</f>
        <v>-2083.1098232243676</v>
      </c>
      <c r="AL358" s="10">
        <f t="shared" ref="AL358" ca="1" si="1749">SUM(AK358,-AL357)</f>
        <v>-2314.5664702492973</v>
      </c>
      <c r="AM358" s="10">
        <f t="shared" ref="AM358" ca="1" si="1750">SUM(AL358,-AM357)</f>
        <v>-2546.0231172742269</v>
      </c>
      <c r="AN358" s="10">
        <f t="shared" ref="AN358" ca="1" si="1751">SUM(AM358,-AN357)</f>
        <v>-2777.4797642991566</v>
      </c>
      <c r="AO358" s="10">
        <f t="shared" ref="AO358" ca="1" si="1752">SUM(AN358,-AO357)</f>
        <v>-3008.9364113240863</v>
      </c>
      <c r="AP358" s="10">
        <f t="shared" ref="AP358" ca="1" si="1753">SUM(AO358,-AP357)</f>
        <v>-3240.393058349016</v>
      </c>
      <c r="AQ358" s="10">
        <f t="shared" ref="AQ358" ca="1" si="1754">SUM(AP358,-AQ357)</f>
        <v>-3471.8497053739457</v>
      </c>
      <c r="AR358" s="10">
        <f t="shared" ref="AR358" ca="1" si="1755">SUM(AQ358,-AR357)</f>
        <v>-3703.3063523988753</v>
      </c>
      <c r="AS358" s="10">
        <f t="shared" ref="AS358" ca="1" si="1756">SUM(AR358,-AS357)</f>
        <v>-3934.762999423805</v>
      </c>
      <c r="AT358" s="10">
        <f t="shared" ref="AT358" ca="1" si="1757">SUM(AS358,-AT357)</f>
        <v>-4166.2196464487351</v>
      </c>
      <c r="AU358" s="10">
        <f t="shared" ref="AU358" ca="1" si="1758">SUM(AT358,-AU357)</f>
        <v>-4397.6762934736653</v>
      </c>
      <c r="AV358" s="10">
        <f t="shared" ref="AV358" ca="1" si="1759">SUM(AU358,-AV357)</f>
        <v>-4629.1329404985954</v>
      </c>
      <c r="AW358" s="10">
        <f t="shared" ref="AW358" ca="1" si="1760">SUM(AV358,-AW357)</f>
        <v>-4860.5895875235256</v>
      </c>
      <c r="AX358" s="10">
        <f t="shared" ref="AX358" ca="1" si="1761">SUM(AW358,-AX357)</f>
        <v>-5092.0462345484557</v>
      </c>
      <c r="AY358" s="10">
        <f t="shared" ref="AY358" ca="1" si="1762">SUM(AX358,-AY357)</f>
        <v>-5323.5028815733858</v>
      </c>
      <c r="AZ358" s="10">
        <f t="shared" ref="AZ358" ca="1" si="1763">SUM(AY358,-AZ357)</f>
        <v>-5554.959528598316</v>
      </c>
      <c r="BA358" s="10">
        <f t="shared" ref="BA358" ca="1" si="1764">SUM(AZ358,-BA357)</f>
        <v>-5786.4161756232461</v>
      </c>
      <c r="BB358" s="10">
        <f t="shared" ref="BB358" ca="1" si="1765">SUM(BA358,-BB357)</f>
        <v>-6017.8728226481762</v>
      </c>
      <c r="BC358" s="10">
        <f t="shared" ref="BC358" ca="1" si="1766">SUM(BB358,-BC357)</f>
        <v>-6249.3294696731064</v>
      </c>
      <c r="BD358" s="10">
        <f t="shared" ref="BD358" ca="1" si="1767">SUM(BC358,-BD357)</f>
        <v>-6480.7861166980365</v>
      </c>
      <c r="BE358" s="10">
        <f t="shared" ref="BE358" ca="1" si="1768">SUM(BD358,-BE357)</f>
        <v>-6712.2427637229666</v>
      </c>
      <c r="BF358" s="10">
        <f t="shared" ref="BF358" ca="1" si="1769">SUM(BE358,-BF357)</f>
        <v>-6943.6994107478968</v>
      </c>
      <c r="BG358" s="10">
        <f t="shared" ref="BG358" ca="1" si="1770">SUM(BF358,-BG357)</f>
        <v>-7175.1560577728269</v>
      </c>
      <c r="BH358" s="10">
        <f t="shared" ref="BH358" ca="1" si="1771">SUM(BG358,-BH357)</f>
        <v>-7406.612704797757</v>
      </c>
      <c r="BI358" s="10">
        <f t="shared" ref="BI358" ca="1" si="1772">SUM(BH358,-BI357)</f>
        <v>-7638.0693518226872</v>
      </c>
      <c r="BJ358" s="10">
        <f t="shared" ref="BJ358" ca="1" si="1773">SUM(BI358,-BJ357)</f>
        <v>-7869.5259988476173</v>
      </c>
      <c r="BK358" s="10">
        <f t="shared" ref="BK358" ca="1" si="1774">SUM(BJ358,-BK357)</f>
        <v>-8100.9826458725474</v>
      </c>
      <c r="BL358" s="10">
        <f t="shared" ref="BL358" ca="1" si="1775">SUM(BK358,-BL357)</f>
        <v>-8332.4392928974776</v>
      </c>
      <c r="BM358" s="10">
        <f t="shared" ref="BM358" ca="1" si="1776">SUM(BL358,-BM357)</f>
        <v>-8563.8959399224077</v>
      </c>
      <c r="BN358" s="10">
        <f t="shared" ref="BN358" ca="1" si="1777">SUM(BM358,-BN357)</f>
        <v>-8795.3525869473378</v>
      </c>
      <c r="BO358" s="10">
        <f t="shared" ref="BO358" ca="1" si="1778">SUM(BN358,-BO357)</f>
        <v>-9026.809233972268</v>
      </c>
      <c r="BP358" s="10">
        <f t="shared" ref="BP358" ca="1" si="1779">SUM(BO358,-BP357)</f>
        <v>-9258.2658809971981</v>
      </c>
      <c r="BQ358" s="10">
        <f t="shared" ref="BQ358" ca="1" si="1780">SUM(BP358,-BQ357)</f>
        <v>-9489.7225280221282</v>
      </c>
      <c r="BR358" s="10">
        <f t="shared" ref="BR358" ca="1" si="1781">SUM(BQ358,-BR357)</f>
        <v>-9721.1791750470584</v>
      </c>
      <c r="BS358" s="10">
        <f t="shared" ref="BS358" ca="1" si="1782">SUM(BR358,-BS357)</f>
        <v>-9952.6358220719885</v>
      </c>
      <c r="BT358" s="10">
        <f t="shared" ref="BT358" ca="1" si="1783">SUM(BS358,-BT357)</f>
        <v>-10184.092469096919</v>
      </c>
      <c r="BU358" s="10">
        <f t="shared" ref="BU358" ca="1" si="1784">SUM(BT358,-BU357)</f>
        <v>-10415.549116121849</v>
      </c>
      <c r="BV358" s="10">
        <f t="shared" ref="BV358" ca="1" si="1785">SUM(BU358,-BV357)</f>
        <v>-10647.005763146779</v>
      </c>
      <c r="BW358" s="10">
        <f t="shared" ref="BW358" ca="1" si="1786">SUM(BV358,-BW357)</f>
        <v>-10878.462410171709</v>
      </c>
      <c r="BX358" s="10">
        <f t="shared" ref="BX358" ca="1" si="1787">SUM(BW358,-BX357)</f>
        <v>-11109.919057196639</v>
      </c>
      <c r="BY358" s="10">
        <f t="shared" ref="BY358" ca="1" si="1788">SUM(BX358,-BY357)</f>
        <v>-11341.375704221569</v>
      </c>
      <c r="BZ358" s="10">
        <f t="shared" ref="BZ358" ca="1" si="1789">SUM(BY358,-BZ357)</f>
        <v>-11572.832351246499</v>
      </c>
      <c r="CA358" s="10">
        <f t="shared" ref="CA358" ca="1" si="1790">SUM(BZ358,-CA357)</f>
        <v>-11804.28899827143</v>
      </c>
      <c r="CB358" s="10">
        <f t="shared" ref="CB358" ca="1" si="1791">SUM(CA358,-CB357)</f>
        <v>-12035.74564529636</v>
      </c>
      <c r="CC358" s="10">
        <f t="shared" ref="CC358" ca="1" si="1792">SUM(CB358,-CC357)</f>
        <v>-12267.20229232129</v>
      </c>
      <c r="CD358" s="10">
        <f t="shared" ref="CD358" ca="1" si="1793">SUM(CC358,-CD357)</f>
        <v>-12498.65893934622</v>
      </c>
      <c r="CE358" s="10">
        <f t="shared" ref="CE358" ca="1" si="1794">SUM(CD358,-CE357)</f>
        <v>-12730.11558637115</v>
      </c>
      <c r="CF358" s="10">
        <f t="shared" ref="CF358" ca="1" si="1795">SUM(CE358,-CF357)</f>
        <v>-12961.57223339608</v>
      </c>
      <c r="CG358" s="10">
        <f t="shared" ref="CG358" ca="1" si="1796">SUM(CF358,-CG357)</f>
        <v>-13193.02888042101</v>
      </c>
      <c r="CH358" s="10">
        <f t="shared" ref="CH358" ca="1" si="1797">SUM(CG358,-CH357)</f>
        <v>-13424.485527445941</v>
      </c>
      <c r="CI358" s="10">
        <f t="shared" ref="CI358" ca="1" si="1798">SUM(CH358,-CI357)</f>
        <v>-13655.942174470871</v>
      </c>
      <c r="CJ358" s="10">
        <f t="shared" ref="CJ358" ca="1" si="1799">SUM(CI358,-CJ357)</f>
        <v>-13887.398821495801</v>
      </c>
      <c r="CK358" s="10">
        <f t="shared" ref="CK358" ca="1" si="1800">SUM(CJ358,-CK357)</f>
        <v>-14118.855468520731</v>
      </c>
      <c r="CL358" s="10">
        <f t="shared" ref="CL358" ca="1" si="1801">SUM(CK358,-CL357)</f>
        <v>-14350.312115545661</v>
      </c>
      <c r="CM358" s="10">
        <f t="shared" ref="CM358" ca="1" si="1802">SUM(CL358,-CM357)</f>
        <v>-14581.768762570591</v>
      </c>
      <c r="CN358" s="10">
        <f t="shared" ref="CN358" ca="1" si="1803">SUM(CM358,-CN357)</f>
        <v>-14813.225409595521</v>
      </c>
      <c r="CO358" s="10">
        <f t="shared" ref="CO358" ca="1" si="1804">SUM(CN358,-CO357)</f>
        <v>-15044.682056620451</v>
      </c>
    </row>
    <row r="359" spans="1:93">
      <c r="A359" s="10"/>
      <c r="B359" s="10"/>
      <c r="C359" s="17" t="s">
        <v>128</v>
      </c>
      <c r="D359" s="10"/>
      <c r="E359" s="62"/>
      <c r="F359" s="11"/>
      <c r="G359" s="134" t="str">
        <f t="shared" si="1473"/>
        <v>тыс. руб.</v>
      </c>
      <c r="H359" s="10"/>
      <c r="I359" s="10"/>
      <c r="J359" s="10"/>
      <c r="K359" s="10"/>
      <c r="L359" s="10">
        <f t="shared" ref="L359:Q359" ca="1" si="1805">SUM(L356,L358)</f>
        <v>0</v>
      </c>
      <c r="M359" s="10">
        <f t="shared" ca="1" si="1805"/>
        <v>0</v>
      </c>
      <c r="N359" s="10">
        <f t="shared" ca="1" si="1805"/>
        <v>0</v>
      </c>
      <c r="O359" s="10">
        <f t="shared" ca="1" si="1805"/>
        <v>0</v>
      </c>
      <c r="P359" s="10">
        <f t="shared" ca="1" si="1805"/>
        <v>0</v>
      </c>
      <c r="Q359" s="10">
        <f t="shared" ca="1" si="1805"/>
        <v>0</v>
      </c>
      <c r="R359" s="10">
        <f t="shared" ref="R359" ca="1" si="1806">SUM(R356,R358)</f>
        <v>0</v>
      </c>
      <c r="S359" s="10">
        <f t="shared" ref="S359:CD359" ca="1" si="1807">SUM(S356,S358)</f>
        <v>0</v>
      </c>
      <c r="T359" s="10">
        <f t="shared" ca="1" si="1807"/>
        <v>0</v>
      </c>
      <c r="U359" s="10">
        <f t="shared" ca="1" si="1807"/>
        <v>0</v>
      </c>
      <c r="V359" s="10">
        <f t="shared" ca="1" si="1807"/>
        <v>0</v>
      </c>
      <c r="W359" s="10">
        <f t="shared" ca="1" si="1807"/>
        <v>0</v>
      </c>
      <c r="X359" s="10">
        <f t="shared" ca="1" si="1807"/>
        <v>0</v>
      </c>
      <c r="Y359" s="10">
        <f t="shared" ca="1" si="1807"/>
        <v>0</v>
      </c>
      <c r="Z359" s="10">
        <f t="shared" ca="1" si="1807"/>
        <v>0</v>
      </c>
      <c r="AA359" s="10">
        <f t="shared" ca="1" si="1807"/>
        <v>0</v>
      </c>
      <c r="AB359" s="10">
        <f t="shared" ca="1" si="1807"/>
        <v>27774.797642991573</v>
      </c>
      <c r="AC359" s="10">
        <f t="shared" ca="1" si="1807"/>
        <v>27543.340995966642</v>
      </c>
      <c r="AD359" s="10">
        <f t="shared" ca="1" si="1807"/>
        <v>27311.884348941712</v>
      </c>
      <c r="AE359" s="10">
        <f t="shared" ca="1" si="1807"/>
        <v>27080.427701916782</v>
      </c>
      <c r="AF359" s="10">
        <f t="shared" ca="1" si="1807"/>
        <v>26848.971054891852</v>
      </c>
      <c r="AG359" s="10">
        <f t="shared" ca="1" si="1807"/>
        <v>26617.514407866925</v>
      </c>
      <c r="AH359" s="10">
        <f t="shared" ca="1" si="1807"/>
        <v>26386.057760841995</v>
      </c>
      <c r="AI359" s="10">
        <f t="shared" ca="1" si="1807"/>
        <v>26154.601113817065</v>
      </c>
      <c r="AJ359" s="10">
        <f t="shared" ca="1" si="1807"/>
        <v>25923.144466792135</v>
      </c>
      <c r="AK359" s="10">
        <f t="shared" ca="1" si="1807"/>
        <v>25691.687819767205</v>
      </c>
      <c r="AL359" s="10">
        <f t="shared" ca="1" si="1807"/>
        <v>25460.231172742275</v>
      </c>
      <c r="AM359" s="10">
        <f t="shared" ca="1" si="1807"/>
        <v>25228.774525717345</v>
      </c>
      <c r="AN359" s="10">
        <f t="shared" ca="1" si="1807"/>
        <v>24997.317878692415</v>
      </c>
      <c r="AO359" s="10">
        <f t="shared" ca="1" si="1807"/>
        <v>24765.861231667484</v>
      </c>
      <c r="AP359" s="10">
        <f t="shared" ca="1" si="1807"/>
        <v>24534.404584642558</v>
      </c>
      <c r="AQ359" s="10">
        <f t="shared" ca="1" si="1807"/>
        <v>24302.947937617628</v>
      </c>
      <c r="AR359" s="10">
        <f t="shared" ca="1" si="1807"/>
        <v>24071.491290592698</v>
      </c>
      <c r="AS359" s="10">
        <f t="shared" ca="1" si="1807"/>
        <v>23840.034643567767</v>
      </c>
      <c r="AT359" s="10">
        <f t="shared" ca="1" si="1807"/>
        <v>23608.577996542837</v>
      </c>
      <c r="AU359" s="10">
        <f t="shared" ca="1" si="1807"/>
        <v>23377.121349517907</v>
      </c>
      <c r="AV359" s="10">
        <f t="shared" ca="1" si="1807"/>
        <v>23145.664702492977</v>
      </c>
      <c r="AW359" s="10">
        <f t="shared" ca="1" si="1807"/>
        <v>22914.208055468047</v>
      </c>
      <c r="AX359" s="10">
        <f t="shared" ca="1" si="1807"/>
        <v>22682.751408443117</v>
      </c>
      <c r="AY359" s="10">
        <f t="shared" ca="1" si="1807"/>
        <v>22451.294761418187</v>
      </c>
      <c r="AZ359" s="10">
        <f t="shared" ca="1" si="1807"/>
        <v>22219.838114393257</v>
      </c>
      <c r="BA359" s="10">
        <f t="shared" ca="1" si="1807"/>
        <v>21988.381467368326</v>
      </c>
      <c r="BB359" s="10">
        <f t="shared" ca="1" si="1807"/>
        <v>21756.924820343396</v>
      </c>
      <c r="BC359" s="10">
        <f t="shared" ca="1" si="1807"/>
        <v>21525.468173318466</v>
      </c>
      <c r="BD359" s="10">
        <f t="shared" ca="1" si="1807"/>
        <v>21294.011526293536</v>
      </c>
      <c r="BE359" s="10">
        <f t="shared" ca="1" si="1807"/>
        <v>21062.554879268606</v>
      </c>
      <c r="BF359" s="10">
        <f t="shared" ca="1" si="1807"/>
        <v>20831.098232243676</v>
      </c>
      <c r="BG359" s="10">
        <f t="shared" ca="1" si="1807"/>
        <v>20599.641585218746</v>
      </c>
      <c r="BH359" s="10">
        <f t="shared" ca="1" si="1807"/>
        <v>20368.184938193815</v>
      </c>
      <c r="BI359" s="10">
        <f t="shared" ca="1" si="1807"/>
        <v>20136.728291168885</v>
      </c>
      <c r="BJ359" s="10">
        <f t="shared" ca="1" si="1807"/>
        <v>19905.271644143955</v>
      </c>
      <c r="BK359" s="10">
        <f t="shared" ca="1" si="1807"/>
        <v>19673.814997119025</v>
      </c>
      <c r="BL359" s="10">
        <f t="shared" ca="1" si="1807"/>
        <v>19442.358350094095</v>
      </c>
      <c r="BM359" s="10">
        <f t="shared" ca="1" si="1807"/>
        <v>19210.901703069165</v>
      </c>
      <c r="BN359" s="10">
        <f t="shared" ca="1" si="1807"/>
        <v>18979.445056044235</v>
      </c>
      <c r="BO359" s="10">
        <f t="shared" ca="1" si="1807"/>
        <v>18747.988409019305</v>
      </c>
      <c r="BP359" s="10">
        <f t="shared" ca="1" si="1807"/>
        <v>18516.531761994374</v>
      </c>
      <c r="BQ359" s="10">
        <f t="shared" ca="1" si="1807"/>
        <v>18285.075114969444</v>
      </c>
      <c r="BR359" s="10">
        <f t="shared" ca="1" si="1807"/>
        <v>18053.618467944514</v>
      </c>
      <c r="BS359" s="10">
        <f t="shared" ca="1" si="1807"/>
        <v>17822.161820919584</v>
      </c>
      <c r="BT359" s="10">
        <f t="shared" ca="1" si="1807"/>
        <v>17590.705173894654</v>
      </c>
      <c r="BU359" s="10">
        <f t="shared" ca="1" si="1807"/>
        <v>17359.248526869724</v>
      </c>
      <c r="BV359" s="10">
        <f t="shared" ca="1" si="1807"/>
        <v>17127.791879844794</v>
      </c>
      <c r="BW359" s="10">
        <f t="shared" ca="1" si="1807"/>
        <v>16896.335232819863</v>
      </c>
      <c r="BX359" s="10">
        <f t="shared" ca="1" si="1807"/>
        <v>16664.878585794933</v>
      </c>
      <c r="BY359" s="10">
        <f t="shared" ca="1" si="1807"/>
        <v>16433.421938770003</v>
      </c>
      <c r="BZ359" s="10">
        <f t="shared" ca="1" si="1807"/>
        <v>16201.965291745073</v>
      </c>
      <c r="CA359" s="10">
        <f t="shared" ca="1" si="1807"/>
        <v>15970.508644720143</v>
      </c>
      <c r="CB359" s="10">
        <f t="shared" ca="1" si="1807"/>
        <v>15739.051997695213</v>
      </c>
      <c r="CC359" s="10">
        <f t="shared" ca="1" si="1807"/>
        <v>15507.595350670283</v>
      </c>
      <c r="CD359" s="10">
        <f t="shared" ca="1" si="1807"/>
        <v>15276.138703645353</v>
      </c>
      <c r="CE359" s="10">
        <f t="shared" ref="CE359:CO359" ca="1" si="1808">SUM(CE356,CE358)</f>
        <v>15044.682056620422</v>
      </c>
      <c r="CF359" s="10">
        <f t="shared" ca="1" si="1808"/>
        <v>14813.225409595492</v>
      </c>
      <c r="CG359" s="10">
        <f t="shared" ca="1" si="1808"/>
        <v>14581.768762570562</v>
      </c>
      <c r="CH359" s="10">
        <f t="shared" ca="1" si="1808"/>
        <v>14350.312115545632</v>
      </c>
      <c r="CI359" s="10">
        <f t="shared" ca="1" si="1808"/>
        <v>14118.855468520702</v>
      </c>
      <c r="CJ359" s="10">
        <f t="shared" ca="1" si="1808"/>
        <v>13887.398821495772</v>
      </c>
      <c r="CK359" s="10">
        <f t="shared" ca="1" si="1808"/>
        <v>13655.942174470842</v>
      </c>
      <c r="CL359" s="10">
        <f t="shared" ca="1" si="1808"/>
        <v>13424.485527445911</v>
      </c>
      <c r="CM359" s="10">
        <f t="shared" ca="1" si="1808"/>
        <v>13193.028880420981</v>
      </c>
      <c r="CN359" s="10">
        <f t="shared" ca="1" si="1808"/>
        <v>12961.572233396051</v>
      </c>
      <c r="CO359" s="10">
        <f t="shared" ca="1" si="1808"/>
        <v>12730.115586371121</v>
      </c>
    </row>
    <row r="360" spans="1:93">
      <c r="A360" s="10"/>
      <c r="B360" s="10"/>
      <c r="C360" s="17"/>
      <c r="D360" s="10"/>
      <c r="E360" s="62"/>
      <c r="F360" s="11"/>
      <c r="G360" s="11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</row>
    <row r="361" spans="1:93">
      <c r="A361" s="10"/>
      <c r="B361" s="10"/>
      <c r="C361" s="87" t="s">
        <v>581</v>
      </c>
      <c r="D361" s="10"/>
      <c r="E361" s="10"/>
      <c r="F361" s="10"/>
      <c r="G361" s="11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</row>
    <row r="362" spans="1:93">
      <c r="A362" s="10"/>
      <c r="B362" s="10"/>
      <c r="C362" s="17" t="s">
        <v>386</v>
      </c>
      <c r="D362" s="10"/>
      <c r="E362" s="184">
        <f>Предпосылки!E366</f>
        <v>30</v>
      </c>
      <c r="F362" s="11"/>
      <c r="G362" s="11" t="s">
        <v>123</v>
      </c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</row>
    <row r="363" spans="1:93">
      <c r="A363" s="10"/>
      <c r="B363" s="10"/>
      <c r="C363" s="17" t="s">
        <v>387</v>
      </c>
      <c r="D363" s="10"/>
      <c r="F363" s="11"/>
      <c r="G363" s="11" t="s">
        <v>28</v>
      </c>
      <c r="H363" s="10"/>
      <c r="I363" s="10"/>
      <c r="J363" s="10"/>
      <c r="K363" s="10"/>
      <c r="L363" s="157">
        <f t="shared" ref="L363:Q363" si="1809">IF($E362&lt;&gt;0,1/$E362,0)/Periods_in_Year</f>
        <v>8.3333333333333332E-3</v>
      </c>
      <c r="M363" s="157">
        <f t="shared" si="1809"/>
        <v>8.3333333333333332E-3</v>
      </c>
      <c r="N363" s="157">
        <f t="shared" si="1809"/>
        <v>8.3333333333333332E-3</v>
      </c>
      <c r="O363" s="157">
        <f t="shared" si="1809"/>
        <v>8.3333333333333332E-3</v>
      </c>
      <c r="P363" s="157">
        <f t="shared" si="1809"/>
        <v>8.3333333333333332E-3</v>
      </c>
      <c r="Q363" s="157">
        <f t="shared" si="1809"/>
        <v>8.3333333333333332E-3</v>
      </c>
      <c r="R363" s="157">
        <f t="shared" ref="R363" si="1810">IF($E362&lt;&gt;0,1/$E362,0)/Periods_in_Year</f>
        <v>8.3333333333333332E-3</v>
      </c>
      <c r="S363" s="157">
        <f t="shared" ref="S363:CD363" si="1811">IF($E362&lt;&gt;0,1/$E362,0)/Periods_in_Year</f>
        <v>8.3333333333333332E-3</v>
      </c>
      <c r="T363" s="157">
        <f t="shared" si="1811"/>
        <v>8.3333333333333332E-3</v>
      </c>
      <c r="U363" s="157">
        <f t="shared" si="1811"/>
        <v>8.3333333333333332E-3</v>
      </c>
      <c r="V363" s="157">
        <f t="shared" si="1811"/>
        <v>8.3333333333333332E-3</v>
      </c>
      <c r="W363" s="157">
        <f t="shared" si="1811"/>
        <v>8.3333333333333332E-3</v>
      </c>
      <c r="X363" s="157">
        <f t="shared" si="1811"/>
        <v>8.3333333333333332E-3</v>
      </c>
      <c r="Y363" s="157">
        <f t="shared" si="1811"/>
        <v>8.3333333333333332E-3</v>
      </c>
      <c r="Z363" s="157">
        <f t="shared" si="1811"/>
        <v>8.3333333333333332E-3</v>
      </c>
      <c r="AA363" s="157">
        <f t="shared" si="1811"/>
        <v>8.3333333333333332E-3</v>
      </c>
      <c r="AB363" s="157">
        <f t="shared" si="1811"/>
        <v>8.3333333333333332E-3</v>
      </c>
      <c r="AC363" s="157">
        <f t="shared" si="1811"/>
        <v>8.3333333333333332E-3</v>
      </c>
      <c r="AD363" s="157">
        <f t="shared" si="1811"/>
        <v>8.3333333333333332E-3</v>
      </c>
      <c r="AE363" s="157">
        <f t="shared" si="1811"/>
        <v>8.3333333333333332E-3</v>
      </c>
      <c r="AF363" s="157">
        <f t="shared" si="1811"/>
        <v>8.3333333333333332E-3</v>
      </c>
      <c r="AG363" s="157">
        <f t="shared" si="1811"/>
        <v>8.3333333333333332E-3</v>
      </c>
      <c r="AH363" s="157">
        <f t="shared" si="1811"/>
        <v>8.3333333333333332E-3</v>
      </c>
      <c r="AI363" s="157">
        <f t="shared" si="1811"/>
        <v>8.3333333333333332E-3</v>
      </c>
      <c r="AJ363" s="157">
        <f t="shared" si="1811"/>
        <v>8.3333333333333332E-3</v>
      </c>
      <c r="AK363" s="157">
        <f t="shared" si="1811"/>
        <v>8.3333333333333332E-3</v>
      </c>
      <c r="AL363" s="157">
        <f t="shared" si="1811"/>
        <v>8.3333333333333332E-3</v>
      </c>
      <c r="AM363" s="157">
        <f t="shared" si="1811"/>
        <v>8.3333333333333332E-3</v>
      </c>
      <c r="AN363" s="157">
        <f t="shared" si="1811"/>
        <v>8.3333333333333332E-3</v>
      </c>
      <c r="AO363" s="157">
        <f t="shared" si="1811"/>
        <v>8.3333333333333332E-3</v>
      </c>
      <c r="AP363" s="157">
        <f t="shared" si="1811"/>
        <v>8.3333333333333332E-3</v>
      </c>
      <c r="AQ363" s="157">
        <f t="shared" si="1811"/>
        <v>8.3333333333333332E-3</v>
      </c>
      <c r="AR363" s="157">
        <f t="shared" si="1811"/>
        <v>8.3333333333333332E-3</v>
      </c>
      <c r="AS363" s="157">
        <f t="shared" si="1811"/>
        <v>8.3333333333333332E-3</v>
      </c>
      <c r="AT363" s="157">
        <f t="shared" si="1811"/>
        <v>8.3333333333333332E-3</v>
      </c>
      <c r="AU363" s="157">
        <f t="shared" si="1811"/>
        <v>8.3333333333333332E-3</v>
      </c>
      <c r="AV363" s="157">
        <f t="shared" si="1811"/>
        <v>8.3333333333333332E-3</v>
      </c>
      <c r="AW363" s="157">
        <f t="shared" si="1811"/>
        <v>8.3333333333333332E-3</v>
      </c>
      <c r="AX363" s="157">
        <f t="shared" si="1811"/>
        <v>8.3333333333333332E-3</v>
      </c>
      <c r="AY363" s="157">
        <f t="shared" si="1811"/>
        <v>8.3333333333333332E-3</v>
      </c>
      <c r="AZ363" s="157">
        <f t="shared" si="1811"/>
        <v>8.3333333333333332E-3</v>
      </c>
      <c r="BA363" s="157">
        <f t="shared" si="1811"/>
        <v>8.3333333333333332E-3</v>
      </c>
      <c r="BB363" s="157">
        <f t="shared" si="1811"/>
        <v>8.3333333333333332E-3</v>
      </c>
      <c r="BC363" s="157">
        <f t="shared" si="1811"/>
        <v>8.3333333333333332E-3</v>
      </c>
      <c r="BD363" s="157">
        <f t="shared" si="1811"/>
        <v>8.3333333333333332E-3</v>
      </c>
      <c r="BE363" s="157">
        <f t="shared" si="1811"/>
        <v>8.3333333333333332E-3</v>
      </c>
      <c r="BF363" s="157">
        <f t="shared" si="1811"/>
        <v>8.3333333333333332E-3</v>
      </c>
      <c r="BG363" s="157">
        <f t="shared" si="1811"/>
        <v>8.3333333333333332E-3</v>
      </c>
      <c r="BH363" s="157">
        <f t="shared" si="1811"/>
        <v>8.3333333333333332E-3</v>
      </c>
      <c r="BI363" s="157">
        <f t="shared" si="1811"/>
        <v>8.3333333333333332E-3</v>
      </c>
      <c r="BJ363" s="157">
        <f t="shared" si="1811"/>
        <v>8.3333333333333332E-3</v>
      </c>
      <c r="BK363" s="157">
        <f t="shared" si="1811"/>
        <v>8.3333333333333332E-3</v>
      </c>
      <c r="BL363" s="157">
        <f t="shared" si="1811"/>
        <v>8.3333333333333332E-3</v>
      </c>
      <c r="BM363" s="157">
        <f t="shared" si="1811"/>
        <v>8.3333333333333332E-3</v>
      </c>
      <c r="BN363" s="157">
        <f t="shared" si="1811"/>
        <v>8.3333333333333332E-3</v>
      </c>
      <c r="BO363" s="157">
        <f t="shared" si="1811"/>
        <v>8.3333333333333332E-3</v>
      </c>
      <c r="BP363" s="157">
        <f t="shared" si="1811"/>
        <v>8.3333333333333332E-3</v>
      </c>
      <c r="BQ363" s="157">
        <f t="shared" si="1811"/>
        <v>8.3333333333333332E-3</v>
      </c>
      <c r="BR363" s="157">
        <f t="shared" si="1811"/>
        <v>8.3333333333333332E-3</v>
      </c>
      <c r="BS363" s="157">
        <f t="shared" si="1811"/>
        <v>8.3333333333333332E-3</v>
      </c>
      <c r="BT363" s="157">
        <f t="shared" si="1811"/>
        <v>8.3333333333333332E-3</v>
      </c>
      <c r="BU363" s="157">
        <f t="shared" si="1811"/>
        <v>8.3333333333333332E-3</v>
      </c>
      <c r="BV363" s="157">
        <f t="shared" si="1811"/>
        <v>8.3333333333333332E-3</v>
      </c>
      <c r="BW363" s="157">
        <f t="shared" si="1811"/>
        <v>8.3333333333333332E-3</v>
      </c>
      <c r="BX363" s="157">
        <f t="shared" si="1811"/>
        <v>8.3333333333333332E-3</v>
      </c>
      <c r="BY363" s="157">
        <f t="shared" si="1811"/>
        <v>8.3333333333333332E-3</v>
      </c>
      <c r="BZ363" s="157">
        <f t="shared" si="1811"/>
        <v>8.3333333333333332E-3</v>
      </c>
      <c r="CA363" s="157">
        <f t="shared" si="1811"/>
        <v>8.3333333333333332E-3</v>
      </c>
      <c r="CB363" s="157">
        <f t="shared" si="1811"/>
        <v>8.3333333333333332E-3</v>
      </c>
      <c r="CC363" s="157">
        <f t="shared" si="1811"/>
        <v>8.3333333333333332E-3</v>
      </c>
      <c r="CD363" s="157">
        <f t="shared" si="1811"/>
        <v>8.3333333333333332E-3</v>
      </c>
      <c r="CE363" s="157">
        <f t="shared" ref="CE363:CO363" si="1812">IF($E362&lt;&gt;0,1/$E362,0)/Periods_in_Year</f>
        <v>8.3333333333333332E-3</v>
      </c>
      <c r="CF363" s="157">
        <f t="shared" si="1812"/>
        <v>8.3333333333333332E-3</v>
      </c>
      <c r="CG363" s="157">
        <f t="shared" si="1812"/>
        <v>8.3333333333333332E-3</v>
      </c>
      <c r="CH363" s="157">
        <f t="shared" si="1812"/>
        <v>8.3333333333333332E-3</v>
      </c>
      <c r="CI363" s="157">
        <f t="shared" si="1812"/>
        <v>8.3333333333333332E-3</v>
      </c>
      <c r="CJ363" s="157">
        <f t="shared" si="1812"/>
        <v>8.3333333333333332E-3</v>
      </c>
      <c r="CK363" s="157">
        <f t="shared" si="1812"/>
        <v>8.3333333333333332E-3</v>
      </c>
      <c r="CL363" s="157">
        <f t="shared" si="1812"/>
        <v>8.3333333333333332E-3</v>
      </c>
      <c r="CM363" s="157">
        <f t="shared" si="1812"/>
        <v>8.3333333333333332E-3</v>
      </c>
      <c r="CN363" s="157">
        <f t="shared" si="1812"/>
        <v>8.3333333333333332E-3</v>
      </c>
      <c r="CO363" s="157">
        <f t="shared" si="1812"/>
        <v>8.3333333333333332E-3</v>
      </c>
    </row>
    <row r="364" spans="1:93">
      <c r="A364" s="10"/>
      <c r="B364" s="10"/>
      <c r="C364" s="17" t="s">
        <v>125</v>
      </c>
      <c r="D364" s="10"/>
      <c r="E364" s="62"/>
      <c r="F364" s="11"/>
      <c r="G364" s="134" t="str">
        <f t="shared" ref="G364:G369" si="1813">Monetary_Unit</f>
        <v>тыс. руб.</v>
      </c>
      <c r="H364" s="10"/>
      <c r="I364" s="10"/>
      <c r="J364" s="10"/>
      <c r="K364" s="10"/>
      <c r="L364" s="10">
        <f t="shared" ref="L364" si="1814">K369</f>
        <v>0</v>
      </c>
      <c r="M364" s="10">
        <f t="shared" ref="M364" ca="1" si="1815">L369</f>
        <v>0</v>
      </c>
      <c r="N364" s="10">
        <f t="shared" ref="N364" ca="1" si="1816">M369</f>
        <v>0</v>
      </c>
      <c r="O364" s="10">
        <f t="shared" ref="O364" ca="1" si="1817">N369</f>
        <v>0</v>
      </c>
      <c r="P364" s="10">
        <f t="shared" ref="P364" ca="1" si="1818">O369</f>
        <v>0</v>
      </c>
      <c r="Q364" s="10">
        <f t="shared" ref="Q364" ca="1" si="1819">P369</f>
        <v>0</v>
      </c>
      <c r="R364" s="10">
        <f t="shared" ref="R364" ca="1" si="1820">Q369</f>
        <v>0</v>
      </c>
      <c r="S364" s="10">
        <f t="shared" ref="S364" ca="1" si="1821">R369</f>
        <v>0</v>
      </c>
      <c r="T364" s="10">
        <f t="shared" ref="T364" ca="1" si="1822">S369</f>
        <v>0</v>
      </c>
      <c r="U364" s="10">
        <f t="shared" ref="U364" ca="1" si="1823">T369</f>
        <v>0</v>
      </c>
      <c r="V364" s="10">
        <f t="shared" ref="V364" ca="1" si="1824">U369</f>
        <v>0</v>
      </c>
      <c r="W364" s="10">
        <f t="shared" ref="W364" ca="1" si="1825">V369</f>
        <v>0</v>
      </c>
      <c r="X364" s="10">
        <f t="shared" ref="X364" ca="1" si="1826">W369</f>
        <v>0</v>
      </c>
      <c r="Y364" s="10">
        <f t="shared" ref="Y364" ca="1" si="1827">X369</f>
        <v>0</v>
      </c>
      <c r="Z364" s="10">
        <f t="shared" ref="Z364" ca="1" si="1828">Y369</f>
        <v>0</v>
      </c>
      <c r="AA364" s="10">
        <f t="shared" ref="AA364" ca="1" si="1829">Z369</f>
        <v>0</v>
      </c>
      <c r="AB364" s="10">
        <f t="shared" ref="AB364" ca="1" si="1830">AA369</f>
        <v>0</v>
      </c>
      <c r="AC364" s="10">
        <f t="shared" ref="AC364" ca="1" si="1831">AB369</f>
        <v>3683093.3769661123</v>
      </c>
      <c r="AD364" s="10">
        <f t="shared" ref="AD364" ca="1" si="1832">AC369</f>
        <v>3652400.9321580613</v>
      </c>
      <c r="AE364" s="10">
        <f t="shared" ref="AE364" ca="1" si="1833">AD369</f>
        <v>3621708.4873500103</v>
      </c>
      <c r="AF364" s="10">
        <f t="shared" ref="AF364" ca="1" si="1834">AE369</f>
        <v>3591016.0425419593</v>
      </c>
      <c r="AG364" s="10">
        <f t="shared" ref="AG364" ca="1" si="1835">AF369</f>
        <v>3560323.5977339083</v>
      </c>
      <c r="AH364" s="10">
        <f t="shared" ref="AH364" ca="1" si="1836">AG369</f>
        <v>3529631.1529258578</v>
      </c>
      <c r="AI364" s="10">
        <f t="shared" ref="AI364" ca="1" si="1837">AH369</f>
        <v>3498938.7081178068</v>
      </c>
      <c r="AJ364" s="10">
        <f t="shared" ref="AJ364" ca="1" si="1838">AI369</f>
        <v>3468246.2633097558</v>
      </c>
      <c r="AK364" s="10">
        <f t="shared" ref="AK364" ca="1" si="1839">AJ369</f>
        <v>3437553.8185017048</v>
      </c>
      <c r="AL364" s="10">
        <f t="shared" ref="AL364" ca="1" si="1840">AK369</f>
        <v>3406861.3736936538</v>
      </c>
      <c r="AM364" s="10">
        <f t="shared" ref="AM364" ca="1" si="1841">AL369</f>
        <v>3376168.9288856029</v>
      </c>
      <c r="AN364" s="10">
        <f t="shared" ref="AN364" ca="1" si="1842">AM369</f>
        <v>3345476.4840775519</v>
      </c>
      <c r="AO364" s="10">
        <f t="shared" ref="AO364" ca="1" si="1843">AN369</f>
        <v>3314784.0392695009</v>
      </c>
      <c r="AP364" s="10">
        <f t="shared" ref="AP364" ca="1" si="1844">AO369</f>
        <v>3284091.5944614504</v>
      </c>
      <c r="AQ364" s="10">
        <f t="shared" ref="AQ364" ca="1" si="1845">AP369</f>
        <v>3253399.1496533994</v>
      </c>
      <c r="AR364" s="10">
        <f t="shared" ref="AR364" ca="1" si="1846">AQ369</f>
        <v>3222706.7048453484</v>
      </c>
      <c r="AS364" s="10">
        <f t="shared" ref="AS364" ca="1" si="1847">AR369</f>
        <v>3192014.2600372974</v>
      </c>
      <c r="AT364" s="10">
        <f t="shared" ref="AT364" ca="1" si="1848">AS369</f>
        <v>3161321.8152292464</v>
      </c>
      <c r="AU364" s="10">
        <f t="shared" ref="AU364" ca="1" si="1849">AT369</f>
        <v>3130629.3704211954</v>
      </c>
      <c r="AV364" s="10">
        <f t="shared" ref="AV364" ca="1" si="1850">AU369</f>
        <v>3099936.9256131444</v>
      </c>
      <c r="AW364" s="10">
        <f t="shared" ref="AW364" ca="1" si="1851">AV369</f>
        <v>3069244.4808050934</v>
      </c>
      <c r="AX364" s="10">
        <f t="shared" ref="AX364" ca="1" si="1852">AW369</f>
        <v>3038552.0359970424</v>
      </c>
      <c r="AY364" s="10">
        <f t="shared" ref="AY364" ca="1" si="1853">AX369</f>
        <v>3007859.5911889914</v>
      </c>
      <c r="AZ364" s="10">
        <f t="shared" ref="AZ364" ca="1" si="1854">AY369</f>
        <v>2977167.1463809405</v>
      </c>
      <c r="BA364" s="10">
        <f t="shared" ref="BA364" ca="1" si="1855">AZ369</f>
        <v>2946474.7015728895</v>
      </c>
      <c r="BB364" s="10">
        <f t="shared" ref="BB364" ca="1" si="1856">BA369</f>
        <v>2915782.2567648385</v>
      </c>
      <c r="BC364" s="10">
        <f t="shared" ref="BC364" ca="1" si="1857">BB369</f>
        <v>2885089.8119567875</v>
      </c>
      <c r="BD364" s="10">
        <f t="shared" ref="BD364" ca="1" si="1858">BC369</f>
        <v>2854397.3671487365</v>
      </c>
      <c r="BE364" s="10">
        <f t="shared" ref="BE364" ca="1" si="1859">BD369</f>
        <v>2823704.9223406855</v>
      </c>
      <c r="BF364" s="10">
        <f t="shared" ref="BF364" ca="1" si="1860">BE369</f>
        <v>2793012.4775326345</v>
      </c>
      <c r="BG364" s="10">
        <f t="shared" ref="BG364" ca="1" si="1861">BF369</f>
        <v>2762320.0327245835</v>
      </c>
      <c r="BH364" s="10">
        <f t="shared" ref="BH364" ca="1" si="1862">BG369</f>
        <v>2731627.5879165325</v>
      </c>
      <c r="BI364" s="10">
        <f t="shared" ref="BI364" ca="1" si="1863">BH369</f>
        <v>2700935.1431084815</v>
      </c>
      <c r="BJ364" s="10">
        <f t="shared" ref="BJ364" ca="1" si="1864">BI369</f>
        <v>2670242.6983004306</v>
      </c>
      <c r="BK364" s="10">
        <f t="shared" ref="BK364" ca="1" si="1865">BJ369</f>
        <v>2639550.2534923796</v>
      </c>
      <c r="BL364" s="10">
        <f t="shared" ref="BL364" ca="1" si="1866">BK369</f>
        <v>2608857.8086843286</v>
      </c>
      <c r="BM364" s="10">
        <f t="shared" ref="BM364" ca="1" si="1867">BL369</f>
        <v>2578165.3638762776</v>
      </c>
      <c r="BN364" s="10">
        <f t="shared" ref="BN364" ca="1" si="1868">BM369</f>
        <v>2547472.9190682266</v>
      </c>
      <c r="BO364" s="10">
        <f t="shared" ref="BO364" ca="1" si="1869">BN369</f>
        <v>2516780.4742601756</v>
      </c>
      <c r="BP364" s="10">
        <f t="shared" ref="BP364" ca="1" si="1870">BO369</f>
        <v>2486088.0294521246</v>
      </c>
      <c r="BQ364" s="10">
        <f t="shared" ref="BQ364" ca="1" si="1871">BP369</f>
        <v>2455395.5846440736</v>
      </c>
      <c r="BR364" s="10">
        <f t="shared" ref="BR364" ca="1" si="1872">BQ369</f>
        <v>2424703.1398360226</v>
      </c>
      <c r="BS364" s="10">
        <f t="shared" ref="BS364" ca="1" si="1873">BR369</f>
        <v>2394010.6950279716</v>
      </c>
      <c r="BT364" s="10">
        <f t="shared" ref="BT364" ca="1" si="1874">BS369</f>
        <v>2363318.2502199207</v>
      </c>
      <c r="BU364" s="10">
        <f t="shared" ref="BU364" ca="1" si="1875">BT369</f>
        <v>2332625.8054118697</v>
      </c>
      <c r="BV364" s="10">
        <f t="shared" ref="BV364" ca="1" si="1876">BU369</f>
        <v>2301933.3606038187</v>
      </c>
      <c r="BW364" s="10">
        <f t="shared" ref="BW364" ca="1" si="1877">BV369</f>
        <v>2271240.9157957677</v>
      </c>
      <c r="BX364" s="10">
        <f t="shared" ref="BX364" ca="1" si="1878">BW369</f>
        <v>2240548.4709877167</v>
      </c>
      <c r="BY364" s="10">
        <f t="shared" ref="BY364" ca="1" si="1879">BX369</f>
        <v>2209856.0261796657</v>
      </c>
      <c r="BZ364" s="10">
        <f t="shared" ref="BZ364" ca="1" si="1880">BY369</f>
        <v>2179163.5813716147</v>
      </c>
      <c r="CA364" s="10">
        <f t="shared" ref="CA364" ca="1" si="1881">BZ369</f>
        <v>2148471.1365635637</v>
      </c>
      <c r="CB364" s="10">
        <f t="shared" ref="CB364" ca="1" si="1882">CA369</f>
        <v>2117778.6917555127</v>
      </c>
      <c r="CC364" s="10">
        <f t="shared" ref="CC364" ca="1" si="1883">CB369</f>
        <v>2087086.2469474617</v>
      </c>
      <c r="CD364" s="10">
        <f t="shared" ref="CD364" ca="1" si="1884">CC369</f>
        <v>2056393.8021394107</v>
      </c>
      <c r="CE364" s="10">
        <f t="shared" ref="CE364" ca="1" si="1885">CD369</f>
        <v>2025701.3573313598</v>
      </c>
      <c r="CF364" s="10">
        <f t="shared" ref="CF364" ca="1" si="1886">CE369</f>
        <v>1995008.9125233088</v>
      </c>
      <c r="CG364" s="10">
        <f t="shared" ref="CG364" ca="1" si="1887">CF369</f>
        <v>1964316.4677152578</v>
      </c>
      <c r="CH364" s="10">
        <f t="shared" ref="CH364" ca="1" si="1888">CG369</f>
        <v>1933624.0229072068</v>
      </c>
      <c r="CI364" s="10">
        <f t="shared" ref="CI364" ca="1" si="1889">CH369</f>
        <v>1902931.5780991558</v>
      </c>
      <c r="CJ364" s="10">
        <f t="shared" ref="CJ364" ca="1" si="1890">CI369</f>
        <v>1872239.1332911048</v>
      </c>
      <c r="CK364" s="10">
        <f t="shared" ref="CK364" ca="1" si="1891">CJ369</f>
        <v>1841546.6884830538</v>
      </c>
      <c r="CL364" s="10">
        <f t="shared" ref="CL364" ca="1" si="1892">CK369</f>
        <v>1810854.2436750028</v>
      </c>
      <c r="CM364" s="10">
        <f t="shared" ref="CM364" ca="1" si="1893">CL369</f>
        <v>1780161.7988669518</v>
      </c>
      <c r="CN364" s="10">
        <f t="shared" ref="CN364" ca="1" si="1894">CM369</f>
        <v>1749469.3540589008</v>
      </c>
      <c r="CO364" s="10">
        <f t="shared" ref="CO364" ca="1" si="1895">CN369</f>
        <v>1718776.9092508499</v>
      </c>
    </row>
    <row r="365" spans="1:93">
      <c r="A365" s="10"/>
      <c r="B365" s="10"/>
      <c r="C365" s="17" t="s">
        <v>126</v>
      </c>
      <c r="D365" s="10"/>
      <c r="E365" s="62"/>
      <c r="F365" s="11"/>
      <c r="G365" s="134" t="str">
        <f t="shared" si="1813"/>
        <v>тыс. руб.</v>
      </c>
      <c r="H365" s="10"/>
      <c r="I365" s="23">
        <f ca="1">SUM(L365:CO365)</f>
        <v>3683093.3769661123</v>
      </c>
      <c r="J365" s="10"/>
      <c r="K365" s="10"/>
      <c r="L365" s="10">
        <f t="shared" ref="L365:AQ365" ca="1" si="1896">SUM(L323,L324,L327)</f>
        <v>0</v>
      </c>
      <c r="M365" s="10">
        <f t="shared" ca="1" si="1896"/>
        <v>0</v>
      </c>
      <c r="N365" s="10">
        <f t="shared" ca="1" si="1896"/>
        <v>0</v>
      </c>
      <c r="O365" s="10">
        <f t="shared" ca="1" si="1896"/>
        <v>0</v>
      </c>
      <c r="P365" s="10">
        <f t="shared" ca="1" si="1896"/>
        <v>0</v>
      </c>
      <c r="Q365" s="10">
        <f t="shared" ca="1" si="1896"/>
        <v>0</v>
      </c>
      <c r="R365" s="10">
        <f t="shared" ca="1" si="1896"/>
        <v>0</v>
      </c>
      <c r="S365" s="10">
        <f t="shared" ca="1" si="1896"/>
        <v>0</v>
      </c>
      <c r="T365" s="10">
        <f t="shared" ca="1" si="1896"/>
        <v>0</v>
      </c>
      <c r="U365" s="10">
        <f t="shared" ca="1" si="1896"/>
        <v>0</v>
      </c>
      <c r="V365" s="10">
        <f t="shared" ca="1" si="1896"/>
        <v>0</v>
      </c>
      <c r="W365" s="10">
        <f t="shared" ca="1" si="1896"/>
        <v>0</v>
      </c>
      <c r="X365" s="10">
        <f t="shared" ca="1" si="1896"/>
        <v>0</v>
      </c>
      <c r="Y365" s="10">
        <f t="shared" ca="1" si="1896"/>
        <v>0</v>
      </c>
      <c r="Z365" s="10">
        <f t="shared" ca="1" si="1896"/>
        <v>0</v>
      </c>
      <c r="AA365" s="10">
        <f t="shared" ca="1" si="1896"/>
        <v>0</v>
      </c>
      <c r="AB365" s="10">
        <f t="shared" ca="1" si="1896"/>
        <v>3683093.3769661123</v>
      </c>
      <c r="AC365" s="10">
        <f t="shared" ca="1" si="1896"/>
        <v>0</v>
      </c>
      <c r="AD365" s="10">
        <f t="shared" ca="1" si="1896"/>
        <v>0</v>
      </c>
      <c r="AE365" s="10">
        <f t="shared" ca="1" si="1896"/>
        <v>0</v>
      </c>
      <c r="AF365" s="10">
        <f t="shared" ca="1" si="1896"/>
        <v>0</v>
      </c>
      <c r="AG365" s="10">
        <f t="shared" ca="1" si="1896"/>
        <v>0</v>
      </c>
      <c r="AH365" s="10">
        <f t="shared" ca="1" si="1896"/>
        <v>0</v>
      </c>
      <c r="AI365" s="10">
        <f t="shared" ca="1" si="1896"/>
        <v>0</v>
      </c>
      <c r="AJ365" s="10">
        <f t="shared" ca="1" si="1896"/>
        <v>0</v>
      </c>
      <c r="AK365" s="10">
        <f t="shared" ca="1" si="1896"/>
        <v>0</v>
      </c>
      <c r="AL365" s="10">
        <f t="shared" ca="1" si="1896"/>
        <v>0</v>
      </c>
      <c r="AM365" s="10">
        <f t="shared" ca="1" si="1896"/>
        <v>0</v>
      </c>
      <c r="AN365" s="10">
        <f t="shared" ca="1" si="1896"/>
        <v>0</v>
      </c>
      <c r="AO365" s="10">
        <f t="shared" ca="1" si="1896"/>
        <v>0</v>
      </c>
      <c r="AP365" s="10">
        <f t="shared" ca="1" si="1896"/>
        <v>0</v>
      </c>
      <c r="AQ365" s="10">
        <f t="shared" ca="1" si="1896"/>
        <v>0</v>
      </c>
      <c r="AR365" s="10">
        <f t="shared" ref="AR365:BW365" ca="1" si="1897">SUM(AR323,AR324,AR327)</f>
        <v>0</v>
      </c>
      <c r="AS365" s="10">
        <f t="shared" ca="1" si="1897"/>
        <v>0</v>
      </c>
      <c r="AT365" s="10">
        <f t="shared" ca="1" si="1897"/>
        <v>0</v>
      </c>
      <c r="AU365" s="10">
        <f t="shared" ca="1" si="1897"/>
        <v>0</v>
      </c>
      <c r="AV365" s="10">
        <f t="shared" ca="1" si="1897"/>
        <v>0</v>
      </c>
      <c r="AW365" s="10">
        <f t="shared" ca="1" si="1897"/>
        <v>0</v>
      </c>
      <c r="AX365" s="10">
        <f t="shared" ca="1" si="1897"/>
        <v>0</v>
      </c>
      <c r="AY365" s="10">
        <f t="shared" ca="1" si="1897"/>
        <v>0</v>
      </c>
      <c r="AZ365" s="10">
        <f t="shared" ca="1" si="1897"/>
        <v>0</v>
      </c>
      <c r="BA365" s="10">
        <f t="shared" ca="1" si="1897"/>
        <v>0</v>
      </c>
      <c r="BB365" s="10">
        <f t="shared" ca="1" si="1897"/>
        <v>0</v>
      </c>
      <c r="BC365" s="10">
        <f t="shared" ca="1" si="1897"/>
        <v>0</v>
      </c>
      <c r="BD365" s="10">
        <f t="shared" ca="1" si="1897"/>
        <v>0</v>
      </c>
      <c r="BE365" s="10">
        <f t="shared" ca="1" si="1897"/>
        <v>0</v>
      </c>
      <c r="BF365" s="10">
        <f t="shared" ca="1" si="1897"/>
        <v>0</v>
      </c>
      <c r="BG365" s="10">
        <f t="shared" ca="1" si="1897"/>
        <v>0</v>
      </c>
      <c r="BH365" s="10">
        <f t="shared" ca="1" si="1897"/>
        <v>0</v>
      </c>
      <c r="BI365" s="10">
        <f t="shared" ca="1" si="1897"/>
        <v>0</v>
      </c>
      <c r="BJ365" s="10">
        <f t="shared" ca="1" si="1897"/>
        <v>0</v>
      </c>
      <c r="BK365" s="10">
        <f t="shared" ca="1" si="1897"/>
        <v>0</v>
      </c>
      <c r="BL365" s="10">
        <f t="shared" ca="1" si="1897"/>
        <v>0</v>
      </c>
      <c r="BM365" s="10">
        <f t="shared" ca="1" si="1897"/>
        <v>0</v>
      </c>
      <c r="BN365" s="10">
        <f t="shared" ca="1" si="1897"/>
        <v>0</v>
      </c>
      <c r="BO365" s="10">
        <f t="shared" ca="1" si="1897"/>
        <v>0</v>
      </c>
      <c r="BP365" s="10">
        <f t="shared" ca="1" si="1897"/>
        <v>0</v>
      </c>
      <c r="BQ365" s="10">
        <f t="shared" ca="1" si="1897"/>
        <v>0</v>
      </c>
      <c r="BR365" s="10">
        <f t="shared" ca="1" si="1897"/>
        <v>0</v>
      </c>
      <c r="BS365" s="10">
        <f t="shared" ca="1" si="1897"/>
        <v>0</v>
      </c>
      <c r="BT365" s="10">
        <f t="shared" ca="1" si="1897"/>
        <v>0</v>
      </c>
      <c r="BU365" s="10">
        <f t="shared" ca="1" si="1897"/>
        <v>0</v>
      </c>
      <c r="BV365" s="10">
        <f t="shared" ca="1" si="1897"/>
        <v>0</v>
      </c>
      <c r="BW365" s="10">
        <f t="shared" ca="1" si="1897"/>
        <v>0</v>
      </c>
      <c r="BX365" s="10">
        <f t="shared" ref="BX365:CO365" ca="1" si="1898">SUM(BX323,BX324,BX327)</f>
        <v>0</v>
      </c>
      <c r="BY365" s="10">
        <f t="shared" ca="1" si="1898"/>
        <v>0</v>
      </c>
      <c r="BZ365" s="10">
        <f t="shared" ca="1" si="1898"/>
        <v>0</v>
      </c>
      <c r="CA365" s="10">
        <f t="shared" ca="1" si="1898"/>
        <v>0</v>
      </c>
      <c r="CB365" s="10">
        <f t="shared" ca="1" si="1898"/>
        <v>0</v>
      </c>
      <c r="CC365" s="10">
        <f t="shared" ca="1" si="1898"/>
        <v>0</v>
      </c>
      <c r="CD365" s="10">
        <f t="shared" ca="1" si="1898"/>
        <v>0</v>
      </c>
      <c r="CE365" s="10">
        <f t="shared" ca="1" si="1898"/>
        <v>0</v>
      </c>
      <c r="CF365" s="10">
        <f t="shared" ca="1" si="1898"/>
        <v>0</v>
      </c>
      <c r="CG365" s="10">
        <f t="shared" ca="1" si="1898"/>
        <v>0</v>
      </c>
      <c r="CH365" s="10">
        <f t="shared" ca="1" si="1898"/>
        <v>0</v>
      </c>
      <c r="CI365" s="10">
        <f t="shared" ca="1" si="1898"/>
        <v>0</v>
      </c>
      <c r="CJ365" s="10">
        <f t="shared" ca="1" si="1898"/>
        <v>0</v>
      </c>
      <c r="CK365" s="10">
        <f t="shared" ca="1" si="1898"/>
        <v>0</v>
      </c>
      <c r="CL365" s="10">
        <f t="shared" ca="1" si="1898"/>
        <v>0</v>
      </c>
      <c r="CM365" s="10">
        <f t="shared" ca="1" si="1898"/>
        <v>0</v>
      </c>
      <c r="CN365" s="10">
        <f t="shared" ca="1" si="1898"/>
        <v>0</v>
      </c>
      <c r="CO365" s="10">
        <f t="shared" ca="1" si="1898"/>
        <v>0</v>
      </c>
    </row>
    <row r="366" spans="1:93">
      <c r="A366" s="10"/>
      <c r="B366" s="10"/>
      <c r="C366" s="17" t="s">
        <v>388</v>
      </c>
      <c r="D366" s="10"/>
      <c r="E366" s="62"/>
      <c r="F366" s="11"/>
      <c r="G366" s="134" t="str">
        <f t="shared" si="1813"/>
        <v>тыс. руб.</v>
      </c>
      <c r="H366" s="10"/>
      <c r="I366" s="10"/>
      <c r="J366" s="10"/>
      <c r="K366" s="10"/>
      <c r="L366" s="10">
        <f t="shared" ref="L366" ca="1" si="1899">L365+K366</f>
        <v>0</v>
      </c>
      <c r="M366" s="10">
        <f t="shared" ref="M366" ca="1" si="1900">M365+L366</f>
        <v>0</v>
      </c>
      <c r="N366" s="10">
        <f t="shared" ref="N366" ca="1" si="1901">N365+M366</f>
        <v>0</v>
      </c>
      <c r="O366" s="10">
        <f t="shared" ref="O366" ca="1" si="1902">O365+N366</f>
        <v>0</v>
      </c>
      <c r="P366" s="10">
        <f t="shared" ref="P366" ca="1" si="1903">P365+O366</f>
        <v>0</v>
      </c>
      <c r="Q366" s="10">
        <f t="shared" ref="Q366" ca="1" si="1904">Q365+P366</f>
        <v>0</v>
      </c>
      <c r="R366" s="10">
        <f t="shared" ref="R366" ca="1" si="1905">R365+Q366</f>
        <v>0</v>
      </c>
      <c r="S366" s="10">
        <f t="shared" ref="S366" ca="1" si="1906">S365+R366</f>
        <v>0</v>
      </c>
      <c r="T366" s="10">
        <f t="shared" ref="T366" ca="1" si="1907">T365+S366</f>
        <v>0</v>
      </c>
      <c r="U366" s="10">
        <f t="shared" ref="U366" ca="1" si="1908">U365+T366</f>
        <v>0</v>
      </c>
      <c r="V366" s="10">
        <f t="shared" ref="V366" ca="1" si="1909">V365+U366</f>
        <v>0</v>
      </c>
      <c r="W366" s="10">
        <f t="shared" ref="W366" ca="1" si="1910">W365+V366</f>
        <v>0</v>
      </c>
      <c r="X366" s="10">
        <f t="shared" ref="X366" ca="1" si="1911">X365+W366</f>
        <v>0</v>
      </c>
      <c r="Y366" s="10">
        <f t="shared" ref="Y366" ca="1" si="1912">Y365+X366</f>
        <v>0</v>
      </c>
      <c r="Z366" s="10">
        <f t="shared" ref="Z366" ca="1" si="1913">Z365+Y366</f>
        <v>0</v>
      </c>
      <c r="AA366" s="10">
        <f t="shared" ref="AA366" ca="1" si="1914">AA365+Z366</f>
        <v>0</v>
      </c>
      <c r="AB366" s="10">
        <f t="shared" ref="AB366" ca="1" si="1915">AB365+AA366</f>
        <v>3683093.3769661123</v>
      </c>
      <c r="AC366" s="10">
        <f t="shared" ref="AC366" ca="1" si="1916">AC365+AB366</f>
        <v>3683093.3769661123</v>
      </c>
      <c r="AD366" s="10">
        <f t="shared" ref="AD366" ca="1" si="1917">AD365+AC366</f>
        <v>3683093.3769661123</v>
      </c>
      <c r="AE366" s="10">
        <f t="shared" ref="AE366" ca="1" si="1918">AE365+AD366</f>
        <v>3683093.3769661123</v>
      </c>
      <c r="AF366" s="10">
        <f t="shared" ref="AF366" ca="1" si="1919">AF365+AE366</f>
        <v>3683093.3769661123</v>
      </c>
      <c r="AG366" s="10">
        <f t="shared" ref="AG366" ca="1" si="1920">AG365+AF366</f>
        <v>3683093.3769661123</v>
      </c>
      <c r="AH366" s="10">
        <f t="shared" ref="AH366" ca="1" si="1921">AH365+AG366</f>
        <v>3683093.3769661123</v>
      </c>
      <c r="AI366" s="10">
        <f t="shared" ref="AI366" ca="1" si="1922">AI365+AH366</f>
        <v>3683093.3769661123</v>
      </c>
      <c r="AJ366" s="10">
        <f t="shared" ref="AJ366" ca="1" si="1923">AJ365+AI366</f>
        <v>3683093.3769661123</v>
      </c>
      <c r="AK366" s="10">
        <f t="shared" ref="AK366" ca="1" si="1924">AK365+AJ366</f>
        <v>3683093.3769661123</v>
      </c>
      <c r="AL366" s="10">
        <f t="shared" ref="AL366" ca="1" si="1925">AL365+AK366</f>
        <v>3683093.3769661123</v>
      </c>
      <c r="AM366" s="10">
        <f t="shared" ref="AM366" ca="1" si="1926">AM365+AL366</f>
        <v>3683093.3769661123</v>
      </c>
      <c r="AN366" s="10">
        <f t="shared" ref="AN366" ca="1" si="1927">AN365+AM366</f>
        <v>3683093.3769661123</v>
      </c>
      <c r="AO366" s="10">
        <f t="shared" ref="AO366" ca="1" si="1928">AO365+AN366</f>
        <v>3683093.3769661123</v>
      </c>
      <c r="AP366" s="10">
        <f t="shared" ref="AP366" ca="1" si="1929">AP365+AO366</f>
        <v>3683093.3769661123</v>
      </c>
      <c r="AQ366" s="10">
        <f t="shared" ref="AQ366" ca="1" si="1930">AQ365+AP366</f>
        <v>3683093.3769661123</v>
      </c>
      <c r="AR366" s="10">
        <f t="shared" ref="AR366" ca="1" si="1931">AR365+AQ366</f>
        <v>3683093.3769661123</v>
      </c>
      <c r="AS366" s="10">
        <f t="shared" ref="AS366" ca="1" si="1932">AS365+AR366</f>
        <v>3683093.3769661123</v>
      </c>
      <c r="AT366" s="10">
        <f t="shared" ref="AT366" ca="1" si="1933">AT365+AS366</f>
        <v>3683093.3769661123</v>
      </c>
      <c r="AU366" s="10">
        <f t="shared" ref="AU366" ca="1" si="1934">AU365+AT366</f>
        <v>3683093.3769661123</v>
      </c>
      <c r="AV366" s="10">
        <f t="shared" ref="AV366" ca="1" si="1935">AV365+AU366</f>
        <v>3683093.3769661123</v>
      </c>
      <c r="AW366" s="10">
        <f t="shared" ref="AW366" ca="1" si="1936">AW365+AV366</f>
        <v>3683093.3769661123</v>
      </c>
      <c r="AX366" s="10">
        <f t="shared" ref="AX366" ca="1" si="1937">AX365+AW366</f>
        <v>3683093.3769661123</v>
      </c>
      <c r="AY366" s="10">
        <f t="shared" ref="AY366" ca="1" si="1938">AY365+AX366</f>
        <v>3683093.3769661123</v>
      </c>
      <c r="AZ366" s="10">
        <f t="shared" ref="AZ366" ca="1" si="1939">AZ365+AY366</f>
        <v>3683093.3769661123</v>
      </c>
      <c r="BA366" s="10">
        <f t="shared" ref="BA366" ca="1" si="1940">BA365+AZ366</f>
        <v>3683093.3769661123</v>
      </c>
      <c r="BB366" s="10">
        <f t="shared" ref="BB366" ca="1" si="1941">BB365+BA366</f>
        <v>3683093.3769661123</v>
      </c>
      <c r="BC366" s="10">
        <f t="shared" ref="BC366" ca="1" si="1942">BC365+BB366</f>
        <v>3683093.3769661123</v>
      </c>
      <c r="BD366" s="10">
        <f t="shared" ref="BD366" ca="1" si="1943">BD365+BC366</f>
        <v>3683093.3769661123</v>
      </c>
      <c r="BE366" s="10">
        <f t="shared" ref="BE366" ca="1" si="1944">BE365+BD366</f>
        <v>3683093.3769661123</v>
      </c>
      <c r="BF366" s="10">
        <f t="shared" ref="BF366" ca="1" si="1945">BF365+BE366</f>
        <v>3683093.3769661123</v>
      </c>
      <c r="BG366" s="10">
        <f t="shared" ref="BG366" ca="1" si="1946">BG365+BF366</f>
        <v>3683093.3769661123</v>
      </c>
      <c r="BH366" s="10">
        <f t="shared" ref="BH366" ca="1" si="1947">BH365+BG366</f>
        <v>3683093.3769661123</v>
      </c>
      <c r="BI366" s="10">
        <f t="shared" ref="BI366" ca="1" si="1948">BI365+BH366</f>
        <v>3683093.3769661123</v>
      </c>
      <c r="BJ366" s="10">
        <f t="shared" ref="BJ366" ca="1" si="1949">BJ365+BI366</f>
        <v>3683093.3769661123</v>
      </c>
      <c r="BK366" s="10">
        <f t="shared" ref="BK366" ca="1" si="1950">BK365+BJ366</f>
        <v>3683093.3769661123</v>
      </c>
      <c r="BL366" s="10">
        <f t="shared" ref="BL366" ca="1" si="1951">BL365+BK366</f>
        <v>3683093.3769661123</v>
      </c>
      <c r="BM366" s="10">
        <f t="shared" ref="BM366" ca="1" si="1952">BM365+BL366</f>
        <v>3683093.3769661123</v>
      </c>
      <c r="BN366" s="10">
        <f t="shared" ref="BN366" ca="1" si="1953">BN365+BM366</f>
        <v>3683093.3769661123</v>
      </c>
      <c r="BO366" s="10">
        <f t="shared" ref="BO366" ca="1" si="1954">BO365+BN366</f>
        <v>3683093.3769661123</v>
      </c>
      <c r="BP366" s="10">
        <f t="shared" ref="BP366" ca="1" si="1955">BP365+BO366</f>
        <v>3683093.3769661123</v>
      </c>
      <c r="BQ366" s="10">
        <f t="shared" ref="BQ366" ca="1" si="1956">BQ365+BP366</f>
        <v>3683093.3769661123</v>
      </c>
      <c r="BR366" s="10">
        <f t="shared" ref="BR366" ca="1" si="1957">BR365+BQ366</f>
        <v>3683093.3769661123</v>
      </c>
      <c r="BS366" s="10">
        <f t="shared" ref="BS366" ca="1" si="1958">BS365+BR366</f>
        <v>3683093.3769661123</v>
      </c>
      <c r="BT366" s="10">
        <f t="shared" ref="BT366" ca="1" si="1959">BT365+BS366</f>
        <v>3683093.3769661123</v>
      </c>
      <c r="BU366" s="10">
        <f t="shared" ref="BU366" ca="1" si="1960">BU365+BT366</f>
        <v>3683093.3769661123</v>
      </c>
      <c r="BV366" s="10">
        <f t="shared" ref="BV366" ca="1" si="1961">BV365+BU366</f>
        <v>3683093.3769661123</v>
      </c>
      <c r="BW366" s="10">
        <f t="shared" ref="BW366" ca="1" si="1962">BW365+BV366</f>
        <v>3683093.3769661123</v>
      </c>
      <c r="BX366" s="10">
        <f t="shared" ref="BX366" ca="1" si="1963">BX365+BW366</f>
        <v>3683093.3769661123</v>
      </c>
      <c r="BY366" s="10">
        <f t="shared" ref="BY366" ca="1" si="1964">BY365+BX366</f>
        <v>3683093.3769661123</v>
      </c>
      <c r="BZ366" s="10">
        <f t="shared" ref="BZ366" ca="1" si="1965">BZ365+BY366</f>
        <v>3683093.3769661123</v>
      </c>
      <c r="CA366" s="10">
        <f t="shared" ref="CA366" ca="1" si="1966">CA365+BZ366</f>
        <v>3683093.3769661123</v>
      </c>
      <c r="CB366" s="10">
        <f t="shared" ref="CB366" ca="1" si="1967">CB365+CA366</f>
        <v>3683093.3769661123</v>
      </c>
      <c r="CC366" s="10">
        <f t="shared" ref="CC366" ca="1" si="1968">CC365+CB366</f>
        <v>3683093.3769661123</v>
      </c>
      <c r="CD366" s="10">
        <f t="shared" ref="CD366" ca="1" si="1969">CD365+CC366</f>
        <v>3683093.3769661123</v>
      </c>
      <c r="CE366" s="10">
        <f t="shared" ref="CE366" ca="1" si="1970">CE365+CD366</f>
        <v>3683093.3769661123</v>
      </c>
      <c r="CF366" s="10">
        <f t="shared" ref="CF366" ca="1" si="1971">CF365+CE366</f>
        <v>3683093.3769661123</v>
      </c>
      <c r="CG366" s="10">
        <f t="shared" ref="CG366" ca="1" si="1972">CG365+CF366</f>
        <v>3683093.3769661123</v>
      </c>
      <c r="CH366" s="10">
        <f t="shared" ref="CH366" ca="1" si="1973">CH365+CG366</f>
        <v>3683093.3769661123</v>
      </c>
      <c r="CI366" s="10">
        <f t="shared" ref="CI366" ca="1" si="1974">CI365+CH366</f>
        <v>3683093.3769661123</v>
      </c>
      <c r="CJ366" s="10">
        <f t="shared" ref="CJ366" ca="1" si="1975">CJ365+CI366</f>
        <v>3683093.3769661123</v>
      </c>
      <c r="CK366" s="10">
        <f t="shared" ref="CK366" ca="1" si="1976">CK365+CJ366</f>
        <v>3683093.3769661123</v>
      </c>
      <c r="CL366" s="10">
        <f t="shared" ref="CL366" ca="1" si="1977">CL365+CK366</f>
        <v>3683093.3769661123</v>
      </c>
      <c r="CM366" s="10">
        <f t="shared" ref="CM366" ca="1" si="1978">CM365+CL366</f>
        <v>3683093.3769661123</v>
      </c>
      <c r="CN366" s="10">
        <f t="shared" ref="CN366" ca="1" si="1979">CN365+CM366</f>
        <v>3683093.3769661123</v>
      </c>
      <c r="CO366" s="10">
        <f t="shared" ref="CO366" ca="1" si="1980">CO365+CN366</f>
        <v>3683093.3769661123</v>
      </c>
    </row>
    <row r="367" spans="1:93">
      <c r="A367" s="10"/>
      <c r="B367" s="10"/>
      <c r="C367" s="17" t="s">
        <v>389</v>
      </c>
      <c r="D367" s="10"/>
      <c r="E367" s="62"/>
      <c r="F367" s="11"/>
      <c r="G367" s="134" t="str">
        <f t="shared" si="1813"/>
        <v>тыс. руб.</v>
      </c>
      <c r="H367" s="10"/>
      <c r="I367" s="23">
        <f ca="1">SUM(L367:CO367)</f>
        <v>1995008.9125233134</v>
      </c>
      <c r="J367" s="10"/>
      <c r="K367" s="10"/>
      <c r="L367" s="10">
        <f ca="1">(MIN((L366-L365)*L363,K369))</f>
        <v>0</v>
      </c>
      <c r="M367" s="10">
        <f t="shared" ref="M367:BX367" ca="1" si="1981">(MIN((M366-M365)*M363,L369))</f>
        <v>0</v>
      </c>
      <c r="N367" s="10">
        <f t="shared" ca="1" si="1981"/>
        <v>0</v>
      </c>
      <c r="O367" s="10">
        <f t="shared" ca="1" si="1981"/>
        <v>0</v>
      </c>
      <c r="P367" s="10">
        <f t="shared" ca="1" si="1981"/>
        <v>0</v>
      </c>
      <c r="Q367" s="10">
        <f t="shared" ca="1" si="1981"/>
        <v>0</v>
      </c>
      <c r="R367" s="10">
        <f t="shared" ca="1" si="1981"/>
        <v>0</v>
      </c>
      <c r="S367" s="10">
        <f t="shared" ca="1" si="1981"/>
        <v>0</v>
      </c>
      <c r="T367" s="10">
        <f t="shared" ca="1" si="1981"/>
        <v>0</v>
      </c>
      <c r="U367" s="10">
        <f t="shared" ca="1" si="1981"/>
        <v>0</v>
      </c>
      <c r="V367" s="10">
        <f t="shared" ca="1" si="1981"/>
        <v>0</v>
      </c>
      <c r="W367" s="10">
        <f t="shared" ca="1" si="1981"/>
        <v>0</v>
      </c>
      <c r="X367" s="10">
        <f t="shared" ca="1" si="1981"/>
        <v>0</v>
      </c>
      <c r="Y367" s="10">
        <f t="shared" ca="1" si="1981"/>
        <v>0</v>
      </c>
      <c r="Z367" s="10">
        <f t="shared" ca="1" si="1981"/>
        <v>0</v>
      </c>
      <c r="AA367" s="10">
        <f t="shared" ca="1" si="1981"/>
        <v>0</v>
      </c>
      <c r="AB367" s="10">
        <f t="shared" ca="1" si="1981"/>
        <v>0</v>
      </c>
      <c r="AC367" s="10">
        <f t="shared" ca="1" si="1981"/>
        <v>30692.444808050936</v>
      </c>
      <c r="AD367" s="10">
        <f t="shared" ca="1" si="1981"/>
        <v>30692.444808050936</v>
      </c>
      <c r="AE367" s="10">
        <f t="shared" ca="1" si="1981"/>
        <v>30692.444808050936</v>
      </c>
      <c r="AF367" s="10">
        <f t="shared" ca="1" si="1981"/>
        <v>30692.444808050936</v>
      </c>
      <c r="AG367" s="10">
        <f t="shared" ca="1" si="1981"/>
        <v>30692.444808050936</v>
      </c>
      <c r="AH367" s="10">
        <f t="shared" ca="1" si="1981"/>
        <v>30692.444808050936</v>
      </c>
      <c r="AI367" s="10">
        <f t="shared" ca="1" si="1981"/>
        <v>30692.444808050936</v>
      </c>
      <c r="AJ367" s="10">
        <f t="shared" ca="1" si="1981"/>
        <v>30692.444808050936</v>
      </c>
      <c r="AK367" s="10">
        <f t="shared" ca="1" si="1981"/>
        <v>30692.444808050936</v>
      </c>
      <c r="AL367" s="10">
        <f t="shared" ca="1" si="1981"/>
        <v>30692.444808050936</v>
      </c>
      <c r="AM367" s="10">
        <f t="shared" ca="1" si="1981"/>
        <v>30692.444808050936</v>
      </c>
      <c r="AN367" s="10">
        <f t="shared" ca="1" si="1981"/>
        <v>30692.444808050936</v>
      </c>
      <c r="AO367" s="10">
        <f t="shared" ca="1" si="1981"/>
        <v>30692.444808050936</v>
      </c>
      <c r="AP367" s="10">
        <f t="shared" ca="1" si="1981"/>
        <v>30692.444808050936</v>
      </c>
      <c r="AQ367" s="10">
        <f t="shared" ca="1" si="1981"/>
        <v>30692.444808050936</v>
      </c>
      <c r="AR367" s="10">
        <f t="shared" ca="1" si="1981"/>
        <v>30692.444808050936</v>
      </c>
      <c r="AS367" s="10">
        <f t="shared" ca="1" si="1981"/>
        <v>30692.444808050936</v>
      </c>
      <c r="AT367" s="10">
        <f t="shared" ca="1" si="1981"/>
        <v>30692.444808050936</v>
      </c>
      <c r="AU367" s="10">
        <f t="shared" ca="1" si="1981"/>
        <v>30692.444808050936</v>
      </c>
      <c r="AV367" s="10">
        <f t="shared" ca="1" si="1981"/>
        <v>30692.444808050936</v>
      </c>
      <c r="AW367" s="10">
        <f t="shared" ca="1" si="1981"/>
        <v>30692.444808050936</v>
      </c>
      <c r="AX367" s="10">
        <f t="shared" ca="1" si="1981"/>
        <v>30692.444808050936</v>
      </c>
      <c r="AY367" s="10">
        <f t="shared" ca="1" si="1981"/>
        <v>30692.444808050936</v>
      </c>
      <c r="AZ367" s="10">
        <f t="shared" ca="1" si="1981"/>
        <v>30692.444808050936</v>
      </c>
      <c r="BA367" s="10">
        <f t="shared" ca="1" si="1981"/>
        <v>30692.444808050936</v>
      </c>
      <c r="BB367" s="10">
        <f t="shared" ca="1" si="1981"/>
        <v>30692.444808050936</v>
      </c>
      <c r="BC367" s="10">
        <f t="shared" ca="1" si="1981"/>
        <v>30692.444808050936</v>
      </c>
      <c r="BD367" s="10">
        <f t="shared" ca="1" si="1981"/>
        <v>30692.444808050936</v>
      </c>
      <c r="BE367" s="10">
        <f t="shared" ca="1" si="1981"/>
        <v>30692.444808050936</v>
      </c>
      <c r="BF367" s="10">
        <f t="shared" ca="1" si="1981"/>
        <v>30692.444808050936</v>
      </c>
      <c r="BG367" s="10">
        <f t="shared" ca="1" si="1981"/>
        <v>30692.444808050936</v>
      </c>
      <c r="BH367" s="10">
        <f t="shared" ca="1" si="1981"/>
        <v>30692.444808050936</v>
      </c>
      <c r="BI367" s="10">
        <f t="shared" ca="1" si="1981"/>
        <v>30692.444808050936</v>
      </c>
      <c r="BJ367" s="10">
        <f t="shared" ca="1" si="1981"/>
        <v>30692.444808050936</v>
      </c>
      <c r="BK367" s="10">
        <f t="shared" ca="1" si="1981"/>
        <v>30692.444808050936</v>
      </c>
      <c r="BL367" s="10">
        <f t="shared" ca="1" si="1981"/>
        <v>30692.444808050936</v>
      </c>
      <c r="BM367" s="10">
        <f t="shared" ca="1" si="1981"/>
        <v>30692.444808050936</v>
      </c>
      <c r="BN367" s="10">
        <f t="shared" ca="1" si="1981"/>
        <v>30692.444808050936</v>
      </c>
      <c r="BO367" s="10">
        <f t="shared" ca="1" si="1981"/>
        <v>30692.444808050936</v>
      </c>
      <c r="BP367" s="10">
        <f t="shared" ca="1" si="1981"/>
        <v>30692.444808050936</v>
      </c>
      <c r="BQ367" s="10">
        <f t="shared" ca="1" si="1981"/>
        <v>30692.444808050936</v>
      </c>
      <c r="BR367" s="10">
        <f t="shared" ca="1" si="1981"/>
        <v>30692.444808050936</v>
      </c>
      <c r="BS367" s="10">
        <f t="shared" ca="1" si="1981"/>
        <v>30692.444808050936</v>
      </c>
      <c r="BT367" s="10">
        <f t="shared" ca="1" si="1981"/>
        <v>30692.444808050936</v>
      </c>
      <c r="BU367" s="10">
        <f t="shared" ca="1" si="1981"/>
        <v>30692.444808050936</v>
      </c>
      <c r="BV367" s="10">
        <f t="shared" ca="1" si="1981"/>
        <v>30692.444808050936</v>
      </c>
      <c r="BW367" s="10">
        <f t="shared" ca="1" si="1981"/>
        <v>30692.444808050936</v>
      </c>
      <c r="BX367" s="10">
        <f t="shared" ca="1" si="1981"/>
        <v>30692.444808050936</v>
      </c>
      <c r="BY367" s="10">
        <f t="shared" ref="BY367:CO367" ca="1" si="1982">(MIN((BY366-BY365)*BY363,BX369))</f>
        <v>30692.444808050936</v>
      </c>
      <c r="BZ367" s="10">
        <f t="shared" ca="1" si="1982"/>
        <v>30692.444808050936</v>
      </c>
      <c r="CA367" s="10">
        <f t="shared" ca="1" si="1982"/>
        <v>30692.444808050936</v>
      </c>
      <c r="CB367" s="10">
        <f t="shared" ca="1" si="1982"/>
        <v>30692.444808050936</v>
      </c>
      <c r="CC367" s="10">
        <f t="shared" ca="1" si="1982"/>
        <v>30692.444808050936</v>
      </c>
      <c r="CD367" s="10">
        <f t="shared" ca="1" si="1982"/>
        <v>30692.444808050936</v>
      </c>
      <c r="CE367" s="10">
        <f t="shared" ca="1" si="1982"/>
        <v>30692.444808050936</v>
      </c>
      <c r="CF367" s="10">
        <f t="shared" ca="1" si="1982"/>
        <v>30692.444808050936</v>
      </c>
      <c r="CG367" s="10">
        <f t="shared" ca="1" si="1982"/>
        <v>30692.444808050936</v>
      </c>
      <c r="CH367" s="10">
        <f t="shared" ca="1" si="1982"/>
        <v>30692.444808050936</v>
      </c>
      <c r="CI367" s="10">
        <f t="shared" ca="1" si="1982"/>
        <v>30692.444808050936</v>
      </c>
      <c r="CJ367" s="10">
        <f t="shared" ca="1" si="1982"/>
        <v>30692.444808050936</v>
      </c>
      <c r="CK367" s="10">
        <f t="shared" ca="1" si="1982"/>
        <v>30692.444808050936</v>
      </c>
      <c r="CL367" s="10">
        <f t="shared" ca="1" si="1982"/>
        <v>30692.444808050936</v>
      </c>
      <c r="CM367" s="10">
        <f t="shared" ca="1" si="1982"/>
        <v>30692.444808050936</v>
      </c>
      <c r="CN367" s="10">
        <f t="shared" ca="1" si="1982"/>
        <v>30692.444808050936</v>
      </c>
      <c r="CO367" s="10">
        <f t="shared" ca="1" si="1982"/>
        <v>30692.444808050936</v>
      </c>
    </row>
    <row r="368" spans="1:93">
      <c r="A368" s="10"/>
      <c r="B368" s="10"/>
      <c r="C368" s="17" t="s">
        <v>127</v>
      </c>
      <c r="D368" s="10"/>
      <c r="E368" s="62"/>
      <c r="F368" s="11"/>
      <c r="G368" s="134" t="str">
        <f t="shared" si="1813"/>
        <v>тыс. руб.</v>
      </c>
      <c r="H368" s="10"/>
      <c r="I368" s="10"/>
      <c r="J368" s="10"/>
      <c r="K368" s="10"/>
      <c r="L368" s="10">
        <f t="shared" ref="L368" ca="1" si="1983">SUM(K368,-L367)</f>
        <v>0</v>
      </c>
      <c r="M368" s="10">
        <f t="shared" ref="M368" ca="1" si="1984">SUM(L368,-M367)</f>
        <v>0</v>
      </c>
      <c r="N368" s="10">
        <f t="shared" ref="N368" ca="1" si="1985">SUM(M368,-N367)</f>
        <v>0</v>
      </c>
      <c r="O368" s="10">
        <f t="shared" ref="O368" ca="1" si="1986">SUM(N368,-O367)</f>
        <v>0</v>
      </c>
      <c r="P368" s="10">
        <f t="shared" ref="P368" ca="1" si="1987">SUM(O368,-P367)</f>
        <v>0</v>
      </c>
      <c r="Q368" s="10">
        <f t="shared" ref="Q368" ca="1" si="1988">SUM(P368,-Q367)</f>
        <v>0</v>
      </c>
      <c r="R368" s="10">
        <f t="shared" ref="R368" ca="1" si="1989">SUM(Q368,-R367)</f>
        <v>0</v>
      </c>
      <c r="S368" s="10">
        <f t="shared" ref="S368" ca="1" si="1990">SUM(R368,-S367)</f>
        <v>0</v>
      </c>
      <c r="T368" s="10">
        <f t="shared" ref="T368" ca="1" si="1991">SUM(S368,-T367)</f>
        <v>0</v>
      </c>
      <c r="U368" s="10">
        <f t="shared" ref="U368" ca="1" si="1992">SUM(T368,-U367)</f>
        <v>0</v>
      </c>
      <c r="V368" s="10">
        <f t="shared" ref="V368" ca="1" si="1993">SUM(U368,-V367)</f>
        <v>0</v>
      </c>
      <c r="W368" s="10">
        <f t="shared" ref="W368" ca="1" si="1994">SUM(V368,-W367)</f>
        <v>0</v>
      </c>
      <c r="X368" s="10">
        <f t="shared" ref="X368" ca="1" si="1995">SUM(W368,-X367)</f>
        <v>0</v>
      </c>
      <c r="Y368" s="10">
        <f t="shared" ref="Y368" ca="1" si="1996">SUM(X368,-Y367)</f>
        <v>0</v>
      </c>
      <c r="Z368" s="10">
        <f t="shared" ref="Z368" ca="1" si="1997">SUM(Y368,-Z367)</f>
        <v>0</v>
      </c>
      <c r="AA368" s="10">
        <f t="shared" ref="AA368" ca="1" si="1998">SUM(Z368,-AA367)</f>
        <v>0</v>
      </c>
      <c r="AB368" s="10">
        <f t="shared" ref="AB368" ca="1" si="1999">SUM(AA368,-AB367)</f>
        <v>0</v>
      </c>
      <c r="AC368" s="10">
        <f t="shared" ref="AC368" ca="1" si="2000">SUM(AB368,-AC367)</f>
        <v>-30692.444808050936</v>
      </c>
      <c r="AD368" s="10">
        <f t="shared" ref="AD368" ca="1" si="2001">SUM(AC368,-AD367)</f>
        <v>-61384.889616101871</v>
      </c>
      <c r="AE368" s="10">
        <f t="shared" ref="AE368" ca="1" si="2002">SUM(AD368,-AE367)</f>
        <v>-92077.33442415281</v>
      </c>
      <c r="AF368" s="10">
        <f t="shared" ref="AF368" ca="1" si="2003">SUM(AE368,-AF367)</f>
        <v>-122769.77923220374</v>
      </c>
      <c r="AG368" s="10">
        <f t="shared" ref="AG368" ca="1" si="2004">SUM(AF368,-AG367)</f>
        <v>-153462.22404025469</v>
      </c>
      <c r="AH368" s="10">
        <f t="shared" ref="AH368" ca="1" si="2005">SUM(AG368,-AH367)</f>
        <v>-184154.66884830562</v>
      </c>
      <c r="AI368" s="10">
        <f t="shared" ref="AI368" ca="1" si="2006">SUM(AH368,-AI367)</f>
        <v>-214847.11365635655</v>
      </c>
      <c r="AJ368" s="10">
        <f t="shared" ref="AJ368" ca="1" si="2007">SUM(AI368,-AJ367)</f>
        <v>-245539.55846440748</v>
      </c>
      <c r="AK368" s="10">
        <f t="shared" ref="AK368" ca="1" si="2008">SUM(AJ368,-AK367)</f>
        <v>-276232.00327245845</v>
      </c>
      <c r="AL368" s="10">
        <f t="shared" ref="AL368" ca="1" si="2009">SUM(AK368,-AL367)</f>
        <v>-306924.44808050938</v>
      </c>
      <c r="AM368" s="10">
        <f t="shared" ref="AM368" ca="1" si="2010">SUM(AL368,-AM367)</f>
        <v>-337616.89288856031</v>
      </c>
      <c r="AN368" s="10">
        <f t="shared" ref="AN368" ca="1" si="2011">SUM(AM368,-AN367)</f>
        <v>-368309.33769661124</v>
      </c>
      <c r="AO368" s="10">
        <f t="shared" ref="AO368" ca="1" si="2012">SUM(AN368,-AO367)</f>
        <v>-399001.78250466217</v>
      </c>
      <c r="AP368" s="10">
        <f t="shared" ref="AP368" ca="1" si="2013">SUM(AO368,-AP367)</f>
        <v>-429694.2273127131</v>
      </c>
      <c r="AQ368" s="10">
        <f t="shared" ref="AQ368" ca="1" si="2014">SUM(AP368,-AQ367)</f>
        <v>-460386.67212076404</v>
      </c>
      <c r="AR368" s="10">
        <f t="shared" ref="AR368" ca="1" si="2015">SUM(AQ368,-AR367)</f>
        <v>-491079.11692881497</v>
      </c>
      <c r="AS368" s="10">
        <f t="shared" ref="AS368" ca="1" si="2016">SUM(AR368,-AS367)</f>
        <v>-521771.5617368659</v>
      </c>
      <c r="AT368" s="10">
        <f t="shared" ref="AT368" ca="1" si="2017">SUM(AS368,-AT367)</f>
        <v>-552464.00654491689</v>
      </c>
      <c r="AU368" s="10">
        <f t="shared" ref="AU368" ca="1" si="2018">SUM(AT368,-AU367)</f>
        <v>-583156.45135296788</v>
      </c>
      <c r="AV368" s="10">
        <f t="shared" ref="AV368" ca="1" si="2019">SUM(AU368,-AV367)</f>
        <v>-613848.89616101887</v>
      </c>
      <c r="AW368" s="10">
        <f t="shared" ref="AW368" ca="1" si="2020">SUM(AV368,-AW367)</f>
        <v>-644541.34096906986</v>
      </c>
      <c r="AX368" s="10">
        <f t="shared" ref="AX368" ca="1" si="2021">SUM(AW368,-AX367)</f>
        <v>-675233.78577712085</v>
      </c>
      <c r="AY368" s="10">
        <f t="shared" ref="AY368" ca="1" si="2022">SUM(AX368,-AY367)</f>
        <v>-705926.23058517184</v>
      </c>
      <c r="AZ368" s="10">
        <f t="shared" ref="AZ368" ca="1" si="2023">SUM(AY368,-AZ367)</f>
        <v>-736618.67539322283</v>
      </c>
      <c r="BA368" s="10">
        <f t="shared" ref="BA368" ca="1" si="2024">SUM(AZ368,-BA367)</f>
        <v>-767311.12020127382</v>
      </c>
      <c r="BB368" s="10">
        <f t="shared" ref="BB368" ca="1" si="2025">SUM(BA368,-BB367)</f>
        <v>-798003.56500932481</v>
      </c>
      <c r="BC368" s="10">
        <f t="shared" ref="BC368" ca="1" si="2026">SUM(BB368,-BC367)</f>
        <v>-828696.0098173758</v>
      </c>
      <c r="BD368" s="10">
        <f t="shared" ref="BD368" ca="1" si="2027">SUM(BC368,-BD367)</f>
        <v>-859388.45462542679</v>
      </c>
      <c r="BE368" s="10">
        <f t="shared" ref="BE368" ca="1" si="2028">SUM(BD368,-BE367)</f>
        <v>-890080.89943347778</v>
      </c>
      <c r="BF368" s="10">
        <f t="shared" ref="BF368" ca="1" si="2029">SUM(BE368,-BF367)</f>
        <v>-920773.34424152877</v>
      </c>
      <c r="BG368" s="10">
        <f t="shared" ref="BG368" ca="1" si="2030">SUM(BF368,-BG367)</f>
        <v>-951465.78904957976</v>
      </c>
      <c r="BH368" s="10">
        <f t="shared" ref="BH368" ca="1" si="2031">SUM(BG368,-BH367)</f>
        <v>-982158.23385763075</v>
      </c>
      <c r="BI368" s="10">
        <f t="shared" ref="BI368" ca="1" si="2032">SUM(BH368,-BI367)</f>
        <v>-1012850.6786656817</v>
      </c>
      <c r="BJ368" s="10">
        <f t="shared" ref="BJ368" ca="1" si="2033">SUM(BI368,-BJ367)</f>
        <v>-1043543.1234737327</v>
      </c>
      <c r="BK368" s="10">
        <f t="shared" ref="BK368" ca="1" si="2034">SUM(BJ368,-BK367)</f>
        <v>-1074235.5682817837</v>
      </c>
      <c r="BL368" s="10">
        <f t="shared" ref="BL368" ca="1" si="2035">SUM(BK368,-BL367)</f>
        <v>-1104928.0130898347</v>
      </c>
      <c r="BM368" s="10">
        <f t="shared" ref="BM368" ca="1" si="2036">SUM(BL368,-BM367)</f>
        <v>-1135620.4578978857</v>
      </c>
      <c r="BN368" s="10">
        <f t="shared" ref="BN368" ca="1" si="2037">SUM(BM368,-BN367)</f>
        <v>-1166312.9027059367</v>
      </c>
      <c r="BO368" s="10">
        <f t="shared" ref="BO368" ca="1" si="2038">SUM(BN368,-BO367)</f>
        <v>-1197005.3475139877</v>
      </c>
      <c r="BP368" s="10">
        <f t="shared" ref="BP368" ca="1" si="2039">SUM(BO368,-BP367)</f>
        <v>-1227697.7923220387</v>
      </c>
      <c r="BQ368" s="10">
        <f t="shared" ref="BQ368" ca="1" si="2040">SUM(BP368,-BQ367)</f>
        <v>-1258390.2371300897</v>
      </c>
      <c r="BR368" s="10">
        <f t="shared" ref="BR368" ca="1" si="2041">SUM(BQ368,-BR367)</f>
        <v>-1289082.6819381407</v>
      </c>
      <c r="BS368" s="10">
        <f t="shared" ref="BS368" ca="1" si="2042">SUM(BR368,-BS367)</f>
        <v>-1319775.1267461916</v>
      </c>
      <c r="BT368" s="10">
        <f t="shared" ref="BT368" ca="1" si="2043">SUM(BS368,-BT367)</f>
        <v>-1350467.5715542426</v>
      </c>
      <c r="BU368" s="10">
        <f t="shared" ref="BU368" ca="1" si="2044">SUM(BT368,-BU367)</f>
        <v>-1381160.0163622936</v>
      </c>
      <c r="BV368" s="10">
        <f t="shared" ref="BV368" ca="1" si="2045">SUM(BU368,-BV367)</f>
        <v>-1411852.4611703446</v>
      </c>
      <c r="BW368" s="10">
        <f t="shared" ref="BW368" ca="1" si="2046">SUM(BV368,-BW367)</f>
        <v>-1442544.9059783956</v>
      </c>
      <c r="BX368" s="10">
        <f t="shared" ref="BX368" ca="1" si="2047">SUM(BW368,-BX367)</f>
        <v>-1473237.3507864466</v>
      </c>
      <c r="BY368" s="10">
        <f t="shared" ref="BY368" ca="1" si="2048">SUM(BX368,-BY367)</f>
        <v>-1503929.7955944976</v>
      </c>
      <c r="BZ368" s="10">
        <f t="shared" ref="BZ368" ca="1" si="2049">SUM(BY368,-BZ367)</f>
        <v>-1534622.2404025486</v>
      </c>
      <c r="CA368" s="10">
        <f t="shared" ref="CA368" ca="1" si="2050">SUM(BZ368,-CA367)</f>
        <v>-1565314.6852105996</v>
      </c>
      <c r="CB368" s="10">
        <f t="shared" ref="CB368" ca="1" si="2051">SUM(CA368,-CB367)</f>
        <v>-1596007.1300186506</v>
      </c>
      <c r="CC368" s="10">
        <f t="shared" ref="CC368" ca="1" si="2052">SUM(CB368,-CC367)</f>
        <v>-1626699.5748267015</v>
      </c>
      <c r="CD368" s="10">
        <f t="shared" ref="CD368" ca="1" si="2053">SUM(CC368,-CD367)</f>
        <v>-1657392.0196347525</v>
      </c>
      <c r="CE368" s="10">
        <f t="shared" ref="CE368" ca="1" si="2054">SUM(CD368,-CE367)</f>
        <v>-1688084.4644428035</v>
      </c>
      <c r="CF368" s="10">
        <f t="shared" ref="CF368" ca="1" si="2055">SUM(CE368,-CF367)</f>
        <v>-1718776.9092508545</v>
      </c>
      <c r="CG368" s="10">
        <f t="shared" ref="CG368" ca="1" si="2056">SUM(CF368,-CG367)</f>
        <v>-1749469.3540589055</v>
      </c>
      <c r="CH368" s="10">
        <f t="shared" ref="CH368" ca="1" si="2057">SUM(CG368,-CH367)</f>
        <v>-1780161.7988669565</v>
      </c>
      <c r="CI368" s="10">
        <f t="shared" ref="CI368" ca="1" si="2058">SUM(CH368,-CI367)</f>
        <v>-1810854.2436750075</v>
      </c>
      <c r="CJ368" s="10">
        <f t="shared" ref="CJ368" ca="1" si="2059">SUM(CI368,-CJ367)</f>
        <v>-1841546.6884830585</v>
      </c>
      <c r="CK368" s="10">
        <f t="shared" ref="CK368" ca="1" si="2060">SUM(CJ368,-CK367)</f>
        <v>-1872239.1332911095</v>
      </c>
      <c r="CL368" s="10">
        <f t="shared" ref="CL368" ca="1" si="2061">SUM(CK368,-CL367)</f>
        <v>-1902931.5780991605</v>
      </c>
      <c r="CM368" s="10">
        <f t="shared" ref="CM368" ca="1" si="2062">SUM(CL368,-CM367)</f>
        <v>-1933624.0229072114</v>
      </c>
      <c r="CN368" s="10">
        <f t="shared" ref="CN368" ca="1" si="2063">SUM(CM368,-CN367)</f>
        <v>-1964316.4677152624</v>
      </c>
      <c r="CO368" s="10">
        <f t="shared" ref="CO368" ca="1" si="2064">SUM(CN368,-CO367)</f>
        <v>-1995008.9125233134</v>
      </c>
    </row>
    <row r="369" spans="1:93">
      <c r="A369" s="10"/>
      <c r="B369" s="10"/>
      <c r="C369" s="17" t="s">
        <v>128</v>
      </c>
      <c r="D369" s="10"/>
      <c r="E369" s="62"/>
      <c r="F369" s="11"/>
      <c r="G369" s="134" t="str">
        <f t="shared" si="1813"/>
        <v>тыс. руб.</v>
      </c>
      <c r="H369" s="10"/>
      <c r="I369" s="10"/>
      <c r="J369" s="10"/>
      <c r="K369" s="10"/>
      <c r="L369" s="10">
        <f t="shared" ref="L369:Q369" ca="1" si="2065">SUM(L366,L368)</f>
        <v>0</v>
      </c>
      <c r="M369" s="10">
        <f t="shared" ca="1" si="2065"/>
        <v>0</v>
      </c>
      <c r="N369" s="10">
        <f t="shared" ca="1" si="2065"/>
        <v>0</v>
      </c>
      <c r="O369" s="10">
        <f t="shared" ca="1" si="2065"/>
        <v>0</v>
      </c>
      <c r="P369" s="10">
        <f t="shared" ca="1" si="2065"/>
        <v>0</v>
      </c>
      <c r="Q369" s="10">
        <f t="shared" ca="1" si="2065"/>
        <v>0</v>
      </c>
      <c r="R369" s="10">
        <f t="shared" ref="R369" ca="1" si="2066">SUM(R366,R368)</f>
        <v>0</v>
      </c>
      <c r="S369" s="10">
        <f t="shared" ref="S369:CD369" ca="1" si="2067">SUM(S366,S368)</f>
        <v>0</v>
      </c>
      <c r="T369" s="10">
        <f t="shared" ca="1" si="2067"/>
        <v>0</v>
      </c>
      <c r="U369" s="10">
        <f t="shared" ca="1" si="2067"/>
        <v>0</v>
      </c>
      <c r="V369" s="10">
        <f t="shared" ca="1" si="2067"/>
        <v>0</v>
      </c>
      <c r="W369" s="10">
        <f t="shared" ca="1" si="2067"/>
        <v>0</v>
      </c>
      <c r="X369" s="10">
        <f t="shared" ca="1" si="2067"/>
        <v>0</v>
      </c>
      <c r="Y369" s="10">
        <f t="shared" ca="1" si="2067"/>
        <v>0</v>
      </c>
      <c r="Z369" s="10">
        <f t="shared" ca="1" si="2067"/>
        <v>0</v>
      </c>
      <c r="AA369" s="10">
        <f t="shared" ca="1" si="2067"/>
        <v>0</v>
      </c>
      <c r="AB369" s="10">
        <f t="shared" ca="1" si="2067"/>
        <v>3683093.3769661123</v>
      </c>
      <c r="AC369" s="10">
        <f t="shared" ca="1" si="2067"/>
        <v>3652400.9321580613</v>
      </c>
      <c r="AD369" s="10">
        <f t="shared" ca="1" si="2067"/>
        <v>3621708.4873500103</v>
      </c>
      <c r="AE369" s="10">
        <f t="shared" ca="1" si="2067"/>
        <v>3591016.0425419593</v>
      </c>
      <c r="AF369" s="10">
        <f t="shared" ca="1" si="2067"/>
        <v>3560323.5977339083</v>
      </c>
      <c r="AG369" s="10">
        <f t="shared" ca="1" si="2067"/>
        <v>3529631.1529258578</v>
      </c>
      <c r="AH369" s="10">
        <f t="shared" ca="1" si="2067"/>
        <v>3498938.7081178068</v>
      </c>
      <c r="AI369" s="10">
        <f t="shared" ca="1" si="2067"/>
        <v>3468246.2633097558</v>
      </c>
      <c r="AJ369" s="10">
        <f t="shared" ca="1" si="2067"/>
        <v>3437553.8185017048</v>
      </c>
      <c r="AK369" s="10">
        <f t="shared" ca="1" si="2067"/>
        <v>3406861.3736936538</v>
      </c>
      <c r="AL369" s="10">
        <f t="shared" ca="1" si="2067"/>
        <v>3376168.9288856029</v>
      </c>
      <c r="AM369" s="10">
        <f t="shared" ca="1" si="2067"/>
        <v>3345476.4840775519</v>
      </c>
      <c r="AN369" s="10">
        <f t="shared" ca="1" si="2067"/>
        <v>3314784.0392695009</v>
      </c>
      <c r="AO369" s="10">
        <f t="shared" ca="1" si="2067"/>
        <v>3284091.5944614504</v>
      </c>
      <c r="AP369" s="10">
        <f t="shared" ca="1" si="2067"/>
        <v>3253399.1496533994</v>
      </c>
      <c r="AQ369" s="10">
        <f t="shared" ca="1" si="2067"/>
        <v>3222706.7048453484</v>
      </c>
      <c r="AR369" s="10">
        <f t="shared" ca="1" si="2067"/>
        <v>3192014.2600372974</v>
      </c>
      <c r="AS369" s="10">
        <f t="shared" ca="1" si="2067"/>
        <v>3161321.8152292464</v>
      </c>
      <c r="AT369" s="10">
        <f t="shared" ca="1" si="2067"/>
        <v>3130629.3704211954</v>
      </c>
      <c r="AU369" s="10">
        <f t="shared" ca="1" si="2067"/>
        <v>3099936.9256131444</v>
      </c>
      <c r="AV369" s="10">
        <f t="shared" ca="1" si="2067"/>
        <v>3069244.4808050934</v>
      </c>
      <c r="AW369" s="10">
        <f t="shared" ca="1" si="2067"/>
        <v>3038552.0359970424</v>
      </c>
      <c r="AX369" s="10">
        <f t="shared" ca="1" si="2067"/>
        <v>3007859.5911889914</v>
      </c>
      <c r="AY369" s="10">
        <f t="shared" ca="1" si="2067"/>
        <v>2977167.1463809405</v>
      </c>
      <c r="AZ369" s="10">
        <f t="shared" ca="1" si="2067"/>
        <v>2946474.7015728895</v>
      </c>
      <c r="BA369" s="10">
        <f t="shared" ca="1" si="2067"/>
        <v>2915782.2567648385</v>
      </c>
      <c r="BB369" s="10">
        <f t="shared" ca="1" si="2067"/>
        <v>2885089.8119567875</v>
      </c>
      <c r="BC369" s="10">
        <f t="shared" ca="1" si="2067"/>
        <v>2854397.3671487365</v>
      </c>
      <c r="BD369" s="10">
        <f t="shared" ca="1" si="2067"/>
        <v>2823704.9223406855</v>
      </c>
      <c r="BE369" s="10">
        <f t="shared" ca="1" si="2067"/>
        <v>2793012.4775326345</v>
      </c>
      <c r="BF369" s="10">
        <f t="shared" ca="1" si="2067"/>
        <v>2762320.0327245835</v>
      </c>
      <c r="BG369" s="10">
        <f t="shared" ca="1" si="2067"/>
        <v>2731627.5879165325</v>
      </c>
      <c r="BH369" s="10">
        <f t="shared" ca="1" si="2067"/>
        <v>2700935.1431084815</v>
      </c>
      <c r="BI369" s="10">
        <f t="shared" ca="1" si="2067"/>
        <v>2670242.6983004306</v>
      </c>
      <c r="BJ369" s="10">
        <f t="shared" ca="1" si="2067"/>
        <v>2639550.2534923796</v>
      </c>
      <c r="BK369" s="10">
        <f t="shared" ca="1" si="2067"/>
        <v>2608857.8086843286</v>
      </c>
      <c r="BL369" s="10">
        <f t="shared" ca="1" si="2067"/>
        <v>2578165.3638762776</v>
      </c>
      <c r="BM369" s="10">
        <f t="shared" ca="1" si="2067"/>
        <v>2547472.9190682266</v>
      </c>
      <c r="BN369" s="10">
        <f t="shared" ca="1" si="2067"/>
        <v>2516780.4742601756</v>
      </c>
      <c r="BO369" s="10">
        <f t="shared" ca="1" si="2067"/>
        <v>2486088.0294521246</v>
      </c>
      <c r="BP369" s="10">
        <f t="shared" ca="1" si="2067"/>
        <v>2455395.5846440736</v>
      </c>
      <c r="BQ369" s="10">
        <f t="shared" ca="1" si="2067"/>
        <v>2424703.1398360226</v>
      </c>
      <c r="BR369" s="10">
        <f t="shared" ca="1" si="2067"/>
        <v>2394010.6950279716</v>
      </c>
      <c r="BS369" s="10">
        <f t="shared" ca="1" si="2067"/>
        <v>2363318.2502199207</v>
      </c>
      <c r="BT369" s="10">
        <f t="shared" ca="1" si="2067"/>
        <v>2332625.8054118697</v>
      </c>
      <c r="BU369" s="10">
        <f t="shared" ca="1" si="2067"/>
        <v>2301933.3606038187</v>
      </c>
      <c r="BV369" s="10">
        <f t="shared" ca="1" si="2067"/>
        <v>2271240.9157957677</v>
      </c>
      <c r="BW369" s="10">
        <f t="shared" ca="1" si="2067"/>
        <v>2240548.4709877167</v>
      </c>
      <c r="BX369" s="10">
        <f t="shared" ca="1" si="2067"/>
        <v>2209856.0261796657</v>
      </c>
      <c r="BY369" s="10">
        <f t="shared" ca="1" si="2067"/>
        <v>2179163.5813716147</v>
      </c>
      <c r="BZ369" s="10">
        <f t="shared" ca="1" si="2067"/>
        <v>2148471.1365635637</v>
      </c>
      <c r="CA369" s="10">
        <f t="shared" ca="1" si="2067"/>
        <v>2117778.6917555127</v>
      </c>
      <c r="CB369" s="10">
        <f t="shared" ca="1" si="2067"/>
        <v>2087086.2469474617</v>
      </c>
      <c r="CC369" s="10">
        <f t="shared" ca="1" si="2067"/>
        <v>2056393.8021394107</v>
      </c>
      <c r="CD369" s="10">
        <f t="shared" ca="1" si="2067"/>
        <v>2025701.3573313598</v>
      </c>
      <c r="CE369" s="10">
        <f t="shared" ref="CE369:CO369" ca="1" si="2068">SUM(CE366,CE368)</f>
        <v>1995008.9125233088</v>
      </c>
      <c r="CF369" s="10">
        <f t="shared" ca="1" si="2068"/>
        <v>1964316.4677152578</v>
      </c>
      <c r="CG369" s="10">
        <f t="shared" ca="1" si="2068"/>
        <v>1933624.0229072068</v>
      </c>
      <c r="CH369" s="10">
        <f t="shared" ca="1" si="2068"/>
        <v>1902931.5780991558</v>
      </c>
      <c r="CI369" s="10">
        <f t="shared" ca="1" si="2068"/>
        <v>1872239.1332911048</v>
      </c>
      <c r="CJ369" s="10">
        <f t="shared" ca="1" si="2068"/>
        <v>1841546.6884830538</v>
      </c>
      <c r="CK369" s="10">
        <f t="shared" ca="1" si="2068"/>
        <v>1810854.2436750028</v>
      </c>
      <c r="CL369" s="10">
        <f t="shared" ca="1" si="2068"/>
        <v>1780161.7988669518</v>
      </c>
      <c r="CM369" s="10">
        <f t="shared" ca="1" si="2068"/>
        <v>1749469.3540589008</v>
      </c>
      <c r="CN369" s="10">
        <f t="shared" ca="1" si="2068"/>
        <v>1718776.9092508499</v>
      </c>
      <c r="CO369" s="10">
        <f t="shared" ca="1" si="2068"/>
        <v>1688084.4644427989</v>
      </c>
    </row>
    <row r="370" spans="1:93">
      <c r="A370" s="10"/>
      <c r="B370" s="10"/>
      <c r="C370" s="17"/>
      <c r="D370" s="10"/>
      <c r="E370" s="62"/>
      <c r="F370" s="11"/>
      <c r="G370" s="11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</row>
    <row r="371" spans="1:93">
      <c r="A371" s="10"/>
      <c r="B371" s="10"/>
      <c r="C371" s="87" t="s">
        <v>635</v>
      </c>
      <c r="D371" s="10"/>
      <c r="E371" s="10"/>
      <c r="F371" s="10"/>
      <c r="G371" s="11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</row>
    <row r="372" spans="1:93">
      <c r="A372" s="10"/>
      <c r="B372" s="10"/>
      <c r="C372" s="17" t="s">
        <v>386</v>
      </c>
      <c r="D372" s="10"/>
      <c r="E372" s="184">
        <f xml:space="preserve"> Предпосылки!E367</f>
        <v>7</v>
      </c>
      <c r="F372" s="11"/>
      <c r="G372" s="11" t="s">
        <v>123</v>
      </c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</row>
    <row r="373" spans="1:93">
      <c r="A373" s="10"/>
      <c r="B373" s="10"/>
      <c r="C373" s="17" t="s">
        <v>387</v>
      </c>
      <c r="D373" s="10"/>
      <c r="F373" s="11"/>
      <c r="G373" s="11" t="s">
        <v>28</v>
      </c>
      <c r="H373" s="10"/>
      <c r="I373" s="10"/>
      <c r="J373" s="10"/>
      <c r="K373" s="10"/>
      <c r="L373" s="157">
        <f t="shared" ref="L373:Q373" si="2069">IF($E372&lt;&gt;0,1/$E372,0)/Periods_in_Year</f>
        <v>3.5714285714285712E-2</v>
      </c>
      <c r="M373" s="157">
        <f t="shared" si="2069"/>
        <v>3.5714285714285712E-2</v>
      </c>
      <c r="N373" s="157">
        <f t="shared" si="2069"/>
        <v>3.5714285714285712E-2</v>
      </c>
      <c r="O373" s="157">
        <f t="shared" si="2069"/>
        <v>3.5714285714285712E-2</v>
      </c>
      <c r="P373" s="157">
        <f t="shared" si="2069"/>
        <v>3.5714285714285712E-2</v>
      </c>
      <c r="Q373" s="157">
        <f t="shared" si="2069"/>
        <v>3.5714285714285712E-2</v>
      </c>
      <c r="R373" s="157">
        <f t="shared" ref="R373" si="2070">IF($E372&lt;&gt;0,1/$E372,0)/Periods_in_Year</f>
        <v>3.5714285714285712E-2</v>
      </c>
      <c r="S373" s="157">
        <f t="shared" ref="S373:CD373" si="2071">IF($E372&lt;&gt;0,1/$E372,0)/Periods_in_Year</f>
        <v>3.5714285714285712E-2</v>
      </c>
      <c r="T373" s="157">
        <f t="shared" si="2071"/>
        <v>3.5714285714285712E-2</v>
      </c>
      <c r="U373" s="157">
        <f t="shared" si="2071"/>
        <v>3.5714285714285712E-2</v>
      </c>
      <c r="V373" s="157">
        <f t="shared" si="2071"/>
        <v>3.5714285714285712E-2</v>
      </c>
      <c r="W373" s="157">
        <f t="shared" si="2071"/>
        <v>3.5714285714285712E-2</v>
      </c>
      <c r="X373" s="157">
        <f t="shared" si="2071"/>
        <v>3.5714285714285712E-2</v>
      </c>
      <c r="Y373" s="157">
        <f t="shared" si="2071"/>
        <v>3.5714285714285712E-2</v>
      </c>
      <c r="Z373" s="157">
        <f t="shared" si="2071"/>
        <v>3.5714285714285712E-2</v>
      </c>
      <c r="AA373" s="157">
        <f t="shared" si="2071"/>
        <v>3.5714285714285712E-2</v>
      </c>
      <c r="AB373" s="157">
        <f t="shared" si="2071"/>
        <v>3.5714285714285712E-2</v>
      </c>
      <c r="AC373" s="157">
        <f t="shared" si="2071"/>
        <v>3.5714285714285712E-2</v>
      </c>
      <c r="AD373" s="157">
        <f t="shared" si="2071"/>
        <v>3.5714285714285712E-2</v>
      </c>
      <c r="AE373" s="157">
        <f t="shared" si="2071"/>
        <v>3.5714285714285712E-2</v>
      </c>
      <c r="AF373" s="157">
        <f t="shared" si="2071"/>
        <v>3.5714285714285712E-2</v>
      </c>
      <c r="AG373" s="157">
        <f t="shared" si="2071"/>
        <v>3.5714285714285712E-2</v>
      </c>
      <c r="AH373" s="157">
        <f t="shared" si="2071"/>
        <v>3.5714285714285712E-2</v>
      </c>
      <c r="AI373" s="157">
        <f t="shared" si="2071"/>
        <v>3.5714285714285712E-2</v>
      </c>
      <c r="AJ373" s="157">
        <f t="shared" si="2071"/>
        <v>3.5714285714285712E-2</v>
      </c>
      <c r="AK373" s="157">
        <f t="shared" si="2071"/>
        <v>3.5714285714285712E-2</v>
      </c>
      <c r="AL373" s="157">
        <f t="shared" si="2071"/>
        <v>3.5714285714285712E-2</v>
      </c>
      <c r="AM373" s="157">
        <f t="shared" si="2071"/>
        <v>3.5714285714285712E-2</v>
      </c>
      <c r="AN373" s="157">
        <f t="shared" si="2071"/>
        <v>3.5714285714285712E-2</v>
      </c>
      <c r="AO373" s="157">
        <f t="shared" si="2071"/>
        <v>3.5714285714285712E-2</v>
      </c>
      <c r="AP373" s="157">
        <f t="shared" si="2071"/>
        <v>3.5714285714285712E-2</v>
      </c>
      <c r="AQ373" s="157">
        <f t="shared" si="2071"/>
        <v>3.5714285714285712E-2</v>
      </c>
      <c r="AR373" s="157">
        <f t="shared" si="2071"/>
        <v>3.5714285714285712E-2</v>
      </c>
      <c r="AS373" s="157">
        <f t="shared" si="2071"/>
        <v>3.5714285714285712E-2</v>
      </c>
      <c r="AT373" s="157">
        <f t="shared" si="2071"/>
        <v>3.5714285714285712E-2</v>
      </c>
      <c r="AU373" s="157">
        <f t="shared" si="2071"/>
        <v>3.5714285714285712E-2</v>
      </c>
      <c r="AV373" s="157">
        <f t="shared" si="2071"/>
        <v>3.5714285714285712E-2</v>
      </c>
      <c r="AW373" s="157">
        <f t="shared" si="2071"/>
        <v>3.5714285714285712E-2</v>
      </c>
      <c r="AX373" s="157">
        <f t="shared" si="2071"/>
        <v>3.5714285714285712E-2</v>
      </c>
      <c r="AY373" s="157">
        <f t="shared" si="2071"/>
        <v>3.5714285714285712E-2</v>
      </c>
      <c r="AZ373" s="157">
        <f t="shared" si="2071"/>
        <v>3.5714285714285712E-2</v>
      </c>
      <c r="BA373" s="157">
        <f t="shared" si="2071"/>
        <v>3.5714285714285712E-2</v>
      </c>
      <c r="BB373" s="157">
        <f t="shared" si="2071"/>
        <v>3.5714285714285712E-2</v>
      </c>
      <c r="BC373" s="157">
        <f t="shared" si="2071"/>
        <v>3.5714285714285712E-2</v>
      </c>
      <c r="BD373" s="157">
        <f t="shared" si="2071"/>
        <v>3.5714285714285712E-2</v>
      </c>
      <c r="BE373" s="157">
        <f t="shared" si="2071"/>
        <v>3.5714285714285712E-2</v>
      </c>
      <c r="BF373" s="157">
        <f t="shared" si="2071"/>
        <v>3.5714285714285712E-2</v>
      </c>
      <c r="BG373" s="157">
        <f t="shared" si="2071"/>
        <v>3.5714285714285712E-2</v>
      </c>
      <c r="BH373" s="157">
        <f t="shared" si="2071"/>
        <v>3.5714285714285712E-2</v>
      </c>
      <c r="BI373" s="157">
        <f t="shared" si="2071"/>
        <v>3.5714285714285712E-2</v>
      </c>
      <c r="BJ373" s="157">
        <f t="shared" si="2071"/>
        <v>3.5714285714285712E-2</v>
      </c>
      <c r="BK373" s="157">
        <f t="shared" si="2071"/>
        <v>3.5714285714285712E-2</v>
      </c>
      <c r="BL373" s="157">
        <f t="shared" si="2071"/>
        <v>3.5714285714285712E-2</v>
      </c>
      <c r="BM373" s="157">
        <f t="shared" si="2071"/>
        <v>3.5714285714285712E-2</v>
      </c>
      <c r="BN373" s="157">
        <f t="shared" si="2071"/>
        <v>3.5714285714285712E-2</v>
      </c>
      <c r="BO373" s="157">
        <f t="shared" si="2071"/>
        <v>3.5714285714285712E-2</v>
      </c>
      <c r="BP373" s="157">
        <f t="shared" si="2071"/>
        <v>3.5714285714285712E-2</v>
      </c>
      <c r="BQ373" s="157">
        <f t="shared" si="2071"/>
        <v>3.5714285714285712E-2</v>
      </c>
      <c r="BR373" s="157">
        <f t="shared" si="2071"/>
        <v>3.5714285714285712E-2</v>
      </c>
      <c r="BS373" s="157">
        <f t="shared" si="2071"/>
        <v>3.5714285714285712E-2</v>
      </c>
      <c r="BT373" s="157">
        <f t="shared" si="2071"/>
        <v>3.5714285714285712E-2</v>
      </c>
      <c r="BU373" s="157">
        <f t="shared" si="2071"/>
        <v>3.5714285714285712E-2</v>
      </c>
      <c r="BV373" s="157">
        <f t="shared" si="2071"/>
        <v>3.5714285714285712E-2</v>
      </c>
      <c r="BW373" s="157">
        <f t="shared" si="2071"/>
        <v>3.5714285714285712E-2</v>
      </c>
      <c r="BX373" s="157">
        <f t="shared" si="2071"/>
        <v>3.5714285714285712E-2</v>
      </c>
      <c r="BY373" s="157">
        <f t="shared" si="2071"/>
        <v>3.5714285714285712E-2</v>
      </c>
      <c r="BZ373" s="157">
        <f t="shared" si="2071"/>
        <v>3.5714285714285712E-2</v>
      </c>
      <c r="CA373" s="157">
        <f t="shared" si="2071"/>
        <v>3.5714285714285712E-2</v>
      </c>
      <c r="CB373" s="157">
        <f t="shared" si="2071"/>
        <v>3.5714285714285712E-2</v>
      </c>
      <c r="CC373" s="157">
        <f t="shared" si="2071"/>
        <v>3.5714285714285712E-2</v>
      </c>
      <c r="CD373" s="157">
        <f t="shared" si="2071"/>
        <v>3.5714285714285712E-2</v>
      </c>
      <c r="CE373" s="157">
        <f t="shared" ref="CE373:CO373" si="2072">IF($E372&lt;&gt;0,1/$E372,0)/Periods_in_Year</f>
        <v>3.5714285714285712E-2</v>
      </c>
      <c r="CF373" s="157">
        <f t="shared" si="2072"/>
        <v>3.5714285714285712E-2</v>
      </c>
      <c r="CG373" s="157">
        <f t="shared" si="2072"/>
        <v>3.5714285714285712E-2</v>
      </c>
      <c r="CH373" s="157">
        <f t="shared" si="2072"/>
        <v>3.5714285714285712E-2</v>
      </c>
      <c r="CI373" s="157">
        <f t="shared" si="2072"/>
        <v>3.5714285714285712E-2</v>
      </c>
      <c r="CJ373" s="157">
        <f t="shared" si="2072"/>
        <v>3.5714285714285712E-2</v>
      </c>
      <c r="CK373" s="157">
        <f t="shared" si="2072"/>
        <v>3.5714285714285712E-2</v>
      </c>
      <c r="CL373" s="157">
        <f t="shared" si="2072"/>
        <v>3.5714285714285712E-2</v>
      </c>
      <c r="CM373" s="157">
        <f t="shared" si="2072"/>
        <v>3.5714285714285712E-2</v>
      </c>
      <c r="CN373" s="157">
        <f t="shared" si="2072"/>
        <v>3.5714285714285712E-2</v>
      </c>
      <c r="CO373" s="157">
        <f t="shared" si="2072"/>
        <v>3.5714285714285712E-2</v>
      </c>
    </row>
    <row r="374" spans="1:93">
      <c r="A374" s="10"/>
      <c r="B374" s="10"/>
      <c r="C374" s="17" t="s">
        <v>125</v>
      </c>
      <c r="D374" s="10"/>
      <c r="E374" s="62"/>
      <c r="F374" s="11"/>
      <c r="G374" s="134" t="str">
        <f t="shared" ref="G374:G379" si="2073">Monetary_Unit</f>
        <v>тыс. руб.</v>
      </c>
      <c r="H374" s="10"/>
      <c r="I374" s="10"/>
      <c r="J374" s="10"/>
      <c r="K374" s="10"/>
      <c r="L374" s="10">
        <f t="shared" ref="L374" si="2074">K379</f>
        <v>0</v>
      </c>
      <c r="M374" s="10">
        <f t="shared" ref="M374" ca="1" si="2075">L379</f>
        <v>0</v>
      </c>
      <c r="N374" s="10">
        <f t="shared" ref="N374" ca="1" si="2076">M379</f>
        <v>0</v>
      </c>
      <c r="O374" s="10">
        <f t="shared" ref="O374" ca="1" si="2077">N379</f>
        <v>0</v>
      </c>
      <c r="P374" s="10">
        <f t="shared" ref="P374" ca="1" si="2078">O379</f>
        <v>0</v>
      </c>
      <c r="Q374" s="10">
        <f t="shared" ref="Q374" ca="1" si="2079">P379</f>
        <v>0</v>
      </c>
      <c r="R374" s="10">
        <f t="shared" ref="R374" ca="1" si="2080">Q379</f>
        <v>0</v>
      </c>
      <c r="S374" s="10">
        <f t="shared" ref="S374" ca="1" si="2081">R379</f>
        <v>0</v>
      </c>
      <c r="T374" s="10">
        <f t="shared" ref="T374" ca="1" si="2082">S379</f>
        <v>0</v>
      </c>
      <c r="U374" s="10">
        <f t="shared" ref="U374" ca="1" si="2083">T379</f>
        <v>0</v>
      </c>
      <c r="V374" s="10">
        <f t="shared" ref="V374" ca="1" si="2084">U379</f>
        <v>0</v>
      </c>
      <c r="W374" s="10">
        <f t="shared" ref="W374" ca="1" si="2085">V379</f>
        <v>0</v>
      </c>
      <c r="X374" s="10">
        <f t="shared" ref="X374" ca="1" si="2086">W379</f>
        <v>0</v>
      </c>
      <c r="Y374" s="10">
        <f t="shared" ref="Y374" ca="1" si="2087">X379</f>
        <v>0</v>
      </c>
      <c r="Z374" s="10">
        <f t="shared" ref="Z374" ca="1" si="2088">Y379</f>
        <v>0</v>
      </c>
      <c r="AA374" s="10">
        <f t="shared" ref="AA374" ca="1" si="2089">Z379</f>
        <v>0</v>
      </c>
      <c r="AB374" s="10">
        <f t="shared" ref="AB374" ca="1" si="2090">AA379</f>
        <v>0</v>
      </c>
      <c r="AC374" s="10">
        <f t="shared" ref="AC374" ca="1" si="2091">AB379</f>
        <v>1097531.3301707346</v>
      </c>
      <c r="AD374" s="10">
        <f t="shared" ref="AD374" ca="1" si="2092">AC379</f>
        <v>1058333.7826646368</v>
      </c>
      <c r="AE374" s="10">
        <f t="shared" ref="AE374" ca="1" si="2093">AD379</f>
        <v>1019136.2351585393</v>
      </c>
      <c r="AF374" s="10">
        <f t="shared" ref="AF374" ca="1" si="2094">AE379</f>
        <v>979938.68765244156</v>
      </c>
      <c r="AG374" s="10">
        <f t="shared" ref="AG374" ca="1" si="2095">AF379</f>
        <v>940741.14014634397</v>
      </c>
      <c r="AH374" s="10">
        <f t="shared" ref="AH374" ca="1" si="2096">AG379</f>
        <v>901543.59264024626</v>
      </c>
      <c r="AI374" s="10">
        <f t="shared" ref="AI374" ca="1" si="2097">AH379</f>
        <v>862346.04513414856</v>
      </c>
      <c r="AJ374" s="10">
        <f t="shared" ref="AJ374" ca="1" si="2098">AI379</f>
        <v>823148.49762805097</v>
      </c>
      <c r="AK374" s="10">
        <f t="shared" ref="AK374" ca="1" si="2099">AJ379</f>
        <v>783950.95012195338</v>
      </c>
      <c r="AL374" s="10">
        <f t="shared" ref="AL374" ca="1" si="2100">AK379</f>
        <v>744753.40261585568</v>
      </c>
      <c r="AM374" s="10">
        <f t="shared" ref="AM374" ca="1" si="2101">AL379</f>
        <v>705555.85510975798</v>
      </c>
      <c r="AN374" s="10">
        <f t="shared" ref="AN374" ca="1" si="2102">AM379</f>
        <v>666358.30760366039</v>
      </c>
      <c r="AO374" s="10">
        <f t="shared" ref="AO374" ca="1" si="2103">AN379</f>
        <v>627160.7600975628</v>
      </c>
      <c r="AP374" s="10">
        <f t="shared" ref="AP374" ca="1" si="2104">AO379</f>
        <v>587963.2125914651</v>
      </c>
      <c r="AQ374" s="10">
        <f t="shared" ref="AQ374" ca="1" si="2105">AP379</f>
        <v>548765.66508536739</v>
      </c>
      <c r="AR374" s="10">
        <f t="shared" ref="AR374" ca="1" si="2106">AQ379</f>
        <v>509568.11757926969</v>
      </c>
      <c r="AS374" s="10">
        <f t="shared" ref="AS374" ca="1" si="2107">AR379</f>
        <v>470370.57007317198</v>
      </c>
      <c r="AT374" s="10">
        <f t="shared" ref="AT374" ca="1" si="2108">AS379</f>
        <v>431173.02256707428</v>
      </c>
      <c r="AU374" s="10">
        <f t="shared" ref="AU374" ca="1" si="2109">AT379</f>
        <v>391975.47506097658</v>
      </c>
      <c r="AV374" s="10">
        <f t="shared" ref="AV374" ca="1" si="2110">AU379</f>
        <v>352777.92755487887</v>
      </c>
      <c r="AW374" s="10">
        <f t="shared" ref="AW374" ca="1" si="2111">AV379</f>
        <v>313580.38004878117</v>
      </c>
      <c r="AX374" s="10">
        <f t="shared" ref="AX374" ca="1" si="2112">AW379</f>
        <v>274382.83254268346</v>
      </c>
      <c r="AY374" s="10">
        <f t="shared" ref="AY374" ca="1" si="2113">AX379</f>
        <v>235185.28503658576</v>
      </c>
      <c r="AZ374" s="10">
        <f t="shared" ref="AZ374" ca="1" si="2114">AY379</f>
        <v>195987.73753048806</v>
      </c>
      <c r="BA374" s="10">
        <f t="shared" ref="BA374" ca="1" si="2115">AZ379</f>
        <v>156790.19002439035</v>
      </c>
      <c r="BB374" s="10">
        <f t="shared" ref="BB374" ca="1" si="2116">BA379</f>
        <v>117592.64251829265</v>
      </c>
      <c r="BC374" s="10">
        <f t="shared" ref="BC374" ca="1" si="2117">BB379</f>
        <v>78395.095012194943</v>
      </c>
      <c r="BD374" s="10">
        <f t="shared" ref="BD374" ca="1" si="2118">BC379</f>
        <v>39197.547506097239</v>
      </c>
      <c r="BE374" s="10">
        <f t="shared" ref="BE374" ca="1" si="2119">BD379</f>
        <v>0</v>
      </c>
      <c r="BF374" s="10">
        <f t="shared" ref="BF374" ca="1" si="2120">BE379</f>
        <v>0</v>
      </c>
      <c r="BG374" s="10">
        <f t="shared" ref="BG374" ca="1" si="2121">BF379</f>
        <v>0</v>
      </c>
      <c r="BH374" s="10">
        <f t="shared" ref="BH374" ca="1" si="2122">BG379</f>
        <v>0</v>
      </c>
      <c r="BI374" s="10">
        <f t="shared" ref="BI374" ca="1" si="2123">BH379</f>
        <v>0</v>
      </c>
      <c r="BJ374" s="10">
        <f t="shared" ref="BJ374" ca="1" si="2124">BI379</f>
        <v>0</v>
      </c>
      <c r="BK374" s="10">
        <f t="shared" ref="BK374" ca="1" si="2125">BJ379</f>
        <v>0</v>
      </c>
      <c r="BL374" s="10">
        <f t="shared" ref="BL374" ca="1" si="2126">BK379</f>
        <v>0</v>
      </c>
      <c r="BM374" s="10">
        <f t="shared" ref="BM374" ca="1" si="2127">BL379</f>
        <v>0</v>
      </c>
      <c r="BN374" s="10">
        <f t="shared" ref="BN374" ca="1" si="2128">BM379</f>
        <v>0</v>
      </c>
      <c r="BO374" s="10">
        <f t="shared" ref="BO374" ca="1" si="2129">BN379</f>
        <v>0</v>
      </c>
      <c r="BP374" s="10">
        <f t="shared" ref="BP374" ca="1" si="2130">BO379</f>
        <v>0</v>
      </c>
      <c r="BQ374" s="10">
        <f t="shared" ref="BQ374" ca="1" si="2131">BP379</f>
        <v>0</v>
      </c>
      <c r="BR374" s="10">
        <f t="shared" ref="BR374" ca="1" si="2132">BQ379</f>
        <v>0</v>
      </c>
      <c r="BS374" s="10">
        <f t="shared" ref="BS374" ca="1" si="2133">BR379</f>
        <v>0</v>
      </c>
      <c r="BT374" s="10">
        <f t="shared" ref="BT374" ca="1" si="2134">BS379</f>
        <v>0</v>
      </c>
      <c r="BU374" s="10">
        <f t="shared" ref="BU374" ca="1" si="2135">BT379</f>
        <v>0</v>
      </c>
      <c r="BV374" s="10">
        <f t="shared" ref="BV374" ca="1" si="2136">BU379</f>
        <v>0</v>
      </c>
      <c r="BW374" s="10">
        <f t="shared" ref="BW374" ca="1" si="2137">BV379</f>
        <v>0</v>
      </c>
      <c r="BX374" s="10">
        <f t="shared" ref="BX374" ca="1" si="2138">BW379</f>
        <v>0</v>
      </c>
      <c r="BY374" s="10">
        <f t="shared" ref="BY374" ca="1" si="2139">BX379</f>
        <v>0</v>
      </c>
      <c r="BZ374" s="10">
        <f t="shared" ref="BZ374" ca="1" si="2140">BY379</f>
        <v>0</v>
      </c>
      <c r="CA374" s="10">
        <f t="shared" ref="CA374" ca="1" si="2141">BZ379</f>
        <v>0</v>
      </c>
      <c r="CB374" s="10">
        <f t="shared" ref="CB374" ca="1" si="2142">CA379</f>
        <v>0</v>
      </c>
      <c r="CC374" s="10">
        <f t="shared" ref="CC374" ca="1" si="2143">CB379</f>
        <v>0</v>
      </c>
      <c r="CD374" s="10">
        <f t="shared" ref="CD374" ca="1" si="2144">CC379</f>
        <v>0</v>
      </c>
      <c r="CE374" s="10">
        <f t="shared" ref="CE374" ca="1" si="2145">CD379</f>
        <v>0</v>
      </c>
      <c r="CF374" s="10">
        <f t="shared" ref="CF374" ca="1" si="2146">CE379</f>
        <v>0</v>
      </c>
      <c r="CG374" s="10">
        <f t="shared" ref="CG374" ca="1" si="2147">CF379</f>
        <v>0</v>
      </c>
      <c r="CH374" s="10">
        <f t="shared" ref="CH374" ca="1" si="2148">CG379</f>
        <v>0</v>
      </c>
      <c r="CI374" s="10">
        <f t="shared" ref="CI374" ca="1" si="2149">CH379</f>
        <v>0</v>
      </c>
      <c r="CJ374" s="10">
        <f t="shared" ref="CJ374" ca="1" si="2150">CI379</f>
        <v>0</v>
      </c>
      <c r="CK374" s="10">
        <f t="shared" ref="CK374" ca="1" si="2151">CJ379</f>
        <v>0</v>
      </c>
      <c r="CL374" s="10">
        <f t="shared" ref="CL374" ca="1" si="2152">CK379</f>
        <v>0</v>
      </c>
      <c r="CM374" s="10">
        <f t="shared" ref="CM374" ca="1" si="2153">CL379</f>
        <v>0</v>
      </c>
      <c r="CN374" s="10">
        <f t="shared" ref="CN374" ca="1" si="2154">CM379</f>
        <v>0</v>
      </c>
      <c r="CO374" s="10">
        <f t="shared" ref="CO374" ca="1" si="2155">CN379</f>
        <v>0</v>
      </c>
    </row>
    <row r="375" spans="1:93">
      <c r="A375" s="10"/>
      <c r="B375" s="10"/>
      <c r="C375" s="17" t="s">
        <v>126</v>
      </c>
      <c r="D375" s="10"/>
      <c r="E375" s="62"/>
      <c r="F375" s="11"/>
      <c r="G375" s="134" t="str">
        <f t="shared" si="2073"/>
        <v>тыс. руб.</v>
      </c>
      <c r="H375" s="10"/>
      <c r="I375" s="23">
        <f ca="1">SUM(L375:CO375)</f>
        <v>1097531.3301707346</v>
      </c>
      <c r="J375" s="10"/>
      <c r="K375" s="10"/>
      <c r="L375" s="10">
        <f t="shared" ref="L375:AQ375" ca="1" si="2156">SUM(L325)</f>
        <v>0</v>
      </c>
      <c r="M375" s="10">
        <f t="shared" ca="1" si="2156"/>
        <v>0</v>
      </c>
      <c r="N375" s="10">
        <f t="shared" ca="1" si="2156"/>
        <v>0</v>
      </c>
      <c r="O375" s="10">
        <f t="shared" ca="1" si="2156"/>
        <v>0</v>
      </c>
      <c r="P375" s="10">
        <f t="shared" ca="1" si="2156"/>
        <v>0</v>
      </c>
      <c r="Q375" s="10">
        <f t="shared" ca="1" si="2156"/>
        <v>0</v>
      </c>
      <c r="R375" s="10">
        <f t="shared" ca="1" si="2156"/>
        <v>0</v>
      </c>
      <c r="S375" s="10">
        <f t="shared" ca="1" si="2156"/>
        <v>0</v>
      </c>
      <c r="T375" s="10">
        <f t="shared" ca="1" si="2156"/>
        <v>0</v>
      </c>
      <c r="U375" s="10">
        <f t="shared" ca="1" si="2156"/>
        <v>0</v>
      </c>
      <c r="V375" s="10">
        <f t="shared" ca="1" si="2156"/>
        <v>0</v>
      </c>
      <c r="W375" s="10">
        <f t="shared" ca="1" si="2156"/>
        <v>0</v>
      </c>
      <c r="X375" s="10">
        <f t="shared" ca="1" si="2156"/>
        <v>0</v>
      </c>
      <c r="Y375" s="10">
        <f t="shared" ca="1" si="2156"/>
        <v>0</v>
      </c>
      <c r="Z375" s="10">
        <f t="shared" ca="1" si="2156"/>
        <v>0</v>
      </c>
      <c r="AA375" s="10">
        <f t="shared" ca="1" si="2156"/>
        <v>0</v>
      </c>
      <c r="AB375" s="10">
        <f t="shared" ca="1" si="2156"/>
        <v>1097531.3301707346</v>
      </c>
      <c r="AC375" s="10">
        <f t="shared" ca="1" si="2156"/>
        <v>0</v>
      </c>
      <c r="AD375" s="10">
        <f t="shared" ca="1" si="2156"/>
        <v>0</v>
      </c>
      <c r="AE375" s="10">
        <f t="shared" ca="1" si="2156"/>
        <v>0</v>
      </c>
      <c r="AF375" s="10">
        <f t="shared" ca="1" si="2156"/>
        <v>0</v>
      </c>
      <c r="AG375" s="10">
        <f t="shared" ca="1" si="2156"/>
        <v>0</v>
      </c>
      <c r="AH375" s="10">
        <f t="shared" ca="1" si="2156"/>
        <v>0</v>
      </c>
      <c r="AI375" s="10">
        <f t="shared" ca="1" si="2156"/>
        <v>0</v>
      </c>
      <c r="AJ375" s="10">
        <f t="shared" ca="1" si="2156"/>
        <v>0</v>
      </c>
      <c r="AK375" s="10">
        <f t="shared" ca="1" si="2156"/>
        <v>0</v>
      </c>
      <c r="AL375" s="10">
        <f t="shared" ca="1" si="2156"/>
        <v>0</v>
      </c>
      <c r="AM375" s="10">
        <f t="shared" ca="1" si="2156"/>
        <v>0</v>
      </c>
      <c r="AN375" s="10">
        <f t="shared" ca="1" si="2156"/>
        <v>0</v>
      </c>
      <c r="AO375" s="10">
        <f t="shared" ca="1" si="2156"/>
        <v>0</v>
      </c>
      <c r="AP375" s="10">
        <f t="shared" ca="1" si="2156"/>
        <v>0</v>
      </c>
      <c r="AQ375" s="10">
        <f t="shared" ca="1" si="2156"/>
        <v>0</v>
      </c>
      <c r="AR375" s="10">
        <f t="shared" ref="AR375:BW375" ca="1" si="2157">SUM(AR325)</f>
        <v>0</v>
      </c>
      <c r="AS375" s="10">
        <f t="shared" ca="1" si="2157"/>
        <v>0</v>
      </c>
      <c r="AT375" s="10">
        <f t="shared" ca="1" si="2157"/>
        <v>0</v>
      </c>
      <c r="AU375" s="10">
        <f t="shared" ca="1" si="2157"/>
        <v>0</v>
      </c>
      <c r="AV375" s="10">
        <f t="shared" ca="1" si="2157"/>
        <v>0</v>
      </c>
      <c r="AW375" s="10">
        <f t="shared" ca="1" si="2157"/>
        <v>0</v>
      </c>
      <c r="AX375" s="10">
        <f t="shared" ca="1" si="2157"/>
        <v>0</v>
      </c>
      <c r="AY375" s="10">
        <f t="shared" ca="1" si="2157"/>
        <v>0</v>
      </c>
      <c r="AZ375" s="10">
        <f t="shared" ca="1" si="2157"/>
        <v>0</v>
      </c>
      <c r="BA375" s="10">
        <f t="shared" ca="1" si="2157"/>
        <v>0</v>
      </c>
      <c r="BB375" s="10">
        <f t="shared" ca="1" si="2157"/>
        <v>0</v>
      </c>
      <c r="BC375" s="10">
        <f t="shared" ca="1" si="2157"/>
        <v>0</v>
      </c>
      <c r="BD375" s="10">
        <f t="shared" ca="1" si="2157"/>
        <v>0</v>
      </c>
      <c r="BE375" s="10">
        <f t="shared" ca="1" si="2157"/>
        <v>0</v>
      </c>
      <c r="BF375" s="10">
        <f t="shared" ca="1" si="2157"/>
        <v>0</v>
      </c>
      <c r="BG375" s="10">
        <f t="shared" ca="1" si="2157"/>
        <v>0</v>
      </c>
      <c r="BH375" s="10">
        <f t="shared" ca="1" si="2157"/>
        <v>0</v>
      </c>
      <c r="BI375" s="10">
        <f t="shared" ca="1" si="2157"/>
        <v>0</v>
      </c>
      <c r="BJ375" s="10">
        <f t="shared" ca="1" si="2157"/>
        <v>0</v>
      </c>
      <c r="BK375" s="10">
        <f t="shared" ca="1" si="2157"/>
        <v>0</v>
      </c>
      <c r="BL375" s="10">
        <f t="shared" ca="1" si="2157"/>
        <v>0</v>
      </c>
      <c r="BM375" s="10">
        <f t="shared" ca="1" si="2157"/>
        <v>0</v>
      </c>
      <c r="BN375" s="10">
        <f t="shared" ca="1" si="2157"/>
        <v>0</v>
      </c>
      <c r="BO375" s="10">
        <f t="shared" ca="1" si="2157"/>
        <v>0</v>
      </c>
      <c r="BP375" s="10">
        <f t="shared" ca="1" si="2157"/>
        <v>0</v>
      </c>
      <c r="BQ375" s="10">
        <f t="shared" ca="1" si="2157"/>
        <v>0</v>
      </c>
      <c r="BR375" s="10">
        <f t="shared" ca="1" si="2157"/>
        <v>0</v>
      </c>
      <c r="BS375" s="10">
        <f t="shared" ca="1" si="2157"/>
        <v>0</v>
      </c>
      <c r="BT375" s="10">
        <f t="shared" ca="1" si="2157"/>
        <v>0</v>
      </c>
      <c r="BU375" s="10">
        <f t="shared" ca="1" si="2157"/>
        <v>0</v>
      </c>
      <c r="BV375" s="10">
        <f t="shared" ca="1" si="2157"/>
        <v>0</v>
      </c>
      <c r="BW375" s="10">
        <f t="shared" ca="1" si="2157"/>
        <v>0</v>
      </c>
      <c r="BX375" s="10">
        <f t="shared" ref="BX375:CO375" ca="1" si="2158">SUM(BX325)</f>
        <v>0</v>
      </c>
      <c r="BY375" s="10">
        <f t="shared" ca="1" si="2158"/>
        <v>0</v>
      </c>
      <c r="BZ375" s="10">
        <f t="shared" ca="1" si="2158"/>
        <v>0</v>
      </c>
      <c r="CA375" s="10">
        <f t="shared" ca="1" si="2158"/>
        <v>0</v>
      </c>
      <c r="CB375" s="10">
        <f t="shared" ca="1" si="2158"/>
        <v>0</v>
      </c>
      <c r="CC375" s="10">
        <f t="shared" ca="1" si="2158"/>
        <v>0</v>
      </c>
      <c r="CD375" s="10">
        <f t="shared" ca="1" si="2158"/>
        <v>0</v>
      </c>
      <c r="CE375" s="10">
        <f t="shared" ca="1" si="2158"/>
        <v>0</v>
      </c>
      <c r="CF375" s="10">
        <f t="shared" ca="1" si="2158"/>
        <v>0</v>
      </c>
      <c r="CG375" s="10">
        <f t="shared" ca="1" si="2158"/>
        <v>0</v>
      </c>
      <c r="CH375" s="10">
        <f t="shared" ca="1" si="2158"/>
        <v>0</v>
      </c>
      <c r="CI375" s="10">
        <f t="shared" ca="1" si="2158"/>
        <v>0</v>
      </c>
      <c r="CJ375" s="10">
        <f t="shared" ca="1" si="2158"/>
        <v>0</v>
      </c>
      <c r="CK375" s="10">
        <f t="shared" ca="1" si="2158"/>
        <v>0</v>
      </c>
      <c r="CL375" s="10">
        <f t="shared" ca="1" si="2158"/>
        <v>0</v>
      </c>
      <c r="CM375" s="10">
        <f t="shared" ca="1" si="2158"/>
        <v>0</v>
      </c>
      <c r="CN375" s="10">
        <f t="shared" ca="1" si="2158"/>
        <v>0</v>
      </c>
      <c r="CO375" s="10">
        <f t="shared" ca="1" si="2158"/>
        <v>0</v>
      </c>
    </row>
    <row r="376" spans="1:93">
      <c r="A376" s="10"/>
      <c r="B376" s="10"/>
      <c r="C376" s="17" t="s">
        <v>388</v>
      </c>
      <c r="D376" s="10"/>
      <c r="E376" s="62"/>
      <c r="F376" s="11"/>
      <c r="G376" s="134" t="str">
        <f t="shared" si="2073"/>
        <v>тыс. руб.</v>
      </c>
      <c r="H376" s="10"/>
      <c r="I376" s="10"/>
      <c r="J376" s="10"/>
      <c r="K376" s="10"/>
      <c r="L376" s="10">
        <f t="shared" ref="L376" ca="1" si="2159">L375+K376</f>
        <v>0</v>
      </c>
      <c r="M376" s="10">
        <f t="shared" ref="M376" ca="1" si="2160">M375+L376</f>
        <v>0</v>
      </c>
      <c r="N376" s="10">
        <f t="shared" ref="N376" ca="1" si="2161">N375+M376</f>
        <v>0</v>
      </c>
      <c r="O376" s="10">
        <f t="shared" ref="O376" ca="1" si="2162">O375+N376</f>
        <v>0</v>
      </c>
      <c r="P376" s="10">
        <f t="shared" ref="P376" ca="1" si="2163">P375+O376</f>
        <v>0</v>
      </c>
      <c r="Q376" s="10">
        <f t="shared" ref="Q376" ca="1" si="2164">Q375+P376</f>
        <v>0</v>
      </c>
      <c r="R376" s="10">
        <f t="shared" ref="R376" ca="1" si="2165">R375+Q376</f>
        <v>0</v>
      </c>
      <c r="S376" s="10">
        <f t="shared" ref="S376" ca="1" si="2166">S375+R376</f>
        <v>0</v>
      </c>
      <c r="T376" s="10">
        <f t="shared" ref="T376" ca="1" si="2167">T375+S376</f>
        <v>0</v>
      </c>
      <c r="U376" s="10">
        <f t="shared" ref="U376" ca="1" si="2168">U375+T376</f>
        <v>0</v>
      </c>
      <c r="V376" s="10">
        <f t="shared" ref="V376" ca="1" si="2169">V375+U376</f>
        <v>0</v>
      </c>
      <c r="W376" s="10">
        <f t="shared" ref="W376" ca="1" si="2170">W375+V376</f>
        <v>0</v>
      </c>
      <c r="X376" s="10">
        <f t="shared" ref="X376" ca="1" si="2171">X375+W376</f>
        <v>0</v>
      </c>
      <c r="Y376" s="10">
        <f t="shared" ref="Y376" ca="1" si="2172">Y375+X376</f>
        <v>0</v>
      </c>
      <c r="Z376" s="10">
        <f t="shared" ref="Z376" ca="1" si="2173">Z375+Y376</f>
        <v>0</v>
      </c>
      <c r="AA376" s="10">
        <f t="shared" ref="AA376" ca="1" si="2174">AA375+Z376</f>
        <v>0</v>
      </c>
      <c r="AB376" s="10">
        <f t="shared" ref="AB376" ca="1" si="2175">AB375+AA376</f>
        <v>1097531.3301707346</v>
      </c>
      <c r="AC376" s="10">
        <f t="shared" ref="AC376" ca="1" si="2176">AC375+AB376</f>
        <v>1097531.3301707346</v>
      </c>
      <c r="AD376" s="10">
        <f t="shared" ref="AD376" ca="1" si="2177">AD375+AC376</f>
        <v>1097531.3301707346</v>
      </c>
      <c r="AE376" s="10">
        <f t="shared" ref="AE376" ca="1" si="2178">AE375+AD376</f>
        <v>1097531.3301707346</v>
      </c>
      <c r="AF376" s="10">
        <f t="shared" ref="AF376" ca="1" si="2179">AF375+AE376</f>
        <v>1097531.3301707346</v>
      </c>
      <c r="AG376" s="10">
        <f t="shared" ref="AG376" ca="1" si="2180">AG375+AF376</f>
        <v>1097531.3301707346</v>
      </c>
      <c r="AH376" s="10">
        <f t="shared" ref="AH376" ca="1" si="2181">AH375+AG376</f>
        <v>1097531.3301707346</v>
      </c>
      <c r="AI376" s="10">
        <f t="shared" ref="AI376" ca="1" si="2182">AI375+AH376</f>
        <v>1097531.3301707346</v>
      </c>
      <c r="AJ376" s="10">
        <f t="shared" ref="AJ376" ca="1" si="2183">AJ375+AI376</f>
        <v>1097531.3301707346</v>
      </c>
      <c r="AK376" s="10">
        <f t="shared" ref="AK376" ca="1" si="2184">AK375+AJ376</f>
        <v>1097531.3301707346</v>
      </c>
      <c r="AL376" s="10">
        <f t="shared" ref="AL376" ca="1" si="2185">AL375+AK376</f>
        <v>1097531.3301707346</v>
      </c>
      <c r="AM376" s="10">
        <f t="shared" ref="AM376" ca="1" si="2186">AM375+AL376</f>
        <v>1097531.3301707346</v>
      </c>
      <c r="AN376" s="10">
        <f t="shared" ref="AN376" ca="1" si="2187">AN375+AM376</f>
        <v>1097531.3301707346</v>
      </c>
      <c r="AO376" s="10">
        <f t="shared" ref="AO376" ca="1" si="2188">AO375+AN376</f>
        <v>1097531.3301707346</v>
      </c>
      <c r="AP376" s="10">
        <f t="shared" ref="AP376" ca="1" si="2189">AP375+AO376</f>
        <v>1097531.3301707346</v>
      </c>
      <c r="AQ376" s="10">
        <f t="shared" ref="AQ376" ca="1" si="2190">AQ375+AP376</f>
        <v>1097531.3301707346</v>
      </c>
      <c r="AR376" s="10">
        <f t="shared" ref="AR376" ca="1" si="2191">AR375+AQ376</f>
        <v>1097531.3301707346</v>
      </c>
      <c r="AS376" s="10">
        <f t="shared" ref="AS376" ca="1" si="2192">AS375+AR376</f>
        <v>1097531.3301707346</v>
      </c>
      <c r="AT376" s="10">
        <f t="shared" ref="AT376" ca="1" si="2193">AT375+AS376</f>
        <v>1097531.3301707346</v>
      </c>
      <c r="AU376" s="10">
        <f t="shared" ref="AU376" ca="1" si="2194">AU375+AT376</f>
        <v>1097531.3301707346</v>
      </c>
      <c r="AV376" s="10">
        <f t="shared" ref="AV376" ca="1" si="2195">AV375+AU376</f>
        <v>1097531.3301707346</v>
      </c>
      <c r="AW376" s="10">
        <f t="shared" ref="AW376" ca="1" si="2196">AW375+AV376</f>
        <v>1097531.3301707346</v>
      </c>
      <c r="AX376" s="10">
        <f t="shared" ref="AX376" ca="1" si="2197">AX375+AW376</f>
        <v>1097531.3301707346</v>
      </c>
      <c r="AY376" s="10">
        <f t="shared" ref="AY376" ca="1" si="2198">AY375+AX376</f>
        <v>1097531.3301707346</v>
      </c>
      <c r="AZ376" s="10">
        <f t="shared" ref="AZ376" ca="1" si="2199">AZ375+AY376</f>
        <v>1097531.3301707346</v>
      </c>
      <c r="BA376" s="10">
        <f t="shared" ref="BA376" ca="1" si="2200">BA375+AZ376</f>
        <v>1097531.3301707346</v>
      </c>
      <c r="BB376" s="10">
        <f t="shared" ref="BB376" ca="1" si="2201">BB375+BA376</f>
        <v>1097531.3301707346</v>
      </c>
      <c r="BC376" s="10">
        <f t="shared" ref="BC376" ca="1" si="2202">BC375+BB376</f>
        <v>1097531.3301707346</v>
      </c>
      <c r="BD376" s="10">
        <f t="shared" ref="BD376" ca="1" si="2203">BD375+BC376</f>
        <v>1097531.3301707346</v>
      </c>
      <c r="BE376" s="10">
        <f t="shared" ref="BE376" ca="1" si="2204">BE375+BD376</f>
        <v>1097531.3301707346</v>
      </c>
      <c r="BF376" s="10">
        <f t="shared" ref="BF376" ca="1" si="2205">BF375+BE376</f>
        <v>1097531.3301707346</v>
      </c>
      <c r="BG376" s="10">
        <f t="shared" ref="BG376" ca="1" si="2206">BG375+BF376</f>
        <v>1097531.3301707346</v>
      </c>
      <c r="BH376" s="10">
        <f t="shared" ref="BH376" ca="1" si="2207">BH375+BG376</f>
        <v>1097531.3301707346</v>
      </c>
      <c r="BI376" s="10">
        <f t="shared" ref="BI376" ca="1" si="2208">BI375+BH376</f>
        <v>1097531.3301707346</v>
      </c>
      <c r="BJ376" s="10">
        <f t="shared" ref="BJ376" ca="1" si="2209">BJ375+BI376</f>
        <v>1097531.3301707346</v>
      </c>
      <c r="BK376" s="10">
        <f t="shared" ref="BK376" ca="1" si="2210">BK375+BJ376</f>
        <v>1097531.3301707346</v>
      </c>
      <c r="BL376" s="10">
        <f t="shared" ref="BL376" ca="1" si="2211">BL375+BK376</f>
        <v>1097531.3301707346</v>
      </c>
      <c r="BM376" s="10">
        <f t="shared" ref="BM376" ca="1" si="2212">BM375+BL376</f>
        <v>1097531.3301707346</v>
      </c>
      <c r="BN376" s="10">
        <f t="shared" ref="BN376" ca="1" si="2213">BN375+BM376</f>
        <v>1097531.3301707346</v>
      </c>
      <c r="BO376" s="10">
        <f t="shared" ref="BO376" ca="1" si="2214">BO375+BN376</f>
        <v>1097531.3301707346</v>
      </c>
      <c r="BP376" s="10">
        <f t="shared" ref="BP376" ca="1" si="2215">BP375+BO376</f>
        <v>1097531.3301707346</v>
      </c>
      <c r="BQ376" s="10">
        <f t="shared" ref="BQ376" ca="1" si="2216">BQ375+BP376</f>
        <v>1097531.3301707346</v>
      </c>
      <c r="BR376" s="10">
        <f t="shared" ref="BR376" ca="1" si="2217">BR375+BQ376</f>
        <v>1097531.3301707346</v>
      </c>
      <c r="BS376" s="10">
        <f t="shared" ref="BS376" ca="1" si="2218">BS375+BR376</f>
        <v>1097531.3301707346</v>
      </c>
      <c r="BT376" s="10">
        <f t="shared" ref="BT376" ca="1" si="2219">BT375+BS376</f>
        <v>1097531.3301707346</v>
      </c>
      <c r="BU376" s="10">
        <f t="shared" ref="BU376" ca="1" si="2220">BU375+BT376</f>
        <v>1097531.3301707346</v>
      </c>
      <c r="BV376" s="10">
        <f t="shared" ref="BV376" ca="1" si="2221">BV375+BU376</f>
        <v>1097531.3301707346</v>
      </c>
      <c r="BW376" s="10">
        <f t="shared" ref="BW376" ca="1" si="2222">BW375+BV376</f>
        <v>1097531.3301707346</v>
      </c>
      <c r="BX376" s="10">
        <f t="shared" ref="BX376" ca="1" si="2223">BX375+BW376</f>
        <v>1097531.3301707346</v>
      </c>
      <c r="BY376" s="10">
        <f t="shared" ref="BY376" ca="1" si="2224">BY375+BX376</f>
        <v>1097531.3301707346</v>
      </c>
      <c r="BZ376" s="10">
        <f t="shared" ref="BZ376" ca="1" si="2225">BZ375+BY376</f>
        <v>1097531.3301707346</v>
      </c>
      <c r="CA376" s="10">
        <f t="shared" ref="CA376" ca="1" si="2226">CA375+BZ376</f>
        <v>1097531.3301707346</v>
      </c>
      <c r="CB376" s="10">
        <f t="shared" ref="CB376" ca="1" si="2227">CB375+CA376</f>
        <v>1097531.3301707346</v>
      </c>
      <c r="CC376" s="10">
        <f t="shared" ref="CC376" ca="1" si="2228">CC375+CB376</f>
        <v>1097531.3301707346</v>
      </c>
      <c r="CD376" s="10">
        <f t="shared" ref="CD376" ca="1" si="2229">CD375+CC376</f>
        <v>1097531.3301707346</v>
      </c>
      <c r="CE376" s="10">
        <f t="shared" ref="CE376" ca="1" si="2230">CE375+CD376</f>
        <v>1097531.3301707346</v>
      </c>
      <c r="CF376" s="10">
        <f t="shared" ref="CF376" ca="1" si="2231">CF375+CE376</f>
        <v>1097531.3301707346</v>
      </c>
      <c r="CG376" s="10">
        <f t="shared" ref="CG376" ca="1" si="2232">CG375+CF376</f>
        <v>1097531.3301707346</v>
      </c>
      <c r="CH376" s="10">
        <f t="shared" ref="CH376" ca="1" si="2233">CH375+CG376</f>
        <v>1097531.3301707346</v>
      </c>
      <c r="CI376" s="10">
        <f t="shared" ref="CI376" ca="1" si="2234">CI375+CH376</f>
        <v>1097531.3301707346</v>
      </c>
      <c r="CJ376" s="10">
        <f t="shared" ref="CJ376" ca="1" si="2235">CJ375+CI376</f>
        <v>1097531.3301707346</v>
      </c>
      <c r="CK376" s="10">
        <f t="shared" ref="CK376" ca="1" si="2236">CK375+CJ376</f>
        <v>1097531.3301707346</v>
      </c>
      <c r="CL376" s="10">
        <f t="shared" ref="CL376" ca="1" si="2237">CL375+CK376</f>
        <v>1097531.3301707346</v>
      </c>
      <c r="CM376" s="10">
        <f t="shared" ref="CM376" ca="1" si="2238">CM375+CL376</f>
        <v>1097531.3301707346</v>
      </c>
      <c r="CN376" s="10">
        <f t="shared" ref="CN376" ca="1" si="2239">CN375+CM376</f>
        <v>1097531.3301707346</v>
      </c>
      <c r="CO376" s="10">
        <f t="shared" ref="CO376" ca="1" si="2240">CO375+CN376</f>
        <v>1097531.3301707346</v>
      </c>
    </row>
    <row r="377" spans="1:93">
      <c r="A377" s="10"/>
      <c r="B377" s="10"/>
      <c r="C377" s="17" t="s">
        <v>389</v>
      </c>
      <c r="D377" s="10"/>
      <c r="E377" s="62"/>
      <c r="F377" s="11"/>
      <c r="G377" s="134" t="str">
        <f t="shared" si="2073"/>
        <v>тыс. руб.</v>
      </c>
      <c r="H377" s="10"/>
      <c r="I377" s="23">
        <f ca="1">SUM(L377:CO377)</f>
        <v>1097531.3301707346</v>
      </c>
      <c r="J377" s="10"/>
      <c r="K377" s="10"/>
      <c r="L377" s="10">
        <f t="shared" ref="L377" ca="1" si="2241">(MIN(L376*L373,K379))</f>
        <v>0</v>
      </c>
      <c r="M377" s="10">
        <f t="shared" ref="M377" ca="1" si="2242">(MIN(M376*M373,L379))</f>
        <v>0</v>
      </c>
      <c r="N377" s="10">
        <f t="shared" ref="N377" ca="1" si="2243">(MIN(N376*N373,M379))</f>
        <v>0</v>
      </c>
      <c r="O377" s="10">
        <f t="shared" ref="O377" ca="1" si="2244">(MIN(O376*O373,N379))</f>
        <v>0</v>
      </c>
      <c r="P377" s="10">
        <f t="shared" ref="P377" ca="1" si="2245">(MIN(P376*P373,O379))</f>
        <v>0</v>
      </c>
      <c r="Q377" s="10">
        <f t="shared" ref="Q377" ca="1" si="2246">(MIN(Q376*Q373,P379))</f>
        <v>0</v>
      </c>
      <c r="R377" s="10">
        <f t="shared" ref="R377" ca="1" si="2247">(MIN(R376*R373,Q379))</f>
        <v>0</v>
      </c>
      <c r="S377" s="10">
        <f t="shared" ref="S377" ca="1" si="2248">(MIN(S376*S373,R379))</f>
        <v>0</v>
      </c>
      <c r="T377" s="10">
        <f t="shared" ref="T377" ca="1" si="2249">(MIN(T376*T373,S379))</f>
        <v>0</v>
      </c>
      <c r="U377" s="10">
        <f t="shared" ref="U377" ca="1" si="2250">(MIN(U376*U373,T379))</f>
        <v>0</v>
      </c>
      <c r="V377" s="10">
        <f t="shared" ref="V377" ca="1" si="2251">(MIN(V376*V373,U379))</f>
        <v>0</v>
      </c>
      <c r="W377" s="10">
        <f t="shared" ref="W377" ca="1" si="2252">(MIN(W376*W373,V379))</f>
        <v>0</v>
      </c>
      <c r="X377" s="10">
        <f t="shared" ref="X377" ca="1" si="2253">(MIN(X376*X373,W379))</f>
        <v>0</v>
      </c>
      <c r="Y377" s="10">
        <f t="shared" ref="Y377" ca="1" si="2254">(MIN(Y376*Y373,X379))</f>
        <v>0</v>
      </c>
      <c r="Z377" s="10">
        <f t="shared" ref="Z377" ca="1" si="2255">(MIN(Z376*Z373,Y379))</f>
        <v>0</v>
      </c>
      <c r="AA377" s="10">
        <f t="shared" ref="AA377" ca="1" si="2256">(MIN(AA376*AA373,Z379))</f>
        <v>0</v>
      </c>
      <c r="AB377" s="10">
        <f t="shared" ref="AB377" ca="1" si="2257">(MIN(AB376*AB373,AA379))</f>
        <v>0</v>
      </c>
      <c r="AC377" s="10">
        <f t="shared" ref="AC377" ca="1" si="2258">(MIN(AC376*AC373,AB379))</f>
        <v>39197.547506097661</v>
      </c>
      <c r="AD377" s="10">
        <f t="shared" ref="AD377" ca="1" si="2259">(MIN(AD376*AD373,AC379))</f>
        <v>39197.547506097661</v>
      </c>
      <c r="AE377" s="10">
        <f t="shared" ref="AE377" ca="1" si="2260">(MIN(AE376*AE373,AD379))</f>
        <v>39197.547506097661</v>
      </c>
      <c r="AF377" s="10">
        <f t="shared" ref="AF377" ca="1" si="2261">(MIN(AF376*AF373,AE379))</f>
        <v>39197.547506097661</v>
      </c>
      <c r="AG377" s="10">
        <f t="shared" ref="AG377" ca="1" si="2262">(MIN(AG376*AG373,AF379))</f>
        <v>39197.547506097661</v>
      </c>
      <c r="AH377" s="10">
        <f t="shared" ref="AH377" ca="1" si="2263">(MIN(AH376*AH373,AG379))</f>
        <v>39197.547506097661</v>
      </c>
      <c r="AI377" s="10">
        <f t="shared" ref="AI377" ca="1" si="2264">(MIN(AI376*AI373,AH379))</f>
        <v>39197.547506097661</v>
      </c>
      <c r="AJ377" s="10">
        <f t="shared" ref="AJ377" ca="1" si="2265">(MIN(AJ376*AJ373,AI379))</f>
        <v>39197.547506097661</v>
      </c>
      <c r="AK377" s="10">
        <f t="shared" ref="AK377" ca="1" si="2266">(MIN(AK376*AK373,AJ379))</f>
        <v>39197.547506097661</v>
      </c>
      <c r="AL377" s="10">
        <f t="shared" ref="AL377" ca="1" si="2267">(MIN(AL376*AL373,AK379))</f>
        <v>39197.547506097661</v>
      </c>
      <c r="AM377" s="10">
        <f t="shared" ref="AM377" ca="1" si="2268">(MIN(AM376*AM373,AL379))</f>
        <v>39197.547506097661</v>
      </c>
      <c r="AN377" s="10">
        <f t="shared" ref="AN377" ca="1" si="2269">(MIN(AN376*AN373,AM379))</f>
        <v>39197.547506097661</v>
      </c>
      <c r="AO377" s="10">
        <f t="shared" ref="AO377" ca="1" si="2270">(MIN(AO376*AO373,AN379))</f>
        <v>39197.547506097661</v>
      </c>
      <c r="AP377" s="10">
        <f t="shared" ref="AP377" ca="1" si="2271">(MIN(AP376*AP373,AO379))</f>
        <v>39197.547506097661</v>
      </c>
      <c r="AQ377" s="10">
        <f t="shared" ref="AQ377" ca="1" si="2272">(MIN(AQ376*AQ373,AP379))</f>
        <v>39197.547506097661</v>
      </c>
      <c r="AR377" s="10">
        <f t="shared" ref="AR377" ca="1" si="2273">(MIN(AR376*AR373,AQ379))</f>
        <v>39197.547506097661</v>
      </c>
      <c r="AS377" s="10">
        <f t="shared" ref="AS377" ca="1" si="2274">(MIN(AS376*AS373,AR379))</f>
        <v>39197.547506097661</v>
      </c>
      <c r="AT377" s="10">
        <f t="shared" ref="AT377" ca="1" si="2275">(MIN(AT376*AT373,AS379))</f>
        <v>39197.547506097661</v>
      </c>
      <c r="AU377" s="10">
        <f t="shared" ref="AU377" ca="1" si="2276">(MIN(AU376*AU373,AT379))</f>
        <v>39197.547506097661</v>
      </c>
      <c r="AV377" s="10">
        <f t="shared" ref="AV377" ca="1" si="2277">(MIN(AV376*AV373,AU379))</f>
        <v>39197.547506097661</v>
      </c>
      <c r="AW377" s="10">
        <f t="shared" ref="AW377" ca="1" si="2278">(MIN(AW376*AW373,AV379))</f>
        <v>39197.547506097661</v>
      </c>
      <c r="AX377" s="10">
        <f t="shared" ref="AX377" ca="1" si="2279">(MIN(AX376*AX373,AW379))</f>
        <v>39197.547506097661</v>
      </c>
      <c r="AY377" s="10">
        <f t="shared" ref="AY377" ca="1" si="2280">(MIN(AY376*AY373,AX379))</f>
        <v>39197.547506097661</v>
      </c>
      <c r="AZ377" s="10">
        <f t="shared" ref="AZ377" ca="1" si="2281">(MIN(AZ376*AZ373,AY379))</f>
        <v>39197.547506097661</v>
      </c>
      <c r="BA377" s="10">
        <f t="shared" ref="BA377" ca="1" si="2282">(MIN(BA376*BA373,AZ379))</f>
        <v>39197.547506097661</v>
      </c>
      <c r="BB377" s="10">
        <f t="shared" ref="BB377" ca="1" si="2283">(MIN(BB376*BB373,BA379))</f>
        <v>39197.547506097661</v>
      </c>
      <c r="BC377" s="10">
        <f t="shared" ref="BC377" ca="1" si="2284">(MIN(BC376*BC373,BB379))</f>
        <v>39197.547506097661</v>
      </c>
      <c r="BD377" s="10">
        <f t="shared" ref="BD377" ca="1" si="2285">(MIN(BD376*BD373,BC379))</f>
        <v>39197.547506097239</v>
      </c>
      <c r="BE377" s="10">
        <f t="shared" ref="BE377" ca="1" si="2286">(MIN(BE376*BE373,BD379))</f>
        <v>0</v>
      </c>
      <c r="BF377" s="10">
        <f t="shared" ref="BF377" ca="1" si="2287">(MIN(BF376*BF373,BE379))</f>
        <v>0</v>
      </c>
      <c r="BG377" s="10">
        <f t="shared" ref="BG377" ca="1" si="2288">(MIN(BG376*BG373,BF379))</f>
        <v>0</v>
      </c>
      <c r="BH377" s="10">
        <f t="shared" ref="BH377" ca="1" si="2289">(MIN(BH376*BH373,BG379))</f>
        <v>0</v>
      </c>
      <c r="BI377" s="10">
        <f t="shared" ref="BI377" ca="1" si="2290">(MIN(BI376*BI373,BH379))</f>
        <v>0</v>
      </c>
      <c r="BJ377" s="10">
        <f t="shared" ref="BJ377" ca="1" si="2291">(MIN(BJ376*BJ373,BI379))</f>
        <v>0</v>
      </c>
      <c r="BK377" s="10">
        <f t="shared" ref="BK377" ca="1" si="2292">(MIN(BK376*BK373,BJ379))</f>
        <v>0</v>
      </c>
      <c r="BL377" s="10">
        <f t="shared" ref="BL377" ca="1" si="2293">(MIN(BL376*BL373,BK379))</f>
        <v>0</v>
      </c>
      <c r="BM377" s="10">
        <f t="shared" ref="BM377" ca="1" si="2294">(MIN(BM376*BM373,BL379))</f>
        <v>0</v>
      </c>
      <c r="BN377" s="10">
        <f t="shared" ref="BN377" ca="1" si="2295">(MIN(BN376*BN373,BM379))</f>
        <v>0</v>
      </c>
      <c r="BO377" s="10">
        <f t="shared" ref="BO377" ca="1" si="2296">(MIN(BO376*BO373,BN379))</f>
        <v>0</v>
      </c>
      <c r="BP377" s="10">
        <f t="shared" ref="BP377" ca="1" si="2297">(MIN(BP376*BP373,BO379))</f>
        <v>0</v>
      </c>
      <c r="BQ377" s="10">
        <f t="shared" ref="BQ377" ca="1" si="2298">(MIN(BQ376*BQ373,BP379))</f>
        <v>0</v>
      </c>
      <c r="BR377" s="10">
        <f t="shared" ref="BR377" ca="1" si="2299">(MIN(BR376*BR373,BQ379))</f>
        <v>0</v>
      </c>
      <c r="BS377" s="10">
        <f t="shared" ref="BS377" ca="1" si="2300">(MIN(BS376*BS373,BR379))</f>
        <v>0</v>
      </c>
      <c r="BT377" s="10">
        <f t="shared" ref="BT377" ca="1" si="2301">(MIN(BT376*BT373,BS379))</f>
        <v>0</v>
      </c>
      <c r="BU377" s="10">
        <f t="shared" ref="BU377" ca="1" si="2302">(MIN(BU376*BU373,BT379))</f>
        <v>0</v>
      </c>
      <c r="BV377" s="10">
        <f t="shared" ref="BV377" ca="1" si="2303">(MIN(BV376*BV373,BU379))</f>
        <v>0</v>
      </c>
      <c r="BW377" s="10">
        <f t="shared" ref="BW377" ca="1" si="2304">(MIN(BW376*BW373,BV379))</f>
        <v>0</v>
      </c>
      <c r="BX377" s="10">
        <f t="shared" ref="BX377" ca="1" si="2305">(MIN(BX376*BX373,BW379))</f>
        <v>0</v>
      </c>
      <c r="BY377" s="10">
        <f t="shared" ref="BY377" ca="1" si="2306">(MIN(BY376*BY373,BX379))</f>
        <v>0</v>
      </c>
      <c r="BZ377" s="10">
        <f t="shared" ref="BZ377" ca="1" si="2307">(MIN(BZ376*BZ373,BY379))</f>
        <v>0</v>
      </c>
      <c r="CA377" s="10">
        <f t="shared" ref="CA377" ca="1" si="2308">(MIN(CA376*CA373,BZ379))</f>
        <v>0</v>
      </c>
      <c r="CB377" s="10">
        <f t="shared" ref="CB377" ca="1" si="2309">(MIN(CB376*CB373,CA379))</f>
        <v>0</v>
      </c>
      <c r="CC377" s="10">
        <f t="shared" ref="CC377" ca="1" si="2310">(MIN(CC376*CC373,CB379))</f>
        <v>0</v>
      </c>
      <c r="CD377" s="10">
        <f t="shared" ref="CD377" ca="1" si="2311">(MIN(CD376*CD373,CC379))</f>
        <v>0</v>
      </c>
      <c r="CE377" s="10">
        <f t="shared" ref="CE377" ca="1" si="2312">(MIN(CE376*CE373,CD379))</f>
        <v>0</v>
      </c>
      <c r="CF377" s="10">
        <f t="shared" ref="CF377" ca="1" si="2313">(MIN(CF376*CF373,CE379))</f>
        <v>0</v>
      </c>
      <c r="CG377" s="10">
        <f t="shared" ref="CG377" ca="1" si="2314">(MIN(CG376*CG373,CF379))</f>
        <v>0</v>
      </c>
      <c r="CH377" s="10">
        <f t="shared" ref="CH377" ca="1" si="2315">(MIN(CH376*CH373,CG379))</f>
        <v>0</v>
      </c>
      <c r="CI377" s="10">
        <f t="shared" ref="CI377" ca="1" si="2316">(MIN(CI376*CI373,CH379))</f>
        <v>0</v>
      </c>
      <c r="CJ377" s="10">
        <f t="shared" ref="CJ377" ca="1" si="2317">(MIN(CJ376*CJ373,CI379))</f>
        <v>0</v>
      </c>
      <c r="CK377" s="10">
        <f t="shared" ref="CK377" ca="1" si="2318">(MIN(CK376*CK373,CJ379))</f>
        <v>0</v>
      </c>
      <c r="CL377" s="10">
        <f t="shared" ref="CL377" ca="1" si="2319">(MIN(CL376*CL373,CK379))</f>
        <v>0</v>
      </c>
      <c r="CM377" s="10">
        <f t="shared" ref="CM377" ca="1" si="2320">(MIN(CM376*CM373,CL379))</f>
        <v>0</v>
      </c>
      <c r="CN377" s="10">
        <f t="shared" ref="CN377" ca="1" si="2321">(MIN(CN376*CN373,CM379))</f>
        <v>0</v>
      </c>
      <c r="CO377" s="10">
        <f t="shared" ref="CO377" ca="1" si="2322">(MIN(CO376*CO373,CN379))</f>
        <v>0</v>
      </c>
    </row>
    <row r="378" spans="1:93">
      <c r="A378" s="10"/>
      <c r="B378" s="10"/>
      <c r="C378" s="17" t="s">
        <v>127</v>
      </c>
      <c r="D378" s="10"/>
      <c r="E378" s="62"/>
      <c r="F378" s="11"/>
      <c r="G378" s="134" t="str">
        <f t="shared" si="2073"/>
        <v>тыс. руб.</v>
      </c>
      <c r="H378" s="10"/>
      <c r="I378" s="10"/>
      <c r="J378" s="10"/>
      <c r="K378" s="10"/>
      <c r="L378" s="10">
        <f t="shared" ref="L378" ca="1" si="2323">SUM(K378,-L377)</f>
        <v>0</v>
      </c>
      <c r="M378" s="10">
        <f t="shared" ref="M378" ca="1" si="2324">SUM(L378,-M377)</f>
        <v>0</v>
      </c>
      <c r="N378" s="10">
        <f t="shared" ref="N378" ca="1" si="2325">SUM(M378,-N377)</f>
        <v>0</v>
      </c>
      <c r="O378" s="10">
        <f t="shared" ref="O378" ca="1" si="2326">SUM(N378,-O377)</f>
        <v>0</v>
      </c>
      <c r="P378" s="10">
        <f t="shared" ref="P378" ca="1" si="2327">SUM(O378,-P377)</f>
        <v>0</v>
      </c>
      <c r="Q378" s="10">
        <f t="shared" ref="Q378" ca="1" si="2328">SUM(P378,-Q377)</f>
        <v>0</v>
      </c>
      <c r="R378" s="10">
        <f t="shared" ref="R378" ca="1" si="2329">SUM(Q378,-R377)</f>
        <v>0</v>
      </c>
      <c r="S378" s="10">
        <f t="shared" ref="S378" ca="1" si="2330">SUM(R378,-S377)</f>
        <v>0</v>
      </c>
      <c r="T378" s="10">
        <f t="shared" ref="T378" ca="1" si="2331">SUM(S378,-T377)</f>
        <v>0</v>
      </c>
      <c r="U378" s="10">
        <f t="shared" ref="U378" ca="1" si="2332">SUM(T378,-U377)</f>
        <v>0</v>
      </c>
      <c r="V378" s="10">
        <f t="shared" ref="V378" ca="1" si="2333">SUM(U378,-V377)</f>
        <v>0</v>
      </c>
      <c r="W378" s="10">
        <f t="shared" ref="W378" ca="1" si="2334">SUM(V378,-W377)</f>
        <v>0</v>
      </c>
      <c r="X378" s="10">
        <f t="shared" ref="X378" ca="1" si="2335">SUM(W378,-X377)</f>
        <v>0</v>
      </c>
      <c r="Y378" s="10">
        <f t="shared" ref="Y378" ca="1" si="2336">SUM(X378,-Y377)</f>
        <v>0</v>
      </c>
      <c r="Z378" s="10">
        <f t="shared" ref="Z378" ca="1" si="2337">SUM(Y378,-Z377)</f>
        <v>0</v>
      </c>
      <c r="AA378" s="10">
        <f t="shared" ref="AA378" ca="1" si="2338">SUM(Z378,-AA377)</f>
        <v>0</v>
      </c>
      <c r="AB378" s="10">
        <f t="shared" ref="AB378" ca="1" si="2339">SUM(AA378,-AB377)</f>
        <v>0</v>
      </c>
      <c r="AC378" s="10">
        <f t="shared" ref="AC378" ca="1" si="2340">SUM(AB378,-AC377)</f>
        <v>-39197.547506097661</v>
      </c>
      <c r="AD378" s="10">
        <f t="shared" ref="AD378" ca="1" si="2341">SUM(AC378,-AD377)</f>
        <v>-78395.095012195321</v>
      </c>
      <c r="AE378" s="10">
        <f t="shared" ref="AE378" ca="1" si="2342">SUM(AD378,-AE377)</f>
        <v>-117592.64251829298</v>
      </c>
      <c r="AF378" s="10">
        <f t="shared" ref="AF378" ca="1" si="2343">SUM(AE378,-AF377)</f>
        <v>-156790.19002439064</v>
      </c>
      <c r="AG378" s="10">
        <f t="shared" ref="AG378" ca="1" si="2344">SUM(AF378,-AG377)</f>
        <v>-195987.73753048829</v>
      </c>
      <c r="AH378" s="10">
        <f t="shared" ref="AH378" ca="1" si="2345">SUM(AG378,-AH377)</f>
        <v>-235185.28503658593</v>
      </c>
      <c r="AI378" s="10">
        <f t="shared" ref="AI378" ca="1" si="2346">SUM(AH378,-AI377)</f>
        <v>-274382.83254268358</v>
      </c>
      <c r="AJ378" s="10">
        <f t="shared" ref="AJ378" ca="1" si="2347">SUM(AI378,-AJ377)</f>
        <v>-313580.38004878123</v>
      </c>
      <c r="AK378" s="10">
        <f t="shared" ref="AK378" ca="1" si="2348">SUM(AJ378,-AK377)</f>
        <v>-352777.92755487887</v>
      </c>
      <c r="AL378" s="10">
        <f t="shared" ref="AL378" ca="1" si="2349">SUM(AK378,-AL377)</f>
        <v>-391975.47506097652</v>
      </c>
      <c r="AM378" s="10">
        <f t="shared" ref="AM378" ca="1" si="2350">SUM(AL378,-AM377)</f>
        <v>-431173.02256707416</v>
      </c>
      <c r="AN378" s="10">
        <f t="shared" ref="AN378" ca="1" si="2351">SUM(AM378,-AN377)</f>
        <v>-470370.57007317181</v>
      </c>
      <c r="AO378" s="10">
        <f t="shared" ref="AO378" ca="1" si="2352">SUM(AN378,-AO377)</f>
        <v>-509568.11757926946</v>
      </c>
      <c r="AP378" s="10">
        <f t="shared" ref="AP378" ca="1" si="2353">SUM(AO378,-AP377)</f>
        <v>-548765.66508536716</v>
      </c>
      <c r="AQ378" s="10">
        <f t="shared" ref="AQ378" ca="1" si="2354">SUM(AP378,-AQ377)</f>
        <v>-587963.21259146486</v>
      </c>
      <c r="AR378" s="10">
        <f t="shared" ref="AR378" ca="1" si="2355">SUM(AQ378,-AR377)</f>
        <v>-627160.76009756257</v>
      </c>
      <c r="AS378" s="10">
        <f t="shared" ref="AS378" ca="1" si="2356">SUM(AR378,-AS377)</f>
        <v>-666358.30760366027</v>
      </c>
      <c r="AT378" s="10">
        <f t="shared" ref="AT378" ca="1" si="2357">SUM(AS378,-AT377)</f>
        <v>-705555.85510975798</v>
      </c>
      <c r="AU378" s="10">
        <f t="shared" ref="AU378" ca="1" si="2358">SUM(AT378,-AU377)</f>
        <v>-744753.40261585568</v>
      </c>
      <c r="AV378" s="10">
        <f t="shared" ref="AV378" ca="1" si="2359">SUM(AU378,-AV377)</f>
        <v>-783950.95012195338</v>
      </c>
      <c r="AW378" s="10">
        <f t="shared" ref="AW378" ca="1" si="2360">SUM(AV378,-AW377)</f>
        <v>-823148.49762805109</v>
      </c>
      <c r="AX378" s="10">
        <f t="shared" ref="AX378" ca="1" si="2361">SUM(AW378,-AX377)</f>
        <v>-862346.04513414879</v>
      </c>
      <c r="AY378" s="10">
        <f t="shared" ref="AY378" ca="1" si="2362">SUM(AX378,-AY377)</f>
        <v>-901543.5926402465</v>
      </c>
      <c r="AZ378" s="10">
        <f t="shared" ref="AZ378" ca="1" si="2363">SUM(AY378,-AZ377)</f>
        <v>-940741.1401463442</v>
      </c>
      <c r="BA378" s="10">
        <f t="shared" ref="BA378" ca="1" si="2364">SUM(AZ378,-BA377)</f>
        <v>-979938.68765244191</v>
      </c>
      <c r="BB378" s="10">
        <f t="shared" ref="BB378" ca="1" si="2365">SUM(BA378,-BB377)</f>
        <v>-1019136.2351585396</v>
      </c>
      <c r="BC378" s="10">
        <f t="shared" ref="BC378" ca="1" si="2366">SUM(BB378,-BC377)</f>
        <v>-1058333.7826646373</v>
      </c>
      <c r="BD378" s="10">
        <f t="shared" ref="BD378" ca="1" si="2367">SUM(BC378,-BD377)</f>
        <v>-1097531.3301707346</v>
      </c>
      <c r="BE378" s="10">
        <f t="shared" ref="BE378" ca="1" si="2368">SUM(BD378,-BE377)</f>
        <v>-1097531.3301707346</v>
      </c>
      <c r="BF378" s="10">
        <f t="shared" ref="BF378" ca="1" si="2369">SUM(BE378,-BF377)</f>
        <v>-1097531.3301707346</v>
      </c>
      <c r="BG378" s="10">
        <f t="shared" ref="BG378" ca="1" si="2370">SUM(BF378,-BG377)</f>
        <v>-1097531.3301707346</v>
      </c>
      <c r="BH378" s="10">
        <f t="shared" ref="BH378" ca="1" si="2371">SUM(BG378,-BH377)</f>
        <v>-1097531.3301707346</v>
      </c>
      <c r="BI378" s="10">
        <f t="shared" ref="BI378" ca="1" si="2372">SUM(BH378,-BI377)</f>
        <v>-1097531.3301707346</v>
      </c>
      <c r="BJ378" s="10">
        <f t="shared" ref="BJ378" ca="1" si="2373">SUM(BI378,-BJ377)</f>
        <v>-1097531.3301707346</v>
      </c>
      <c r="BK378" s="10">
        <f t="shared" ref="BK378" ca="1" si="2374">SUM(BJ378,-BK377)</f>
        <v>-1097531.3301707346</v>
      </c>
      <c r="BL378" s="10">
        <f t="shared" ref="BL378" ca="1" si="2375">SUM(BK378,-BL377)</f>
        <v>-1097531.3301707346</v>
      </c>
      <c r="BM378" s="10">
        <f t="shared" ref="BM378" ca="1" si="2376">SUM(BL378,-BM377)</f>
        <v>-1097531.3301707346</v>
      </c>
      <c r="BN378" s="10">
        <f t="shared" ref="BN378" ca="1" si="2377">SUM(BM378,-BN377)</f>
        <v>-1097531.3301707346</v>
      </c>
      <c r="BO378" s="10">
        <f t="shared" ref="BO378" ca="1" si="2378">SUM(BN378,-BO377)</f>
        <v>-1097531.3301707346</v>
      </c>
      <c r="BP378" s="10">
        <f t="shared" ref="BP378" ca="1" si="2379">SUM(BO378,-BP377)</f>
        <v>-1097531.3301707346</v>
      </c>
      <c r="BQ378" s="10">
        <f t="shared" ref="BQ378" ca="1" si="2380">SUM(BP378,-BQ377)</f>
        <v>-1097531.3301707346</v>
      </c>
      <c r="BR378" s="10">
        <f t="shared" ref="BR378" ca="1" si="2381">SUM(BQ378,-BR377)</f>
        <v>-1097531.3301707346</v>
      </c>
      <c r="BS378" s="10">
        <f t="shared" ref="BS378" ca="1" si="2382">SUM(BR378,-BS377)</f>
        <v>-1097531.3301707346</v>
      </c>
      <c r="BT378" s="10">
        <f t="shared" ref="BT378" ca="1" si="2383">SUM(BS378,-BT377)</f>
        <v>-1097531.3301707346</v>
      </c>
      <c r="BU378" s="10">
        <f t="shared" ref="BU378" ca="1" si="2384">SUM(BT378,-BU377)</f>
        <v>-1097531.3301707346</v>
      </c>
      <c r="BV378" s="10">
        <f t="shared" ref="BV378" ca="1" si="2385">SUM(BU378,-BV377)</f>
        <v>-1097531.3301707346</v>
      </c>
      <c r="BW378" s="10">
        <f t="shared" ref="BW378" ca="1" si="2386">SUM(BV378,-BW377)</f>
        <v>-1097531.3301707346</v>
      </c>
      <c r="BX378" s="10">
        <f t="shared" ref="BX378" ca="1" si="2387">SUM(BW378,-BX377)</f>
        <v>-1097531.3301707346</v>
      </c>
      <c r="BY378" s="10">
        <f t="shared" ref="BY378" ca="1" si="2388">SUM(BX378,-BY377)</f>
        <v>-1097531.3301707346</v>
      </c>
      <c r="BZ378" s="10">
        <f t="shared" ref="BZ378" ca="1" si="2389">SUM(BY378,-BZ377)</f>
        <v>-1097531.3301707346</v>
      </c>
      <c r="CA378" s="10">
        <f t="shared" ref="CA378" ca="1" si="2390">SUM(BZ378,-CA377)</f>
        <v>-1097531.3301707346</v>
      </c>
      <c r="CB378" s="10">
        <f t="shared" ref="CB378" ca="1" si="2391">SUM(CA378,-CB377)</f>
        <v>-1097531.3301707346</v>
      </c>
      <c r="CC378" s="10">
        <f t="shared" ref="CC378" ca="1" si="2392">SUM(CB378,-CC377)</f>
        <v>-1097531.3301707346</v>
      </c>
      <c r="CD378" s="10">
        <f t="shared" ref="CD378" ca="1" si="2393">SUM(CC378,-CD377)</f>
        <v>-1097531.3301707346</v>
      </c>
      <c r="CE378" s="10">
        <f t="shared" ref="CE378" ca="1" si="2394">SUM(CD378,-CE377)</f>
        <v>-1097531.3301707346</v>
      </c>
      <c r="CF378" s="10">
        <f t="shared" ref="CF378" ca="1" si="2395">SUM(CE378,-CF377)</f>
        <v>-1097531.3301707346</v>
      </c>
      <c r="CG378" s="10">
        <f t="shared" ref="CG378" ca="1" si="2396">SUM(CF378,-CG377)</f>
        <v>-1097531.3301707346</v>
      </c>
      <c r="CH378" s="10">
        <f t="shared" ref="CH378" ca="1" si="2397">SUM(CG378,-CH377)</f>
        <v>-1097531.3301707346</v>
      </c>
      <c r="CI378" s="10">
        <f t="shared" ref="CI378" ca="1" si="2398">SUM(CH378,-CI377)</f>
        <v>-1097531.3301707346</v>
      </c>
      <c r="CJ378" s="10">
        <f t="shared" ref="CJ378" ca="1" si="2399">SUM(CI378,-CJ377)</f>
        <v>-1097531.3301707346</v>
      </c>
      <c r="CK378" s="10">
        <f t="shared" ref="CK378" ca="1" si="2400">SUM(CJ378,-CK377)</f>
        <v>-1097531.3301707346</v>
      </c>
      <c r="CL378" s="10">
        <f t="shared" ref="CL378" ca="1" si="2401">SUM(CK378,-CL377)</f>
        <v>-1097531.3301707346</v>
      </c>
      <c r="CM378" s="10">
        <f t="shared" ref="CM378" ca="1" si="2402">SUM(CL378,-CM377)</f>
        <v>-1097531.3301707346</v>
      </c>
      <c r="CN378" s="10">
        <f t="shared" ref="CN378" ca="1" si="2403">SUM(CM378,-CN377)</f>
        <v>-1097531.3301707346</v>
      </c>
      <c r="CO378" s="10">
        <f t="shared" ref="CO378" ca="1" si="2404">SUM(CN378,-CO377)</f>
        <v>-1097531.3301707346</v>
      </c>
    </row>
    <row r="379" spans="1:93">
      <c r="A379" s="10"/>
      <c r="B379" s="10"/>
      <c r="C379" s="17" t="s">
        <v>128</v>
      </c>
      <c r="D379" s="10"/>
      <c r="E379" s="62"/>
      <c r="F379" s="11"/>
      <c r="G379" s="134" t="str">
        <f t="shared" si="2073"/>
        <v>тыс. руб.</v>
      </c>
      <c r="H379" s="10"/>
      <c r="I379" s="10"/>
      <c r="J379" s="10"/>
      <c r="K379" s="10"/>
      <c r="L379" s="10">
        <f t="shared" ref="L379:Q379" ca="1" si="2405">SUM(L376,L378)</f>
        <v>0</v>
      </c>
      <c r="M379" s="10">
        <f t="shared" ca="1" si="2405"/>
        <v>0</v>
      </c>
      <c r="N379" s="10">
        <f t="shared" ca="1" si="2405"/>
        <v>0</v>
      </c>
      <c r="O379" s="10">
        <f t="shared" ca="1" si="2405"/>
        <v>0</v>
      </c>
      <c r="P379" s="10">
        <f t="shared" ca="1" si="2405"/>
        <v>0</v>
      </c>
      <c r="Q379" s="10">
        <f t="shared" ca="1" si="2405"/>
        <v>0</v>
      </c>
      <c r="R379" s="10">
        <f t="shared" ref="R379" ca="1" si="2406">SUM(R376,R378)</f>
        <v>0</v>
      </c>
      <c r="S379" s="10">
        <f t="shared" ref="S379:CD379" ca="1" si="2407">SUM(S376,S378)</f>
        <v>0</v>
      </c>
      <c r="T379" s="10">
        <f t="shared" ca="1" si="2407"/>
        <v>0</v>
      </c>
      <c r="U379" s="10">
        <f t="shared" ca="1" si="2407"/>
        <v>0</v>
      </c>
      <c r="V379" s="10">
        <f t="shared" ca="1" si="2407"/>
        <v>0</v>
      </c>
      <c r="W379" s="10">
        <f t="shared" ca="1" si="2407"/>
        <v>0</v>
      </c>
      <c r="X379" s="10">
        <f t="shared" ca="1" si="2407"/>
        <v>0</v>
      </c>
      <c r="Y379" s="10">
        <f t="shared" ca="1" si="2407"/>
        <v>0</v>
      </c>
      <c r="Z379" s="10">
        <f t="shared" ca="1" si="2407"/>
        <v>0</v>
      </c>
      <c r="AA379" s="10">
        <f t="shared" ca="1" si="2407"/>
        <v>0</v>
      </c>
      <c r="AB379" s="10">
        <f t="shared" ca="1" si="2407"/>
        <v>1097531.3301707346</v>
      </c>
      <c r="AC379" s="10">
        <f t="shared" ca="1" si="2407"/>
        <v>1058333.7826646368</v>
      </c>
      <c r="AD379" s="10">
        <f t="shared" ca="1" si="2407"/>
        <v>1019136.2351585393</v>
      </c>
      <c r="AE379" s="10">
        <f t="shared" ca="1" si="2407"/>
        <v>979938.68765244156</v>
      </c>
      <c r="AF379" s="10">
        <f t="shared" ca="1" si="2407"/>
        <v>940741.14014634397</v>
      </c>
      <c r="AG379" s="10">
        <f t="shared" ca="1" si="2407"/>
        <v>901543.59264024626</v>
      </c>
      <c r="AH379" s="10">
        <f t="shared" ca="1" si="2407"/>
        <v>862346.04513414856</v>
      </c>
      <c r="AI379" s="10">
        <f t="shared" ca="1" si="2407"/>
        <v>823148.49762805097</v>
      </c>
      <c r="AJ379" s="10">
        <f t="shared" ca="1" si="2407"/>
        <v>783950.95012195338</v>
      </c>
      <c r="AK379" s="10">
        <f t="shared" ca="1" si="2407"/>
        <v>744753.40261585568</v>
      </c>
      <c r="AL379" s="10">
        <f t="shared" ca="1" si="2407"/>
        <v>705555.85510975798</v>
      </c>
      <c r="AM379" s="10">
        <f t="shared" ca="1" si="2407"/>
        <v>666358.30760366039</v>
      </c>
      <c r="AN379" s="10">
        <f t="shared" ca="1" si="2407"/>
        <v>627160.7600975628</v>
      </c>
      <c r="AO379" s="10">
        <f t="shared" ca="1" si="2407"/>
        <v>587963.2125914651</v>
      </c>
      <c r="AP379" s="10">
        <f t="shared" ca="1" si="2407"/>
        <v>548765.66508536739</v>
      </c>
      <c r="AQ379" s="10">
        <f t="shared" ca="1" si="2407"/>
        <v>509568.11757926969</v>
      </c>
      <c r="AR379" s="10">
        <f t="shared" ca="1" si="2407"/>
        <v>470370.57007317198</v>
      </c>
      <c r="AS379" s="10">
        <f t="shared" ca="1" si="2407"/>
        <v>431173.02256707428</v>
      </c>
      <c r="AT379" s="10">
        <f t="shared" ca="1" si="2407"/>
        <v>391975.47506097658</v>
      </c>
      <c r="AU379" s="10">
        <f t="shared" ca="1" si="2407"/>
        <v>352777.92755487887</v>
      </c>
      <c r="AV379" s="10">
        <f t="shared" ca="1" si="2407"/>
        <v>313580.38004878117</v>
      </c>
      <c r="AW379" s="10">
        <f t="shared" ca="1" si="2407"/>
        <v>274382.83254268346</v>
      </c>
      <c r="AX379" s="10">
        <f t="shared" ca="1" si="2407"/>
        <v>235185.28503658576</v>
      </c>
      <c r="AY379" s="10">
        <f t="shared" ca="1" si="2407"/>
        <v>195987.73753048806</v>
      </c>
      <c r="AZ379" s="10">
        <f t="shared" ca="1" si="2407"/>
        <v>156790.19002439035</v>
      </c>
      <c r="BA379" s="10">
        <f t="shared" ca="1" si="2407"/>
        <v>117592.64251829265</v>
      </c>
      <c r="BB379" s="10">
        <f t="shared" ca="1" si="2407"/>
        <v>78395.095012194943</v>
      </c>
      <c r="BC379" s="10">
        <f t="shared" ca="1" si="2407"/>
        <v>39197.547506097239</v>
      </c>
      <c r="BD379" s="10">
        <f t="shared" ca="1" si="2407"/>
        <v>0</v>
      </c>
      <c r="BE379" s="10">
        <f t="shared" ca="1" si="2407"/>
        <v>0</v>
      </c>
      <c r="BF379" s="10">
        <f t="shared" ca="1" si="2407"/>
        <v>0</v>
      </c>
      <c r="BG379" s="10">
        <f t="shared" ca="1" si="2407"/>
        <v>0</v>
      </c>
      <c r="BH379" s="10">
        <f t="shared" ca="1" si="2407"/>
        <v>0</v>
      </c>
      <c r="BI379" s="10">
        <f t="shared" ca="1" si="2407"/>
        <v>0</v>
      </c>
      <c r="BJ379" s="10">
        <f t="shared" ca="1" si="2407"/>
        <v>0</v>
      </c>
      <c r="BK379" s="10">
        <f t="shared" ca="1" si="2407"/>
        <v>0</v>
      </c>
      <c r="BL379" s="10">
        <f t="shared" ca="1" si="2407"/>
        <v>0</v>
      </c>
      <c r="BM379" s="10">
        <f t="shared" ca="1" si="2407"/>
        <v>0</v>
      </c>
      <c r="BN379" s="10">
        <f t="shared" ca="1" si="2407"/>
        <v>0</v>
      </c>
      <c r="BO379" s="10">
        <f t="shared" ca="1" si="2407"/>
        <v>0</v>
      </c>
      <c r="BP379" s="10">
        <f t="shared" ca="1" si="2407"/>
        <v>0</v>
      </c>
      <c r="BQ379" s="10">
        <f t="shared" ca="1" si="2407"/>
        <v>0</v>
      </c>
      <c r="BR379" s="10">
        <f t="shared" ca="1" si="2407"/>
        <v>0</v>
      </c>
      <c r="BS379" s="10">
        <f t="shared" ca="1" si="2407"/>
        <v>0</v>
      </c>
      <c r="BT379" s="10">
        <f t="shared" ca="1" si="2407"/>
        <v>0</v>
      </c>
      <c r="BU379" s="10">
        <f t="shared" ca="1" si="2407"/>
        <v>0</v>
      </c>
      <c r="BV379" s="10">
        <f t="shared" ca="1" si="2407"/>
        <v>0</v>
      </c>
      <c r="BW379" s="10">
        <f t="shared" ca="1" si="2407"/>
        <v>0</v>
      </c>
      <c r="BX379" s="10">
        <f t="shared" ca="1" si="2407"/>
        <v>0</v>
      </c>
      <c r="BY379" s="10">
        <f t="shared" ca="1" si="2407"/>
        <v>0</v>
      </c>
      <c r="BZ379" s="10">
        <f t="shared" ca="1" si="2407"/>
        <v>0</v>
      </c>
      <c r="CA379" s="10">
        <f t="shared" ca="1" si="2407"/>
        <v>0</v>
      </c>
      <c r="CB379" s="10">
        <f t="shared" ca="1" si="2407"/>
        <v>0</v>
      </c>
      <c r="CC379" s="10">
        <f t="shared" ca="1" si="2407"/>
        <v>0</v>
      </c>
      <c r="CD379" s="10">
        <f t="shared" ca="1" si="2407"/>
        <v>0</v>
      </c>
      <c r="CE379" s="10">
        <f t="shared" ref="CE379:CO379" ca="1" si="2408">SUM(CE376,CE378)</f>
        <v>0</v>
      </c>
      <c r="CF379" s="10">
        <f t="shared" ca="1" si="2408"/>
        <v>0</v>
      </c>
      <c r="CG379" s="10">
        <f t="shared" ca="1" si="2408"/>
        <v>0</v>
      </c>
      <c r="CH379" s="10">
        <f t="shared" ca="1" si="2408"/>
        <v>0</v>
      </c>
      <c r="CI379" s="10">
        <f t="shared" ca="1" si="2408"/>
        <v>0</v>
      </c>
      <c r="CJ379" s="10">
        <f t="shared" ca="1" si="2408"/>
        <v>0</v>
      </c>
      <c r="CK379" s="10">
        <f t="shared" ca="1" si="2408"/>
        <v>0</v>
      </c>
      <c r="CL379" s="10">
        <f t="shared" ca="1" si="2408"/>
        <v>0</v>
      </c>
      <c r="CM379" s="10">
        <f t="shared" ca="1" si="2408"/>
        <v>0</v>
      </c>
      <c r="CN379" s="10">
        <f t="shared" ca="1" si="2408"/>
        <v>0</v>
      </c>
      <c r="CO379" s="10">
        <f t="shared" ca="1" si="2408"/>
        <v>0</v>
      </c>
    </row>
    <row r="380" spans="1:93">
      <c r="A380" s="10"/>
      <c r="B380" s="10"/>
      <c r="C380" s="17"/>
      <c r="D380" s="10"/>
      <c r="E380" s="62"/>
      <c r="F380" s="11"/>
      <c r="G380" s="11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</row>
    <row r="381" spans="1:93">
      <c r="A381" s="10"/>
      <c r="B381" s="10"/>
      <c r="C381" s="87" t="s">
        <v>1091</v>
      </c>
      <c r="D381" s="10"/>
      <c r="E381" s="62"/>
      <c r="F381" s="11"/>
      <c r="G381" s="11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  <c r="CG381" s="10"/>
      <c r="CH381" s="10"/>
      <c r="CI381" s="10"/>
      <c r="CJ381" s="10"/>
      <c r="CK381" s="10"/>
      <c r="CL381" s="10"/>
      <c r="CM381" s="10"/>
      <c r="CN381" s="10"/>
      <c r="CO381" s="10"/>
    </row>
    <row r="382" spans="1:93">
      <c r="A382" s="10"/>
      <c r="B382" s="10"/>
      <c r="C382" s="17" t="s">
        <v>386</v>
      </c>
      <c r="D382" s="10"/>
      <c r="E382" s="184">
        <f xml:space="preserve"> Предпосылки!E365</f>
        <v>30</v>
      </c>
      <c r="F382" s="11"/>
      <c r="G382" s="11" t="s">
        <v>123</v>
      </c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</row>
    <row r="383" spans="1:93">
      <c r="A383" s="10"/>
      <c r="B383" s="10"/>
      <c r="C383" s="17" t="s">
        <v>387</v>
      </c>
      <c r="D383" s="10"/>
      <c r="F383" s="11"/>
      <c r="G383" s="11" t="s">
        <v>28</v>
      </c>
      <c r="H383" s="10"/>
      <c r="I383" s="10"/>
      <c r="J383" s="10"/>
      <c r="K383" s="10"/>
      <c r="L383" s="157">
        <f t="shared" ref="L383:Q383" si="2409">IF($E382&lt;&gt;0,1/$E382,0)/Periods_in_Year</f>
        <v>8.3333333333333332E-3</v>
      </c>
      <c r="M383" s="157">
        <f t="shared" si="2409"/>
        <v>8.3333333333333332E-3</v>
      </c>
      <c r="N383" s="157">
        <f t="shared" si="2409"/>
        <v>8.3333333333333332E-3</v>
      </c>
      <c r="O383" s="157">
        <f t="shared" si="2409"/>
        <v>8.3333333333333332E-3</v>
      </c>
      <c r="P383" s="157">
        <f t="shared" si="2409"/>
        <v>8.3333333333333332E-3</v>
      </c>
      <c r="Q383" s="157">
        <f t="shared" si="2409"/>
        <v>8.3333333333333332E-3</v>
      </c>
      <c r="R383" s="157">
        <f t="shared" ref="R383" si="2410">IF($E382&lt;&gt;0,1/$E382,0)/Periods_in_Year</f>
        <v>8.3333333333333332E-3</v>
      </c>
      <c r="S383" s="157">
        <f t="shared" ref="S383:CD383" si="2411">IF($E382&lt;&gt;0,1/$E382,0)/Periods_in_Year</f>
        <v>8.3333333333333332E-3</v>
      </c>
      <c r="T383" s="157">
        <f t="shared" si="2411"/>
        <v>8.3333333333333332E-3</v>
      </c>
      <c r="U383" s="157">
        <f t="shared" si="2411"/>
        <v>8.3333333333333332E-3</v>
      </c>
      <c r="V383" s="157">
        <f t="shared" si="2411"/>
        <v>8.3333333333333332E-3</v>
      </c>
      <c r="W383" s="157">
        <f t="shared" si="2411"/>
        <v>8.3333333333333332E-3</v>
      </c>
      <c r="X383" s="157">
        <f t="shared" si="2411"/>
        <v>8.3333333333333332E-3</v>
      </c>
      <c r="Y383" s="157">
        <f t="shared" si="2411"/>
        <v>8.3333333333333332E-3</v>
      </c>
      <c r="Z383" s="157">
        <f t="shared" si="2411"/>
        <v>8.3333333333333332E-3</v>
      </c>
      <c r="AA383" s="157">
        <f t="shared" si="2411"/>
        <v>8.3333333333333332E-3</v>
      </c>
      <c r="AB383" s="157">
        <f t="shared" si="2411"/>
        <v>8.3333333333333332E-3</v>
      </c>
      <c r="AC383" s="157">
        <f t="shared" si="2411"/>
        <v>8.3333333333333332E-3</v>
      </c>
      <c r="AD383" s="157">
        <f t="shared" si="2411"/>
        <v>8.3333333333333332E-3</v>
      </c>
      <c r="AE383" s="157">
        <f t="shared" si="2411"/>
        <v>8.3333333333333332E-3</v>
      </c>
      <c r="AF383" s="157">
        <f t="shared" si="2411"/>
        <v>8.3333333333333332E-3</v>
      </c>
      <c r="AG383" s="157">
        <f t="shared" si="2411"/>
        <v>8.3333333333333332E-3</v>
      </c>
      <c r="AH383" s="157">
        <f t="shared" si="2411"/>
        <v>8.3333333333333332E-3</v>
      </c>
      <c r="AI383" s="157">
        <f t="shared" si="2411"/>
        <v>8.3333333333333332E-3</v>
      </c>
      <c r="AJ383" s="157">
        <f t="shared" si="2411"/>
        <v>8.3333333333333332E-3</v>
      </c>
      <c r="AK383" s="157">
        <f t="shared" si="2411"/>
        <v>8.3333333333333332E-3</v>
      </c>
      <c r="AL383" s="157">
        <f t="shared" si="2411"/>
        <v>8.3333333333333332E-3</v>
      </c>
      <c r="AM383" s="157">
        <f t="shared" si="2411"/>
        <v>8.3333333333333332E-3</v>
      </c>
      <c r="AN383" s="157">
        <f t="shared" si="2411"/>
        <v>8.3333333333333332E-3</v>
      </c>
      <c r="AO383" s="157">
        <f t="shared" si="2411"/>
        <v>8.3333333333333332E-3</v>
      </c>
      <c r="AP383" s="157">
        <f t="shared" si="2411"/>
        <v>8.3333333333333332E-3</v>
      </c>
      <c r="AQ383" s="157">
        <f t="shared" si="2411"/>
        <v>8.3333333333333332E-3</v>
      </c>
      <c r="AR383" s="157">
        <f t="shared" si="2411"/>
        <v>8.3333333333333332E-3</v>
      </c>
      <c r="AS383" s="157">
        <f t="shared" si="2411"/>
        <v>8.3333333333333332E-3</v>
      </c>
      <c r="AT383" s="157">
        <f t="shared" si="2411"/>
        <v>8.3333333333333332E-3</v>
      </c>
      <c r="AU383" s="157">
        <f t="shared" si="2411"/>
        <v>8.3333333333333332E-3</v>
      </c>
      <c r="AV383" s="157">
        <f t="shared" si="2411"/>
        <v>8.3333333333333332E-3</v>
      </c>
      <c r="AW383" s="157">
        <f t="shared" si="2411"/>
        <v>8.3333333333333332E-3</v>
      </c>
      <c r="AX383" s="157">
        <f t="shared" si="2411"/>
        <v>8.3333333333333332E-3</v>
      </c>
      <c r="AY383" s="157">
        <f t="shared" si="2411"/>
        <v>8.3333333333333332E-3</v>
      </c>
      <c r="AZ383" s="157">
        <f t="shared" si="2411"/>
        <v>8.3333333333333332E-3</v>
      </c>
      <c r="BA383" s="157">
        <f t="shared" si="2411"/>
        <v>8.3333333333333332E-3</v>
      </c>
      <c r="BB383" s="157">
        <f t="shared" si="2411"/>
        <v>8.3333333333333332E-3</v>
      </c>
      <c r="BC383" s="157">
        <f t="shared" si="2411"/>
        <v>8.3333333333333332E-3</v>
      </c>
      <c r="BD383" s="157">
        <f t="shared" si="2411"/>
        <v>8.3333333333333332E-3</v>
      </c>
      <c r="BE383" s="157">
        <f t="shared" si="2411"/>
        <v>8.3333333333333332E-3</v>
      </c>
      <c r="BF383" s="157">
        <f t="shared" si="2411"/>
        <v>8.3333333333333332E-3</v>
      </c>
      <c r="BG383" s="157">
        <f t="shared" si="2411"/>
        <v>8.3333333333333332E-3</v>
      </c>
      <c r="BH383" s="157">
        <f t="shared" si="2411"/>
        <v>8.3333333333333332E-3</v>
      </c>
      <c r="BI383" s="157">
        <f t="shared" si="2411"/>
        <v>8.3333333333333332E-3</v>
      </c>
      <c r="BJ383" s="157">
        <f t="shared" si="2411"/>
        <v>8.3333333333333332E-3</v>
      </c>
      <c r="BK383" s="157">
        <f t="shared" si="2411"/>
        <v>8.3333333333333332E-3</v>
      </c>
      <c r="BL383" s="157">
        <f t="shared" si="2411"/>
        <v>8.3333333333333332E-3</v>
      </c>
      <c r="BM383" s="157">
        <f t="shared" si="2411"/>
        <v>8.3333333333333332E-3</v>
      </c>
      <c r="BN383" s="157">
        <f t="shared" si="2411"/>
        <v>8.3333333333333332E-3</v>
      </c>
      <c r="BO383" s="157">
        <f t="shared" si="2411"/>
        <v>8.3333333333333332E-3</v>
      </c>
      <c r="BP383" s="157">
        <f t="shared" si="2411"/>
        <v>8.3333333333333332E-3</v>
      </c>
      <c r="BQ383" s="157">
        <f t="shared" si="2411"/>
        <v>8.3333333333333332E-3</v>
      </c>
      <c r="BR383" s="157">
        <f t="shared" si="2411"/>
        <v>8.3333333333333332E-3</v>
      </c>
      <c r="BS383" s="157">
        <f t="shared" si="2411"/>
        <v>8.3333333333333332E-3</v>
      </c>
      <c r="BT383" s="157">
        <f t="shared" si="2411"/>
        <v>8.3333333333333332E-3</v>
      </c>
      <c r="BU383" s="157">
        <f t="shared" si="2411"/>
        <v>8.3333333333333332E-3</v>
      </c>
      <c r="BV383" s="157">
        <f t="shared" si="2411"/>
        <v>8.3333333333333332E-3</v>
      </c>
      <c r="BW383" s="157">
        <f t="shared" si="2411"/>
        <v>8.3333333333333332E-3</v>
      </c>
      <c r="BX383" s="157">
        <f t="shared" si="2411"/>
        <v>8.3333333333333332E-3</v>
      </c>
      <c r="BY383" s="157">
        <f t="shared" si="2411"/>
        <v>8.3333333333333332E-3</v>
      </c>
      <c r="BZ383" s="157">
        <f t="shared" si="2411"/>
        <v>8.3333333333333332E-3</v>
      </c>
      <c r="CA383" s="157">
        <f t="shared" si="2411"/>
        <v>8.3333333333333332E-3</v>
      </c>
      <c r="CB383" s="157">
        <f t="shared" si="2411"/>
        <v>8.3333333333333332E-3</v>
      </c>
      <c r="CC383" s="157">
        <f t="shared" si="2411"/>
        <v>8.3333333333333332E-3</v>
      </c>
      <c r="CD383" s="157">
        <f t="shared" si="2411"/>
        <v>8.3333333333333332E-3</v>
      </c>
      <c r="CE383" s="157">
        <f t="shared" ref="CE383:CO383" si="2412">IF($E382&lt;&gt;0,1/$E382,0)/Periods_in_Year</f>
        <v>8.3333333333333332E-3</v>
      </c>
      <c r="CF383" s="157">
        <f t="shared" si="2412"/>
        <v>8.3333333333333332E-3</v>
      </c>
      <c r="CG383" s="157">
        <f t="shared" si="2412"/>
        <v>8.3333333333333332E-3</v>
      </c>
      <c r="CH383" s="157">
        <f t="shared" si="2412"/>
        <v>8.3333333333333332E-3</v>
      </c>
      <c r="CI383" s="157">
        <f t="shared" si="2412"/>
        <v>8.3333333333333332E-3</v>
      </c>
      <c r="CJ383" s="157">
        <f t="shared" si="2412"/>
        <v>8.3333333333333332E-3</v>
      </c>
      <c r="CK383" s="157">
        <f t="shared" si="2412"/>
        <v>8.3333333333333332E-3</v>
      </c>
      <c r="CL383" s="157">
        <f t="shared" si="2412"/>
        <v>8.3333333333333332E-3</v>
      </c>
      <c r="CM383" s="157">
        <f t="shared" si="2412"/>
        <v>8.3333333333333332E-3</v>
      </c>
      <c r="CN383" s="157">
        <f t="shared" si="2412"/>
        <v>8.3333333333333332E-3</v>
      </c>
      <c r="CO383" s="157">
        <f t="shared" si="2412"/>
        <v>8.3333333333333332E-3</v>
      </c>
    </row>
    <row r="384" spans="1:93">
      <c r="A384" s="10"/>
      <c r="B384" s="10"/>
      <c r="C384" s="17" t="s">
        <v>125</v>
      </c>
      <c r="D384" s="10"/>
      <c r="E384" s="62"/>
      <c r="F384" s="11"/>
      <c r="G384" s="134" t="str">
        <f t="shared" ref="G384:G389" si="2413">Monetary_Unit</f>
        <v>тыс. руб.</v>
      </c>
      <c r="H384" s="10"/>
      <c r="I384" s="10"/>
      <c r="J384" s="10"/>
      <c r="K384" s="10"/>
      <c r="L384" s="10">
        <f t="shared" ref="L384" si="2414">K389</f>
        <v>0</v>
      </c>
      <c r="M384" s="10">
        <f t="shared" ref="M384" ca="1" si="2415">L389</f>
        <v>0</v>
      </c>
      <c r="N384" s="10">
        <f t="shared" ref="N384" ca="1" si="2416">M389</f>
        <v>0</v>
      </c>
      <c r="O384" s="10">
        <f t="shared" ref="O384" ca="1" si="2417">N389</f>
        <v>0</v>
      </c>
      <c r="P384" s="10">
        <f t="shared" ref="P384" ca="1" si="2418">O389</f>
        <v>0</v>
      </c>
      <c r="Q384" s="10">
        <f t="shared" ref="Q384" ca="1" si="2419">P389</f>
        <v>0</v>
      </c>
      <c r="R384" s="10">
        <f t="shared" ref="R384" ca="1" si="2420">Q389</f>
        <v>0</v>
      </c>
      <c r="S384" s="10">
        <f t="shared" ref="S384" ca="1" si="2421">R389</f>
        <v>0</v>
      </c>
      <c r="T384" s="10">
        <f t="shared" ref="T384" ca="1" si="2422">S389</f>
        <v>0</v>
      </c>
      <c r="U384" s="10">
        <f t="shared" ref="U384" ca="1" si="2423">T389</f>
        <v>0</v>
      </c>
      <c r="V384" s="10">
        <f t="shared" ref="V384" ca="1" si="2424">U389</f>
        <v>0</v>
      </c>
      <c r="W384" s="10">
        <f t="shared" ref="W384" ca="1" si="2425">V389</f>
        <v>0</v>
      </c>
      <c r="X384" s="10">
        <f t="shared" ref="X384" ca="1" si="2426">W389</f>
        <v>0</v>
      </c>
      <c r="Y384" s="10">
        <f t="shared" ref="Y384" ca="1" si="2427">X389</f>
        <v>0</v>
      </c>
      <c r="Z384" s="10">
        <f t="shared" ref="Z384" ca="1" si="2428">Y389</f>
        <v>0</v>
      </c>
      <c r="AA384" s="10">
        <f t="shared" ref="AA384" ca="1" si="2429">Z389</f>
        <v>0</v>
      </c>
      <c r="AB384" s="10">
        <f t="shared" ref="AB384" ca="1" si="2430">AA389</f>
        <v>0</v>
      </c>
      <c r="AC384" s="10">
        <f t="shared" ref="AC384" ca="1" si="2431">AB389</f>
        <v>1475.1540266830441</v>
      </c>
      <c r="AD384" s="10">
        <f t="shared" ref="AD384" ca="1" si="2432">AC389</f>
        <v>1462.8610764606854</v>
      </c>
      <c r="AE384" s="10">
        <f t="shared" ref="AE384" ca="1" si="2433">AD389</f>
        <v>1450.5681262383266</v>
      </c>
      <c r="AF384" s="10">
        <f t="shared" ref="AF384" ca="1" si="2434">AE389</f>
        <v>1438.2751760159681</v>
      </c>
      <c r="AG384" s="10">
        <f t="shared" ref="AG384" ca="1" si="2435">AF389</f>
        <v>1425.9822257936094</v>
      </c>
      <c r="AH384" s="10">
        <f t="shared" ref="AH384" ca="1" si="2436">AG389</f>
        <v>1413.6892755712506</v>
      </c>
      <c r="AI384" s="10">
        <f t="shared" ref="AI384" ca="1" si="2437">AH389</f>
        <v>1401.3963253488919</v>
      </c>
      <c r="AJ384" s="10">
        <f t="shared" ref="AJ384" ca="1" si="2438">AI389</f>
        <v>1389.1033751265331</v>
      </c>
      <c r="AK384" s="10">
        <f t="shared" ref="AK384" ca="1" si="2439">AJ389</f>
        <v>1376.8104249041744</v>
      </c>
      <c r="AL384" s="10">
        <f t="shared" ref="AL384" ca="1" si="2440">AK389</f>
        <v>1364.5174746818159</v>
      </c>
      <c r="AM384" s="10">
        <f t="shared" ref="AM384" ca="1" si="2441">AL389</f>
        <v>1352.2245244594571</v>
      </c>
      <c r="AN384" s="10">
        <f t="shared" ref="AN384" ca="1" si="2442">AM389</f>
        <v>1339.9315742370984</v>
      </c>
      <c r="AO384" s="10">
        <f t="shared" ref="AO384" ca="1" si="2443">AN389</f>
        <v>1327.6386240147397</v>
      </c>
      <c r="AP384" s="10">
        <f t="shared" ref="AP384" ca="1" si="2444">AO389</f>
        <v>1315.3456737923809</v>
      </c>
      <c r="AQ384" s="10">
        <f t="shared" ref="AQ384" ca="1" si="2445">AP389</f>
        <v>1303.0527235700222</v>
      </c>
      <c r="AR384" s="10">
        <f t="shared" ref="AR384" ca="1" si="2446">AQ389</f>
        <v>1290.7597733476637</v>
      </c>
      <c r="AS384" s="10">
        <f t="shared" ref="AS384" ca="1" si="2447">AR389</f>
        <v>1278.4668231253049</v>
      </c>
      <c r="AT384" s="10">
        <f t="shared" ref="AT384" ca="1" si="2448">AS389</f>
        <v>1266.1738729029462</v>
      </c>
      <c r="AU384" s="10">
        <f t="shared" ref="AU384" ca="1" si="2449">AT389</f>
        <v>1253.8809226805874</v>
      </c>
      <c r="AV384" s="10">
        <f t="shared" ref="AV384" ca="1" si="2450">AU389</f>
        <v>1241.5879724582287</v>
      </c>
      <c r="AW384" s="10">
        <f t="shared" ref="AW384" ca="1" si="2451">AV389</f>
        <v>1229.29502223587</v>
      </c>
      <c r="AX384" s="10">
        <f t="shared" ref="AX384" ca="1" si="2452">AW389</f>
        <v>1217.0020720135112</v>
      </c>
      <c r="AY384" s="10">
        <f t="shared" ref="AY384" ca="1" si="2453">AX389</f>
        <v>1204.7091217911525</v>
      </c>
      <c r="AZ384" s="10">
        <f t="shared" ref="AZ384" ca="1" si="2454">AY389</f>
        <v>1192.416171568794</v>
      </c>
      <c r="BA384" s="10">
        <f t="shared" ref="BA384" ca="1" si="2455">AZ389</f>
        <v>1180.1232213464352</v>
      </c>
      <c r="BB384" s="10">
        <f t="shared" ref="BB384" ca="1" si="2456">BA389</f>
        <v>1167.8302711240765</v>
      </c>
      <c r="BC384" s="10">
        <f t="shared" ref="BC384" ca="1" si="2457">BB389</f>
        <v>1155.537320901718</v>
      </c>
      <c r="BD384" s="10">
        <f t="shared" ref="BD384" ca="1" si="2458">BC389</f>
        <v>1143.2443706793592</v>
      </c>
      <c r="BE384" s="10">
        <f t="shared" ref="BE384" ca="1" si="2459">BD389</f>
        <v>1130.9514204570005</v>
      </c>
      <c r="BF384" s="10">
        <f t="shared" ref="BF384" ca="1" si="2460">BE389</f>
        <v>1118.6584702346418</v>
      </c>
      <c r="BG384" s="10">
        <f t="shared" ref="BG384" ca="1" si="2461">BF389</f>
        <v>1106.365520012283</v>
      </c>
      <c r="BH384" s="10">
        <f t="shared" ref="BH384" ca="1" si="2462">BG389</f>
        <v>1094.0725697899245</v>
      </c>
      <c r="BI384" s="10">
        <f t="shared" ref="BI384" ca="1" si="2463">BH389</f>
        <v>1081.7796195675658</v>
      </c>
      <c r="BJ384" s="10">
        <f t="shared" ref="BJ384" ca="1" si="2464">BI389</f>
        <v>1069.486669345207</v>
      </c>
      <c r="BK384" s="10">
        <f t="shared" ref="BK384" ca="1" si="2465">BJ389</f>
        <v>1057.1937191228485</v>
      </c>
      <c r="BL384" s="10">
        <f t="shared" ref="BL384" ca="1" si="2466">BK389</f>
        <v>1044.9007689004898</v>
      </c>
      <c r="BM384" s="10">
        <f t="shared" ref="BM384" ca="1" si="2467">BL389</f>
        <v>1032.607818678131</v>
      </c>
      <c r="BN384" s="10">
        <f t="shared" ref="BN384" ca="1" si="2468">BM389</f>
        <v>1020.3148684557723</v>
      </c>
      <c r="BO384" s="10">
        <f t="shared" ref="BO384" ca="1" si="2469">BN389</f>
        <v>1008.0219182334137</v>
      </c>
      <c r="BP384" s="10">
        <f t="shared" ref="BP384" ca="1" si="2470">BO389</f>
        <v>995.72896801105503</v>
      </c>
      <c r="BQ384" s="10">
        <f t="shared" ref="BQ384" ca="1" si="2471">BP389</f>
        <v>983.43601778869629</v>
      </c>
      <c r="BR384" s="10">
        <f t="shared" ref="BR384" ca="1" si="2472">BQ389</f>
        <v>971.14306756633755</v>
      </c>
      <c r="BS384" s="10">
        <f t="shared" ref="BS384" ca="1" si="2473">BR389</f>
        <v>958.85011734397892</v>
      </c>
      <c r="BT384" s="10">
        <f t="shared" ref="BT384" ca="1" si="2474">BS389</f>
        <v>946.55716712162018</v>
      </c>
      <c r="BU384" s="10">
        <f t="shared" ref="BU384" ca="1" si="2475">BT389</f>
        <v>934.26421689926144</v>
      </c>
      <c r="BV384" s="10">
        <f t="shared" ref="BV384" ca="1" si="2476">BU389</f>
        <v>921.9712666769027</v>
      </c>
      <c r="BW384" s="10">
        <f t="shared" ref="BW384" ca="1" si="2477">BV389</f>
        <v>909.67831645454396</v>
      </c>
      <c r="BX384" s="10">
        <f t="shared" ref="BX384" ca="1" si="2478">BW389</f>
        <v>897.38536623218522</v>
      </c>
      <c r="BY384" s="10">
        <f t="shared" ref="BY384" ca="1" si="2479">BX389</f>
        <v>885.09241600982648</v>
      </c>
      <c r="BZ384" s="10">
        <f t="shared" ref="BZ384" ca="1" si="2480">BY389</f>
        <v>872.79946578746774</v>
      </c>
      <c r="CA384" s="10">
        <f t="shared" ref="CA384" ca="1" si="2481">BZ389</f>
        <v>860.506515565109</v>
      </c>
      <c r="CB384" s="10">
        <f t="shared" ref="CB384" ca="1" si="2482">CA389</f>
        <v>848.21356534275026</v>
      </c>
      <c r="CC384" s="10">
        <f t="shared" ref="CC384" ca="1" si="2483">CB389</f>
        <v>835.92061512039152</v>
      </c>
      <c r="CD384" s="10">
        <f t="shared" ref="CD384" ca="1" si="2484">CC389</f>
        <v>823.62766489803278</v>
      </c>
      <c r="CE384" s="10">
        <f t="shared" ref="CE384" ca="1" si="2485">CD389</f>
        <v>811.33471467567404</v>
      </c>
      <c r="CF384" s="10">
        <f t="shared" ref="CF384" ca="1" si="2486">CE389</f>
        <v>799.0417644533153</v>
      </c>
      <c r="CG384" s="10">
        <f t="shared" ref="CG384" ca="1" si="2487">CF389</f>
        <v>786.74881423095655</v>
      </c>
      <c r="CH384" s="10">
        <f t="shared" ref="CH384" ca="1" si="2488">CG389</f>
        <v>774.45586400859781</v>
      </c>
      <c r="CI384" s="10">
        <f t="shared" ref="CI384" ca="1" si="2489">CH389</f>
        <v>762.16291378623907</v>
      </c>
      <c r="CJ384" s="10">
        <f t="shared" ref="CJ384" ca="1" si="2490">CI389</f>
        <v>749.86996356388033</v>
      </c>
      <c r="CK384" s="10">
        <f t="shared" ref="CK384" ca="1" si="2491">CJ389</f>
        <v>737.57701334152159</v>
      </c>
      <c r="CL384" s="10">
        <f t="shared" ref="CL384" ca="1" si="2492">CK389</f>
        <v>725.28406311916285</v>
      </c>
      <c r="CM384" s="10">
        <f t="shared" ref="CM384" ca="1" si="2493">CL389</f>
        <v>712.99111289680411</v>
      </c>
      <c r="CN384" s="10">
        <f t="shared" ref="CN384" ca="1" si="2494">CM389</f>
        <v>700.69816267444537</v>
      </c>
      <c r="CO384" s="10">
        <f t="shared" ref="CO384" ca="1" si="2495">CN389</f>
        <v>688.40521245208663</v>
      </c>
    </row>
    <row r="385" spans="1:93">
      <c r="A385" s="10"/>
      <c r="B385" s="10"/>
      <c r="C385" s="17" t="s">
        <v>126</v>
      </c>
      <c r="D385" s="10"/>
      <c r="E385" s="62"/>
      <c r="F385" s="11"/>
      <c r="G385" s="134" t="str">
        <f t="shared" si="2413"/>
        <v>тыс. руб.</v>
      </c>
      <c r="H385" s="10"/>
      <c r="I385" s="23">
        <f ca="1">SUM(L385:CO385)</f>
        <v>1475.1540266830441</v>
      </c>
      <c r="J385" s="10"/>
      <c r="K385" s="10"/>
      <c r="L385" s="10">
        <f t="shared" ref="L385:Q385" ca="1" si="2496">SUM(L$328,L$330:L$331) * $E345</f>
        <v>0</v>
      </c>
      <c r="M385" s="10">
        <f t="shared" ca="1" si="2496"/>
        <v>0</v>
      </c>
      <c r="N385" s="10">
        <f t="shared" ca="1" si="2496"/>
        <v>0</v>
      </c>
      <c r="O385" s="10">
        <f t="shared" ca="1" si="2496"/>
        <v>0</v>
      </c>
      <c r="P385" s="10">
        <f t="shared" ca="1" si="2496"/>
        <v>0</v>
      </c>
      <c r="Q385" s="10">
        <f t="shared" ca="1" si="2496"/>
        <v>0</v>
      </c>
      <c r="R385" s="10">
        <f t="shared" ref="R385" ca="1" si="2497">SUM(R$328,R$330:R$331) * $E345</f>
        <v>0</v>
      </c>
      <c r="S385" s="10">
        <f t="shared" ref="S385:CD385" ca="1" si="2498">SUM(S$328,S$330:S$331) * $E345</f>
        <v>0</v>
      </c>
      <c r="T385" s="10">
        <f t="shared" ca="1" si="2498"/>
        <v>0</v>
      </c>
      <c r="U385" s="10">
        <f t="shared" ca="1" si="2498"/>
        <v>0</v>
      </c>
      <c r="V385" s="10">
        <f t="shared" ca="1" si="2498"/>
        <v>0</v>
      </c>
      <c r="W385" s="10">
        <f t="shared" ca="1" si="2498"/>
        <v>0</v>
      </c>
      <c r="X385" s="10">
        <f t="shared" ca="1" si="2498"/>
        <v>0</v>
      </c>
      <c r="Y385" s="10">
        <f t="shared" ca="1" si="2498"/>
        <v>0</v>
      </c>
      <c r="Z385" s="10">
        <f t="shared" ca="1" si="2498"/>
        <v>0</v>
      </c>
      <c r="AA385" s="10">
        <f t="shared" ca="1" si="2498"/>
        <v>0</v>
      </c>
      <c r="AB385" s="10">
        <f t="shared" ca="1" si="2498"/>
        <v>1475.1540266830441</v>
      </c>
      <c r="AC385" s="10">
        <f t="shared" ca="1" si="2498"/>
        <v>0</v>
      </c>
      <c r="AD385" s="10">
        <f t="shared" ca="1" si="2498"/>
        <v>0</v>
      </c>
      <c r="AE385" s="10">
        <f t="shared" ca="1" si="2498"/>
        <v>0</v>
      </c>
      <c r="AF385" s="10">
        <f t="shared" ca="1" si="2498"/>
        <v>0</v>
      </c>
      <c r="AG385" s="10">
        <f t="shared" ca="1" si="2498"/>
        <v>0</v>
      </c>
      <c r="AH385" s="10">
        <f t="shared" ca="1" si="2498"/>
        <v>0</v>
      </c>
      <c r="AI385" s="10">
        <f t="shared" ca="1" si="2498"/>
        <v>0</v>
      </c>
      <c r="AJ385" s="10">
        <f t="shared" ca="1" si="2498"/>
        <v>0</v>
      </c>
      <c r="AK385" s="10">
        <f t="shared" ca="1" si="2498"/>
        <v>0</v>
      </c>
      <c r="AL385" s="10">
        <f t="shared" ca="1" si="2498"/>
        <v>0</v>
      </c>
      <c r="AM385" s="10">
        <f t="shared" ca="1" si="2498"/>
        <v>0</v>
      </c>
      <c r="AN385" s="10">
        <f t="shared" ca="1" si="2498"/>
        <v>0</v>
      </c>
      <c r="AO385" s="10">
        <f t="shared" ca="1" si="2498"/>
        <v>0</v>
      </c>
      <c r="AP385" s="10">
        <f t="shared" ca="1" si="2498"/>
        <v>0</v>
      </c>
      <c r="AQ385" s="10">
        <f t="shared" ca="1" si="2498"/>
        <v>0</v>
      </c>
      <c r="AR385" s="10">
        <f t="shared" ca="1" si="2498"/>
        <v>0</v>
      </c>
      <c r="AS385" s="10">
        <f t="shared" ca="1" si="2498"/>
        <v>0</v>
      </c>
      <c r="AT385" s="10">
        <f t="shared" ca="1" si="2498"/>
        <v>0</v>
      </c>
      <c r="AU385" s="10">
        <f t="shared" ca="1" si="2498"/>
        <v>0</v>
      </c>
      <c r="AV385" s="10">
        <f t="shared" ca="1" si="2498"/>
        <v>0</v>
      </c>
      <c r="AW385" s="10">
        <f t="shared" ca="1" si="2498"/>
        <v>0</v>
      </c>
      <c r="AX385" s="10">
        <f t="shared" ca="1" si="2498"/>
        <v>0</v>
      </c>
      <c r="AY385" s="10">
        <f t="shared" ca="1" si="2498"/>
        <v>0</v>
      </c>
      <c r="AZ385" s="10">
        <f t="shared" ca="1" si="2498"/>
        <v>0</v>
      </c>
      <c r="BA385" s="10">
        <f t="shared" ca="1" si="2498"/>
        <v>0</v>
      </c>
      <c r="BB385" s="10">
        <f t="shared" ca="1" si="2498"/>
        <v>0</v>
      </c>
      <c r="BC385" s="10">
        <f t="shared" ca="1" si="2498"/>
        <v>0</v>
      </c>
      <c r="BD385" s="10">
        <f t="shared" ca="1" si="2498"/>
        <v>0</v>
      </c>
      <c r="BE385" s="10">
        <f t="shared" ca="1" si="2498"/>
        <v>0</v>
      </c>
      <c r="BF385" s="10">
        <f t="shared" ca="1" si="2498"/>
        <v>0</v>
      </c>
      <c r="BG385" s="10">
        <f t="shared" ca="1" si="2498"/>
        <v>0</v>
      </c>
      <c r="BH385" s="10">
        <f t="shared" ca="1" si="2498"/>
        <v>0</v>
      </c>
      <c r="BI385" s="10">
        <f t="shared" ca="1" si="2498"/>
        <v>0</v>
      </c>
      <c r="BJ385" s="10">
        <f t="shared" ca="1" si="2498"/>
        <v>0</v>
      </c>
      <c r="BK385" s="10">
        <f t="shared" ca="1" si="2498"/>
        <v>0</v>
      </c>
      <c r="BL385" s="10">
        <f t="shared" ca="1" si="2498"/>
        <v>0</v>
      </c>
      <c r="BM385" s="10">
        <f t="shared" ca="1" si="2498"/>
        <v>0</v>
      </c>
      <c r="BN385" s="10">
        <f t="shared" ca="1" si="2498"/>
        <v>0</v>
      </c>
      <c r="BO385" s="10">
        <f t="shared" ca="1" si="2498"/>
        <v>0</v>
      </c>
      <c r="BP385" s="10">
        <f t="shared" ca="1" si="2498"/>
        <v>0</v>
      </c>
      <c r="BQ385" s="10">
        <f t="shared" ca="1" si="2498"/>
        <v>0</v>
      </c>
      <c r="BR385" s="10">
        <f t="shared" ca="1" si="2498"/>
        <v>0</v>
      </c>
      <c r="BS385" s="10">
        <f t="shared" ca="1" si="2498"/>
        <v>0</v>
      </c>
      <c r="BT385" s="10">
        <f t="shared" ca="1" si="2498"/>
        <v>0</v>
      </c>
      <c r="BU385" s="10">
        <f t="shared" ca="1" si="2498"/>
        <v>0</v>
      </c>
      <c r="BV385" s="10">
        <f t="shared" ca="1" si="2498"/>
        <v>0</v>
      </c>
      <c r="BW385" s="10">
        <f t="shared" ca="1" si="2498"/>
        <v>0</v>
      </c>
      <c r="BX385" s="10">
        <f t="shared" ca="1" si="2498"/>
        <v>0</v>
      </c>
      <c r="BY385" s="10">
        <f t="shared" ca="1" si="2498"/>
        <v>0</v>
      </c>
      <c r="BZ385" s="10">
        <f t="shared" ca="1" si="2498"/>
        <v>0</v>
      </c>
      <c r="CA385" s="10">
        <f t="shared" ca="1" si="2498"/>
        <v>0</v>
      </c>
      <c r="CB385" s="10">
        <f t="shared" ca="1" si="2498"/>
        <v>0</v>
      </c>
      <c r="CC385" s="10">
        <f t="shared" ca="1" si="2498"/>
        <v>0</v>
      </c>
      <c r="CD385" s="10">
        <f t="shared" ca="1" si="2498"/>
        <v>0</v>
      </c>
      <c r="CE385" s="10">
        <f t="shared" ref="CE385:CO385" ca="1" si="2499">SUM(CE$328,CE$330:CE$331) * $E345</f>
        <v>0</v>
      </c>
      <c r="CF385" s="10">
        <f t="shared" ca="1" si="2499"/>
        <v>0</v>
      </c>
      <c r="CG385" s="10">
        <f t="shared" ca="1" si="2499"/>
        <v>0</v>
      </c>
      <c r="CH385" s="10">
        <f t="shared" ca="1" si="2499"/>
        <v>0</v>
      </c>
      <c r="CI385" s="10">
        <f t="shared" ca="1" si="2499"/>
        <v>0</v>
      </c>
      <c r="CJ385" s="10">
        <f t="shared" ca="1" si="2499"/>
        <v>0</v>
      </c>
      <c r="CK385" s="10">
        <f t="shared" ca="1" si="2499"/>
        <v>0</v>
      </c>
      <c r="CL385" s="10">
        <f t="shared" ca="1" si="2499"/>
        <v>0</v>
      </c>
      <c r="CM385" s="10">
        <f t="shared" ca="1" si="2499"/>
        <v>0</v>
      </c>
      <c r="CN385" s="10">
        <f t="shared" ca="1" si="2499"/>
        <v>0</v>
      </c>
      <c r="CO385" s="10">
        <f t="shared" ca="1" si="2499"/>
        <v>0</v>
      </c>
    </row>
    <row r="386" spans="1:93">
      <c r="A386" s="10"/>
      <c r="B386" s="10"/>
      <c r="C386" s="17" t="s">
        <v>388</v>
      </c>
      <c r="D386" s="10"/>
      <c r="E386" s="62"/>
      <c r="F386" s="11"/>
      <c r="G386" s="134" t="str">
        <f t="shared" si="2413"/>
        <v>тыс. руб.</v>
      </c>
      <c r="H386" s="10"/>
      <c r="I386" s="10"/>
      <c r="J386" s="10"/>
      <c r="K386" s="10"/>
      <c r="L386" s="10">
        <f t="shared" ref="L386" ca="1" si="2500">L385+K386</f>
        <v>0</v>
      </c>
      <c r="M386" s="10">
        <f t="shared" ref="M386" ca="1" si="2501">M385+L386</f>
        <v>0</v>
      </c>
      <c r="N386" s="10">
        <f t="shared" ref="N386" ca="1" si="2502">N385+M386</f>
        <v>0</v>
      </c>
      <c r="O386" s="10">
        <f t="shared" ref="O386" ca="1" si="2503">O385+N386</f>
        <v>0</v>
      </c>
      <c r="P386" s="10">
        <f t="shared" ref="P386" ca="1" si="2504">P385+O386</f>
        <v>0</v>
      </c>
      <c r="Q386" s="10">
        <f t="shared" ref="Q386" ca="1" si="2505">Q385+P386</f>
        <v>0</v>
      </c>
      <c r="R386" s="10">
        <f t="shared" ref="R386" ca="1" si="2506">R385+Q386</f>
        <v>0</v>
      </c>
      <c r="S386" s="10">
        <f t="shared" ref="S386" ca="1" si="2507">S385+R386</f>
        <v>0</v>
      </c>
      <c r="T386" s="10">
        <f t="shared" ref="T386" ca="1" si="2508">T385+S386</f>
        <v>0</v>
      </c>
      <c r="U386" s="10">
        <f t="shared" ref="U386" ca="1" si="2509">U385+T386</f>
        <v>0</v>
      </c>
      <c r="V386" s="10">
        <f t="shared" ref="V386" ca="1" si="2510">V385+U386</f>
        <v>0</v>
      </c>
      <c r="W386" s="10">
        <f t="shared" ref="W386" ca="1" si="2511">W385+V386</f>
        <v>0</v>
      </c>
      <c r="X386" s="10">
        <f t="shared" ref="X386" ca="1" si="2512">X385+W386</f>
        <v>0</v>
      </c>
      <c r="Y386" s="10">
        <f t="shared" ref="Y386" ca="1" si="2513">Y385+X386</f>
        <v>0</v>
      </c>
      <c r="Z386" s="10">
        <f t="shared" ref="Z386" ca="1" si="2514">Z385+Y386</f>
        <v>0</v>
      </c>
      <c r="AA386" s="10">
        <f t="shared" ref="AA386" ca="1" si="2515">AA385+Z386</f>
        <v>0</v>
      </c>
      <c r="AB386" s="10">
        <f t="shared" ref="AB386" ca="1" si="2516">AB385+AA386</f>
        <v>1475.1540266830441</v>
      </c>
      <c r="AC386" s="10">
        <f t="shared" ref="AC386" ca="1" si="2517">AC385+AB386</f>
        <v>1475.1540266830441</v>
      </c>
      <c r="AD386" s="10">
        <f t="shared" ref="AD386" ca="1" si="2518">AD385+AC386</f>
        <v>1475.1540266830441</v>
      </c>
      <c r="AE386" s="10">
        <f t="shared" ref="AE386" ca="1" si="2519">AE385+AD386</f>
        <v>1475.1540266830441</v>
      </c>
      <c r="AF386" s="10">
        <f t="shared" ref="AF386" ca="1" si="2520">AF385+AE386</f>
        <v>1475.1540266830441</v>
      </c>
      <c r="AG386" s="10">
        <f t="shared" ref="AG386" ca="1" si="2521">AG385+AF386</f>
        <v>1475.1540266830441</v>
      </c>
      <c r="AH386" s="10">
        <f t="shared" ref="AH386" ca="1" si="2522">AH385+AG386</f>
        <v>1475.1540266830441</v>
      </c>
      <c r="AI386" s="10">
        <f t="shared" ref="AI386" ca="1" si="2523">AI385+AH386</f>
        <v>1475.1540266830441</v>
      </c>
      <c r="AJ386" s="10">
        <f t="shared" ref="AJ386" ca="1" si="2524">AJ385+AI386</f>
        <v>1475.1540266830441</v>
      </c>
      <c r="AK386" s="10">
        <f t="shared" ref="AK386" ca="1" si="2525">AK385+AJ386</f>
        <v>1475.1540266830441</v>
      </c>
      <c r="AL386" s="10">
        <f t="shared" ref="AL386" ca="1" si="2526">AL385+AK386</f>
        <v>1475.1540266830441</v>
      </c>
      <c r="AM386" s="10">
        <f t="shared" ref="AM386" ca="1" si="2527">AM385+AL386</f>
        <v>1475.1540266830441</v>
      </c>
      <c r="AN386" s="10">
        <f t="shared" ref="AN386" ca="1" si="2528">AN385+AM386</f>
        <v>1475.1540266830441</v>
      </c>
      <c r="AO386" s="10">
        <f t="shared" ref="AO386" ca="1" si="2529">AO385+AN386</f>
        <v>1475.1540266830441</v>
      </c>
      <c r="AP386" s="10">
        <f t="shared" ref="AP386" ca="1" si="2530">AP385+AO386</f>
        <v>1475.1540266830441</v>
      </c>
      <c r="AQ386" s="10">
        <f t="shared" ref="AQ386" ca="1" si="2531">AQ385+AP386</f>
        <v>1475.1540266830441</v>
      </c>
      <c r="AR386" s="10">
        <f t="shared" ref="AR386" ca="1" si="2532">AR385+AQ386</f>
        <v>1475.1540266830441</v>
      </c>
      <c r="AS386" s="10">
        <f t="shared" ref="AS386" ca="1" si="2533">AS385+AR386</f>
        <v>1475.1540266830441</v>
      </c>
      <c r="AT386" s="10">
        <f t="shared" ref="AT386" ca="1" si="2534">AT385+AS386</f>
        <v>1475.1540266830441</v>
      </c>
      <c r="AU386" s="10">
        <f t="shared" ref="AU386" ca="1" si="2535">AU385+AT386</f>
        <v>1475.1540266830441</v>
      </c>
      <c r="AV386" s="10">
        <f t="shared" ref="AV386" ca="1" si="2536">AV385+AU386</f>
        <v>1475.1540266830441</v>
      </c>
      <c r="AW386" s="10">
        <f t="shared" ref="AW386" ca="1" si="2537">AW385+AV386</f>
        <v>1475.1540266830441</v>
      </c>
      <c r="AX386" s="10">
        <f t="shared" ref="AX386" ca="1" si="2538">AX385+AW386</f>
        <v>1475.1540266830441</v>
      </c>
      <c r="AY386" s="10">
        <f t="shared" ref="AY386" ca="1" si="2539">AY385+AX386</f>
        <v>1475.1540266830441</v>
      </c>
      <c r="AZ386" s="10">
        <f t="shared" ref="AZ386" ca="1" si="2540">AZ385+AY386</f>
        <v>1475.1540266830441</v>
      </c>
      <c r="BA386" s="10">
        <f t="shared" ref="BA386" ca="1" si="2541">BA385+AZ386</f>
        <v>1475.1540266830441</v>
      </c>
      <c r="BB386" s="10">
        <f t="shared" ref="BB386" ca="1" si="2542">BB385+BA386</f>
        <v>1475.1540266830441</v>
      </c>
      <c r="BC386" s="10">
        <f t="shared" ref="BC386" ca="1" si="2543">BC385+BB386</f>
        <v>1475.1540266830441</v>
      </c>
      <c r="BD386" s="10">
        <f t="shared" ref="BD386" ca="1" si="2544">BD385+BC386</f>
        <v>1475.1540266830441</v>
      </c>
      <c r="BE386" s="10">
        <f t="shared" ref="BE386" ca="1" si="2545">BE385+BD386</f>
        <v>1475.1540266830441</v>
      </c>
      <c r="BF386" s="10">
        <f t="shared" ref="BF386" ca="1" si="2546">BF385+BE386</f>
        <v>1475.1540266830441</v>
      </c>
      <c r="BG386" s="10">
        <f t="shared" ref="BG386" ca="1" si="2547">BG385+BF386</f>
        <v>1475.1540266830441</v>
      </c>
      <c r="BH386" s="10">
        <f t="shared" ref="BH386" ca="1" si="2548">BH385+BG386</f>
        <v>1475.1540266830441</v>
      </c>
      <c r="BI386" s="10">
        <f t="shared" ref="BI386" ca="1" si="2549">BI385+BH386</f>
        <v>1475.1540266830441</v>
      </c>
      <c r="BJ386" s="10">
        <f t="shared" ref="BJ386" ca="1" si="2550">BJ385+BI386</f>
        <v>1475.1540266830441</v>
      </c>
      <c r="BK386" s="10">
        <f t="shared" ref="BK386" ca="1" si="2551">BK385+BJ386</f>
        <v>1475.1540266830441</v>
      </c>
      <c r="BL386" s="10">
        <f t="shared" ref="BL386" ca="1" si="2552">BL385+BK386</f>
        <v>1475.1540266830441</v>
      </c>
      <c r="BM386" s="10">
        <f t="shared" ref="BM386" ca="1" si="2553">BM385+BL386</f>
        <v>1475.1540266830441</v>
      </c>
      <c r="BN386" s="10">
        <f t="shared" ref="BN386" ca="1" si="2554">BN385+BM386</f>
        <v>1475.1540266830441</v>
      </c>
      <c r="BO386" s="10">
        <f t="shared" ref="BO386" ca="1" si="2555">BO385+BN386</f>
        <v>1475.1540266830441</v>
      </c>
      <c r="BP386" s="10">
        <f t="shared" ref="BP386" ca="1" si="2556">BP385+BO386</f>
        <v>1475.1540266830441</v>
      </c>
      <c r="BQ386" s="10">
        <f t="shared" ref="BQ386" ca="1" si="2557">BQ385+BP386</f>
        <v>1475.1540266830441</v>
      </c>
      <c r="BR386" s="10">
        <f t="shared" ref="BR386" ca="1" si="2558">BR385+BQ386</f>
        <v>1475.1540266830441</v>
      </c>
      <c r="BS386" s="10">
        <f t="shared" ref="BS386" ca="1" si="2559">BS385+BR386</f>
        <v>1475.1540266830441</v>
      </c>
      <c r="BT386" s="10">
        <f t="shared" ref="BT386" ca="1" si="2560">BT385+BS386</f>
        <v>1475.1540266830441</v>
      </c>
      <c r="BU386" s="10">
        <f t="shared" ref="BU386" ca="1" si="2561">BU385+BT386</f>
        <v>1475.1540266830441</v>
      </c>
      <c r="BV386" s="10">
        <f t="shared" ref="BV386" ca="1" si="2562">BV385+BU386</f>
        <v>1475.1540266830441</v>
      </c>
      <c r="BW386" s="10">
        <f t="shared" ref="BW386" ca="1" si="2563">BW385+BV386</f>
        <v>1475.1540266830441</v>
      </c>
      <c r="BX386" s="10">
        <f t="shared" ref="BX386" ca="1" si="2564">BX385+BW386</f>
        <v>1475.1540266830441</v>
      </c>
      <c r="BY386" s="10">
        <f t="shared" ref="BY386" ca="1" si="2565">BY385+BX386</f>
        <v>1475.1540266830441</v>
      </c>
      <c r="BZ386" s="10">
        <f t="shared" ref="BZ386" ca="1" si="2566">BZ385+BY386</f>
        <v>1475.1540266830441</v>
      </c>
      <c r="CA386" s="10">
        <f t="shared" ref="CA386" ca="1" si="2567">CA385+BZ386</f>
        <v>1475.1540266830441</v>
      </c>
      <c r="CB386" s="10">
        <f t="shared" ref="CB386" ca="1" si="2568">CB385+CA386</f>
        <v>1475.1540266830441</v>
      </c>
      <c r="CC386" s="10">
        <f t="shared" ref="CC386" ca="1" si="2569">CC385+CB386</f>
        <v>1475.1540266830441</v>
      </c>
      <c r="CD386" s="10">
        <f t="shared" ref="CD386" ca="1" si="2570">CD385+CC386</f>
        <v>1475.1540266830441</v>
      </c>
      <c r="CE386" s="10">
        <f t="shared" ref="CE386" ca="1" si="2571">CE385+CD386</f>
        <v>1475.1540266830441</v>
      </c>
      <c r="CF386" s="10">
        <f t="shared" ref="CF386" ca="1" si="2572">CF385+CE386</f>
        <v>1475.1540266830441</v>
      </c>
      <c r="CG386" s="10">
        <f t="shared" ref="CG386" ca="1" si="2573">CG385+CF386</f>
        <v>1475.1540266830441</v>
      </c>
      <c r="CH386" s="10">
        <f t="shared" ref="CH386" ca="1" si="2574">CH385+CG386</f>
        <v>1475.1540266830441</v>
      </c>
      <c r="CI386" s="10">
        <f t="shared" ref="CI386" ca="1" si="2575">CI385+CH386</f>
        <v>1475.1540266830441</v>
      </c>
      <c r="CJ386" s="10">
        <f t="shared" ref="CJ386" ca="1" si="2576">CJ385+CI386</f>
        <v>1475.1540266830441</v>
      </c>
      <c r="CK386" s="10">
        <f t="shared" ref="CK386" ca="1" si="2577">CK385+CJ386</f>
        <v>1475.1540266830441</v>
      </c>
      <c r="CL386" s="10">
        <f t="shared" ref="CL386" ca="1" si="2578">CL385+CK386</f>
        <v>1475.1540266830441</v>
      </c>
      <c r="CM386" s="10">
        <f t="shared" ref="CM386" ca="1" si="2579">CM385+CL386</f>
        <v>1475.1540266830441</v>
      </c>
      <c r="CN386" s="10">
        <f t="shared" ref="CN386" ca="1" si="2580">CN385+CM386</f>
        <v>1475.1540266830441</v>
      </c>
      <c r="CO386" s="10">
        <f t="shared" ref="CO386" ca="1" si="2581">CO385+CN386</f>
        <v>1475.1540266830441</v>
      </c>
    </row>
    <row r="387" spans="1:93">
      <c r="A387" s="10"/>
      <c r="B387" s="10"/>
      <c r="C387" s="17" t="s">
        <v>389</v>
      </c>
      <c r="D387" s="10"/>
      <c r="E387" s="62"/>
      <c r="F387" s="11"/>
      <c r="G387" s="134" t="str">
        <f t="shared" si="2413"/>
        <v>тыс. руб.</v>
      </c>
      <c r="H387" s="10"/>
      <c r="I387" s="23">
        <f ca="1">SUM(L387:CO387)</f>
        <v>799.0417644533162</v>
      </c>
      <c r="J387" s="10"/>
      <c r="K387" s="10"/>
      <c r="L387" s="10">
        <f t="shared" ref="L387" ca="1" si="2582">(MIN(L386*L383,K389))</f>
        <v>0</v>
      </c>
      <c r="M387" s="10">
        <f t="shared" ref="M387" ca="1" si="2583">(MIN(M386*M383,L389))</f>
        <v>0</v>
      </c>
      <c r="N387" s="10">
        <f t="shared" ref="N387" ca="1" si="2584">(MIN(N386*N383,M389))</f>
        <v>0</v>
      </c>
      <c r="O387" s="10">
        <f t="shared" ref="O387" ca="1" si="2585">(MIN(O386*O383,N389))</f>
        <v>0</v>
      </c>
      <c r="P387" s="10">
        <f t="shared" ref="P387" ca="1" si="2586">(MIN(P386*P383,O389))</f>
        <v>0</v>
      </c>
      <c r="Q387" s="10">
        <f t="shared" ref="Q387" ca="1" si="2587">(MIN(Q386*Q383,P389))</f>
        <v>0</v>
      </c>
      <c r="R387" s="10">
        <f t="shared" ref="R387" ca="1" si="2588">(MIN(R386*R383,Q389))</f>
        <v>0</v>
      </c>
      <c r="S387" s="10">
        <f t="shared" ref="S387" ca="1" si="2589">(MIN(S386*S383,R389))</f>
        <v>0</v>
      </c>
      <c r="T387" s="10">
        <f t="shared" ref="T387" ca="1" si="2590">(MIN(T386*T383,S389))</f>
        <v>0</v>
      </c>
      <c r="U387" s="10">
        <f t="shared" ref="U387" ca="1" si="2591">(MIN(U386*U383,T389))</f>
        <v>0</v>
      </c>
      <c r="V387" s="10">
        <f t="shared" ref="V387" ca="1" si="2592">(MIN(V386*V383,U389))</f>
        <v>0</v>
      </c>
      <c r="W387" s="10">
        <f t="shared" ref="W387" ca="1" si="2593">(MIN(W386*W383,V389))</f>
        <v>0</v>
      </c>
      <c r="X387" s="10">
        <f t="shared" ref="X387" ca="1" si="2594">(MIN(X386*X383,W389))</f>
        <v>0</v>
      </c>
      <c r="Y387" s="10">
        <f t="shared" ref="Y387" ca="1" si="2595">(MIN(Y386*Y383,X389))</f>
        <v>0</v>
      </c>
      <c r="Z387" s="10">
        <f t="shared" ref="Z387" ca="1" si="2596">(MIN(Z386*Z383,Y389))</f>
        <v>0</v>
      </c>
      <c r="AA387" s="10">
        <f t="shared" ref="AA387" ca="1" si="2597">(MIN(AA386*AA383,Z389))</f>
        <v>0</v>
      </c>
      <c r="AB387" s="10">
        <f t="shared" ref="AB387" ca="1" si="2598">(MIN(AB386*AB383,AA389))</f>
        <v>0</v>
      </c>
      <c r="AC387" s="10">
        <f t="shared" ref="AC387" ca="1" si="2599">(MIN(AC386*AC383,AB389))</f>
        <v>12.292950222358701</v>
      </c>
      <c r="AD387" s="10">
        <f t="shared" ref="AD387" ca="1" si="2600">(MIN(AD386*AD383,AC389))</f>
        <v>12.292950222358701</v>
      </c>
      <c r="AE387" s="10">
        <f t="shared" ref="AE387" ca="1" si="2601">(MIN(AE386*AE383,AD389))</f>
        <v>12.292950222358701</v>
      </c>
      <c r="AF387" s="10">
        <f t="shared" ref="AF387" ca="1" si="2602">(MIN(AF386*AF383,AE389))</f>
        <v>12.292950222358701</v>
      </c>
      <c r="AG387" s="10">
        <f t="shared" ref="AG387" ca="1" si="2603">(MIN(AG386*AG383,AF389))</f>
        <v>12.292950222358701</v>
      </c>
      <c r="AH387" s="10">
        <f t="shared" ref="AH387" ca="1" si="2604">(MIN(AH386*AH383,AG389))</f>
        <v>12.292950222358701</v>
      </c>
      <c r="AI387" s="10">
        <f t="shared" ref="AI387" ca="1" si="2605">(MIN(AI386*AI383,AH389))</f>
        <v>12.292950222358701</v>
      </c>
      <c r="AJ387" s="10">
        <f t="shared" ref="AJ387" ca="1" si="2606">(MIN(AJ386*AJ383,AI389))</f>
        <v>12.292950222358701</v>
      </c>
      <c r="AK387" s="10">
        <f t="shared" ref="AK387" ca="1" si="2607">(MIN(AK386*AK383,AJ389))</f>
        <v>12.292950222358701</v>
      </c>
      <c r="AL387" s="10">
        <f t="shared" ref="AL387" ca="1" si="2608">(MIN(AL386*AL383,AK389))</f>
        <v>12.292950222358701</v>
      </c>
      <c r="AM387" s="10">
        <f t="shared" ref="AM387" ca="1" si="2609">(MIN(AM386*AM383,AL389))</f>
        <v>12.292950222358701</v>
      </c>
      <c r="AN387" s="10">
        <f t="shared" ref="AN387" ca="1" si="2610">(MIN(AN386*AN383,AM389))</f>
        <v>12.292950222358701</v>
      </c>
      <c r="AO387" s="10">
        <f t="shared" ref="AO387" ca="1" si="2611">(MIN(AO386*AO383,AN389))</f>
        <v>12.292950222358701</v>
      </c>
      <c r="AP387" s="10">
        <f t="shared" ref="AP387" ca="1" si="2612">(MIN(AP386*AP383,AO389))</f>
        <v>12.292950222358701</v>
      </c>
      <c r="AQ387" s="10">
        <f t="shared" ref="AQ387" ca="1" si="2613">(MIN(AQ386*AQ383,AP389))</f>
        <v>12.292950222358701</v>
      </c>
      <c r="AR387" s="10">
        <f t="shared" ref="AR387" ca="1" si="2614">(MIN(AR386*AR383,AQ389))</f>
        <v>12.292950222358701</v>
      </c>
      <c r="AS387" s="10">
        <f t="shared" ref="AS387" ca="1" si="2615">(MIN(AS386*AS383,AR389))</f>
        <v>12.292950222358701</v>
      </c>
      <c r="AT387" s="10">
        <f t="shared" ref="AT387" ca="1" si="2616">(MIN(AT386*AT383,AS389))</f>
        <v>12.292950222358701</v>
      </c>
      <c r="AU387" s="10">
        <f t="shared" ref="AU387" ca="1" si="2617">(MIN(AU386*AU383,AT389))</f>
        <v>12.292950222358701</v>
      </c>
      <c r="AV387" s="10">
        <f t="shared" ref="AV387" ca="1" si="2618">(MIN(AV386*AV383,AU389))</f>
        <v>12.292950222358701</v>
      </c>
      <c r="AW387" s="10">
        <f t="shared" ref="AW387" ca="1" si="2619">(MIN(AW386*AW383,AV389))</f>
        <v>12.292950222358701</v>
      </c>
      <c r="AX387" s="10">
        <f t="shared" ref="AX387" ca="1" si="2620">(MIN(AX386*AX383,AW389))</f>
        <v>12.292950222358701</v>
      </c>
      <c r="AY387" s="10">
        <f t="shared" ref="AY387" ca="1" si="2621">(MIN(AY386*AY383,AX389))</f>
        <v>12.292950222358701</v>
      </c>
      <c r="AZ387" s="10">
        <f t="shared" ref="AZ387" ca="1" si="2622">(MIN(AZ386*AZ383,AY389))</f>
        <v>12.292950222358701</v>
      </c>
      <c r="BA387" s="10">
        <f t="shared" ref="BA387" ca="1" si="2623">(MIN(BA386*BA383,AZ389))</f>
        <v>12.292950222358701</v>
      </c>
      <c r="BB387" s="10">
        <f t="shared" ref="BB387" ca="1" si="2624">(MIN(BB386*BB383,BA389))</f>
        <v>12.292950222358701</v>
      </c>
      <c r="BC387" s="10">
        <f t="shared" ref="BC387" ca="1" si="2625">(MIN(BC386*BC383,BB389))</f>
        <v>12.292950222358701</v>
      </c>
      <c r="BD387" s="10">
        <f t="shared" ref="BD387" ca="1" si="2626">(MIN(BD386*BD383,BC389))</f>
        <v>12.292950222358701</v>
      </c>
      <c r="BE387" s="10">
        <f t="shared" ref="BE387" ca="1" si="2627">(MIN(BE386*BE383,BD389))</f>
        <v>12.292950222358701</v>
      </c>
      <c r="BF387" s="10">
        <f t="shared" ref="BF387" ca="1" si="2628">(MIN(BF386*BF383,BE389))</f>
        <v>12.292950222358701</v>
      </c>
      <c r="BG387" s="10">
        <f t="shared" ref="BG387" ca="1" si="2629">(MIN(BG386*BG383,BF389))</f>
        <v>12.292950222358701</v>
      </c>
      <c r="BH387" s="10">
        <f t="shared" ref="BH387" ca="1" si="2630">(MIN(BH386*BH383,BG389))</f>
        <v>12.292950222358701</v>
      </c>
      <c r="BI387" s="10">
        <f t="shared" ref="BI387" ca="1" si="2631">(MIN(BI386*BI383,BH389))</f>
        <v>12.292950222358701</v>
      </c>
      <c r="BJ387" s="10">
        <f t="shared" ref="BJ387" ca="1" si="2632">(MIN(BJ386*BJ383,BI389))</f>
        <v>12.292950222358701</v>
      </c>
      <c r="BK387" s="10">
        <f t="shared" ref="BK387" ca="1" si="2633">(MIN(BK386*BK383,BJ389))</f>
        <v>12.292950222358701</v>
      </c>
      <c r="BL387" s="10">
        <f t="shared" ref="BL387" ca="1" si="2634">(MIN(BL386*BL383,BK389))</f>
        <v>12.292950222358701</v>
      </c>
      <c r="BM387" s="10">
        <f t="shared" ref="BM387" ca="1" si="2635">(MIN(BM386*BM383,BL389))</f>
        <v>12.292950222358701</v>
      </c>
      <c r="BN387" s="10">
        <f t="shared" ref="BN387" ca="1" si="2636">(MIN(BN386*BN383,BM389))</f>
        <v>12.292950222358701</v>
      </c>
      <c r="BO387" s="10">
        <f t="shared" ref="BO387" ca="1" si="2637">(MIN(BO386*BO383,BN389))</f>
        <v>12.292950222358701</v>
      </c>
      <c r="BP387" s="10">
        <f t="shared" ref="BP387" ca="1" si="2638">(MIN(BP386*BP383,BO389))</f>
        <v>12.292950222358701</v>
      </c>
      <c r="BQ387" s="10">
        <f t="shared" ref="BQ387" ca="1" si="2639">(MIN(BQ386*BQ383,BP389))</f>
        <v>12.292950222358701</v>
      </c>
      <c r="BR387" s="10">
        <f t="shared" ref="BR387" ca="1" si="2640">(MIN(BR386*BR383,BQ389))</f>
        <v>12.292950222358701</v>
      </c>
      <c r="BS387" s="10">
        <f t="shared" ref="BS387" ca="1" si="2641">(MIN(BS386*BS383,BR389))</f>
        <v>12.292950222358701</v>
      </c>
      <c r="BT387" s="10">
        <f t="shared" ref="BT387" ca="1" si="2642">(MIN(BT386*BT383,BS389))</f>
        <v>12.292950222358701</v>
      </c>
      <c r="BU387" s="10">
        <f t="shared" ref="BU387" ca="1" si="2643">(MIN(BU386*BU383,BT389))</f>
        <v>12.292950222358701</v>
      </c>
      <c r="BV387" s="10">
        <f t="shared" ref="BV387" ca="1" si="2644">(MIN(BV386*BV383,BU389))</f>
        <v>12.292950222358701</v>
      </c>
      <c r="BW387" s="10">
        <f t="shared" ref="BW387" ca="1" si="2645">(MIN(BW386*BW383,BV389))</f>
        <v>12.292950222358701</v>
      </c>
      <c r="BX387" s="10">
        <f t="shared" ref="BX387" ca="1" si="2646">(MIN(BX386*BX383,BW389))</f>
        <v>12.292950222358701</v>
      </c>
      <c r="BY387" s="10">
        <f t="shared" ref="BY387" ca="1" si="2647">(MIN(BY386*BY383,BX389))</f>
        <v>12.292950222358701</v>
      </c>
      <c r="BZ387" s="10">
        <f t="shared" ref="BZ387" ca="1" si="2648">(MIN(BZ386*BZ383,BY389))</f>
        <v>12.292950222358701</v>
      </c>
      <c r="CA387" s="10">
        <f t="shared" ref="CA387" ca="1" si="2649">(MIN(CA386*CA383,BZ389))</f>
        <v>12.292950222358701</v>
      </c>
      <c r="CB387" s="10">
        <f t="shared" ref="CB387" ca="1" si="2650">(MIN(CB386*CB383,CA389))</f>
        <v>12.292950222358701</v>
      </c>
      <c r="CC387" s="10">
        <f t="shared" ref="CC387" ca="1" si="2651">(MIN(CC386*CC383,CB389))</f>
        <v>12.292950222358701</v>
      </c>
      <c r="CD387" s="10">
        <f t="shared" ref="CD387" ca="1" si="2652">(MIN(CD386*CD383,CC389))</f>
        <v>12.292950222358701</v>
      </c>
      <c r="CE387" s="10">
        <f t="shared" ref="CE387" ca="1" si="2653">(MIN(CE386*CE383,CD389))</f>
        <v>12.292950222358701</v>
      </c>
      <c r="CF387" s="10">
        <f t="shared" ref="CF387" ca="1" si="2654">(MIN(CF386*CF383,CE389))</f>
        <v>12.292950222358701</v>
      </c>
      <c r="CG387" s="10">
        <f t="shared" ref="CG387" ca="1" si="2655">(MIN(CG386*CG383,CF389))</f>
        <v>12.292950222358701</v>
      </c>
      <c r="CH387" s="10">
        <f t="shared" ref="CH387" ca="1" si="2656">(MIN(CH386*CH383,CG389))</f>
        <v>12.292950222358701</v>
      </c>
      <c r="CI387" s="10">
        <f t="shared" ref="CI387" ca="1" si="2657">(MIN(CI386*CI383,CH389))</f>
        <v>12.292950222358701</v>
      </c>
      <c r="CJ387" s="10">
        <f t="shared" ref="CJ387" ca="1" si="2658">(MIN(CJ386*CJ383,CI389))</f>
        <v>12.292950222358701</v>
      </c>
      <c r="CK387" s="10">
        <f t="shared" ref="CK387" ca="1" si="2659">(MIN(CK386*CK383,CJ389))</f>
        <v>12.292950222358701</v>
      </c>
      <c r="CL387" s="10">
        <f t="shared" ref="CL387" ca="1" si="2660">(MIN(CL386*CL383,CK389))</f>
        <v>12.292950222358701</v>
      </c>
      <c r="CM387" s="10">
        <f t="shared" ref="CM387" ca="1" si="2661">(MIN(CM386*CM383,CL389))</f>
        <v>12.292950222358701</v>
      </c>
      <c r="CN387" s="10">
        <f t="shared" ref="CN387" ca="1" si="2662">(MIN(CN386*CN383,CM389))</f>
        <v>12.292950222358701</v>
      </c>
      <c r="CO387" s="10">
        <f t="shared" ref="CO387" ca="1" si="2663">(MIN(CO386*CO383,CN389))</f>
        <v>12.292950222358701</v>
      </c>
    </row>
    <row r="388" spans="1:93">
      <c r="A388" s="10"/>
      <c r="B388" s="10"/>
      <c r="C388" s="17" t="s">
        <v>127</v>
      </c>
      <c r="D388" s="10"/>
      <c r="E388" s="62"/>
      <c r="F388" s="11"/>
      <c r="G388" s="134" t="str">
        <f t="shared" si="2413"/>
        <v>тыс. руб.</v>
      </c>
      <c r="H388" s="10"/>
      <c r="I388" s="10"/>
      <c r="J388" s="10"/>
      <c r="K388" s="10"/>
      <c r="L388" s="10">
        <f t="shared" ref="L388" ca="1" si="2664">SUM(K388,-L387)</f>
        <v>0</v>
      </c>
      <c r="M388" s="10">
        <f t="shared" ref="M388" ca="1" si="2665">SUM(L388,-M387)</f>
        <v>0</v>
      </c>
      <c r="N388" s="10">
        <f t="shared" ref="N388" ca="1" si="2666">SUM(M388,-N387)</f>
        <v>0</v>
      </c>
      <c r="O388" s="10">
        <f t="shared" ref="O388" ca="1" si="2667">SUM(N388,-O387)</f>
        <v>0</v>
      </c>
      <c r="P388" s="10">
        <f t="shared" ref="P388" ca="1" si="2668">SUM(O388,-P387)</f>
        <v>0</v>
      </c>
      <c r="Q388" s="10">
        <f t="shared" ref="Q388" ca="1" si="2669">SUM(P388,-Q387)</f>
        <v>0</v>
      </c>
      <c r="R388" s="10">
        <f t="shared" ref="R388" ca="1" si="2670">SUM(Q388,-R387)</f>
        <v>0</v>
      </c>
      <c r="S388" s="10">
        <f t="shared" ref="S388" ca="1" si="2671">SUM(R388,-S387)</f>
        <v>0</v>
      </c>
      <c r="T388" s="10">
        <f t="shared" ref="T388" ca="1" si="2672">SUM(S388,-T387)</f>
        <v>0</v>
      </c>
      <c r="U388" s="10">
        <f t="shared" ref="U388" ca="1" si="2673">SUM(T388,-U387)</f>
        <v>0</v>
      </c>
      <c r="V388" s="10">
        <f t="shared" ref="V388" ca="1" si="2674">SUM(U388,-V387)</f>
        <v>0</v>
      </c>
      <c r="W388" s="10">
        <f t="shared" ref="W388" ca="1" si="2675">SUM(V388,-W387)</f>
        <v>0</v>
      </c>
      <c r="X388" s="10">
        <f t="shared" ref="X388" ca="1" si="2676">SUM(W388,-X387)</f>
        <v>0</v>
      </c>
      <c r="Y388" s="10">
        <f t="shared" ref="Y388" ca="1" si="2677">SUM(X388,-Y387)</f>
        <v>0</v>
      </c>
      <c r="Z388" s="10">
        <f t="shared" ref="Z388" ca="1" si="2678">SUM(Y388,-Z387)</f>
        <v>0</v>
      </c>
      <c r="AA388" s="10">
        <f t="shared" ref="AA388" ca="1" si="2679">SUM(Z388,-AA387)</f>
        <v>0</v>
      </c>
      <c r="AB388" s="10">
        <f t="shared" ref="AB388" ca="1" si="2680">SUM(AA388,-AB387)</f>
        <v>0</v>
      </c>
      <c r="AC388" s="10">
        <f t="shared" ref="AC388" ca="1" si="2681">SUM(AB388,-AC387)</f>
        <v>-12.292950222358701</v>
      </c>
      <c r="AD388" s="10">
        <f t="shared" ref="AD388" ca="1" si="2682">SUM(AC388,-AD387)</f>
        <v>-24.585900444717403</v>
      </c>
      <c r="AE388" s="10">
        <f t="shared" ref="AE388" ca="1" si="2683">SUM(AD388,-AE387)</f>
        <v>-36.878850667076108</v>
      </c>
      <c r="AF388" s="10">
        <f t="shared" ref="AF388" ca="1" si="2684">SUM(AE388,-AF387)</f>
        <v>-49.171800889434806</v>
      </c>
      <c r="AG388" s="10">
        <f t="shared" ref="AG388" ca="1" si="2685">SUM(AF388,-AG387)</f>
        <v>-61.464751111793504</v>
      </c>
      <c r="AH388" s="10">
        <f t="shared" ref="AH388" ca="1" si="2686">SUM(AG388,-AH387)</f>
        <v>-73.757701334152202</v>
      </c>
      <c r="AI388" s="10">
        <f t="shared" ref="AI388" ca="1" si="2687">SUM(AH388,-AI387)</f>
        <v>-86.0506515565109</v>
      </c>
      <c r="AJ388" s="10">
        <f t="shared" ref="AJ388" ca="1" si="2688">SUM(AI388,-AJ387)</f>
        <v>-98.343601778869598</v>
      </c>
      <c r="AK388" s="10">
        <f t="shared" ref="AK388" ca="1" si="2689">SUM(AJ388,-AK387)</f>
        <v>-110.6365520012283</v>
      </c>
      <c r="AL388" s="10">
        <f t="shared" ref="AL388" ca="1" si="2690">SUM(AK388,-AL387)</f>
        <v>-122.92950222358699</v>
      </c>
      <c r="AM388" s="10">
        <f t="shared" ref="AM388" ca="1" si="2691">SUM(AL388,-AM387)</f>
        <v>-135.22245244594569</v>
      </c>
      <c r="AN388" s="10">
        <f t="shared" ref="AN388" ca="1" si="2692">SUM(AM388,-AN387)</f>
        <v>-147.5154026683044</v>
      </c>
      <c r="AO388" s="10">
        <f t="shared" ref="AO388" ca="1" si="2693">SUM(AN388,-AO387)</f>
        <v>-159.80835289066312</v>
      </c>
      <c r="AP388" s="10">
        <f t="shared" ref="AP388" ca="1" si="2694">SUM(AO388,-AP387)</f>
        <v>-172.10130311302183</v>
      </c>
      <c r="AQ388" s="10">
        <f t="shared" ref="AQ388" ca="1" si="2695">SUM(AP388,-AQ387)</f>
        <v>-184.39425333538054</v>
      </c>
      <c r="AR388" s="10">
        <f t="shared" ref="AR388" ca="1" si="2696">SUM(AQ388,-AR387)</f>
        <v>-196.68720355773925</v>
      </c>
      <c r="AS388" s="10">
        <f t="shared" ref="AS388" ca="1" si="2697">SUM(AR388,-AS387)</f>
        <v>-208.98015378009796</v>
      </c>
      <c r="AT388" s="10">
        <f t="shared" ref="AT388" ca="1" si="2698">SUM(AS388,-AT387)</f>
        <v>-221.27310400245668</v>
      </c>
      <c r="AU388" s="10">
        <f t="shared" ref="AU388" ca="1" si="2699">SUM(AT388,-AU387)</f>
        <v>-233.56605422481539</v>
      </c>
      <c r="AV388" s="10">
        <f t="shared" ref="AV388" ca="1" si="2700">SUM(AU388,-AV387)</f>
        <v>-245.8590044471741</v>
      </c>
      <c r="AW388" s="10">
        <f t="shared" ref="AW388" ca="1" si="2701">SUM(AV388,-AW387)</f>
        <v>-258.15195466953281</v>
      </c>
      <c r="AX388" s="10">
        <f t="shared" ref="AX388" ca="1" si="2702">SUM(AW388,-AX387)</f>
        <v>-270.4449048918915</v>
      </c>
      <c r="AY388" s="10">
        <f t="shared" ref="AY388" ca="1" si="2703">SUM(AX388,-AY387)</f>
        <v>-282.73785511425018</v>
      </c>
      <c r="AZ388" s="10">
        <f t="shared" ref="AZ388" ca="1" si="2704">SUM(AY388,-AZ387)</f>
        <v>-295.03080533660886</v>
      </c>
      <c r="BA388" s="10">
        <f t="shared" ref="BA388" ca="1" si="2705">SUM(AZ388,-BA387)</f>
        <v>-307.32375555896755</v>
      </c>
      <c r="BB388" s="10">
        <f t="shared" ref="BB388" ca="1" si="2706">SUM(BA388,-BB387)</f>
        <v>-319.61670578132623</v>
      </c>
      <c r="BC388" s="10">
        <f t="shared" ref="BC388" ca="1" si="2707">SUM(BB388,-BC387)</f>
        <v>-331.90965600368492</v>
      </c>
      <c r="BD388" s="10">
        <f t="shared" ref="BD388" ca="1" si="2708">SUM(BC388,-BD387)</f>
        <v>-344.2026062260436</v>
      </c>
      <c r="BE388" s="10">
        <f t="shared" ref="BE388" ca="1" si="2709">SUM(BD388,-BE387)</f>
        <v>-356.49555644840228</v>
      </c>
      <c r="BF388" s="10">
        <f t="shared" ref="BF388" ca="1" si="2710">SUM(BE388,-BF387)</f>
        <v>-368.78850667076097</v>
      </c>
      <c r="BG388" s="10">
        <f t="shared" ref="BG388" ca="1" si="2711">SUM(BF388,-BG387)</f>
        <v>-381.08145689311965</v>
      </c>
      <c r="BH388" s="10">
        <f t="shared" ref="BH388" ca="1" si="2712">SUM(BG388,-BH387)</f>
        <v>-393.37440711547833</v>
      </c>
      <c r="BI388" s="10">
        <f t="shared" ref="BI388" ca="1" si="2713">SUM(BH388,-BI387)</f>
        <v>-405.66735733783702</v>
      </c>
      <c r="BJ388" s="10">
        <f t="shared" ref="BJ388" ca="1" si="2714">SUM(BI388,-BJ387)</f>
        <v>-417.9603075601957</v>
      </c>
      <c r="BK388" s="10">
        <f t="shared" ref="BK388" ca="1" si="2715">SUM(BJ388,-BK387)</f>
        <v>-430.25325778255439</v>
      </c>
      <c r="BL388" s="10">
        <f t="shared" ref="BL388" ca="1" si="2716">SUM(BK388,-BL387)</f>
        <v>-442.54620800491307</v>
      </c>
      <c r="BM388" s="10">
        <f t="shared" ref="BM388" ca="1" si="2717">SUM(BL388,-BM387)</f>
        <v>-454.83915822727175</v>
      </c>
      <c r="BN388" s="10">
        <f t="shared" ref="BN388" ca="1" si="2718">SUM(BM388,-BN387)</f>
        <v>-467.13210844963044</v>
      </c>
      <c r="BO388" s="10">
        <f t="shared" ref="BO388" ca="1" si="2719">SUM(BN388,-BO387)</f>
        <v>-479.42505867198912</v>
      </c>
      <c r="BP388" s="10">
        <f t="shared" ref="BP388" ca="1" si="2720">SUM(BO388,-BP387)</f>
        <v>-491.7180088943478</v>
      </c>
      <c r="BQ388" s="10">
        <f t="shared" ref="BQ388" ca="1" si="2721">SUM(BP388,-BQ387)</f>
        <v>-504.01095911670649</v>
      </c>
      <c r="BR388" s="10">
        <f t="shared" ref="BR388" ca="1" si="2722">SUM(BQ388,-BR387)</f>
        <v>-516.30390933906517</v>
      </c>
      <c r="BS388" s="10">
        <f t="shared" ref="BS388" ca="1" si="2723">SUM(BR388,-BS387)</f>
        <v>-528.59685956142391</v>
      </c>
      <c r="BT388" s="10">
        <f t="shared" ref="BT388" ca="1" si="2724">SUM(BS388,-BT387)</f>
        <v>-540.88980978378265</v>
      </c>
      <c r="BU388" s="10">
        <f t="shared" ref="BU388" ca="1" si="2725">SUM(BT388,-BU387)</f>
        <v>-553.18276000614139</v>
      </c>
      <c r="BV388" s="10">
        <f t="shared" ref="BV388" ca="1" si="2726">SUM(BU388,-BV387)</f>
        <v>-565.47571022850013</v>
      </c>
      <c r="BW388" s="10">
        <f t="shared" ref="BW388" ca="1" si="2727">SUM(BV388,-BW387)</f>
        <v>-577.76866045085887</v>
      </c>
      <c r="BX388" s="10">
        <f t="shared" ref="BX388" ca="1" si="2728">SUM(BW388,-BX387)</f>
        <v>-590.06161067321761</v>
      </c>
      <c r="BY388" s="10">
        <f t="shared" ref="BY388" ca="1" si="2729">SUM(BX388,-BY387)</f>
        <v>-602.35456089557636</v>
      </c>
      <c r="BZ388" s="10">
        <f t="shared" ref="BZ388" ca="1" si="2730">SUM(BY388,-BZ387)</f>
        <v>-614.6475111179351</v>
      </c>
      <c r="CA388" s="10">
        <f t="shared" ref="CA388" ca="1" si="2731">SUM(BZ388,-CA387)</f>
        <v>-626.94046134029384</v>
      </c>
      <c r="CB388" s="10">
        <f t="shared" ref="CB388" ca="1" si="2732">SUM(CA388,-CB387)</f>
        <v>-639.23341156265258</v>
      </c>
      <c r="CC388" s="10">
        <f t="shared" ref="CC388" ca="1" si="2733">SUM(CB388,-CC387)</f>
        <v>-651.52636178501132</v>
      </c>
      <c r="CD388" s="10">
        <f t="shared" ref="CD388" ca="1" si="2734">SUM(CC388,-CD387)</f>
        <v>-663.81931200737006</v>
      </c>
      <c r="CE388" s="10">
        <f t="shared" ref="CE388" ca="1" si="2735">SUM(CD388,-CE387)</f>
        <v>-676.1122622297288</v>
      </c>
      <c r="CF388" s="10">
        <f t="shared" ref="CF388" ca="1" si="2736">SUM(CE388,-CF387)</f>
        <v>-688.40521245208754</v>
      </c>
      <c r="CG388" s="10">
        <f t="shared" ref="CG388" ca="1" si="2737">SUM(CF388,-CG387)</f>
        <v>-700.69816267444628</v>
      </c>
      <c r="CH388" s="10">
        <f t="shared" ref="CH388" ca="1" si="2738">SUM(CG388,-CH387)</f>
        <v>-712.99111289680502</v>
      </c>
      <c r="CI388" s="10">
        <f t="shared" ref="CI388" ca="1" si="2739">SUM(CH388,-CI387)</f>
        <v>-725.28406311916376</v>
      </c>
      <c r="CJ388" s="10">
        <f t="shared" ref="CJ388" ca="1" si="2740">SUM(CI388,-CJ387)</f>
        <v>-737.5770133415225</v>
      </c>
      <c r="CK388" s="10">
        <f t="shared" ref="CK388" ca="1" si="2741">SUM(CJ388,-CK387)</f>
        <v>-749.86996356388124</v>
      </c>
      <c r="CL388" s="10">
        <f t="shared" ref="CL388" ca="1" si="2742">SUM(CK388,-CL387)</f>
        <v>-762.16291378623998</v>
      </c>
      <c r="CM388" s="10">
        <f t="shared" ref="CM388" ca="1" si="2743">SUM(CL388,-CM387)</f>
        <v>-774.45586400859872</v>
      </c>
      <c r="CN388" s="10">
        <f t="shared" ref="CN388" ca="1" si="2744">SUM(CM388,-CN387)</f>
        <v>-786.74881423095746</v>
      </c>
      <c r="CO388" s="10">
        <f t="shared" ref="CO388" ca="1" si="2745">SUM(CN388,-CO387)</f>
        <v>-799.0417644533162</v>
      </c>
    </row>
    <row r="389" spans="1:93">
      <c r="A389" s="10"/>
      <c r="B389" s="10"/>
      <c r="C389" s="17" t="s">
        <v>128</v>
      </c>
      <c r="D389" s="10"/>
      <c r="E389" s="62"/>
      <c r="F389" s="11"/>
      <c r="G389" s="134" t="str">
        <f t="shared" si="2413"/>
        <v>тыс. руб.</v>
      </c>
      <c r="H389" s="10"/>
      <c r="I389" s="10"/>
      <c r="J389" s="10"/>
      <c r="K389" s="10"/>
      <c r="L389" s="10">
        <f t="shared" ref="L389:Q389" ca="1" si="2746">SUM(L386,L388)</f>
        <v>0</v>
      </c>
      <c r="M389" s="10">
        <f t="shared" ca="1" si="2746"/>
        <v>0</v>
      </c>
      <c r="N389" s="10">
        <f t="shared" ca="1" si="2746"/>
        <v>0</v>
      </c>
      <c r="O389" s="10">
        <f t="shared" ca="1" si="2746"/>
        <v>0</v>
      </c>
      <c r="P389" s="10">
        <f t="shared" ca="1" si="2746"/>
        <v>0</v>
      </c>
      <c r="Q389" s="10">
        <f t="shared" ca="1" si="2746"/>
        <v>0</v>
      </c>
      <c r="R389" s="10">
        <f t="shared" ref="R389" ca="1" si="2747">SUM(R386,R388)</f>
        <v>0</v>
      </c>
      <c r="S389" s="10">
        <f t="shared" ref="S389:CD389" ca="1" si="2748">SUM(S386,S388)</f>
        <v>0</v>
      </c>
      <c r="T389" s="10">
        <f t="shared" ca="1" si="2748"/>
        <v>0</v>
      </c>
      <c r="U389" s="10">
        <f t="shared" ca="1" si="2748"/>
        <v>0</v>
      </c>
      <c r="V389" s="10">
        <f t="shared" ca="1" si="2748"/>
        <v>0</v>
      </c>
      <c r="W389" s="10">
        <f t="shared" ca="1" si="2748"/>
        <v>0</v>
      </c>
      <c r="X389" s="10">
        <f t="shared" ca="1" si="2748"/>
        <v>0</v>
      </c>
      <c r="Y389" s="10">
        <f t="shared" ca="1" si="2748"/>
        <v>0</v>
      </c>
      <c r="Z389" s="10">
        <f t="shared" ca="1" si="2748"/>
        <v>0</v>
      </c>
      <c r="AA389" s="10">
        <f t="shared" ca="1" si="2748"/>
        <v>0</v>
      </c>
      <c r="AB389" s="10">
        <f t="shared" ca="1" si="2748"/>
        <v>1475.1540266830441</v>
      </c>
      <c r="AC389" s="10">
        <f t="shared" ca="1" si="2748"/>
        <v>1462.8610764606854</v>
      </c>
      <c r="AD389" s="10">
        <f t="shared" ca="1" si="2748"/>
        <v>1450.5681262383266</v>
      </c>
      <c r="AE389" s="10">
        <f t="shared" ca="1" si="2748"/>
        <v>1438.2751760159681</v>
      </c>
      <c r="AF389" s="10">
        <f t="shared" ca="1" si="2748"/>
        <v>1425.9822257936094</v>
      </c>
      <c r="AG389" s="10">
        <f t="shared" ca="1" si="2748"/>
        <v>1413.6892755712506</v>
      </c>
      <c r="AH389" s="10">
        <f t="shared" ca="1" si="2748"/>
        <v>1401.3963253488919</v>
      </c>
      <c r="AI389" s="10">
        <f t="shared" ca="1" si="2748"/>
        <v>1389.1033751265331</v>
      </c>
      <c r="AJ389" s="10">
        <f t="shared" ca="1" si="2748"/>
        <v>1376.8104249041744</v>
      </c>
      <c r="AK389" s="10">
        <f t="shared" ca="1" si="2748"/>
        <v>1364.5174746818159</v>
      </c>
      <c r="AL389" s="10">
        <f t="shared" ca="1" si="2748"/>
        <v>1352.2245244594571</v>
      </c>
      <c r="AM389" s="10">
        <f t="shared" ca="1" si="2748"/>
        <v>1339.9315742370984</v>
      </c>
      <c r="AN389" s="10">
        <f t="shared" ca="1" si="2748"/>
        <v>1327.6386240147397</v>
      </c>
      <c r="AO389" s="10">
        <f t="shared" ca="1" si="2748"/>
        <v>1315.3456737923809</v>
      </c>
      <c r="AP389" s="10">
        <f t="shared" ca="1" si="2748"/>
        <v>1303.0527235700222</v>
      </c>
      <c r="AQ389" s="10">
        <f t="shared" ca="1" si="2748"/>
        <v>1290.7597733476637</v>
      </c>
      <c r="AR389" s="10">
        <f t="shared" ca="1" si="2748"/>
        <v>1278.4668231253049</v>
      </c>
      <c r="AS389" s="10">
        <f t="shared" ca="1" si="2748"/>
        <v>1266.1738729029462</v>
      </c>
      <c r="AT389" s="10">
        <f t="shared" ca="1" si="2748"/>
        <v>1253.8809226805874</v>
      </c>
      <c r="AU389" s="10">
        <f t="shared" ca="1" si="2748"/>
        <v>1241.5879724582287</v>
      </c>
      <c r="AV389" s="10">
        <f t="shared" ca="1" si="2748"/>
        <v>1229.29502223587</v>
      </c>
      <c r="AW389" s="10">
        <f t="shared" ca="1" si="2748"/>
        <v>1217.0020720135112</v>
      </c>
      <c r="AX389" s="10">
        <f t="shared" ca="1" si="2748"/>
        <v>1204.7091217911525</v>
      </c>
      <c r="AY389" s="10">
        <f t="shared" ca="1" si="2748"/>
        <v>1192.416171568794</v>
      </c>
      <c r="AZ389" s="10">
        <f t="shared" ca="1" si="2748"/>
        <v>1180.1232213464352</v>
      </c>
      <c r="BA389" s="10">
        <f t="shared" ca="1" si="2748"/>
        <v>1167.8302711240765</v>
      </c>
      <c r="BB389" s="10">
        <f t="shared" ca="1" si="2748"/>
        <v>1155.537320901718</v>
      </c>
      <c r="BC389" s="10">
        <f t="shared" ca="1" si="2748"/>
        <v>1143.2443706793592</v>
      </c>
      <c r="BD389" s="10">
        <f t="shared" ca="1" si="2748"/>
        <v>1130.9514204570005</v>
      </c>
      <c r="BE389" s="10">
        <f t="shared" ca="1" si="2748"/>
        <v>1118.6584702346418</v>
      </c>
      <c r="BF389" s="10">
        <f t="shared" ca="1" si="2748"/>
        <v>1106.365520012283</v>
      </c>
      <c r="BG389" s="10">
        <f t="shared" ca="1" si="2748"/>
        <v>1094.0725697899245</v>
      </c>
      <c r="BH389" s="10">
        <f t="shared" ca="1" si="2748"/>
        <v>1081.7796195675658</v>
      </c>
      <c r="BI389" s="10">
        <f t="shared" ca="1" si="2748"/>
        <v>1069.486669345207</v>
      </c>
      <c r="BJ389" s="10">
        <f t="shared" ca="1" si="2748"/>
        <v>1057.1937191228485</v>
      </c>
      <c r="BK389" s="10">
        <f t="shared" ca="1" si="2748"/>
        <v>1044.9007689004898</v>
      </c>
      <c r="BL389" s="10">
        <f t="shared" ca="1" si="2748"/>
        <v>1032.607818678131</v>
      </c>
      <c r="BM389" s="10">
        <f t="shared" ca="1" si="2748"/>
        <v>1020.3148684557723</v>
      </c>
      <c r="BN389" s="10">
        <f t="shared" ca="1" si="2748"/>
        <v>1008.0219182334137</v>
      </c>
      <c r="BO389" s="10">
        <f t="shared" ca="1" si="2748"/>
        <v>995.72896801105503</v>
      </c>
      <c r="BP389" s="10">
        <f t="shared" ca="1" si="2748"/>
        <v>983.43601778869629</v>
      </c>
      <c r="BQ389" s="10">
        <f t="shared" ca="1" si="2748"/>
        <v>971.14306756633755</v>
      </c>
      <c r="BR389" s="10">
        <f t="shared" ca="1" si="2748"/>
        <v>958.85011734397892</v>
      </c>
      <c r="BS389" s="10">
        <f t="shared" ca="1" si="2748"/>
        <v>946.55716712162018</v>
      </c>
      <c r="BT389" s="10">
        <f t="shared" ca="1" si="2748"/>
        <v>934.26421689926144</v>
      </c>
      <c r="BU389" s="10">
        <f t="shared" ca="1" si="2748"/>
        <v>921.9712666769027</v>
      </c>
      <c r="BV389" s="10">
        <f t="shared" ca="1" si="2748"/>
        <v>909.67831645454396</v>
      </c>
      <c r="BW389" s="10">
        <f t="shared" ca="1" si="2748"/>
        <v>897.38536623218522</v>
      </c>
      <c r="BX389" s="10">
        <f t="shared" ca="1" si="2748"/>
        <v>885.09241600982648</v>
      </c>
      <c r="BY389" s="10">
        <f t="shared" ca="1" si="2748"/>
        <v>872.79946578746774</v>
      </c>
      <c r="BZ389" s="10">
        <f t="shared" ca="1" si="2748"/>
        <v>860.506515565109</v>
      </c>
      <c r="CA389" s="10">
        <f t="shared" ca="1" si="2748"/>
        <v>848.21356534275026</v>
      </c>
      <c r="CB389" s="10">
        <f t="shared" ca="1" si="2748"/>
        <v>835.92061512039152</v>
      </c>
      <c r="CC389" s="10">
        <f t="shared" ca="1" si="2748"/>
        <v>823.62766489803278</v>
      </c>
      <c r="CD389" s="10">
        <f t="shared" ca="1" si="2748"/>
        <v>811.33471467567404</v>
      </c>
      <c r="CE389" s="10">
        <f t="shared" ref="CE389:CO389" ca="1" si="2749">SUM(CE386,CE388)</f>
        <v>799.0417644533153</v>
      </c>
      <c r="CF389" s="10">
        <f t="shared" ca="1" si="2749"/>
        <v>786.74881423095655</v>
      </c>
      <c r="CG389" s="10">
        <f t="shared" ca="1" si="2749"/>
        <v>774.45586400859781</v>
      </c>
      <c r="CH389" s="10">
        <f t="shared" ca="1" si="2749"/>
        <v>762.16291378623907</v>
      </c>
      <c r="CI389" s="10">
        <f t="shared" ca="1" si="2749"/>
        <v>749.86996356388033</v>
      </c>
      <c r="CJ389" s="10">
        <f t="shared" ca="1" si="2749"/>
        <v>737.57701334152159</v>
      </c>
      <c r="CK389" s="10">
        <f t="shared" ca="1" si="2749"/>
        <v>725.28406311916285</v>
      </c>
      <c r="CL389" s="10">
        <f t="shared" ca="1" si="2749"/>
        <v>712.99111289680411</v>
      </c>
      <c r="CM389" s="10">
        <f t="shared" ca="1" si="2749"/>
        <v>700.69816267444537</v>
      </c>
      <c r="CN389" s="10">
        <f t="shared" ca="1" si="2749"/>
        <v>688.40521245208663</v>
      </c>
      <c r="CO389" s="10">
        <f t="shared" ca="1" si="2749"/>
        <v>676.11226222972789</v>
      </c>
    </row>
    <row r="390" spans="1:93">
      <c r="A390" s="10"/>
      <c r="B390" s="10"/>
      <c r="C390" s="17"/>
      <c r="D390" s="10"/>
      <c r="E390" s="62"/>
      <c r="F390" s="11"/>
      <c r="G390" s="11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</row>
    <row r="391" spans="1:93">
      <c r="A391" s="10"/>
      <c r="B391" s="10"/>
      <c r="C391" s="87" t="s">
        <v>1092</v>
      </c>
      <c r="D391" s="10"/>
      <c r="E391" s="62"/>
      <c r="F391" s="11"/>
      <c r="G391" s="11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</row>
    <row r="392" spans="1:93">
      <c r="A392" s="10"/>
      <c r="B392" s="10"/>
      <c r="C392" s="17" t="s">
        <v>386</v>
      </c>
      <c r="D392" s="10"/>
      <c r="E392" s="184">
        <f>Предпосылки!E366</f>
        <v>30</v>
      </c>
      <c r="F392" s="11"/>
      <c r="G392" s="11" t="s">
        <v>123</v>
      </c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</row>
    <row r="393" spans="1:93">
      <c r="A393" s="10"/>
      <c r="B393" s="10"/>
      <c r="C393" s="17" t="s">
        <v>387</v>
      </c>
      <c r="D393" s="10"/>
      <c r="F393" s="11"/>
      <c r="G393" s="11" t="s">
        <v>28</v>
      </c>
      <c r="H393" s="10"/>
      <c r="I393" s="10"/>
      <c r="J393" s="10"/>
      <c r="K393" s="10"/>
      <c r="L393" s="157">
        <f t="shared" ref="L393:Q393" si="2750">IF($E392&lt;&gt;0,1/$E392,0)/Periods_in_Year</f>
        <v>8.3333333333333332E-3</v>
      </c>
      <c r="M393" s="157">
        <f t="shared" si="2750"/>
        <v>8.3333333333333332E-3</v>
      </c>
      <c r="N393" s="157">
        <f t="shared" si="2750"/>
        <v>8.3333333333333332E-3</v>
      </c>
      <c r="O393" s="157">
        <f t="shared" si="2750"/>
        <v>8.3333333333333332E-3</v>
      </c>
      <c r="P393" s="157">
        <f t="shared" si="2750"/>
        <v>8.3333333333333332E-3</v>
      </c>
      <c r="Q393" s="157">
        <f t="shared" si="2750"/>
        <v>8.3333333333333332E-3</v>
      </c>
      <c r="R393" s="157">
        <f t="shared" ref="R393" si="2751">IF($E392&lt;&gt;0,1/$E392,0)/Periods_in_Year</f>
        <v>8.3333333333333332E-3</v>
      </c>
      <c r="S393" s="157">
        <f t="shared" ref="S393:CD393" si="2752">IF($E392&lt;&gt;0,1/$E392,0)/Periods_in_Year</f>
        <v>8.3333333333333332E-3</v>
      </c>
      <c r="T393" s="157">
        <f t="shared" si="2752"/>
        <v>8.3333333333333332E-3</v>
      </c>
      <c r="U393" s="157">
        <f t="shared" si="2752"/>
        <v>8.3333333333333332E-3</v>
      </c>
      <c r="V393" s="157">
        <f t="shared" si="2752"/>
        <v>8.3333333333333332E-3</v>
      </c>
      <c r="W393" s="157">
        <f t="shared" si="2752"/>
        <v>8.3333333333333332E-3</v>
      </c>
      <c r="X393" s="157">
        <f t="shared" si="2752"/>
        <v>8.3333333333333332E-3</v>
      </c>
      <c r="Y393" s="157">
        <f t="shared" si="2752"/>
        <v>8.3333333333333332E-3</v>
      </c>
      <c r="Z393" s="157">
        <f t="shared" si="2752"/>
        <v>8.3333333333333332E-3</v>
      </c>
      <c r="AA393" s="157">
        <f t="shared" si="2752"/>
        <v>8.3333333333333332E-3</v>
      </c>
      <c r="AB393" s="157">
        <f t="shared" si="2752"/>
        <v>8.3333333333333332E-3</v>
      </c>
      <c r="AC393" s="157">
        <f t="shared" si="2752"/>
        <v>8.3333333333333332E-3</v>
      </c>
      <c r="AD393" s="157">
        <f t="shared" si="2752"/>
        <v>8.3333333333333332E-3</v>
      </c>
      <c r="AE393" s="157">
        <f t="shared" si="2752"/>
        <v>8.3333333333333332E-3</v>
      </c>
      <c r="AF393" s="157">
        <f t="shared" si="2752"/>
        <v>8.3333333333333332E-3</v>
      </c>
      <c r="AG393" s="157">
        <f t="shared" si="2752"/>
        <v>8.3333333333333332E-3</v>
      </c>
      <c r="AH393" s="157">
        <f t="shared" si="2752"/>
        <v>8.3333333333333332E-3</v>
      </c>
      <c r="AI393" s="157">
        <f t="shared" si="2752"/>
        <v>8.3333333333333332E-3</v>
      </c>
      <c r="AJ393" s="157">
        <f t="shared" si="2752"/>
        <v>8.3333333333333332E-3</v>
      </c>
      <c r="AK393" s="157">
        <f t="shared" si="2752"/>
        <v>8.3333333333333332E-3</v>
      </c>
      <c r="AL393" s="157">
        <f t="shared" si="2752"/>
        <v>8.3333333333333332E-3</v>
      </c>
      <c r="AM393" s="157">
        <f t="shared" si="2752"/>
        <v>8.3333333333333332E-3</v>
      </c>
      <c r="AN393" s="157">
        <f t="shared" si="2752"/>
        <v>8.3333333333333332E-3</v>
      </c>
      <c r="AO393" s="157">
        <f t="shared" si="2752"/>
        <v>8.3333333333333332E-3</v>
      </c>
      <c r="AP393" s="157">
        <f t="shared" si="2752"/>
        <v>8.3333333333333332E-3</v>
      </c>
      <c r="AQ393" s="157">
        <f t="shared" si="2752"/>
        <v>8.3333333333333332E-3</v>
      </c>
      <c r="AR393" s="157">
        <f t="shared" si="2752"/>
        <v>8.3333333333333332E-3</v>
      </c>
      <c r="AS393" s="157">
        <f t="shared" si="2752"/>
        <v>8.3333333333333332E-3</v>
      </c>
      <c r="AT393" s="157">
        <f t="shared" si="2752"/>
        <v>8.3333333333333332E-3</v>
      </c>
      <c r="AU393" s="157">
        <f t="shared" si="2752"/>
        <v>8.3333333333333332E-3</v>
      </c>
      <c r="AV393" s="157">
        <f t="shared" si="2752"/>
        <v>8.3333333333333332E-3</v>
      </c>
      <c r="AW393" s="157">
        <f t="shared" si="2752"/>
        <v>8.3333333333333332E-3</v>
      </c>
      <c r="AX393" s="157">
        <f t="shared" si="2752"/>
        <v>8.3333333333333332E-3</v>
      </c>
      <c r="AY393" s="157">
        <f t="shared" si="2752"/>
        <v>8.3333333333333332E-3</v>
      </c>
      <c r="AZ393" s="157">
        <f t="shared" si="2752"/>
        <v>8.3333333333333332E-3</v>
      </c>
      <c r="BA393" s="157">
        <f t="shared" si="2752"/>
        <v>8.3333333333333332E-3</v>
      </c>
      <c r="BB393" s="157">
        <f t="shared" si="2752"/>
        <v>8.3333333333333332E-3</v>
      </c>
      <c r="BC393" s="157">
        <f t="shared" si="2752"/>
        <v>8.3333333333333332E-3</v>
      </c>
      <c r="BD393" s="157">
        <f t="shared" si="2752"/>
        <v>8.3333333333333332E-3</v>
      </c>
      <c r="BE393" s="157">
        <f t="shared" si="2752"/>
        <v>8.3333333333333332E-3</v>
      </c>
      <c r="BF393" s="157">
        <f t="shared" si="2752"/>
        <v>8.3333333333333332E-3</v>
      </c>
      <c r="BG393" s="157">
        <f t="shared" si="2752"/>
        <v>8.3333333333333332E-3</v>
      </c>
      <c r="BH393" s="157">
        <f t="shared" si="2752"/>
        <v>8.3333333333333332E-3</v>
      </c>
      <c r="BI393" s="157">
        <f t="shared" si="2752"/>
        <v>8.3333333333333332E-3</v>
      </c>
      <c r="BJ393" s="157">
        <f t="shared" si="2752"/>
        <v>8.3333333333333332E-3</v>
      </c>
      <c r="BK393" s="157">
        <f t="shared" si="2752"/>
        <v>8.3333333333333332E-3</v>
      </c>
      <c r="BL393" s="157">
        <f t="shared" si="2752"/>
        <v>8.3333333333333332E-3</v>
      </c>
      <c r="BM393" s="157">
        <f t="shared" si="2752"/>
        <v>8.3333333333333332E-3</v>
      </c>
      <c r="BN393" s="157">
        <f t="shared" si="2752"/>
        <v>8.3333333333333332E-3</v>
      </c>
      <c r="BO393" s="157">
        <f t="shared" si="2752"/>
        <v>8.3333333333333332E-3</v>
      </c>
      <c r="BP393" s="157">
        <f t="shared" si="2752"/>
        <v>8.3333333333333332E-3</v>
      </c>
      <c r="BQ393" s="157">
        <f t="shared" si="2752"/>
        <v>8.3333333333333332E-3</v>
      </c>
      <c r="BR393" s="157">
        <f t="shared" si="2752"/>
        <v>8.3333333333333332E-3</v>
      </c>
      <c r="BS393" s="157">
        <f t="shared" si="2752"/>
        <v>8.3333333333333332E-3</v>
      </c>
      <c r="BT393" s="157">
        <f t="shared" si="2752"/>
        <v>8.3333333333333332E-3</v>
      </c>
      <c r="BU393" s="157">
        <f t="shared" si="2752"/>
        <v>8.3333333333333332E-3</v>
      </c>
      <c r="BV393" s="157">
        <f t="shared" si="2752"/>
        <v>8.3333333333333332E-3</v>
      </c>
      <c r="BW393" s="157">
        <f t="shared" si="2752"/>
        <v>8.3333333333333332E-3</v>
      </c>
      <c r="BX393" s="157">
        <f t="shared" si="2752"/>
        <v>8.3333333333333332E-3</v>
      </c>
      <c r="BY393" s="157">
        <f t="shared" si="2752"/>
        <v>8.3333333333333332E-3</v>
      </c>
      <c r="BZ393" s="157">
        <f t="shared" si="2752"/>
        <v>8.3333333333333332E-3</v>
      </c>
      <c r="CA393" s="157">
        <f t="shared" si="2752"/>
        <v>8.3333333333333332E-3</v>
      </c>
      <c r="CB393" s="157">
        <f t="shared" si="2752"/>
        <v>8.3333333333333332E-3</v>
      </c>
      <c r="CC393" s="157">
        <f t="shared" si="2752"/>
        <v>8.3333333333333332E-3</v>
      </c>
      <c r="CD393" s="157">
        <f t="shared" si="2752"/>
        <v>8.3333333333333332E-3</v>
      </c>
      <c r="CE393" s="157">
        <f t="shared" ref="CE393:CO393" si="2753">IF($E392&lt;&gt;0,1/$E392,0)/Periods_in_Year</f>
        <v>8.3333333333333332E-3</v>
      </c>
      <c r="CF393" s="157">
        <f t="shared" si="2753"/>
        <v>8.3333333333333332E-3</v>
      </c>
      <c r="CG393" s="157">
        <f t="shared" si="2753"/>
        <v>8.3333333333333332E-3</v>
      </c>
      <c r="CH393" s="157">
        <f t="shared" si="2753"/>
        <v>8.3333333333333332E-3</v>
      </c>
      <c r="CI393" s="157">
        <f t="shared" si="2753"/>
        <v>8.3333333333333332E-3</v>
      </c>
      <c r="CJ393" s="157">
        <f t="shared" si="2753"/>
        <v>8.3333333333333332E-3</v>
      </c>
      <c r="CK393" s="157">
        <f t="shared" si="2753"/>
        <v>8.3333333333333332E-3</v>
      </c>
      <c r="CL393" s="157">
        <f t="shared" si="2753"/>
        <v>8.3333333333333332E-3</v>
      </c>
      <c r="CM393" s="157">
        <f t="shared" si="2753"/>
        <v>8.3333333333333332E-3</v>
      </c>
      <c r="CN393" s="157">
        <f t="shared" si="2753"/>
        <v>8.3333333333333332E-3</v>
      </c>
      <c r="CO393" s="157">
        <f t="shared" si="2753"/>
        <v>8.3333333333333332E-3</v>
      </c>
    </row>
    <row r="394" spans="1:93">
      <c r="A394" s="10"/>
      <c r="B394" s="10"/>
      <c r="C394" s="17" t="s">
        <v>125</v>
      </c>
      <c r="D394" s="10"/>
      <c r="E394" s="62"/>
      <c r="F394" s="11"/>
      <c r="G394" s="134" t="str">
        <f t="shared" ref="G394:G399" si="2754">Monetary_Unit</f>
        <v>тыс. руб.</v>
      </c>
      <c r="H394" s="10"/>
      <c r="I394" s="10"/>
      <c r="J394" s="10"/>
      <c r="K394" s="10"/>
      <c r="L394" s="10">
        <f t="shared" ref="L394" si="2755">K399</f>
        <v>0</v>
      </c>
      <c r="M394" s="10">
        <f t="shared" ref="M394" ca="1" si="2756">L399</f>
        <v>0</v>
      </c>
      <c r="N394" s="10">
        <f t="shared" ref="N394" ca="1" si="2757">M399</f>
        <v>0</v>
      </c>
      <c r="O394" s="10">
        <f t="shared" ref="O394" ca="1" si="2758">N399</f>
        <v>0</v>
      </c>
      <c r="P394" s="10">
        <f t="shared" ref="P394" ca="1" si="2759">O399</f>
        <v>0</v>
      </c>
      <c r="Q394" s="10">
        <f t="shared" ref="Q394" ca="1" si="2760">P399</f>
        <v>0</v>
      </c>
      <c r="R394" s="10">
        <f t="shared" ref="R394" ca="1" si="2761">Q399</f>
        <v>0</v>
      </c>
      <c r="S394" s="10">
        <f t="shared" ref="S394" ca="1" si="2762">R399</f>
        <v>0</v>
      </c>
      <c r="T394" s="10">
        <f t="shared" ref="T394" ca="1" si="2763">S399</f>
        <v>0</v>
      </c>
      <c r="U394" s="10">
        <f t="shared" ref="U394" ca="1" si="2764">T399</f>
        <v>0</v>
      </c>
      <c r="V394" s="10">
        <f t="shared" ref="V394" ca="1" si="2765">U399</f>
        <v>0</v>
      </c>
      <c r="W394" s="10">
        <f t="shared" ref="W394" ca="1" si="2766">V399</f>
        <v>0</v>
      </c>
      <c r="X394" s="10">
        <f t="shared" ref="X394" ca="1" si="2767">W399</f>
        <v>0</v>
      </c>
      <c r="Y394" s="10">
        <f t="shared" ref="Y394" ca="1" si="2768">X399</f>
        <v>0</v>
      </c>
      <c r="Z394" s="10">
        <f t="shared" ref="Z394" ca="1" si="2769">Y399</f>
        <v>0</v>
      </c>
      <c r="AA394" s="10">
        <f t="shared" ref="AA394" ca="1" si="2770">Z399</f>
        <v>0</v>
      </c>
      <c r="AB394" s="10">
        <f t="shared" ref="AB394" ca="1" si="2771">AA399</f>
        <v>0</v>
      </c>
      <c r="AC394" s="10">
        <f t="shared" ref="AC394" ca="1" si="2772">AB399</f>
        <v>195613.66730792925</v>
      </c>
      <c r="AD394" s="10">
        <f t="shared" ref="AD394" ca="1" si="2773">AC399</f>
        <v>193983.5534136965</v>
      </c>
      <c r="AE394" s="10">
        <f t="shared" ref="AE394" ca="1" si="2774">AD399</f>
        <v>192353.43951946378</v>
      </c>
      <c r="AF394" s="10">
        <f t="shared" ref="AF394" ca="1" si="2775">AE399</f>
        <v>190723.32562523102</v>
      </c>
      <c r="AG394" s="10">
        <f t="shared" ref="AG394" ca="1" si="2776">AF399</f>
        <v>189093.21173099827</v>
      </c>
      <c r="AH394" s="10">
        <f t="shared" ref="AH394" ca="1" si="2777">AG399</f>
        <v>187463.09783676552</v>
      </c>
      <c r="AI394" s="10">
        <f t="shared" ref="AI394" ca="1" si="2778">AH399</f>
        <v>185832.9839425328</v>
      </c>
      <c r="AJ394" s="10">
        <f t="shared" ref="AJ394" ca="1" si="2779">AI399</f>
        <v>184202.87004830004</v>
      </c>
      <c r="AK394" s="10">
        <f t="shared" ref="AK394" ca="1" si="2780">AJ399</f>
        <v>182572.75615406729</v>
      </c>
      <c r="AL394" s="10">
        <f t="shared" ref="AL394" ca="1" si="2781">AK399</f>
        <v>180942.64225983457</v>
      </c>
      <c r="AM394" s="10">
        <f t="shared" ref="AM394" ca="1" si="2782">AL399</f>
        <v>179312.52836560181</v>
      </c>
      <c r="AN394" s="10">
        <f t="shared" ref="AN394" ca="1" si="2783">AM399</f>
        <v>177682.41447136906</v>
      </c>
      <c r="AO394" s="10">
        <f t="shared" ref="AO394" ca="1" si="2784">AN399</f>
        <v>176052.30057713634</v>
      </c>
      <c r="AP394" s="10">
        <f t="shared" ref="AP394" ca="1" si="2785">AO399</f>
        <v>174422.18668290359</v>
      </c>
      <c r="AQ394" s="10">
        <f t="shared" ref="AQ394" ca="1" si="2786">AP399</f>
        <v>172792.07278867083</v>
      </c>
      <c r="AR394" s="10">
        <f t="shared" ref="AR394" ca="1" si="2787">AQ399</f>
        <v>171161.95889443808</v>
      </c>
      <c r="AS394" s="10">
        <f t="shared" ref="AS394" ca="1" si="2788">AR399</f>
        <v>169531.84500020536</v>
      </c>
      <c r="AT394" s="10">
        <f t="shared" ref="AT394" ca="1" si="2789">AS399</f>
        <v>167901.73110597261</v>
      </c>
      <c r="AU394" s="10">
        <f t="shared" ref="AU394" ca="1" si="2790">AT399</f>
        <v>166271.61721173985</v>
      </c>
      <c r="AV394" s="10">
        <f t="shared" ref="AV394" ca="1" si="2791">AU399</f>
        <v>164641.5033175071</v>
      </c>
      <c r="AW394" s="10">
        <f t="shared" ref="AW394" ca="1" si="2792">AV399</f>
        <v>163011.38942327438</v>
      </c>
      <c r="AX394" s="10">
        <f t="shared" ref="AX394" ca="1" si="2793">AW399</f>
        <v>161381.27552904162</v>
      </c>
      <c r="AY394" s="10">
        <f t="shared" ref="AY394" ca="1" si="2794">AX399</f>
        <v>159751.16163480887</v>
      </c>
      <c r="AZ394" s="10">
        <f t="shared" ref="AZ394" ca="1" si="2795">AY399</f>
        <v>158121.04774057615</v>
      </c>
      <c r="BA394" s="10">
        <f t="shared" ref="BA394" ca="1" si="2796">AZ399</f>
        <v>156490.9338463434</v>
      </c>
      <c r="BB394" s="10">
        <f t="shared" ref="BB394" ca="1" si="2797">BA399</f>
        <v>154860.81995211064</v>
      </c>
      <c r="BC394" s="10">
        <f t="shared" ref="BC394" ca="1" si="2798">BB399</f>
        <v>153230.70605787789</v>
      </c>
      <c r="BD394" s="10">
        <f t="shared" ref="BD394" ca="1" si="2799">BC399</f>
        <v>151600.59216364514</v>
      </c>
      <c r="BE394" s="10">
        <f t="shared" ref="BE394" ca="1" si="2800">BD399</f>
        <v>149970.47826941242</v>
      </c>
      <c r="BF394" s="10">
        <f t="shared" ref="BF394" ca="1" si="2801">BE399</f>
        <v>148340.36437517966</v>
      </c>
      <c r="BG394" s="10">
        <f t="shared" ref="BG394" ca="1" si="2802">BF399</f>
        <v>146710.25048094691</v>
      </c>
      <c r="BH394" s="10">
        <f t="shared" ref="BH394" ca="1" si="2803">BG399</f>
        <v>145080.13658671419</v>
      </c>
      <c r="BI394" s="10">
        <f t="shared" ref="BI394" ca="1" si="2804">BH399</f>
        <v>143450.02269248143</v>
      </c>
      <c r="BJ394" s="10">
        <f t="shared" ref="BJ394" ca="1" si="2805">BI399</f>
        <v>141819.90879824868</v>
      </c>
      <c r="BK394" s="10">
        <f t="shared" ref="BK394" ca="1" si="2806">BJ399</f>
        <v>140189.79490401593</v>
      </c>
      <c r="BL394" s="10">
        <f t="shared" ref="BL394" ca="1" si="2807">BK399</f>
        <v>138559.68100978318</v>
      </c>
      <c r="BM394" s="10">
        <f t="shared" ref="BM394" ca="1" si="2808">BL399</f>
        <v>136929.56711555045</v>
      </c>
      <c r="BN394" s="10">
        <f t="shared" ref="BN394" ca="1" si="2809">BM399</f>
        <v>135299.4532213177</v>
      </c>
      <c r="BO394" s="10">
        <f t="shared" ref="BO394" ca="1" si="2810">BN399</f>
        <v>133669.33932708495</v>
      </c>
      <c r="BP394" s="10">
        <f t="shared" ref="BP394" ca="1" si="2811">BO399</f>
        <v>132039.22543285222</v>
      </c>
      <c r="BQ394" s="10">
        <f t="shared" ref="BQ394" ca="1" si="2812">BP399</f>
        <v>130409.11153861947</v>
      </c>
      <c r="BR394" s="10">
        <f t="shared" ref="BR394" ca="1" si="2813">BQ399</f>
        <v>128778.99764438672</v>
      </c>
      <c r="BS394" s="10">
        <f t="shared" ref="BS394" ca="1" si="2814">BR399</f>
        <v>127148.88375015398</v>
      </c>
      <c r="BT394" s="10">
        <f t="shared" ref="BT394" ca="1" si="2815">BS399</f>
        <v>125518.76985592124</v>
      </c>
      <c r="BU394" s="10">
        <f t="shared" ref="BU394" ca="1" si="2816">BT399</f>
        <v>123888.65596168851</v>
      </c>
      <c r="BV394" s="10">
        <f t="shared" ref="BV394" ca="1" si="2817">BU399</f>
        <v>122258.54206745577</v>
      </c>
      <c r="BW394" s="10">
        <f t="shared" ref="BW394" ca="1" si="2818">BV399</f>
        <v>120628.42817322303</v>
      </c>
      <c r="BX394" s="10">
        <f t="shared" ref="BX394" ca="1" si="2819">BW399</f>
        <v>118998.31427899029</v>
      </c>
      <c r="BY394" s="10">
        <f t="shared" ref="BY394" ca="1" si="2820">BX399</f>
        <v>117368.20038475755</v>
      </c>
      <c r="BZ394" s="10">
        <f t="shared" ref="BZ394" ca="1" si="2821">BY399</f>
        <v>115738.08649052482</v>
      </c>
      <c r="CA394" s="10">
        <f t="shared" ref="CA394" ca="1" si="2822">BZ399</f>
        <v>114107.97259629208</v>
      </c>
      <c r="CB394" s="10">
        <f t="shared" ref="CB394" ca="1" si="2823">CA399</f>
        <v>112477.85870205934</v>
      </c>
      <c r="CC394" s="10">
        <f t="shared" ref="CC394" ca="1" si="2824">CB399</f>
        <v>110847.7448078266</v>
      </c>
      <c r="CD394" s="10">
        <f t="shared" ref="CD394" ca="1" si="2825">CC399</f>
        <v>109217.63091359386</v>
      </c>
      <c r="CE394" s="10">
        <f t="shared" ref="CE394" ca="1" si="2826">CD399</f>
        <v>107587.51701936113</v>
      </c>
      <c r="CF394" s="10">
        <f t="shared" ref="CF394" ca="1" si="2827">CE399</f>
        <v>105957.40312512839</v>
      </c>
      <c r="CG394" s="10">
        <f t="shared" ref="CG394" ca="1" si="2828">CF399</f>
        <v>104327.28923089565</v>
      </c>
      <c r="CH394" s="10">
        <f t="shared" ref="CH394" ca="1" si="2829">CG399</f>
        <v>102697.17533666291</v>
      </c>
      <c r="CI394" s="10">
        <f t="shared" ref="CI394" ca="1" si="2830">CH399</f>
        <v>101067.06144243017</v>
      </c>
      <c r="CJ394" s="10">
        <f t="shared" ref="CJ394" ca="1" si="2831">CI399</f>
        <v>99436.947548197437</v>
      </c>
      <c r="CK394" s="10">
        <f t="shared" ref="CK394" ca="1" si="2832">CJ399</f>
        <v>97806.833653964699</v>
      </c>
      <c r="CL394" s="10">
        <f t="shared" ref="CL394" ca="1" si="2833">CK399</f>
        <v>96176.719759731961</v>
      </c>
      <c r="CM394" s="10">
        <f t="shared" ref="CM394" ca="1" si="2834">CL399</f>
        <v>94546.605865499223</v>
      </c>
      <c r="CN394" s="10">
        <f t="shared" ref="CN394" ca="1" si="2835">CM399</f>
        <v>92916.491971266485</v>
      </c>
      <c r="CO394" s="10">
        <f t="shared" ref="CO394" ca="1" si="2836">CN399</f>
        <v>91286.378077033747</v>
      </c>
    </row>
    <row r="395" spans="1:93">
      <c r="A395" s="10"/>
      <c r="B395" s="10"/>
      <c r="C395" s="17" t="s">
        <v>126</v>
      </c>
      <c r="D395" s="10"/>
      <c r="E395" s="62"/>
      <c r="F395" s="11"/>
      <c r="G395" s="134" t="str">
        <f t="shared" si="2754"/>
        <v>тыс. руб.</v>
      </c>
      <c r="H395" s="10"/>
      <c r="I395" s="23">
        <f ca="1">SUM(L395:CO395)</f>
        <v>195613.66730792925</v>
      </c>
      <c r="J395" s="10"/>
      <c r="K395" s="10"/>
      <c r="L395" s="10">
        <f t="shared" ref="L395:Q395" ca="1" si="2837">SUM(L$328,L$330:L$331) * $E346</f>
        <v>0</v>
      </c>
      <c r="M395" s="10">
        <f t="shared" ca="1" si="2837"/>
        <v>0</v>
      </c>
      <c r="N395" s="10">
        <f t="shared" ca="1" si="2837"/>
        <v>0</v>
      </c>
      <c r="O395" s="10">
        <f t="shared" ca="1" si="2837"/>
        <v>0</v>
      </c>
      <c r="P395" s="10">
        <f t="shared" ca="1" si="2837"/>
        <v>0</v>
      </c>
      <c r="Q395" s="10">
        <f t="shared" ca="1" si="2837"/>
        <v>0</v>
      </c>
      <c r="R395" s="10">
        <f t="shared" ref="R395" ca="1" si="2838">SUM(R$328,R$330:R$331) * $E346</f>
        <v>0</v>
      </c>
      <c r="S395" s="10">
        <f t="shared" ref="S395:CD395" ca="1" si="2839">SUM(S$328,S$330:S$331) * $E346</f>
        <v>0</v>
      </c>
      <c r="T395" s="10">
        <f t="shared" ca="1" si="2839"/>
        <v>0</v>
      </c>
      <c r="U395" s="10">
        <f t="shared" ca="1" si="2839"/>
        <v>0</v>
      </c>
      <c r="V395" s="10">
        <f t="shared" ca="1" si="2839"/>
        <v>0</v>
      </c>
      <c r="W395" s="10">
        <f t="shared" ca="1" si="2839"/>
        <v>0</v>
      </c>
      <c r="X395" s="10">
        <f t="shared" ca="1" si="2839"/>
        <v>0</v>
      </c>
      <c r="Y395" s="10">
        <f t="shared" ca="1" si="2839"/>
        <v>0</v>
      </c>
      <c r="Z395" s="10">
        <f t="shared" ca="1" si="2839"/>
        <v>0</v>
      </c>
      <c r="AA395" s="10">
        <f t="shared" ca="1" si="2839"/>
        <v>0</v>
      </c>
      <c r="AB395" s="10">
        <f t="shared" ca="1" si="2839"/>
        <v>195613.66730792925</v>
      </c>
      <c r="AC395" s="10">
        <f t="shared" ca="1" si="2839"/>
        <v>0</v>
      </c>
      <c r="AD395" s="10">
        <f t="shared" ca="1" si="2839"/>
        <v>0</v>
      </c>
      <c r="AE395" s="10">
        <f t="shared" ca="1" si="2839"/>
        <v>0</v>
      </c>
      <c r="AF395" s="10">
        <f t="shared" ca="1" si="2839"/>
        <v>0</v>
      </c>
      <c r="AG395" s="10">
        <f t="shared" ca="1" si="2839"/>
        <v>0</v>
      </c>
      <c r="AH395" s="10">
        <f t="shared" ca="1" si="2839"/>
        <v>0</v>
      </c>
      <c r="AI395" s="10">
        <f t="shared" ca="1" si="2839"/>
        <v>0</v>
      </c>
      <c r="AJ395" s="10">
        <f t="shared" ca="1" si="2839"/>
        <v>0</v>
      </c>
      <c r="AK395" s="10">
        <f t="shared" ca="1" si="2839"/>
        <v>0</v>
      </c>
      <c r="AL395" s="10">
        <f t="shared" ca="1" si="2839"/>
        <v>0</v>
      </c>
      <c r="AM395" s="10">
        <f t="shared" ca="1" si="2839"/>
        <v>0</v>
      </c>
      <c r="AN395" s="10">
        <f t="shared" ca="1" si="2839"/>
        <v>0</v>
      </c>
      <c r="AO395" s="10">
        <f t="shared" ca="1" si="2839"/>
        <v>0</v>
      </c>
      <c r="AP395" s="10">
        <f t="shared" ca="1" si="2839"/>
        <v>0</v>
      </c>
      <c r="AQ395" s="10">
        <f t="shared" ca="1" si="2839"/>
        <v>0</v>
      </c>
      <c r="AR395" s="10">
        <f t="shared" ca="1" si="2839"/>
        <v>0</v>
      </c>
      <c r="AS395" s="10">
        <f t="shared" ca="1" si="2839"/>
        <v>0</v>
      </c>
      <c r="AT395" s="10">
        <f t="shared" ca="1" si="2839"/>
        <v>0</v>
      </c>
      <c r="AU395" s="10">
        <f t="shared" ca="1" si="2839"/>
        <v>0</v>
      </c>
      <c r="AV395" s="10">
        <f t="shared" ca="1" si="2839"/>
        <v>0</v>
      </c>
      <c r="AW395" s="10">
        <f t="shared" ca="1" si="2839"/>
        <v>0</v>
      </c>
      <c r="AX395" s="10">
        <f t="shared" ca="1" si="2839"/>
        <v>0</v>
      </c>
      <c r="AY395" s="10">
        <f t="shared" ca="1" si="2839"/>
        <v>0</v>
      </c>
      <c r="AZ395" s="10">
        <f t="shared" ca="1" si="2839"/>
        <v>0</v>
      </c>
      <c r="BA395" s="10">
        <f t="shared" ca="1" si="2839"/>
        <v>0</v>
      </c>
      <c r="BB395" s="10">
        <f t="shared" ca="1" si="2839"/>
        <v>0</v>
      </c>
      <c r="BC395" s="10">
        <f t="shared" ca="1" si="2839"/>
        <v>0</v>
      </c>
      <c r="BD395" s="10">
        <f t="shared" ca="1" si="2839"/>
        <v>0</v>
      </c>
      <c r="BE395" s="10">
        <f t="shared" ca="1" si="2839"/>
        <v>0</v>
      </c>
      <c r="BF395" s="10">
        <f t="shared" ca="1" si="2839"/>
        <v>0</v>
      </c>
      <c r="BG395" s="10">
        <f t="shared" ca="1" si="2839"/>
        <v>0</v>
      </c>
      <c r="BH395" s="10">
        <f t="shared" ca="1" si="2839"/>
        <v>0</v>
      </c>
      <c r="BI395" s="10">
        <f t="shared" ca="1" si="2839"/>
        <v>0</v>
      </c>
      <c r="BJ395" s="10">
        <f t="shared" ca="1" si="2839"/>
        <v>0</v>
      </c>
      <c r="BK395" s="10">
        <f t="shared" ca="1" si="2839"/>
        <v>0</v>
      </c>
      <c r="BL395" s="10">
        <f t="shared" ca="1" si="2839"/>
        <v>0</v>
      </c>
      <c r="BM395" s="10">
        <f t="shared" ca="1" si="2839"/>
        <v>0</v>
      </c>
      <c r="BN395" s="10">
        <f t="shared" ca="1" si="2839"/>
        <v>0</v>
      </c>
      <c r="BO395" s="10">
        <f t="shared" ca="1" si="2839"/>
        <v>0</v>
      </c>
      <c r="BP395" s="10">
        <f t="shared" ca="1" si="2839"/>
        <v>0</v>
      </c>
      <c r="BQ395" s="10">
        <f t="shared" ca="1" si="2839"/>
        <v>0</v>
      </c>
      <c r="BR395" s="10">
        <f t="shared" ca="1" si="2839"/>
        <v>0</v>
      </c>
      <c r="BS395" s="10">
        <f t="shared" ca="1" si="2839"/>
        <v>0</v>
      </c>
      <c r="BT395" s="10">
        <f t="shared" ca="1" si="2839"/>
        <v>0</v>
      </c>
      <c r="BU395" s="10">
        <f t="shared" ca="1" si="2839"/>
        <v>0</v>
      </c>
      <c r="BV395" s="10">
        <f t="shared" ca="1" si="2839"/>
        <v>0</v>
      </c>
      <c r="BW395" s="10">
        <f t="shared" ca="1" si="2839"/>
        <v>0</v>
      </c>
      <c r="BX395" s="10">
        <f t="shared" ca="1" si="2839"/>
        <v>0</v>
      </c>
      <c r="BY395" s="10">
        <f t="shared" ca="1" si="2839"/>
        <v>0</v>
      </c>
      <c r="BZ395" s="10">
        <f t="shared" ca="1" si="2839"/>
        <v>0</v>
      </c>
      <c r="CA395" s="10">
        <f t="shared" ca="1" si="2839"/>
        <v>0</v>
      </c>
      <c r="CB395" s="10">
        <f t="shared" ca="1" si="2839"/>
        <v>0</v>
      </c>
      <c r="CC395" s="10">
        <f t="shared" ca="1" si="2839"/>
        <v>0</v>
      </c>
      <c r="CD395" s="10">
        <f t="shared" ca="1" si="2839"/>
        <v>0</v>
      </c>
      <c r="CE395" s="10">
        <f t="shared" ref="CE395:CO395" ca="1" si="2840">SUM(CE$328,CE$330:CE$331) * $E346</f>
        <v>0</v>
      </c>
      <c r="CF395" s="10">
        <f t="shared" ca="1" si="2840"/>
        <v>0</v>
      </c>
      <c r="CG395" s="10">
        <f t="shared" ca="1" si="2840"/>
        <v>0</v>
      </c>
      <c r="CH395" s="10">
        <f t="shared" ca="1" si="2840"/>
        <v>0</v>
      </c>
      <c r="CI395" s="10">
        <f t="shared" ca="1" si="2840"/>
        <v>0</v>
      </c>
      <c r="CJ395" s="10">
        <f t="shared" ca="1" si="2840"/>
        <v>0</v>
      </c>
      <c r="CK395" s="10">
        <f t="shared" ca="1" si="2840"/>
        <v>0</v>
      </c>
      <c r="CL395" s="10">
        <f t="shared" ca="1" si="2840"/>
        <v>0</v>
      </c>
      <c r="CM395" s="10">
        <f t="shared" ca="1" si="2840"/>
        <v>0</v>
      </c>
      <c r="CN395" s="10">
        <f t="shared" ca="1" si="2840"/>
        <v>0</v>
      </c>
      <c r="CO395" s="10">
        <f t="shared" ca="1" si="2840"/>
        <v>0</v>
      </c>
    </row>
    <row r="396" spans="1:93">
      <c r="A396" s="10"/>
      <c r="B396" s="10"/>
      <c r="C396" s="17" t="s">
        <v>388</v>
      </c>
      <c r="D396" s="10"/>
      <c r="E396" s="62"/>
      <c r="F396" s="11"/>
      <c r="G396" s="134" t="str">
        <f t="shared" si="2754"/>
        <v>тыс. руб.</v>
      </c>
      <c r="H396" s="10"/>
      <c r="I396" s="10"/>
      <c r="J396" s="10"/>
      <c r="K396" s="10"/>
      <c r="L396" s="10">
        <f t="shared" ref="L396" ca="1" si="2841">L395+K396</f>
        <v>0</v>
      </c>
      <c r="M396" s="10">
        <f t="shared" ref="M396" ca="1" si="2842">M395+L396</f>
        <v>0</v>
      </c>
      <c r="N396" s="10">
        <f t="shared" ref="N396" ca="1" si="2843">N395+M396</f>
        <v>0</v>
      </c>
      <c r="O396" s="10">
        <f t="shared" ref="O396" ca="1" si="2844">O395+N396</f>
        <v>0</v>
      </c>
      <c r="P396" s="10">
        <f t="shared" ref="P396" ca="1" si="2845">P395+O396</f>
        <v>0</v>
      </c>
      <c r="Q396" s="10">
        <f t="shared" ref="Q396" ca="1" si="2846">Q395+P396</f>
        <v>0</v>
      </c>
      <c r="R396" s="10">
        <f t="shared" ref="R396" ca="1" si="2847">R395+Q396</f>
        <v>0</v>
      </c>
      <c r="S396" s="10">
        <f t="shared" ref="S396" ca="1" si="2848">S395+R396</f>
        <v>0</v>
      </c>
      <c r="T396" s="10">
        <f t="shared" ref="T396" ca="1" si="2849">T395+S396</f>
        <v>0</v>
      </c>
      <c r="U396" s="10">
        <f t="shared" ref="U396" ca="1" si="2850">U395+T396</f>
        <v>0</v>
      </c>
      <c r="V396" s="10">
        <f t="shared" ref="V396" ca="1" si="2851">V395+U396</f>
        <v>0</v>
      </c>
      <c r="W396" s="10">
        <f t="shared" ref="W396" ca="1" si="2852">W395+V396</f>
        <v>0</v>
      </c>
      <c r="X396" s="10">
        <f t="shared" ref="X396" ca="1" si="2853">X395+W396</f>
        <v>0</v>
      </c>
      <c r="Y396" s="10">
        <f t="shared" ref="Y396" ca="1" si="2854">Y395+X396</f>
        <v>0</v>
      </c>
      <c r="Z396" s="10">
        <f t="shared" ref="Z396" ca="1" si="2855">Z395+Y396</f>
        <v>0</v>
      </c>
      <c r="AA396" s="10">
        <f t="shared" ref="AA396" ca="1" si="2856">AA395+Z396</f>
        <v>0</v>
      </c>
      <c r="AB396" s="10">
        <f t="shared" ref="AB396" ca="1" si="2857">AB395+AA396</f>
        <v>195613.66730792925</v>
      </c>
      <c r="AC396" s="10">
        <f t="shared" ref="AC396" ca="1" si="2858">AC395+AB396</f>
        <v>195613.66730792925</v>
      </c>
      <c r="AD396" s="10">
        <f t="shared" ref="AD396" ca="1" si="2859">AD395+AC396</f>
        <v>195613.66730792925</v>
      </c>
      <c r="AE396" s="10">
        <f t="shared" ref="AE396" ca="1" si="2860">AE395+AD396</f>
        <v>195613.66730792925</v>
      </c>
      <c r="AF396" s="10">
        <f t="shared" ref="AF396" ca="1" si="2861">AF395+AE396</f>
        <v>195613.66730792925</v>
      </c>
      <c r="AG396" s="10">
        <f t="shared" ref="AG396" ca="1" si="2862">AG395+AF396</f>
        <v>195613.66730792925</v>
      </c>
      <c r="AH396" s="10">
        <f t="shared" ref="AH396" ca="1" si="2863">AH395+AG396</f>
        <v>195613.66730792925</v>
      </c>
      <c r="AI396" s="10">
        <f t="shared" ref="AI396" ca="1" si="2864">AI395+AH396</f>
        <v>195613.66730792925</v>
      </c>
      <c r="AJ396" s="10">
        <f t="shared" ref="AJ396" ca="1" si="2865">AJ395+AI396</f>
        <v>195613.66730792925</v>
      </c>
      <c r="AK396" s="10">
        <f t="shared" ref="AK396" ca="1" si="2866">AK395+AJ396</f>
        <v>195613.66730792925</v>
      </c>
      <c r="AL396" s="10">
        <f t="shared" ref="AL396" ca="1" si="2867">AL395+AK396</f>
        <v>195613.66730792925</v>
      </c>
      <c r="AM396" s="10">
        <f t="shared" ref="AM396" ca="1" si="2868">AM395+AL396</f>
        <v>195613.66730792925</v>
      </c>
      <c r="AN396" s="10">
        <f t="shared" ref="AN396" ca="1" si="2869">AN395+AM396</f>
        <v>195613.66730792925</v>
      </c>
      <c r="AO396" s="10">
        <f t="shared" ref="AO396" ca="1" si="2870">AO395+AN396</f>
        <v>195613.66730792925</v>
      </c>
      <c r="AP396" s="10">
        <f t="shared" ref="AP396" ca="1" si="2871">AP395+AO396</f>
        <v>195613.66730792925</v>
      </c>
      <c r="AQ396" s="10">
        <f t="shared" ref="AQ396" ca="1" si="2872">AQ395+AP396</f>
        <v>195613.66730792925</v>
      </c>
      <c r="AR396" s="10">
        <f t="shared" ref="AR396" ca="1" si="2873">AR395+AQ396</f>
        <v>195613.66730792925</v>
      </c>
      <c r="AS396" s="10">
        <f t="shared" ref="AS396" ca="1" si="2874">AS395+AR396</f>
        <v>195613.66730792925</v>
      </c>
      <c r="AT396" s="10">
        <f t="shared" ref="AT396" ca="1" si="2875">AT395+AS396</f>
        <v>195613.66730792925</v>
      </c>
      <c r="AU396" s="10">
        <f t="shared" ref="AU396" ca="1" si="2876">AU395+AT396</f>
        <v>195613.66730792925</v>
      </c>
      <c r="AV396" s="10">
        <f t="shared" ref="AV396" ca="1" si="2877">AV395+AU396</f>
        <v>195613.66730792925</v>
      </c>
      <c r="AW396" s="10">
        <f t="shared" ref="AW396" ca="1" si="2878">AW395+AV396</f>
        <v>195613.66730792925</v>
      </c>
      <c r="AX396" s="10">
        <f t="shared" ref="AX396" ca="1" si="2879">AX395+AW396</f>
        <v>195613.66730792925</v>
      </c>
      <c r="AY396" s="10">
        <f t="shared" ref="AY396" ca="1" si="2880">AY395+AX396</f>
        <v>195613.66730792925</v>
      </c>
      <c r="AZ396" s="10">
        <f t="shared" ref="AZ396" ca="1" si="2881">AZ395+AY396</f>
        <v>195613.66730792925</v>
      </c>
      <c r="BA396" s="10">
        <f t="shared" ref="BA396" ca="1" si="2882">BA395+AZ396</f>
        <v>195613.66730792925</v>
      </c>
      <c r="BB396" s="10">
        <f t="shared" ref="BB396" ca="1" si="2883">BB395+BA396</f>
        <v>195613.66730792925</v>
      </c>
      <c r="BC396" s="10">
        <f t="shared" ref="BC396" ca="1" si="2884">BC395+BB396</f>
        <v>195613.66730792925</v>
      </c>
      <c r="BD396" s="10">
        <f t="shared" ref="BD396" ca="1" si="2885">BD395+BC396</f>
        <v>195613.66730792925</v>
      </c>
      <c r="BE396" s="10">
        <f t="shared" ref="BE396" ca="1" si="2886">BE395+BD396</f>
        <v>195613.66730792925</v>
      </c>
      <c r="BF396" s="10">
        <f t="shared" ref="BF396" ca="1" si="2887">BF395+BE396</f>
        <v>195613.66730792925</v>
      </c>
      <c r="BG396" s="10">
        <f t="shared" ref="BG396" ca="1" si="2888">BG395+BF396</f>
        <v>195613.66730792925</v>
      </c>
      <c r="BH396" s="10">
        <f t="shared" ref="BH396" ca="1" si="2889">BH395+BG396</f>
        <v>195613.66730792925</v>
      </c>
      <c r="BI396" s="10">
        <f t="shared" ref="BI396" ca="1" si="2890">BI395+BH396</f>
        <v>195613.66730792925</v>
      </c>
      <c r="BJ396" s="10">
        <f t="shared" ref="BJ396" ca="1" si="2891">BJ395+BI396</f>
        <v>195613.66730792925</v>
      </c>
      <c r="BK396" s="10">
        <f t="shared" ref="BK396" ca="1" si="2892">BK395+BJ396</f>
        <v>195613.66730792925</v>
      </c>
      <c r="BL396" s="10">
        <f t="shared" ref="BL396" ca="1" si="2893">BL395+BK396</f>
        <v>195613.66730792925</v>
      </c>
      <c r="BM396" s="10">
        <f t="shared" ref="BM396" ca="1" si="2894">BM395+BL396</f>
        <v>195613.66730792925</v>
      </c>
      <c r="BN396" s="10">
        <f t="shared" ref="BN396" ca="1" si="2895">BN395+BM396</f>
        <v>195613.66730792925</v>
      </c>
      <c r="BO396" s="10">
        <f t="shared" ref="BO396" ca="1" si="2896">BO395+BN396</f>
        <v>195613.66730792925</v>
      </c>
      <c r="BP396" s="10">
        <f t="shared" ref="BP396" ca="1" si="2897">BP395+BO396</f>
        <v>195613.66730792925</v>
      </c>
      <c r="BQ396" s="10">
        <f t="shared" ref="BQ396" ca="1" si="2898">BQ395+BP396</f>
        <v>195613.66730792925</v>
      </c>
      <c r="BR396" s="10">
        <f t="shared" ref="BR396" ca="1" si="2899">BR395+BQ396</f>
        <v>195613.66730792925</v>
      </c>
      <c r="BS396" s="10">
        <f t="shared" ref="BS396" ca="1" si="2900">BS395+BR396</f>
        <v>195613.66730792925</v>
      </c>
      <c r="BT396" s="10">
        <f t="shared" ref="BT396" ca="1" si="2901">BT395+BS396</f>
        <v>195613.66730792925</v>
      </c>
      <c r="BU396" s="10">
        <f t="shared" ref="BU396" ca="1" si="2902">BU395+BT396</f>
        <v>195613.66730792925</v>
      </c>
      <c r="BV396" s="10">
        <f t="shared" ref="BV396" ca="1" si="2903">BV395+BU396</f>
        <v>195613.66730792925</v>
      </c>
      <c r="BW396" s="10">
        <f t="shared" ref="BW396" ca="1" si="2904">BW395+BV396</f>
        <v>195613.66730792925</v>
      </c>
      <c r="BX396" s="10">
        <f t="shared" ref="BX396" ca="1" si="2905">BX395+BW396</f>
        <v>195613.66730792925</v>
      </c>
      <c r="BY396" s="10">
        <f t="shared" ref="BY396" ca="1" si="2906">BY395+BX396</f>
        <v>195613.66730792925</v>
      </c>
      <c r="BZ396" s="10">
        <f t="shared" ref="BZ396" ca="1" si="2907">BZ395+BY396</f>
        <v>195613.66730792925</v>
      </c>
      <c r="CA396" s="10">
        <f t="shared" ref="CA396" ca="1" si="2908">CA395+BZ396</f>
        <v>195613.66730792925</v>
      </c>
      <c r="CB396" s="10">
        <f t="shared" ref="CB396" ca="1" si="2909">CB395+CA396</f>
        <v>195613.66730792925</v>
      </c>
      <c r="CC396" s="10">
        <f t="shared" ref="CC396" ca="1" si="2910">CC395+CB396</f>
        <v>195613.66730792925</v>
      </c>
      <c r="CD396" s="10">
        <f t="shared" ref="CD396" ca="1" si="2911">CD395+CC396</f>
        <v>195613.66730792925</v>
      </c>
      <c r="CE396" s="10">
        <f t="shared" ref="CE396" ca="1" si="2912">CE395+CD396</f>
        <v>195613.66730792925</v>
      </c>
      <c r="CF396" s="10">
        <f t="shared" ref="CF396" ca="1" si="2913">CF395+CE396</f>
        <v>195613.66730792925</v>
      </c>
      <c r="CG396" s="10">
        <f t="shared" ref="CG396" ca="1" si="2914">CG395+CF396</f>
        <v>195613.66730792925</v>
      </c>
      <c r="CH396" s="10">
        <f t="shared" ref="CH396" ca="1" si="2915">CH395+CG396</f>
        <v>195613.66730792925</v>
      </c>
      <c r="CI396" s="10">
        <f t="shared" ref="CI396" ca="1" si="2916">CI395+CH396</f>
        <v>195613.66730792925</v>
      </c>
      <c r="CJ396" s="10">
        <f t="shared" ref="CJ396" ca="1" si="2917">CJ395+CI396</f>
        <v>195613.66730792925</v>
      </c>
      <c r="CK396" s="10">
        <f t="shared" ref="CK396" ca="1" si="2918">CK395+CJ396</f>
        <v>195613.66730792925</v>
      </c>
      <c r="CL396" s="10">
        <f t="shared" ref="CL396" ca="1" si="2919">CL395+CK396</f>
        <v>195613.66730792925</v>
      </c>
      <c r="CM396" s="10">
        <f t="shared" ref="CM396" ca="1" si="2920">CM395+CL396</f>
        <v>195613.66730792925</v>
      </c>
      <c r="CN396" s="10">
        <f t="shared" ref="CN396" ca="1" si="2921">CN395+CM396</f>
        <v>195613.66730792925</v>
      </c>
      <c r="CO396" s="10">
        <f t="shared" ref="CO396" ca="1" si="2922">CO395+CN396</f>
        <v>195613.66730792925</v>
      </c>
    </row>
    <row r="397" spans="1:93">
      <c r="A397" s="10"/>
      <c r="B397" s="10"/>
      <c r="C397" s="17" t="s">
        <v>389</v>
      </c>
      <c r="D397" s="10"/>
      <c r="E397" s="62"/>
      <c r="F397" s="11"/>
      <c r="G397" s="134" t="str">
        <f t="shared" si="2754"/>
        <v>тыс. руб.</v>
      </c>
      <c r="H397" s="10"/>
      <c r="I397" s="23">
        <f ca="1">SUM(L397:CO397)</f>
        <v>105957.40312512824</v>
      </c>
      <c r="J397" s="10"/>
      <c r="K397" s="10"/>
      <c r="L397" s="10">
        <f t="shared" ref="L397" ca="1" si="2923">(MIN(L396*L393,K399))</f>
        <v>0</v>
      </c>
      <c r="M397" s="10">
        <f t="shared" ref="M397" ca="1" si="2924">(MIN(M396*M393,L399))</f>
        <v>0</v>
      </c>
      <c r="N397" s="10">
        <f t="shared" ref="N397" ca="1" si="2925">(MIN(N396*N393,M399))</f>
        <v>0</v>
      </c>
      <c r="O397" s="10">
        <f t="shared" ref="O397" ca="1" si="2926">(MIN(O396*O393,N399))</f>
        <v>0</v>
      </c>
      <c r="P397" s="10">
        <f t="shared" ref="P397" ca="1" si="2927">(MIN(P396*P393,O399))</f>
        <v>0</v>
      </c>
      <c r="Q397" s="10">
        <f t="shared" ref="Q397" ca="1" si="2928">(MIN(Q396*Q393,P399))</f>
        <v>0</v>
      </c>
      <c r="R397" s="10">
        <f t="shared" ref="R397" ca="1" si="2929">(MIN(R396*R393,Q399))</f>
        <v>0</v>
      </c>
      <c r="S397" s="10">
        <f t="shared" ref="S397" ca="1" si="2930">(MIN(S396*S393,R399))</f>
        <v>0</v>
      </c>
      <c r="T397" s="10">
        <f t="shared" ref="T397" ca="1" si="2931">(MIN(T396*T393,S399))</f>
        <v>0</v>
      </c>
      <c r="U397" s="10">
        <f t="shared" ref="U397" ca="1" si="2932">(MIN(U396*U393,T399))</f>
        <v>0</v>
      </c>
      <c r="V397" s="10">
        <f t="shared" ref="V397" ca="1" si="2933">(MIN(V396*V393,U399))</f>
        <v>0</v>
      </c>
      <c r="W397" s="10">
        <f t="shared" ref="W397" ca="1" si="2934">(MIN(W396*W393,V399))</f>
        <v>0</v>
      </c>
      <c r="X397" s="10">
        <f t="shared" ref="X397" ca="1" si="2935">(MIN(X396*X393,W399))</f>
        <v>0</v>
      </c>
      <c r="Y397" s="10">
        <f t="shared" ref="Y397" ca="1" si="2936">(MIN(Y396*Y393,X399))</f>
        <v>0</v>
      </c>
      <c r="Z397" s="10">
        <f t="shared" ref="Z397" ca="1" si="2937">(MIN(Z396*Z393,Y399))</f>
        <v>0</v>
      </c>
      <c r="AA397" s="10">
        <f t="shared" ref="AA397" ca="1" si="2938">(MIN(AA396*AA393,Z399))</f>
        <v>0</v>
      </c>
      <c r="AB397" s="10">
        <f t="shared" ref="AB397" ca="1" si="2939">(MIN(AB396*AB393,AA399))</f>
        <v>0</v>
      </c>
      <c r="AC397" s="10">
        <f t="shared" ref="AC397" ca="1" si="2940">(MIN(AC396*AC393,AB399))</f>
        <v>1630.1138942327439</v>
      </c>
      <c r="AD397" s="10">
        <f t="shared" ref="AD397" ca="1" si="2941">(MIN(AD396*AD393,AC399))</f>
        <v>1630.1138942327439</v>
      </c>
      <c r="AE397" s="10">
        <f t="shared" ref="AE397" ca="1" si="2942">(MIN(AE396*AE393,AD399))</f>
        <v>1630.1138942327439</v>
      </c>
      <c r="AF397" s="10">
        <f t="shared" ref="AF397" ca="1" si="2943">(MIN(AF396*AF393,AE399))</f>
        <v>1630.1138942327439</v>
      </c>
      <c r="AG397" s="10">
        <f t="shared" ref="AG397" ca="1" si="2944">(MIN(AG396*AG393,AF399))</f>
        <v>1630.1138942327439</v>
      </c>
      <c r="AH397" s="10">
        <f t="shared" ref="AH397" ca="1" si="2945">(MIN(AH396*AH393,AG399))</f>
        <v>1630.1138942327439</v>
      </c>
      <c r="AI397" s="10">
        <f t="shared" ref="AI397" ca="1" si="2946">(MIN(AI396*AI393,AH399))</f>
        <v>1630.1138942327439</v>
      </c>
      <c r="AJ397" s="10">
        <f t="shared" ref="AJ397" ca="1" si="2947">(MIN(AJ396*AJ393,AI399))</f>
        <v>1630.1138942327439</v>
      </c>
      <c r="AK397" s="10">
        <f t="shared" ref="AK397" ca="1" si="2948">(MIN(AK396*AK393,AJ399))</f>
        <v>1630.1138942327439</v>
      </c>
      <c r="AL397" s="10">
        <f t="shared" ref="AL397" ca="1" si="2949">(MIN(AL396*AL393,AK399))</f>
        <v>1630.1138942327439</v>
      </c>
      <c r="AM397" s="10">
        <f t="shared" ref="AM397" ca="1" si="2950">(MIN(AM396*AM393,AL399))</f>
        <v>1630.1138942327439</v>
      </c>
      <c r="AN397" s="10">
        <f t="shared" ref="AN397" ca="1" si="2951">(MIN(AN396*AN393,AM399))</f>
        <v>1630.1138942327439</v>
      </c>
      <c r="AO397" s="10">
        <f t="shared" ref="AO397" ca="1" si="2952">(MIN(AO396*AO393,AN399))</f>
        <v>1630.1138942327439</v>
      </c>
      <c r="AP397" s="10">
        <f t="shared" ref="AP397" ca="1" si="2953">(MIN(AP396*AP393,AO399))</f>
        <v>1630.1138942327439</v>
      </c>
      <c r="AQ397" s="10">
        <f t="shared" ref="AQ397" ca="1" si="2954">(MIN(AQ396*AQ393,AP399))</f>
        <v>1630.1138942327439</v>
      </c>
      <c r="AR397" s="10">
        <f t="shared" ref="AR397" ca="1" si="2955">(MIN(AR396*AR393,AQ399))</f>
        <v>1630.1138942327439</v>
      </c>
      <c r="AS397" s="10">
        <f t="shared" ref="AS397" ca="1" si="2956">(MIN(AS396*AS393,AR399))</f>
        <v>1630.1138942327439</v>
      </c>
      <c r="AT397" s="10">
        <f t="shared" ref="AT397" ca="1" si="2957">(MIN(AT396*AT393,AS399))</f>
        <v>1630.1138942327439</v>
      </c>
      <c r="AU397" s="10">
        <f t="shared" ref="AU397" ca="1" si="2958">(MIN(AU396*AU393,AT399))</f>
        <v>1630.1138942327439</v>
      </c>
      <c r="AV397" s="10">
        <f t="shared" ref="AV397" ca="1" si="2959">(MIN(AV396*AV393,AU399))</f>
        <v>1630.1138942327439</v>
      </c>
      <c r="AW397" s="10">
        <f t="shared" ref="AW397" ca="1" si="2960">(MIN(AW396*AW393,AV399))</f>
        <v>1630.1138942327439</v>
      </c>
      <c r="AX397" s="10">
        <f t="shared" ref="AX397" ca="1" si="2961">(MIN(AX396*AX393,AW399))</f>
        <v>1630.1138942327439</v>
      </c>
      <c r="AY397" s="10">
        <f t="shared" ref="AY397" ca="1" si="2962">(MIN(AY396*AY393,AX399))</f>
        <v>1630.1138942327439</v>
      </c>
      <c r="AZ397" s="10">
        <f t="shared" ref="AZ397" ca="1" si="2963">(MIN(AZ396*AZ393,AY399))</f>
        <v>1630.1138942327439</v>
      </c>
      <c r="BA397" s="10">
        <f t="shared" ref="BA397" ca="1" si="2964">(MIN(BA396*BA393,AZ399))</f>
        <v>1630.1138942327439</v>
      </c>
      <c r="BB397" s="10">
        <f t="shared" ref="BB397" ca="1" si="2965">(MIN(BB396*BB393,BA399))</f>
        <v>1630.1138942327439</v>
      </c>
      <c r="BC397" s="10">
        <f t="shared" ref="BC397" ca="1" si="2966">(MIN(BC396*BC393,BB399))</f>
        <v>1630.1138942327439</v>
      </c>
      <c r="BD397" s="10">
        <f t="shared" ref="BD397" ca="1" si="2967">(MIN(BD396*BD393,BC399))</f>
        <v>1630.1138942327439</v>
      </c>
      <c r="BE397" s="10">
        <f t="shared" ref="BE397" ca="1" si="2968">(MIN(BE396*BE393,BD399))</f>
        <v>1630.1138942327439</v>
      </c>
      <c r="BF397" s="10">
        <f t="shared" ref="BF397" ca="1" si="2969">(MIN(BF396*BF393,BE399))</f>
        <v>1630.1138942327439</v>
      </c>
      <c r="BG397" s="10">
        <f t="shared" ref="BG397" ca="1" si="2970">(MIN(BG396*BG393,BF399))</f>
        <v>1630.1138942327439</v>
      </c>
      <c r="BH397" s="10">
        <f t="shared" ref="BH397" ca="1" si="2971">(MIN(BH396*BH393,BG399))</f>
        <v>1630.1138942327439</v>
      </c>
      <c r="BI397" s="10">
        <f t="shared" ref="BI397" ca="1" si="2972">(MIN(BI396*BI393,BH399))</f>
        <v>1630.1138942327439</v>
      </c>
      <c r="BJ397" s="10">
        <f t="shared" ref="BJ397" ca="1" si="2973">(MIN(BJ396*BJ393,BI399))</f>
        <v>1630.1138942327439</v>
      </c>
      <c r="BK397" s="10">
        <f t="shared" ref="BK397" ca="1" si="2974">(MIN(BK396*BK393,BJ399))</f>
        <v>1630.1138942327439</v>
      </c>
      <c r="BL397" s="10">
        <f t="shared" ref="BL397" ca="1" si="2975">(MIN(BL396*BL393,BK399))</f>
        <v>1630.1138942327439</v>
      </c>
      <c r="BM397" s="10">
        <f t="shared" ref="BM397" ca="1" si="2976">(MIN(BM396*BM393,BL399))</f>
        <v>1630.1138942327439</v>
      </c>
      <c r="BN397" s="10">
        <f t="shared" ref="BN397" ca="1" si="2977">(MIN(BN396*BN393,BM399))</f>
        <v>1630.1138942327439</v>
      </c>
      <c r="BO397" s="10">
        <f t="shared" ref="BO397" ca="1" si="2978">(MIN(BO396*BO393,BN399))</f>
        <v>1630.1138942327439</v>
      </c>
      <c r="BP397" s="10">
        <f t="shared" ref="BP397" ca="1" si="2979">(MIN(BP396*BP393,BO399))</f>
        <v>1630.1138942327439</v>
      </c>
      <c r="BQ397" s="10">
        <f t="shared" ref="BQ397" ca="1" si="2980">(MIN(BQ396*BQ393,BP399))</f>
        <v>1630.1138942327439</v>
      </c>
      <c r="BR397" s="10">
        <f t="shared" ref="BR397" ca="1" si="2981">(MIN(BR396*BR393,BQ399))</f>
        <v>1630.1138942327439</v>
      </c>
      <c r="BS397" s="10">
        <f t="shared" ref="BS397" ca="1" si="2982">(MIN(BS396*BS393,BR399))</f>
        <v>1630.1138942327439</v>
      </c>
      <c r="BT397" s="10">
        <f t="shared" ref="BT397" ca="1" si="2983">(MIN(BT396*BT393,BS399))</f>
        <v>1630.1138942327439</v>
      </c>
      <c r="BU397" s="10">
        <f t="shared" ref="BU397" ca="1" si="2984">(MIN(BU396*BU393,BT399))</f>
        <v>1630.1138942327439</v>
      </c>
      <c r="BV397" s="10">
        <f t="shared" ref="BV397" ca="1" si="2985">(MIN(BV396*BV393,BU399))</f>
        <v>1630.1138942327439</v>
      </c>
      <c r="BW397" s="10">
        <f t="shared" ref="BW397" ca="1" si="2986">(MIN(BW396*BW393,BV399))</f>
        <v>1630.1138942327439</v>
      </c>
      <c r="BX397" s="10">
        <f t="shared" ref="BX397" ca="1" si="2987">(MIN(BX396*BX393,BW399))</f>
        <v>1630.1138942327439</v>
      </c>
      <c r="BY397" s="10">
        <f t="shared" ref="BY397" ca="1" si="2988">(MIN(BY396*BY393,BX399))</f>
        <v>1630.1138942327439</v>
      </c>
      <c r="BZ397" s="10">
        <f t="shared" ref="BZ397" ca="1" si="2989">(MIN(BZ396*BZ393,BY399))</f>
        <v>1630.1138942327439</v>
      </c>
      <c r="CA397" s="10">
        <f t="shared" ref="CA397" ca="1" si="2990">(MIN(CA396*CA393,BZ399))</f>
        <v>1630.1138942327439</v>
      </c>
      <c r="CB397" s="10">
        <f t="shared" ref="CB397" ca="1" si="2991">(MIN(CB396*CB393,CA399))</f>
        <v>1630.1138942327439</v>
      </c>
      <c r="CC397" s="10">
        <f t="shared" ref="CC397" ca="1" si="2992">(MIN(CC396*CC393,CB399))</f>
        <v>1630.1138942327439</v>
      </c>
      <c r="CD397" s="10">
        <f t="shared" ref="CD397" ca="1" si="2993">(MIN(CD396*CD393,CC399))</f>
        <v>1630.1138942327439</v>
      </c>
      <c r="CE397" s="10">
        <f t="shared" ref="CE397" ca="1" si="2994">(MIN(CE396*CE393,CD399))</f>
        <v>1630.1138942327439</v>
      </c>
      <c r="CF397" s="10">
        <f t="shared" ref="CF397" ca="1" si="2995">(MIN(CF396*CF393,CE399))</f>
        <v>1630.1138942327439</v>
      </c>
      <c r="CG397" s="10">
        <f t="shared" ref="CG397" ca="1" si="2996">(MIN(CG396*CG393,CF399))</f>
        <v>1630.1138942327439</v>
      </c>
      <c r="CH397" s="10">
        <f t="shared" ref="CH397" ca="1" si="2997">(MIN(CH396*CH393,CG399))</f>
        <v>1630.1138942327439</v>
      </c>
      <c r="CI397" s="10">
        <f t="shared" ref="CI397" ca="1" si="2998">(MIN(CI396*CI393,CH399))</f>
        <v>1630.1138942327439</v>
      </c>
      <c r="CJ397" s="10">
        <f t="shared" ref="CJ397" ca="1" si="2999">(MIN(CJ396*CJ393,CI399))</f>
        <v>1630.1138942327439</v>
      </c>
      <c r="CK397" s="10">
        <f t="shared" ref="CK397" ca="1" si="3000">(MIN(CK396*CK393,CJ399))</f>
        <v>1630.1138942327439</v>
      </c>
      <c r="CL397" s="10">
        <f t="shared" ref="CL397" ca="1" si="3001">(MIN(CL396*CL393,CK399))</f>
        <v>1630.1138942327439</v>
      </c>
      <c r="CM397" s="10">
        <f t="shared" ref="CM397" ca="1" si="3002">(MIN(CM396*CM393,CL399))</f>
        <v>1630.1138942327439</v>
      </c>
      <c r="CN397" s="10">
        <f t="shared" ref="CN397" ca="1" si="3003">(MIN(CN396*CN393,CM399))</f>
        <v>1630.1138942327439</v>
      </c>
      <c r="CO397" s="10">
        <f t="shared" ref="CO397" ca="1" si="3004">(MIN(CO396*CO393,CN399))</f>
        <v>1630.1138942327439</v>
      </c>
    </row>
    <row r="398" spans="1:93">
      <c r="A398" s="10"/>
      <c r="B398" s="10"/>
      <c r="C398" s="17" t="s">
        <v>127</v>
      </c>
      <c r="D398" s="10"/>
      <c r="E398" s="62"/>
      <c r="F398" s="11"/>
      <c r="G398" s="134" t="str">
        <f t="shared" si="2754"/>
        <v>тыс. руб.</v>
      </c>
      <c r="H398" s="10"/>
      <c r="I398" s="10"/>
      <c r="J398" s="10"/>
      <c r="K398" s="10"/>
      <c r="L398" s="10">
        <f t="shared" ref="L398" ca="1" si="3005">SUM(K398,-L397)</f>
        <v>0</v>
      </c>
      <c r="M398" s="10">
        <f t="shared" ref="M398" ca="1" si="3006">SUM(L398,-M397)</f>
        <v>0</v>
      </c>
      <c r="N398" s="10">
        <f t="shared" ref="N398" ca="1" si="3007">SUM(M398,-N397)</f>
        <v>0</v>
      </c>
      <c r="O398" s="10">
        <f t="shared" ref="O398" ca="1" si="3008">SUM(N398,-O397)</f>
        <v>0</v>
      </c>
      <c r="P398" s="10">
        <f t="shared" ref="P398" ca="1" si="3009">SUM(O398,-P397)</f>
        <v>0</v>
      </c>
      <c r="Q398" s="10">
        <f t="shared" ref="Q398" ca="1" si="3010">SUM(P398,-Q397)</f>
        <v>0</v>
      </c>
      <c r="R398" s="10">
        <f t="shared" ref="R398" ca="1" si="3011">SUM(Q398,-R397)</f>
        <v>0</v>
      </c>
      <c r="S398" s="10">
        <f t="shared" ref="S398" ca="1" si="3012">SUM(R398,-S397)</f>
        <v>0</v>
      </c>
      <c r="T398" s="10">
        <f t="shared" ref="T398" ca="1" si="3013">SUM(S398,-T397)</f>
        <v>0</v>
      </c>
      <c r="U398" s="10">
        <f t="shared" ref="U398" ca="1" si="3014">SUM(T398,-U397)</f>
        <v>0</v>
      </c>
      <c r="V398" s="10">
        <f t="shared" ref="V398" ca="1" si="3015">SUM(U398,-V397)</f>
        <v>0</v>
      </c>
      <c r="W398" s="10">
        <f t="shared" ref="W398" ca="1" si="3016">SUM(V398,-W397)</f>
        <v>0</v>
      </c>
      <c r="X398" s="10">
        <f t="shared" ref="X398" ca="1" si="3017">SUM(W398,-X397)</f>
        <v>0</v>
      </c>
      <c r="Y398" s="10">
        <f t="shared" ref="Y398" ca="1" si="3018">SUM(X398,-Y397)</f>
        <v>0</v>
      </c>
      <c r="Z398" s="10">
        <f t="shared" ref="Z398" ca="1" si="3019">SUM(Y398,-Z397)</f>
        <v>0</v>
      </c>
      <c r="AA398" s="10">
        <f t="shared" ref="AA398" ca="1" si="3020">SUM(Z398,-AA397)</f>
        <v>0</v>
      </c>
      <c r="AB398" s="10">
        <f t="shared" ref="AB398" ca="1" si="3021">SUM(AA398,-AB397)</f>
        <v>0</v>
      </c>
      <c r="AC398" s="10">
        <f t="shared" ref="AC398" ca="1" si="3022">SUM(AB398,-AC397)</f>
        <v>-1630.1138942327439</v>
      </c>
      <c r="AD398" s="10">
        <f t="shared" ref="AD398" ca="1" si="3023">SUM(AC398,-AD397)</f>
        <v>-3260.2277884654877</v>
      </c>
      <c r="AE398" s="10">
        <f t="shared" ref="AE398" ca="1" si="3024">SUM(AD398,-AE397)</f>
        <v>-4890.341682698232</v>
      </c>
      <c r="AF398" s="10">
        <f t="shared" ref="AF398" ca="1" si="3025">SUM(AE398,-AF397)</f>
        <v>-6520.4555769309754</v>
      </c>
      <c r="AG398" s="10">
        <f t="shared" ref="AG398" ca="1" si="3026">SUM(AF398,-AG397)</f>
        <v>-8150.5694711637188</v>
      </c>
      <c r="AH398" s="10">
        <f t="shared" ref="AH398" ca="1" si="3027">SUM(AG398,-AH397)</f>
        <v>-9780.6833653964622</v>
      </c>
      <c r="AI398" s="10">
        <f t="shared" ref="AI398" ca="1" si="3028">SUM(AH398,-AI397)</f>
        <v>-11410.797259629206</v>
      </c>
      <c r="AJ398" s="10">
        <f t="shared" ref="AJ398" ca="1" si="3029">SUM(AI398,-AJ397)</f>
        <v>-13040.911153861949</v>
      </c>
      <c r="AK398" s="10">
        <f t="shared" ref="AK398" ca="1" si="3030">SUM(AJ398,-AK397)</f>
        <v>-14671.025048094692</v>
      </c>
      <c r="AL398" s="10">
        <f t="shared" ref="AL398" ca="1" si="3031">SUM(AK398,-AL397)</f>
        <v>-16301.138942327436</v>
      </c>
      <c r="AM398" s="10">
        <f t="shared" ref="AM398" ca="1" si="3032">SUM(AL398,-AM397)</f>
        <v>-17931.252836560179</v>
      </c>
      <c r="AN398" s="10">
        <f t="shared" ref="AN398" ca="1" si="3033">SUM(AM398,-AN397)</f>
        <v>-19561.366730792924</v>
      </c>
      <c r="AO398" s="10">
        <f t="shared" ref="AO398" ca="1" si="3034">SUM(AN398,-AO397)</f>
        <v>-21191.48062502567</v>
      </c>
      <c r="AP398" s="10">
        <f t="shared" ref="AP398" ca="1" si="3035">SUM(AO398,-AP397)</f>
        <v>-22821.594519258415</v>
      </c>
      <c r="AQ398" s="10">
        <f t="shared" ref="AQ398" ca="1" si="3036">SUM(AP398,-AQ397)</f>
        <v>-24451.70841349116</v>
      </c>
      <c r="AR398" s="10">
        <f t="shared" ref="AR398" ca="1" si="3037">SUM(AQ398,-AR397)</f>
        <v>-26081.822307723905</v>
      </c>
      <c r="AS398" s="10">
        <f t="shared" ref="AS398" ca="1" si="3038">SUM(AR398,-AS397)</f>
        <v>-27711.936201956651</v>
      </c>
      <c r="AT398" s="10">
        <f t="shared" ref="AT398" ca="1" si="3039">SUM(AS398,-AT397)</f>
        <v>-29342.050096189396</v>
      </c>
      <c r="AU398" s="10">
        <f t="shared" ref="AU398" ca="1" si="3040">SUM(AT398,-AU397)</f>
        <v>-30972.163990422141</v>
      </c>
      <c r="AV398" s="10">
        <f t="shared" ref="AV398" ca="1" si="3041">SUM(AU398,-AV397)</f>
        <v>-32602.277884654886</v>
      </c>
      <c r="AW398" s="10">
        <f t="shared" ref="AW398" ca="1" si="3042">SUM(AV398,-AW397)</f>
        <v>-34232.391778887628</v>
      </c>
      <c r="AX398" s="10">
        <f t="shared" ref="AX398" ca="1" si="3043">SUM(AW398,-AX397)</f>
        <v>-35862.505673120373</v>
      </c>
      <c r="AY398" s="10">
        <f t="shared" ref="AY398" ca="1" si="3044">SUM(AX398,-AY397)</f>
        <v>-37492.619567353118</v>
      </c>
      <c r="AZ398" s="10">
        <f t="shared" ref="AZ398" ca="1" si="3045">SUM(AY398,-AZ397)</f>
        <v>-39122.733461585864</v>
      </c>
      <c r="BA398" s="10">
        <f t="shared" ref="BA398" ca="1" si="3046">SUM(AZ398,-BA397)</f>
        <v>-40752.847355818609</v>
      </c>
      <c r="BB398" s="10">
        <f t="shared" ref="BB398" ca="1" si="3047">SUM(BA398,-BB397)</f>
        <v>-42382.961250051354</v>
      </c>
      <c r="BC398" s="10">
        <f t="shared" ref="BC398" ca="1" si="3048">SUM(BB398,-BC397)</f>
        <v>-44013.075144284099</v>
      </c>
      <c r="BD398" s="10">
        <f t="shared" ref="BD398" ca="1" si="3049">SUM(BC398,-BD397)</f>
        <v>-45643.189038516844</v>
      </c>
      <c r="BE398" s="10">
        <f t="shared" ref="BE398" ca="1" si="3050">SUM(BD398,-BE397)</f>
        <v>-47273.30293274959</v>
      </c>
      <c r="BF398" s="10">
        <f t="shared" ref="BF398" ca="1" si="3051">SUM(BE398,-BF397)</f>
        <v>-48903.416826982335</v>
      </c>
      <c r="BG398" s="10">
        <f t="shared" ref="BG398" ca="1" si="3052">SUM(BF398,-BG397)</f>
        <v>-50533.53072121508</v>
      </c>
      <c r="BH398" s="10">
        <f t="shared" ref="BH398" ca="1" si="3053">SUM(BG398,-BH397)</f>
        <v>-52163.644615447825</v>
      </c>
      <c r="BI398" s="10">
        <f t="shared" ref="BI398" ca="1" si="3054">SUM(BH398,-BI397)</f>
        <v>-53793.758509680571</v>
      </c>
      <c r="BJ398" s="10">
        <f t="shared" ref="BJ398" ca="1" si="3055">SUM(BI398,-BJ397)</f>
        <v>-55423.872403913316</v>
      </c>
      <c r="BK398" s="10">
        <f t="shared" ref="BK398" ca="1" si="3056">SUM(BJ398,-BK397)</f>
        <v>-57053.986298146061</v>
      </c>
      <c r="BL398" s="10">
        <f t="shared" ref="BL398" ca="1" si="3057">SUM(BK398,-BL397)</f>
        <v>-58684.100192378806</v>
      </c>
      <c r="BM398" s="10">
        <f t="shared" ref="BM398" ca="1" si="3058">SUM(BL398,-BM397)</f>
        <v>-60314.214086611551</v>
      </c>
      <c r="BN398" s="10">
        <f t="shared" ref="BN398" ca="1" si="3059">SUM(BM398,-BN397)</f>
        <v>-61944.327980844297</v>
      </c>
      <c r="BO398" s="10">
        <f t="shared" ref="BO398" ca="1" si="3060">SUM(BN398,-BO397)</f>
        <v>-63574.441875077042</v>
      </c>
      <c r="BP398" s="10">
        <f t="shared" ref="BP398" ca="1" si="3061">SUM(BO398,-BP397)</f>
        <v>-65204.555769309787</v>
      </c>
      <c r="BQ398" s="10">
        <f t="shared" ref="BQ398" ca="1" si="3062">SUM(BP398,-BQ397)</f>
        <v>-66834.669663542532</v>
      </c>
      <c r="BR398" s="10">
        <f t="shared" ref="BR398" ca="1" si="3063">SUM(BQ398,-BR397)</f>
        <v>-68464.78355777527</v>
      </c>
      <c r="BS398" s="10">
        <f t="shared" ref="BS398" ca="1" si="3064">SUM(BR398,-BS397)</f>
        <v>-70094.897452008008</v>
      </c>
      <c r="BT398" s="10">
        <f t="shared" ref="BT398" ca="1" si="3065">SUM(BS398,-BT397)</f>
        <v>-71725.011346240746</v>
      </c>
      <c r="BU398" s="10">
        <f t="shared" ref="BU398" ca="1" si="3066">SUM(BT398,-BU397)</f>
        <v>-73355.125240473484</v>
      </c>
      <c r="BV398" s="10">
        <f t="shared" ref="BV398" ca="1" si="3067">SUM(BU398,-BV397)</f>
        <v>-74985.239134706222</v>
      </c>
      <c r="BW398" s="10">
        <f t="shared" ref="BW398" ca="1" si="3068">SUM(BV398,-BW397)</f>
        <v>-76615.35302893896</v>
      </c>
      <c r="BX398" s="10">
        <f t="shared" ref="BX398" ca="1" si="3069">SUM(BW398,-BX397)</f>
        <v>-78245.466923171698</v>
      </c>
      <c r="BY398" s="10">
        <f t="shared" ref="BY398" ca="1" si="3070">SUM(BX398,-BY397)</f>
        <v>-79875.580817404436</v>
      </c>
      <c r="BZ398" s="10">
        <f t="shared" ref="BZ398" ca="1" si="3071">SUM(BY398,-BZ397)</f>
        <v>-81505.694711637174</v>
      </c>
      <c r="CA398" s="10">
        <f t="shared" ref="CA398" ca="1" si="3072">SUM(BZ398,-CA397)</f>
        <v>-83135.808605869912</v>
      </c>
      <c r="CB398" s="10">
        <f t="shared" ref="CB398" ca="1" si="3073">SUM(CA398,-CB397)</f>
        <v>-84765.92250010265</v>
      </c>
      <c r="CC398" s="10">
        <f t="shared" ref="CC398" ca="1" si="3074">SUM(CB398,-CC397)</f>
        <v>-86396.036394335388</v>
      </c>
      <c r="CD398" s="10">
        <f t="shared" ref="CD398" ca="1" si="3075">SUM(CC398,-CD397)</f>
        <v>-88026.150288568126</v>
      </c>
      <c r="CE398" s="10">
        <f t="shared" ref="CE398" ca="1" si="3076">SUM(CD398,-CE397)</f>
        <v>-89656.264182800864</v>
      </c>
      <c r="CF398" s="10">
        <f t="shared" ref="CF398" ca="1" si="3077">SUM(CE398,-CF397)</f>
        <v>-91286.378077033602</v>
      </c>
      <c r="CG398" s="10">
        <f t="shared" ref="CG398" ca="1" si="3078">SUM(CF398,-CG397)</f>
        <v>-92916.49197126634</v>
      </c>
      <c r="CH398" s="10">
        <f t="shared" ref="CH398" ca="1" si="3079">SUM(CG398,-CH397)</f>
        <v>-94546.605865499077</v>
      </c>
      <c r="CI398" s="10">
        <f t="shared" ref="CI398" ca="1" si="3080">SUM(CH398,-CI397)</f>
        <v>-96176.719759731815</v>
      </c>
      <c r="CJ398" s="10">
        <f t="shared" ref="CJ398" ca="1" si="3081">SUM(CI398,-CJ397)</f>
        <v>-97806.833653964553</v>
      </c>
      <c r="CK398" s="10">
        <f t="shared" ref="CK398" ca="1" si="3082">SUM(CJ398,-CK397)</f>
        <v>-99436.947548197291</v>
      </c>
      <c r="CL398" s="10">
        <f t="shared" ref="CL398" ca="1" si="3083">SUM(CK398,-CL397)</f>
        <v>-101067.06144243003</v>
      </c>
      <c r="CM398" s="10">
        <f t="shared" ref="CM398" ca="1" si="3084">SUM(CL398,-CM397)</f>
        <v>-102697.17533666277</v>
      </c>
      <c r="CN398" s="10">
        <f t="shared" ref="CN398" ca="1" si="3085">SUM(CM398,-CN397)</f>
        <v>-104327.28923089551</v>
      </c>
      <c r="CO398" s="10">
        <f t="shared" ref="CO398" ca="1" si="3086">SUM(CN398,-CO397)</f>
        <v>-105957.40312512824</v>
      </c>
    </row>
    <row r="399" spans="1:93">
      <c r="A399" s="10"/>
      <c r="B399" s="10"/>
      <c r="C399" s="17" t="s">
        <v>128</v>
      </c>
      <c r="D399" s="10"/>
      <c r="E399" s="62"/>
      <c r="F399" s="11"/>
      <c r="G399" s="134" t="str">
        <f t="shared" si="2754"/>
        <v>тыс. руб.</v>
      </c>
      <c r="H399" s="10"/>
      <c r="I399" s="10"/>
      <c r="J399" s="10"/>
      <c r="K399" s="10"/>
      <c r="L399" s="10">
        <f t="shared" ref="L399:Q399" ca="1" si="3087">SUM(L396,L398)</f>
        <v>0</v>
      </c>
      <c r="M399" s="10">
        <f t="shared" ca="1" si="3087"/>
        <v>0</v>
      </c>
      <c r="N399" s="10">
        <f t="shared" ca="1" si="3087"/>
        <v>0</v>
      </c>
      <c r="O399" s="10">
        <f t="shared" ca="1" si="3087"/>
        <v>0</v>
      </c>
      <c r="P399" s="10">
        <f t="shared" ca="1" si="3087"/>
        <v>0</v>
      </c>
      <c r="Q399" s="10">
        <f t="shared" ca="1" si="3087"/>
        <v>0</v>
      </c>
      <c r="R399" s="10">
        <f t="shared" ref="R399" ca="1" si="3088">SUM(R396,R398)</f>
        <v>0</v>
      </c>
      <c r="S399" s="10">
        <f t="shared" ref="S399:CD399" ca="1" si="3089">SUM(S396,S398)</f>
        <v>0</v>
      </c>
      <c r="T399" s="10">
        <f t="shared" ca="1" si="3089"/>
        <v>0</v>
      </c>
      <c r="U399" s="10">
        <f t="shared" ca="1" si="3089"/>
        <v>0</v>
      </c>
      <c r="V399" s="10">
        <f t="shared" ca="1" si="3089"/>
        <v>0</v>
      </c>
      <c r="W399" s="10">
        <f t="shared" ca="1" si="3089"/>
        <v>0</v>
      </c>
      <c r="X399" s="10">
        <f t="shared" ca="1" si="3089"/>
        <v>0</v>
      </c>
      <c r="Y399" s="10">
        <f t="shared" ca="1" si="3089"/>
        <v>0</v>
      </c>
      <c r="Z399" s="10">
        <f t="shared" ca="1" si="3089"/>
        <v>0</v>
      </c>
      <c r="AA399" s="10">
        <f t="shared" ca="1" si="3089"/>
        <v>0</v>
      </c>
      <c r="AB399" s="10">
        <f t="shared" ca="1" si="3089"/>
        <v>195613.66730792925</v>
      </c>
      <c r="AC399" s="10">
        <f t="shared" ca="1" si="3089"/>
        <v>193983.5534136965</v>
      </c>
      <c r="AD399" s="10">
        <f t="shared" ca="1" si="3089"/>
        <v>192353.43951946378</v>
      </c>
      <c r="AE399" s="10">
        <f t="shared" ca="1" si="3089"/>
        <v>190723.32562523102</v>
      </c>
      <c r="AF399" s="10">
        <f t="shared" ca="1" si="3089"/>
        <v>189093.21173099827</v>
      </c>
      <c r="AG399" s="10">
        <f t="shared" ca="1" si="3089"/>
        <v>187463.09783676552</v>
      </c>
      <c r="AH399" s="10">
        <f t="shared" ca="1" si="3089"/>
        <v>185832.9839425328</v>
      </c>
      <c r="AI399" s="10">
        <f t="shared" ca="1" si="3089"/>
        <v>184202.87004830004</v>
      </c>
      <c r="AJ399" s="10">
        <f t="shared" ca="1" si="3089"/>
        <v>182572.75615406729</v>
      </c>
      <c r="AK399" s="10">
        <f t="shared" ca="1" si="3089"/>
        <v>180942.64225983457</v>
      </c>
      <c r="AL399" s="10">
        <f t="shared" ca="1" si="3089"/>
        <v>179312.52836560181</v>
      </c>
      <c r="AM399" s="10">
        <f t="shared" ca="1" si="3089"/>
        <v>177682.41447136906</v>
      </c>
      <c r="AN399" s="10">
        <f t="shared" ca="1" si="3089"/>
        <v>176052.30057713634</v>
      </c>
      <c r="AO399" s="10">
        <f t="shared" ca="1" si="3089"/>
        <v>174422.18668290359</v>
      </c>
      <c r="AP399" s="10">
        <f t="shared" ca="1" si="3089"/>
        <v>172792.07278867083</v>
      </c>
      <c r="AQ399" s="10">
        <f t="shared" ca="1" si="3089"/>
        <v>171161.95889443808</v>
      </c>
      <c r="AR399" s="10">
        <f t="shared" ca="1" si="3089"/>
        <v>169531.84500020536</v>
      </c>
      <c r="AS399" s="10">
        <f t="shared" ca="1" si="3089"/>
        <v>167901.73110597261</v>
      </c>
      <c r="AT399" s="10">
        <f t="shared" ca="1" si="3089"/>
        <v>166271.61721173985</v>
      </c>
      <c r="AU399" s="10">
        <f t="shared" ca="1" si="3089"/>
        <v>164641.5033175071</v>
      </c>
      <c r="AV399" s="10">
        <f t="shared" ca="1" si="3089"/>
        <v>163011.38942327438</v>
      </c>
      <c r="AW399" s="10">
        <f t="shared" ca="1" si="3089"/>
        <v>161381.27552904162</v>
      </c>
      <c r="AX399" s="10">
        <f t="shared" ca="1" si="3089"/>
        <v>159751.16163480887</v>
      </c>
      <c r="AY399" s="10">
        <f t="shared" ca="1" si="3089"/>
        <v>158121.04774057615</v>
      </c>
      <c r="AZ399" s="10">
        <f t="shared" ca="1" si="3089"/>
        <v>156490.9338463434</v>
      </c>
      <c r="BA399" s="10">
        <f t="shared" ca="1" si="3089"/>
        <v>154860.81995211064</v>
      </c>
      <c r="BB399" s="10">
        <f t="shared" ca="1" si="3089"/>
        <v>153230.70605787789</v>
      </c>
      <c r="BC399" s="10">
        <f t="shared" ca="1" si="3089"/>
        <v>151600.59216364514</v>
      </c>
      <c r="BD399" s="10">
        <f t="shared" ca="1" si="3089"/>
        <v>149970.47826941242</v>
      </c>
      <c r="BE399" s="10">
        <f t="shared" ca="1" si="3089"/>
        <v>148340.36437517966</v>
      </c>
      <c r="BF399" s="10">
        <f t="shared" ca="1" si="3089"/>
        <v>146710.25048094691</v>
      </c>
      <c r="BG399" s="10">
        <f t="shared" ca="1" si="3089"/>
        <v>145080.13658671419</v>
      </c>
      <c r="BH399" s="10">
        <f t="shared" ca="1" si="3089"/>
        <v>143450.02269248143</v>
      </c>
      <c r="BI399" s="10">
        <f t="shared" ca="1" si="3089"/>
        <v>141819.90879824868</v>
      </c>
      <c r="BJ399" s="10">
        <f t="shared" ca="1" si="3089"/>
        <v>140189.79490401593</v>
      </c>
      <c r="BK399" s="10">
        <f t="shared" ca="1" si="3089"/>
        <v>138559.68100978318</v>
      </c>
      <c r="BL399" s="10">
        <f t="shared" ca="1" si="3089"/>
        <v>136929.56711555045</v>
      </c>
      <c r="BM399" s="10">
        <f t="shared" ca="1" si="3089"/>
        <v>135299.4532213177</v>
      </c>
      <c r="BN399" s="10">
        <f t="shared" ca="1" si="3089"/>
        <v>133669.33932708495</v>
      </c>
      <c r="BO399" s="10">
        <f t="shared" ca="1" si="3089"/>
        <v>132039.22543285222</v>
      </c>
      <c r="BP399" s="10">
        <f t="shared" ca="1" si="3089"/>
        <v>130409.11153861947</v>
      </c>
      <c r="BQ399" s="10">
        <f t="shared" ca="1" si="3089"/>
        <v>128778.99764438672</v>
      </c>
      <c r="BR399" s="10">
        <f t="shared" ca="1" si="3089"/>
        <v>127148.88375015398</v>
      </c>
      <c r="BS399" s="10">
        <f t="shared" ca="1" si="3089"/>
        <v>125518.76985592124</v>
      </c>
      <c r="BT399" s="10">
        <f t="shared" ca="1" si="3089"/>
        <v>123888.65596168851</v>
      </c>
      <c r="BU399" s="10">
        <f t="shared" ca="1" si="3089"/>
        <v>122258.54206745577</v>
      </c>
      <c r="BV399" s="10">
        <f t="shared" ca="1" si="3089"/>
        <v>120628.42817322303</v>
      </c>
      <c r="BW399" s="10">
        <f t="shared" ca="1" si="3089"/>
        <v>118998.31427899029</v>
      </c>
      <c r="BX399" s="10">
        <f t="shared" ca="1" si="3089"/>
        <v>117368.20038475755</v>
      </c>
      <c r="BY399" s="10">
        <f t="shared" ca="1" si="3089"/>
        <v>115738.08649052482</v>
      </c>
      <c r="BZ399" s="10">
        <f t="shared" ca="1" si="3089"/>
        <v>114107.97259629208</v>
      </c>
      <c r="CA399" s="10">
        <f t="shared" ca="1" si="3089"/>
        <v>112477.85870205934</v>
      </c>
      <c r="CB399" s="10">
        <f t="shared" ca="1" si="3089"/>
        <v>110847.7448078266</v>
      </c>
      <c r="CC399" s="10">
        <f t="shared" ca="1" si="3089"/>
        <v>109217.63091359386</v>
      </c>
      <c r="CD399" s="10">
        <f t="shared" ca="1" si="3089"/>
        <v>107587.51701936113</v>
      </c>
      <c r="CE399" s="10">
        <f t="shared" ref="CE399:CO399" ca="1" si="3090">SUM(CE396,CE398)</f>
        <v>105957.40312512839</v>
      </c>
      <c r="CF399" s="10">
        <f t="shared" ca="1" si="3090"/>
        <v>104327.28923089565</v>
      </c>
      <c r="CG399" s="10">
        <f t="shared" ca="1" si="3090"/>
        <v>102697.17533666291</v>
      </c>
      <c r="CH399" s="10">
        <f t="shared" ca="1" si="3090"/>
        <v>101067.06144243017</v>
      </c>
      <c r="CI399" s="10">
        <f t="shared" ca="1" si="3090"/>
        <v>99436.947548197437</v>
      </c>
      <c r="CJ399" s="10">
        <f t="shared" ca="1" si="3090"/>
        <v>97806.833653964699</v>
      </c>
      <c r="CK399" s="10">
        <f t="shared" ca="1" si="3090"/>
        <v>96176.719759731961</v>
      </c>
      <c r="CL399" s="10">
        <f t="shared" ca="1" si="3090"/>
        <v>94546.605865499223</v>
      </c>
      <c r="CM399" s="10">
        <f t="shared" ca="1" si="3090"/>
        <v>92916.491971266485</v>
      </c>
      <c r="CN399" s="10">
        <f t="shared" ca="1" si="3090"/>
        <v>91286.378077033747</v>
      </c>
      <c r="CO399" s="10">
        <f t="shared" ca="1" si="3090"/>
        <v>89656.264182801009</v>
      </c>
    </row>
    <row r="400" spans="1:93">
      <c r="A400" s="10"/>
      <c r="B400" s="10"/>
      <c r="C400" s="17"/>
      <c r="D400" s="10"/>
      <c r="E400" s="62"/>
      <c r="F400" s="11"/>
      <c r="G400" s="11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</row>
    <row r="401" spans="1:93">
      <c r="A401" s="10"/>
      <c r="B401" s="10"/>
      <c r="C401" s="87" t="s">
        <v>1093</v>
      </c>
      <c r="D401" s="10"/>
      <c r="E401" s="62"/>
      <c r="F401" s="11"/>
      <c r="G401" s="11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</row>
    <row r="402" spans="1:93">
      <c r="A402" s="10"/>
      <c r="B402" s="10"/>
      <c r="C402" s="17" t="s">
        <v>386</v>
      </c>
      <c r="D402" s="10"/>
      <c r="E402" s="184">
        <f xml:space="preserve"> Предпосылки!E367</f>
        <v>7</v>
      </c>
      <c r="F402" s="11"/>
      <c r="G402" s="11" t="s">
        <v>123</v>
      </c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</row>
    <row r="403" spans="1:93">
      <c r="A403" s="10"/>
      <c r="B403" s="10"/>
      <c r="C403" s="17" t="s">
        <v>387</v>
      </c>
      <c r="D403" s="10"/>
      <c r="F403" s="11"/>
      <c r="G403" s="11" t="s">
        <v>28</v>
      </c>
      <c r="H403" s="10"/>
      <c r="I403" s="10"/>
      <c r="J403" s="10"/>
      <c r="K403" s="10"/>
      <c r="L403" s="157">
        <f t="shared" ref="L403:Q403" si="3091">IF($E402&lt;&gt;0,1/$E402,0)/Periods_in_Year</f>
        <v>3.5714285714285712E-2</v>
      </c>
      <c r="M403" s="157">
        <f t="shared" si="3091"/>
        <v>3.5714285714285712E-2</v>
      </c>
      <c r="N403" s="157">
        <f t="shared" si="3091"/>
        <v>3.5714285714285712E-2</v>
      </c>
      <c r="O403" s="157">
        <f t="shared" si="3091"/>
        <v>3.5714285714285712E-2</v>
      </c>
      <c r="P403" s="157">
        <f t="shared" si="3091"/>
        <v>3.5714285714285712E-2</v>
      </c>
      <c r="Q403" s="157">
        <f t="shared" si="3091"/>
        <v>3.5714285714285712E-2</v>
      </c>
      <c r="R403" s="157">
        <f t="shared" ref="R403" si="3092">IF($E402&lt;&gt;0,1/$E402,0)/Periods_in_Year</f>
        <v>3.5714285714285712E-2</v>
      </c>
      <c r="S403" s="157">
        <f t="shared" ref="S403:CD403" si="3093">IF($E402&lt;&gt;0,1/$E402,0)/Periods_in_Year</f>
        <v>3.5714285714285712E-2</v>
      </c>
      <c r="T403" s="157">
        <f t="shared" si="3093"/>
        <v>3.5714285714285712E-2</v>
      </c>
      <c r="U403" s="157">
        <f t="shared" si="3093"/>
        <v>3.5714285714285712E-2</v>
      </c>
      <c r="V403" s="157">
        <f t="shared" si="3093"/>
        <v>3.5714285714285712E-2</v>
      </c>
      <c r="W403" s="157">
        <f t="shared" si="3093"/>
        <v>3.5714285714285712E-2</v>
      </c>
      <c r="X403" s="157">
        <f t="shared" si="3093"/>
        <v>3.5714285714285712E-2</v>
      </c>
      <c r="Y403" s="157">
        <f t="shared" si="3093"/>
        <v>3.5714285714285712E-2</v>
      </c>
      <c r="Z403" s="157">
        <f t="shared" si="3093"/>
        <v>3.5714285714285712E-2</v>
      </c>
      <c r="AA403" s="157">
        <f t="shared" si="3093"/>
        <v>3.5714285714285712E-2</v>
      </c>
      <c r="AB403" s="157">
        <f t="shared" si="3093"/>
        <v>3.5714285714285712E-2</v>
      </c>
      <c r="AC403" s="157">
        <f t="shared" si="3093"/>
        <v>3.5714285714285712E-2</v>
      </c>
      <c r="AD403" s="157">
        <f t="shared" si="3093"/>
        <v>3.5714285714285712E-2</v>
      </c>
      <c r="AE403" s="157">
        <f t="shared" si="3093"/>
        <v>3.5714285714285712E-2</v>
      </c>
      <c r="AF403" s="157">
        <f t="shared" si="3093"/>
        <v>3.5714285714285712E-2</v>
      </c>
      <c r="AG403" s="157">
        <f t="shared" si="3093"/>
        <v>3.5714285714285712E-2</v>
      </c>
      <c r="AH403" s="157">
        <f t="shared" si="3093"/>
        <v>3.5714285714285712E-2</v>
      </c>
      <c r="AI403" s="157">
        <f t="shared" si="3093"/>
        <v>3.5714285714285712E-2</v>
      </c>
      <c r="AJ403" s="157">
        <f t="shared" si="3093"/>
        <v>3.5714285714285712E-2</v>
      </c>
      <c r="AK403" s="157">
        <f t="shared" si="3093"/>
        <v>3.5714285714285712E-2</v>
      </c>
      <c r="AL403" s="157">
        <f t="shared" si="3093"/>
        <v>3.5714285714285712E-2</v>
      </c>
      <c r="AM403" s="157">
        <f t="shared" si="3093"/>
        <v>3.5714285714285712E-2</v>
      </c>
      <c r="AN403" s="157">
        <f t="shared" si="3093"/>
        <v>3.5714285714285712E-2</v>
      </c>
      <c r="AO403" s="157">
        <f t="shared" si="3093"/>
        <v>3.5714285714285712E-2</v>
      </c>
      <c r="AP403" s="157">
        <f t="shared" si="3093"/>
        <v>3.5714285714285712E-2</v>
      </c>
      <c r="AQ403" s="157">
        <f t="shared" si="3093"/>
        <v>3.5714285714285712E-2</v>
      </c>
      <c r="AR403" s="157">
        <f t="shared" si="3093"/>
        <v>3.5714285714285712E-2</v>
      </c>
      <c r="AS403" s="157">
        <f t="shared" si="3093"/>
        <v>3.5714285714285712E-2</v>
      </c>
      <c r="AT403" s="157">
        <f t="shared" si="3093"/>
        <v>3.5714285714285712E-2</v>
      </c>
      <c r="AU403" s="157">
        <f t="shared" si="3093"/>
        <v>3.5714285714285712E-2</v>
      </c>
      <c r="AV403" s="157">
        <f t="shared" si="3093"/>
        <v>3.5714285714285712E-2</v>
      </c>
      <c r="AW403" s="157">
        <f t="shared" si="3093"/>
        <v>3.5714285714285712E-2</v>
      </c>
      <c r="AX403" s="157">
        <f t="shared" si="3093"/>
        <v>3.5714285714285712E-2</v>
      </c>
      <c r="AY403" s="157">
        <f t="shared" si="3093"/>
        <v>3.5714285714285712E-2</v>
      </c>
      <c r="AZ403" s="157">
        <f t="shared" si="3093"/>
        <v>3.5714285714285712E-2</v>
      </c>
      <c r="BA403" s="157">
        <f t="shared" si="3093"/>
        <v>3.5714285714285712E-2</v>
      </c>
      <c r="BB403" s="157">
        <f t="shared" si="3093"/>
        <v>3.5714285714285712E-2</v>
      </c>
      <c r="BC403" s="157">
        <f t="shared" si="3093"/>
        <v>3.5714285714285712E-2</v>
      </c>
      <c r="BD403" s="157">
        <f t="shared" si="3093"/>
        <v>3.5714285714285712E-2</v>
      </c>
      <c r="BE403" s="157">
        <f t="shared" si="3093"/>
        <v>3.5714285714285712E-2</v>
      </c>
      <c r="BF403" s="157">
        <f t="shared" si="3093"/>
        <v>3.5714285714285712E-2</v>
      </c>
      <c r="BG403" s="157">
        <f t="shared" si="3093"/>
        <v>3.5714285714285712E-2</v>
      </c>
      <c r="BH403" s="157">
        <f t="shared" si="3093"/>
        <v>3.5714285714285712E-2</v>
      </c>
      <c r="BI403" s="157">
        <f t="shared" si="3093"/>
        <v>3.5714285714285712E-2</v>
      </c>
      <c r="BJ403" s="157">
        <f t="shared" si="3093"/>
        <v>3.5714285714285712E-2</v>
      </c>
      <c r="BK403" s="157">
        <f t="shared" si="3093"/>
        <v>3.5714285714285712E-2</v>
      </c>
      <c r="BL403" s="157">
        <f t="shared" si="3093"/>
        <v>3.5714285714285712E-2</v>
      </c>
      <c r="BM403" s="157">
        <f t="shared" si="3093"/>
        <v>3.5714285714285712E-2</v>
      </c>
      <c r="BN403" s="157">
        <f t="shared" si="3093"/>
        <v>3.5714285714285712E-2</v>
      </c>
      <c r="BO403" s="157">
        <f t="shared" si="3093"/>
        <v>3.5714285714285712E-2</v>
      </c>
      <c r="BP403" s="157">
        <f t="shared" si="3093"/>
        <v>3.5714285714285712E-2</v>
      </c>
      <c r="BQ403" s="157">
        <f t="shared" si="3093"/>
        <v>3.5714285714285712E-2</v>
      </c>
      <c r="BR403" s="157">
        <f t="shared" si="3093"/>
        <v>3.5714285714285712E-2</v>
      </c>
      <c r="BS403" s="157">
        <f t="shared" si="3093"/>
        <v>3.5714285714285712E-2</v>
      </c>
      <c r="BT403" s="157">
        <f t="shared" si="3093"/>
        <v>3.5714285714285712E-2</v>
      </c>
      <c r="BU403" s="157">
        <f t="shared" si="3093"/>
        <v>3.5714285714285712E-2</v>
      </c>
      <c r="BV403" s="157">
        <f t="shared" si="3093"/>
        <v>3.5714285714285712E-2</v>
      </c>
      <c r="BW403" s="157">
        <f t="shared" si="3093"/>
        <v>3.5714285714285712E-2</v>
      </c>
      <c r="BX403" s="157">
        <f t="shared" si="3093"/>
        <v>3.5714285714285712E-2</v>
      </c>
      <c r="BY403" s="157">
        <f t="shared" si="3093"/>
        <v>3.5714285714285712E-2</v>
      </c>
      <c r="BZ403" s="157">
        <f t="shared" si="3093"/>
        <v>3.5714285714285712E-2</v>
      </c>
      <c r="CA403" s="157">
        <f t="shared" si="3093"/>
        <v>3.5714285714285712E-2</v>
      </c>
      <c r="CB403" s="157">
        <f t="shared" si="3093"/>
        <v>3.5714285714285712E-2</v>
      </c>
      <c r="CC403" s="157">
        <f t="shared" si="3093"/>
        <v>3.5714285714285712E-2</v>
      </c>
      <c r="CD403" s="157">
        <f t="shared" si="3093"/>
        <v>3.5714285714285712E-2</v>
      </c>
      <c r="CE403" s="157">
        <f t="shared" ref="CE403:CO403" si="3094">IF($E402&lt;&gt;0,1/$E402,0)/Periods_in_Year</f>
        <v>3.5714285714285712E-2</v>
      </c>
      <c r="CF403" s="157">
        <f t="shared" si="3094"/>
        <v>3.5714285714285712E-2</v>
      </c>
      <c r="CG403" s="157">
        <f t="shared" si="3094"/>
        <v>3.5714285714285712E-2</v>
      </c>
      <c r="CH403" s="157">
        <f t="shared" si="3094"/>
        <v>3.5714285714285712E-2</v>
      </c>
      <c r="CI403" s="157">
        <f t="shared" si="3094"/>
        <v>3.5714285714285712E-2</v>
      </c>
      <c r="CJ403" s="157">
        <f t="shared" si="3094"/>
        <v>3.5714285714285712E-2</v>
      </c>
      <c r="CK403" s="157">
        <f t="shared" si="3094"/>
        <v>3.5714285714285712E-2</v>
      </c>
      <c r="CL403" s="157">
        <f t="shared" si="3094"/>
        <v>3.5714285714285712E-2</v>
      </c>
      <c r="CM403" s="157">
        <f t="shared" si="3094"/>
        <v>3.5714285714285712E-2</v>
      </c>
      <c r="CN403" s="157">
        <f t="shared" si="3094"/>
        <v>3.5714285714285712E-2</v>
      </c>
      <c r="CO403" s="157">
        <f t="shared" si="3094"/>
        <v>3.5714285714285712E-2</v>
      </c>
    </row>
    <row r="404" spans="1:93">
      <c r="A404" s="10"/>
      <c r="B404" s="10"/>
      <c r="C404" s="17" t="s">
        <v>125</v>
      </c>
      <c r="D404" s="10"/>
      <c r="E404" s="62"/>
      <c r="F404" s="11"/>
      <c r="G404" s="134" t="str">
        <f t="shared" ref="G404:G409" si="3095">Monetary_Unit</f>
        <v>тыс. руб.</v>
      </c>
      <c r="H404" s="10"/>
      <c r="I404" s="10"/>
      <c r="J404" s="10"/>
      <c r="K404" s="10"/>
      <c r="L404" s="10">
        <f t="shared" ref="L404" si="3096">K409</f>
        <v>0</v>
      </c>
      <c r="M404" s="10">
        <f t="shared" ref="M404" ca="1" si="3097">L409</f>
        <v>0</v>
      </c>
      <c r="N404" s="10">
        <f t="shared" ref="N404" ca="1" si="3098">M409</f>
        <v>0</v>
      </c>
      <c r="O404" s="10">
        <f t="shared" ref="O404" ca="1" si="3099">N409</f>
        <v>0</v>
      </c>
      <c r="P404" s="10">
        <f t="shared" ref="P404" ca="1" si="3100">O409</f>
        <v>0</v>
      </c>
      <c r="Q404" s="10">
        <f t="shared" ref="Q404" ca="1" si="3101">P409</f>
        <v>0</v>
      </c>
      <c r="R404" s="10">
        <f t="shared" ref="R404" ca="1" si="3102">Q409</f>
        <v>0</v>
      </c>
      <c r="S404" s="10">
        <f t="shared" ref="S404" ca="1" si="3103">R409</f>
        <v>0</v>
      </c>
      <c r="T404" s="10">
        <f t="shared" ref="T404" ca="1" si="3104">S409</f>
        <v>0</v>
      </c>
      <c r="U404" s="10">
        <f t="shared" ref="U404" ca="1" si="3105">T409</f>
        <v>0</v>
      </c>
      <c r="V404" s="10">
        <f t="shared" ref="V404" ca="1" si="3106">U409</f>
        <v>0</v>
      </c>
      <c r="W404" s="10">
        <f t="shared" ref="W404" ca="1" si="3107">V409</f>
        <v>0</v>
      </c>
      <c r="X404" s="10">
        <f t="shared" ref="X404" ca="1" si="3108">W409</f>
        <v>0</v>
      </c>
      <c r="Y404" s="10">
        <f t="shared" ref="Y404" ca="1" si="3109">X409</f>
        <v>0</v>
      </c>
      <c r="Z404" s="10">
        <f t="shared" ref="Z404" ca="1" si="3110">Y409</f>
        <v>0</v>
      </c>
      <c r="AA404" s="10">
        <f t="shared" ref="AA404" ca="1" si="3111">Z409</f>
        <v>0</v>
      </c>
      <c r="AB404" s="10">
        <f t="shared" ref="AB404" ca="1" si="3112">AA409</f>
        <v>0</v>
      </c>
      <c r="AC404" s="10">
        <f t="shared" ref="AC404" ca="1" si="3113">AB409</f>
        <v>58291.253168524403</v>
      </c>
      <c r="AD404" s="10">
        <f t="shared" ref="AD404" ca="1" si="3114">AC409</f>
        <v>56209.422698219962</v>
      </c>
      <c r="AE404" s="10">
        <f t="shared" ref="AE404" ca="1" si="3115">AD409</f>
        <v>54127.59222791552</v>
      </c>
      <c r="AF404" s="10">
        <f t="shared" ref="AF404" ca="1" si="3116">AE409</f>
        <v>52045.761757611079</v>
      </c>
      <c r="AG404" s="10">
        <f t="shared" ref="AG404" ca="1" si="3117">AF409</f>
        <v>49963.93128730663</v>
      </c>
      <c r="AH404" s="10">
        <f t="shared" ref="AH404" ca="1" si="3118">AG409</f>
        <v>47882.100817002189</v>
      </c>
      <c r="AI404" s="10">
        <f t="shared" ref="AI404" ca="1" si="3119">AH409</f>
        <v>45800.270346697747</v>
      </c>
      <c r="AJ404" s="10">
        <f t="shared" ref="AJ404" ca="1" si="3120">AI409</f>
        <v>43718.439876393299</v>
      </c>
      <c r="AK404" s="10">
        <f t="shared" ref="AK404" ca="1" si="3121">AJ409</f>
        <v>41636.609406088857</v>
      </c>
      <c r="AL404" s="10">
        <f t="shared" ref="AL404" ca="1" si="3122">AK409</f>
        <v>39554.778935784416</v>
      </c>
      <c r="AM404" s="10">
        <f t="shared" ref="AM404" ca="1" si="3123">AL409</f>
        <v>37472.948465479974</v>
      </c>
      <c r="AN404" s="10">
        <f t="shared" ref="AN404" ca="1" si="3124">AM409</f>
        <v>35391.117995175533</v>
      </c>
      <c r="AO404" s="10">
        <f t="shared" ref="AO404" ca="1" si="3125">AN409</f>
        <v>33309.287524871092</v>
      </c>
      <c r="AP404" s="10">
        <f t="shared" ref="AP404" ca="1" si="3126">AO409</f>
        <v>31227.457054566654</v>
      </c>
      <c r="AQ404" s="10">
        <f t="shared" ref="AQ404" ca="1" si="3127">AP409</f>
        <v>29145.626584262212</v>
      </c>
      <c r="AR404" s="10">
        <f t="shared" ref="AR404" ca="1" si="3128">AQ409</f>
        <v>27063.796113957771</v>
      </c>
      <c r="AS404" s="10">
        <f t="shared" ref="AS404" ca="1" si="3129">AR409</f>
        <v>24981.965643653326</v>
      </c>
      <c r="AT404" s="10">
        <f t="shared" ref="AT404" ca="1" si="3130">AS409</f>
        <v>22900.135173348885</v>
      </c>
      <c r="AU404" s="10">
        <f t="shared" ref="AU404" ca="1" si="3131">AT409</f>
        <v>20818.304703044443</v>
      </c>
      <c r="AV404" s="10">
        <f t="shared" ref="AV404" ca="1" si="3132">AU409</f>
        <v>18736.474232740002</v>
      </c>
      <c r="AW404" s="10">
        <f t="shared" ref="AW404" ca="1" si="3133">AV409</f>
        <v>16654.64376243556</v>
      </c>
      <c r="AX404" s="10">
        <f t="shared" ref="AX404" ca="1" si="3134">AW409</f>
        <v>14572.813292131119</v>
      </c>
      <c r="AY404" s="10">
        <f t="shared" ref="AY404" ca="1" si="3135">AX409</f>
        <v>12490.982821826678</v>
      </c>
      <c r="AZ404" s="10">
        <f t="shared" ref="AZ404" ca="1" si="3136">AY409</f>
        <v>10409.152351522236</v>
      </c>
      <c r="BA404" s="10">
        <f t="shared" ref="BA404" ca="1" si="3137">AZ409</f>
        <v>8327.3218812177947</v>
      </c>
      <c r="BB404" s="10">
        <f t="shared" ref="BB404" ca="1" si="3138">BA409</f>
        <v>6245.4914109133533</v>
      </c>
      <c r="BC404" s="10">
        <f t="shared" ref="BC404" ca="1" si="3139">BB409</f>
        <v>4163.6609406089119</v>
      </c>
      <c r="BD404" s="10">
        <f t="shared" ref="BD404" ca="1" si="3140">BC409</f>
        <v>2081.8304703044705</v>
      </c>
      <c r="BE404" s="10">
        <f t="shared" ref="BE404" ca="1" si="3141">BD409</f>
        <v>0</v>
      </c>
      <c r="BF404" s="10">
        <f t="shared" ref="BF404" ca="1" si="3142">BE409</f>
        <v>0</v>
      </c>
      <c r="BG404" s="10">
        <f t="shared" ref="BG404" ca="1" si="3143">BF409</f>
        <v>0</v>
      </c>
      <c r="BH404" s="10">
        <f t="shared" ref="BH404" ca="1" si="3144">BG409</f>
        <v>0</v>
      </c>
      <c r="BI404" s="10">
        <f t="shared" ref="BI404" ca="1" si="3145">BH409</f>
        <v>0</v>
      </c>
      <c r="BJ404" s="10">
        <f t="shared" ref="BJ404" ca="1" si="3146">BI409</f>
        <v>0</v>
      </c>
      <c r="BK404" s="10">
        <f t="shared" ref="BK404" ca="1" si="3147">BJ409</f>
        <v>0</v>
      </c>
      <c r="BL404" s="10">
        <f t="shared" ref="BL404" ca="1" si="3148">BK409</f>
        <v>0</v>
      </c>
      <c r="BM404" s="10">
        <f t="shared" ref="BM404" ca="1" si="3149">BL409</f>
        <v>0</v>
      </c>
      <c r="BN404" s="10">
        <f t="shared" ref="BN404" ca="1" si="3150">BM409</f>
        <v>0</v>
      </c>
      <c r="BO404" s="10">
        <f t="shared" ref="BO404" ca="1" si="3151">BN409</f>
        <v>0</v>
      </c>
      <c r="BP404" s="10">
        <f t="shared" ref="BP404" ca="1" si="3152">BO409</f>
        <v>0</v>
      </c>
      <c r="BQ404" s="10">
        <f t="shared" ref="BQ404" ca="1" si="3153">BP409</f>
        <v>0</v>
      </c>
      <c r="BR404" s="10">
        <f t="shared" ref="BR404" ca="1" si="3154">BQ409</f>
        <v>0</v>
      </c>
      <c r="BS404" s="10">
        <f t="shared" ref="BS404" ca="1" si="3155">BR409</f>
        <v>0</v>
      </c>
      <c r="BT404" s="10">
        <f t="shared" ref="BT404" ca="1" si="3156">BS409</f>
        <v>0</v>
      </c>
      <c r="BU404" s="10">
        <f t="shared" ref="BU404" ca="1" si="3157">BT409</f>
        <v>0</v>
      </c>
      <c r="BV404" s="10">
        <f t="shared" ref="BV404" ca="1" si="3158">BU409</f>
        <v>0</v>
      </c>
      <c r="BW404" s="10">
        <f t="shared" ref="BW404" ca="1" si="3159">BV409</f>
        <v>0</v>
      </c>
      <c r="BX404" s="10">
        <f t="shared" ref="BX404" ca="1" si="3160">BW409</f>
        <v>0</v>
      </c>
      <c r="BY404" s="10">
        <f t="shared" ref="BY404" ca="1" si="3161">BX409</f>
        <v>0</v>
      </c>
      <c r="BZ404" s="10">
        <f t="shared" ref="BZ404" ca="1" si="3162">BY409</f>
        <v>0</v>
      </c>
      <c r="CA404" s="10">
        <f t="shared" ref="CA404" ca="1" si="3163">BZ409</f>
        <v>0</v>
      </c>
      <c r="CB404" s="10">
        <f t="shared" ref="CB404" ca="1" si="3164">CA409</f>
        <v>0</v>
      </c>
      <c r="CC404" s="10">
        <f t="shared" ref="CC404" ca="1" si="3165">CB409</f>
        <v>0</v>
      </c>
      <c r="CD404" s="10">
        <f t="shared" ref="CD404" ca="1" si="3166">CC409</f>
        <v>0</v>
      </c>
      <c r="CE404" s="10">
        <f t="shared" ref="CE404" ca="1" si="3167">CD409</f>
        <v>0</v>
      </c>
      <c r="CF404" s="10">
        <f t="shared" ref="CF404" ca="1" si="3168">CE409</f>
        <v>0</v>
      </c>
      <c r="CG404" s="10">
        <f t="shared" ref="CG404" ca="1" si="3169">CF409</f>
        <v>0</v>
      </c>
      <c r="CH404" s="10">
        <f t="shared" ref="CH404" ca="1" si="3170">CG409</f>
        <v>0</v>
      </c>
      <c r="CI404" s="10">
        <f t="shared" ref="CI404" ca="1" si="3171">CH409</f>
        <v>0</v>
      </c>
      <c r="CJ404" s="10">
        <f t="shared" ref="CJ404" ca="1" si="3172">CI409</f>
        <v>0</v>
      </c>
      <c r="CK404" s="10">
        <f t="shared" ref="CK404" ca="1" si="3173">CJ409</f>
        <v>0</v>
      </c>
      <c r="CL404" s="10">
        <f t="shared" ref="CL404" ca="1" si="3174">CK409</f>
        <v>0</v>
      </c>
      <c r="CM404" s="10">
        <f t="shared" ref="CM404" ca="1" si="3175">CL409</f>
        <v>0</v>
      </c>
      <c r="CN404" s="10">
        <f t="shared" ref="CN404" ca="1" si="3176">CM409</f>
        <v>0</v>
      </c>
      <c r="CO404" s="10">
        <f t="shared" ref="CO404" ca="1" si="3177">CN409</f>
        <v>0</v>
      </c>
    </row>
    <row r="405" spans="1:93">
      <c r="A405" s="10"/>
      <c r="B405" s="10"/>
      <c r="C405" s="17" t="s">
        <v>126</v>
      </c>
      <c r="D405" s="10"/>
      <c r="E405" s="62"/>
      <c r="F405" s="11"/>
      <c r="G405" s="134" t="str">
        <f t="shared" si="3095"/>
        <v>тыс. руб.</v>
      </c>
      <c r="H405" s="10"/>
      <c r="I405" s="23">
        <f ca="1">SUM(L405:CO405)</f>
        <v>58291.253168524403</v>
      </c>
      <c r="J405" s="10"/>
      <c r="K405" s="10"/>
      <c r="L405" s="10">
        <f t="shared" ref="L405:Q405" ca="1" si="3178">SUM(L$328,L$330:L$331) * $E347</f>
        <v>0</v>
      </c>
      <c r="M405" s="10">
        <f t="shared" ca="1" si="3178"/>
        <v>0</v>
      </c>
      <c r="N405" s="10">
        <f t="shared" ca="1" si="3178"/>
        <v>0</v>
      </c>
      <c r="O405" s="10">
        <f t="shared" ca="1" si="3178"/>
        <v>0</v>
      </c>
      <c r="P405" s="10">
        <f t="shared" ca="1" si="3178"/>
        <v>0</v>
      </c>
      <c r="Q405" s="10">
        <f t="shared" ca="1" si="3178"/>
        <v>0</v>
      </c>
      <c r="R405" s="10">
        <f t="shared" ref="R405" ca="1" si="3179">SUM(R$328,R$330:R$331) * $E347</f>
        <v>0</v>
      </c>
      <c r="S405" s="10">
        <f t="shared" ref="S405:CD405" ca="1" si="3180">SUM(S$328,S$330:S$331) * $E347</f>
        <v>0</v>
      </c>
      <c r="T405" s="10">
        <f t="shared" ca="1" si="3180"/>
        <v>0</v>
      </c>
      <c r="U405" s="10">
        <f t="shared" ca="1" si="3180"/>
        <v>0</v>
      </c>
      <c r="V405" s="10">
        <f t="shared" ca="1" si="3180"/>
        <v>0</v>
      </c>
      <c r="W405" s="10">
        <f t="shared" ca="1" si="3180"/>
        <v>0</v>
      </c>
      <c r="X405" s="10">
        <f t="shared" ca="1" si="3180"/>
        <v>0</v>
      </c>
      <c r="Y405" s="10">
        <f t="shared" ca="1" si="3180"/>
        <v>0</v>
      </c>
      <c r="Z405" s="10">
        <f t="shared" ca="1" si="3180"/>
        <v>0</v>
      </c>
      <c r="AA405" s="10">
        <f t="shared" ca="1" si="3180"/>
        <v>0</v>
      </c>
      <c r="AB405" s="10">
        <f t="shared" ca="1" si="3180"/>
        <v>58291.253168524403</v>
      </c>
      <c r="AC405" s="10">
        <f t="shared" ca="1" si="3180"/>
        <v>0</v>
      </c>
      <c r="AD405" s="10">
        <f t="shared" ca="1" si="3180"/>
        <v>0</v>
      </c>
      <c r="AE405" s="10">
        <f t="shared" ca="1" si="3180"/>
        <v>0</v>
      </c>
      <c r="AF405" s="10">
        <f t="shared" ca="1" si="3180"/>
        <v>0</v>
      </c>
      <c r="AG405" s="10">
        <f t="shared" ca="1" si="3180"/>
        <v>0</v>
      </c>
      <c r="AH405" s="10">
        <f t="shared" ca="1" si="3180"/>
        <v>0</v>
      </c>
      <c r="AI405" s="10">
        <f t="shared" ca="1" si="3180"/>
        <v>0</v>
      </c>
      <c r="AJ405" s="10">
        <f t="shared" ca="1" si="3180"/>
        <v>0</v>
      </c>
      <c r="AK405" s="10">
        <f t="shared" ca="1" si="3180"/>
        <v>0</v>
      </c>
      <c r="AL405" s="10">
        <f t="shared" ca="1" si="3180"/>
        <v>0</v>
      </c>
      <c r="AM405" s="10">
        <f t="shared" ca="1" si="3180"/>
        <v>0</v>
      </c>
      <c r="AN405" s="10">
        <f t="shared" ca="1" si="3180"/>
        <v>0</v>
      </c>
      <c r="AO405" s="10">
        <f t="shared" ca="1" si="3180"/>
        <v>0</v>
      </c>
      <c r="AP405" s="10">
        <f t="shared" ca="1" si="3180"/>
        <v>0</v>
      </c>
      <c r="AQ405" s="10">
        <f t="shared" ca="1" si="3180"/>
        <v>0</v>
      </c>
      <c r="AR405" s="10">
        <f t="shared" ca="1" si="3180"/>
        <v>0</v>
      </c>
      <c r="AS405" s="10">
        <f t="shared" ca="1" si="3180"/>
        <v>0</v>
      </c>
      <c r="AT405" s="10">
        <f t="shared" ca="1" si="3180"/>
        <v>0</v>
      </c>
      <c r="AU405" s="10">
        <f t="shared" ca="1" si="3180"/>
        <v>0</v>
      </c>
      <c r="AV405" s="10">
        <f t="shared" ca="1" si="3180"/>
        <v>0</v>
      </c>
      <c r="AW405" s="10">
        <f t="shared" ca="1" si="3180"/>
        <v>0</v>
      </c>
      <c r="AX405" s="10">
        <f t="shared" ca="1" si="3180"/>
        <v>0</v>
      </c>
      <c r="AY405" s="10">
        <f t="shared" ca="1" si="3180"/>
        <v>0</v>
      </c>
      <c r="AZ405" s="10">
        <f t="shared" ca="1" si="3180"/>
        <v>0</v>
      </c>
      <c r="BA405" s="10">
        <f t="shared" ca="1" si="3180"/>
        <v>0</v>
      </c>
      <c r="BB405" s="10">
        <f t="shared" ca="1" si="3180"/>
        <v>0</v>
      </c>
      <c r="BC405" s="10">
        <f t="shared" ca="1" si="3180"/>
        <v>0</v>
      </c>
      <c r="BD405" s="10">
        <f t="shared" ca="1" si="3180"/>
        <v>0</v>
      </c>
      <c r="BE405" s="10">
        <f t="shared" ca="1" si="3180"/>
        <v>0</v>
      </c>
      <c r="BF405" s="10">
        <f t="shared" ca="1" si="3180"/>
        <v>0</v>
      </c>
      <c r="BG405" s="10">
        <f t="shared" ca="1" si="3180"/>
        <v>0</v>
      </c>
      <c r="BH405" s="10">
        <f t="shared" ca="1" si="3180"/>
        <v>0</v>
      </c>
      <c r="BI405" s="10">
        <f t="shared" ca="1" si="3180"/>
        <v>0</v>
      </c>
      <c r="BJ405" s="10">
        <f t="shared" ca="1" si="3180"/>
        <v>0</v>
      </c>
      <c r="BK405" s="10">
        <f t="shared" ca="1" si="3180"/>
        <v>0</v>
      </c>
      <c r="BL405" s="10">
        <f t="shared" ca="1" si="3180"/>
        <v>0</v>
      </c>
      <c r="BM405" s="10">
        <f t="shared" ca="1" si="3180"/>
        <v>0</v>
      </c>
      <c r="BN405" s="10">
        <f t="shared" ca="1" si="3180"/>
        <v>0</v>
      </c>
      <c r="BO405" s="10">
        <f t="shared" ca="1" si="3180"/>
        <v>0</v>
      </c>
      <c r="BP405" s="10">
        <f t="shared" ca="1" si="3180"/>
        <v>0</v>
      </c>
      <c r="BQ405" s="10">
        <f t="shared" ca="1" si="3180"/>
        <v>0</v>
      </c>
      <c r="BR405" s="10">
        <f t="shared" ca="1" si="3180"/>
        <v>0</v>
      </c>
      <c r="BS405" s="10">
        <f t="shared" ca="1" si="3180"/>
        <v>0</v>
      </c>
      <c r="BT405" s="10">
        <f t="shared" ca="1" si="3180"/>
        <v>0</v>
      </c>
      <c r="BU405" s="10">
        <f t="shared" ca="1" si="3180"/>
        <v>0</v>
      </c>
      <c r="BV405" s="10">
        <f t="shared" ca="1" si="3180"/>
        <v>0</v>
      </c>
      <c r="BW405" s="10">
        <f t="shared" ca="1" si="3180"/>
        <v>0</v>
      </c>
      <c r="BX405" s="10">
        <f t="shared" ca="1" si="3180"/>
        <v>0</v>
      </c>
      <c r="BY405" s="10">
        <f t="shared" ca="1" si="3180"/>
        <v>0</v>
      </c>
      <c r="BZ405" s="10">
        <f t="shared" ca="1" si="3180"/>
        <v>0</v>
      </c>
      <c r="CA405" s="10">
        <f t="shared" ca="1" si="3180"/>
        <v>0</v>
      </c>
      <c r="CB405" s="10">
        <f t="shared" ca="1" si="3180"/>
        <v>0</v>
      </c>
      <c r="CC405" s="10">
        <f t="shared" ca="1" si="3180"/>
        <v>0</v>
      </c>
      <c r="CD405" s="10">
        <f t="shared" ca="1" si="3180"/>
        <v>0</v>
      </c>
      <c r="CE405" s="10">
        <f t="shared" ref="CE405:CO405" ca="1" si="3181">SUM(CE$328,CE$330:CE$331) * $E347</f>
        <v>0</v>
      </c>
      <c r="CF405" s="10">
        <f t="shared" ca="1" si="3181"/>
        <v>0</v>
      </c>
      <c r="CG405" s="10">
        <f t="shared" ca="1" si="3181"/>
        <v>0</v>
      </c>
      <c r="CH405" s="10">
        <f t="shared" ca="1" si="3181"/>
        <v>0</v>
      </c>
      <c r="CI405" s="10">
        <f t="shared" ca="1" si="3181"/>
        <v>0</v>
      </c>
      <c r="CJ405" s="10">
        <f t="shared" ca="1" si="3181"/>
        <v>0</v>
      </c>
      <c r="CK405" s="10">
        <f t="shared" ca="1" si="3181"/>
        <v>0</v>
      </c>
      <c r="CL405" s="10">
        <f t="shared" ca="1" si="3181"/>
        <v>0</v>
      </c>
      <c r="CM405" s="10">
        <f t="shared" ca="1" si="3181"/>
        <v>0</v>
      </c>
      <c r="CN405" s="10">
        <f t="shared" ca="1" si="3181"/>
        <v>0</v>
      </c>
      <c r="CO405" s="10">
        <f t="shared" ca="1" si="3181"/>
        <v>0</v>
      </c>
    </row>
    <row r="406" spans="1:93">
      <c r="A406" s="10"/>
      <c r="B406" s="10"/>
      <c r="C406" s="17" t="s">
        <v>388</v>
      </c>
      <c r="D406" s="10"/>
      <c r="E406" s="62"/>
      <c r="F406" s="11"/>
      <c r="G406" s="134" t="str">
        <f t="shared" si="3095"/>
        <v>тыс. руб.</v>
      </c>
      <c r="H406" s="10"/>
      <c r="I406" s="10"/>
      <c r="J406" s="10"/>
      <c r="K406" s="10"/>
      <c r="L406" s="10">
        <f t="shared" ref="L406" ca="1" si="3182">L405+K406</f>
        <v>0</v>
      </c>
      <c r="M406" s="10">
        <f t="shared" ref="M406" ca="1" si="3183">M405+L406</f>
        <v>0</v>
      </c>
      <c r="N406" s="10">
        <f t="shared" ref="N406" ca="1" si="3184">N405+M406</f>
        <v>0</v>
      </c>
      <c r="O406" s="10">
        <f t="shared" ref="O406" ca="1" si="3185">O405+N406</f>
        <v>0</v>
      </c>
      <c r="P406" s="10">
        <f t="shared" ref="P406" ca="1" si="3186">P405+O406</f>
        <v>0</v>
      </c>
      <c r="Q406" s="10">
        <f t="shared" ref="Q406" ca="1" si="3187">Q405+P406</f>
        <v>0</v>
      </c>
      <c r="R406" s="10">
        <f t="shared" ref="R406" ca="1" si="3188">R405+Q406</f>
        <v>0</v>
      </c>
      <c r="S406" s="10">
        <f t="shared" ref="S406" ca="1" si="3189">S405+R406</f>
        <v>0</v>
      </c>
      <c r="T406" s="10">
        <f t="shared" ref="T406" ca="1" si="3190">T405+S406</f>
        <v>0</v>
      </c>
      <c r="U406" s="10">
        <f t="shared" ref="U406" ca="1" si="3191">U405+T406</f>
        <v>0</v>
      </c>
      <c r="V406" s="10">
        <f t="shared" ref="V406" ca="1" si="3192">V405+U406</f>
        <v>0</v>
      </c>
      <c r="W406" s="10">
        <f t="shared" ref="W406" ca="1" si="3193">W405+V406</f>
        <v>0</v>
      </c>
      <c r="X406" s="10">
        <f t="shared" ref="X406" ca="1" si="3194">X405+W406</f>
        <v>0</v>
      </c>
      <c r="Y406" s="10">
        <f t="shared" ref="Y406" ca="1" si="3195">Y405+X406</f>
        <v>0</v>
      </c>
      <c r="Z406" s="10">
        <f t="shared" ref="Z406" ca="1" si="3196">Z405+Y406</f>
        <v>0</v>
      </c>
      <c r="AA406" s="10">
        <f t="shared" ref="AA406" ca="1" si="3197">AA405+Z406</f>
        <v>0</v>
      </c>
      <c r="AB406" s="10">
        <f t="shared" ref="AB406" ca="1" si="3198">AB405+AA406</f>
        <v>58291.253168524403</v>
      </c>
      <c r="AC406" s="10">
        <f t="shared" ref="AC406" ca="1" si="3199">AC405+AB406</f>
        <v>58291.253168524403</v>
      </c>
      <c r="AD406" s="10">
        <f t="shared" ref="AD406" ca="1" si="3200">AD405+AC406</f>
        <v>58291.253168524403</v>
      </c>
      <c r="AE406" s="10">
        <f t="shared" ref="AE406" ca="1" si="3201">AE405+AD406</f>
        <v>58291.253168524403</v>
      </c>
      <c r="AF406" s="10">
        <f t="shared" ref="AF406" ca="1" si="3202">AF405+AE406</f>
        <v>58291.253168524403</v>
      </c>
      <c r="AG406" s="10">
        <f t="shared" ref="AG406" ca="1" si="3203">AG405+AF406</f>
        <v>58291.253168524403</v>
      </c>
      <c r="AH406" s="10">
        <f t="shared" ref="AH406" ca="1" si="3204">AH405+AG406</f>
        <v>58291.253168524403</v>
      </c>
      <c r="AI406" s="10">
        <f t="shared" ref="AI406" ca="1" si="3205">AI405+AH406</f>
        <v>58291.253168524403</v>
      </c>
      <c r="AJ406" s="10">
        <f t="shared" ref="AJ406" ca="1" si="3206">AJ405+AI406</f>
        <v>58291.253168524403</v>
      </c>
      <c r="AK406" s="10">
        <f t="shared" ref="AK406" ca="1" si="3207">AK405+AJ406</f>
        <v>58291.253168524403</v>
      </c>
      <c r="AL406" s="10">
        <f t="shared" ref="AL406" ca="1" si="3208">AL405+AK406</f>
        <v>58291.253168524403</v>
      </c>
      <c r="AM406" s="10">
        <f t="shared" ref="AM406" ca="1" si="3209">AM405+AL406</f>
        <v>58291.253168524403</v>
      </c>
      <c r="AN406" s="10">
        <f t="shared" ref="AN406" ca="1" si="3210">AN405+AM406</f>
        <v>58291.253168524403</v>
      </c>
      <c r="AO406" s="10">
        <f t="shared" ref="AO406" ca="1" si="3211">AO405+AN406</f>
        <v>58291.253168524403</v>
      </c>
      <c r="AP406" s="10">
        <f t="shared" ref="AP406" ca="1" si="3212">AP405+AO406</f>
        <v>58291.253168524403</v>
      </c>
      <c r="AQ406" s="10">
        <f t="shared" ref="AQ406" ca="1" si="3213">AQ405+AP406</f>
        <v>58291.253168524403</v>
      </c>
      <c r="AR406" s="10">
        <f t="shared" ref="AR406" ca="1" si="3214">AR405+AQ406</f>
        <v>58291.253168524403</v>
      </c>
      <c r="AS406" s="10">
        <f t="shared" ref="AS406" ca="1" si="3215">AS405+AR406</f>
        <v>58291.253168524403</v>
      </c>
      <c r="AT406" s="10">
        <f t="shared" ref="AT406" ca="1" si="3216">AT405+AS406</f>
        <v>58291.253168524403</v>
      </c>
      <c r="AU406" s="10">
        <f t="shared" ref="AU406" ca="1" si="3217">AU405+AT406</f>
        <v>58291.253168524403</v>
      </c>
      <c r="AV406" s="10">
        <f t="shared" ref="AV406" ca="1" si="3218">AV405+AU406</f>
        <v>58291.253168524403</v>
      </c>
      <c r="AW406" s="10">
        <f t="shared" ref="AW406" ca="1" si="3219">AW405+AV406</f>
        <v>58291.253168524403</v>
      </c>
      <c r="AX406" s="10">
        <f t="shared" ref="AX406" ca="1" si="3220">AX405+AW406</f>
        <v>58291.253168524403</v>
      </c>
      <c r="AY406" s="10">
        <f t="shared" ref="AY406" ca="1" si="3221">AY405+AX406</f>
        <v>58291.253168524403</v>
      </c>
      <c r="AZ406" s="10">
        <f t="shared" ref="AZ406" ca="1" si="3222">AZ405+AY406</f>
        <v>58291.253168524403</v>
      </c>
      <c r="BA406" s="10">
        <f t="shared" ref="BA406" ca="1" si="3223">BA405+AZ406</f>
        <v>58291.253168524403</v>
      </c>
      <c r="BB406" s="10">
        <f t="shared" ref="BB406" ca="1" si="3224">BB405+BA406</f>
        <v>58291.253168524403</v>
      </c>
      <c r="BC406" s="10">
        <f t="shared" ref="BC406" ca="1" si="3225">BC405+BB406</f>
        <v>58291.253168524403</v>
      </c>
      <c r="BD406" s="10">
        <f t="shared" ref="BD406" ca="1" si="3226">BD405+BC406</f>
        <v>58291.253168524403</v>
      </c>
      <c r="BE406" s="10">
        <f t="shared" ref="BE406" ca="1" si="3227">BE405+BD406</f>
        <v>58291.253168524403</v>
      </c>
      <c r="BF406" s="10">
        <f t="shared" ref="BF406" ca="1" si="3228">BF405+BE406</f>
        <v>58291.253168524403</v>
      </c>
      <c r="BG406" s="10">
        <f t="shared" ref="BG406" ca="1" si="3229">BG405+BF406</f>
        <v>58291.253168524403</v>
      </c>
      <c r="BH406" s="10">
        <f t="shared" ref="BH406" ca="1" si="3230">BH405+BG406</f>
        <v>58291.253168524403</v>
      </c>
      <c r="BI406" s="10">
        <f t="shared" ref="BI406" ca="1" si="3231">BI405+BH406</f>
        <v>58291.253168524403</v>
      </c>
      <c r="BJ406" s="10">
        <f t="shared" ref="BJ406" ca="1" si="3232">BJ405+BI406</f>
        <v>58291.253168524403</v>
      </c>
      <c r="BK406" s="10">
        <f t="shared" ref="BK406" ca="1" si="3233">BK405+BJ406</f>
        <v>58291.253168524403</v>
      </c>
      <c r="BL406" s="10">
        <f t="shared" ref="BL406" ca="1" si="3234">BL405+BK406</f>
        <v>58291.253168524403</v>
      </c>
      <c r="BM406" s="10">
        <f t="shared" ref="BM406" ca="1" si="3235">BM405+BL406</f>
        <v>58291.253168524403</v>
      </c>
      <c r="BN406" s="10">
        <f t="shared" ref="BN406" ca="1" si="3236">BN405+BM406</f>
        <v>58291.253168524403</v>
      </c>
      <c r="BO406" s="10">
        <f t="shared" ref="BO406" ca="1" si="3237">BO405+BN406</f>
        <v>58291.253168524403</v>
      </c>
      <c r="BP406" s="10">
        <f t="shared" ref="BP406" ca="1" si="3238">BP405+BO406</f>
        <v>58291.253168524403</v>
      </c>
      <c r="BQ406" s="10">
        <f t="shared" ref="BQ406" ca="1" si="3239">BQ405+BP406</f>
        <v>58291.253168524403</v>
      </c>
      <c r="BR406" s="10">
        <f t="shared" ref="BR406" ca="1" si="3240">BR405+BQ406</f>
        <v>58291.253168524403</v>
      </c>
      <c r="BS406" s="10">
        <f t="shared" ref="BS406" ca="1" si="3241">BS405+BR406</f>
        <v>58291.253168524403</v>
      </c>
      <c r="BT406" s="10">
        <f t="shared" ref="BT406" ca="1" si="3242">BT405+BS406</f>
        <v>58291.253168524403</v>
      </c>
      <c r="BU406" s="10">
        <f t="shared" ref="BU406" ca="1" si="3243">BU405+BT406</f>
        <v>58291.253168524403</v>
      </c>
      <c r="BV406" s="10">
        <f t="shared" ref="BV406" ca="1" si="3244">BV405+BU406</f>
        <v>58291.253168524403</v>
      </c>
      <c r="BW406" s="10">
        <f t="shared" ref="BW406" ca="1" si="3245">BW405+BV406</f>
        <v>58291.253168524403</v>
      </c>
      <c r="BX406" s="10">
        <f t="shared" ref="BX406" ca="1" si="3246">BX405+BW406</f>
        <v>58291.253168524403</v>
      </c>
      <c r="BY406" s="10">
        <f t="shared" ref="BY406" ca="1" si="3247">BY405+BX406</f>
        <v>58291.253168524403</v>
      </c>
      <c r="BZ406" s="10">
        <f t="shared" ref="BZ406" ca="1" si="3248">BZ405+BY406</f>
        <v>58291.253168524403</v>
      </c>
      <c r="CA406" s="10">
        <f t="shared" ref="CA406" ca="1" si="3249">CA405+BZ406</f>
        <v>58291.253168524403</v>
      </c>
      <c r="CB406" s="10">
        <f t="shared" ref="CB406" ca="1" si="3250">CB405+CA406</f>
        <v>58291.253168524403</v>
      </c>
      <c r="CC406" s="10">
        <f t="shared" ref="CC406" ca="1" si="3251">CC405+CB406</f>
        <v>58291.253168524403</v>
      </c>
      <c r="CD406" s="10">
        <f t="shared" ref="CD406" ca="1" si="3252">CD405+CC406</f>
        <v>58291.253168524403</v>
      </c>
      <c r="CE406" s="10">
        <f t="shared" ref="CE406" ca="1" si="3253">CE405+CD406</f>
        <v>58291.253168524403</v>
      </c>
      <c r="CF406" s="10">
        <f t="shared" ref="CF406" ca="1" si="3254">CF405+CE406</f>
        <v>58291.253168524403</v>
      </c>
      <c r="CG406" s="10">
        <f t="shared" ref="CG406" ca="1" si="3255">CG405+CF406</f>
        <v>58291.253168524403</v>
      </c>
      <c r="CH406" s="10">
        <f t="shared" ref="CH406" ca="1" si="3256">CH405+CG406</f>
        <v>58291.253168524403</v>
      </c>
      <c r="CI406" s="10">
        <f t="shared" ref="CI406" ca="1" si="3257">CI405+CH406</f>
        <v>58291.253168524403</v>
      </c>
      <c r="CJ406" s="10">
        <f t="shared" ref="CJ406" ca="1" si="3258">CJ405+CI406</f>
        <v>58291.253168524403</v>
      </c>
      <c r="CK406" s="10">
        <f t="shared" ref="CK406" ca="1" si="3259">CK405+CJ406</f>
        <v>58291.253168524403</v>
      </c>
      <c r="CL406" s="10">
        <f t="shared" ref="CL406" ca="1" si="3260">CL405+CK406</f>
        <v>58291.253168524403</v>
      </c>
      <c r="CM406" s="10">
        <f t="shared" ref="CM406" ca="1" si="3261">CM405+CL406</f>
        <v>58291.253168524403</v>
      </c>
      <c r="CN406" s="10">
        <f t="shared" ref="CN406" ca="1" si="3262">CN405+CM406</f>
        <v>58291.253168524403</v>
      </c>
      <c r="CO406" s="10">
        <f t="shared" ref="CO406" ca="1" si="3263">CO405+CN406</f>
        <v>58291.253168524403</v>
      </c>
    </row>
    <row r="407" spans="1:93">
      <c r="A407" s="10"/>
      <c r="B407" s="10"/>
      <c r="C407" s="17" t="s">
        <v>389</v>
      </c>
      <c r="D407" s="10"/>
      <c r="E407" s="62"/>
      <c r="F407" s="11"/>
      <c r="G407" s="134" t="str">
        <f t="shared" si="3095"/>
        <v>тыс. руб.</v>
      </c>
      <c r="H407" s="10"/>
      <c r="I407" s="23">
        <f ca="1">SUM(L407:CO407)</f>
        <v>58291.253168524374</v>
      </c>
      <c r="J407" s="10"/>
      <c r="K407" s="10"/>
      <c r="L407" s="10">
        <f t="shared" ref="L407" ca="1" si="3264">(MIN(L406*L403,K409))</f>
        <v>0</v>
      </c>
      <c r="M407" s="10">
        <f t="shared" ref="M407" ca="1" si="3265">(MIN(M406*M403,L409))</f>
        <v>0</v>
      </c>
      <c r="N407" s="10">
        <f t="shared" ref="N407" ca="1" si="3266">(MIN(N406*N403,M409))</f>
        <v>0</v>
      </c>
      <c r="O407" s="10">
        <f t="shared" ref="O407" ca="1" si="3267">(MIN(O406*O403,N409))</f>
        <v>0</v>
      </c>
      <c r="P407" s="10">
        <f t="shared" ref="P407" ca="1" si="3268">(MIN(P406*P403,O409))</f>
        <v>0</v>
      </c>
      <c r="Q407" s="10">
        <f t="shared" ref="Q407" ca="1" si="3269">(MIN(Q406*Q403,P409))</f>
        <v>0</v>
      </c>
      <c r="R407" s="10">
        <f t="shared" ref="R407" ca="1" si="3270">(MIN(R406*R403,Q409))</f>
        <v>0</v>
      </c>
      <c r="S407" s="10">
        <f t="shared" ref="S407" ca="1" si="3271">(MIN(S406*S403,R409))</f>
        <v>0</v>
      </c>
      <c r="T407" s="10">
        <f t="shared" ref="T407" ca="1" si="3272">(MIN(T406*T403,S409))</f>
        <v>0</v>
      </c>
      <c r="U407" s="10">
        <f t="shared" ref="U407" ca="1" si="3273">(MIN(U406*U403,T409))</f>
        <v>0</v>
      </c>
      <c r="V407" s="10">
        <f t="shared" ref="V407" ca="1" si="3274">(MIN(V406*V403,U409))</f>
        <v>0</v>
      </c>
      <c r="W407" s="10">
        <f t="shared" ref="W407" ca="1" si="3275">(MIN(W406*W403,V409))</f>
        <v>0</v>
      </c>
      <c r="X407" s="10">
        <f t="shared" ref="X407" ca="1" si="3276">(MIN(X406*X403,W409))</f>
        <v>0</v>
      </c>
      <c r="Y407" s="10">
        <f t="shared" ref="Y407" ca="1" si="3277">(MIN(Y406*Y403,X409))</f>
        <v>0</v>
      </c>
      <c r="Z407" s="10">
        <f t="shared" ref="Z407" ca="1" si="3278">(MIN(Z406*Z403,Y409))</f>
        <v>0</v>
      </c>
      <c r="AA407" s="10">
        <f t="shared" ref="AA407" ca="1" si="3279">(MIN(AA406*AA403,Z409))</f>
        <v>0</v>
      </c>
      <c r="AB407" s="10">
        <f t="shared" ref="AB407" ca="1" si="3280">(MIN(AB406*AB403,AA409))</f>
        <v>0</v>
      </c>
      <c r="AC407" s="10">
        <f t="shared" ref="AC407" ca="1" si="3281">(MIN(AC406*AC403,AB409))</f>
        <v>2081.8304703044428</v>
      </c>
      <c r="AD407" s="10">
        <f t="shared" ref="AD407" ca="1" si="3282">(MIN(AD406*AD403,AC409))</f>
        <v>2081.8304703044428</v>
      </c>
      <c r="AE407" s="10">
        <f t="shared" ref="AE407" ca="1" si="3283">(MIN(AE406*AE403,AD409))</f>
        <v>2081.8304703044428</v>
      </c>
      <c r="AF407" s="10">
        <f t="shared" ref="AF407" ca="1" si="3284">(MIN(AF406*AF403,AE409))</f>
        <v>2081.8304703044428</v>
      </c>
      <c r="AG407" s="10">
        <f t="shared" ref="AG407" ca="1" si="3285">(MIN(AG406*AG403,AF409))</f>
        <v>2081.8304703044428</v>
      </c>
      <c r="AH407" s="10">
        <f t="shared" ref="AH407" ca="1" si="3286">(MIN(AH406*AH403,AG409))</f>
        <v>2081.8304703044428</v>
      </c>
      <c r="AI407" s="10">
        <f t="shared" ref="AI407" ca="1" si="3287">(MIN(AI406*AI403,AH409))</f>
        <v>2081.8304703044428</v>
      </c>
      <c r="AJ407" s="10">
        <f t="shared" ref="AJ407" ca="1" si="3288">(MIN(AJ406*AJ403,AI409))</f>
        <v>2081.8304703044428</v>
      </c>
      <c r="AK407" s="10">
        <f t="shared" ref="AK407" ca="1" si="3289">(MIN(AK406*AK403,AJ409))</f>
        <v>2081.8304703044428</v>
      </c>
      <c r="AL407" s="10">
        <f t="shared" ref="AL407" ca="1" si="3290">(MIN(AL406*AL403,AK409))</f>
        <v>2081.8304703044428</v>
      </c>
      <c r="AM407" s="10">
        <f t="shared" ref="AM407" ca="1" si="3291">(MIN(AM406*AM403,AL409))</f>
        <v>2081.8304703044428</v>
      </c>
      <c r="AN407" s="10">
        <f t="shared" ref="AN407" ca="1" si="3292">(MIN(AN406*AN403,AM409))</f>
        <v>2081.8304703044428</v>
      </c>
      <c r="AO407" s="10">
        <f t="shared" ref="AO407" ca="1" si="3293">(MIN(AO406*AO403,AN409))</f>
        <v>2081.8304703044428</v>
      </c>
      <c r="AP407" s="10">
        <f t="shared" ref="AP407" ca="1" si="3294">(MIN(AP406*AP403,AO409))</f>
        <v>2081.8304703044428</v>
      </c>
      <c r="AQ407" s="10">
        <f t="shared" ref="AQ407" ca="1" si="3295">(MIN(AQ406*AQ403,AP409))</f>
        <v>2081.8304703044428</v>
      </c>
      <c r="AR407" s="10">
        <f t="shared" ref="AR407" ca="1" si="3296">(MIN(AR406*AR403,AQ409))</f>
        <v>2081.8304703044428</v>
      </c>
      <c r="AS407" s="10">
        <f t="shared" ref="AS407" ca="1" si="3297">(MIN(AS406*AS403,AR409))</f>
        <v>2081.8304703044428</v>
      </c>
      <c r="AT407" s="10">
        <f t="shared" ref="AT407" ca="1" si="3298">(MIN(AT406*AT403,AS409))</f>
        <v>2081.8304703044428</v>
      </c>
      <c r="AU407" s="10">
        <f t="shared" ref="AU407" ca="1" si="3299">(MIN(AU406*AU403,AT409))</f>
        <v>2081.8304703044428</v>
      </c>
      <c r="AV407" s="10">
        <f t="shared" ref="AV407" ca="1" si="3300">(MIN(AV406*AV403,AU409))</f>
        <v>2081.8304703044428</v>
      </c>
      <c r="AW407" s="10">
        <f t="shared" ref="AW407" ca="1" si="3301">(MIN(AW406*AW403,AV409))</f>
        <v>2081.8304703044428</v>
      </c>
      <c r="AX407" s="10">
        <f t="shared" ref="AX407" ca="1" si="3302">(MIN(AX406*AX403,AW409))</f>
        <v>2081.8304703044428</v>
      </c>
      <c r="AY407" s="10">
        <f t="shared" ref="AY407" ca="1" si="3303">(MIN(AY406*AY403,AX409))</f>
        <v>2081.8304703044428</v>
      </c>
      <c r="AZ407" s="10">
        <f t="shared" ref="AZ407" ca="1" si="3304">(MIN(AZ406*AZ403,AY409))</f>
        <v>2081.8304703044428</v>
      </c>
      <c r="BA407" s="10">
        <f t="shared" ref="BA407" ca="1" si="3305">(MIN(BA406*BA403,AZ409))</f>
        <v>2081.8304703044428</v>
      </c>
      <c r="BB407" s="10">
        <f t="shared" ref="BB407" ca="1" si="3306">(MIN(BB406*BB403,BA409))</f>
        <v>2081.8304703044428</v>
      </c>
      <c r="BC407" s="10">
        <f t="shared" ref="BC407" ca="1" si="3307">(MIN(BC406*BC403,BB409))</f>
        <v>2081.8304703044428</v>
      </c>
      <c r="BD407" s="10">
        <f t="shared" ref="BD407" ca="1" si="3308">(MIN(BD406*BD403,BC409))</f>
        <v>2081.8304703044428</v>
      </c>
      <c r="BE407" s="10">
        <f t="shared" ref="BE407" ca="1" si="3309">(MIN(BE406*BE403,BD409))</f>
        <v>0</v>
      </c>
      <c r="BF407" s="10">
        <f t="shared" ref="BF407" ca="1" si="3310">(MIN(BF406*BF403,BE409))</f>
        <v>0</v>
      </c>
      <c r="BG407" s="10">
        <f t="shared" ref="BG407" ca="1" si="3311">(MIN(BG406*BG403,BF409))</f>
        <v>0</v>
      </c>
      <c r="BH407" s="10">
        <f t="shared" ref="BH407" ca="1" si="3312">(MIN(BH406*BH403,BG409))</f>
        <v>0</v>
      </c>
      <c r="BI407" s="10">
        <f t="shared" ref="BI407" ca="1" si="3313">(MIN(BI406*BI403,BH409))</f>
        <v>0</v>
      </c>
      <c r="BJ407" s="10">
        <f t="shared" ref="BJ407" ca="1" si="3314">(MIN(BJ406*BJ403,BI409))</f>
        <v>0</v>
      </c>
      <c r="BK407" s="10">
        <f t="shared" ref="BK407" ca="1" si="3315">(MIN(BK406*BK403,BJ409))</f>
        <v>0</v>
      </c>
      <c r="BL407" s="10">
        <f t="shared" ref="BL407" ca="1" si="3316">(MIN(BL406*BL403,BK409))</f>
        <v>0</v>
      </c>
      <c r="BM407" s="10">
        <f t="shared" ref="BM407" ca="1" si="3317">(MIN(BM406*BM403,BL409))</f>
        <v>0</v>
      </c>
      <c r="BN407" s="10">
        <f t="shared" ref="BN407" ca="1" si="3318">(MIN(BN406*BN403,BM409))</f>
        <v>0</v>
      </c>
      <c r="BO407" s="10">
        <f t="shared" ref="BO407" ca="1" si="3319">(MIN(BO406*BO403,BN409))</f>
        <v>0</v>
      </c>
      <c r="BP407" s="10">
        <f t="shared" ref="BP407" ca="1" si="3320">(MIN(BP406*BP403,BO409))</f>
        <v>0</v>
      </c>
      <c r="BQ407" s="10">
        <f t="shared" ref="BQ407" ca="1" si="3321">(MIN(BQ406*BQ403,BP409))</f>
        <v>0</v>
      </c>
      <c r="BR407" s="10">
        <f t="shared" ref="BR407" ca="1" si="3322">(MIN(BR406*BR403,BQ409))</f>
        <v>0</v>
      </c>
      <c r="BS407" s="10">
        <f t="shared" ref="BS407" ca="1" si="3323">(MIN(BS406*BS403,BR409))</f>
        <v>0</v>
      </c>
      <c r="BT407" s="10">
        <f t="shared" ref="BT407" ca="1" si="3324">(MIN(BT406*BT403,BS409))</f>
        <v>0</v>
      </c>
      <c r="BU407" s="10">
        <f t="shared" ref="BU407" ca="1" si="3325">(MIN(BU406*BU403,BT409))</f>
        <v>0</v>
      </c>
      <c r="BV407" s="10">
        <f t="shared" ref="BV407" ca="1" si="3326">(MIN(BV406*BV403,BU409))</f>
        <v>0</v>
      </c>
      <c r="BW407" s="10">
        <f t="shared" ref="BW407" ca="1" si="3327">(MIN(BW406*BW403,BV409))</f>
        <v>0</v>
      </c>
      <c r="BX407" s="10">
        <f t="shared" ref="BX407" ca="1" si="3328">(MIN(BX406*BX403,BW409))</f>
        <v>0</v>
      </c>
      <c r="BY407" s="10">
        <f t="shared" ref="BY407" ca="1" si="3329">(MIN(BY406*BY403,BX409))</f>
        <v>0</v>
      </c>
      <c r="BZ407" s="10">
        <f t="shared" ref="BZ407" ca="1" si="3330">(MIN(BZ406*BZ403,BY409))</f>
        <v>0</v>
      </c>
      <c r="CA407" s="10">
        <f t="shared" ref="CA407" ca="1" si="3331">(MIN(CA406*CA403,BZ409))</f>
        <v>0</v>
      </c>
      <c r="CB407" s="10">
        <f t="shared" ref="CB407" ca="1" si="3332">(MIN(CB406*CB403,CA409))</f>
        <v>0</v>
      </c>
      <c r="CC407" s="10">
        <f t="shared" ref="CC407" ca="1" si="3333">(MIN(CC406*CC403,CB409))</f>
        <v>0</v>
      </c>
      <c r="CD407" s="10">
        <f t="shared" ref="CD407" ca="1" si="3334">(MIN(CD406*CD403,CC409))</f>
        <v>0</v>
      </c>
      <c r="CE407" s="10">
        <f t="shared" ref="CE407" ca="1" si="3335">(MIN(CE406*CE403,CD409))</f>
        <v>0</v>
      </c>
      <c r="CF407" s="10">
        <f t="shared" ref="CF407" ca="1" si="3336">(MIN(CF406*CF403,CE409))</f>
        <v>0</v>
      </c>
      <c r="CG407" s="10">
        <f t="shared" ref="CG407" ca="1" si="3337">(MIN(CG406*CG403,CF409))</f>
        <v>0</v>
      </c>
      <c r="CH407" s="10">
        <f t="shared" ref="CH407" ca="1" si="3338">(MIN(CH406*CH403,CG409))</f>
        <v>0</v>
      </c>
      <c r="CI407" s="10">
        <f t="shared" ref="CI407" ca="1" si="3339">(MIN(CI406*CI403,CH409))</f>
        <v>0</v>
      </c>
      <c r="CJ407" s="10">
        <f t="shared" ref="CJ407" ca="1" si="3340">(MIN(CJ406*CJ403,CI409))</f>
        <v>0</v>
      </c>
      <c r="CK407" s="10">
        <f t="shared" ref="CK407" ca="1" si="3341">(MIN(CK406*CK403,CJ409))</f>
        <v>0</v>
      </c>
      <c r="CL407" s="10">
        <f t="shared" ref="CL407" ca="1" si="3342">(MIN(CL406*CL403,CK409))</f>
        <v>0</v>
      </c>
      <c r="CM407" s="10">
        <f t="shared" ref="CM407" ca="1" si="3343">(MIN(CM406*CM403,CL409))</f>
        <v>0</v>
      </c>
      <c r="CN407" s="10">
        <f t="shared" ref="CN407" ca="1" si="3344">(MIN(CN406*CN403,CM409))</f>
        <v>0</v>
      </c>
      <c r="CO407" s="10">
        <f t="shared" ref="CO407" ca="1" si="3345">(MIN(CO406*CO403,CN409))</f>
        <v>0</v>
      </c>
    </row>
    <row r="408" spans="1:93">
      <c r="A408" s="10"/>
      <c r="B408" s="10"/>
      <c r="C408" s="17" t="s">
        <v>127</v>
      </c>
      <c r="D408" s="10"/>
      <c r="E408" s="62"/>
      <c r="F408" s="11"/>
      <c r="G408" s="134" t="str">
        <f t="shared" si="3095"/>
        <v>тыс. руб.</v>
      </c>
      <c r="H408" s="10"/>
      <c r="I408" s="10"/>
      <c r="J408" s="10"/>
      <c r="K408" s="10"/>
      <c r="L408" s="10">
        <f t="shared" ref="L408" ca="1" si="3346">SUM(K408,-L407)</f>
        <v>0</v>
      </c>
      <c r="M408" s="10">
        <f t="shared" ref="M408" ca="1" si="3347">SUM(L408,-M407)</f>
        <v>0</v>
      </c>
      <c r="N408" s="10">
        <f t="shared" ref="N408" ca="1" si="3348">SUM(M408,-N407)</f>
        <v>0</v>
      </c>
      <c r="O408" s="10">
        <f t="shared" ref="O408" ca="1" si="3349">SUM(N408,-O407)</f>
        <v>0</v>
      </c>
      <c r="P408" s="10">
        <f t="shared" ref="P408" ca="1" si="3350">SUM(O408,-P407)</f>
        <v>0</v>
      </c>
      <c r="Q408" s="10">
        <f t="shared" ref="Q408" ca="1" si="3351">SUM(P408,-Q407)</f>
        <v>0</v>
      </c>
      <c r="R408" s="10">
        <f t="shared" ref="R408" ca="1" si="3352">SUM(Q408,-R407)</f>
        <v>0</v>
      </c>
      <c r="S408" s="10">
        <f t="shared" ref="S408" ca="1" si="3353">SUM(R408,-S407)</f>
        <v>0</v>
      </c>
      <c r="T408" s="10">
        <f t="shared" ref="T408" ca="1" si="3354">SUM(S408,-T407)</f>
        <v>0</v>
      </c>
      <c r="U408" s="10">
        <f t="shared" ref="U408" ca="1" si="3355">SUM(T408,-U407)</f>
        <v>0</v>
      </c>
      <c r="V408" s="10">
        <f t="shared" ref="V408" ca="1" si="3356">SUM(U408,-V407)</f>
        <v>0</v>
      </c>
      <c r="W408" s="10">
        <f t="shared" ref="W408" ca="1" si="3357">SUM(V408,-W407)</f>
        <v>0</v>
      </c>
      <c r="X408" s="10">
        <f t="shared" ref="X408" ca="1" si="3358">SUM(W408,-X407)</f>
        <v>0</v>
      </c>
      <c r="Y408" s="10">
        <f t="shared" ref="Y408" ca="1" si="3359">SUM(X408,-Y407)</f>
        <v>0</v>
      </c>
      <c r="Z408" s="10">
        <f t="shared" ref="Z408" ca="1" si="3360">SUM(Y408,-Z407)</f>
        <v>0</v>
      </c>
      <c r="AA408" s="10">
        <f t="shared" ref="AA408" ca="1" si="3361">SUM(Z408,-AA407)</f>
        <v>0</v>
      </c>
      <c r="AB408" s="10">
        <f t="shared" ref="AB408" ca="1" si="3362">SUM(AA408,-AB407)</f>
        <v>0</v>
      </c>
      <c r="AC408" s="10">
        <f t="shared" ref="AC408" ca="1" si="3363">SUM(AB408,-AC407)</f>
        <v>-2081.8304703044428</v>
      </c>
      <c r="AD408" s="10">
        <f t="shared" ref="AD408" ca="1" si="3364">SUM(AC408,-AD407)</f>
        <v>-4163.6609406088855</v>
      </c>
      <c r="AE408" s="10">
        <f t="shared" ref="AE408" ca="1" si="3365">SUM(AD408,-AE407)</f>
        <v>-6245.4914109133279</v>
      </c>
      <c r="AF408" s="10">
        <f t="shared" ref="AF408" ca="1" si="3366">SUM(AE408,-AF407)</f>
        <v>-8327.3218812177711</v>
      </c>
      <c r="AG408" s="10">
        <f t="shared" ref="AG408" ca="1" si="3367">SUM(AF408,-AG407)</f>
        <v>-10409.152351522214</v>
      </c>
      <c r="AH408" s="10">
        <f t="shared" ref="AH408" ca="1" si="3368">SUM(AG408,-AH407)</f>
        <v>-12490.982821826658</v>
      </c>
      <c r="AI408" s="10">
        <f t="shared" ref="AI408" ca="1" si="3369">SUM(AH408,-AI407)</f>
        <v>-14572.813292131101</v>
      </c>
      <c r="AJ408" s="10">
        <f t="shared" ref="AJ408" ca="1" si="3370">SUM(AI408,-AJ407)</f>
        <v>-16654.643762435542</v>
      </c>
      <c r="AK408" s="10">
        <f t="shared" ref="AK408" ca="1" si="3371">SUM(AJ408,-AK407)</f>
        <v>-18736.474232739984</v>
      </c>
      <c r="AL408" s="10">
        <f t="shared" ref="AL408" ca="1" si="3372">SUM(AK408,-AL407)</f>
        <v>-20818.304703044425</v>
      </c>
      <c r="AM408" s="10">
        <f t="shared" ref="AM408" ca="1" si="3373">SUM(AL408,-AM407)</f>
        <v>-22900.135173348866</v>
      </c>
      <c r="AN408" s="10">
        <f t="shared" ref="AN408" ca="1" si="3374">SUM(AM408,-AN407)</f>
        <v>-24981.965643653308</v>
      </c>
      <c r="AO408" s="10">
        <f t="shared" ref="AO408" ca="1" si="3375">SUM(AN408,-AO407)</f>
        <v>-27063.796113957749</v>
      </c>
      <c r="AP408" s="10">
        <f t="shared" ref="AP408" ca="1" si="3376">SUM(AO408,-AP407)</f>
        <v>-29145.626584262191</v>
      </c>
      <c r="AQ408" s="10">
        <f t="shared" ref="AQ408" ca="1" si="3377">SUM(AP408,-AQ407)</f>
        <v>-31227.457054566632</v>
      </c>
      <c r="AR408" s="10">
        <f t="shared" ref="AR408" ca="1" si="3378">SUM(AQ408,-AR407)</f>
        <v>-33309.287524871077</v>
      </c>
      <c r="AS408" s="10">
        <f t="shared" ref="AS408" ca="1" si="3379">SUM(AR408,-AS407)</f>
        <v>-35391.117995175518</v>
      </c>
      <c r="AT408" s="10">
        <f t="shared" ref="AT408" ca="1" si="3380">SUM(AS408,-AT407)</f>
        <v>-37472.94846547996</v>
      </c>
      <c r="AU408" s="10">
        <f t="shared" ref="AU408" ca="1" si="3381">SUM(AT408,-AU407)</f>
        <v>-39554.778935784401</v>
      </c>
      <c r="AV408" s="10">
        <f t="shared" ref="AV408" ca="1" si="3382">SUM(AU408,-AV407)</f>
        <v>-41636.609406088843</v>
      </c>
      <c r="AW408" s="10">
        <f t="shared" ref="AW408" ca="1" si="3383">SUM(AV408,-AW407)</f>
        <v>-43718.439876393284</v>
      </c>
      <c r="AX408" s="10">
        <f t="shared" ref="AX408" ca="1" si="3384">SUM(AW408,-AX407)</f>
        <v>-45800.270346697725</v>
      </c>
      <c r="AY408" s="10">
        <f t="shared" ref="AY408" ca="1" si="3385">SUM(AX408,-AY407)</f>
        <v>-47882.100817002167</v>
      </c>
      <c r="AZ408" s="10">
        <f t="shared" ref="AZ408" ca="1" si="3386">SUM(AY408,-AZ407)</f>
        <v>-49963.931287306608</v>
      </c>
      <c r="BA408" s="10">
        <f t="shared" ref="BA408" ca="1" si="3387">SUM(AZ408,-BA407)</f>
        <v>-52045.76175761105</v>
      </c>
      <c r="BB408" s="10">
        <f t="shared" ref="BB408" ca="1" si="3388">SUM(BA408,-BB407)</f>
        <v>-54127.592227915491</v>
      </c>
      <c r="BC408" s="10">
        <f t="shared" ref="BC408" ca="1" si="3389">SUM(BB408,-BC407)</f>
        <v>-56209.422698219932</v>
      </c>
      <c r="BD408" s="10">
        <f t="shared" ref="BD408" ca="1" si="3390">SUM(BC408,-BD407)</f>
        <v>-58291.253168524374</v>
      </c>
      <c r="BE408" s="10">
        <f t="shared" ref="BE408" ca="1" si="3391">SUM(BD408,-BE407)</f>
        <v>-58291.253168524374</v>
      </c>
      <c r="BF408" s="10">
        <f t="shared" ref="BF408" ca="1" si="3392">SUM(BE408,-BF407)</f>
        <v>-58291.253168524374</v>
      </c>
      <c r="BG408" s="10">
        <f t="shared" ref="BG408" ca="1" si="3393">SUM(BF408,-BG407)</f>
        <v>-58291.253168524374</v>
      </c>
      <c r="BH408" s="10">
        <f t="shared" ref="BH408" ca="1" si="3394">SUM(BG408,-BH407)</f>
        <v>-58291.253168524374</v>
      </c>
      <c r="BI408" s="10">
        <f t="shared" ref="BI408" ca="1" si="3395">SUM(BH408,-BI407)</f>
        <v>-58291.253168524374</v>
      </c>
      <c r="BJ408" s="10">
        <f t="shared" ref="BJ408" ca="1" si="3396">SUM(BI408,-BJ407)</f>
        <v>-58291.253168524374</v>
      </c>
      <c r="BK408" s="10">
        <f t="shared" ref="BK408" ca="1" si="3397">SUM(BJ408,-BK407)</f>
        <v>-58291.253168524374</v>
      </c>
      <c r="BL408" s="10">
        <f t="shared" ref="BL408" ca="1" si="3398">SUM(BK408,-BL407)</f>
        <v>-58291.253168524374</v>
      </c>
      <c r="BM408" s="10">
        <f t="shared" ref="BM408" ca="1" si="3399">SUM(BL408,-BM407)</f>
        <v>-58291.253168524374</v>
      </c>
      <c r="BN408" s="10">
        <f t="shared" ref="BN408" ca="1" si="3400">SUM(BM408,-BN407)</f>
        <v>-58291.253168524374</v>
      </c>
      <c r="BO408" s="10">
        <f t="shared" ref="BO408" ca="1" si="3401">SUM(BN408,-BO407)</f>
        <v>-58291.253168524374</v>
      </c>
      <c r="BP408" s="10">
        <f t="shared" ref="BP408" ca="1" si="3402">SUM(BO408,-BP407)</f>
        <v>-58291.253168524374</v>
      </c>
      <c r="BQ408" s="10">
        <f t="shared" ref="BQ408" ca="1" si="3403">SUM(BP408,-BQ407)</f>
        <v>-58291.253168524374</v>
      </c>
      <c r="BR408" s="10">
        <f t="shared" ref="BR408" ca="1" si="3404">SUM(BQ408,-BR407)</f>
        <v>-58291.253168524374</v>
      </c>
      <c r="BS408" s="10">
        <f t="shared" ref="BS408" ca="1" si="3405">SUM(BR408,-BS407)</f>
        <v>-58291.253168524374</v>
      </c>
      <c r="BT408" s="10">
        <f t="shared" ref="BT408" ca="1" si="3406">SUM(BS408,-BT407)</f>
        <v>-58291.253168524374</v>
      </c>
      <c r="BU408" s="10">
        <f t="shared" ref="BU408" ca="1" si="3407">SUM(BT408,-BU407)</f>
        <v>-58291.253168524374</v>
      </c>
      <c r="BV408" s="10">
        <f t="shared" ref="BV408" ca="1" si="3408">SUM(BU408,-BV407)</f>
        <v>-58291.253168524374</v>
      </c>
      <c r="BW408" s="10">
        <f t="shared" ref="BW408" ca="1" si="3409">SUM(BV408,-BW407)</f>
        <v>-58291.253168524374</v>
      </c>
      <c r="BX408" s="10">
        <f t="shared" ref="BX408" ca="1" si="3410">SUM(BW408,-BX407)</f>
        <v>-58291.253168524374</v>
      </c>
      <c r="BY408" s="10">
        <f t="shared" ref="BY408" ca="1" si="3411">SUM(BX408,-BY407)</f>
        <v>-58291.253168524374</v>
      </c>
      <c r="BZ408" s="10">
        <f t="shared" ref="BZ408" ca="1" si="3412">SUM(BY408,-BZ407)</f>
        <v>-58291.253168524374</v>
      </c>
      <c r="CA408" s="10">
        <f t="shared" ref="CA408" ca="1" si="3413">SUM(BZ408,-CA407)</f>
        <v>-58291.253168524374</v>
      </c>
      <c r="CB408" s="10">
        <f t="shared" ref="CB408" ca="1" si="3414">SUM(CA408,-CB407)</f>
        <v>-58291.253168524374</v>
      </c>
      <c r="CC408" s="10">
        <f t="shared" ref="CC408" ca="1" si="3415">SUM(CB408,-CC407)</f>
        <v>-58291.253168524374</v>
      </c>
      <c r="CD408" s="10">
        <f t="shared" ref="CD408" ca="1" si="3416">SUM(CC408,-CD407)</f>
        <v>-58291.253168524374</v>
      </c>
      <c r="CE408" s="10">
        <f t="shared" ref="CE408" ca="1" si="3417">SUM(CD408,-CE407)</f>
        <v>-58291.253168524374</v>
      </c>
      <c r="CF408" s="10">
        <f t="shared" ref="CF408" ca="1" si="3418">SUM(CE408,-CF407)</f>
        <v>-58291.253168524374</v>
      </c>
      <c r="CG408" s="10">
        <f t="shared" ref="CG408" ca="1" si="3419">SUM(CF408,-CG407)</f>
        <v>-58291.253168524374</v>
      </c>
      <c r="CH408" s="10">
        <f t="shared" ref="CH408" ca="1" si="3420">SUM(CG408,-CH407)</f>
        <v>-58291.253168524374</v>
      </c>
      <c r="CI408" s="10">
        <f t="shared" ref="CI408" ca="1" si="3421">SUM(CH408,-CI407)</f>
        <v>-58291.253168524374</v>
      </c>
      <c r="CJ408" s="10">
        <f t="shared" ref="CJ408" ca="1" si="3422">SUM(CI408,-CJ407)</f>
        <v>-58291.253168524374</v>
      </c>
      <c r="CK408" s="10">
        <f t="shared" ref="CK408" ca="1" si="3423">SUM(CJ408,-CK407)</f>
        <v>-58291.253168524374</v>
      </c>
      <c r="CL408" s="10">
        <f t="shared" ref="CL408" ca="1" si="3424">SUM(CK408,-CL407)</f>
        <v>-58291.253168524374</v>
      </c>
      <c r="CM408" s="10">
        <f t="shared" ref="CM408" ca="1" si="3425">SUM(CL408,-CM407)</f>
        <v>-58291.253168524374</v>
      </c>
      <c r="CN408" s="10">
        <f t="shared" ref="CN408" ca="1" si="3426">SUM(CM408,-CN407)</f>
        <v>-58291.253168524374</v>
      </c>
      <c r="CO408" s="10">
        <f t="shared" ref="CO408" ca="1" si="3427">SUM(CN408,-CO407)</f>
        <v>-58291.253168524374</v>
      </c>
    </row>
    <row r="409" spans="1:93">
      <c r="A409" s="10"/>
      <c r="B409" s="10"/>
      <c r="C409" s="17" t="s">
        <v>128</v>
      </c>
      <c r="D409" s="10"/>
      <c r="E409" s="62"/>
      <c r="F409" s="11"/>
      <c r="G409" s="134" t="str">
        <f t="shared" si="3095"/>
        <v>тыс. руб.</v>
      </c>
      <c r="H409" s="10"/>
      <c r="I409" s="10"/>
      <c r="J409" s="10"/>
      <c r="K409" s="10"/>
      <c r="L409" s="10">
        <f t="shared" ref="L409:Q409" ca="1" si="3428">SUM(L406,L408)</f>
        <v>0</v>
      </c>
      <c r="M409" s="10">
        <f t="shared" ca="1" si="3428"/>
        <v>0</v>
      </c>
      <c r="N409" s="10">
        <f t="shared" ca="1" si="3428"/>
        <v>0</v>
      </c>
      <c r="O409" s="10">
        <f t="shared" ca="1" si="3428"/>
        <v>0</v>
      </c>
      <c r="P409" s="10">
        <f t="shared" ca="1" si="3428"/>
        <v>0</v>
      </c>
      <c r="Q409" s="10">
        <f t="shared" ca="1" si="3428"/>
        <v>0</v>
      </c>
      <c r="R409" s="10">
        <f t="shared" ref="R409" ca="1" si="3429">SUM(R406,R408)</f>
        <v>0</v>
      </c>
      <c r="S409" s="10">
        <f t="shared" ref="S409:CD409" ca="1" si="3430">SUM(S406,S408)</f>
        <v>0</v>
      </c>
      <c r="T409" s="10">
        <f t="shared" ca="1" si="3430"/>
        <v>0</v>
      </c>
      <c r="U409" s="10">
        <f t="shared" ca="1" si="3430"/>
        <v>0</v>
      </c>
      <c r="V409" s="10">
        <f t="shared" ca="1" si="3430"/>
        <v>0</v>
      </c>
      <c r="W409" s="10">
        <f t="shared" ca="1" si="3430"/>
        <v>0</v>
      </c>
      <c r="X409" s="10">
        <f t="shared" ca="1" si="3430"/>
        <v>0</v>
      </c>
      <c r="Y409" s="10">
        <f t="shared" ca="1" si="3430"/>
        <v>0</v>
      </c>
      <c r="Z409" s="10">
        <f t="shared" ca="1" si="3430"/>
        <v>0</v>
      </c>
      <c r="AA409" s="10">
        <f t="shared" ca="1" si="3430"/>
        <v>0</v>
      </c>
      <c r="AB409" s="10">
        <f t="shared" ca="1" si="3430"/>
        <v>58291.253168524403</v>
      </c>
      <c r="AC409" s="10">
        <f t="shared" ca="1" si="3430"/>
        <v>56209.422698219962</v>
      </c>
      <c r="AD409" s="10">
        <f t="shared" ca="1" si="3430"/>
        <v>54127.59222791552</v>
      </c>
      <c r="AE409" s="10">
        <f t="shared" ca="1" si="3430"/>
        <v>52045.761757611079</v>
      </c>
      <c r="AF409" s="10">
        <f t="shared" ca="1" si="3430"/>
        <v>49963.93128730663</v>
      </c>
      <c r="AG409" s="10">
        <f t="shared" ca="1" si="3430"/>
        <v>47882.100817002189</v>
      </c>
      <c r="AH409" s="10">
        <f t="shared" ca="1" si="3430"/>
        <v>45800.270346697747</v>
      </c>
      <c r="AI409" s="10">
        <f t="shared" ca="1" si="3430"/>
        <v>43718.439876393299</v>
      </c>
      <c r="AJ409" s="10">
        <f t="shared" ca="1" si="3430"/>
        <v>41636.609406088857</v>
      </c>
      <c r="AK409" s="10">
        <f t="shared" ca="1" si="3430"/>
        <v>39554.778935784416</v>
      </c>
      <c r="AL409" s="10">
        <f t="shared" ca="1" si="3430"/>
        <v>37472.948465479974</v>
      </c>
      <c r="AM409" s="10">
        <f t="shared" ca="1" si="3430"/>
        <v>35391.117995175533</v>
      </c>
      <c r="AN409" s="10">
        <f t="shared" ca="1" si="3430"/>
        <v>33309.287524871092</v>
      </c>
      <c r="AO409" s="10">
        <f t="shared" ca="1" si="3430"/>
        <v>31227.457054566654</v>
      </c>
      <c r="AP409" s="10">
        <f t="shared" ca="1" si="3430"/>
        <v>29145.626584262212</v>
      </c>
      <c r="AQ409" s="10">
        <f t="shared" ca="1" si="3430"/>
        <v>27063.796113957771</v>
      </c>
      <c r="AR409" s="10">
        <f t="shared" ca="1" si="3430"/>
        <v>24981.965643653326</v>
      </c>
      <c r="AS409" s="10">
        <f t="shared" ca="1" si="3430"/>
        <v>22900.135173348885</v>
      </c>
      <c r="AT409" s="10">
        <f t="shared" ca="1" si="3430"/>
        <v>20818.304703044443</v>
      </c>
      <c r="AU409" s="10">
        <f t="shared" ca="1" si="3430"/>
        <v>18736.474232740002</v>
      </c>
      <c r="AV409" s="10">
        <f t="shared" ca="1" si="3430"/>
        <v>16654.64376243556</v>
      </c>
      <c r="AW409" s="10">
        <f t="shared" ca="1" si="3430"/>
        <v>14572.813292131119</v>
      </c>
      <c r="AX409" s="10">
        <f t="shared" ca="1" si="3430"/>
        <v>12490.982821826678</v>
      </c>
      <c r="AY409" s="10">
        <f t="shared" ca="1" si="3430"/>
        <v>10409.152351522236</v>
      </c>
      <c r="AZ409" s="10">
        <f t="shared" ca="1" si="3430"/>
        <v>8327.3218812177947</v>
      </c>
      <c r="BA409" s="10">
        <f t="shared" ca="1" si="3430"/>
        <v>6245.4914109133533</v>
      </c>
      <c r="BB409" s="10">
        <f t="shared" ca="1" si="3430"/>
        <v>4163.6609406089119</v>
      </c>
      <c r="BC409" s="10">
        <f t="shared" ca="1" si="3430"/>
        <v>2081.8304703044705</v>
      </c>
      <c r="BD409" s="10">
        <f t="shared" ca="1" si="3430"/>
        <v>0</v>
      </c>
      <c r="BE409" s="10">
        <f t="shared" ca="1" si="3430"/>
        <v>0</v>
      </c>
      <c r="BF409" s="10">
        <f t="shared" ca="1" si="3430"/>
        <v>0</v>
      </c>
      <c r="BG409" s="10">
        <f t="shared" ca="1" si="3430"/>
        <v>0</v>
      </c>
      <c r="BH409" s="10">
        <f t="shared" ca="1" si="3430"/>
        <v>0</v>
      </c>
      <c r="BI409" s="10">
        <f t="shared" ca="1" si="3430"/>
        <v>0</v>
      </c>
      <c r="BJ409" s="10">
        <f t="shared" ca="1" si="3430"/>
        <v>0</v>
      </c>
      <c r="BK409" s="10">
        <f t="shared" ca="1" si="3430"/>
        <v>0</v>
      </c>
      <c r="BL409" s="10">
        <f t="shared" ca="1" si="3430"/>
        <v>0</v>
      </c>
      <c r="BM409" s="10">
        <f t="shared" ca="1" si="3430"/>
        <v>0</v>
      </c>
      <c r="BN409" s="10">
        <f t="shared" ca="1" si="3430"/>
        <v>0</v>
      </c>
      <c r="BO409" s="10">
        <f t="shared" ca="1" si="3430"/>
        <v>0</v>
      </c>
      <c r="BP409" s="10">
        <f t="shared" ca="1" si="3430"/>
        <v>0</v>
      </c>
      <c r="BQ409" s="10">
        <f t="shared" ca="1" si="3430"/>
        <v>0</v>
      </c>
      <c r="BR409" s="10">
        <f t="shared" ca="1" si="3430"/>
        <v>0</v>
      </c>
      <c r="BS409" s="10">
        <f t="shared" ca="1" si="3430"/>
        <v>0</v>
      </c>
      <c r="BT409" s="10">
        <f t="shared" ca="1" si="3430"/>
        <v>0</v>
      </c>
      <c r="BU409" s="10">
        <f t="shared" ca="1" si="3430"/>
        <v>0</v>
      </c>
      <c r="BV409" s="10">
        <f t="shared" ca="1" si="3430"/>
        <v>0</v>
      </c>
      <c r="BW409" s="10">
        <f t="shared" ca="1" si="3430"/>
        <v>0</v>
      </c>
      <c r="BX409" s="10">
        <f t="shared" ca="1" si="3430"/>
        <v>0</v>
      </c>
      <c r="BY409" s="10">
        <f t="shared" ca="1" si="3430"/>
        <v>0</v>
      </c>
      <c r="BZ409" s="10">
        <f t="shared" ca="1" si="3430"/>
        <v>0</v>
      </c>
      <c r="CA409" s="10">
        <f t="shared" ca="1" si="3430"/>
        <v>0</v>
      </c>
      <c r="CB409" s="10">
        <f t="shared" ca="1" si="3430"/>
        <v>0</v>
      </c>
      <c r="CC409" s="10">
        <f t="shared" ca="1" si="3430"/>
        <v>0</v>
      </c>
      <c r="CD409" s="10">
        <f t="shared" ca="1" si="3430"/>
        <v>0</v>
      </c>
      <c r="CE409" s="10">
        <f t="shared" ref="CE409:CO409" ca="1" si="3431">SUM(CE406,CE408)</f>
        <v>0</v>
      </c>
      <c r="CF409" s="10">
        <f t="shared" ca="1" si="3431"/>
        <v>0</v>
      </c>
      <c r="CG409" s="10">
        <f t="shared" ca="1" si="3431"/>
        <v>0</v>
      </c>
      <c r="CH409" s="10">
        <f t="shared" ca="1" si="3431"/>
        <v>0</v>
      </c>
      <c r="CI409" s="10">
        <f t="shared" ca="1" si="3431"/>
        <v>0</v>
      </c>
      <c r="CJ409" s="10">
        <f t="shared" ca="1" si="3431"/>
        <v>0</v>
      </c>
      <c r="CK409" s="10">
        <f t="shared" ca="1" si="3431"/>
        <v>0</v>
      </c>
      <c r="CL409" s="10">
        <f t="shared" ca="1" si="3431"/>
        <v>0</v>
      </c>
      <c r="CM409" s="10">
        <f t="shared" ca="1" si="3431"/>
        <v>0</v>
      </c>
      <c r="CN409" s="10">
        <f t="shared" ca="1" si="3431"/>
        <v>0</v>
      </c>
      <c r="CO409" s="10">
        <f t="shared" ca="1" si="3431"/>
        <v>0</v>
      </c>
    </row>
    <row r="410" spans="1:93">
      <c r="A410" s="10"/>
      <c r="B410" s="10"/>
      <c r="C410" s="17"/>
      <c r="D410" s="10"/>
      <c r="E410" s="62"/>
      <c r="F410" s="11"/>
      <c r="G410" s="11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</row>
    <row r="411" spans="1:93" ht="16" thickBot="1">
      <c r="A411" s="10"/>
      <c r="B411" s="10"/>
      <c r="C411" s="12" t="s">
        <v>1114</v>
      </c>
      <c r="D411" s="12"/>
      <c r="E411" s="12"/>
      <c r="F411" s="12"/>
      <c r="G411" s="362"/>
      <c r="H411" s="12"/>
      <c r="I411" s="12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</row>
    <row r="412" spans="1:93">
      <c r="A412" s="10"/>
      <c r="B412" s="10"/>
      <c r="C412" s="17"/>
      <c r="D412" s="10"/>
      <c r="E412" s="62"/>
      <c r="F412" s="11"/>
      <c r="G412" s="11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</row>
    <row r="413" spans="1:93">
      <c r="A413" s="10"/>
      <c r="B413" s="10"/>
      <c r="C413" s="17" t="s">
        <v>125</v>
      </c>
      <c r="D413" s="10"/>
      <c r="E413" s="62"/>
      <c r="F413" s="11"/>
      <c r="G413" s="134" t="str">
        <f t="shared" ref="G413:G415" si="3432">Monetary_Unit</f>
        <v>тыс. руб.</v>
      </c>
      <c r="H413" s="10"/>
      <c r="I413" s="10"/>
      <c r="J413" s="10"/>
      <c r="K413" s="10"/>
      <c r="L413" s="10">
        <f t="shared" ref="L413" si="3433">K415</f>
        <v>0</v>
      </c>
      <c r="M413" s="10">
        <f t="shared" ref="M413" si="3434">L415</f>
        <v>0</v>
      </c>
      <c r="N413" s="10">
        <f t="shared" ref="N413" si="3435">M415</f>
        <v>0</v>
      </c>
      <c r="O413" s="10">
        <f t="shared" ref="O413" si="3436">N415</f>
        <v>0</v>
      </c>
      <c r="P413" s="10">
        <f t="shared" ref="P413" si="3437">O415</f>
        <v>0</v>
      </c>
      <c r="Q413" s="10">
        <f t="shared" ref="Q413" si="3438">P415</f>
        <v>0</v>
      </c>
      <c r="R413" s="10">
        <f t="shared" ref="R413" si="3439">Q415</f>
        <v>0</v>
      </c>
      <c r="S413" s="10">
        <f t="shared" ref="S413" si="3440">R415</f>
        <v>0</v>
      </c>
      <c r="T413" s="10">
        <f t="shared" ref="T413" si="3441">S415</f>
        <v>0</v>
      </c>
      <c r="U413" s="10">
        <f t="shared" ref="U413" si="3442">T415</f>
        <v>0</v>
      </c>
      <c r="V413" s="10">
        <f t="shared" ref="V413" si="3443">U415</f>
        <v>0</v>
      </c>
      <c r="W413" s="10">
        <f t="shared" ref="W413" si="3444">V415</f>
        <v>0</v>
      </c>
      <c r="X413" s="10">
        <f t="shared" ref="X413" si="3445">W415</f>
        <v>0</v>
      </c>
      <c r="Y413" s="10">
        <f t="shared" ref="Y413" si="3446">X415</f>
        <v>0</v>
      </c>
      <c r="Z413" s="10">
        <f t="shared" ref="Z413" si="3447">Y415</f>
        <v>0</v>
      </c>
      <c r="AA413" s="10">
        <f t="shared" ref="AA413" si="3448">Z415</f>
        <v>0</v>
      </c>
      <c r="AB413" s="10">
        <f t="shared" ref="AB413" si="3449">AA415</f>
        <v>0</v>
      </c>
      <c r="AC413" s="10">
        <f t="shared" ref="AC413" si="3450">AB415</f>
        <v>0</v>
      </c>
      <c r="AD413" s="10">
        <f t="shared" ref="AD413" si="3451">AC415</f>
        <v>0</v>
      </c>
      <c r="AE413" s="10">
        <f t="shared" ref="AE413" si="3452">AD415</f>
        <v>0</v>
      </c>
      <c r="AF413" s="10">
        <f t="shared" ref="AF413" si="3453">AE415</f>
        <v>0</v>
      </c>
      <c r="AG413" s="10">
        <f t="shared" ref="AG413" si="3454">AF415</f>
        <v>0</v>
      </c>
      <c r="AH413" s="10">
        <f t="shared" ref="AH413" si="3455">AG415</f>
        <v>0</v>
      </c>
      <c r="AI413" s="10">
        <f t="shared" ref="AI413" si="3456">AH415</f>
        <v>0</v>
      </c>
      <c r="AJ413" s="10">
        <f t="shared" ref="AJ413" si="3457">AI415</f>
        <v>0</v>
      </c>
      <c r="AK413" s="10">
        <f t="shared" ref="AK413" si="3458">AJ415</f>
        <v>0</v>
      </c>
      <c r="AL413" s="10">
        <f t="shared" ref="AL413" si="3459">AK415</f>
        <v>0</v>
      </c>
      <c r="AM413" s="10">
        <f t="shared" ref="AM413" si="3460">AL415</f>
        <v>0</v>
      </c>
      <c r="AN413" s="10">
        <f t="shared" ref="AN413" si="3461">AM415</f>
        <v>0</v>
      </c>
      <c r="AO413" s="10">
        <f t="shared" ref="AO413" si="3462">AN415</f>
        <v>0</v>
      </c>
      <c r="AP413" s="10">
        <f t="shared" ref="AP413" si="3463">AO415</f>
        <v>0</v>
      </c>
      <c r="AQ413" s="10">
        <f t="shared" ref="AQ413" si="3464">AP415</f>
        <v>0</v>
      </c>
      <c r="AR413" s="10">
        <f t="shared" ref="AR413" si="3465">AQ415</f>
        <v>0</v>
      </c>
      <c r="AS413" s="10">
        <f t="shared" ref="AS413" si="3466">AR415</f>
        <v>0</v>
      </c>
      <c r="AT413" s="10">
        <f t="shared" ref="AT413" si="3467">AS415</f>
        <v>0</v>
      </c>
      <c r="AU413" s="10">
        <f t="shared" ref="AU413" si="3468">AT415</f>
        <v>0</v>
      </c>
      <c r="AV413" s="10">
        <f t="shared" ref="AV413" si="3469">AU415</f>
        <v>0</v>
      </c>
      <c r="AW413" s="10">
        <f t="shared" ref="AW413" si="3470">AV415</f>
        <v>0</v>
      </c>
      <c r="AX413" s="10">
        <f t="shared" ref="AX413" si="3471">AW415</f>
        <v>0</v>
      </c>
      <c r="AY413" s="10">
        <f t="shared" ref="AY413" si="3472">AX415</f>
        <v>0</v>
      </c>
      <c r="AZ413" s="10">
        <f t="shared" ref="AZ413" si="3473">AY415</f>
        <v>0</v>
      </c>
      <c r="BA413" s="10">
        <f t="shared" ref="BA413" si="3474">AZ415</f>
        <v>0</v>
      </c>
      <c r="BB413" s="10">
        <f t="shared" ref="BB413" si="3475">BA415</f>
        <v>0</v>
      </c>
      <c r="BC413" s="10">
        <f t="shared" ref="BC413" si="3476">BB415</f>
        <v>0</v>
      </c>
      <c r="BD413" s="10">
        <f t="shared" ref="BD413" si="3477">BC415</f>
        <v>0</v>
      </c>
      <c r="BE413" s="10">
        <f t="shared" ref="BE413" si="3478">BD415</f>
        <v>0</v>
      </c>
      <c r="BF413" s="10">
        <f t="shared" ref="BF413" si="3479">BE415</f>
        <v>0</v>
      </c>
      <c r="BG413" s="10">
        <f t="shared" ref="BG413" si="3480">BF415</f>
        <v>0</v>
      </c>
      <c r="BH413" s="10">
        <f t="shared" ref="BH413" si="3481">BG415</f>
        <v>0</v>
      </c>
      <c r="BI413" s="10">
        <f t="shared" ref="BI413" si="3482">BH415</f>
        <v>0</v>
      </c>
      <c r="BJ413" s="10">
        <f t="shared" ref="BJ413" si="3483">BI415</f>
        <v>0</v>
      </c>
      <c r="BK413" s="10">
        <f t="shared" ref="BK413" si="3484">BJ415</f>
        <v>0</v>
      </c>
      <c r="BL413" s="10">
        <f t="shared" ref="BL413" si="3485">BK415</f>
        <v>0</v>
      </c>
      <c r="BM413" s="10">
        <f t="shared" ref="BM413" si="3486">BL415</f>
        <v>0</v>
      </c>
      <c r="BN413" s="10">
        <f t="shared" ref="BN413" si="3487">BM415</f>
        <v>0</v>
      </c>
      <c r="BO413" s="10">
        <f t="shared" ref="BO413" si="3488">BN415</f>
        <v>0</v>
      </c>
      <c r="BP413" s="10">
        <f t="shared" ref="BP413" si="3489">BO415</f>
        <v>0</v>
      </c>
      <c r="BQ413" s="10">
        <f t="shared" ref="BQ413" si="3490">BP415</f>
        <v>0</v>
      </c>
      <c r="BR413" s="10">
        <f t="shared" ref="BR413" si="3491">BQ415</f>
        <v>0</v>
      </c>
      <c r="BS413" s="10">
        <f t="shared" ref="BS413" si="3492">BR415</f>
        <v>0</v>
      </c>
      <c r="BT413" s="10">
        <f t="shared" ref="BT413" si="3493">BS415</f>
        <v>0</v>
      </c>
      <c r="BU413" s="10">
        <f t="shared" ref="BU413" si="3494">BT415</f>
        <v>0</v>
      </c>
      <c r="BV413" s="10">
        <f t="shared" ref="BV413" si="3495">BU415</f>
        <v>0</v>
      </c>
      <c r="BW413" s="10">
        <f t="shared" ref="BW413" si="3496">BV415</f>
        <v>0</v>
      </c>
      <c r="BX413" s="10">
        <f t="shared" ref="BX413" si="3497">BW415</f>
        <v>0</v>
      </c>
      <c r="BY413" s="10">
        <f t="shared" ref="BY413" si="3498">BX415</f>
        <v>0</v>
      </c>
      <c r="BZ413" s="10">
        <f t="shared" ref="BZ413" si="3499">BY415</f>
        <v>0</v>
      </c>
      <c r="CA413" s="10">
        <f t="shared" ref="CA413" si="3500">BZ415</f>
        <v>0</v>
      </c>
      <c r="CB413" s="10">
        <f t="shared" ref="CB413" si="3501">CA415</f>
        <v>0</v>
      </c>
      <c r="CC413" s="10">
        <f t="shared" ref="CC413" si="3502">CB415</f>
        <v>0</v>
      </c>
      <c r="CD413" s="10">
        <f t="shared" ref="CD413" si="3503">CC415</f>
        <v>0</v>
      </c>
      <c r="CE413" s="10">
        <f t="shared" ref="CE413" si="3504">CD415</f>
        <v>0</v>
      </c>
      <c r="CF413" s="10">
        <f t="shared" ref="CF413" si="3505">CE415</f>
        <v>0</v>
      </c>
      <c r="CG413" s="10">
        <f t="shared" ref="CG413" si="3506">CF415</f>
        <v>0</v>
      </c>
      <c r="CH413" s="10">
        <f t="shared" ref="CH413" si="3507">CG415</f>
        <v>0</v>
      </c>
      <c r="CI413" s="10">
        <f t="shared" ref="CI413" si="3508">CH415</f>
        <v>0</v>
      </c>
      <c r="CJ413" s="10">
        <f t="shared" ref="CJ413" si="3509">CI415</f>
        <v>0</v>
      </c>
      <c r="CK413" s="10">
        <f t="shared" ref="CK413" si="3510">CJ415</f>
        <v>0</v>
      </c>
      <c r="CL413" s="10">
        <f t="shared" ref="CL413" si="3511">CK415</f>
        <v>0</v>
      </c>
      <c r="CM413" s="10">
        <f t="shared" ref="CM413" si="3512">CL415</f>
        <v>0</v>
      </c>
      <c r="CN413" s="10">
        <f t="shared" ref="CN413" si="3513">CM415</f>
        <v>0</v>
      </c>
      <c r="CO413" s="10">
        <f t="shared" ref="CO413" si="3514">CN415</f>
        <v>0</v>
      </c>
    </row>
    <row r="414" spans="1:93">
      <c r="A414" s="10"/>
      <c r="B414" s="10"/>
      <c r="C414" s="17" t="s">
        <v>126</v>
      </c>
      <c r="D414" s="10"/>
      <c r="E414" s="62"/>
      <c r="F414" s="11"/>
      <c r="G414" s="134" t="str">
        <f t="shared" si="3432"/>
        <v>тыс. руб.</v>
      </c>
      <c r="H414" s="10"/>
      <c r="I414" s="23">
        <f>SUM(L414:CO414)</f>
        <v>0</v>
      </c>
      <c r="J414" s="10"/>
      <c r="K414" s="10"/>
      <c r="L414" s="10">
        <f t="shared" ref="L414:AQ414" si="3515" xml:space="preserve"> L329</f>
        <v>0</v>
      </c>
      <c r="M414" s="10">
        <f t="shared" si="3515"/>
        <v>0</v>
      </c>
      <c r="N414" s="10">
        <f t="shared" si="3515"/>
        <v>0</v>
      </c>
      <c r="O414" s="10">
        <f t="shared" si="3515"/>
        <v>0</v>
      </c>
      <c r="P414" s="10">
        <f t="shared" si="3515"/>
        <v>0</v>
      </c>
      <c r="Q414" s="10">
        <f t="shared" si="3515"/>
        <v>0</v>
      </c>
      <c r="R414" s="10">
        <f t="shared" si="3515"/>
        <v>0</v>
      </c>
      <c r="S414" s="10">
        <f t="shared" si="3515"/>
        <v>0</v>
      </c>
      <c r="T414" s="10">
        <f t="shared" si="3515"/>
        <v>0</v>
      </c>
      <c r="U414" s="10">
        <f t="shared" si="3515"/>
        <v>0</v>
      </c>
      <c r="V414" s="10">
        <f t="shared" si="3515"/>
        <v>0</v>
      </c>
      <c r="W414" s="10">
        <f t="shared" si="3515"/>
        <v>0</v>
      </c>
      <c r="X414" s="10">
        <f t="shared" si="3515"/>
        <v>0</v>
      </c>
      <c r="Y414" s="10">
        <f t="shared" si="3515"/>
        <v>0</v>
      </c>
      <c r="Z414" s="10">
        <f t="shared" si="3515"/>
        <v>0</v>
      </c>
      <c r="AA414" s="10">
        <f t="shared" si="3515"/>
        <v>0</v>
      </c>
      <c r="AB414" s="10">
        <f t="shared" si="3515"/>
        <v>0</v>
      </c>
      <c r="AC414" s="10">
        <f t="shared" si="3515"/>
        <v>0</v>
      </c>
      <c r="AD414" s="10">
        <f t="shared" si="3515"/>
        <v>0</v>
      </c>
      <c r="AE414" s="10">
        <f t="shared" si="3515"/>
        <v>0</v>
      </c>
      <c r="AF414" s="10">
        <f t="shared" si="3515"/>
        <v>0</v>
      </c>
      <c r="AG414" s="10">
        <f t="shared" si="3515"/>
        <v>0</v>
      </c>
      <c r="AH414" s="10">
        <f t="shared" si="3515"/>
        <v>0</v>
      </c>
      <c r="AI414" s="10">
        <f t="shared" si="3515"/>
        <v>0</v>
      </c>
      <c r="AJ414" s="10">
        <f t="shared" si="3515"/>
        <v>0</v>
      </c>
      <c r="AK414" s="10">
        <f t="shared" si="3515"/>
        <v>0</v>
      </c>
      <c r="AL414" s="10">
        <f t="shared" si="3515"/>
        <v>0</v>
      </c>
      <c r="AM414" s="10">
        <f t="shared" si="3515"/>
        <v>0</v>
      </c>
      <c r="AN414" s="10">
        <f t="shared" si="3515"/>
        <v>0</v>
      </c>
      <c r="AO414" s="10">
        <f t="shared" si="3515"/>
        <v>0</v>
      </c>
      <c r="AP414" s="10">
        <f t="shared" si="3515"/>
        <v>0</v>
      </c>
      <c r="AQ414" s="10">
        <f t="shared" si="3515"/>
        <v>0</v>
      </c>
      <c r="AR414" s="10">
        <f t="shared" ref="AR414:BW414" si="3516" xml:space="preserve"> AR329</f>
        <v>0</v>
      </c>
      <c r="AS414" s="10">
        <f t="shared" si="3516"/>
        <v>0</v>
      </c>
      <c r="AT414" s="10">
        <f t="shared" si="3516"/>
        <v>0</v>
      </c>
      <c r="AU414" s="10">
        <f t="shared" si="3516"/>
        <v>0</v>
      </c>
      <c r="AV414" s="10">
        <f t="shared" si="3516"/>
        <v>0</v>
      </c>
      <c r="AW414" s="10">
        <f t="shared" si="3516"/>
        <v>0</v>
      </c>
      <c r="AX414" s="10">
        <f t="shared" si="3516"/>
        <v>0</v>
      </c>
      <c r="AY414" s="10">
        <f t="shared" si="3516"/>
        <v>0</v>
      </c>
      <c r="AZ414" s="10">
        <f t="shared" si="3516"/>
        <v>0</v>
      </c>
      <c r="BA414" s="10">
        <f t="shared" si="3516"/>
        <v>0</v>
      </c>
      <c r="BB414" s="10">
        <f t="shared" si="3516"/>
        <v>0</v>
      </c>
      <c r="BC414" s="10">
        <f t="shared" si="3516"/>
        <v>0</v>
      </c>
      <c r="BD414" s="10">
        <f t="shared" si="3516"/>
        <v>0</v>
      </c>
      <c r="BE414" s="10">
        <f t="shared" si="3516"/>
        <v>0</v>
      </c>
      <c r="BF414" s="10">
        <f t="shared" si="3516"/>
        <v>0</v>
      </c>
      <c r="BG414" s="10">
        <f t="shared" si="3516"/>
        <v>0</v>
      </c>
      <c r="BH414" s="10">
        <f t="shared" si="3516"/>
        <v>0</v>
      </c>
      <c r="BI414" s="10">
        <f t="shared" si="3516"/>
        <v>0</v>
      </c>
      <c r="BJ414" s="10">
        <f t="shared" si="3516"/>
        <v>0</v>
      </c>
      <c r="BK414" s="10">
        <f t="shared" si="3516"/>
        <v>0</v>
      </c>
      <c r="BL414" s="10">
        <f t="shared" si="3516"/>
        <v>0</v>
      </c>
      <c r="BM414" s="10">
        <f t="shared" si="3516"/>
        <v>0</v>
      </c>
      <c r="BN414" s="10">
        <f t="shared" si="3516"/>
        <v>0</v>
      </c>
      <c r="BO414" s="10">
        <f t="shared" si="3516"/>
        <v>0</v>
      </c>
      <c r="BP414" s="10">
        <f t="shared" si="3516"/>
        <v>0</v>
      </c>
      <c r="BQ414" s="10">
        <f t="shared" si="3516"/>
        <v>0</v>
      </c>
      <c r="BR414" s="10">
        <f t="shared" si="3516"/>
        <v>0</v>
      </c>
      <c r="BS414" s="10">
        <f t="shared" si="3516"/>
        <v>0</v>
      </c>
      <c r="BT414" s="10">
        <f t="shared" si="3516"/>
        <v>0</v>
      </c>
      <c r="BU414" s="10">
        <f t="shared" si="3516"/>
        <v>0</v>
      </c>
      <c r="BV414" s="10">
        <f t="shared" si="3516"/>
        <v>0</v>
      </c>
      <c r="BW414" s="10">
        <f t="shared" si="3516"/>
        <v>0</v>
      </c>
      <c r="BX414" s="10">
        <f t="shared" ref="BX414:CO414" si="3517" xml:space="preserve"> BX329</f>
        <v>0</v>
      </c>
      <c r="BY414" s="10">
        <f t="shared" si="3517"/>
        <v>0</v>
      </c>
      <c r="BZ414" s="10">
        <f t="shared" si="3517"/>
        <v>0</v>
      </c>
      <c r="CA414" s="10">
        <f t="shared" si="3517"/>
        <v>0</v>
      </c>
      <c r="CB414" s="10">
        <f t="shared" si="3517"/>
        <v>0</v>
      </c>
      <c r="CC414" s="10">
        <f t="shared" si="3517"/>
        <v>0</v>
      </c>
      <c r="CD414" s="10">
        <f t="shared" si="3517"/>
        <v>0</v>
      </c>
      <c r="CE414" s="10">
        <f t="shared" si="3517"/>
        <v>0</v>
      </c>
      <c r="CF414" s="10">
        <f t="shared" si="3517"/>
        <v>0</v>
      </c>
      <c r="CG414" s="10">
        <f t="shared" si="3517"/>
        <v>0</v>
      </c>
      <c r="CH414" s="10">
        <f t="shared" si="3517"/>
        <v>0</v>
      </c>
      <c r="CI414" s="10">
        <f t="shared" si="3517"/>
        <v>0</v>
      </c>
      <c r="CJ414" s="10">
        <f t="shared" si="3517"/>
        <v>0</v>
      </c>
      <c r="CK414" s="10">
        <f t="shared" si="3517"/>
        <v>0</v>
      </c>
      <c r="CL414" s="10">
        <f t="shared" si="3517"/>
        <v>0</v>
      </c>
      <c r="CM414" s="10">
        <f t="shared" si="3517"/>
        <v>0</v>
      </c>
      <c r="CN414" s="10">
        <f t="shared" si="3517"/>
        <v>0</v>
      </c>
      <c r="CO414" s="10">
        <f t="shared" si="3517"/>
        <v>0</v>
      </c>
    </row>
    <row r="415" spans="1:93">
      <c r="A415" s="10"/>
      <c r="B415" s="10"/>
      <c r="C415" s="17" t="s">
        <v>128</v>
      </c>
      <c r="D415" s="10"/>
      <c r="E415" s="62"/>
      <c r="F415" s="11"/>
      <c r="G415" s="134" t="str">
        <f t="shared" si="3432"/>
        <v>тыс. руб.</v>
      </c>
      <c r="H415" s="10"/>
      <c r="I415" s="10"/>
      <c r="J415" s="10"/>
      <c r="K415" s="10"/>
      <c r="L415" s="10">
        <f t="shared" ref="L415:R415" si="3518" xml:space="preserve"> SUM(L413:L414)</f>
        <v>0</v>
      </c>
      <c r="M415" s="10">
        <f t="shared" si="3518"/>
        <v>0</v>
      </c>
      <c r="N415" s="10">
        <f t="shared" si="3518"/>
        <v>0</v>
      </c>
      <c r="O415" s="10">
        <f t="shared" si="3518"/>
        <v>0</v>
      </c>
      <c r="P415" s="10">
        <f t="shared" si="3518"/>
        <v>0</v>
      </c>
      <c r="Q415" s="10">
        <f t="shared" si="3518"/>
        <v>0</v>
      </c>
      <c r="R415" s="10">
        <f t="shared" si="3518"/>
        <v>0</v>
      </c>
      <c r="S415" s="10">
        <f t="shared" ref="S415:CD415" si="3519" xml:space="preserve"> SUM(S413:S414)</f>
        <v>0</v>
      </c>
      <c r="T415" s="10">
        <f t="shared" si="3519"/>
        <v>0</v>
      </c>
      <c r="U415" s="10">
        <f t="shared" si="3519"/>
        <v>0</v>
      </c>
      <c r="V415" s="10">
        <f t="shared" si="3519"/>
        <v>0</v>
      </c>
      <c r="W415" s="10">
        <f t="shared" si="3519"/>
        <v>0</v>
      </c>
      <c r="X415" s="10">
        <f t="shared" si="3519"/>
        <v>0</v>
      </c>
      <c r="Y415" s="10">
        <f t="shared" si="3519"/>
        <v>0</v>
      </c>
      <c r="Z415" s="10">
        <f t="shared" si="3519"/>
        <v>0</v>
      </c>
      <c r="AA415" s="10">
        <f t="shared" si="3519"/>
        <v>0</v>
      </c>
      <c r="AB415" s="10">
        <f t="shared" si="3519"/>
        <v>0</v>
      </c>
      <c r="AC415" s="10">
        <f t="shared" si="3519"/>
        <v>0</v>
      </c>
      <c r="AD415" s="10">
        <f t="shared" si="3519"/>
        <v>0</v>
      </c>
      <c r="AE415" s="10">
        <f t="shared" si="3519"/>
        <v>0</v>
      </c>
      <c r="AF415" s="10">
        <f t="shared" si="3519"/>
        <v>0</v>
      </c>
      <c r="AG415" s="10">
        <f t="shared" si="3519"/>
        <v>0</v>
      </c>
      <c r="AH415" s="10">
        <f t="shared" si="3519"/>
        <v>0</v>
      </c>
      <c r="AI415" s="10">
        <f t="shared" si="3519"/>
        <v>0</v>
      </c>
      <c r="AJ415" s="10">
        <f t="shared" si="3519"/>
        <v>0</v>
      </c>
      <c r="AK415" s="10">
        <f t="shared" si="3519"/>
        <v>0</v>
      </c>
      <c r="AL415" s="10">
        <f t="shared" si="3519"/>
        <v>0</v>
      </c>
      <c r="AM415" s="10">
        <f t="shared" si="3519"/>
        <v>0</v>
      </c>
      <c r="AN415" s="10">
        <f t="shared" si="3519"/>
        <v>0</v>
      </c>
      <c r="AO415" s="10">
        <f t="shared" si="3519"/>
        <v>0</v>
      </c>
      <c r="AP415" s="10">
        <f t="shared" si="3519"/>
        <v>0</v>
      </c>
      <c r="AQ415" s="10">
        <f t="shared" si="3519"/>
        <v>0</v>
      </c>
      <c r="AR415" s="10">
        <f t="shared" si="3519"/>
        <v>0</v>
      </c>
      <c r="AS415" s="10">
        <f t="shared" si="3519"/>
        <v>0</v>
      </c>
      <c r="AT415" s="10">
        <f t="shared" si="3519"/>
        <v>0</v>
      </c>
      <c r="AU415" s="10">
        <f t="shared" si="3519"/>
        <v>0</v>
      </c>
      <c r="AV415" s="10">
        <f t="shared" si="3519"/>
        <v>0</v>
      </c>
      <c r="AW415" s="10">
        <f t="shared" si="3519"/>
        <v>0</v>
      </c>
      <c r="AX415" s="10">
        <f t="shared" si="3519"/>
        <v>0</v>
      </c>
      <c r="AY415" s="10">
        <f t="shared" si="3519"/>
        <v>0</v>
      </c>
      <c r="AZ415" s="10">
        <f t="shared" si="3519"/>
        <v>0</v>
      </c>
      <c r="BA415" s="10">
        <f t="shared" si="3519"/>
        <v>0</v>
      </c>
      <c r="BB415" s="10">
        <f t="shared" si="3519"/>
        <v>0</v>
      </c>
      <c r="BC415" s="10">
        <f t="shared" si="3519"/>
        <v>0</v>
      </c>
      <c r="BD415" s="10">
        <f t="shared" si="3519"/>
        <v>0</v>
      </c>
      <c r="BE415" s="10">
        <f t="shared" si="3519"/>
        <v>0</v>
      </c>
      <c r="BF415" s="10">
        <f t="shared" si="3519"/>
        <v>0</v>
      </c>
      <c r="BG415" s="10">
        <f t="shared" si="3519"/>
        <v>0</v>
      </c>
      <c r="BH415" s="10">
        <f t="shared" si="3519"/>
        <v>0</v>
      </c>
      <c r="BI415" s="10">
        <f t="shared" si="3519"/>
        <v>0</v>
      </c>
      <c r="BJ415" s="10">
        <f t="shared" si="3519"/>
        <v>0</v>
      </c>
      <c r="BK415" s="10">
        <f t="shared" si="3519"/>
        <v>0</v>
      </c>
      <c r="BL415" s="10">
        <f t="shared" si="3519"/>
        <v>0</v>
      </c>
      <c r="BM415" s="10">
        <f t="shared" si="3519"/>
        <v>0</v>
      </c>
      <c r="BN415" s="10">
        <f t="shared" si="3519"/>
        <v>0</v>
      </c>
      <c r="BO415" s="10">
        <f t="shared" si="3519"/>
        <v>0</v>
      </c>
      <c r="BP415" s="10">
        <f t="shared" si="3519"/>
        <v>0</v>
      </c>
      <c r="BQ415" s="10">
        <f t="shared" si="3519"/>
        <v>0</v>
      </c>
      <c r="BR415" s="10">
        <f t="shared" si="3519"/>
        <v>0</v>
      </c>
      <c r="BS415" s="10">
        <f t="shared" si="3519"/>
        <v>0</v>
      </c>
      <c r="BT415" s="10">
        <f t="shared" si="3519"/>
        <v>0</v>
      </c>
      <c r="BU415" s="10">
        <f t="shared" si="3519"/>
        <v>0</v>
      </c>
      <c r="BV415" s="10">
        <f t="shared" si="3519"/>
        <v>0</v>
      </c>
      <c r="BW415" s="10">
        <f t="shared" si="3519"/>
        <v>0</v>
      </c>
      <c r="BX415" s="10">
        <f t="shared" si="3519"/>
        <v>0</v>
      </c>
      <c r="BY415" s="10">
        <f t="shared" si="3519"/>
        <v>0</v>
      </c>
      <c r="BZ415" s="10">
        <f t="shared" si="3519"/>
        <v>0</v>
      </c>
      <c r="CA415" s="10">
        <f t="shared" si="3519"/>
        <v>0</v>
      </c>
      <c r="CB415" s="10">
        <f t="shared" si="3519"/>
        <v>0</v>
      </c>
      <c r="CC415" s="10">
        <f t="shared" si="3519"/>
        <v>0</v>
      </c>
      <c r="CD415" s="10">
        <f t="shared" si="3519"/>
        <v>0</v>
      </c>
      <c r="CE415" s="10">
        <f t="shared" ref="CE415:CO415" si="3520" xml:space="preserve"> SUM(CE413:CE414)</f>
        <v>0</v>
      </c>
      <c r="CF415" s="10">
        <f t="shared" si="3520"/>
        <v>0</v>
      </c>
      <c r="CG415" s="10">
        <f t="shared" si="3520"/>
        <v>0</v>
      </c>
      <c r="CH415" s="10">
        <f t="shared" si="3520"/>
        <v>0</v>
      </c>
      <c r="CI415" s="10">
        <f t="shared" si="3520"/>
        <v>0</v>
      </c>
      <c r="CJ415" s="10">
        <f t="shared" si="3520"/>
        <v>0</v>
      </c>
      <c r="CK415" s="10">
        <f t="shared" si="3520"/>
        <v>0</v>
      </c>
      <c r="CL415" s="10">
        <f t="shared" si="3520"/>
        <v>0</v>
      </c>
      <c r="CM415" s="10">
        <f t="shared" si="3520"/>
        <v>0</v>
      </c>
      <c r="CN415" s="10">
        <f t="shared" si="3520"/>
        <v>0</v>
      </c>
      <c r="CO415" s="10">
        <f t="shared" si="3520"/>
        <v>0</v>
      </c>
    </row>
    <row r="416" spans="1:93">
      <c r="A416" s="10"/>
      <c r="B416" s="10"/>
      <c r="C416" s="17"/>
      <c r="D416" s="10"/>
      <c r="E416" s="62"/>
      <c r="F416" s="11"/>
      <c r="G416" s="11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</row>
    <row r="417" spans="1:93" ht="16" thickBot="1">
      <c r="A417" s="10"/>
      <c r="B417" s="10"/>
      <c r="C417" s="12" t="s">
        <v>316</v>
      </c>
      <c r="D417" s="12"/>
      <c r="E417" s="12"/>
      <c r="F417" s="12"/>
      <c r="G417" s="362"/>
      <c r="H417" s="12"/>
      <c r="I417" s="12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</row>
    <row r="418" spans="1:93">
      <c r="A418" s="10"/>
      <c r="B418" s="10"/>
      <c r="C418" s="21"/>
      <c r="D418" s="10"/>
      <c r="E418" s="62"/>
      <c r="F418" s="11"/>
      <c r="G418" s="11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</row>
    <row r="419" spans="1:93">
      <c r="A419" s="10"/>
      <c r="B419" s="10"/>
      <c r="C419" s="87" t="s">
        <v>868</v>
      </c>
      <c r="D419" s="10"/>
      <c r="E419" s="62"/>
      <c r="F419" s="11"/>
      <c r="G419" s="11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</row>
    <row r="420" spans="1:93">
      <c r="A420" s="10"/>
      <c r="B420" s="10"/>
      <c r="C420" s="17" t="s">
        <v>386</v>
      </c>
      <c r="D420" s="10"/>
      <c r="E420" s="184">
        <f xml:space="preserve"> Предпосылки!E370</f>
        <v>30</v>
      </c>
      <c r="F420" s="11"/>
      <c r="G420" s="11" t="s">
        <v>123</v>
      </c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</row>
    <row r="421" spans="1:93">
      <c r="A421" s="10"/>
      <c r="B421" s="10"/>
      <c r="C421" s="17" t="s">
        <v>387</v>
      </c>
      <c r="D421" s="10"/>
      <c r="E421" s="182"/>
      <c r="F421" s="11"/>
      <c r="G421" s="11" t="s">
        <v>28</v>
      </c>
      <c r="H421" s="10"/>
      <c r="I421" s="10"/>
      <c r="J421" s="10"/>
      <c r="K421" s="10"/>
      <c r="L421" s="157">
        <f t="shared" ref="L421:R421" si="3521" xml:space="preserve"> IF($E420&lt;&gt;0,1/$E420,0)/Periods_in_Year</f>
        <v>8.3333333333333332E-3</v>
      </c>
      <c r="M421" s="157">
        <f t="shared" si="3521"/>
        <v>8.3333333333333332E-3</v>
      </c>
      <c r="N421" s="157">
        <f t="shared" si="3521"/>
        <v>8.3333333333333332E-3</v>
      </c>
      <c r="O421" s="157">
        <f t="shared" si="3521"/>
        <v>8.3333333333333332E-3</v>
      </c>
      <c r="P421" s="157">
        <f t="shared" si="3521"/>
        <v>8.3333333333333332E-3</v>
      </c>
      <c r="Q421" s="157">
        <f t="shared" si="3521"/>
        <v>8.3333333333333332E-3</v>
      </c>
      <c r="R421" s="157">
        <f t="shared" si="3521"/>
        <v>8.3333333333333332E-3</v>
      </c>
      <c r="S421" s="157">
        <f t="shared" ref="S421:CD421" si="3522" xml:space="preserve"> IF($E420&lt;&gt;0,1/$E420,0)/Periods_in_Year</f>
        <v>8.3333333333333332E-3</v>
      </c>
      <c r="T421" s="157">
        <f t="shared" si="3522"/>
        <v>8.3333333333333332E-3</v>
      </c>
      <c r="U421" s="157">
        <f t="shared" si="3522"/>
        <v>8.3333333333333332E-3</v>
      </c>
      <c r="V421" s="157">
        <f t="shared" si="3522"/>
        <v>8.3333333333333332E-3</v>
      </c>
      <c r="W421" s="157">
        <f t="shared" si="3522"/>
        <v>8.3333333333333332E-3</v>
      </c>
      <c r="X421" s="157">
        <f t="shared" si="3522"/>
        <v>8.3333333333333332E-3</v>
      </c>
      <c r="Y421" s="157">
        <f t="shared" si="3522"/>
        <v>8.3333333333333332E-3</v>
      </c>
      <c r="Z421" s="157">
        <f t="shared" si="3522"/>
        <v>8.3333333333333332E-3</v>
      </c>
      <c r="AA421" s="157">
        <f t="shared" si="3522"/>
        <v>8.3333333333333332E-3</v>
      </c>
      <c r="AB421" s="157">
        <f t="shared" si="3522"/>
        <v>8.3333333333333332E-3</v>
      </c>
      <c r="AC421" s="157">
        <f t="shared" si="3522"/>
        <v>8.3333333333333332E-3</v>
      </c>
      <c r="AD421" s="157">
        <f t="shared" si="3522"/>
        <v>8.3333333333333332E-3</v>
      </c>
      <c r="AE421" s="157">
        <f t="shared" si="3522"/>
        <v>8.3333333333333332E-3</v>
      </c>
      <c r="AF421" s="157">
        <f t="shared" si="3522"/>
        <v>8.3333333333333332E-3</v>
      </c>
      <c r="AG421" s="157">
        <f t="shared" si="3522"/>
        <v>8.3333333333333332E-3</v>
      </c>
      <c r="AH421" s="157">
        <f t="shared" si="3522"/>
        <v>8.3333333333333332E-3</v>
      </c>
      <c r="AI421" s="157">
        <f t="shared" si="3522"/>
        <v>8.3333333333333332E-3</v>
      </c>
      <c r="AJ421" s="157">
        <f t="shared" si="3522"/>
        <v>8.3333333333333332E-3</v>
      </c>
      <c r="AK421" s="157">
        <f t="shared" si="3522"/>
        <v>8.3333333333333332E-3</v>
      </c>
      <c r="AL421" s="157">
        <f t="shared" si="3522"/>
        <v>8.3333333333333332E-3</v>
      </c>
      <c r="AM421" s="157">
        <f t="shared" si="3522"/>
        <v>8.3333333333333332E-3</v>
      </c>
      <c r="AN421" s="157">
        <f t="shared" si="3522"/>
        <v>8.3333333333333332E-3</v>
      </c>
      <c r="AO421" s="157">
        <f t="shared" si="3522"/>
        <v>8.3333333333333332E-3</v>
      </c>
      <c r="AP421" s="157">
        <f t="shared" si="3522"/>
        <v>8.3333333333333332E-3</v>
      </c>
      <c r="AQ421" s="157">
        <f t="shared" si="3522"/>
        <v>8.3333333333333332E-3</v>
      </c>
      <c r="AR421" s="157">
        <f t="shared" si="3522"/>
        <v>8.3333333333333332E-3</v>
      </c>
      <c r="AS421" s="157">
        <f t="shared" si="3522"/>
        <v>8.3333333333333332E-3</v>
      </c>
      <c r="AT421" s="157">
        <f t="shared" si="3522"/>
        <v>8.3333333333333332E-3</v>
      </c>
      <c r="AU421" s="157">
        <f t="shared" si="3522"/>
        <v>8.3333333333333332E-3</v>
      </c>
      <c r="AV421" s="157">
        <f t="shared" si="3522"/>
        <v>8.3333333333333332E-3</v>
      </c>
      <c r="AW421" s="157">
        <f t="shared" si="3522"/>
        <v>8.3333333333333332E-3</v>
      </c>
      <c r="AX421" s="157">
        <f t="shared" si="3522"/>
        <v>8.3333333333333332E-3</v>
      </c>
      <c r="AY421" s="157">
        <f t="shared" si="3522"/>
        <v>8.3333333333333332E-3</v>
      </c>
      <c r="AZ421" s="157">
        <f t="shared" si="3522"/>
        <v>8.3333333333333332E-3</v>
      </c>
      <c r="BA421" s="157">
        <f t="shared" si="3522"/>
        <v>8.3333333333333332E-3</v>
      </c>
      <c r="BB421" s="157">
        <f t="shared" si="3522"/>
        <v>8.3333333333333332E-3</v>
      </c>
      <c r="BC421" s="157">
        <f t="shared" si="3522"/>
        <v>8.3333333333333332E-3</v>
      </c>
      <c r="BD421" s="157">
        <f t="shared" si="3522"/>
        <v>8.3333333333333332E-3</v>
      </c>
      <c r="BE421" s="157">
        <f t="shared" si="3522"/>
        <v>8.3333333333333332E-3</v>
      </c>
      <c r="BF421" s="157">
        <f t="shared" si="3522"/>
        <v>8.3333333333333332E-3</v>
      </c>
      <c r="BG421" s="157">
        <f t="shared" si="3522"/>
        <v>8.3333333333333332E-3</v>
      </c>
      <c r="BH421" s="157">
        <f t="shared" si="3522"/>
        <v>8.3333333333333332E-3</v>
      </c>
      <c r="BI421" s="157">
        <f t="shared" si="3522"/>
        <v>8.3333333333333332E-3</v>
      </c>
      <c r="BJ421" s="157">
        <f t="shared" si="3522"/>
        <v>8.3333333333333332E-3</v>
      </c>
      <c r="BK421" s="157">
        <f t="shared" si="3522"/>
        <v>8.3333333333333332E-3</v>
      </c>
      <c r="BL421" s="157">
        <f t="shared" si="3522"/>
        <v>8.3333333333333332E-3</v>
      </c>
      <c r="BM421" s="157">
        <f t="shared" si="3522"/>
        <v>8.3333333333333332E-3</v>
      </c>
      <c r="BN421" s="157">
        <f t="shared" si="3522"/>
        <v>8.3333333333333332E-3</v>
      </c>
      <c r="BO421" s="157">
        <f t="shared" si="3522"/>
        <v>8.3333333333333332E-3</v>
      </c>
      <c r="BP421" s="157">
        <f t="shared" si="3522"/>
        <v>8.3333333333333332E-3</v>
      </c>
      <c r="BQ421" s="157">
        <f t="shared" si="3522"/>
        <v>8.3333333333333332E-3</v>
      </c>
      <c r="BR421" s="157">
        <f t="shared" si="3522"/>
        <v>8.3333333333333332E-3</v>
      </c>
      <c r="BS421" s="157">
        <f t="shared" si="3522"/>
        <v>8.3333333333333332E-3</v>
      </c>
      <c r="BT421" s="157">
        <f t="shared" si="3522"/>
        <v>8.3333333333333332E-3</v>
      </c>
      <c r="BU421" s="157">
        <f t="shared" si="3522"/>
        <v>8.3333333333333332E-3</v>
      </c>
      <c r="BV421" s="157">
        <f t="shared" si="3522"/>
        <v>8.3333333333333332E-3</v>
      </c>
      <c r="BW421" s="157">
        <f t="shared" si="3522"/>
        <v>8.3333333333333332E-3</v>
      </c>
      <c r="BX421" s="157">
        <f t="shared" si="3522"/>
        <v>8.3333333333333332E-3</v>
      </c>
      <c r="BY421" s="157">
        <f t="shared" si="3522"/>
        <v>8.3333333333333332E-3</v>
      </c>
      <c r="BZ421" s="157">
        <f t="shared" si="3522"/>
        <v>8.3333333333333332E-3</v>
      </c>
      <c r="CA421" s="157">
        <f t="shared" si="3522"/>
        <v>8.3333333333333332E-3</v>
      </c>
      <c r="CB421" s="157">
        <f t="shared" si="3522"/>
        <v>8.3333333333333332E-3</v>
      </c>
      <c r="CC421" s="157">
        <f t="shared" si="3522"/>
        <v>8.3333333333333332E-3</v>
      </c>
      <c r="CD421" s="157">
        <f t="shared" si="3522"/>
        <v>8.3333333333333332E-3</v>
      </c>
      <c r="CE421" s="157">
        <f t="shared" ref="CE421:CO421" si="3523" xml:space="preserve"> IF($E420&lt;&gt;0,1/$E420,0)/Periods_in_Year</f>
        <v>8.3333333333333332E-3</v>
      </c>
      <c r="CF421" s="157">
        <f t="shared" si="3523"/>
        <v>8.3333333333333332E-3</v>
      </c>
      <c r="CG421" s="157">
        <f t="shared" si="3523"/>
        <v>8.3333333333333332E-3</v>
      </c>
      <c r="CH421" s="157">
        <f t="shared" si="3523"/>
        <v>8.3333333333333332E-3</v>
      </c>
      <c r="CI421" s="157">
        <f t="shared" si="3523"/>
        <v>8.3333333333333332E-3</v>
      </c>
      <c r="CJ421" s="157">
        <f t="shared" si="3523"/>
        <v>8.3333333333333332E-3</v>
      </c>
      <c r="CK421" s="157">
        <f t="shared" si="3523"/>
        <v>8.3333333333333332E-3</v>
      </c>
      <c r="CL421" s="157">
        <f t="shared" si="3523"/>
        <v>8.3333333333333332E-3</v>
      </c>
      <c r="CM421" s="157">
        <f t="shared" si="3523"/>
        <v>8.3333333333333332E-3</v>
      </c>
      <c r="CN421" s="157">
        <f t="shared" si="3523"/>
        <v>8.3333333333333332E-3</v>
      </c>
      <c r="CO421" s="157">
        <f t="shared" si="3523"/>
        <v>8.3333333333333332E-3</v>
      </c>
    </row>
    <row r="422" spans="1:93">
      <c r="A422" s="10"/>
      <c r="B422" s="10"/>
      <c r="C422" s="17" t="s">
        <v>125</v>
      </c>
      <c r="D422" s="10"/>
      <c r="E422" s="62"/>
      <c r="F422" s="11"/>
      <c r="G422" s="134" t="str">
        <f t="shared" ref="G422:G428" si="3524">Monetary_Unit</f>
        <v>тыс. руб.</v>
      </c>
      <c r="H422" s="10"/>
      <c r="I422" s="10"/>
      <c r="J422" s="10"/>
      <c r="K422" s="10"/>
      <c r="L422" s="52">
        <f t="shared" ref="L422" si="3525" xml:space="preserve"> K428</f>
        <v>0</v>
      </c>
      <c r="M422" s="52">
        <f t="shared" ref="M422" ca="1" si="3526" xml:space="preserve"> L428</f>
        <v>0</v>
      </c>
      <c r="N422" s="52">
        <f t="shared" ref="N422" ca="1" si="3527" xml:space="preserve"> M428</f>
        <v>0</v>
      </c>
      <c r="O422" s="52">
        <f t="shared" ref="O422" ca="1" si="3528" xml:space="preserve"> N428</f>
        <v>0</v>
      </c>
      <c r="P422" s="52">
        <f t="shared" ref="P422" ca="1" si="3529" xml:space="preserve"> O428</f>
        <v>0</v>
      </c>
      <c r="Q422" s="52">
        <f t="shared" ref="Q422" ca="1" si="3530" xml:space="preserve"> P428</f>
        <v>0</v>
      </c>
      <c r="R422" s="52">
        <f t="shared" ref="R422" ca="1" si="3531" xml:space="preserve"> Q428</f>
        <v>0</v>
      </c>
      <c r="S422" s="52">
        <f t="shared" ref="S422" ca="1" si="3532" xml:space="preserve"> R428</f>
        <v>0</v>
      </c>
      <c r="T422" s="52">
        <f t="shared" ref="T422" ca="1" si="3533" xml:space="preserve"> S428</f>
        <v>0</v>
      </c>
      <c r="U422" s="52">
        <f t="shared" ref="U422" ca="1" si="3534" xml:space="preserve"> T428</f>
        <v>0</v>
      </c>
      <c r="V422" s="52">
        <f t="shared" ref="V422" ca="1" si="3535" xml:space="preserve"> U428</f>
        <v>0</v>
      </c>
      <c r="W422" s="52">
        <f t="shared" ref="W422" ca="1" si="3536" xml:space="preserve"> V428</f>
        <v>0</v>
      </c>
      <c r="X422" s="52">
        <f t="shared" ref="X422" ca="1" si="3537" xml:space="preserve"> W428</f>
        <v>0</v>
      </c>
      <c r="Y422" s="52">
        <f t="shared" ref="Y422" ca="1" si="3538" xml:space="preserve"> X428</f>
        <v>0</v>
      </c>
      <c r="Z422" s="52">
        <f t="shared" ref="Z422" ca="1" si="3539" xml:space="preserve"> Y428</f>
        <v>0</v>
      </c>
      <c r="AA422" s="52">
        <f t="shared" ref="AA422" ca="1" si="3540" xml:space="preserve"> Z428</f>
        <v>0</v>
      </c>
      <c r="AB422" s="52">
        <f t="shared" ref="AB422" ca="1" si="3541" xml:space="preserve"> AA428</f>
        <v>0</v>
      </c>
      <c r="AC422" s="52">
        <f t="shared" ref="AC422" ca="1" si="3542" xml:space="preserve"> AB428</f>
        <v>27774.797642991573</v>
      </c>
      <c r="AD422" s="52">
        <f t="shared" ref="AD422" ca="1" si="3543" xml:space="preserve"> AC428</f>
        <v>24789.006896369978</v>
      </c>
      <c r="AE422" s="52">
        <f t="shared" ref="AE422" ca="1" si="3544" xml:space="preserve"> AD428</f>
        <v>24580.695914047541</v>
      </c>
      <c r="AF422" s="52">
        <f t="shared" ref="AF422" ca="1" si="3545" xml:space="preserve"> AE428</f>
        <v>24372.384931725104</v>
      </c>
      <c r="AG422" s="52">
        <f t="shared" ref="AG422" ca="1" si="3546" xml:space="preserve"> AF428</f>
        <v>24164.073949402667</v>
      </c>
      <c r="AH422" s="52">
        <f t="shared" ref="AH422" ca="1" si="3547" xml:space="preserve"> AG428</f>
        <v>23955.762967080231</v>
      </c>
      <c r="AI422" s="52">
        <f t="shared" ref="AI422" ca="1" si="3548" xml:space="preserve"> AH428</f>
        <v>23747.451984757794</v>
      </c>
      <c r="AJ422" s="52">
        <f t="shared" ref="AJ422" ca="1" si="3549" xml:space="preserve"> AI428</f>
        <v>23539.141002435357</v>
      </c>
      <c r="AK422" s="52">
        <f t="shared" ref="AK422" ca="1" si="3550" xml:space="preserve"> AJ428</f>
        <v>23330.83002011292</v>
      </c>
      <c r="AL422" s="52">
        <f t="shared" ref="AL422" ca="1" si="3551" xml:space="preserve"> AK428</f>
        <v>23122.519037790484</v>
      </c>
      <c r="AM422" s="52">
        <f t="shared" ref="AM422" ca="1" si="3552" xml:space="preserve"> AL428</f>
        <v>22914.208055468047</v>
      </c>
      <c r="AN422" s="52">
        <f t="shared" ref="AN422" ca="1" si="3553" xml:space="preserve"> AM428</f>
        <v>22705.89707314561</v>
      </c>
      <c r="AO422" s="52">
        <f t="shared" ref="AO422" ca="1" si="3554" xml:space="preserve"> AN428</f>
        <v>22497.586090823173</v>
      </c>
      <c r="AP422" s="52">
        <f t="shared" ref="AP422" ca="1" si="3555" xml:space="preserve"> AO428</f>
        <v>22289.275108500737</v>
      </c>
      <c r="AQ422" s="52">
        <f t="shared" ref="AQ422" ca="1" si="3556" xml:space="preserve"> AP428</f>
        <v>22080.9641261783</v>
      </c>
      <c r="AR422" s="52">
        <f t="shared" ref="AR422" ca="1" si="3557" xml:space="preserve"> AQ428</f>
        <v>21872.653143855863</v>
      </c>
      <c r="AS422" s="52">
        <f t="shared" ref="AS422" ca="1" si="3558" xml:space="preserve"> AR428</f>
        <v>21664.342161533426</v>
      </c>
      <c r="AT422" s="52">
        <f t="shared" ref="AT422" ca="1" si="3559" xml:space="preserve"> AS428</f>
        <v>21456.03117921099</v>
      </c>
      <c r="AU422" s="52">
        <f t="shared" ref="AU422" ca="1" si="3560" xml:space="preserve"> AT428</f>
        <v>21247.720196888553</v>
      </c>
      <c r="AV422" s="52">
        <f t="shared" ref="AV422" ca="1" si="3561" xml:space="preserve"> AU428</f>
        <v>21039.409214566116</v>
      </c>
      <c r="AW422" s="52">
        <f t="shared" ref="AW422" ca="1" si="3562" xml:space="preserve"> AV428</f>
        <v>20831.098232243679</v>
      </c>
      <c r="AX422" s="52">
        <f t="shared" ref="AX422" ca="1" si="3563" xml:space="preserve"> AW428</f>
        <v>20622.787249921243</v>
      </c>
      <c r="AY422" s="52">
        <f t="shared" ref="AY422" ca="1" si="3564" xml:space="preserve"> AX428</f>
        <v>20414.476267598806</v>
      </c>
      <c r="AZ422" s="52">
        <f t="shared" ref="AZ422" ca="1" si="3565" xml:space="preserve"> AY428</f>
        <v>20206.165285276369</v>
      </c>
      <c r="BA422" s="52">
        <f t="shared" ref="BA422" ca="1" si="3566" xml:space="preserve"> AZ428</f>
        <v>19997.854302953932</v>
      </c>
      <c r="BB422" s="52">
        <f t="shared" ref="BB422" ca="1" si="3567" xml:space="preserve"> BA428</f>
        <v>19789.543320631496</v>
      </c>
      <c r="BC422" s="52">
        <f t="shared" ref="BC422" ca="1" si="3568" xml:space="preserve"> BB428</f>
        <v>19581.232338309059</v>
      </c>
      <c r="BD422" s="52">
        <f t="shared" ref="BD422" ca="1" si="3569" xml:space="preserve"> BC428</f>
        <v>19372.921355986622</v>
      </c>
      <c r="BE422" s="52">
        <f t="shared" ref="BE422" ca="1" si="3570" xml:space="preserve"> BD428</f>
        <v>19164.610373664185</v>
      </c>
      <c r="BF422" s="52">
        <f t="shared" ref="BF422" ca="1" si="3571" xml:space="preserve"> BE428</f>
        <v>18956.299391341749</v>
      </c>
      <c r="BG422" s="52">
        <f t="shared" ref="BG422" ca="1" si="3572" xml:space="preserve"> BF428</f>
        <v>18747.988409019312</v>
      </c>
      <c r="BH422" s="52">
        <f t="shared" ref="BH422" ca="1" si="3573" xml:space="preserve"> BG428</f>
        <v>18539.677426696875</v>
      </c>
      <c r="BI422" s="52">
        <f t="shared" ref="BI422" ca="1" si="3574" xml:space="preserve"> BH428</f>
        <v>18331.366444374438</v>
      </c>
      <c r="BJ422" s="52">
        <f t="shared" ref="BJ422" ca="1" si="3575" xml:space="preserve"> BI428</f>
        <v>18123.055462052002</v>
      </c>
      <c r="BK422" s="52">
        <f t="shared" ref="BK422" ca="1" si="3576" xml:space="preserve"> BJ428</f>
        <v>17914.744479729565</v>
      </c>
      <c r="BL422" s="52">
        <f t="shared" ref="BL422" ca="1" si="3577" xml:space="preserve"> BK428</f>
        <v>17706.433497407128</v>
      </c>
      <c r="BM422" s="52">
        <f t="shared" ref="BM422" ca="1" si="3578" xml:space="preserve"> BL428</f>
        <v>17498.122515084691</v>
      </c>
      <c r="BN422" s="52">
        <f t="shared" ref="BN422" ca="1" si="3579" xml:space="preserve"> BM428</f>
        <v>17289.811532762255</v>
      </c>
      <c r="BO422" s="52">
        <f t="shared" ref="BO422" ca="1" si="3580" xml:space="preserve"> BN428</f>
        <v>17081.500550439818</v>
      </c>
      <c r="BP422" s="52">
        <f t="shared" ref="BP422" ca="1" si="3581" xml:space="preserve"> BO428</f>
        <v>16873.189568117381</v>
      </c>
      <c r="BQ422" s="52">
        <f t="shared" ref="BQ422" ca="1" si="3582" xml:space="preserve"> BP428</f>
        <v>16664.878585794941</v>
      </c>
      <c r="BR422" s="52">
        <f t="shared" ref="BR422" ca="1" si="3583" xml:space="preserve"> BQ428</f>
        <v>16456.567603472504</v>
      </c>
      <c r="BS422" s="52">
        <f t="shared" ref="BS422" ca="1" si="3584" xml:space="preserve"> BR428</f>
        <v>16248.256621150069</v>
      </c>
      <c r="BT422" s="52">
        <f t="shared" ref="BT422" ca="1" si="3585" xml:space="preserve"> BS428</f>
        <v>16039.945638827632</v>
      </c>
      <c r="BU422" s="52">
        <f t="shared" ref="BU422" ca="1" si="3586" xml:space="preserve"> BT428</f>
        <v>15831.634656505195</v>
      </c>
      <c r="BV422" s="52">
        <f t="shared" ref="BV422" ca="1" si="3587" xml:space="preserve"> BU428</f>
        <v>15623.323674182759</v>
      </c>
      <c r="BW422" s="52">
        <f t="shared" ref="BW422" ca="1" si="3588" xml:space="preserve"> BV428</f>
        <v>15415.012691860322</v>
      </c>
      <c r="BX422" s="52">
        <f t="shared" ref="BX422" ca="1" si="3589" xml:space="preserve"> BW428</f>
        <v>15206.701709537885</v>
      </c>
      <c r="BY422" s="52">
        <f t="shared" ref="BY422" ca="1" si="3590" xml:space="preserve"> BX428</f>
        <v>14998.390727215448</v>
      </c>
      <c r="BZ422" s="52">
        <f t="shared" ref="BZ422" ca="1" si="3591" xml:space="preserve"> BY428</f>
        <v>14790.079744893012</v>
      </c>
      <c r="CA422" s="52">
        <f t="shared" ref="CA422" ca="1" si="3592" xml:space="preserve"> BZ428</f>
        <v>14581.768762570575</v>
      </c>
      <c r="CB422" s="52">
        <f t="shared" ref="CB422" ca="1" si="3593" xml:space="preserve"> CA428</f>
        <v>14373.457780248138</v>
      </c>
      <c r="CC422" s="52">
        <f t="shared" ref="CC422" ca="1" si="3594" xml:space="preserve"> CB428</f>
        <v>14165.146797925701</v>
      </c>
      <c r="CD422" s="52">
        <f t="shared" ref="CD422" ca="1" si="3595" xml:space="preserve"> CC428</f>
        <v>13956.835815603265</v>
      </c>
      <c r="CE422" s="52">
        <f t="shared" ref="CE422" ca="1" si="3596" xml:space="preserve"> CD428</f>
        <v>13748.524833280828</v>
      </c>
      <c r="CF422" s="52">
        <f t="shared" ref="CF422" ca="1" si="3597" xml:space="preserve"> CE428</f>
        <v>13540.213850958391</v>
      </c>
      <c r="CG422" s="52">
        <f t="shared" ref="CG422" ca="1" si="3598" xml:space="preserve"> CF428</f>
        <v>13331.902868635954</v>
      </c>
      <c r="CH422" s="52">
        <f t="shared" ref="CH422" ca="1" si="3599" xml:space="preserve"> CG428</f>
        <v>13123.591886313518</v>
      </c>
      <c r="CI422" s="52">
        <f t="shared" ref="CI422" ca="1" si="3600" xml:space="preserve"> CH428</f>
        <v>12915.280903991081</v>
      </c>
      <c r="CJ422" s="52">
        <f t="shared" ref="CJ422" ca="1" si="3601" xml:space="preserve"> CI428</f>
        <v>12706.969921668644</v>
      </c>
      <c r="CK422" s="52">
        <f t="shared" ref="CK422" ca="1" si="3602" xml:space="preserve"> CJ428</f>
        <v>12498.658939346207</v>
      </c>
      <c r="CL422" s="52">
        <f t="shared" ref="CL422" ca="1" si="3603" xml:space="preserve"> CK428</f>
        <v>12290.347957023771</v>
      </c>
      <c r="CM422" s="52">
        <f t="shared" ref="CM422" ca="1" si="3604" xml:space="preserve"> CL428</f>
        <v>12082.036974701334</v>
      </c>
      <c r="CN422" s="52">
        <f t="shared" ref="CN422" ca="1" si="3605" xml:space="preserve"> CM428</f>
        <v>11873.725992378897</v>
      </c>
      <c r="CO422" s="52">
        <f t="shared" ref="CO422" ca="1" si="3606" xml:space="preserve"> CN428</f>
        <v>11665.41501005646</v>
      </c>
    </row>
    <row r="423" spans="1:93">
      <c r="A423" s="10"/>
      <c r="B423" s="10"/>
      <c r="C423" s="17" t="s">
        <v>126</v>
      </c>
      <c r="D423" s="10"/>
      <c r="E423" s="62"/>
      <c r="F423" s="11"/>
      <c r="G423" s="134" t="str">
        <f t="shared" si="3524"/>
        <v>тыс. руб.</v>
      </c>
      <c r="H423" s="10"/>
      <c r="I423" s="23">
        <f ca="1">SUM(L423:CO423)</f>
        <v>24997.317878692415</v>
      </c>
      <c r="J423" s="10"/>
      <c r="K423" s="10"/>
      <c r="L423" s="52">
        <f t="shared" ref="L423:AQ423" ca="1" si="3607" xml:space="preserve"> SUM(L320:L322,L326) + L424</f>
        <v>0</v>
      </c>
      <c r="M423" s="52">
        <f t="shared" ca="1" si="3607"/>
        <v>0</v>
      </c>
      <c r="N423" s="52">
        <f t="shared" ca="1" si="3607"/>
        <v>0</v>
      </c>
      <c r="O423" s="52">
        <f t="shared" ca="1" si="3607"/>
        <v>0</v>
      </c>
      <c r="P423" s="52">
        <f t="shared" ca="1" si="3607"/>
        <v>0</v>
      </c>
      <c r="Q423" s="52">
        <f t="shared" ca="1" si="3607"/>
        <v>0</v>
      </c>
      <c r="R423" s="52">
        <f t="shared" ca="1" si="3607"/>
        <v>0</v>
      </c>
      <c r="S423" s="52">
        <f t="shared" ca="1" si="3607"/>
        <v>0</v>
      </c>
      <c r="T423" s="52">
        <f t="shared" ca="1" si="3607"/>
        <v>0</v>
      </c>
      <c r="U423" s="52">
        <f t="shared" ca="1" si="3607"/>
        <v>0</v>
      </c>
      <c r="V423" s="52">
        <f t="shared" ca="1" si="3607"/>
        <v>0</v>
      </c>
      <c r="W423" s="52">
        <f t="shared" ca="1" si="3607"/>
        <v>0</v>
      </c>
      <c r="X423" s="52">
        <f t="shared" ca="1" si="3607"/>
        <v>0</v>
      </c>
      <c r="Y423" s="52">
        <f t="shared" ca="1" si="3607"/>
        <v>0</v>
      </c>
      <c r="Z423" s="52">
        <f t="shared" ca="1" si="3607"/>
        <v>0</v>
      </c>
      <c r="AA423" s="52">
        <f t="shared" ca="1" si="3607"/>
        <v>0</v>
      </c>
      <c r="AB423" s="52">
        <f t="shared" ca="1" si="3607"/>
        <v>27774.797642991573</v>
      </c>
      <c r="AC423" s="52">
        <f t="shared" ca="1" si="3607"/>
        <v>-2777.4797642991575</v>
      </c>
      <c r="AD423" s="52">
        <f t="shared" ca="1" si="3607"/>
        <v>0</v>
      </c>
      <c r="AE423" s="52">
        <f t="shared" ca="1" si="3607"/>
        <v>0</v>
      </c>
      <c r="AF423" s="52">
        <f t="shared" ca="1" si="3607"/>
        <v>0</v>
      </c>
      <c r="AG423" s="52">
        <f t="shared" ca="1" si="3607"/>
        <v>0</v>
      </c>
      <c r="AH423" s="52">
        <f t="shared" ca="1" si="3607"/>
        <v>0</v>
      </c>
      <c r="AI423" s="52">
        <f t="shared" ca="1" si="3607"/>
        <v>0</v>
      </c>
      <c r="AJ423" s="52">
        <f t="shared" ca="1" si="3607"/>
        <v>0</v>
      </c>
      <c r="AK423" s="52">
        <f t="shared" ca="1" si="3607"/>
        <v>0</v>
      </c>
      <c r="AL423" s="52">
        <f t="shared" ca="1" si="3607"/>
        <v>0</v>
      </c>
      <c r="AM423" s="52">
        <f t="shared" ca="1" si="3607"/>
        <v>0</v>
      </c>
      <c r="AN423" s="52">
        <f t="shared" ca="1" si="3607"/>
        <v>0</v>
      </c>
      <c r="AO423" s="52">
        <f t="shared" ca="1" si="3607"/>
        <v>0</v>
      </c>
      <c r="AP423" s="52">
        <f t="shared" ca="1" si="3607"/>
        <v>0</v>
      </c>
      <c r="AQ423" s="52">
        <f t="shared" ca="1" si="3607"/>
        <v>0</v>
      </c>
      <c r="AR423" s="52">
        <f t="shared" ref="AR423:BW423" ca="1" si="3608" xml:space="preserve"> SUM(AR320:AR322,AR326) + AR424</f>
        <v>0</v>
      </c>
      <c r="AS423" s="52">
        <f t="shared" ca="1" si="3608"/>
        <v>0</v>
      </c>
      <c r="AT423" s="52">
        <f t="shared" ca="1" si="3608"/>
        <v>0</v>
      </c>
      <c r="AU423" s="52">
        <f t="shared" ca="1" si="3608"/>
        <v>0</v>
      </c>
      <c r="AV423" s="52">
        <f t="shared" ca="1" si="3608"/>
        <v>0</v>
      </c>
      <c r="AW423" s="52">
        <f t="shared" ca="1" si="3608"/>
        <v>0</v>
      </c>
      <c r="AX423" s="52">
        <f t="shared" ca="1" si="3608"/>
        <v>0</v>
      </c>
      <c r="AY423" s="52">
        <f t="shared" ca="1" si="3608"/>
        <v>0</v>
      </c>
      <c r="AZ423" s="52">
        <f t="shared" ca="1" si="3608"/>
        <v>0</v>
      </c>
      <c r="BA423" s="52">
        <f t="shared" ca="1" si="3608"/>
        <v>0</v>
      </c>
      <c r="BB423" s="52">
        <f t="shared" ca="1" si="3608"/>
        <v>0</v>
      </c>
      <c r="BC423" s="52">
        <f t="shared" ca="1" si="3608"/>
        <v>0</v>
      </c>
      <c r="BD423" s="52">
        <f t="shared" ca="1" si="3608"/>
        <v>0</v>
      </c>
      <c r="BE423" s="52">
        <f t="shared" ca="1" si="3608"/>
        <v>0</v>
      </c>
      <c r="BF423" s="52">
        <f t="shared" ca="1" si="3608"/>
        <v>0</v>
      </c>
      <c r="BG423" s="52">
        <f t="shared" ca="1" si="3608"/>
        <v>0</v>
      </c>
      <c r="BH423" s="52">
        <f t="shared" ca="1" si="3608"/>
        <v>0</v>
      </c>
      <c r="BI423" s="52">
        <f t="shared" ca="1" si="3608"/>
        <v>0</v>
      </c>
      <c r="BJ423" s="52">
        <f t="shared" ca="1" si="3608"/>
        <v>0</v>
      </c>
      <c r="BK423" s="52">
        <f t="shared" ca="1" si="3608"/>
        <v>0</v>
      </c>
      <c r="BL423" s="52">
        <f t="shared" ca="1" si="3608"/>
        <v>0</v>
      </c>
      <c r="BM423" s="52">
        <f t="shared" ca="1" si="3608"/>
        <v>0</v>
      </c>
      <c r="BN423" s="52">
        <f t="shared" ca="1" si="3608"/>
        <v>0</v>
      </c>
      <c r="BO423" s="52">
        <f t="shared" ca="1" si="3608"/>
        <v>0</v>
      </c>
      <c r="BP423" s="52">
        <f t="shared" ca="1" si="3608"/>
        <v>0</v>
      </c>
      <c r="BQ423" s="52">
        <f t="shared" ca="1" si="3608"/>
        <v>0</v>
      </c>
      <c r="BR423" s="52">
        <f t="shared" ca="1" si="3608"/>
        <v>0</v>
      </c>
      <c r="BS423" s="52">
        <f t="shared" ca="1" si="3608"/>
        <v>0</v>
      </c>
      <c r="BT423" s="52">
        <f t="shared" ca="1" si="3608"/>
        <v>0</v>
      </c>
      <c r="BU423" s="52">
        <f t="shared" ca="1" si="3608"/>
        <v>0</v>
      </c>
      <c r="BV423" s="52">
        <f t="shared" ca="1" si="3608"/>
        <v>0</v>
      </c>
      <c r="BW423" s="52">
        <f t="shared" ca="1" si="3608"/>
        <v>0</v>
      </c>
      <c r="BX423" s="52">
        <f t="shared" ref="BX423:CO423" ca="1" si="3609" xml:space="preserve"> SUM(BX320:BX322,BX326) + BX424</f>
        <v>0</v>
      </c>
      <c r="BY423" s="52">
        <f t="shared" ca="1" si="3609"/>
        <v>0</v>
      </c>
      <c r="BZ423" s="52">
        <f t="shared" ca="1" si="3609"/>
        <v>0</v>
      </c>
      <c r="CA423" s="52">
        <f t="shared" ca="1" si="3609"/>
        <v>0</v>
      </c>
      <c r="CB423" s="52">
        <f t="shared" ca="1" si="3609"/>
        <v>0</v>
      </c>
      <c r="CC423" s="52">
        <f t="shared" ca="1" si="3609"/>
        <v>0</v>
      </c>
      <c r="CD423" s="52">
        <f t="shared" ca="1" si="3609"/>
        <v>0</v>
      </c>
      <c r="CE423" s="52">
        <f t="shared" ca="1" si="3609"/>
        <v>0</v>
      </c>
      <c r="CF423" s="52">
        <f t="shared" ca="1" si="3609"/>
        <v>0</v>
      </c>
      <c r="CG423" s="52">
        <f t="shared" ca="1" si="3609"/>
        <v>0</v>
      </c>
      <c r="CH423" s="52">
        <f t="shared" ca="1" si="3609"/>
        <v>0</v>
      </c>
      <c r="CI423" s="52">
        <f t="shared" ca="1" si="3609"/>
        <v>0</v>
      </c>
      <c r="CJ423" s="52">
        <f t="shared" ca="1" si="3609"/>
        <v>0</v>
      </c>
      <c r="CK423" s="52">
        <f t="shared" ca="1" si="3609"/>
        <v>0</v>
      </c>
      <c r="CL423" s="52">
        <f t="shared" ca="1" si="3609"/>
        <v>0</v>
      </c>
      <c r="CM423" s="52">
        <f t="shared" ca="1" si="3609"/>
        <v>0</v>
      </c>
      <c r="CN423" s="52">
        <f t="shared" ca="1" si="3609"/>
        <v>0</v>
      </c>
      <c r="CO423" s="52">
        <f t="shared" ca="1" si="3609"/>
        <v>0</v>
      </c>
    </row>
    <row r="424" spans="1:93">
      <c r="A424" s="10"/>
      <c r="B424" s="10"/>
      <c r="C424" s="17" t="s">
        <v>129</v>
      </c>
      <c r="D424" s="10"/>
      <c r="E424" s="178">
        <f>Предпосылки!E375</f>
        <v>0.1</v>
      </c>
      <c r="F424" s="11"/>
      <c r="G424" s="134" t="str">
        <f t="shared" si="3524"/>
        <v>тыс. руб.</v>
      </c>
      <c r="H424" s="10"/>
      <c r="I424" s="23">
        <f ca="1">SUM(L424:CO424)</f>
        <v>-2777.4797642991575</v>
      </c>
      <c r="J424" s="10"/>
      <c r="K424" s="10"/>
      <c r="L424" s="52">
        <f t="shared" ref="L424:AQ424" si="3610" xml:space="preserve"> - SUM(K320:K322,K326) * $E424</f>
        <v>0</v>
      </c>
      <c r="M424" s="52">
        <f t="shared" ca="1" si="3610"/>
        <v>0</v>
      </c>
      <c r="N424" s="52">
        <f t="shared" ca="1" si="3610"/>
        <v>0</v>
      </c>
      <c r="O424" s="52">
        <f t="shared" ca="1" si="3610"/>
        <v>0</v>
      </c>
      <c r="P424" s="52">
        <f t="shared" ca="1" si="3610"/>
        <v>0</v>
      </c>
      <c r="Q424" s="52">
        <f t="shared" ca="1" si="3610"/>
        <v>0</v>
      </c>
      <c r="R424" s="52">
        <f t="shared" ca="1" si="3610"/>
        <v>0</v>
      </c>
      <c r="S424" s="52">
        <f t="shared" ca="1" si="3610"/>
        <v>0</v>
      </c>
      <c r="T424" s="52">
        <f t="shared" ca="1" si="3610"/>
        <v>0</v>
      </c>
      <c r="U424" s="52">
        <f t="shared" ca="1" si="3610"/>
        <v>0</v>
      </c>
      <c r="V424" s="52">
        <f t="shared" ca="1" si="3610"/>
        <v>0</v>
      </c>
      <c r="W424" s="52">
        <f t="shared" ca="1" si="3610"/>
        <v>0</v>
      </c>
      <c r="X424" s="52">
        <f t="shared" ca="1" si="3610"/>
        <v>0</v>
      </c>
      <c r="Y424" s="52">
        <f t="shared" ca="1" si="3610"/>
        <v>0</v>
      </c>
      <c r="Z424" s="52">
        <f t="shared" ca="1" si="3610"/>
        <v>0</v>
      </c>
      <c r="AA424" s="52">
        <f t="shared" ca="1" si="3610"/>
        <v>0</v>
      </c>
      <c r="AB424" s="52">
        <f t="shared" ca="1" si="3610"/>
        <v>0</v>
      </c>
      <c r="AC424" s="52">
        <f t="shared" ca="1" si="3610"/>
        <v>-2777.4797642991575</v>
      </c>
      <c r="AD424" s="52">
        <f t="shared" ca="1" si="3610"/>
        <v>0</v>
      </c>
      <c r="AE424" s="52">
        <f t="shared" ca="1" si="3610"/>
        <v>0</v>
      </c>
      <c r="AF424" s="52">
        <f t="shared" ca="1" si="3610"/>
        <v>0</v>
      </c>
      <c r="AG424" s="52">
        <f t="shared" ca="1" si="3610"/>
        <v>0</v>
      </c>
      <c r="AH424" s="52">
        <f t="shared" ca="1" si="3610"/>
        <v>0</v>
      </c>
      <c r="AI424" s="52">
        <f t="shared" ca="1" si="3610"/>
        <v>0</v>
      </c>
      <c r="AJ424" s="52">
        <f t="shared" ca="1" si="3610"/>
        <v>0</v>
      </c>
      <c r="AK424" s="52">
        <f t="shared" ca="1" si="3610"/>
        <v>0</v>
      </c>
      <c r="AL424" s="52">
        <f t="shared" ca="1" si="3610"/>
        <v>0</v>
      </c>
      <c r="AM424" s="52">
        <f t="shared" ca="1" si="3610"/>
        <v>0</v>
      </c>
      <c r="AN424" s="52">
        <f t="shared" ca="1" si="3610"/>
        <v>0</v>
      </c>
      <c r="AO424" s="52">
        <f t="shared" ca="1" si="3610"/>
        <v>0</v>
      </c>
      <c r="AP424" s="52">
        <f t="shared" ca="1" si="3610"/>
        <v>0</v>
      </c>
      <c r="AQ424" s="52">
        <f t="shared" ca="1" si="3610"/>
        <v>0</v>
      </c>
      <c r="AR424" s="52">
        <f t="shared" ref="AR424:BW424" ca="1" si="3611" xml:space="preserve"> - SUM(AQ320:AQ322,AQ326) * $E424</f>
        <v>0</v>
      </c>
      <c r="AS424" s="52">
        <f t="shared" ca="1" si="3611"/>
        <v>0</v>
      </c>
      <c r="AT424" s="52">
        <f t="shared" ca="1" si="3611"/>
        <v>0</v>
      </c>
      <c r="AU424" s="52">
        <f t="shared" ca="1" si="3611"/>
        <v>0</v>
      </c>
      <c r="AV424" s="52">
        <f t="shared" ca="1" si="3611"/>
        <v>0</v>
      </c>
      <c r="AW424" s="52">
        <f t="shared" ca="1" si="3611"/>
        <v>0</v>
      </c>
      <c r="AX424" s="52">
        <f t="shared" ca="1" si="3611"/>
        <v>0</v>
      </c>
      <c r="AY424" s="52">
        <f t="shared" ca="1" si="3611"/>
        <v>0</v>
      </c>
      <c r="AZ424" s="52">
        <f t="shared" ca="1" si="3611"/>
        <v>0</v>
      </c>
      <c r="BA424" s="52">
        <f t="shared" ca="1" si="3611"/>
        <v>0</v>
      </c>
      <c r="BB424" s="52">
        <f t="shared" ca="1" si="3611"/>
        <v>0</v>
      </c>
      <c r="BC424" s="52">
        <f t="shared" ca="1" si="3611"/>
        <v>0</v>
      </c>
      <c r="BD424" s="52">
        <f t="shared" ca="1" si="3611"/>
        <v>0</v>
      </c>
      <c r="BE424" s="52">
        <f t="shared" ca="1" si="3611"/>
        <v>0</v>
      </c>
      <c r="BF424" s="52">
        <f t="shared" ca="1" si="3611"/>
        <v>0</v>
      </c>
      <c r="BG424" s="52">
        <f t="shared" ca="1" si="3611"/>
        <v>0</v>
      </c>
      <c r="BH424" s="52">
        <f t="shared" ca="1" si="3611"/>
        <v>0</v>
      </c>
      <c r="BI424" s="52">
        <f t="shared" ca="1" si="3611"/>
        <v>0</v>
      </c>
      <c r="BJ424" s="52">
        <f t="shared" ca="1" si="3611"/>
        <v>0</v>
      </c>
      <c r="BK424" s="52">
        <f t="shared" ca="1" si="3611"/>
        <v>0</v>
      </c>
      <c r="BL424" s="52">
        <f t="shared" ca="1" si="3611"/>
        <v>0</v>
      </c>
      <c r="BM424" s="52">
        <f t="shared" ca="1" si="3611"/>
        <v>0</v>
      </c>
      <c r="BN424" s="52">
        <f t="shared" ca="1" si="3611"/>
        <v>0</v>
      </c>
      <c r="BO424" s="52">
        <f t="shared" ca="1" si="3611"/>
        <v>0</v>
      </c>
      <c r="BP424" s="52">
        <f t="shared" ca="1" si="3611"/>
        <v>0</v>
      </c>
      <c r="BQ424" s="52">
        <f t="shared" ca="1" si="3611"/>
        <v>0</v>
      </c>
      <c r="BR424" s="52">
        <f t="shared" ca="1" si="3611"/>
        <v>0</v>
      </c>
      <c r="BS424" s="52">
        <f t="shared" ca="1" si="3611"/>
        <v>0</v>
      </c>
      <c r="BT424" s="52">
        <f t="shared" ca="1" si="3611"/>
        <v>0</v>
      </c>
      <c r="BU424" s="52">
        <f t="shared" ca="1" si="3611"/>
        <v>0</v>
      </c>
      <c r="BV424" s="52">
        <f t="shared" ca="1" si="3611"/>
        <v>0</v>
      </c>
      <c r="BW424" s="52">
        <f t="shared" ca="1" si="3611"/>
        <v>0</v>
      </c>
      <c r="BX424" s="52">
        <f t="shared" ref="BX424:CO424" ca="1" si="3612" xml:space="preserve"> - SUM(BW320:BW322,BW326) * $E424</f>
        <v>0</v>
      </c>
      <c r="BY424" s="52">
        <f t="shared" ca="1" si="3612"/>
        <v>0</v>
      </c>
      <c r="BZ424" s="52">
        <f t="shared" ca="1" si="3612"/>
        <v>0</v>
      </c>
      <c r="CA424" s="52">
        <f t="shared" ca="1" si="3612"/>
        <v>0</v>
      </c>
      <c r="CB424" s="52">
        <f t="shared" ca="1" si="3612"/>
        <v>0</v>
      </c>
      <c r="CC424" s="52">
        <f t="shared" ca="1" si="3612"/>
        <v>0</v>
      </c>
      <c r="CD424" s="52">
        <f t="shared" ca="1" si="3612"/>
        <v>0</v>
      </c>
      <c r="CE424" s="52">
        <f t="shared" ca="1" si="3612"/>
        <v>0</v>
      </c>
      <c r="CF424" s="52">
        <f t="shared" ca="1" si="3612"/>
        <v>0</v>
      </c>
      <c r="CG424" s="52">
        <f t="shared" ca="1" si="3612"/>
        <v>0</v>
      </c>
      <c r="CH424" s="52">
        <f t="shared" ca="1" si="3612"/>
        <v>0</v>
      </c>
      <c r="CI424" s="52">
        <f t="shared" ca="1" si="3612"/>
        <v>0</v>
      </c>
      <c r="CJ424" s="52">
        <f t="shared" ca="1" si="3612"/>
        <v>0</v>
      </c>
      <c r="CK424" s="52">
        <f t="shared" ca="1" si="3612"/>
        <v>0</v>
      </c>
      <c r="CL424" s="52">
        <f t="shared" ca="1" si="3612"/>
        <v>0</v>
      </c>
      <c r="CM424" s="52">
        <f t="shared" ca="1" si="3612"/>
        <v>0</v>
      </c>
      <c r="CN424" s="52">
        <f t="shared" ca="1" si="3612"/>
        <v>0</v>
      </c>
      <c r="CO424" s="52">
        <f t="shared" ca="1" si="3612"/>
        <v>0</v>
      </c>
    </row>
    <row r="425" spans="1:93">
      <c r="A425" s="10"/>
      <c r="B425" s="10"/>
      <c r="C425" s="17" t="s">
        <v>388</v>
      </c>
      <c r="D425" s="10"/>
      <c r="E425" s="62"/>
      <c r="F425" s="11"/>
      <c r="G425" s="134" t="str">
        <f t="shared" si="3524"/>
        <v>тыс. руб.</v>
      </c>
      <c r="H425" s="10"/>
      <c r="I425" s="10"/>
      <c r="J425" s="10"/>
      <c r="K425" s="10"/>
      <c r="L425" s="52">
        <f t="shared" ref="L425" ca="1" si="3613" xml:space="preserve"> L423 + K425</f>
        <v>0</v>
      </c>
      <c r="M425" s="52">
        <f t="shared" ref="M425" ca="1" si="3614" xml:space="preserve"> M423 + L425</f>
        <v>0</v>
      </c>
      <c r="N425" s="52">
        <f t="shared" ref="N425" ca="1" si="3615" xml:space="preserve"> N423 + M425</f>
        <v>0</v>
      </c>
      <c r="O425" s="52">
        <f t="shared" ref="O425" ca="1" si="3616" xml:space="preserve"> O423 + N425</f>
        <v>0</v>
      </c>
      <c r="P425" s="52">
        <f t="shared" ref="P425" ca="1" si="3617" xml:space="preserve"> P423 + O425</f>
        <v>0</v>
      </c>
      <c r="Q425" s="52">
        <f t="shared" ref="Q425" ca="1" si="3618" xml:space="preserve"> Q423 + P425</f>
        <v>0</v>
      </c>
      <c r="R425" s="52">
        <f t="shared" ref="R425" ca="1" si="3619" xml:space="preserve"> R423 + Q425</f>
        <v>0</v>
      </c>
      <c r="S425" s="52">
        <f t="shared" ref="S425" ca="1" si="3620" xml:space="preserve"> S423 + R425</f>
        <v>0</v>
      </c>
      <c r="T425" s="52">
        <f t="shared" ref="T425" ca="1" si="3621" xml:space="preserve"> T423 + S425</f>
        <v>0</v>
      </c>
      <c r="U425" s="52">
        <f t="shared" ref="U425" ca="1" si="3622" xml:space="preserve"> U423 + T425</f>
        <v>0</v>
      </c>
      <c r="V425" s="52">
        <f t="shared" ref="V425" ca="1" si="3623" xml:space="preserve"> V423 + U425</f>
        <v>0</v>
      </c>
      <c r="W425" s="52">
        <f t="shared" ref="W425" ca="1" si="3624" xml:space="preserve"> W423 + V425</f>
        <v>0</v>
      </c>
      <c r="X425" s="52">
        <f t="shared" ref="X425" ca="1" si="3625" xml:space="preserve"> X423 + W425</f>
        <v>0</v>
      </c>
      <c r="Y425" s="52">
        <f t="shared" ref="Y425" ca="1" si="3626" xml:space="preserve"> Y423 + X425</f>
        <v>0</v>
      </c>
      <c r="Z425" s="52">
        <f t="shared" ref="Z425" ca="1" si="3627" xml:space="preserve"> Z423 + Y425</f>
        <v>0</v>
      </c>
      <c r="AA425" s="52">
        <f t="shared" ref="AA425" ca="1" si="3628" xml:space="preserve"> AA423 + Z425</f>
        <v>0</v>
      </c>
      <c r="AB425" s="52">
        <f t="shared" ref="AB425" ca="1" si="3629" xml:space="preserve"> AB423 + AA425</f>
        <v>27774.797642991573</v>
      </c>
      <c r="AC425" s="52">
        <f t="shared" ref="AC425" ca="1" si="3630" xml:space="preserve"> AC423 + AB425</f>
        <v>24997.317878692415</v>
      </c>
      <c r="AD425" s="52">
        <f t="shared" ref="AD425" ca="1" si="3631" xml:space="preserve"> AD423 + AC425</f>
        <v>24997.317878692415</v>
      </c>
      <c r="AE425" s="52">
        <f t="shared" ref="AE425" ca="1" si="3632" xml:space="preserve"> AE423 + AD425</f>
        <v>24997.317878692415</v>
      </c>
      <c r="AF425" s="52">
        <f t="shared" ref="AF425" ca="1" si="3633" xml:space="preserve"> AF423 + AE425</f>
        <v>24997.317878692415</v>
      </c>
      <c r="AG425" s="52">
        <f t="shared" ref="AG425" ca="1" si="3634" xml:space="preserve"> AG423 + AF425</f>
        <v>24997.317878692415</v>
      </c>
      <c r="AH425" s="52">
        <f t="shared" ref="AH425" ca="1" si="3635" xml:space="preserve"> AH423 + AG425</f>
        <v>24997.317878692415</v>
      </c>
      <c r="AI425" s="52">
        <f t="shared" ref="AI425" ca="1" si="3636" xml:space="preserve"> AI423 + AH425</f>
        <v>24997.317878692415</v>
      </c>
      <c r="AJ425" s="52">
        <f t="shared" ref="AJ425" ca="1" si="3637" xml:space="preserve"> AJ423 + AI425</f>
        <v>24997.317878692415</v>
      </c>
      <c r="AK425" s="52">
        <f t="shared" ref="AK425" ca="1" si="3638" xml:space="preserve"> AK423 + AJ425</f>
        <v>24997.317878692415</v>
      </c>
      <c r="AL425" s="52">
        <f t="shared" ref="AL425" ca="1" si="3639" xml:space="preserve"> AL423 + AK425</f>
        <v>24997.317878692415</v>
      </c>
      <c r="AM425" s="52">
        <f t="shared" ref="AM425" ca="1" si="3640" xml:space="preserve"> AM423 + AL425</f>
        <v>24997.317878692415</v>
      </c>
      <c r="AN425" s="52">
        <f t="shared" ref="AN425" ca="1" si="3641" xml:space="preserve"> AN423 + AM425</f>
        <v>24997.317878692415</v>
      </c>
      <c r="AO425" s="52">
        <f t="shared" ref="AO425" ca="1" si="3642" xml:space="preserve"> AO423 + AN425</f>
        <v>24997.317878692415</v>
      </c>
      <c r="AP425" s="52">
        <f t="shared" ref="AP425" ca="1" si="3643" xml:space="preserve"> AP423 + AO425</f>
        <v>24997.317878692415</v>
      </c>
      <c r="AQ425" s="52">
        <f t="shared" ref="AQ425" ca="1" si="3644" xml:space="preserve"> AQ423 + AP425</f>
        <v>24997.317878692415</v>
      </c>
      <c r="AR425" s="52">
        <f t="shared" ref="AR425" ca="1" si="3645" xml:space="preserve"> AR423 + AQ425</f>
        <v>24997.317878692415</v>
      </c>
      <c r="AS425" s="52">
        <f t="shared" ref="AS425" ca="1" si="3646" xml:space="preserve"> AS423 + AR425</f>
        <v>24997.317878692415</v>
      </c>
      <c r="AT425" s="52">
        <f t="shared" ref="AT425" ca="1" si="3647" xml:space="preserve"> AT423 + AS425</f>
        <v>24997.317878692415</v>
      </c>
      <c r="AU425" s="52">
        <f t="shared" ref="AU425" ca="1" si="3648" xml:space="preserve"> AU423 + AT425</f>
        <v>24997.317878692415</v>
      </c>
      <c r="AV425" s="52">
        <f t="shared" ref="AV425" ca="1" si="3649" xml:space="preserve"> AV423 + AU425</f>
        <v>24997.317878692415</v>
      </c>
      <c r="AW425" s="52">
        <f t="shared" ref="AW425" ca="1" si="3650" xml:space="preserve"> AW423 + AV425</f>
        <v>24997.317878692415</v>
      </c>
      <c r="AX425" s="52">
        <f t="shared" ref="AX425" ca="1" si="3651" xml:space="preserve"> AX423 + AW425</f>
        <v>24997.317878692415</v>
      </c>
      <c r="AY425" s="52">
        <f t="shared" ref="AY425" ca="1" si="3652" xml:space="preserve"> AY423 + AX425</f>
        <v>24997.317878692415</v>
      </c>
      <c r="AZ425" s="52">
        <f t="shared" ref="AZ425" ca="1" si="3653" xml:space="preserve"> AZ423 + AY425</f>
        <v>24997.317878692415</v>
      </c>
      <c r="BA425" s="52">
        <f t="shared" ref="BA425" ca="1" si="3654" xml:space="preserve"> BA423 + AZ425</f>
        <v>24997.317878692415</v>
      </c>
      <c r="BB425" s="52">
        <f t="shared" ref="BB425" ca="1" si="3655" xml:space="preserve"> BB423 + BA425</f>
        <v>24997.317878692415</v>
      </c>
      <c r="BC425" s="52">
        <f t="shared" ref="BC425" ca="1" si="3656" xml:space="preserve"> BC423 + BB425</f>
        <v>24997.317878692415</v>
      </c>
      <c r="BD425" s="52">
        <f t="shared" ref="BD425" ca="1" si="3657" xml:space="preserve"> BD423 + BC425</f>
        <v>24997.317878692415</v>
      </c>
      <c r="BE425" s="52">
        <f t="shared" ref="BE425" ca="1" si="3658" xml:space="preserve"> BE423 + BD425</f>
        <v>24997.317878692415</v>
      </c>
      <c r="BF425" s="52">
        <f t="shared" ref="BF425" ca="1" si="3659" xml:space="preserve"> BF423 + BE425</f>
        <v>24997.317878692415</v>
      </c>
      <c r="BG425" s="52">
        <f t="shared" ref="BG425" ca="1" si="3660" xml:space="preserve"> BG423 + BF425</f>
        <v>24997.317878692415</v>
      </c>
      <c r="BH425" s="52">
        <f t="shared" ref="BH425" ca="1" si="3661" xml:space="preserve"> BH423 + BG425</f>
        <v>24997.317878692415</v>
      </c>
      <c r="BI425" s="52">
        <f t="shared" ref="BI425" ca="1" si="3662" xml:space="preserve"> BI423 + BH425</f>
        <v>24997.317878692415</v>
      </c>
      <c r="BJ425" s="52">
        <f t="shared" ref="BJ425" ca="1" si="3663" xml:space="preserve"> BJ423 + BI425</f>
        <v>24997.317878692415</v>
      </c>
      <c r="BK425" s="52">
        <f t="shared" ref="BK425" ca="1" si="3664" xml:space="preserve"> BK423 + BJ425</f>
        <v>24997.317878692415</v>
      </c>
      <c r="BL425" s="52">
        <f t="shared" ref="BL425" ca="1" si="3665" xml:space="preserve"> BL423 + BK425</f>
        <v>24997.317878692415</v>
      </c>
      <c r="BM425" s="52">
        <f t="shared" ref="BM425" ca="1" si="3666" xml:space="preserve"> BM423 + BL425</f>
        <v>24997.317878692415</v>
      </c>
      <c r="BN425" s="52">
        <f t="shared" ref="BN425" ca="1" si="3667" xml:space="preserve"> BN423 + BM425</f>
        <v>24997.317878692415</v>
      </c>
      <c r="BO425" s="52">
        <f t="shared" ref="BO425" ca="1" si="3668" xml:space="preserve"> BO423 + BN425</f>
        <v>24997.317878692415</v>
      </c>
      <c r="BP425" s="52">
        <f t="shared" ref="BP425" ca="1" si="3669" xml:space="preserve"> BP423 + BO425</f>
        <v>24997.317878692415</v>
      </c>
      <c r="BQ425" s="52">
        <f t="shared" ref="BQ425" ca="1" si="3670" xml:space="preserve"> BQ423 + BP425</f>
        <v>24997.317878692415</v>
      </c>
      <c r="BR425" s="52">
        <f t="shared" ref="BR425" ca="1" si="3671" xml:space="preserve"> BR423 + BQ425</f>
        <v>24997.317878692415</v>
      </c>
      <c r="BS425" s="52">
        <f t="shared" ref="BS425" ca="1" si="3672" xml:space="preserve"> BS423 + BR425</f>
        <v>24997.317878692415</v>
      </c>
      <c r="BT425" s="52">
        <f t="shared" ref="BT425" ca="1" si="3673" xml:space="preserve"> BT423 + BS425</f>
        <v>24997.317878692415</v>
      </c>
      <c r="BU425" s="52">
        <f t="shared" ref="BU425" ca="1" si="3674" xml:space="preserve"> BU423 + BT425</f>
        <v>24997.317878692415</v>
      </c>
      <c r="BV425" s="52">
        <f t="shared" ref="BV425" ca="1" si="3675" xml:space="preserve"> BV423 + BU425</f>
        <v>24997.317878692415</v>
      </c>
      <c r="BW425" s="52">
        <f t="shared" ref="BW425" ca="1" si="3676" xml:space="preserve"> BW423 + BV425</f>
        <v>24997.317878692415</v>
      </c>
      <c r="BX425" s="52">
        <f t="shared" ref="BX425" ca="1" si="3677" xml:space="preserve"> BX423 + BW425</f>
        <v>24997.317878692415</v>
      </c>
      <c r="BY425" s="52">
        <f t="shared" ref="BY425" ca="1" si="3678" xml:space="preserve"> BY423 + BX425</f>
        <v>24997.317878692415</v>
      </c>
      <c r="BZ425" s="52">
        <f t="shared" ref="BZ425" ca="1" si="3679" xml:space="preserve"> BZ423 + BY425</f>
        <v>24997.317878692415</v>
      </c>
      <c r="CA425" s="52">
        <f t="shared" ref="CA425" ca="1" si="3680" xml:space="preserve"> CA423 + BZ425</f>
        <v>24997.317878692415</v>
      </c>
      <c r="CB425" s="52">
        <f t="shared" ref="CB425" ca="1" si="3681" xml:space="preserve"> CB423 + CA425</f>
        <v>24997.317878692415</v>
      </c>
      <c r="CC425" s="52">
        <f t="shared" ref="CC425" ca="1" si="3682" xml:space="preserve"> CC423 + CB425</f>
        <v>24997.317878692415</v>
      </c>
      <c r="CD425" s="52">
        <f t="shared" ref="CD425" ca="1" si="3683" xml:space="preserve"> CD423 + CC425</f>
        <v>24997.317878692415</v>
      </c>
      <c r="CE425" s="52">
        <f t="shared" ref="CE425" ca="1" si="3684" xml:space="preserve"> CE423 + CD425</f>
        <v>24997.317878692415</v>
      </c>
      <c r="CF425" s="52">
        <f t="shared" ref="CF425" ca="1" si="3685" xml:space="preserve"> CF423 + CE425</f>
        <v>24997.317878692415</v>
      </c>
      <c r="CG425" s="52">
        <f t="shared" ref="CG425" ca="1" si="3686" xml:space="preserve"> CG423 + CF425</f>
        <v>24997.317878692415</v>
      </c>
      <c r="CH425" s="52">
        <f t="shared" ref="CH425" ca="1" si="3687" xml:space="preserve"> CH423 + CG425</f>
        <v>24997.317878692415</v>
      </c>
      <c r="CI425" s="52">
        <f t="shared" ref="CI425" ca="1" si="3688" xml:space="preserve"> CI423 + CH425</f>
        <v>24997.317878692415</v>
      </c>
      <c r="CJ425" s="52">
        <f t="shared" ref="CJ425" ca="1" si="3689" xml:space="preserve"> CJ423 + CI425</f>
        <v>24997.317878692415</v>
      </c>
      <c r="CK425" s="52">
        <f t="shared" ref="CK425" ca="1" si="3690" xml:space="preserve"> CK423 + CJ425</f>
        <v>24997.317878692415</v>
      </c>
      <c r="CL425" s="52">
        <f t="shared" ref="CL425" ca="1" si="3691" xml:space="preserve"> CL423 + CK425</f>
        <v>24997.317878692415</v>
      </c>
      <c r="CM425" s="52">
        <f t="shared" ref="CM425" ca="1" si="3692" xml:space="preserve"> CM423 + CL425</f>
        <v>24997.317878692415</v>
      </c>
      <c r="CN425" s="52">
        <f t="shared" ref="CN425" ca="1" si="3693" xml:space="preserve"> CN423 + CM425</f>
        <v>24997.317878692415</v>
      </c>
      <c r="CO425" s="52">
        <f t="shared" ref="CO425" ca="1" si="3694" xml:space="preserve"> CO423 + CN425</f>
        <v>24997.317878692415</v>
      </c>
    </row>
    <row r="426" spans="1:93">
      <c r="A426" s="10"/>
      <c r="B426" s="10"/>
      <c r="C426" s="17" t="s">
        <v>389</v>
      </c>
      <c r="D426" s="10"/>
      <c r="E426" s="62"/>
      <c r="F426" s="11"/>
      <c r="G426" s="134" t="str">
        <f t="shared" si="3524"/>
        <v>тыс. руб.</v>
      </c>
      <c r="H426" s="10"/>
      <c r="I426" s="23">
        <f ca="1">SUM(L426:CO426)</f>
        <v>13540.213850958391</v>
      </c>
      <c r="J426" s="10"/>
      <c r="K426" s="10"/>
      <c r="L426" s="52">
        <f t="shared" ref="L426" ca="1" si="3695" xml:space="preserve"> MIN(L425*L421,K428)</f>
        <v>0</v>
      </c>
      <c r="M426" s="52">
        <f t="shared" ref="M426" ca="1" si="3696" xml:space="preserve"> MIN(M425*M421,L428)</f>
        <v>0</v>
      </c>
      <c r="N426" s="52">
        <f t="shared" ref="N426" ca="1" si="3697" xml:space="preserve"> MIN(N425*N421,M428)</f>
        <v>0</v>
      </c>
      <c r="O426" s="52">
        <f t="shared" ref="O426" ca="1" si="3698" xml:space="preserve"> MIN(O425*O421,N428)</f>
        <v>0</v>
      </c>
      <c r="P426" s="52">
        <f t="shared" ref="P426" ca="1" si="3699" xml:space="preserve"> MIN(P425*P421,O428)</f>
        <v>0</v>
      </c>
      <c r="Q426" s="52">
        <f t="shared" ref="Q426" ca="1" si="3700" xml:space="preserve"> MIN(Q425*Q421,P428)</f>
        <v>0</v>
      </c>
      <c r="R426" s="52">
        <f t="shared" ref="R426" ca="1" si="3701" xml:space="preserve"> MIN(R425*R421,Q428)</f>
        <v>0</v>
      </c>
      <c r="S426" s="52">
        <f t="shared" ref="S426" ca="1" si="3702" xml:space="preserve"> MIN(S425*S421,R428)</f>
        <v>0</v>
      </c>
      <c r="T426" s="52">
        <f t="shared" ref="T426" ca="1" si="3703" xml:space="preserve"> MIN(T425*T421,S428)</f>
        <v>0</v>
      </c>
      <c r="U426" s="52">
        <f t="shared" ref="U426" ca="1" si="3704" xml:space="preserve"> MIN(U425*U421,T428)</f>
        <v>0</v>
      </c>
      <c r="V426" s="52">
        <f t="shared" ref="V426" ca="1" si="3705" xml:space="preserve"> MIN(V425*V421,U428)</f>
        <v>0</v>
      </c>
      <c r="W426" s="52">
        <f t="shared" ref="W426" ca="1" si="3706" xml:space="preserve"> MIN(W425*W421,V428)</f>
        <v>0</v>
      </c>
      <c r="X426" s="52">
        <f t="shared" ref="X426" ca="1" si="3707" xml:space="preserve"> MIN(X425*X421,W428)</f>
        <v>0</v>
      </c>
      <c r="Y426" s="52">
        <f t="shared" ref="Y426" ca="1" si="3708" xml:space="preserve"> MIN(Y425*Y421,X428)</f>
        <v>0</v>
      </c>
      <c r="Z426" s="52">
        <f t="shared" ref="Z426" ca="1" si="3709" xml:space="preserve"> MIN(Z425*Z421,Y428)</f>
        <v>0</v>
      </c>
      <c r="AA426" s="52">
        <f t="shared" ref="AA426" ca="1" si="3710" xml:space="preserve"> MIN(AA425*AA421,Z428)</f>
        <v>0</v>
      </c>
      <c r="AB426" s="52">
        <f t="shared" ref="AB426" ca="1" si="3711" xml:space="preserve"> MIN(AB425*AB421,AA428)</f>
        <v>0</v>
      </c>
      <c r="AC426" s="52">
        <f t="shared" ref="AC426" ca="1" si="3712" xml:space="preserve"> MIN(AC425*AC421,AB428)</f>
        <v>208.31098232243679</v>
      </c>
      <c r="AD426" s="52">
        <f t="shared" ref="AD426" ca="1" si="3713" xml:space="preserve"> MIN(AD425*AD421,AC428)</f>
        <v>208.31098232243679</v>
      </c>
      <c r="AE426" s="52">
        <f t="shared" ref="AE426" ca="1" si="3714" xml:space="preserve"> MIN(AE425*AE421,AD428)</f>
        <v>208.31098232243679</v>
      </c>
      <c r="AF426" s="52">
        <f t="shared" ref="AF426" ca="1" si="3715" xml:space="preserve"> MIN(AF425*AF421,AE428)</f>
        <v>208.31098232243679</v>
      </c>
      <c r="AG426" s="52">
        <f t="shared" ref="AG426" ca="1" si="3716" xml:space="preserve"> MIN(AG425*AG421,AF428)</f>
        <v>208.31098232243679</v>
      </c>
      <c r="AH426" s="52">
        <f t="shared" ref="AH426" ca="1" si="3717" xml:space="preserve"> MIN(AH425*AH421,AG428)</f>
        <v>208.31098232243679</v>
      </c>
      <c r="AI426" s="52">
        <f t="shared" ref="AI426" ca="1" si="3718" xml:space="preserve"> MIN(AI425*AI421,AH428)</f>
        <v>208.31098232243679</v>
      </c>
      <c r="AJ426" s="52">
        <f t="shared" ref="AJ426" ca="1" si="3719" xml:space="preserve"> MIN(AJ425*AJ421,AI428)</f>
        <v>208.31098232243679</v>
      </c>
      <c r="AK426" s="52">
        <f t="shared" ref="AK426" ca="1" si="3720" xml:space="preserve"> MIN(AK425*AK421,AJ428)</f>
        <v>208.31098232243679</v>
      </c>
      <c r="AL426" s="52">
        <f t="shared" ref="AL426" ca="1" si="3721" xml:space="preserve"> MIN(AL425*AL421,AK428)</f>
        <v>208.31098232243679</v>
      </c>
      <c r="AM426" s="52">
        <f t="shared" ref="AM426" ca="1" si="3722" xml:space="preserve"> MIN(AM425*AM421,AL428)</f>
        <v>208.31098232243679</v>
      </c>
      <c r="AN426" s="52">
        <f t="shared" ref="AN426" ca="1" si="3723" xml:space="preserve"> MIN(AN425*AN421,AM428)</f>
        <v>208.31098232243679</v>
      </c>
      <c r="AO426" s="52">
        <f t="shared" ref="AO426" ca="1" si="3724" xml:space="preserve"> MIN(AO425*AO421,AN428)</f>
        <v>208.31098232243679</v>
      </c>
      <c r="AP426" s="52">
        <f t="shared" ref="AP426" ca="1" si="3725" xml:space="preserve"> MIN(AP425*AP421,AO428)</f>
        <v>208.31098232243679</v>
      </c>
      <c r="AQ426" s="52">
        <f t="shared" ref="AQ426" ca="1" si="3726" xml:space="preserve"> MIN(AQ425*AQ421,AP428)</f>
        <v>208.31098232243679</v>
      </c>
      <c r="AR426" s="52">
        <f t="shared" ref="AR426" ca="1" si="3727" xml:space="preserve"> MIN(AR425*AR421,AQ428)</f>
        <v>208.31098232243679</v>
      </c>
      <c r="AS426" s="52">
        <f t="shared" ref="AS426" ca="1" si="3728" xml:space="preserve"> MIN(AS425*AS421,AR428)</f>
        <v>208.31098232243679</v>
      </c>
      <c r="AT426" s="52">
        <f t="shared" ref="AT426" ca="1" si="3729" xml:space="preserve"> MIN(AT425*AT421,AS428)</f>
        <v>208.31098232243679</v>
      </c>
      <c r="AU426" s="52">
        <f t="shared" ref="AU426" ca="1" si="3730" xml:space="preserve"> MIN(AU425*AU421,AT428)</f>
        <v>208.31098232243679</v>
      </c>
      <c r="AV426" s="52">
        <f t="shared" ref="AV426" ca="1" si="3731" xml:space="preserve"> MIN(AV425*AV421,AU428)</f>
        <v>208.31098232243679</v>
      </c>
      <c r="AW426" s="52">
        <f t="shared" ref="AW426" ca="1" si="3732" xml:space="preserve"> MIN(AW425*AW421,AV428)</f>
        <v>208.31098232243679</v>
      </c>
      <c r="AX426" s="52">
        <f t="shared" ref="AX426" ca="1" si="3733" xml:space="preserve"> MIN(AX425*AX421,AW428)</f>
        <v>208.31098232243679</v>
      </c>
      <c r="AY426" s="52">
        <f t="shared" ref="AY426" ca="1" si="3734" xml:space="preserve"> MIN(AY425*AY421,AX428)</f>
        <v>208.31098232243679</v>
      </c>
      <c r="AZ426" s="52">
        <f t="shared" ref="AZ426" ca="1" si="3735" xml:space="preserve"> MIN(AZ425*AZ421,AY428)</f>
        <v>208.31098232243679</v>
      </c>
      <c r="BA426" s="52">
        <f t="shared" ref="BA426" ca="1" si="3736" xml:space="preserve"> MIN(BA425*BA421,AZ428)</f>
        <v>208.31098232243679</v>
      </c>
      <c r="BB426" s="52">
        <f t="shared" ref="BB426" ca="1" si="3737" xml:space="preserve"> MIN(BB425*BB421,BA428)</f>
        <v>208.31098232243679</v>
      </c>
      <c r="BC426" s="52">
        <f t="shared" ref="BC426" ca="1" si="3738" xml:space="preserve"> MIN(BC425*BC421,BB428)</f>
        <v>208.31098232243679</v>
      </c>
      <c r="BD426" s="52">
        <f t="shared" ref="BD426" ca="1" si="3739" xml:space="preserve"> MIN(BD425*BD421,BC428)</f>
        <v>208.31098232243679</v>
      </c>
      <c r="BE426" s="52">
        <f t="shared" ref="BE426" ca="1" si="3740" xml:space="preserve"> MIN(BE425*BE421,BD428)</f>
        <v>208.31098232243679</v>
      </c>
      <c r="BF426" s="52">
        <f t="shared" ref="BF426" ca="1" si="3741" xml:space="preserve"> MIN(BF425*BF421,BE428)</f>
        <v>208.31098232243679</v>
      </c>
      <c r="BG426" s="52">
        <f t="shared" ref="BG426" ca="1" si="3742" xml:space="preserve"> MIN(BG425*BG421,BF428)</f>
        <v>208.31098232243679</v>
      </c>
      <c r="BH426" s="52">
        <f t="shared" ref="BH426" ca="1" si="3743" xml:space="preserve"> MIN(BH425*BH421,BG428)</f>
        <v>208.31098232243679</v>
      </c>
      <c r="BI426" s="52">
        <f t="shared" ref="BI426" ca="1" si="3744" xml:space="preserve"> MIN(BI425*BI421,BH428)</f>
        <v>208.31098232243679</v>
      </c>
      <c r="BJ426" s="52">
        <f t="shared" ref="BJ426" ca="1" si="3745" xml:space="preserve"> MIN(BJ425*BJ421,BI428)</f>
        <v>208.31098232243679</v>
      </c>
      <c r="BK426" s="52">
        <f t="shared" ref="BK426" ca="1" si="3746" xml:space="preserve"> MIN(BK425*BK421,BJ428)</f>
        <v>208.31098232243679</v>
      </c>
      <c r="BL426" s="52">
        <f t="shared" ref="BL426" ca="1" si="3747" xml:space="preserve"> MIN(BL425*BL421,BK428)</f>
        <v>208.31098232243679</v>
      </c>
      <c r="BM426" s="52">
        <f t="shared" ref="BM426" ca="1" si="3748" xml:space="preserve"> MIN(BM425*BM421,BL428)</f>
        <v>208.31098232243679</v>
      </c>
      <c r="BN426" s="52">
        <f t="shared" ref="BN426" ca="1" si="3749" xml:space="preserve"> MIN(BN425*BN421,BM428)</f>
        <v>208.31098232243679</v>
      </c>
      <c r="BO426" s="52">
        <f t="shared" ref="BO426" ca="1" si="3750" xml:space="preserve"> MIN(BO425*BO421,BN428)</f>
        <v>208.31098232243679</v>
      </c>
      <c r="BP426" s="52">
        <f t="shared" ref="BP426" ca="1" si="3751" xml:space="preserve"> MIN(BP425*BP421,BO428)</f>
        <v>208.31098232243679</v>
      </c>
      <c r="BQ426" s="52">
        <f t="shared" ref="BQ426" ca="1" si="3752" xml:space="preserve"> MIN(BQ425*BQ421,BP428)</f>
        <v>208.31098232243679</v>
      </c>
      <c r="BR426" s="52">
        <f t="shared" ref="BR426" ca="1" si="3753" xml:space="preserve"> MIN(BR425*BR421,BQ428)</f>
        <v>208.31098232243679</v>
      </c>
      <c r="BS426" s="52">
        <f t="shared" ref="BS426" ca="1" si="3754" xml:space="preserve"> MIN(BS425*BS421,BR428)</f>
        <v>208.31098232243679</v>
      </c>
      <c r="BT426" s="52">
        <f t="shared" ref="BT426" ca="1" si="3755" xml:space="preserve"> MIN(BT425*BT421,BS428)</f>
        <v>208.31098232243679</v>
      </c>
      <c r="BU426" s="52">
        <f t="shared" ref="BU426" ca="1" si="3756" xml:space="preserve"> MIN(BU425*BU421,BT428)</f>
        <v>208.31098232243679</v>
      </c>
      <c r="BV426" s="52">
        <f t="shared" ref="BV426" ca="1" si="3757" xml:space="preserve"> MIN(BV425*BV421,BU428)</f>
        <v>208.31098232243679</v>
      </c>
      <c r="BW426" s="52">
        <f t="shared" ref="BW426" ca="1" si="3758" xml:space="preserve"> MIN(BW425*BW421,BV428)</f>
        <v>208.31098232243679</v>
      </c>
      <c r="BX426" s="52">
        <f t="shared" ref="BX426" ca="1" si="3759" xml:space="preserve"> MIN(BX425*BX421,BW428)</f>
        <v>208.31098232243679</v>
      </c>
      <c r="BY426" s="52">
        <f t="shared" ref="BY426" ca="1" si="3760" xml:space="preserve"> MIN(BY425*BY421,BX428)</f>
        <v>208.31098232243679</v>
      </c>
      <c r="BZ426" s="52">
        <f t="shared" ref="BZ426" ca="1" si="3761" xml:space="preserve"> MIN(BZ425*BZ421,BY428)</f>
        <v>208.31098232243679</v>
      </c>
      <c r="CA426" s="52">
        <f t="shared" ref="CA426" ca="1" si="3762" xml:space="preserve"> MIN(CA425*CA421,BZ428)</f>
        <v>208.31098232243679</v>
      </c>
      <c r="CB426" s="52">
        <f t="shared" ref="CB426" ca="1" si="3763" xml:space="preserve"> MIN(CB425*CB421,CA428)</f>
        <v>208.31098232243679</v>
      </c>
      <c r="CC426" s="52">
        <f t="shared" ref="CC426" ca="1" si="3764" xml:space="preserve"> MIN(CC425*CC421,CB428)</f>
        <v>208.31098232243679</v>
      </c>
      <c r="CD426" s="52">
        <f t="shared" ref="CD426" ca="1" si="3765" xml:space="preserve"> MIN(CD425*CD421,CC428)</f>
        <v>208.31098232243679</v>
      </c>
      <c r="CE426" s="52">
        <f t="shared" ref="CE426" ca="1" si="3766" xml:space="preserve"> MIN(CE425*CE421,CD428)</f>
        <v>208.31098232243679</v>
      </c>
      <c r="CF426" s="52">
        <f t="shared" ref="CF426" ca="1" si="3767" xml:space="preserve"> MIN(CF425*CF421,CE428)</f>
        <v>208.31098232243679</v>
      </c>
      <c r="CG426" s="52">
        <f t="shared" ref="CG426" ca="1" si="3768" xml:space="preserve"> MIN(CG425*CG421,CF428)</f>
        <v>208.31098232243679</v>
      </c>
      <c r="CH426" s="52">
        <f t="shared" ref="CH426" ca="1" si="3769" xml:space="preserve"> MIN(CH425*CH421,CG428)</f>
        <v>208.31098232243679</v>
      </c>
      <c r="CI426" s="52">
        <f t="shared" ref="CI426" ca="1" si="3770" xml:space="preserve"> MIN(CI425*CI421,CH428)</f>
        <v>208.31098232243679</v>
      </c>
      <c r="CJ426" s="52">
        <f t="shared" ref="CJ426" ca="1" si="3771" xml:space="preserve"> MIN(CJ425*CJ421,CI428)</f>
        <v>208.31098232243679</v>
      </c>
      <c r="CK426" s="52">
        <f t="shared" ref="CK426" ca="1" si="3772" xml:space="preserve"> MIN(CK425*CK421,CJ428)</f>
        <v>208.31098232243679</v>
      </c>
      <c r="CL426" s="52">
        <f t="shared" ref="CL426" ca="1" si="3773" xml:space="preserve"> MIN(CL425*CL421,CK428)</f>
        <v>208.31098232243679</v>
      </c>
      <c r="CM426" s="52">
        <f t="shared" ref="CM426" ca="1" si="3774" xml:space="preserve"> MIN(CM425*CM421,CL428)</f>
        <v>208.31098232243679</v>
      </c>
      <c r="CN426" s="52">
        <f t="shared" ref="CN426" ca="1" si="3775" xml:space="preserve"> MIN(CN425*CN421,CM428)</f>
        <v>208.31098232243679</v>
      </c>
      <c r="CO426" s="52">
        <f t="shared" ref="CO426" ca="1" si="3776" xml:space="preserve"> MIN(CO425*CO421,CN428)</f>
        <v>208.31098232243679</v>
      </c>
    </row>
    <row r="427" spans="1:93">
      <c r="A427" s="10"/>
      <c r="B427" s="10"/>
      <c r="C427" s="17" t="s">
        <v>127</v>
      </c>
      <c r="D427" s="10"/>
      <c r="E427" s="62"/>
      <c r="F427" s="11"/>
      <c r="G427" s="134" t="str">
        <f t="shared" si="3524"/>
        <v>тыс. руб.</v>
      </c>
      <c r="H427" s="10"/>
      <c r="I427" s="10"/>
      <c r="J427" s="10"/>
      <c r="K427" s="10"/>
      <c r="L427" s="52">
        <f t="shared" ref="L427" ca="1" si="3777" xml:space="preserve"> SUM(K427,-L426)</f>
        <v>0</v>
      </c>
      <c r="M427" s="52">
        <f t="shared" ref="M427" ca="1" si="3778" xml:space="preserve"> SUM(L427,-M426)</f>
        <v>0</v>
      </c>
      <c r="N427" s="52">
        <f t="shared" ref="N427" ca="1" si="3779" xml:space="preserve"> SUM(M427,-N426)</f>
        <v>0</v>
      </c>
      <c r="O427" s="52">
        <f t="shared" ref="O427" ca="1" si="3780" xml:space="preserve"> SUM(N427,-O426)</f>
        <v>0</v>
      </c>
      <c r="P427" s="52">
        <f t="shared" ref="P427" ca="1" si="3781" xml:space="preserve"> SUM(O427,-P426)</f>
        <v>0</v>
      </c>
      <c r="Q427" s="52">
        <f t="shared" ref="Q427" ca="1" si="3782" xml:space="preserve"> SUM(P427,-Q426)</f>
        <v>0</v>
      </c>
      <c r="R427" s="52">
        <f t="shared" ref="R427" ca="1" si="3783" xml:space="preserve"> SUM(Q427,-R426)</f>
        <v>0</v>
      </c>
      <c r="S427" s="52">
        <f t="shared" ref="S427" ca="1" si="3784" xml:space="preserve"> SUM(R427,-S426)</f>
        <v>0</v>
      </c>
      <c r="T427" s="52">
        <f t="shared" ref="T427" ca="1" si="3785" xml:space="preserve"> SUM(S427,-T426)</f>
        <v>0</v>
      </c>
      <c r="U427" s="52">
        <f t="shared" ref="U427" ca="1" si="3786" xml:space="preserve"> SUM(T427,-U426)</f>
        <v>0</v>
      </c>
      <c r="V427" s="52">
        <f t="shared" ref="V427" ca="1" si="3787" xml:space="preserve"> SUM(U427,-V426)</f>
        <v>0</v>
      </c>
      <c r="W427" s="52">
        <f t="shared" ref="W427" ca="1" si="3788" xml:space="preserve"> SUM(V427,-W426)</f>
        <v>0</v>
      </c>
      <c r="X427" s="52">
        <f t="shared" ref="X427" ca="1" si="3789" xml:space="preserve"> SUM(W427,-X426)</f>
        <v>0</v>
      </c>
      <c r="Y427" s="52">
        <f t="shared" ref="Y427" ca="1" si="3790" xml:space="preserve"> SUM(X427,-Y426)</f>
        <v>0</v>
      </c>
      <c r="Z427" s="52">
        <f t="shared" ref="Z427" ca="1" si="3791" xml:space="preserve"> SUM(Y427,-Z426)</f>
        <v>0</v>
      </c>
      <c r="AA427" s="52">
        <f t="shared" ref="AA427" ca="1" si="3792" xml:space="preserve"> SUM(Z427,-AA426)</f>
        <v>0</v>
      </c>
      <c r="AB427" s="52">
        <f t="shared" ref="AB427" ca="1" si="3793" xml:space="preserve"> SUM(AA427,-AB426)</f>
        <v>0</v>
      </c>
      <c r="AC427" s="52">
        <f t="shared" ref="AC427" ca="1" si="3794" xml:space="preserve"> SUM(AB427,-AC426)</f>
        <v>-208.31098232243679</v>
      </c>
      <c r="AD427" s="52">
        <f t="shared" ref="AD427" ca="1" si="3795" xml:space="preserve"> SUM(AC427,-AD426)</f>
        <v>-416.62196464487357</v>
      </c>
      <c r="AE427" s="52">
        <f t="shared" ref="AE427" ca="1" si="3796" xml:space="preserve"> SUM(AD427,-AE426)</f>
        <v>-624.93294696731039</v>
      </c>
      <c r="AF427" s="52">
        <f t="shared" ref="AF427" ca="1" si="3797" xml:space="preserve"> SUM(AE427,-AF426)</f>
        <v>-833.24392928974714</v>
      </c>
      <c r="AG427" s="52">
        <f t="shared" ref="AG427" ca="1" si="3798" xml:space="preserve"> SUM(AF427,-AG426)</f>
        <v>-1041.554911612184</v>
      </c>
      <c r="AH427" s="52">
        <f t="shared" ref="AH427" ca="1" si="3799" xml:space="preserve"> SUM(AG427,-AH426)</f>
        <v>-1249.8658939346208</v>
      </c>
      <c r="AI427" s="52">
        <f t="shared" ref="AI427" ca="1" si="3800" xml:space="preserve"> SUM(AH427,-AI426)</f>
        <v>-1458.1768762570575</v>
      </c>
      <c r="AJ427" s="52">
        <f t="shared" ref="AJ427" ca="1" si="3801" xml:space="preserve"> SUM(AI427,-AJ426)</f>
        <v>-1666.4878585794943</v>
      </c>
      <c r="AK427" s="52">
        <f t="shared" ref="AK427" ca="1" si="3802" xml:space="preserve"> SUM(AJ427,-AK426)</f>
        <v>-1874.798840901931</v>
      </c>
      <c r="AL427" s="52">
        <f t="shared" ref="AL427" ca="1" si="3803" xml:space="preserve"> SUM(AK427,-AL426)</f>
        <v>-2083.109823224368</v>
      </c>
      <c r="AM427" s="52">
        <f t="shared" ref="AM427" ca="1" si="3804" xml:space="preserve"> SUM(AL427,-AM426)</f>
        <v>-2291.4208055468048</v>
      </c>
      <c r="AN427" s="52">
        <f t="shared" ref="AN427" ca="1" si="3805" xml:space="preserve"> SUM(AM427,-AN426)</f>
        <v>-2499.7317878692415</v>
      </c>
      <c r="AO427" s="52">
        <f t="shared" ref="AO427" ca="1" si="3806" xml:space="preserve"> SUM(AN427,-AO426)</f>
        <v>-2708.0427701916783</v>
      </c>
      <c r="AP427" s="52">
        <f t="shared" ref="AP427" ca="1" si="3807" xml:space="preserve"> SUM(AO427,-AP426)</f>
        <v>-2916.3537525141151</v>
      </c>
      <c r="AQ427" s="52">
        <f t="shared" ref="AQ427" ca="1" si="3808" xml:space="preserve"> SUM(AP427,-AQ426)</f>
        <v>-3124.6647348365518</v>
      </c>
      <c r="AR427" s="52">
        <f t="shared" ref="AR427" ca="1" si="3809" xml:space="preserve"> SUM(AQ427,-AR426)</f>
        <v>-3332.9757171589886</v>
      </c>
      <c r="AS427" s="52">
        <f t="shared" ref="AS427" ca="1" si="3810" xml:space="preserve"> SUM(AR427,-AS426)</f>
        <v>-3541.2866994814253</v>
      </c>
      <c r="AT427" s="52">
        <f t="shared" ref="AT427" ca="1" si="3811" xml:space="preserve"> SUM(AS427,-AT426)</f>
        <v>-3749.5976818038621</v>
      </c>
      <c r="AU427" s="52">
        <f t="shared" ref="AU427" ca="1" si="3812" xml:space="preserve"> SUM(AT427,-AU426)</f>
        <v>-3957.9086641262988</v>
      </c>
      <c r="AV427" s="52">
        <f t="shared" ref="AV427" ca="1" si="3813" xml:space="preserve"> SUM(AU427,-AV426)</f>
        <v>-4166.2196464487361</v>
      </c>
      <c r="AW427" s="52">
        <f t="shared" ref="AW427" ca="1" si="3814" xml:space="preserve"> SUM(AV427,-AW426)</f>
        <v>-4374.5306287711728</v>
      </c>
      <c r="AX427" s="52">
        <f t="shared" ref="AX427" ca="1" si="3815" xml:space="preserve"> SUM(AW427,-AX426)</f>
        <v>-4582.8416110936096</v>
      </c>
      <c r="AY427" s="52">
        <f t="shared" ref="AY427" ca="1" si="3816" xml:space="preserve"> SUM(AX427,-AY426)</f>
        <v>-4791.1525934160463</v>
      </c>
      <c r="AZ427" s="52">
        <f t="shared" ref="AZ427" ca="1" si="3817" xml:space="preserve"> SUM(AY427,-AZ426)</f>
        <v>-4999.4635757384831</v>
      </c>
      <c r="BA427" s="52">
        <f t="shared" ref="BA427" ca="1" si="3818" xml:space="preserve"> SUM(AZ427,-BA426)</f>
        <v>-5207.7745580609198</v>
      </c>
      <c r="BB427" s="52">
        <f t="shared" ref="BB427" ca="1" si="3819" xml:space="preserve"> SUM(BA427,-BB426)</f>
        <v>-5416.0855403833566</v>
      </c>
      <c r="BC427" s="52">
        <f t="shared" ref="BC427" ca="1" si="3820" xml:space="preserve"> SUM(BB427,-BC426)</f>
        <v>-5624.3965227057934</v>
      </c>
      <c r="BD427" s="52">
        <f t="shared" ref="BD427" ca="1" si="3821" xml:space="preserve"> SUM(BC427,-BD426)</f>
        <v>-5832.7075050282301</v>
      </c>
      <c r="BE427" s="52">
        <f t="shared" ref="BE427" ca="1" si="3822" xml:space="preserve"> SUM(BD427,-BE426)</f>
        <v>-6041.0184873506669</v>
      </c>
      <c r="BF427" s="52">
        <f t="shared" ref="BF427" ca="1" si="3823" xml:space="preserve"> SUM(BE427,-BF426)</f>
        <v>-6249.3294696731036</v>
      </c>
      <c r="BG427" s="52">
        <f t="shared" ref="BG427" ca="1" si="3824" xml:space="preserve"> SUM(BF427,-BG426)</f>
        <v>-6457.6404519955404</v>
      </c>
      <c r="BH427" s="52">
        <f t="shared" ref="BH427" ca="1" si="3825" xml:space="preserve"> SUM(BG427,-BH426)</f>
        <v>-6665.9514343179771</v>
      </c>
      <c r="BI427" s="52">
        <f t="shared" ref="BI427" ca="1" si="3826" xml:space="preserve"> SUM(BH427,-BI426)</f>
        <v>-6874.2624166404139</v>
      </c>
      <c r="BJ427" s="52">
        <f t="shared" ref="BJ427" ca="1" si="3827" xml:space="preserve"> SUM(BI427,-BJ426)</f>
        <v>-7082.5733989628507</v>
      </c>
      <c r="BK427" s="52">
        <f t="shared" ref="BK427" ca="1" si="3828" xml:space="preserve"> SUM(BJ427,-BK426)</f>
        <v>-7290.8843812852874</v>
      </c>
      <c r="BL427" s="52">
        <f t="shared" ref="BL427" ca="1" si="3829" xml:space="preserve"> SUM(BK427,-BL426)</f>
        <v>-7499.1953636077242</v>
      </c>
      <c r="BM427" s="52">
        <f t="shared" ref="BM427" ca="1" si="3830" xml:space="preserve"> SUM(BL427,-BM426)</f>
        <v>-7707.5063459301609</v>
      </c>
      <c r="BN427" s="52">
        <f t="shared" ref="BN427" ca="1" si="3831" xml:space="preserve"> SUM(BM427,-BN426)</f>
        <v>-7915.8173282525977</v>
      </c>
      <c r="BO427" s="52">
        <f t="shared" ref="BO427" ca="1" si="3832" xml:space="preserve"> SUM(BN427,-BO426)</f>
        <v>-8124.1283105750344</v>
      </c>
      <c r="BP427" s="52">
        <f t="shared" ref="BP427" ca="1" si="3833" xml:space="preserve"> SUM(BO427,-BP426)</f>
        <v>-8332.4392928974721</v>
      </c>
      <c r="BQ427" s="52">
        <f t="shared" ref="BQ427" ca="1" si="3834" xml:space="preserve"> SUM(BP427,-BQ426)</f>
        <v>-8540.7502752199089</v>
      </c>
      <c r="BR427" s="52">
        <f t="shared" ref="BR427" ca="1" si="3835" xml:space="preserve"> SUM(BQ427,-BR426)</f>
        <v>-8749.0612575423456</v>
      </c>
      <c r="BS427" s="52">
        <f t="shared" ref="BS427" ca="1" si="3836" xml:space="preserve"> SUM(BR427,-BS426)</f>
        <v>-8957.3722398647824</v>
      </c>
      <c r="BT427" s="52">
        <f t="shared" ref="BT427" ca="1" si="3837" xml:space="preserve"> SUM(BS427,-BT426)</f>
        <v>-9165.6832221872191</v>
      </c>
      <c r="BU427" s="52">
        <f t="shared" ref="BU427" ca="1" si="3838" xml:space="preserve"> SUM(BT427,-BU426)</f>
        <v>-9373.9942045096559</v>
      </c>
      <c r="BV427" s="52">
        <f t="shared" ref="BV427" ca="1" si="3839" xml:space="preserve"> SUM(BU427,-BV426)</f>
        <v>-9582.3051868320927</v>
      </c>
      <c r="BW427" s="52">
        <f t="shared" ref="BW427" ca="1" si="3840" xml:space="preserve"> SUM(BV427,-BW426)</f>
        <v>-9790.6161691545294</v>
      </c>
      <c r="BX427" s="52">
        <f t="shared" ref="BX427" ca="1" si="3841" xml:space="preserve"> SUM(BW427,-BX426)</f>
        <v>-9998.9271514769662</v>
      </c>
      <c r="BY427" s="52">
        <f t="shared" ref="BY427" ca="1" si="3842" xml:space="preserve"> SUM(BX427,-BY426)</f>
        <v>-10207.238133799403</v>
      </c>
      <c r="BZ427" s="52">
        <f t="shared" ref="BZ427" ca="1" si="3843" xml:space="preserve"> SUM(BY427,-BZ426)</f>
        <v>-10415.54911612184</v>
      </c>
      <c r="CA427" s="52">
        <f t="shared" ref="CA427" ca="1" si="3844" xml:space="preserve"> SUM(BZ427,-CA426)</f>
        <v>-10623.860098444276</v>
      </c>
      <c r="CB427" s="52">
        <f t="shared" ref="CB427" ca="1" si="3845" xml:space="preserve"> SUM(CA427,-CB426)</f>
        <v>-10832.171080766713</v>
      </c>
      <c r="CC427" s="52">
        <f t="shared" ref="CC427" ca="1" si="3846" xml:space="preserve"> SUM(CB427,-CC426)</f>
        <v>-11040.48206308915</v>
      </c>
      <c r="CD427" s="52">
        <f t="shared" ref="CD427" ca="1" si="3847" xml:space="preserve"> SUM(CC427,-CD426)</f>
        <v>-11248.793045411587</v>
      </c>
      <c r="CE427" s="52">
        <f t="shared" ref="CE427" ca="1" si="3848" xml:space="preserve"> SUM(CD427,-CE426)</f>
        <v>-11457.104027734023</v>
      </c>
      <c r="CF427" s="52">
        <f t="shared" ref="CF427" ca="1" si="3849" xml:space="preserve"> SUM(CE427,-CF426)</f>
        <v>-11665.41501005646</v>
      </c>
      <c r="CG427" s="52">
        <f t="shared" ref="CG427" ca="1" si="3850" xml:space="preserve"> SUM(CF427,-CG426)</f>
        <v>-11873.725992378897</v>
      </c>
      <c r="CH427" s="52">
        <f t="shared" ref="CH427" ca="1" si="3851" xml:space="preserve"> SUM(CG427,-CH426)</f>
        <v>-12082.036974701334</v>
      </c>
      <c r="CI427" s="52">
        <f t="shared" ref="CI427" ca="1" si="3852" xml:space="preserve"> SUM(CH427,-CI426)</f>
        <v>-12290.347957023771</v>
      </c>
      <c r="CJ427" s="52">
        <f t="shared" ref="CJ427" ca="1" si="3853" xml:space="preserve"> SUM(CI427,-CJ426)</f>
        <v>-12498.658939346207</v>
      </c>
      <c r="CK427" s="52">
        <f t="shared" ref="CK427" ca="1" si="3854" xml:space="preserve"> SUM(CJ427,-CK426)</f>
        <v>-12706.969921668644</v>
      </c>
      <c r="CL427" s="52">
        <f t="shared" ref="CL427" ca="1" si="3855" xml:space="preserve"> SUM(CK427,-CL426)</f>
        <v>-12915.280903991081</v>
      </c>
      <c r="CM427" s="52">
        <f t="shared" ref="CM427" ca="1" si="3856" xml:space="preserve"> SUM(CL427,-CM426)</f>
        <v>-13123.591886313518</v>
      </c>
      <c r="CN427" s="52">
        <f t="shared" ref="CN427" ca="1" si="3857" xml:space="preserve"> SUM(CM427,-CN426)</f>
        <v>-13331.902868635954</v>
      </c>
      <c r="CO427" s="52">
        <f t="shared" ref="CO427" ca="1" si="3858" xml:space="preserve"> SUM(CN427,-CO426)</f>
        <v>-13540.213850958391</v>
      </c>
    </row>
    <row r="428" spans="1:93">
      <c r="A428" s="10"/>
      <c r="B428" s="10"/>
      <c r="C428" s="17" t="s">
        <v>128</v>
      </c>
      <c r="D428" s="10"/>
      <c r="E428" s="62"/>
      <c r="F428" s="11"/>
      <c r="G428" s="134" t="str">
        <f t="shared" si="3524"/>
        <v>тыс. руб.</v>
      </c>
      <c r="H428" s="10"/>
      <c r="I428" s="10"/>
      <c r="J428" s="10"/>
      <c r="K428" s="10"/>
      <c r="L428" s="52">
        <f t="shared" ref="L428:R428" ca="1" si="3859" xml:space="preserve"> SUM(L425,L427)</f>
        <v>0</v>
      </c>
      <c r="M428" s="52">
        <f t="shared" ca="1" si="3859"/>
        <v>0</v>
      </c>
      <c r="N428" s="52">
        <f t="shared" ca="1" si="3859"/>
        <v>0</v>
      </c>
      <c r="O428" s="52">
        <f t="shared" ca="1" si="3859"/>
        <v>0</v>
      </c>
      <c r="P428" s="52">
        <f t="shared" ca="1" si="3859"/>
        <v>0</v>
      </c>
      <c r="Q428" s="52">
        <f t="shared" ca="1" si="3859"/>
        <v>0</v>
      </c>
      <c r="R428" s="52">
        <f t="shared" ca="1" si="3859"/>
        <v>0</v>
      </c>
      <c r="S428" s="52">
        <f t="shared" ref="S428:CD428" ca="1" si="3860" xml:space="preserve"> SUM(S425,S427)</f>
        <v>0</v>
      </c>
      <c r="T428" s="52">
        <f t="shared" ca="1" si="3860"/>
        <v>0</v>
      </c>
      <c r="U428" s="52">
        <f t="shared" ca="1" si="3860"/>
        <v>0</v>
      </c>
      <c r="V428" s="52">
        <f t="shared" ca="1" si="3860"/>
        <v>0</v>
      </c>
      <c r="W428" s="52">
        <f t="shared" ca="1" si="3860"/>
        <v>0</v>
      </c>
      <c r="X428" s="52">
        <f t="shared" ca="1" si="3860"/>
        <v>0</v>
      </c>
      <c r="Y428" s="52">
        <f t="shared" ca="1" si="3860"/>
        <v>0</v>
      </c>
      <c r="Z428" s="52">
        <f t="shared" ca="1" si="3860"/>
        <v>0</v>
      </c>
      <c r="AA428" s="52">
        <f t="shared" ca="1" si="3860"/>
        <v>0</v>
      </c>
      <c r="AB428" s="52">
        <f t="shared" ca="1" si="3860"/>
        <v>27774.797642991573</v>
      </c>
      <c r="AC428" s="52">
        <f t="shared" ca="1" si="3860"/>
        <v>24789.006896369978</v>
      </c>
      <c r="AD428" s="52">
        <f t="shared" ca="1" si="3860"/>
        <v>24580.695914047541</v>
      </c>
      <c r="AE428" s="52">
        <f t="shared" ca="1" si="3860"/>
        <v>24372.384931725104</v>
      </c>
      <c r="AF428" s="52">
        <f t="shared" ca="1" si="3860"/>
        <v>24164.073949402667</v>
      </c>
      <c r="AG428" s="52">
        <f t="shared" ca="1" si="3860"/>
        <v>23955.762967080231</v>
      </c>
      <c r="AH428" s="52">
        <f t="shared" ca="1" si="3860"/>
        <v>23747.451984757794</v>
      </c>
      <c r="AI428" s="52">
        <f t="shared" ca="1" si="3860"/>
        <v>23539.141002435357</v>
      </c>
      <c r="AJ428" s="52">
        <f t="shared" ca="1" si="3860"/>
        <v>23330.83002011292</v>
      </c>
      <c r="AK428" s="52">
        <f t="shared" ca="1" si="3860"/>
        <v>23122.519037790484</v>
      </c>
      <c r="AL428" s="52">
        <f t="shared" ca="1" si="3860"/>
        <v>22914.208055468047</v>
      </c>
      <c r="AM428" s="52">
        <f t="shared" ca="1" si="3860"/>
        <v>22705.89707314561</v>
      </c>
      <c r="AN428" s="52">
        <f t="shared" ca="1" si="3860"/>
        <v>22497.586090823173</v>
      </c>
      <c r="AO428" s="52">
        <f t="shared" ca="1" si="3860"/>
        <v>22289.275108500737</v>
      </c>
      <c r="AP428" s="52">
        <f t="shared" ca="1" si="3860"/>
        <v>22080.9641261783</v>
      </c>
      <c r="AQ428" s="52">
        <f t="shared" ca="1" si="3860"/>
        <v>21872.653143855863</v>
      </c>
      <c r="AR428" s="52">
        <f t="shared" ca="1" si="3860"/>
        <v>21664.342161533426</v>
      </c>
      <c r="AS428" s="52">
        <f t="shared" ca="1" si="3860"/>
        <v>21456.03117921099</v>
      </c>
      <c r="AT428" s="52">
        <f t="shared" ca="1" si="3860"/>
        <v>21247.720196888553</v>
      </c>
      <c r="AU428" s="52">
        <f t="shared" ca="1" si="3860"/>
        <v>21039.409214566116</v>
      </c>
      <c r="AV428" s="52">
        <f t="shared" ca="1" si="3860"/>
        <v>20831.098232243679</v>
      </c>
      <c r="AW428" s="52">
        <f t="shared" ca="1" si="3860"/>
        <v>20622.787249921243</v>
      </c>
      <c r="AX428" s="52">
        <f t="shared" ca="1" si="3860"/>
        <v>20414.476267598806</v>
      </c>
      <c r="AY428" s="52">
        <f t="shared" ca="1" si="3860"/>
        <v>20206.165285276369</v>
      </c>
      <c r="AZ428" s="52">
        <f t="shared" ca="1" si="3860"/>
        <v>19997.854302953932</v>
      </c>
      <c r="BA428" s="52">
        <f t="shared" ca="1" si="3860"/>
        <v>19789.543320631496</v>
      </c>
      <c r="BB428" s="52">
        <f t="shared" ca="1" si="3860"/>
        <v>19581.232338309059</v>
      </c>
      <c r="BC428" s="52">
        <f t="shared" ca="1" si="3860"/>
        <v>19372.921355986622</v>
      </c>
      <c r="BD428" s="52">
        <f t="shared" ca="1" si="3860"/>
        <v>19164.610373664185</v>
      </c>
      <c r="BE428" s="52">
        <f t="shared" ca="1" si="3860"/>
        <v>18956.299391341749</v>
      </c>
      <c r="BF428" s="52">
        <f t="shared" ca="1" si="3860"/>
        <v>18747.988409019312</v>
      </c>
      <c r="BG428" s="52">
        <f t="shared" ca="1" si="3860"/>
        <v>18539.677426696875</v>
      </c>
      <c r="BH428" s="52">
        <f t="shared" ca="1" si="3860"/>
        <v>18331.366444374438</v>
      </c>
      <c r="BI428" s="52">
        <f t="shared" ca="1" si="3860"/>
        <v>18123.055462052002</v>
      </c>
      <c r="BJ428" s="52">
        <f t="shared" ca="1" si="3860"/>
        <v>17914.744479729565</v>
      </c>
      <c r="BK428" s="52">
        <f t="shared" ca="1" si="3860"/>
        <v>17706.433497407128</v>
      </c>
      <c r="BL428" s="52">
        <f t="shared" ca="1" si="3860"/>
        <v>17498.122515084691</v>
      </c>
      <c r="BM428" s="52">
        <f t="shared" ca="1" si="3860"/>
        <v>17289.811532762255</v>
      </c>
      <c r="BN428" s="52">
        <f t="shared" ca="1" si="3860"/>
        <v>17081.500550439818</v>
      </c>
      <c r="BO428" s="52">
        <f t="shared" ca="1" si="3860"/>
        <v>16873.189568117381</v>
      </c>
      <c r="BP428" s="52">
        <f t="shared" ca="1" si="3860"/>
        <v>16664.878585794941</v>
      </c>
      <c r="BQ428" s="52">
        <f t="shared" ca="1" si="3860"/>
        <v>16456.567603472504</v>
      </c>
      <c r="BR428" s="52">
        <f t="shared" ca="1" si="3860"/>
        <v>16248.256621150069</v>
      </c>
      <c r="BS428" s="52">
        <f t="shared" ca="1" si="3860"/>
        <v>16039.945638827632</v>
      </c>
      <c r="BT428" s="52">
        <f t="shared" ca="1" si="3860"/>
        <v>15831.634656505195</v>
      </c>
      <c r="BU428" s="52">
        <f t="shared" ca="1" si="3860"/>
        <v>15623.323674182759</v>
      </c>
      <c r="BV428" s="52">
        <f t="shared" ca="1" si="3860"/>
        <v>15415.012691860322</v>
      </c>
      <c r="BW428" s="52">
        <f t="shared" ca="1" si="3860"/>
        <v>15206.701709537885</v>
      </c>
      <c r="BX428" s="52">
        <f t="shared" ca="1" si="3860"/>
        <v>14998.390727215448</v>
      </c>
      <c r="BY428" s="52">
        <f t="shared" ca="1" si="3860"/>
        <v>14790.079744893012</v>
      </c>
      <c r="BZ428" s="52">
        <f t="shared" ca="1" si="3860"/>
        <v>14581.768762570575</v>
      </c>
      <c r="CA428" s="52">
        <f t="shared" ca="1" si="3860"/>
        <v>14373.457780248138</v>
      </c>
      <c r="CB428" s="52">
        <f t="shared" ca="1" si="3860"/>
        <v>14165.146797925701</v>
      </c>
      <c r="CC428" s="52">
        <f t="shared" ca="1" si="3860"/>
        <v>13956.835815603265</v>
      </c>
      <c r="CD428" s="52">
        <f t="shared" ca="1" si="3860"/>
        <v>13748.524833280828</v>
      </c>
      <c r="CE428" s="52">
        <f t="shared" ref="CE428:CO428" ca="1" si="3861" xml:space="preserve"> SUM(CE425,CE427)</f>
        <v>13540.213850958391</v>
      </c>
      <c r="CF428" s="52">
        <f t="shared" ca="1" si="3861"/>
        <v>13331.902868635954</v>
      </c>
      <c r="CG428" s="52">
        <f t="shared" ca="1" si="3861"/>
        <v>13123.591886313518</v>
      </c>
      <c r="CH428" s="52">
        <f t="shared" ca="1" si="3861"/>
        <v>12915.280903991081</v>
      </c>
      <c r="CI428" s="52">
        <f t="shared" ca="1" si="3861"/>
        <v>12706.969921668644</v>
      </c>
      <c r="CJ428" s="52">
        <f t="shared" ca="1" si="3861"/>
        <v>12498.658939346207</v>
      </c>
      <c r="CK428" s="52">
        <f t="shared" ca="1" si="3861"/>
        <v>12290.347957023771</v>
      </c>
      <c r="CL428" s="52">
        <f t="shared" ca="1" si="3861"/>
        <v>12082.036974701334</v>
      </c>
      <c r="CM428" s="52">
        <f t="shared" ca="1" si="3861"/>
        <v>11873.725992378897</v>
      </c>
      <c r="CN428" s="52">
        <f t="shared" ca="1" si="3861"/>
        <v>11665.41501005646</v>
      </c>
      <c r="CO428" s="52">
        <f t="shared" ca="1" si="3861"/>
        <v>11457.104027734023</v>
      </c>
    </row>
    <row r="429" spans="1:93">
      <c r="A429" s="10"/>
      <c r="B429" s="10"/>
      <c r="C429" s="17"/>
      <c r="D429" s="10"/>
      <c r="E429" s="62"/>
      <c r="F429" s="11"/>
      <c r="G429" s="11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</row>
    <row r="430" spans="1:93">
      <c r="A430" s="10"/>
      <c r="B430" s="10"/>
      <c r="C430" s="87" t="s">
        <v>581</v>
      </c>
      <c r="D430" s="10"/>
      <c r="E430" s="10"/>
      <c r="F430" s="10"/>
      <c r="G430" s="11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</row>
    <row r="431" spans="1:93">
      <c r="A431" s="10"/>
      <c r="B431" s="10"/>
      <c r="C431" s="17" t="s">
        <v>386</v>
      </c>
      <c r="D431" s="10"/>
      <c r="E431" s="184">
        <f xml:space="preserve"> Предпосылки!E371</f>
        <v>30</v>
      </c>
      <c r="F431" s="11"/>
      <c r="G431" s="11" t="s">
        <v>123</v>
      </c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</row>
    <row r="432" spans="1:93">
      <c r="A432" s="10"/>
      <c r="B432" s="10"/>
      <c r="C432" s="17" t="s">
        <v>387</v>
      </c>
      <c r="D432" s="10"/>
      <c r="E432" s="182"/>
      <c r="F432" s="11"/>
      <c r="G432" s="11" t="s">
        <v>28</v>
      </c>
      <c r="H432" s="10"/>
      <c r="I432" s="10"/>
      <c r="J432" s="10"/>
      <c r="K432" s="10"/>
      <c r="L432" s="157">
        <f t="shared" ref="L432:R432" si="3862" xml:space="preserve"> IF($E431&lt;&gt;0,1/$E431,0)/Periods_in_Year</f>
        <v>8.3333333333333332E-3</v>
      </c>
      <c r="M432" s="157">
        <f t="shared" si="3862"/>
        <v>8.3333333333333332E-3</v>
      </c>
      <c r="N432" s="157">
        <f t="shared" si="3862"/>
        <v>8.3333333333333332E-3</v>
      </c>
      <c r="O432" s="157">
        <f t="shared" si="3862"/>
        <v>8.3333333333333332E-3</v>
      </c>
      <c r="P432" s="157">
        <f t="shared" si="3862"/>
        <v>8.3333333333333332E-3</v>
      </c>
      <c r="Q432" s="157">
        <f t="shared" si="3862"/>
        <v>8.3333333333333332E-3</v>
      </c>
      <c r="R432" s="157">
        <f t="shared" si="3862"/>
        <v>8.3333333333333332E-3</v>
      </c>
      <c r="S432" s="157">
        <f t="shared" ref="S432:CD432" si="3863" xml:space="preserve"> IF($E431&lt;&gt;0,1/$E431,0)/Periods_in_Year</f>
        <v>8.3333333333333332E-3</v>
      </c>
      <c r="T432" s="157">
        <f t="shared" si="3863"/>
        <v>8.3333333333333332E-3</v>
      </c>
      <c r="U432" s="157">
        <f t="shared" si="3863"/>
        <v>8.3333333333333332E-3</v>
      </c>
      <c r="V432" s="157">
        <f t="shared" si="3863"/>
        <v>8.3333333333333332E-3</v>
      </c>
      <c r="W432" s="157">
        <f t="shared" si="3863"/>
        <v>8.3333333333333332E-3</v>
      </c>
      <c r="X432" s="157">
        <f t="shared" si="3863"/>
        <v>8.3333333333333332E-3</v>
      </c>
      <c r="Y432" s="157">
        <f t="shared" si="3863"/>
        <v>8.3333333333333332E-3</v>
      </c>
      <c r="Z432" s="157">
        <f t="shared" si="3863"/>
        <v>8.3333333333333332E-3</v>
      </c>
      <c r="AA432" s="157">
        <f t="shared" si="3863"/>
        <v>8.3333333333333332E-3</v>
      </c>
      <c r="AB432" s="157">
        <f t="shared" si="3863"/>
        <v>8.3333333333333332E-3</v>
      </c>
      <c r="AC432" s="157">
        <f t="shared" si="3863"/>
        <v>8.3333333333333332E-3</v>
      </c>
      <c r="AD432" s="157">
        <f t="shared" si="3863"/>
        <v>8.3333333333333332E-3</v>
      </c>
      <c r="AE432" s="157">
        <f t="shared" si="3863"/>
        <v>8.3333333333333332E-3</v>
      </c>
      <c r="AF432" s="157">
        <f t="shared" si="3863"/>
        <v>8.3333333333333332E-3</v>
      </c>
      <c r="AG432" s="157">
        <f t="shared" si="3863"/>
        <v>8.3333333333333332E-3</v>
      </c>
      <c r="AH432" s="157">
        <f t="shared" si="3863"/>
        <v>8.3333333333333332E-3</v>
      </c>
      <c r="AI432" s="157">
        <f t="shared" si="3863"/>
        <v>8.3333333333333332E-3</v>
      </c>
      <c r="AJ432" s="157">
        <f t="shared" si="3863"/>
        <v>8.3333333333333332E-3</v>
      </c>
      <c r="AK432" s="157">
        <f t="shared" si="3863"/>
        <v>8.3333333333333332E-3</v>
      </c>
      <c r="AL432" s="157">
        <f t="shared" si="3863"/>
        <v>8.3333333333333332E-3</v>
      </c>
      <c r="AM432" s="157">
        <f t="shared" si="3863"/>
        <v>8.3333333333333332E-3</v>
      </c>
      <c r="AN432" s="157">
        <f t="shared" si="3863"/>
        <v>8.3333333333333332E-3</v>
      </c>
      <c r="AO432" s="157">
        <f t="shared" si="3863"/>
        <v>8.3333333333333332E-3</v>
      </c>
      <c r="AP432" s="157">
        <f t="shared" si="3863"/>
        <v>8.3333333333333332E-3</v>
      </c>
      <c r="AQ432" s="157">
        <f t="shared" si="3863"/>
        <v>8.3333333333333332E-3</v>
      </c>
      <c r="AR432" s="157">
        <f t="shared" si="3863"/>
        <v>8.3333333333333332E-3</v>
      </c>
      <c r="AS432" s="157">
        <f t="shared" si="3863"/>
        <v>8.3333333333333332E-3</v>
      </c>
      <c r="AT432" s="157">
        <f t="shared" si="3863"/>
        <v>8.3333333333333332E-3</v>
      </c>
      <c r="AU432" s="157">
        <f t="shared" si="3863"/>
        <v>8.3333333333333332E-3</v>
      </c>
      <c r="AV432" s="157">
        <f t="shared" si="3863"/>
        <v>8.3333333333333332E-3</v>
      </c>
      <c r="AW432" s="157">
        <f t="shared" si="3863"/>
        <v>8.3333333333333332E-3</v>
      </c>
      <c r="AX432" s="157">
        <f t="shared" si="3863"/>
        <v>8.3333333333333332E-3</v>
      </c>
      <c r="AY432" s="157">
        <f t="shared" si="3863"/>
        <v>8.3333333333333332E-3</v>
      </c>
      <c r="AZ432" s="157">
        <f t="shared" si="3863"/>
        <v>8.3333333333333332E-3</v>
      </c>
      <c r="BA432" s="157">
        <f t="shared" si="3863"/>
        <v>8.3333333333333332E-3</v>
      </c>
      <c r="BB432" s="157">
        <f t="shared" si="3863"/>
        <v>8.3333333333333332E-3</v>
      </c>
      <c r="BC432" s="157">
        <f t="shared" si="3863"/>
        <v>8.3333333333333332E-3</v>
      </c>
      <c r="BD432" s="157">
        <f t="shared" si="3863"/>
        <v>8.3333333333333332E-3</v>
      </c>
      <c r="BE432" s="157">
        <f t="shared" si="3863"/>
        <v>8.3333333333333332E-3</v>
      </c>
      <c r="BF432" s="157">
        <f t="shared" si="3863"/>
        <v>8.3333333333333332E-3</v>
      </c>
      <c r="BG432" s="157">
        <f t="shared" si="3863"/>
        <v>8.3333333333333332E-3</v>
      </c>
      <c r="BH432" s="157">
        <f t="shared" si="3863"/>
        <v>8.3333333333333332E-3</v>
      </c>
      <c r="BI432" s="157">
        <f t="shared" si="3863"/>
        <v>8.3333333333333332E-3</v>
      </c>
      <c r="BJ432" s="157">
        <f t="shared" si="3863"/>
        <v>8.3333333333333332E-3</v>
      </c>
      <c r="BK432" s="157">
        <f t="shared" si="3863"/>
        <v>8.3333333333333332E-3</v>
      </c>
      <c r="BL432" s="157">
        <f t="shared" si="3863"/>
        <v>8.3333333333333332E-3</v>
      </c>
      <c r="BM432" s="157">
        <f t="shared" si="3863"/>
        <v>8.3333333333333332E-3</v>
      </c>
      <c r="BN432" s="157">
        <f t="shared" si="3863"/>
        <v>8.3333333333333332E-3</v>
      </c>
      <c r="BO432" s="157">
        <f t="shared" si="3863"/>
        <v>8.3333333333333332E-3</v>
      </c>
      <c r="BP432" s="157">
        <f t="shared" si="3863"/>
        <v>8.3333333333333332E-3</v>
      </c>
      <c r="BQ432" s="157">
        <f t="shared" si="3863"/>
        <v>8.3333333333333332E-3</v>
      </c>
      <c r="BR432" s="157">
        <f t="shared" si="3863"/>
        <v>8.3333333333333332E-3</v>
      </c>
      <c r="BS432" s="157">
        <f t="shared" si="3863"/>
        <v>8.3333333333333332E-3</v>
      </c>
      <c r="BT432" s="157">
        <f t="shared" si="3863"/>
        <v>8.3333333333333332E-3</v>
      </c>
      <c r="BU432" s="157">
        <f t="shared" si="3863"/>
        <v>8.3333333333333332E-3</v>
      </c>
      <c r="BV432" s="157">
        <f t="shared" si="3863"/>
        <v>8.3333333333333332E-3</v>
      </c>
      <c r="BW432" s="157">
        <f t="shared" si="3863"/>
        <v>8.3333333333333332E-3</v>
      </c>
      <c r="BX432" s="157">
        <f t="shared" si="3863"/>
        <v>8.3333333333333332E-3</v>
      </c>
      <c r="BY432" s="157">
        <f t="shared" si="3863"/>
        <v>8.3333333333333332E-3</v>
      </c>
      <c r="BZ432" s="157">
        <f t="shared" si="3863"/>
        <v>8.3333333333333332E-3</v>
      </c>
      <c r="CA432" s="157">
        <f t="shared" si="3863"/>
        <v>8.3333333333333332E-3</v>
      </c>
      <c r="CB432" s="157">
        <f t="shared" si="3863"/>
        <v>8.3333333333333332E-3</v>
      </c>
      <c r="CC432" s="157">
        <f t="shared" si="3863"/>
        <v>8.3333333333333332E-3</v>
      </c>
      <c r="CD432" s="157">
        <f t="shared" si="3863"/>
        <v>8.3333333333333332E-3</v>
      </c>
      <c r="CE432" s="157">
        <f t="shared" ref="CE432:CO432" si="3864" xml:space="preserve"> IF($E431&lt;&gt;0,1/$E431,0)/Periods_in_Year</f>
        <v>8.3333333333333332E-3</v>
      </c>
      <c r="CF432" s="157">
        <f t="shared" si="3864"/>
        <v>8.3333333333333332E-3</v>
      </c>
      <c r="CG432" s="157">
        <f t="shared" si="3864"/>
        <v>8.3333333333333332E-3</v>
      </c>
      <c r="CH432" s="157">
        <f t="shared" si="3864"/>
        <v>8.3333333333333332E-3</v>
      </c>
      <c r="CI432" s="157">
        <f t="shared" si="3864"/>
        <v>8.3333333333333332E-3</v>
      </c>
      <c r="CJ432" s="157">
        <f t="shared" si="3864"/>
        <v>8.3333333333333332E-3</v>
      </c>
      <c r="CK432" s="157">
        <f t="shared" si="3864"/>
        <v>8.3333333333333332E-3</v>
      </c>
      <c r="CL432" s="157">
        <f t="shared" si="3864"/>
        <v>8.3333333333333332E-3</v>
      </c>
      <c r="CM432" s="157">
        <f t="shared" si="3864"/>
        <v>8.3333333333333332E-3</v>
      </c>
      <c r="CN432" s="157">
        <f t="shared" si="3864"/>
        <v>8.3333333333333332E-3</v>
      </c>
      <c r="CO432" s="157">
        <f t="shared" si="3864"/>
        <v>8.3333333333333332E-3</v>
      </c>
    </row>
    <row r="433" spans="1:93">
      <c r="A433" s="10"/>
      <c r="B433" s="10"/>
      <c r="C433" s="17" t="s">
        <v>125</v>
      </c>
      <c r="D433" s="10"/>
      <c r="E433" s="62"/>
      <c r="F433" s="11"/>
      <c r="G433" s="134" t="str">
        <f t="shared" ref="G433:G439" si="3865">Monetary_Unit</f>
        <v>тыс. руб.</v>
      </c>
      <c r="H433" s="10"/>
      <c r="I433" s="10"/>
      <c r="J433" s="10"/>
      <c r="K433" s="10"/>
      <c r="L433" s="52">
        <f t="shared" ref="L433" si="3866" xml:space="preserve"> K439</f>
        <v>0</v>
      </c>
      <c r="M433" s="52">
        <f t="shared" ref="M433" ca="1" si="3867" xml:space="preserve"> L439</f>
        <v>0</v>
      </c>
      <c r="N433" s="52">
        <f t="shared" ref="N433" ca="1" si="3868" xml:space="preserve"> M439</f>
        <v>0</v>
      </c>
      <c r="O433" s="52">
        <f t="shared" ref="O433" ca="1" si="3869" xml:space="preserve"> N439</f>
        <v>0</v>
      </c>
      <c r="P433" s="52">
        <f t="shared" ref="P433" ca="1" si="3870" xml:space="preserve"> O439</f>
        <v>0</v>
      </c>
      <c r="Q433" s="52">
        <f t="shared" ref="Q433" ca="1" si="3871" xml:space="preserve"> P439</f>
        <v>0</v>
      </c>
      <c r="R433" s="52">
        <f t="shared" ref="R433" ca="1" si="3872" xml:space="preserve"> Q439</f>
        <v>0</v>
      </c>
      <c r="S433" s="52">
        <f t="shared" ref="S433" ca="1" si="3873" xml:space="preserve"> R439</f>
        <v>0</v>
      </c>
      <c r="T433" s="52">
        <f t="shared" ref="T433" ca="1" si="3874" xml:space="preserve"> S439</f>
        <v>0</v>
      </c>
      <c r="U433" s="52">
        <f t="shared" ref="U433" ca="1" si="3875" xml:space="preserve"> T439</f>
        <v>0</v>
      </c>
      <c r="V433" s="52">
        <f t="shared" ref="V433" ca="1" si="3876" xml:space="preserve"> U439</f>
        <v>0</v>
      </c>
      <c r="W433" s="52">
        <f t="shared" ref="W433" ca="1" si="3877" xml:space="preserve"> V439</f>
        <v>0</v>
      </c>
      <c r="X433" s="52">
        <f t="shared" ref="X433" ca="1" si="3878" xml:space="preserve"> W439</f>
        <v>0</v>
      </c>
      <c r="Y433" s="52">
        <f t="shared" ref="Y433" ca="1" si="3879" xml:space="preserve"> X439</f>
        <v>0</v>
      </c>
      <c r="Z433" s="52">
        <f t="shared" ref="Z433" ca="1" si="3880" xml:space="preserve"> Y439</f>
        <v>0</v>
      </c>
      <c r="AA433" s="52">
        <f t="shared" ref="AA433" ca="1" si="3881" xml:space="preserve"> Z439</f>
        <v>0</v>
      </c>
      <c r="AB433" s="52">
        <f t="shared" ref="AB433" ca="1" si="3882" xml:space="preserve"> AA439</f>
        <v>0</v>
      </c>
      <c r="AC433" s="52">
        <f t="shared" ref="AC433" ca="1" si="3883" xml:space="preserve"> AB439</f>
        <v>3683093.3769661123</v>
      </c>
      <c r="AD433" s="52">
        <f t="shared" ref="AD433" ca="1" si="3884" xml:space="preserve"> AC439</f>
        <v>3284091.5944614499</v>
      </c>
      <c r="AE433" s="52">
        <f t="shared" ref="AE433" ca="1" si="3885" xml:space="preserve"> AD439</f>
        <v>3256468.3941342039</v>
      </c>
      <c r="AF433" s="52">
        <f t="shared" ref="AF433" ca="1" si="3886" xml:space="preserve"> AE439</f>
        <v>3228845.1938069584</v>
      </c>
      <c r="AG433" s="52">
        <f t="shared" ref="AG433" ca="1" si="3887" xml:space="preserve"> AF439</f>
        <v>3201221.9934797124</v>
      </c>
      <c r="AH433" s="52">
        <f t="shared" ref="AH433" ca="1" si="3888" xml:space="preserve"> AG439</f>
        <v>3173598.7931524664</v>
      </c>
      <c r="AI433" s="52">
        <f t="shared" ref="AI433" ca="1" si="3889" xml:space="preserve"> AH439</f>
        <v>3145975.5928252209</v>
      </c>
      <c r="AJ433" s="52">
        <f t="shared" ref="AJ433" ca="1" si="3890" xml:space="preserve"> AI439</f>
        <v>3118352.3924979749</v>
      </c>
      <c r="AK433" s="52">
        <f t="shared" ref="AK433" ca="1" si="3891" xml:space="preserve"> AJ439</f>
        <v>3090729.1921707289</v>
      </c>
      <c r="AL433" s="52">
        <f t="shared" ref="AL433" ca="1" si="3892" xml:space="preserve"> AK439</f>
        <v>3063105.9918434834</v>
      </c>
      <c r="AM433" s="52">
        <f t="shared" ref="AM433" ca="1" si="3893" xml:space="preserve"> AL439</f>
        <v>3035482.7915162374</v>
      </c>
      <c r="AN433" s="52">
        <f t="shared" ref="AN433" ca="1" si="3894" xml:space="preserve"> AM439</f>
        <v>3007859.5911889914</v>
      </c>
      <c r="AO433" s="52">
        <f t="shared" ref="AO433" ca="1" si="3895" xml:space="preserve"> AN439</f>
        <v>2980236.3908617459</v>
      </c>
      <c r="AP433" s="52">
        <f t="shared" ref="AP433" ca="1" si="3896" xml:space="preserve"> AO439</f>
        <v>2952613.1905344999</v>
      </c>
      <c r="AQ433" s="52">
        <f t="shared" ref="AQ433" ca="1" si="3897" xml:space="preserve"> AP439</f>
        <v>2924989.990207254</v>
      </c>
      <c r="AR433" s="52">
        <f t="shared" ref="AR433" ca="1" si="3898" xml:space="preserve"> AQ439</f>
        <v>2897366.789880008</v>
      </c>
      <c r="AS433" s="52">
        <f t="shared" ref="AS433" ca="1" si="3899" xml:space="preserve"> AR439</f>
        <v>2869743.589552762</v>
      </c>
      <c r="AT433" s="52">
        <f t="shared" ref="AT433" ca="1" si="3900" xml:space="preserve"> AS439</f>
        <v>2842120.3892255165</v>
      </c>
      <c r="AU433" s="52">
        <f t="shared" ref="AU433" ca="1" si="3901" xml:space="preserve"> AT439</f>
        <v>2814497.1888982705</v>
      </c>
      <c r="AV433" s="52">
        <f t="shared" ref="AV433" ca="1" si="3902" xml:space="preserve"> AU439</f>
        <v>2786873.9885710245</v>
      </c>
      <c r="AW433" s="52">
        <f t="shared" ref="AW433" ca="1" si="3903" xml:space="preserve"> AV439</f>
        <v>2759250.788243779</v>
      </c>
      <c r="AX433" s="52">
        <f t="shared" ref="AX433" ca="1" si="3904" xml:space="preserve"> AW439</f>
        <v>2731627.587916533</v>
      </c>
      <c r="AY433" s="52">
        <f t="shared" ref="AY433" ca="1" si="3905" xml:space="preserve"> AX439</f>
        <v>2704004.387589287</v>
      </c>
      <c r="AZ433" s="52">
        <f t="shared" ref="AZ433" ca="1" si="3906" xml:space="preserve"> AY439</f>
        <v>2676381.187262041</v>
      </c>
      <c r="BA433" s="52">
        <f t="shared" ref="BA433" ca="1" si="3907" xml:space="preserve"> AZ439</f>
        <v>2648757.986934795</v>
      </c>
      <c r="BB433" s="52">
        <f t="shared" ref="BB433" ca="1" si="3908" xml:space="preserve"> BA439</f>
        <v>2621134.7866075495</v>
      </c>
      <c r="BC433" s="52">
        <f t="shared" ref="BC433" ca="1" si="3909" xml:space="preserve"> BB439</f>
        <v>2593511.5862803035</v>
      </c>
      <c r="BD433" s="52">
        <f t="shared" ref="BD433" ca="1" si="3910" xml:space="preserve"> BC439</f>
        <v>2565888.3859530576</v>
      </c>
      <c r="BE433" s="52">
        <f t="shared" ref="BE433" ca="1" si="3911" xml:space="preserve"> BD439</f>
        <v>2538265.185625812</v>
      </c>
      <c r="BF433" s="52">
        <f t="shared" ref="BF433" ca="1" si="3912" xml:space="preserve"> BE439</f>
        <v>2510641.9852985661</v>
      </c>
      <c r="BG433" s="52">
        <f t="shared" ref="BG433" ca="1" si="3913" xml:space="preserve"> BF439</f>
        <v>2483018.7849713201</v>
      </c>
      <c r="BH433" s="52">
        <f t="shared" ref="BH433" ca="1" si="3914" xml:space="preserve"> BG439</f>
        <v>2455395.5846440741</v>
      </c>
      <c r="BI433" s="52">
        <f t="shared" ref="BI433" ca="1" si="3915" xml:space="preserve"> BH439</f>
        <v>2427772.3843168281</v>
      </c>
      <c r="BJ433" s="52">
        <f t="shared" ref="BJ433" ca="1" si="3916" xml:space="preserve"> BI439</f>
        <v>2400149.1839895826</v>
      </c>
      <c r="BK433" s="52">
        <f t="shared" ref="BK433" ca="1" si="3917" xml:space="preserve"> BJ439</f>
        <v>2372525.9836623366</v>
      </c>
      <c r="BL433" s="52">
        <f t="shared" ref="BL433" ca="1" si="3918" xml:space="preserve"> BK439</f>
        <v>2344902.7833350906</v>
      </c>
      <c r="BM433" s="52">
        <f t="shared" ref="BM433" ca="1" si="3919" xml:space="preserve"> BL439</f>
        <v>2317279.5830078451</v>
      </c>
      <c r="BN433" s="52">
        <f t="shared" ref="BN433" ca="1" si="3920" xml:space="preserve"> BM439</f>
        <v>2289656.3826805991</v>
      </c>
      <c r="BO433" s="52">
        <f t="shared" ref="BO433" ca="1" si="3921" xml:space="preserve"> BN439</f>
        <v>2262033.1823533531</v>
      </c>
      <c r="BP433" s="52">
        <f t="shared" ref="BP433" ca="1" si="3922" xml:space="preserve"> BO439</f>
        <v>2234409.9820261076</v>
      </c>
      <c r="BQ433" s="52">
        <f t="shared" ref="BQ433" ca="1" si="3923" xml:space="preserve"> BP439</f>
        <v>2206786.7816988616</v>
      </c>
      <c r="BR433" s="52">
        <f t="shared" ref="BR433" ca="1" si="3924" xml:space="preserve"> BQ439</f>
        <v>2179163.5813716156</v>
      </c>
      <c r="BS433" s="52">
        <f t="shared" ref="BS433" ca="1" si="3925" xml:space="preserve"> BR439</f>
        <v>2151540.3810443701</v>
      </c>
      <c r="BT433" s="52">
        <f t="shared" ref="BT433" ca="1" si="3926" xml:space="preserve"> BS439</f>
        <v>2123917.1807171246</v>
      </c>
      <c r="BU433" s="52">
        <f t="shared" ref="BU433" ca="1" si="3927" xml:space="preserve"> BT439</f>
        <v>2096293.9803898786</v>
      </c>
      <c r="BV433" s="52">
        <f t="shared" ref="BV433" ca="1" si="3928" xml:space="preserve"> BU439</f>
        <v>2068670.7800626329</v>
      </c>
      <c r="BW433" s="52">
        <f t="shared" ref="BW433" ca="1" si="3929" xml:space="preserve"> BV439</f>
        <v>2041047.5797353871</v>
      </c>
      <c r="BX433" s="52">
        <f t="shared" ref="BX433" ca="1" si="3930" xml:space="preserve"> BW439</f>
        <v>2013424.3794081414</v>
      </c>
      <c r="BY433" s="52">
        <f t="shared" ref="BY433" ca="1" si="3931" xml:space="preserve"> BX439</f>
        <v>1985801.1790808956</v>
      </c>
      <c r="BZ433" s="52">
        <f t="shared" ref="BZ433" ca="1" si="3932" xml:space="preserve"> BY439</f>
        <v>1958177.9787536499</v>
      </c>
      <c r="CA433" s="52">
        <f t="shared" ref="CA433" ca="1" si="3933" xml:space="preserve"> BZ439</f>
        <v>1930554.7784264041</v>
      </c>
      <c r="CB433" s="52">
        <f t="shared" ref="CB433" ca="1" si="3934" xml:space="preserve"> CA439</f>
        <v>1902931.5780991584</v>
      </c>
      <c r="CC433" s="52">
        <f t="shared" ref="CC433" ca="1" si="3935" xml:space="preserve"> CB439</f>
        <v>1875308.3777719126</v>
      </c>
      <c r="CD433" s="52">
        <f t="shared" ref="CD433" ca="1" si="3936" xml:space="preserve"> CC439</f>
        <v>1847685.1774446669</v>
      </c>
      <c r="CE433" s="52">
        <f t="shared" ref="CE433" ca="1" si="3937" xml:space="preserve"> CD439</f>
        <v>1820061.9771174211</v>
      </c>
      <c r="CF433" s="52">
        <f t="shared" ref="CF433" ca="1" si="3938" xml:space="preserve"> CE439</f>
        <v>1792438.7767901754</v>
      </c>
      <c r="CG433" s="52">
        <f t="shared" ref="CG433" ca="1" si="3939" xml:space="preserve"> CF439</f>
        <v>1764815.5764629296</v>
      </c>
      <c r="CH433" s="52">
        <f t="shared" ref="CH433" ca="1" si="3940" xml:space="preserve"> CG439</f>
        <v>1737192.3761356839</v>
      </c>
      <c r="CI433" s="52">
        <f t="shared" ref="CI433" ca="1" si="3941" xml:space="preserve"> CH439</f>
        <v>1709569.1758084381</v>
      </c>
      <c r="CJ433" s="52">
        <f t="shared" ref="CJ433" ca="1" si="3942" xml:space="preserve"> CI439</f>
        <v>1681945.9754811923</v>
      </c>
      <c r="CK433" s="52">
        <f t="shared" ref="CK433" ca="1" si="3943" xml:space="preserve"> CJ439</f>
        <v>1654322.7751539466</v>
      </c>
      <c r="CL433" s="52">
        <f t="shared" ref="CL433" ca="1" si="3944" xml:space="preserve"> CK439</f>
        <v>1626699.5748267008</v>
      </c>
      <c r="CM433" s="52">
        <f t="shared" ref="CM433" ca="1" si="3945" xml:space="preserve"> CL439</f>
        <v>1599076.3744994551</v>
      </c>
      <c r="CN433" s="52">
        <f t="shared" ref="CN433" ca="1" si="3946" xml:space="preserve"> CM439</f>
        <v>1571453.1741722093</v>
      </c>
      <c r="CO433" s="52">
        <f t="shared" ref="CO433" ca="1" si="3947" xml:space="preserve"> CN439</f>
        <v>1543829.9738449636</v>
      </c>
    </row>
    <row r="434" spans="1:93">
      <c r="A434" s="10"/>
      <c r="B434" s="10"/>
      <c r="C434" s="17" t="s">
        <v>126</v>
      </c>
      <c r="D434" s="10"/>
      <c r="E434" s="62"/>
      <c r="F434" s="11"/>
      <c r="G434" s="134" t="str">
        <f t="shared" si="3865"/>
        <v>тыс. руб.</v>
      </c>
      <c r="H434" s="10"/>
      <c r="I434" s="23">
        <f ca="1">SUM(L434:CO434)</f>
        <v>3314784.0392695009</v>
      </c>
      <c r="J434" s="10"/>
      <c r="K434" s="10"/>
      <c r="L434" s="52">
        <f t="shared" ref="L434:AQ434" ca="1" si="3948" xml:space="preserve"> SUM(L323,L324,L327) + L435</f>
        <v>0</v>
      </c>
      <c r="M434" s="52">
        <f t="shared" ca="1" si="3948"/>
        <v>0</v>
      </c>
      <c r="N434" s="52">
        <f t="shared" ca="1" si="3948"/>
        <v>0</v>
      </c>
      <c r="O434" s="52">
        <f t="shared" ca="1" si="3948"/>
        <v>0</v>
      </c>
      <c r="P434" s="52">
        <f t="shared" ca="1" si="3948"/>
        <v>0</v>
      </c>
      <c r="Q434" s="52">
        <f t="shared" ca="1" si="3948"/>
        <v>0</v>
      </c>
      <c r="R434" s="52">
        <f t="shared" ca="1" si="3948"/>
        <v>0</v>
      </c>
      <c r="S434" s="52">
        <f t="shared" ca="1" si="3948"/>
        <v>0</v>
      </c>
      <c r="T434" s="52">
        <f t="shared" ca="1" si="3948"/>
        <v>0</v>
      </c>
      <c r="U434" s="52">
        <f t="shared" ca="1" si="3948"/>
        <v>0</v>
      </c>
      <c r="V434" s="52">
        <f t="shared" ca="1" si="3948"/>
        <v>0</v>
      </c>
      <c r="W434" s="52">
        <f t="shared" ca="1" si="3948"/>
        <v>0</v>
      </c>
      <c r="X434" s="52">
        <f t="shared" ca="1" si="3948"/>
        <v>0</v>
      </c>
      <c r="Y434" s="52">
        <f t="shared" ca="1" si="3948"/>
        <v>0</v>
      </c>
      <c r="Z434" s="52">
        <f t="shared" ca="1" si="3948"/>
        <v>0</v>
      </c>
      <c r="AA434" s="52">
        <f t="shared" ca="1" si="3948"/>
        <v>0</v>
      </c>
      <c r="AB434" s="52">
        <f t="shared" ca="1" si="3948"/>
        <v>3683093.3769661123</v>
      </c>
      <c r="AC434" s="52">
        <f t="shared" ca="1" si="3948"/>
        <v>-368309.33769661124</v>
      </c>
      <c r="AD434" s="52">
        <f t="shared" ca="1" si="3948"/>
        <v>0</v>
      </c>
      <c r="AE434" s="52">
        <f t="shared" ca="1" si="3948"/>
        <v>0</v>
      </c>
      <c r="AF434" s="52">
        <f t="shared" ca="1" si="3948"/>
        <v>0</v>
      </c>
      <c r="AG434" s="52">
        <f t="shared" ca="1" si="3948"/>
        <v>0</v>
      </c>
      <c r="AH434" s="52">
        <f t="shared" ca="1" si="3948"/>
        <v>0</v>
      </c>
      <c r="AI434" s="52">
        <f t="shared" ca="1" si="3948"/>
        <v>0</v>
      </c>
      <c r="AJ434" s="52">
        <f t="shared" ca="1" si="3948"/>
        <v>0</v>
      </c>
      <c r="AK434" s="52">
        <f t="shared" ca="1" si="3948"/>
        <v>0</v>
      </c>
      <c r="AL434" s="52">
        <f t="shared" ca="1" si="3948"/>
        <v>0</v>
      </c>
      <c r="AM434" s="52">
        <f t="shared" ca="1" si="3948"/>
        <v>0</v>
      </c>
      <c r="AN434" s="52">
        <f t="shared" ca="1" si="3948"/>
        <v>0</v>
      </c>
      <c r="AO434" s="52">
        <f t="shared" ca="1" si="3948"/>
        <v>0</v>
      </c>
      <c r="AP434" s="52">
        <f t="shared" ca="1" si="3948"/>
        <v>0</v>
      </c>
      <c r="AQ434" s="52">
        <f t="shared" ca="1" si="3948"/>
        <v>0</v>
      </c>
      <c r="AR434" s="52">
        <f t="shared" ref="AR434:BW434" ca="1" si="3949" xml:space="preserve"> SUM(AR323,AR324,AR327) + AR435</f>
        <v>0</v>
      </c>
      <c r="AS434" s="52">
        <f t="shared" ca="1" si="3949"/>
        <v>0</v>
      </c>
      <c r="AT434" s="52">
        <f t="shared" ca="1" si="3949"/>
        <v>0</v>
      </c>
      <c r="AU434" s="52">
        <f t="shared" ca="1" si="3949"/>
        <v>0</v>
      </c>
      <c r="AV434" s="52">
        <f t="shared" ca="1" si="3949"/>
        <v>0</v>
      </c>
      <c r="AW434" s="52">
        <f t="shared" ca="1" si="3949"/>
        <v>0</v>
      </c>
      <c r="AX434" s="52">
        <f t="shared" ca="1" si="3949"/>
        <v>0</v>
      </c>
      <c r="AY434" s="52">
        <f t="shared" ca="1" si="3949"/>
        <v>0</v>
      </c>
      <c r="AZ434" s="52">
        <f t="shared" ca="1" si="3949"/>
        <v>0</v>
      </c>
      <c r="BA434" s="52">
        <f t="shared" ca="1" si="3949"/>
        <v>0</v>
      </c>
      <c r="BB434" s="52">
        <f t="shared" ca="1" si="3949"/>
        <v>0</v>
      </c>
      <c r="BC434" s="52">
        <f t="shared" ca="1" si="3949"/>
        <v>0</v>
      </c>
      <c r="BD434" s="52">
        <f t="shared" ca="1" si="3949"/>
        <v>0</v>
      </c>
      <c r="BE434" s="52">
        <f t="shared" ca="1" si="3949"/>
        <v>0</v>
      </c>
      <c r="BF434" s="52">
        <f t="shared" ca="1" si="3949"/>
        <v>0</v>
      </c>
      <c r="BG434" s="52">
        <f t="shared" ca="1" si="3949"/>
        <v>0</v>
      </c>
      <c r="BH434" s="52">
        <f t="shared" ca="1" si="3949"/>
        <v>0</v>
      </c>
      <c r="BI434" s="52">
        <f t="shared" ca="1" si="3949"/>
        <v>0</v>
      </c>
      <c r="BJ434" s="52">
        <f t="shared" ca="1" si="3949"/>
        <v>0</v>
      </c>
      <c r="BK434" s="52">
        <f t="shared" ca="1" si="3949"/>
        <v>0</v>
      </c>
      <c r="BL434" s="52">
        <f t="shared" ca="1" si="3949"/>
        <v>0</v>
      </c>
      <c r="BM434" s="52">
        <f t="shared" ca="1" si="3949"/>
        <v>0</v>
      </c>
      <c r="BN434" s="52">
        <f t="shared" ca="1" si="3949"/>
        <v>0</v>
      </c>
      <c r="BO434" s="52">
        <f t="shared" ca="1" si="3949"/>
        <v>0</v>
      </c>
      <c r="BP434" s="52">
        <f t="shared" ca="1" si="3949"/>
        <v>0</v>
      </c>
      <c r="BQ434" s="52">
        <f t="shared" ca="1" si="3949"/>
        <v>0</v>
      </c>
      <c r="BR434" s="52">
        <f t="shared" ca="1" si="3949"/>
        <v>0</v>
      </c>
      <c r="BS434" s="52">
        <f t="shared" ca="1" si="3949"/>
        <v>0</v>
      </c>
      <c r="BT434" s="52">
        <f t="shared" ca="1" si="3949"/>
        <v>0</v>
      </c>
      <c r="BU434" s="52">
        <f t="shared" ca="1" si="3949"/>
        <v>0</v>
      </c>
      <c r="BV434" s="52">
        <f t="shared" ca="1" si="3949"/>
        <v>0</v>
      </c>
      <c r="BW434" s="52">
        <f t="shared" ca="1" si="3949"/>
        <v>0</v>
      </c>
      <c r="BX434" s="52">
        <f t="shared" ref="BX434:CO434" ca="1" si="3950" xml:space="preserve"> SUM(BX323,BX324,BX327) + BX435</f>
        <v>0</v>
      </c>
      <c r="BY434" s="52">
        <f t="shared" ca="1" si="3950"/>
        <v>0</v>
      </c>
      <c r="BZ434" s="52">
        <f t="shared" ca="1" si="3950"/>
        <v>0</v>
      </c>
      <c r="CA434" s="52">
        <f t="shared" ca="1" si="3950"/>
        <v>0</v>
      </c>
      <c r="CB434" s="52">
        <f t="shared" ca="1" si="3950"/>
        <v>0</v>
      </c>
      <c r="CC434" s="52">
        <f t="shared" ca="1" si="3950"/>
        <v>0</v>
      </c>
      <c r="CD434" s="52">
        <f t="shared" ca="1" si="3950"/>
        <v>0</v>
      </c>
      <c r="CE434" s="52">
        <f t="shared" ca="1" si="3950"/>
        <v>0</v>
      </c>
      <c r="CF434" s="52">
        <f t="shared" ca="1" si="3950"/>
        <v>0</v>
      </c>
      <c r="CG434" s="52">
        <f t="shared" ca="1" si="3950"/>
        <v>0</v>
      </c>
      <c r="CH434" s="52">
        <f t="shared" ca="1" si="3950"/>
        <v>0</v>
      </c>
      <c r="CI434" s="52">
        <f t="shared" ca="1" si="3950"/>
        <v>0</v>
      </c>
      <c r="CJ434" s="52">
        <f t="shared" ca="1" si="3950"/>
        <v>0</v>
      </c>
      <c r="CK434" s="52">
        <f t="shared" ca="1" si="3950"/>
        <v>0</v>
      </c>
      <c r="CL434" s="52">
        <f t="shared" ca="1" si="3950"/>
        <v>0</v>
      </c>
      <c r="CM434" s="52">
        <f t="shared" ca="1" si="3950"/>
        <v>0</v>
      </c>
      <c r="CN434" s="52">
        <f t="shared" ca="1" si="3950"/>
        <v>0</v>
      </c>
      <c r="CO434" s="52">
        <f t="shared" ca="1" si="3950"/>
        <v>0</v>
      </c>
    </row>
    <row r="435" spans="1:93">
      <c r="A435" s="10"/>
      <c r="B435" s="10"/>
      <c r="C435" s="17" t="s">
        <v>129</v>
      </c>
      <c r="D435" s="10"/>
      <c r="E435" s="178">
        <f>Предпосылки!E376</f>
        <v>0.1</v>
      </c>
      <c r="F435" s="11"/>
      <c r="G435" s="134" t="str">
        <f t="shared" si="3865"/>
        <v>тыс. руб.</v>
      </c>
      <c r="H435" s="10"/>
      <c r="I435" s="23">
        <f ca="1">SUM(L435:CO435)</f>
        <v>-368309.33769661124</v>
      </c>
      <c r="J435" s="10"/>
      <c r="K435" s="10"/>
      <c r="L435" s="52">
        <f t="shared" ref="L435:AQ435" si="3951" xml:space="preserve"> - SUM(K323,K324,K327) * $E435</f>
        <v>0</v>
      </c>
      <c r="M435" s="52">
        <f t="shared" ca="1" si="3951"/>
        <v>0</v>
      </c>
      <c r="N435" s="52">
        <f t="shared" ca="1" si="3951"/>
        <v>0</v>
      </c>
      <c r="O435" s="52">
        <f t="shared" ca="1" si="3951"/>
        <v>0</v>
      </c>
      <c r="P435" s="52">
        <f t="shared" ca="1" si="3951"/>
        <v>0</v>
      </c>
      <c r="Q435" s="52">
        <f t="shared" ca="1" si="3951"/>
        <v>0</v>
      </c>
      <c r="R435" s="52">
        <f t="shared" ca="1" si="3951"/>
        <v>0</v>
      </c>
      <c r="S435" s="52">
        <f t="shared" ca="1" si="3951"/>
        <v>0</v>
      </c>
      <c r="T435" s="52">
        <f t="shared" ca="1" si="3951"/>
        <v>0</v>
      </c>
      <c r="U435" s="52">
        <f t="shared" ca="1" si="3951"/>
        <v>0</v>
      </c>
      <c r="V435" s="52">
        <f t="shared" ca="1" si="3951"/>
        <v>0</v>
      </c>
      <c r="W435" s="52">
        <f t="shared" ca="1" si="3951"/>
        <v>0</v>
      </c>
      <c r="X435" s="52">
        <f t="shared" ca="1" si="3951"/>
        <v>0</v>
      </c>
      <c r="Y435" s="52">
        <f t="shared" ca="1" si="3951"/>
        <v>0</v>
      </c>
      <c r="Z435" s="52">
        <f t="shared" ca="1" si="3951"/>
        <v>0</v>
      </c>
      <c r="AA435" s="52">
        <f t="shared" ca="1" si="3951"/>
        <v>0</v>
      </c>
      <c r="AB435" s="52">
        <f t="shared" ca="1" si="3951"/>
        <v>0</v>
      </c>
      <c r="AC435" s="52">
        <f t="shared" ca="1" si="3951"/>
        <v>-368309.33769661124</v>
      </c>
      <c r="AD435" s="52">
        <f t="shared" ca="1" si="3951"/>
        <v>0</v>
      </c>
      <c r="AE435" s="52">
        <f t="shared" ca="1" si="3951"/>
        <v>0</v>
      </c>
      <c r="AF435" s="52">
        <f t="shared" ca="1" si="3951"/>
        <v>0</v>
      </c>
      <c r="AG435" s="52">
        <f t="shared" ca="1" si="3951"/>
        <v>0</v>
      </c>
      <c r="AH435" s="52">
        <f t="shared" ca="1" si="3951"/>
        <v>0</v>
      </c>
      <c r="AI435" s="52">
        <f t="shared" ca="1" si="3951"/>
        <v>0</v>
      </c>
      <c r="AJ435" s="52">
        <f t="shared" ca="1" si="3951"/>
        <v>0</v>
      </c>
      <c r="AK435" s="52">
        <f t="shared" ca="1" si="3951"/>
        <v>0</v>
      </c>
      <c r="AL435" s="52">
        <f t="shared" ca="1" si="3951"/>
        <v>0</v>
      </c>
      <c r="AM435" s="52">
        <f t="shared" ca="1" si="3951"/>
        <v>0</v>
      </c>
      <c r="AN435" s="52">
        <f t="shared" ca="1" si="3951"/>
        <v>0</v>
      </c>
      <c r="AO435" s="52">
        <f t="shared" ca="1" si="3951"/>
        <v>0</v>
      </c>
      <c r="AP435" s="52">
        <f t="shared" ca="1" si="3951"/>
        <v>0</v>
      </c>
      <c r="AQ435" s="52">
        <f t="shared" ca="1" si="3951"/>
        <v>0</v>
      </c>
      <c r="AR435" s="52">
        <f t="shared" ref="AR435:BW435" ca="1" si="3952" xml:space="preserve"> - SUM(AQ323,AQ324,AQ327) * $E435</f>
        <v>0</v>
      </c>
      <c r="AS435" s="52">
        <f t="shared" ca="1" si="3952"/>
        <v>0</v>
      </c>
      <c r="AT435" s="52">
        <f t="shared" ca="1" si="3952"/>
        <v>0</v>
      </c>
      <c r="AU435" s="52">
        <f t="shared" ca="1" si="3952"/>
        <v>0</v>
      </c>
      <c r="AV435" s="52">
        <f t="shared" ca="1" si="3952"/>
        <v>0</v>
      </c>
      <c r="AW435" s="52">
        <f t="shared" ca="1" si="3952"/>
        <v>0</v>
      </c>
      <c r="AX435" s="52">
        <f t="shared" ca="1" si="3952"/>
        <v>0</v>
      </c>
      <c r="AY435" s="52">
        <f t="shared" ca="1" si="3952"/>
        <v>0</v>
      </c>
      <c r="AZ435" s="52">
        <f t="shared" ca="1" si="3952"/>
        <v>0</v>
      </c>
      <c r="BA435" s="52">
        <f t="shared" ca="1" si="3952"/>
        <v>0</v>
      </c>
      <c r="BB435" s="52">
        <f t="shared" ca="1" si="3952"/>
        <v>0</v>
      </c>
      <c r="BC435" s="52">
        <f t="shared" ca="1" si="3952"/>
        <v>0</v>
      </c>
      <c r="BD435" s="52">
        <f t="shared" ca="1" si="3952"/>
        <v>0</v>
      </c>
      <c r="BE435" s="52">
        <f t="shared" ca="1" si="3952"/>
        <v>0</v>
      </c>
      <c r="BF435" s="52">
        <f t="shared" ca="1" si="3952"/>
        <v>0</v>
      </c>
      <c r="BG435" s="52">
        <f t="shared" ca="1" si="3952"/>
        <v>0</v>
      </c>
      <c r="BH435" s="52">
        <f t="shared" ca="1" si="3952"/>
        <v>0</v>
      </c>
      <c r="BI435" s="52">
        <f t="shared" ca="1" si="3952"/>
        <v>0</v>
      </c>
      <c r="BJ435" s="52">
        <f t="shared" ca="1" si="3952"/>
        <v>0</v>
      </c>
      <c r="BK435" s="52">
        <f t="shared" ca="1" si="3952"/>
        <v>0</v>
      </c>
      <c r="BL435" s="52">
        <f t="shared" ca="1" si="3952"/>
        <v>0</v>
      </c>
      <c r="BM435" s="52">
        <f t="shared" ca="1" si="3952"/>
        <v>0</v>
      </c>
      <c r="BN435" s="52">
        <f t="shared" ca="1" si="3952"/>
        <v>0</v>
      </c>
      <c r="BO435" s="52">
        <f t="shared" ca="1" si="3952"/>
        <v>0</v>
      </c>
      <c r="BP435" s="52">
        <f t="shared" ca="1" si="3952"/>
        <v>0</v>
      </c>
      <c r="BQ435" s="52">
        <f t="shared" ca="1" si="3952"/>
        <v>0</v>
      </c>
      <c r="BR435" s="52">
        <f t="shared" ca="1" si="3952"/>
        <v>0</v>
      </c>
      <c r="BS435" s="52">
        <f t="shared" ca="1" si="3952"/>
        <v>0</v>
      </c>
      <c r="BT435" s="52">
        <f t="shared" ca="1" si="3952"/>
        <v>0</v>
      </c>
      <c r="BU435" s="52">
        <f t="shared" ca="1" si="3952"/>
        <v>0</v>
      </c>
      <c r="BV435" s="52">
        <f t="shared" ca="1" si="3952"/>
        <v>0</v>
      </c>
      <c r="BW435" s="52">
        <f t="shared" ca="1" si="3952"/>
        <v>0</v>
      </c>
      <c r="BX435" s="52">
        <f t="shared" ref="BX435:CO435" ca="1" si="3953" xml:space="preserve"> - SUM(BW323,BW324,BW327) * $E435</f>
        <v>0</v>
      </c>
      <c r="BY435" s="52">
        <f t="shared" ca="1" si="3953"/>
        <v>0</v>
      </c>
      <c r="BZ435" s="52">
        <f t="shared" ca="1" si="3953"/>
        <v>0</v>
      </c>
      <c r="CA435" s="52">
        <f t="shared" ca="1" si="3953"/>
        <v>0</v>
      </c>
      <c r="CB435" s="52">
        <f t="shared" ca="1" si="3953"/>
        <v>0</v>
      </c>
      <c r="CC435" s="52">
        <f t="shared" ca="1" si="3953"/>
        <v>0</v>
      </c>
      <c r="CD435" s="52">
        <f t="shared" ca="1" si="3953"/>
        <v>0</v>
      </c>
      <c r="CE435" s="52">
        <f t="shared" ca="1" si="3953"/>
        <v>0</v>
      </c>
      <c r="CF435" s="52">
        <f t="shared" ca="1" si="3953"/>
        <v>0</v>
      </c>
      <c r="CG435" s="52">
        <f t="shared" ca="1" si="3953"/>
        <v>0</v>
      </c>
      <c r="CH435" s="52">
        <f t="shared" ca="1" si="3953"/>
        <v>0</v>
      </c>
      <c r="CI435" s="52">
        <f t="shared" ca="1" si="3953"/>
        <v>0</v>
      </c>
      <c r="CJ435" s="52">
        <f t="shared" ca="1" si="3953"/>
        <v>0</v>
      </c>
      <c r="CK435" s="52">
        <f t="shared" ca="1" si="3953"/>
        <v>0</v>
      </c>
      <c r="CL435" s="52">
        <f t="shared" ca="1" si="3953"/>
        <v>0</v>
      </c>
      <c r="CM435" s="52">
        <f t="shared" ca="1" si="3953"/>
        <v>0</v>
      </c>
      <c r="CN435" s="52">
        <f t="shared" ca="1" si="3953"/>
        <v>0</v>
      </c>
      <c r="CO435" s="52">
        <f t="shared" ca="1" si="3953"/>
        <v>0</v>
      </c>
    </row>
    <row r="436" spans="1:93">
      <c r="A436" s="10"/>
      <c r="B436" s="10"/>
      <c r="C436" s="17" t="s">
        <v>388</v>
      </c>
      <c r="D436" s="10"/>
      <c r="E436" s="62"/>
      <c r="F436" s="11"/>
      <c r="G436" s="134" t="str">
        <f t="shared" si="3865"/>
        <v>тыс. руб.</v>
      </c>
      <c r="H436" s="10"/>
      <c r="I436" s="10"/>
      <c r="J436" s="10"/>
      <c r="K436" s="10"/>
      <c r="L436" s="52">
        <f t="shared" ref="L436" ca="1" si="3954" xml:space="preserve"> L434 + K436</f>
        <v>0</v>
      </c>
      <c r="M436" s="52">
        <f t="shared" ref="M436" ca="1" si="3955" xml:space="preserve"> M434 + L436</f>
        <v>0</v>
      </c>
      <c r="N436" s="52">
        <f t="shared" ref="N436" ca="1" si="3956" xml:space="preserve"> N434 + M436</f>
        <v>0</v>
      </c>
      <c r="O436" s="52">
        <f t="shared" ref="O436" ca="1" si="3957" xml:space="preserve"> O434 + N436</f>
        <v>0</v>
      </c>
      <c r="P436" s="52">
        <f t="shared" ref="P436" ca="1" si="3958" xml:space="preserve"> P434 + O436</f>
        <v>0</v>
      </c>
      <c r="Q436" s="52">
        <f t="shared" ref="Q436" ca="1" si="3959" xml:space="preserve"> Q434 + P436</f>
        <v>0</v>
      </c>
      <c r="R436" s="52">
        <f t="shared" ref="R436" ca="1" si="3960" xml:space="preserve"> R434 + Q436</f>
        <v>0</v>
      </c>
      <c r="S436" s="52">
        <f t="shared" ref="S436" ca="1" si="3961" xml:space="preserve"> S434 + R436</f>
        <v>0</v>
      </c>
      <c r="T436" s="52">
        <f t="shared" ref="T436" ca="1" si="3962" xml:space="preserve"> T434 + S436</f>
        <v>0</v>
      </c>
      <c r="U436" s="52">
        <f t="shared" ref="U436" ca="1" si="3963" xml:space="preserve"> U434 + T436</f>
        <v>0</v>
      </c>
      <c r="V436" s="52">
        <f t="shared" ref="V436" ca="1" si="3964" xml:space="preserve"> V434 + U436</f>
        <v>0</v>
      </c>
      <c r="W436" s="52">
        <f t="shared" ref="W436" ca="1" si="3965" xml:space="preserve"> W434 + V436</f>
        <v>0</v>
      </c>
      <c r="X436" s="52">
        <f t="shared" ref="X436" ca="1" si="3966" xml:space="preserve"> X434 + W436</f>
        <v>0</v>
      </c>
      <c r="Y436" s="52">
        <f t="shared" ref="Y436" ca="1" si="3967" xml:space="preserve"> Y434 + X436</f>
        <v>0</v>
      </c>
      <c r="Z436" s="52">
        <f t="shared" ref="Z436" ca="1" si="3968" xml:space="preserve"> Z434 + Y436</f>
        <v>0</v>
      </c>
      <c r="AA436" s="52">
        <f t="shared" ref="AA436" ca="1" si="3969" xml:space="preserve"> AA434 + Z436</f>
        <v>0</v>
      </c>
      <c r="AB436" s="52">
        <f t="shared" ref="AB436" ca="1" si="3970" xml:space="preserve"> AB434 + AA436</f>
        <v>3683093.3769661123</v>
      </c>
      <c r="AC436" s="52">
        <f t="shared" ref="AC436" ca="1" si="3971" xml:space="preserve"> AC434 + AB436</f>
        <v>3314784.0392695009</v>
      </c>
      <c r="AD436" s="52">
        <f t="shared" ref="AD436" ca="1" si="3972" xml:space="preserve"> AD434 + AC436</f>
        <v>3314784.0392695009</v>
      </c>
      <c r="AE436" s="52">
        <f t="shared" ref="AE436" ca="1" si="3973" xml:space="preserve"> AE434 + AD436</f>
        <v>3314784.0392695009</v>
      </c>
      <c r="AF436" s="52">
        <f t="shared" ref="AF436" ca="1" si="3974" xml:space="preserve"> AF434 + AE436</f>
        <v>3314784.0392695009</v>
      </c>
      <c r="AG436" s="52">
        <f t="shared" ref="AG436" ca="1" si="3975" xml:space="preserve"> AG434 + AF436</f>
        <v>3314784.0392695009</v>
      </c>
      <c r="AH436" s="52">
        <f t="shared" ref="AH436" ca="1" si="3976" xml:space="preserve"> AH434 + AG436</f>
        <v>3314784.0392695009</v>
      </c>
      <c r="AI436" s="52">
        <f t="shared" ref="AI436" ca="1" si="3977" xml:space="preserve"> AI434 + AH436</f>
        <v>3314784.0392695009</v>
      </c>
      <c r="AJ436" s="52">
        <f t="shared" ref="AJ436" ca="1" si="3978" xml:space="preserve"> AJ434 + AI436</f>
        <v>3314784.0392695009</v>
      </c>
      <c r="AK436" s="52">
        <f t="shared" ref="AK436" ca="1" si="3979" xml:space="preserve"> AK434 + AJ436</f>
        <v>3314784.0392695009</v>
      </c>
      <c r="AL436" s="52">
        <f t="shared" ref="AL436" ca="1" si="3980" xml:space="preserve"> AL434 + AK436</f>
        <v>3314784.0392695009</v>
      </c>
      <c r="AM436" s="52">
        <f t="shared" ref="AM436" ca="1" si="3981" xml:space="preserve"> AM434 + AL436</f>
        <v>3314784.0392695009</v>
      </c>
      <c r="AN436" s="52">
        <f t="shared" ref="AN436" ca="1" si="3982" xml:space="preserve"> AN434 + AM436</f>
        <v>3314784.0392695009</v>
      </c>
      <c r="AO436" s="52">
        <f t="shared" ref="AO436" ca="1" si="3983" xml:space="preserve"> AO434 + AN436</f>
        <v>3314784.0392695009</v>
      </c>
      <c r="AP436" s="52">
        <f t="shared" ref="AP436" ca="1" si="3984" xml:space="preserve"> AP434 + AO436</f>
        <v>3314784.0392695009</v>
      </c>
      <c r="AQ436" s="52">
        <f t="shared" ref="AQ436" ca="1" si="3985" xml:space="preserve"> AQ434 + AP436</f>
        <v>3314784.0392695009</v>
      </c>
      <c r="AR436" s="52">
        <f t="shared" ref="AR436" ca="1" si="3986" xml:space="preserve"> AR434 + AQ436</f>
        <v>3314784.0392695009</v>
      </c>
      <c r="AS436" s="52">
        <f t="shared" ref="AS436" ca="1" si="3987" xml:space="preserve"> AS434 + AR436</f>
        <v>3314784.0392695009</v>
      </c>
      <c r="AT436" s="52">
        <f t="shared" ref="AT436" ca="1" si="3988" xml:space="preserve"> AT434 + AS436</f>
        <v>3314784.0392695009</v>
      </c>
      <c r="AU436" s="52">
        <f t="shared" ref="AU436" ca="1" si="3989" xml:space="preserve"> AU434 + AT436</f>
        <v>3314784.0392695009</v>
      </c>
      <c r="AV436" s="52">
        <f t="shared" ref="AV436" ca="1" si="3990" xml:space="preserve"> AV434 + AU436</f>
        <v>3314784.0392695009</v>
      </c>
      <c r="AW436" s="52">
        <f t="shared" ref="AW436" ca="1" si="3991" xml:space="preserve"> AW434 + AV436</f>
        <v>3314784.0392695009</v>
      </c>
      <c r="AX436" s="52">
        <f t="shared" ref="AX436" ca="1" si="3992" xml:space="preserve"> AX434 + AW436</f>
        <v>3314784.0392695009</v>
      </c>
      <c r="AY436" s="52">
        <f t="shared" ref="AY436" ca="1" si="3993" xml:space="preserve"> AY434 + AX436</f>
        <v>3314784.0392695009</v>
      </c>
      <c r="AZ436" s="52">
        <f t="shared" ref="AZ436" ca="1" si="3994" xml:space="preserve"> AZ434 + AY436</f>
        <v>3314784.0392695009</v>
      </c>
      <c r="BA436" s="52">
        <f t="shared" ref="BA436" ca="1" si="3995" xml:space="preserve"> BA434 + AZ436</f>
        <v>3314784.0392695009</v>
      </c>
      <c r="BB436" s="52">
        <f t="shared" ref="BB436" ca="1" si="3996" xml:space="preserve"> BB434 + BA436</f>
        <v>3314784.0392695009</v>
      </c>
      <c r="BC436" s="52">
        <f t="shared" ref="BC436" ca="1" si="3997" xml:space="preserve"> BC434 + BB436</f>
        <v>3314784.0392695009</v>
      </c>
      <c r="BD436" s="52">
        <f t="shared" ref="BD436" ca="1" si="3998" xml:space="preserve"> BD434 + BC436</f>
        <v>3314784.0392695009</v>
      </c>
      <c r="BE436" s="52">
        <f t="shared" ref="BE436" ca="1" si="3999" xml:space="preserve"> BE434 + BD436</f>
        <v>3314784.0392695009</v>
      </c>
      <c r="BF436" s="52">
        <f t="shared" ref="BF436" ca="1" si="4000" xml:space="preserve"> BF434 + BE436</f>
        <v>3314784.0392695009</v>
      </c>
      <c r="BG436" s="52">
        <f t="shared" ref="BG436" ca="1" si="4001" xml:space="preserve"> BG434 + BF436</f>
        <v>3314784.0392695009</v>
      </c>
      <c r="BH436" s="52">
        <f t="shared" ref="BH436" ca="1" si="4002" xml:space="preserve"> BH434 + BG436</f>
        <v>3314784.0392695009</v>
      </c>
      <c r="BI436" s="52">
        <f t="shared" ref="BI436" ca="1" si="4003" xml:space="preserve"> BI434 + BH436</f>
        <v>3314784.0392695009</v>
      </c>
      <c r="BJ436" s="52">
        <f t="shared" ref="BJ436" ca="1" si="4004" xml:space="preserve"> BJ434 + BI436</f>
        <v>3314784.0392695009</v>
      </c>
      <c r="BK436" s="52">
        <f t="shared" ref="BK436" ca="1" si="4005" xml:space="preserve"> BK434 + BJ436</f>
        <v>3314784.0392695009</v>
      </c>
      <c r="BL436" s="52">
        <f t="shared" ref="BL436" ca="1" si="4006" xml:space="preserve"> BL434 + BK436</f>
        <v>3314784.0392695009</v>
      </c>
      <c r="BM436" s="52">
        <f t="shared" ref="BM436" ca="1" si="4007" xml:space="preserve"> BM434 + BL436</f>
        <v>3314784.0392695009</v>
      </c>
      <c r="BN436" s="52">
        <f t="shared" ref="BN436" ca="1" si="4008" xml:space="preserve"> BN434 + BM436</f>
        <v>3314784.0392695009</v>
      </c>
      <c r="BO436" s="52">
        <f t="shared" ref="BO436" ca="1" si="4009" xml:space="preserve"> BO434 + BN436</f>
        <v>3314784.0392695009</v>
      </c>
      <c r="BP436" s="52">
        <f t="shared" ref="BP436" ca="1" si="4010" xml:space="preserve"> BP434 + BO436</f>
        <v>3314784.0392695009</v>
      </c>
      <c r="BQ436" s="52">
        <f t="shared" ref="BQ436" ca="1" si="4011" xml:space="preserve"> BQ434 + BP436</f>
        <v>3314784.0392695009</v>
      </c>
      <c r="BR436" s="52">
        <f t="shared" ref="BR436" ca="1" si="4012" xml:space="preserve"> BR434 + BQ436</f>
        <v>3314784.0392695009</v>
      </c>
      <c r="BS436" s="52">
        <f t="shared" ref="BS436" ca="1" si="4013" xml:space="preserve"> BS434 + BR436</f>
        <v>3314784.0392695009</v>
      </c>
      <c r="BT436" s="52">
        <f t="shared" ref="BT436" ca="1" si="4014" xml:space="preserve"> BT434 + BS436</f>
        <v>3314784.0392695009</v>
      </c>
      <c r="BU436" s="52">
        <f t="shared" ref="BU436" ca="1" si="4015" xml:space="preserve"> BU434 + BT436</f>
        <v>3314784.0392695009</v>
      </c>
      <c r="BV436" s="52">
        <f t="shared" ref="BV436" ca="1" si="4016" xml:space="preserve"> BV434 + BU436</f>
        <v>3314784.0392695009</v>
      </c>
      <c r="BW436" s="52">
        <f t="shared" ref="BW436" ca="1" si="4017" xml:space="preserve"> BW434 + BV436</f>
        <v>3314784.0392695009</v>
      </c>
      <c r="BX436" s="52">
        <f t="shared" ref="BX436" ca="1" si="4018" xml:space="preserve"> BX434 + BW436</f>
        <v>3314784.0392695009</v>
      </c>
      <c r="BY436" s="52">
        <f t="shared" ref="BY436" ca="1" si="4019" xml:space="preserve"> BY434 + BX436</f>
        <v>3314784.0392695009</v>
      </c>
      <c r="BZ436" s="52">
        <f t="shared" ref="BZ436" ca="1" si="4020" xml:space="preserve"> BZ434 + BY436</f>
        <v>3314784.0392695009</v>
      </c>
      <c r="CA436" s="52">
        <f t="shared" ref="CA436" ca="1" si="4021" xml:space="preserve"> CA434 + BZ436</f>
        <v>3314784.0392695009</v>
      </c>
      <c r="CB436" s="52">
        <f t="shared" ref="CB436" ca="1" si="4022" xml:space="preserve"> CB434 + CA436</f>
        <v>3314784.0392695009</v>
      </c>
      <c r="CC436" s="52">
        <f t="shared" ref="CC436" ca="1" si="4023" xml:space="preserve"> CC434 + CB436</f>
        <v>3314784.0392695009</v>
      </c>
      <c r="CD436" s="52">
        <f t="shared" ref="CD436" ca="1" si="4024" xml:space="preserve"> CD434 + CC436</f>
        <v>3314784.0392695009</v>
      </c>
      <c r="CE436" s="52">
        <f t="shared" ref="CE436" ca="1" si="4025" xml:space="preserve"> CE434 + CD436</f>
        <v>3314784.0392695009</v>
      </c>
      <c r="CF436" s="52">
        <f t="shared" ref="CF436" ca="1" si="4026" xml:space="preserve"> CF434 + CE436</f>
        <v>3314784.0392695009</v>
      </c>
      <c r="CG436" s="52">
        <f t="shared" ref="CG436" ca="1" si="4027" xml:space="preserve"> CG434 + CF436</f>
        <v>3314784.0392695009</v>
      </c>
      <c r="CH436" s="52">
        <f t="shared" ref="CH436" ca="1" si="4028" xml:space="preserve"> CH434 + CG436</f>
        <v>3314784.0392695009</v>
      </c>
      <c r="CI436" s="52">
        <f t="shared" ref="CI436" ca="1" si="4029" xml:space="preserve"> CI434 + CH436</f>
        <v>3314784.0392695009</v>
      </c>
      <c r="CJ436" s="52">
        <f t="shared" ref="CJ436" ca="1" si="4030" xml:space="preserve"> CJ434 + CI436</f>
        <v>3314784.0392695009</v>
      </c>
      <c r="CK436" s="52">
        <f t="shared" ref="CK436" ca="1" si="4031" xml:space="preserve"> CK434 + CJ436</f>
        <v>3314784.0392695009</v>
      </c>
      <c r="CL436" s="52">
        <f t="shared" ref="CL436" ca="1" si="4032" xml:space="preserve"> CL434 + CK436</f>
        <v>3314784.0392695009</v>
      </c>
      <c r="CM436" s="52">
        <f t="shared" ref="CM436" ca="1" si="4033" xml:space="preserve"> CM434 + CL436</f>
        <v>3314784.0392695009</v>
      </c>
      <c r="CN436" s="52">
        <f t="shared" ref="CN436" ca="1" si="4034" xml:space="preserve"> CN434 + CM436</f>
        <v>3314784.0392695009</v>
      </c>
      <c r="CO436" s="52">
        <f t="shared" ref="CO436" ca="1" si="4035" xml:space="preserve"> CO434 + CN436</f>
        <v>3314784.0392695009</v>
      </c>
    </row>
    <row r="437" spans="1:93">
      <c r="A437" s="10"/>
      <c r="B437" s="10"/>
      <c r="C437" s="17" t="s">
        <v>389</v>
      </c>
      <c r="D437" s="10"/>
      <c r="E437" s="62"/>
      <c r="F437" s="11"/>
      <c r="G437" s="134" t="str">
        <f t="shared" si="3865"/>
        <v>тыс. руб.</v>
      </c>
      <c r="H437" s="10"/>
      <c r="I437" s="23">
        <f ca="1">SUM(L437:CO437)</f>
        <v>1798577.265751783</v>
      </c>
      <c r="J437" s="10"/>
      <c r="K437" s="10"/>
      <c r="L437" s="52">
        <f ca="1" xml:space="preserve"> MIN((L436-L434)*L432,K439)</f>
        <v>0</v>
      </c>
      <c r="M437" s="52">
        <f t="shared" ref="M437:BX437" ca="1" si="4036" xml:space="preserve"> MIN((M436-M434)*M432,L439)</f>
        <v>0</v>
      </c>
      <c r="N437" s="52">
        <f t="shared" ca="1" si="4036"/>
        <v>0</v>
      </c>
      <c r="O437" s="52">
        <f t="shared" ca="1" si="4036"/>
        <v>0</v>
      </c>
      <c r="P437" s="52">
        <f t="shared" ca="1" si="4036"/>
        <v>0</v>
      </c>
      <c r="Q437" s="52">
        <f t="shared" ca="1" si="4036"/>
        <v>0</v>
      </c>
      <c r="R437" s="52">
        <f t="shared" ca="1" si="4036"/>
        <v>0</v>
      </c>
      <c r="S437" s="52">
        <f t="shared" ca="1" si="4036"/>
        <v>0</v>
      </c>
      <c r="T437" s="52">
        <f t="shared" ca="1" si="4036"/>
        <v>0</v>
      </c>
      <c r="U437" s="52">
        <f t="shared" ca="1" si="4036"/>
        <v>0</v>
      </c>
      <c r="V437" s="52">
        <f t="shared" ca="1" si="4036"/>
        <v>0</v>
      </c>
      <c r="W437" s="52">
        <f t="shared" ca="1" si="4036"/>
        <v>0</v>
      </c>
      <c r="X437" s="52">
        <f t="shared" ca="1" si="4036"/>
        <v>0</v>
      </c>
      <c r="Y437" s="52">
        <f t="shared" ca="1" si="4036"/>
        <v>0</v>
      </c>
      <c r="Z437" s="52">
        <f t="shared" ca="1" si="4036"/>
        <v>0</v>
      </c>
      <c r="AA437" s="52">
        <f t="shared" ca="1" si="4036"/>
        <v>0</v>
      </c>
      <c r="AB437" s="52">
        <f t="shared" ca="1" si="4036"/>
        <v>0</v>
      </c>
      <c r="AC437" s="52">
        <f t="shared" ca="1" si="4036"/>
        <v>30692.444808050936</v>
      </c>
      <c r="AD437" s="52">
        <f t="shared" ca="1" si="4036"/>
        <v>27623.200327245839</v>
      </c>
      <c r="AE437" s="52">
        <f t="shared" ca="1" si="4036"/>
        <v>27623.200327245839</v>
      </c>
      <c r="AF437" s="52">
        <f t="shared" ca="1" si="4036"/>
        <v>27623.200327245839</v>
      </c>
      <c r="AG437" s="52">
        <f t="shared" ca="1" si="4036"/>
        <v>27623.200327245839</v>
      </c>
      <c r="AH437" s="52">
        <f t="shared" ca="1" si="4036"/>
        <v>27623.200327245839</v>
      </c>
      <c r="AI437" s="52">
        <f t="shared" ca="1" si="4036"/>
        <v>27623.200327245839</v>
      </c>
      <c r="AJ437" s="52">
        <f t="shared" ca="1" si="4036"/>
        <v>27623.200327245839</v>
      </c>
      <c r="AK437" s="52">
        <f t="shared" ca="1" si="4036"/>
        <v>27623.200327245839</v>
      </c>
      <c r="AL437" s="52">
        <f t="shared" ca="1" si="4036"/>
        <v>27623.200327245839</v>
      </c>
      <c r="AM437" s="52">
        <f t="shared" ca="1" si="4036"/>
        <v>27623.200327245839</v>
      </c>
      <c r="AN437" s="52">
        <f t="shared" ca="1" si="4036"/>
        <v>27623.200327245839</v>
      </c>
      <c r="AO437" s="52">
        <f t="shared" ca="1" si="4036"/>
        <v>27623.200327245839</v>
      </c>
      <c r="AP437" s="52">
        <f t="shared" ca="1" si="4036"/>
        <v>27623.200327245839</v>
      </c>
      <c r="AQ437" s="52">
        <f t="shared" ca="1" si="4036"/>
        <v>27623.200327245839</v>
      </c>
      <c r="AR437" s="52">
        <f t="shared" ca="1" si="4036"/>
        <v>27623.200327245839</v>
      </c>
      <c r="AS437" s="52">
        <f t="shared" ca="1" si="4036"/>
        <v>27623.200327245839</v>
      </c>
      <c r="AT437" s="52">
        <f t="shared" ca="1" si="4036"/>
        <v>27623.200327245839</v>
      </c>
      <c r="AU437" s="52">
        <f t="shared" ca="1" si="4036"/>
        <v>27623.200327245839</v>
      </c>
      <c r="AV437" s="52">
        <f t="shared" ca="1" si="4036"/>
        <v>27623.200327245839</v>
      </c>
      <c r="AW437" s="52">
        <f t="shared" ca="1" si="4036"/>
        <v>27623.200327245839</v>
      </c>
      <c r="AX437" s="52">
        <f t="shared" ca="1" si="4036"/>
        <v>27623.200327245839</v>
      </c>
      <c r="AY437" s="52">
        <f t="shared" ca="1" si="4036"/>
        <v>27623.200327245839</v>
      </c>
      <c r="AZ437" s="52">
        <f t="shared" ca="1" si="4036"/>
        <v>27623.200327245839</v>
      </c>
      <c r="BA437" s="52">
        <f t="shared" ca="1" si="4036"/>
        <v>27623.200327245839</v>
      </c>
      <c r="BB437" s="52">
        <f t="shared" ca="1" si="4036"/>
        <v>27623.200327245839</v>
      </c>
      <c r="BC437" s="52">
        <f t="shared" ca="1" si="4036"/>
        <v>27623.200327245839</v>
      </c>
      <c r="BD437" s="52">
        <f t="shared" ca="1" si="4036"/>
        <v>27623.200327245839</v>
      </c>
      <c r="BE437" s="52">
        <f t="shared" ca="1" si="4036"/>
        <v>27623.200327245839</v>
      </c>
      <c r="BF437" s="52">
        <f t="shared" ca="1" si="4036"/>
        <v>27623.200327245839</v>
      </c>
      <c r="BG437" s="52">
        <f t="shared" ca="1" si="4036"/>
        <v>27623.200327245839</v>
      </c>
      <c r="BH437" s="52">
        <f t="shared" ca="1" si="4036"/>
        <v>27623.200327245839</v>
      </c>
      <c r="BI437" s="52">
        <f t="shared" ca="1" si="4036"/>
        <v>27623.200327245839</v>
      </c>
      <c r="BJ437" s="52">
        <f t="shared" ca="1" si="4036"/>
        <v>27623.200327245839</v>
      </c>
      <c r="BK437" s="52">
        <f t="shared" ca="1" si="4036"/>
        <v>27623.200327245839</v>
      </c>
      <c r="BL437" s="52">
        <f t="shared" ca="1" si="4036"/>
        <v>27623.200327245839</v>
      </c>
      <c r="BM437" s="52">
        <f t="shared" ca="1" si="4036"/>
        <v>27623.200327245839</v>
      </c>
      <c r="BN437" s="52">
        <f t="shared" ca="1" si="4036"/>
        <v>27623.200327245839</v>
      </c>
      <c r="BO437" s="52">
        <f t="shared" ca="1" si="4036"/>
        <v>27623.200327245839</v>
      </c>
      <c r="BP437" s="52">
        <f t="shared" ca="1" si="4036"/>
        <v>27623.200327245839</v>
      </c>
      <c r="BQ437" s="52">
        <f t="shared" ca="1" si="4036"/>
        <v>27623.200327245839</v>
      </c>
      <c r="BR437" s="52">
        <f t="shared" ca="1" si="4036"/>
        <v>27623.200327245839</v>
      </c>
      <c r="BS437" s="52">
        <f t="shared" ca="1" si="4036"/>
        <v>27623.200327245839</v>
      </c>
      <c r="BT437" s="52">
        <f t="shared" ca="1" si="4036"/>
        <v>27623.200327245839</v>
      </c>
      <c r="BU437" s="52">
        <f t="shared" ca="1" si="4036"/>
        <v>27623.200327245839</v>
      </c>
      <c r="BV437" s="52">
        <f t="shared" ca="1" si="4036"/>
        <v>27623.200327245839</v>
      </c>
      <c r="BW437" s="52">
        <f t="shared" ca="1" si="4036"/>
        <v>27623.200327245839</v>
      </c>
      <c r="BX437" s="52">
        <f t="shared" ca="1" si="4036"/>
        <v>27623.200327245839</v>
      </c>
      <c r="BY437" s="52">
        <f t="shared" ref="BY437:CO437" ca="1" si="4037" xml:space="preserve"> MIN((BY436-BY434)*BY432,BX439)</f>
        <v>27623.200327245839</v>
      </c>
      <c r="BZ437" s="52">
        <f t="shared" ca="1" si="4037"/>
        <v>27623.200327245839</v>
      </c>
      <c r="CA437" s="52">
        <f t="shared" ca="1" si="4037"/>
        <v>27623.200327245839</v>
      </c>
      <c r="CB437" s="52">
        <f t="shared" ca="1" si="4037"/>
        <v>27623.200327245839</v>
      </c>
      <c r="CC437" s="52">
        <f t="shared" ca="1" si="4037"/>
        <v>27623.200327245839</v>
      </c>
      <c r="CD437" s="52">
        <f t="shared" ca="1" si="4037"/>
        <v>27623.200327245839</v>
      </c>
      <c r="CE437" s="52">
        <f t="shared" ca="1" si="4037"/>
        <v>27623.200327245839</v>
      </c>
      <c r="CF437" s="52">
        <f t="shared" ca="1" si="4037"/>
        <v>27623.200327245839</v>
      </c>
      <c r="CG437" s="52">
        <f t="shared" ca="1" si="4037"/>
        <v>27623.200327245839</v>
      </c>
      <c r="CH437" s="52">
        <f t="shared" ca="1" si="4037"/>
        <v>27623.200327245839</v>
      </c>
      <c r="CI437" s="52">
        <f t="shared" ca="1" si="4037"/>
        <v>27623.200327245839</v>
      </c>
      <c r="CJ437" s="52">
        <f t="shared" ca="1" si="4037"/>
        <v>27623.200327245839</v>
      </c>
      <c r="CK437" s="52">
        <f t="shared" ca="1" si="4037"/>
        <v>27623.200327245839</v>
      </c>
      <c r="CL437" s="52">
        <f t="shared" ca="1" si="4037"/>
        <v>27623.200327245839</v>
      </c>
      <c r="CM437" s="52">
        <f t="shared" ca="1" si="4037"/>
        <v>27623.200327245839</v>
      </c>
      <c r="CN437" s="52">
        <f t="shared" ca="1" si="4037"/>
        <v>27623.200327245839</v>
      </c>
      <c r="CO437" s="52">
        <f t="shared" ca="1" si="4037"/>
        <v>27623.200327245839</v>
      </c>
    </row>
    <row r="438" spans="1:93">
      <c r="A438" s="10"/>
      <c r="B438" s="10"/>
      <c r="C438" s="17" t="s">
        <v>127</v>
      </c>
      <c r="D438" s="10"/>
      <c r="E438" s="62"/>
      <c r="F438" s="11"/>
      <c r="G438" s="134" t="str">
        <f t="shared" si="3865"/>
        <v>тыс. руб.</v>
      </c>
      <c r="H438" s="10"/>
      <c r="I438" s="10"/>
      <c r="J438" s="10"/>
      <c r="K438" s="10"/>
      <c r="L438" s="52">
        <f t="shared" ref="L438" ca="1" si="4038" xml:space="preserve"> SUM(K438,-L437)</f>
        <v>0</v>
      </c>
      <c r="M438" s="52">
        <f t="shared" ref="M438" ca="1" si="4039" xml:space="preserve"> SUM(L438,-M437)</f>
        <v>0</v>
      </c>
      <c r="N438" s="52">
        <f t="shared" ref="N438" ca="1" si="4040" xml:space="preserve"> SUM(M438,-N437)</f>
        <v>0</v>
      </c>
      <c r="O438" s="52">
        <f t="shared" ref="O438" ca="1" si="4041" xml:space="preserve"> SUM(N438,-O437)</f>
        <v>0</v>
      </c>
      <c r="P438" s="52">
        <f t="shared" ref="P438" ca="1" si="4042" xml:space="preserve"> SUM(O438,-P437)</f>
        <v>0</v>
      </c>
      <c r="Q438" s="52">
        <f t="shared" ref="Q438" ca="1" si="4043" xml:space="preserve"> SUM(P438,-Q437)</f>
        <v>0</v>
      </c>
      <c r="R438" s="52">
        <f t="shared" ref="R438" ca="1" si="4044" xml:space="preserve"> SUM(Q438,-R437)</f>
        <v>0</v>
      </c>
      <c r="S438" s="52">
        <f t="shared" ref="S438" ca="1" si="4045" xml:space="preserve"> SUM(R438,-S437)</f>
        <v>0</v>
      </c>
      <c r="T438" s="52">
        <f t="shared" ref="T438" ca="1" si="4046" xml:space="preserve"> SUM(S438,-T437)</f>
        <v>0</v>
      </c>
      <c r="U438" s="52">
        <f t="shared" ref="U438" ca="1" si="4047" xml:space="preserve"> SUM(T438,-U437)</f>
        <v>0</v>
      </c>
      <c r="V438" s="52">
        <f t="shared" ref="V438" ca="1" si="4048" xml:space="preserve"> SUM(U438,-V437)</f>
        <v>0</v>
      </c>
      <c r="W438" s="52">
        <f t="shared" ref="W438" ca="1" si="4049" xml:space="preserve"> SUM(V438,-W437)</f>
        <v>0</v>
      </c>
      <c r="X438" s="52">
        <f t="shared" ref="X438" ca="1" si="4050" xml:space="preserve"> SUM(W438,-X437)</f>
        <v>0</v>
      </c>
      <c r="Y438" s="52">
        <f t="shared" ref="Y438" ca="1" si="4051" xml:space="preserve"> SUM(X438,-Y437)</f>
        <v>0</v>
      </c>
      <c r="Z438" s="52">
        <f t="shared" ref="Z438" ca="1" si="4052" xml:space="preserve"> SUM(Y438,-Z437)</f>
        <v>0</v>
      </c>
      <c r="AA438" s="52">
        <f t="shared" ref="AA438" ca="1" si="4053" xml:space="preserve"> SUM(Z438,-AA437)</f>
        <v>0</v>
      </c>
      <c r="AB438" s="52">
        <f t="shared" ref="AB438" ca="1" si="4054" xml:space="preserve"> SUM(AA438,-AB437)</f>
        <v>0</v>
      </c>
      <c r="AC438" s="52">
        <f t="shared" ref="AC438" ca="1" si="4055" xml:space="preserve"> SUM(AB438,-AC437)</f>
        <v>-30692.444808050936</v>
      </c>
      <c r="AD438" s="52">
        <f t="shared" ref="AD438" ca="1" si="4056" xml:space="preserve"> SUM(AC438,-AD437)</f>
        <v>-58315.645135296771</v>
      </c>
      <c r="AE438" s="52">
        <f t="shared" ref="AE438" ca="1" si="4057" xml:space="preserve"> SUM(AD438,-AE437)</f>
        <v>-85938.845462542609</v>
      </c>
      <c r="AF438" s="52">
        <f t="shared" ref="AF438" ca="1" si="4058" xml:space="preserve"> SUM(AE438,-AF437)</f>
        <v>-113562.04578978845</v>
      </c>
      <c r="AG438" s="52">
        <f t="shared" ref="AG438" ca="1" si="4059" xml:space="preserve"> SUM(AF438,-AG437)</f>
        <v>-141185.24611703429</v>
      </c>
      <c r="AH438" s="52">
        <f t="shared" ref="AH438" ca="1" si="4060" xml:space="preserve"> SUM(AG438,-AH437)</f>
        <v>-168808.44644428013</v>
      </c>
      <c r="AI438" s="52">
        <f t="shared" ref="AI438" ca="1" si="4061" xml:space="preserve"> SUM(AH438,-AI437)</f>
        <v>-196431.64677152596</v>
      </c>
      <c r="AJ438" s="52">
        <f t="shared" ref="AJ438" ca="1" si="4062" xml:space="preserve"> SUM(AI438,-AJ437)</f>
        <v>-224054.8470987718</v>
      </c>
      <c r="AK438" s="52">
        <f t="shared" ref="AK438" ca="1" si="4063" xml:space="preserve"> SUM(AJ438,-AK437)</f>
        <v>-251678.04742601764</v>
      </c>
      <c r="AL438" s="52">
        <f t="shared" ref="AL438" ca="1" si="4064" xml:space="preserve"> SUM(AK438,-AL437)</f>
        <v>-279301.24775326345</v>
      </c>
      <c r="AM438" s="52">
        <f t="shared" ref="AM438" ca="1" si="4065" xml:space="preserve"> SUM(AL438,-AM437)</f>
        <v>-306924.44808050932</v>
      </c>
      <c r="AN438" s="52">
        <f t="shared" ref="AN438" ca="1" si="4066" xml:space="preserve"> SUM(AM438,-AN437)</f>
        <v>-334547.64840775519</v>
      </c>
      <c r="AO438" s="52">
        <f t="shared" ref="AO438" ca="1" si="4067" xml:space="preserve"> SUM(AN438,-AO437)</f>
        <v>-362170.84873500105</v>
      </c>
      <c r="AP438" s="52">
        <f t="shared" ref="AP438" ca="1" si="4068" xml:space="preserve"> SUM(AO438,-AP437)</f>
        <v>-389794.04906224692</v>
      </c>
      <c r="AQ438" s="52">
        <f t="shared" ref="AQ438" ca="1" si="4069" xml:space="preserve"> SUM(AP438,-AQ437)</f>
        <v>-417417.24938949279</v>
      </c>
      <c r="AR438" s="52">
        <f t="shared" ref="AR438" ca="1" si="4070" xml:space="preserve"> SUM(AQ438,-AR437)</f>
        <v>-445040.44971673866</v>
      </c>
      <c r="AS438" s="52">
        <f t="shared" ref="AS438" ca="1" si="4071" xml:space="preserve"> SUM(AR438,-AS437)</f>
        <v>-472663.65004398453</v>
      </c>
      <c r="AT438" s="52">
        <f t="shared" ref="AT438" ca="1" si="4072" xml:space="preserve"> SUM(AS438,-AT437)</f>
        <v>-500286.85037123039</v>
      </c>
      <c r="AU438" s="52">
        <f t="shared" ref="AU438" ca="1" si="4073" xml:space="preserve"> SUM(AT438,-AU437)</f>
        <v>-527910.05069847626</v>
      </c>
      <c r="AV438" s="52">
        <f t="shared" ref="AV438" ca="1" si="4074" xml:space="preserve"> SUM(AU438,-AV437)</f>
        <v>-555533.25102572213</v>
      </c>
      <c r="AW438" s="52">
        <f t="shared" ref="AW438" ca="1" si="4075" xml:space="preserve"> SUM(AV438,-AW437)</f>
        <v>-583156.451352968</v>
      </c>
      <c r="AX438" s="52">
        <f t="shared" ref="AX438" ca="1" si="4076" xml:space="preserve"> SUM(AW438,-AX437)</f>
        <v>-610779.65168021386</v>
      </c>
      <c r="AY438" s="52">
        <f t="shared" ref="AY438" ca="1" si="4077" xml:space="preserve"> SUM(AX438,-AY437)</f>
        <v>-638402.85200745973</v>
      </c>
      <c r="AZ438" s="52">
        <f t="shared" ref="AZ438" ca="1" si="4078" xml:space="preserve"> SUM(AY438,-AZ437)</f>
        <v>-666026.0523347056</v>
      </c>
      <c r="BA438" s="52">
        <f t="shared" ref="BA438" ca="1" si="4079" xml:space="preserve"> SUM(AZ438,-BA437)</f>
        <v>-693649.25266195147</v>
      </c>
      <c r="BB438" s="52">
        <f t="shared" ref="BB438" ca="1" si="4080" xml:space="preserve"> SUM(BA438,-BB437)</f>
        <v>-721272.45298919734</v>
      </c>
      <c r="BC438" s="52">
        <f t="shared" ref="BC438" ca="1" si="4081" xml:space="preserve"> SUM(BB438,-BC437)</f>
        <v>-748895.6533164432</v>
      </c>
      <c r="BD438" s="52">
        <f t="shared" ref="BD438" ca="1" si="4082" xml:space="preserve"> SUM(BC438,-BD437)</f>
        <v>-776518.85364368907</v>
      </c>
      <c r="BE438" s="52">
        <f t="shared" ref="BE438" ca="1" si="4083" xml:space="preserve"> SUM(BD438,-BE437)</f>
        <v>-804142.05397093494</v>
      </c>
      <c r="BF438" s="52">
        <f t="shared" ref="BF438" ca="1" si="4084" xml:space="preserve"> SUM(BE438,-BF437)</f>
        <v>-831765.25429818081</v>
      </c>
      <c r="BG438" s="52">
        <f t="shared" ref="BG438" ca="1" si="4085" xml:space="preserve"> SUM(BF438,-BG437)</f>
        <v>-859388.45462542668</v>
      </c>
      <c r="BH438" s="52">
        <f t="shared" ref="BH438" ca="1" si="4086" xml:space="preserve"> SUM(BG438,-BH437)</f>
        <v>-887011.65495267254</v>
      </c>
      <c r="BI438" s="52">
        <f t="shared" ref="BI438" ca="1" si="4087" xml:space="preserve"> SUM(BH438,-BI437)</f>
        <v>-914634.85527991841</v>
      </c>
      <c r="BJ438" s="52">
        <f t="shared" ref="BJ438" ca="1" si="4088" xml:space="preserve"> SUM(BI438,-BJ437)</f>
        <v>-942258.05560716428</v>
      </c>
      <c r="BK438" s="52">
        <f t="shared" ref="BK438" ca="1" si="4089" xml:space="preserve"> SUM(BJ438,-BK437)</f>
        <v>-969881.25593441015</v>
      </c>
      <c r="BL438" s="52">
        <f t="shared" ref="BL438" ca="1" si="4090" xml:space="preserve"> SUM(BK438,-BL437)</f>
        <v>-997504.45626165601</v>
      </c>
      <c r="BM438" s="52">
        <f t="shared" ref="BM438" ca="1" si="4091" xml:space="preserve"> SUM(BL438,-BM437)</f>
        <v>-1025127.6565889019</v>
      </c>
      <c r="BN438" s="52">
        <f t="shared" ref="BN438" ca="1" si="4092" xml:space="preserve"> SUM(BM438,-BN437)</f>
        <v>-1052750.8569161477</v>
      </c>
      <c r="BO438" s="52">
        <f t="shared" ref="BO438" ca="1" si="4093" xml:space="preserve"> SUM(BN438,-BO437)</f>
        <v>-1080374.0572433935</v>
      </c>
      <c r="BP438" s="52">
        <f t="shared" ref="BP438" ca="1" si="4094" xml:space="preserve"> SUM(BO438,-BP437)</f>
        <v>-1107997.2575706393</v>
      </c>
      <c r="BQ438" s="52">
        <f t="shared" ref="BQ438" ca="1" si="4095" xml:space="preserve"> SUM(BP438,-BQ437)</f>
        <v>-1135620.457897885</v>
      </c>
      <c r="BR438" s="52">
        <f t="shared" ref="BR438" ca="1" si="4096" xml:space="preserve"> SUM(BQ438,-BR437)</f>
        <v>-1163243.6582251308</v>
      </c>
      <c r="BS438" s="52">
        <f t="shared" ref="BS438" ca="1" si="4097" xml:space="preserve"> SUM(BR438,-BS437)</f>
        <v>-1190866.8585523765</v>
      </c>
      <c r="BT438" s="52">
        <f t="shared" ref="BT438" ca="1" si="4098" xml:space="preserve"> SUM(BS438,-BT437)</f>
        <v>-1218490.0588796223</v>
      </c>
      <c r="BU438" s="52">
        <f t="shared" ref="BU438" ca="1" si="4099" xml:space="preserve"> SUM(BT438,-BU437)</f>
        <v>-1246113.259206868</v>
      </c>
      <c r="BV438" s="52">
        <f t="shared" ref="BV438" ca="1" si="4100" xml:space="preserve"> SUM(BU438,-BV437)</f>
        <v>-1273736.4595341138</v>
      </c>
      <c r="BW438" s="52">
        <f t="shared" ref="BW438" ca="1" si="4101" xml:space="preserve"> SUM(BV438,-BW437)</f>
        <v>-1301359.6598613595</v>
      </c>
      <c r="BX438" s="52">
        <f t="shared" ref="BX438" ca="1" si="4102" xml:space="preserve"> SUM(BW438,-BX437)</f>
        <v>-1328982.8601886053</v>
      </c>
      <c r="BY438" s="52">
        <f t="shared" ref="BY438" ca="1" si="4103" xml:space="preserve"> SUM(BX438,-BY437)</f>
        <v>-1356606.060515851</v>
      </c>
      <c r="BZ438" s="52">
        <f t="shared" ref="BZ438" ca="1" si="4104" xml:space="preserve"> SUM(BY438,-BZ437)</f>
        <v>-1384229.2608430968</v>
      </c>
      <c r="CA438" s="52">
        <f t="shared" ref="CA438" ca="1" si="4105" xml:space="preserve"> SUM(BZ438,-CA437)</f>
        <v>-1411852.4611703425</v>
      </c>
      <c r="CB438" s="52">
        <f t="shared" ref="CB438" ca="1" si="4106" xml:space="preserve"> SUM(CA438,-CB437)</f>
        <v>-1439475.6614975883</v>
      </c>
      <c r="CC438" s="52">
        <f t="shared" ref="CC438" ca="1" si="4107" xml:space="preserve"> SUM(CB438,-CC437)</f>
        <v>-1467098.861824834</v>
      </c>
      <c r="CD438" s="52">
        <f t="shared" ref="CD438" ca="1" si="4108" xml:space="preserve"> SUM(CC438,-CD437)</f>
        <v>-1494722.0621520798</v>
      </c>
      <c r="CE438" s="52">
        <f t="shared" ref="CE438" ca="1" si="4109" xml:space="preserve"> SUM(CD438,-CE437)</f>
        <v>-1522345.2624793255</v>
      </c>
      <c r="CF438" s="52">
        <f t="shared" ref="CF438" ca="1" si="4110" xml:space="preserve"> SUM(CE438,-CF437)</f>
        <v>-1549968.4628065713</v>
      </c>
      <c r="CG438" s="52">
        <f t="shared" ref="CG438" ca="1" si="4111" xml:space="preserve"> SUM(CF438,-CG437)</f>
        <v>-1577591.663133817</v>
      </c>
      <c r="CH438" s="52">
        <f t="shared" ref="CH438" ca="1" si="4112" xml:space="preserve"> SUM(CG438,-CH437)</f>
        <v>-1605214.8634610628</v>
      </c>
      <c r="CI438" s="52">
        <f t="shared" ref="CI438" ca="1" si="4113" xml:space="preserve"> SUM(CH438,-CI437)</f>
        <v>-1632838.0637883085</v>
      </c>
      <c r="CJ438" s="52">
        <f t="shared" ref="CJ438" ca="1" si="4114" xml:space="preserve"> SUM(CI438,-CJ437)</f>
        <v>-1660461.2641155543</v>
      </c>
      <c r="CK438" s="52">
        <f t="shared" ref="CK438" ca="1" si="4115" xml:space="preserve"> SUM(CJ438,-CK437)</f>
        <v>-1688084.4644428</v>
      </c>
      <c r="CL438" s="52">
        <f t="shared" ref="CL438" ca="1" si="4116" xml:space="preserve"> SUM(CK438,-CL437)</f>
        <v>-1715707.6647700458</v>
      </c>
      <c r="CM438" s="52">
        <f t="shared" ref="CM438" ca="1" si="4117" xml:space="preserve"> SUM(CL438,-CM437)</f>
        <v>-1743330.8650972915</v>
      </c>
      <c r="CN438" s="52">
        <f t="shared" ref="CN438" ca="1" si="4118" xml:space="preserve"> SUM(CM438,-CN437)</f>
        <v>-1770954.0654245373</v>
      </c>
      <c r="CO438" s="52">
        <f t="shared" ref="CO438" ca="1" si="4119" xml:space="preserve"> SUM(CN438,-CO437)</f>
        <v>-1798577.265751783</v>
      </c>
    </row>
    <row r="439" spans="1:93">
      <c r="A439" s="10"/>
      <c r="B439" s="10"/>
      <c r="C439" s="17" t="s">
        <v>128</v>
      </c>
      <c r="D439" s="10"/>
      <c r="E439" s="62"/>
      <c r="F439" s="11"/>
      <c r="G439" s="134" t="str">
        <f t="shared" si="3865"/>
        <v>тыс. руб.</v>
      </c>
      <c r="H439" s="10"/>
      <c r="I439" s="10"/>
      <c r="J439" s="10"/>
      <c r="K439" s="10"/>
      <c r="L439" s="52">
        <f t="shared" ref="L439:R439" ca="1" si="4120" xml:space="preserve"> SUM(L436,L438)</f>
        <v>0</v>
      </c>
      <c r="M439" s="52">
        <f t="shared" ca="1" si="4120"/>
        <v>0</v>
      </c>
      <c r="N439" s="52">
        <f t="shared" ca="1" si="4120"/>
        <v>0</v>
      </c>
      <c r="O439" s="52">
        <f t="shared" ca="1" si="4120"/>
        <v>0</v>
      </c>
      <c r="P439" s="52">
        <f t="shared" ca="1" si="4120"/>
        <v>0</v>
      </c>
      <c r="Q439" s="52">
        <f t="shared" ca="1" si="4120"/>
        <v>0</v>
      </c>
      <c r="R439" s="52">
        <f t="shared" ca="1" si="4120"/>
        <v>0</v>
      </c>
      <c r="S439" s="52">
        <f t="shared" ref="S439:CD439" ca="1" si="4121" xml:space="preserve"> SUM(S436,S438)</f>
        <v>0</v>
      </c>
      <c r="T439" s="52">
        <f t="shared" ca="1" si="4121"/>
        <v>0</v>
      </c>
      <c r="U439" s="52">
        <f t="shared" ca="1" si="4121"/>
        <v>0</v>
      </c>
      <c r="V439" s="52">
        <f t="shared" ca="1" si="4121"/>
        <v>0</v>
      </c>
      <c r="W439" s="52">
        <f t="shared" ca="1" si="4121"/>
        <v>0</v>
      </c>
      <c r="X439" s="52">
        <f t="shared" ca="1" si="4121"/>
        <v>0</v>
      </c>
      <c r="Y439" s="52">
        <f t="shared" ca="1" si="4121"/>
        <v>0</v>
      </c>
      <c r="Z439" s="52">
        <f t="shared" ca="1" si="4121"/>
        <v>0</v>
      </c>
      <c r="AA439" s="52">
        <f t="shared" ca="1" si="4121"/>
        <v>0</v>
      </c>
      <c r="AB439" s="52">
        <f t="shared" ca="1" si="4121"/>
        <v>3683093.3769661123</v>
      </c>
      <c r="AC439" s="52">
        <f t="shared" ca="1" si="4121"/>
        <v>3284091.5944614499</v>
      </c>
      <c r="AD439" s="52">
        <f t="shared" ca="1" si="4121"/>
        <v>3256468.3941342039</v>
      </c>
      <c r="AE439" s="52">
        <f t="shared" ca="1" si="4121"/>
        <v>3228845.1938069584</v>
      </c>
      <c r="AF439" s="52">
        <f t="shared" ca="1" si="4121"/>
        <v>3201221.9934797124</v>
      </c>
      <c r="AG439" s="52">
        <f t="shared" ca="1" si="4121"/>
        <v>3173598.7931524664</v>
      </c>
      <c r="AH439" s="52">
        <f t="shared" ca="1" si="4121"/>
        <v>3145975.5928252209</v>
      </c>
      <c r="AI439" s="52">
        <f t="shared" ca="1" si="4121"/>
        <v>3118352.3924979749</v>
      </c>
      <c r="AJ439" s="52">
        <f t="shared" ca="1" si="4121"/>
        <v>3090729.1921707289</v>
      </c>
      <c r="AK439" s="52">
        <f t="shared" ca="1" si="4121"/>
        <v>3063105.9918434834</v>
      </c>
      <c r="AL439" s="52">
        <f t="shared" ca="1" si="4121"/>
        <v>3035482.7915162374</v>
      </c>
      <c r="AM439" s="52">
        <f t="shared" ca="1" si="4121"/>
        <v>3007859.5911889914</v>
      </c>
      <c r="AN439" s="52">
        <f t="shared" ca="1" si="4121"/>
        <v>2980236.3908617459</v>
      </c>
      <c r="AO439" s="52">
        <f t="shared" ca="1" si="4121"/>
        <v>2952613.1905344999</v>
      </c>
      <c r="AP439" s="52">
        <f t="shared" ca="1" si="4121"/>
        <v>2924989.990207254</v>
      </c>
      <c r="AQ439" s="52">
        <f t="shared" ca="1" si="4121"/>
        <v>2897366.789880008</v>
      </c>
      <c r="AR439" s="52">
        <f t="shared" ca="1" si="4121"/>
        <v>2869743.589552762</v>
      </c>
      <c r="AS439" s="52">
        <f t="shared" ca="1" si="4121"/>
        <v>2842120.3892255165</v>
      </c>
      <c r="AT439" s="52">
        <f t="shared" ca="1" si="4121"/>
        <v>2814497.1888982705</v>
      </c>
      <c r="AU439" s="52">
        <f t="shared" ca="1" si="4121"/>
        <v>2786873.9885710245</v>
      </c>
      <c r="AV439" s="52">
        <f t="shared" ca="1" si="4121"/>
        <v>2759250.788243779</v>
      </c>
      <c r="AW439" s="52">
        <f t="shared" ca="1" si="4121"/>
        <v>2731627.587916533</v>
      </c>
      <c r="AX439" s="52">
        <f t="shared" ca="1" si="4121"/>
        <v>2704004.387589287</v>
      </c>
      <c r="AY439" s="52">
        <f t="shared" ca="1" si="4121"/>
        <v>2676381.187262041</v>
      </c>
      <c r="AZ439" s="52">
        <f t="shared" ca="1" si="4121"/>
        <v>2648757.986934795</v>
      </c>
      <c r="BA439" s="52">
        <f t="shared" ca="1" si="4121"/>
        <v>2621134.7866075495</v>
      </c>
      <c r="BB439" s="52">
        <f t="shared" ca="1" si="4121"/>
        <v>2593511.5862803035</v>
      </c>
      <c r="BC439" s="52">
        <f t="shared" ca="1" si="4121"/>
        <v>2565888.3859530576</v>
      </c>
      <c r="BD439" s="52">
        <f t="shared" ca="1" si="4121"/>
        <v>2538265.185625812</v>
      </c>
      <c r="BE439" s="52">
        <f t="shared" ca="1" si="4121"/>
        <v>2510641.9852985661</v>
      </c>
      <c r="BF439" s="52">
        <f t="shared" ca="1" si="4121"/>
        <v>2483018.7849713201</v>
      </c>
      <c r="BG439" s="52">
        <f t="shared" ca="1" si="4121"/>
        <v>2455395.5846440741</v>
      </c>
      <c r="BH439" s="52">
        <f t="shared" ca="1" si="4121"/>
        <v>2427772.3843168281</v>
      </c>
      <c r="BI439" s="52">
        <f t="shared" ca="1" si="4121"/>
        <v>2400149.1839895826</v>
      </c>
      <c r="BJ439" s="52">
        <f t="shared" ca="1" si="4121"/>
        <v>2372525.9836623366</v>
      </c>
      <c r="BK439" s="52">
        <f t="shared" ca="1" si="4121"/>
        <v>2344902.7833350906</v>
      </c>
      <c r="BL439" s="52">
        <f t="shared" ca="1" si="4121"/>
        <v>2317279.5830078451</v>
      </c>
      <c r="BM439" s="52">
        <f t="shared" ca="1" si="4121"/>
        <v>2289656.3826805991</v>
      </c>
      <c r="BN439" s="52">
        <f t="shared" ca="1" si="4121"/>
        <v>2262033.1823533531</v>
      </c>
      <c r="BO439" s="52">
        <f t="shared" ca="1" si="4121"/>
        <v>2234409.9820261076</v>
      </c>
      <c r="BP439" s="52">
        <f t="shared" ca="1" si="4121"/>
        <v>2206786.7816988616</v>
      </c>
      <c r="BQ439" s="52">
        <f t="shared" ca="1" si="4121"/>
        <v>2179163.5813716156</v>
      </c>
      <c r="BR439" s="52">
        <f t="shared" ca="1" si="4121"/>
        <v>2151540.3810443701</v>
      </c>
      <c r="BS439" s="52">
        <f t="shared" ca="1" si="4121"/>
        <v>2123917.1807171246</v>
      </c>
      <c r="BT439" s="52">
        <f t="shared" ca="1" si="4121"/>
        <v>2096293.9803898786</v>
      </c>
      <c r="BU439" s="52">
        <f t="shared" ca="1" si="4121"/>
        <v>2068670.7800626329</v>
      </c>
      <c r="BV439" s="52">
        <f t="shared" ca="1" si="4121"/>
        <v>2041047.5797353871</v>
      </c>
      <c r="BW439" s="52">
        <f t="shared" ca="1" si="4121"/>
        <v>2013424.3794081414</v>
      </c>
      <c r="BX439" s="52">
        <f t="shared" ca="1" si="4121"/>
        <v>1985801.1790808956</v>
      </c>
      <c r="BY439" s="52">
        <f t="shared" ca="1" si="4121"/>
        <v>1958177.9787536499</v>
      </c>
      <c r="BZ439" s="52">
        <f t="shared" ca="1" si="4121"/>
        <v>1930554.7784264041</v>
      </c>
      <c r="CA439" s="52">
        <f t="shared" ca="1" si="4121"/>
        <v>1902931.5780991584</v>
      </c>
      <c r="CB439" s="52">
        <f t="shared" ca="1" si="4121"/>
        <v>1875308.3777719126</v>
      </c>
      <c r="CC439" s="52">
        <f t="shared" ca="1" si="4121"/>
        <v>1847685.1774446669</v>
      </c>
      <c r="CD439" s="52">
        <f t="shared" ca="1" si="4121"/>
        <v>1820061.9771174211</v>
      </c>
      <c r="CE439" s="52">
        <f t="shared" ref="CE439:CO439" ca="1" si="4122" xml:space="preserve"> SUM(CE436,CE438)</f>
        <v>1792438.7767901754</v>
      </c>
      <c r="CF439" s="52">
        <f t="shared" ca="1" si="4122"/>
        <v>1764815.5764629296</v>
      </c>
      <c r="CG439" s="52">
        <f t="shared" ca="1" si="4122"/>
        <v>1737192.3761356839</v>
      </c>
      <c r="CH439" s="52">
        <f t="shared" ca="1" si="4122"/>
        <v>1709569.1758084381</v>
      </c>
      <c r="CI439" s="52">
        <f t="shared" ca="1" si="4122"/>
        <v>1681945.9754811923</v>
      </c>
      <c r="CJ439" s="52">
        <f t="shared" ca="1" si="4122"/>
        <v>1654322.7751539466</v>
      </c>
      <c r="CK439" s="52">
        <f t="shared" ca="1" si="4122"/>
        <v>1626699.5748267008</v>
      </c>
      <c r="CL439" s="52">
        <f t="shared" ca="1" si="4122"/>
        <v>1599076.3744994551</v>
      </c>
      <c r="CM439" s="52">
        <f t="shared" ca="1" si="4122"/>
        <v>1571453.1741722093</v>
      </c>
      <c r="CN439" s="52">
        <f t="shared" ca="1" si="4122"/>
        <v>1543829.9738449636</v>
      </c>
      <c r="CO439" s="52">
        <f t="shared" ca="1" si="4122"/>
        <v>1516206.7735177178</v>
      </c>
    </row>
    <row r="440" spans="1:93">
      <c r="A440" s="10"/>
      <c r="B440" s="10"/>
      <c r="C440" s="17"/>
      <c r="D440" s="10"/>
      <c r="E440" s="62"/>
      <c r="F440" s="11"/>
      <c r="G440" s="11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  <c r="CD440" s="10"/>
      <c r="CE440" s="10"/>
      <c r="CF440" s="10"/>
      <c r="CG440" s="10"/>
      <c r="CH440" s="10"/>
      <c r="CI440" s="10"/>
      <c r="CJ440" s="10"/>
      <c r="CK440" s="10"/>
      <c r="CL440" s="10"/>
      <c r="CM440" s="10"/>
      <c r="CN440" s="10"/>
      <c r="CO440" s="10"/>
    </row>
    <row r="441" spans="1:93">
      <c r="A441" s="10"/>
      <c r="B441" s="10"/>
      <c r="C441" s="87" t="s">
        <v>635</v>
      </c>
      <c r="D441" s="10"/>
      <c r="E441" s="10"/>
      <c r="F441" s="10"/>
      <c r="G441" s="11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  <c r="CD441" s="10"/>
      <c r="CE441" s="10"/>
      <c r="CF441" s="10"/>
      <c r="CG441" s="10"/>
      <c r="CH441" s="10"/>
      <c r="CI441" s="10"/>
      <c r="CJ441" s="10"/>
      <c r="CK441" s="10"/>
      <c r="CL441" s="10"/>
      <c r="CM441" s="10"/>
      <c r="CN441" s="10"/>
      <c r="CO441" s="10"/>
    </row>
    <row r="442" spans="1:93">
      <c r="A442" s="10"/>
      <c r="B442" s="10"/>
      <c r="C442" s="17" t="s">
        <v>386</v>
      </c>
      <c r="D442" s="10"/>
      <c r="E442" s="184">
        <f xml:space="preserve"> Предпосылки!E372</f>
        <v>7</v>
      </c>
      <c r="F442" s="11"/>
      <c r="G442" s="11" t="s">
        <v>123</v>
      </c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  <c r="CD442" s="10"/>
      <c r="CE442" s="10"/>
      <c r="CF442" s="10"/>
      <c r="CG442" s="10"/>
      <c r="CH442" s="10"/>
      <c r="CI442" s="10"/>
      <c r="CJ442" s="10"/>
      <c r="CK442" s="10"/>
      <c r="CL442" s="10"/>
      <c r="CM442" s="10"/>
      <c r="CN442" s="10"/>
      <c r="CO442" s="10"/>
    </row>
    <row r="443" spans="1:93">
      <c r="A443" s="10"/>
      <c r="B443" s="10"/>
      <c r="C443" s="17" t="s">
        <v>387</v>
      </c>
      <c r="D443" s="10"/>
      <c r="E443" s="182"/>
      <c r="F443" s="11"/>
      <c r="G443" s="11" t="s">
        <v>28</v>
      </c>
      <c r="H443" s="10"/>
      <c r="I443" s="10"/>
      <c r="J443" s="10"/>
      <c r="K443" s="10"/>
      <c r="L443" s="157">
        <f t="shared" ref="L443:R443" si="4123" xml:space="preserve"> IF($E442&lt;&gt;0,1/$E442,0)/Periods_in_Year</f>
        <v>3.5714285714285712E-2</v>
      </c>
      <c r="M443" s="157">
        <f t="shared" si="4123"/>
        <v>3.5714285714285712E-2</v>
      </c>
      <c r="N443" s="157">
        <f t="shared" si="4123"/>
        <v>3.5714285714285712E-2</v>
      </c>
      <c r="O443" s="157">
        <f t="shared" si="4123"/>
        <v>3.5714285714285712E-2</v>
      </c>
      <c r="P443" s="157">
        <f t="shared" si="4123"/>
        <v>3.5714285714285712E-2</v>
      </c>
      <c r="Q443" s="157">
        <f t="shared" si="4123"/>
        <v>3.5714285714285712E-2</v>
      </c>
      <c r="R443" s="157">
        <f t="shared" si="4123"/>
        <v>3.5714285714285712E-2</v>
      </c>
      <c r="S443" s="157">
        <f t="shared" ref="S443:CD443" si="4124" xml:space="preserve"> IF($E442&lt;&gt;0,1/$E442,0)/Periods_in_Year</f>
        <v>3.5714285714285712E-2</v>
      </c>
      <c r="T443" s="157">
        <f t="shared" si="4124"/>
        <v>3.5714285714285712E-2</v>
      </c>
      <c r="U443" s="157">
        <f t="shared" si="4124"/>
        <v>3.5714285714285712E-2</v>
      </c>
      <c r="V443" s="157">
        <f t="shared" si="4124"/>
        <v>3.5714285714285712E-2</v>
      </c>
      <c r="W443" s="157">
        <f t="shared" si="4124"/>
        <v>3.5714285714285712E-2</v>
      </c>
      <c r="X443" s="157">
        <f t="shared" si="4124"/>
        <v>3.5714285714285712E-2</v>
      </c>
      <c r="Y443" s="157">
        <f t="shared" si="4124"/>
        <v>3.5714285714285712E-2</v>
      </c>
      <c r="Z443" s="157">
        <f t="shared" si="4124"/>
        <v>3.5714285714285712E-2</v>
      </c>
      <c r="AA443" s="157">
        <f t="shared" si="4124"/>
        <v>3.5714285714285712E-2</v>
      </c>
      <c r="AB443" s="157">
        <f t="shared" si="4124"/>
        <v>3.5714285714285712E-2</v>
      </c>
      <c r="AC443" s="157">
        <f t="shared" si="4124"/>
        <v>3.5714285714285712E-2</v>
      </c>
      <c r="AD443" s="157">
        <f t="shared" si="4124"/>
        <v>3.5714285714285712E-2</v>
      </c>
      <c r="AE443" s="157">
        <f t="shared" si="4124"/>
        <v>3.5714285714285712E-2</v>
      </c>
      <c r="AF443" s="157">
        <f t="shared" si="4124"/>
        <v>3.5714285714285712E-2</v>
      </c>
      <c r="AG443" s="157">
        <f t="shared" si="4124"/>
        <v>3.5714285714285712E-2</v>
      </c>
      <c r="AH443" s="157">
        <f t="shared" si="4124"/>
        <v>3.5714285714285712E-2</v>
      </c>
      <c r="AI443" s="157">
        <f t="shared" si="4124"/>
        <v>3.5714285714285712E-2</v>
      </c>
      <c r="AJ443" s="157">
        <f t="shared" si="4124"/>
        <v>3.5714285714285712E-2</v>
      </c>
      <c r="AK443" s="157">
        <f t="shared" si="4124"/>
        <v>3.5714285714285712E-2</v>
      </c>
      <c r="AL443" s="157">
        <f t="shared" si="4124"/>
        <v>3.5714285714285712E-2</v>
      </c>
      <c r="AM443" s="157">
        <f t="shared" si="4124"/>
        <v>3.5714285714285712E-2</v>
      </c>
      <c r="AN443" s="157">
        <f t="shared" si="4124"/>
        <v>3.5714285714285712E-2</v>
      </c>
      <c r="AO443" s="157">
        <f t="shared" si="4124"/>
        <v>3.5714285714285712E-2</v>
      </c>
      <c r="AP443" s="157">
        <f t="shared" si="4124"/>
        <v>3.5714285714285712E-2</v>
      </c>
      <c r="AQ443" s="157">
        <f t="shared" si="4124"/>
        <v>3.5714285714285712E-2</v>
      </c>
      <c r="AR443" s="157">
        <f t="shared" si="4124"/>
        <v>3.5714285714285712E-2</v>
      </c>
      <c r="AS443" s="157">
        <f t="shared" si="4124"/>
        <v>3.5714285714285712E-2</v>
      </c>
      <c r="AT443" s="157">
        <f t="shared" si="4124"/>
        <v>3.5714285714285712E-2</v>
      </c>
      <c r="AU443" s="157">
        <f t="shared" si="4124"/>
        <v>3.5714285714285712E-2</v>
      </c>
      <c r="AV443" s="157">
        <f t="shared" si="4124"/>
        <v>3.5714285714285712E-2</v>
      </c>
      <c r="AW443" s="157">
        <f t="shared" si="4124"/>
        <v>3.5714285714285712E-2</v>
      </c>
      <c r="AX443" s="157">
        <f t="shared" si="4124"/>
        <v>3.5714285714285712E-2</v>
      </c>
      <c r="AY443" s="157">
        <f t="shared" si="4124"/>
        <v>3.5714285714285712E-2</v>
      </c>
      <c r="AZ443" s="157">
        <f t="shared" si="4124"/>
        <v>3.5714285714285712E-2</v>
      </c>
      <c r="BA443" s="157">
        <f t="shared" si="4124"/>
        <v>3.5714285714285712E-2</v>
      </c>
      <c r="BB443" s="157">
        <f t="shared" si="4124"/>
        <v>3.5714285714285712E-2</v>
      </c>
      <c r="BC443" s="157">
        <f t="shared" si="4124"/>
        <v>3.5714285714285712E-2</v>
      </c>
      <c r="BD443" s="157">
        <f t="shared" si="4124"/>
        <v>3.5714285714285712E-2</v>
      </c>
      <c r="BE443" s="157">
        <f t="shared" si="4124"/>
        <v>3.5714285714285712E-2</v>
      </c>
      <c r="BF443" s="157">
        <f t="shared" si="4124"/>
        <v>3.5714285714285712E-2</v>
      </c>
      <c r="BG443" s="157">
        <f t="shared" si="4124"/>
        <v>3.5714285714285712E-2</v>
      </c>
      <c r="BH443" s="157">
        <f t="shared" si="4124"/>
        <v>3.5714285714285712E-2</v>
      </c>
      <c r="BI443" s="157">
        <f t="shared" si="4124"/>
        <v>3.5714285714285712E-2</v>
      </c>
      <c r="BJ443" s="157">
        <f t="shared" si="4124"/>
        <v>3.5714285714285712E-2</v>
      </c>
      <c r="BK443" s="157">
        <f t="shared" si="4124"/>
        <v>3.5714285714285712E-2</v>
      </c>
      <c r="BL443" s="157">
        <f t="shared" si="4124"/>
        <v>3.5714285714285712E-2</v>
      </c>
      <c r="BM443" s="157">
        <f t="shared" si="4124"/>
        <v>3.5714285714285712E-2</v>
      </c>
      <c r="BN443" s="157">
        <f t="shared" si="4124"/>
        <v>3.5714285714285712E-2</v>
      </c>
      <c r="BO443" s="157">
        <f t="shared" si="4124"/>
        <v>3.5714285714285712E-2</v>
      </c>
      <c r="BP443" s="157">
        <f t="shared" si="4124"/>
        <v>3.5714285714285712E-2</v>
      </c>
      <c r="BQ443" s="157">
        <f t="shared" si="4124"/>
        <v>3.5714285714285712E-2</v>
      </c>
      <c r="BR443" s="157">
        <f t="shared" si="4124"/>
        <v>3.5714285714285712E-2</v>
      </c>
      <c r="BS443" s="157">
        <f t="shared" si="4124"/>
        <v>3.5714285714285712E-2</v>
      </c>
      <c r="BT443" s="157">
        <f t="shared" si="4124"/>
        <v>3.5714285714285712E-2</v>
      </c>
      <c r="BU443" s="157">
        <f t="shared" si="4124"/>
        <v>3.5714285714285712E-2</v>
      </c>
      <c r="BV443" s="157">
        <f t="shared" si="4124"/>
        <v>3.5714285714285712E-2</v>
      </c>
      <c r="BW443" s="157">
        <f t="shared" si="4124"/>
        <v>3.5714285714285712E-2</v>
      </c>
      <c r="BX443" s="157">
        <f t="shared" si="4124"/>
        <v>3.5714285714285712E-2</v>
      </c>
      <c r="BY443" s="157">
        <f t="shared" si="4124"/>
        <v>3.5714285714285712E-2</v>
      </c>
      <c r="BZ443" s="157">
        <f t="shared" si="4124"/>
        <v>3.5714285714285712E-2</v>
      </c>
      <c r="CA443" s="157">
        <f t="shared" si="4124"/>
        <v>3.5714285714285712E-2</v>
      </c>
      <c r="CB443" s="157">
        <f t="shared" si="4124"/>
        <v>3.5714285714285712E-2</v>
      </c>
      <c r="CC443" s="157">
        <f t="shared" si="4124"/>
        <v>3.5714285714285712E-2</v>
      </c>
      <c r="CD443" s="157">
        <f t="shared" si="4124"/>
        <v>3.5714285714285712E-2</v>
      </c>
      <c r="CE443" s="157">
        <f t="shared" ref="CE443:CO443" si="4125" xml:space="preserve"> IF($E442&lt;&gt;0,1/$E442,0)/Periods_in_Year</f>
        <v>3.5714285714285712E-2</v>
      </c>
      <c r="CF443" s="157">
        <f t="shared" si="4125"/>
        <v>3.5714285714285712E-2</v>
      </c>
      <c r="CG443" s="157">
        <f t="shared" si="4125"/>
        <v>3.5714285714285712E-2</v>
      </c>
      <c r="CH443" s="157">
        <f t="shared" si="4125"/>
        <v>3.5714285714285712E-2</v>
      </c>
      <c r="CI443" s="157">
        <f t="shared" si="4125"/>
        <v>3.5714285714285712E-2</v>
      </c>
      <c r="CJ443" s="157">
        <f t="shared" si="4125"/>
        <v>3.5714285714285712E-2</v>
      </c>
      <c r="CK443" s="157">
        <f t="shared" si="4125"/>
        <v>3.5714285714285712E-2</v>
      </c>
      <c r="CL443" s="157">
        <f t="shared" si="4125"/>
        <v>3.5714285714285712E-2</v>
      </c>
      <c r="CM443" s="157">
        <f t="shared" si="4125"/>
        <v>3.5714285714285712E-2</v>
      </c>
      <c r="CN443" s="157">
        <f t="shared" si="4125"/>
        <v>3.5714285714285712E-2</v>
      </c>
      <c r="CO443" s="157">
        <f t="shared" si="4125"/>
        <v>3.5714285714285712E-2</v>
      </c>
    </row>
    <row r="444" spans="1:93">
      <c r="A444" s="10"/>
      <c r="B444" s="10"/>
      <c r="C444" s="17" t="s">
        <v>125</v>
      </c>
      <c r="D444" s="10"/>
      <c r="E444" s="62"/>
      <c r="F444" s="11"/>
      <c r="G444" s="134" t="str">
        <f t="shared" ref="G444:G450" si="4126">Monetary_Unit</f>
        <v>тыс. руб.</v>
      </c>
      <c r="H444" s="10"/>
      <c r="I444" s="10"/>
      <c r="J444" s="10"/>
      <c r="K444" s="10"/>
      <c r="L444" s="52">
        <f t="shared" ref="L444:R444" si="4127" xml:space="preserve"> K450</f>
        <v>0</v>
      </c>
      <c r="M444" s="52">
        <f t="shared" ca="1" si="4127"/>
        <v>0</v>
      </c>
      <c r="N444" s="52">
        <f t="shared" ca="1" si="4127"/>
        <v>0</v>
      </c>
      <c r="O444" s="52">
        <f t="shared" ca="1" si="4127"/>
        <v>0</v>
      </c>
      <c r="P444" s="52">
        <f t="shared" ca="1" si="4127"/>
        <v>0</v>
      </c>
      <c r="Q444" s="52">
        <f t="shared" ca="1" si="4127"/>
        <v>0</v>
      </c>
      <c r="R444" s="52">
        <f t="shared" ca="1" si="4127"/>
        <v>0</v>
      </c>
      <c r="S444" s="52">
        <f t="shared" ref="S444" ca="1" si="4128" xml:space="preserve"> R450</f>
        <v>0</v>
      </c>
      <c r="T444" s="52">
        <f t="shared" ref="T444:CE444" ca="1" si="4129" xml:space="preserve"> S450</f>
        <v>0</v>
      </c>
      <c r="U444" s="52">
        <f t="shared" ca="1" si="4129"/>
        <v>0</v>
      </c>
      <c r="V444" s="52">
        <f t="shared" ca="1" si="4129"/>
        <v>0</v>
      </c>
      <c r="W444" s="52">
        <f t="shared" ca="1" si="4129"/>
        <v>0</v>
      </c>
      <c r="X444" s="52">
        <f t="shared" ca="1" si="4129"/>
        <v>0</v>
      </c>
      <c r="Y444" s="52">
        <f t="shared" ca="1" si="4129"/>
        <v>0</v>
      </c>
      <c r="Z444" s="52">
        <f t="shared" ca="1" si="4129"/>
        <v>0</v>
      </c>
      <c r="AA444" s="52">
        <f t="shared" ca="1" si="4129"/>
        <v>0</v>
      </c>
      <c r="AB444" s="52">
        <f t="shared" ca="1" si="4129"/>
        <v>0</v>
      </c>
      <c r="AC444" s="52">
        <f t="shared" ca="1" si="4129"/>
        <v>1097531.3301707346</v>
      </c>
      <c r="AD444" s="52">
        <f t="shared" ca="1" si="4129"/>
        <v>740833.64786524582</v>
      </c>
      <c r="AE444" s="52">
        <f t="shared" ca="1" si="4129"/>
        <v>713395.36461097747</v>
      </c>
      <c r="AF444" s="52">
        <f t="shared" ca="1" si="4129"/>
        <v>685957.08135670912</v>
      </c>
      <c r="AG444" s="52">
        <f t="shared" ca="1" si="4129"/>
        <v>658518.79810244078</v>
      </c>
      <c r="AH444" s="52">
        <f t="shared" ca="1" si="4129"/>
        <v>631080.51484817243</v>
      </c>
      <c r="AI444" s="52">
        <f t="shared" ca="1" si="4129"/>
        <v>603642.23159390409</v>
      </c>
      <c r="AJ444" s="52">
        <f t="shared" ca="1" si="4129"/>
        <v>576203.94833963574</v>
      </c>
      <c r="AK444" s="52">
        <f t="shared" ca="1" si="4129"/>
        <v>548765.66508536739</v>
      </c>
      <c r="AL444" s="52">
        <f t="shared" ca="1" si="4129"/>
        <v>521327.38183109899</v>
      </c>
      <c r="AM444" s="52">
        <f t="shared" ca="1" si="4129"/>
        <v>493889.09857683064</v>
      </c>
      <c r="AN444" s="52">
        <f t="shared" ca="1" si="4129"/>
        <v>466450.8153225623</v>
      </c>
      <c r="AO444" s="52">
        <f t="shared" ca="1" si="4129"/>
        <v>439012.53206829395</v>
      </c>
      <c r="AP444" s="52">
        <f t="shared" ca="1" si="4129"/>
        <v>411574.2488140256</v>
      </c>
      <c r="AQ444" s="52">
        <f t="shared" ca="1" si="4129"/>
        <v>384135.96555975726</v>
      </c>
      <c r="AR444" s="52">
        <f t="shared" ca="1" si="4129"/>
        <v>356697.68230548891</v>
      </c>
      <c r="AS444" s="52">
        <f t="shared" ca="1" si="4129"/>
        <v>329259.39905122056</v>
      </c>
      <c r="AT444" s="52">
        <f t="shared" ca="1" si="4129"/>
        <v>301821.11579695222</v>
      </c>
      <c r="AU444" s="52">
        <f t="shared" ca="1" si="4129"/>
        <v>274382.83254268387</v>
      </c>
      <c r="AV444" s="52">
        <f t="shared" ca="1" si="4129"/>
        <v>246944.54928841552</v>
      </c>
      <c r="AW444" s="52">
        <f t="shared" ca="1" si="4129"/>
        <v>219506.26603414712</v>
      </c>
      <c r="AX444" s="52">
        <f t="shared" ca="1" si="4129"/>
        <v>192067.98277987877</v>
      </c>
      <c r="AY444" s="52">
        <f t="shared" ca="1" si="4129"/>
        <v>164629.69952561043</v>
      </c>
      <c r="AZ444" s="52">
        <f t="shared" ca="1" si="4129"/>
        <v>137191.41627134208</v>
      </c>
      <c r="BA444" s="52">
        <f t="shared" ca="1" si="4129"/>
        <v>109753.13301707373</v>
      </c>
      <c r="BB444" s="52">
        <f t="shared" ca="1" si="4129"/>
        <v>82314.849762805388</v>
      </c>
      <c r="BC444" s="52">
        <f t="shared" ca="1" si="4129"/>
        <v>54876.566508537042</v>
      </c>
      <c r="BD444" s="52">
        <f t="shared" ca="1" si="4129"/>
        <v>27438.283254268696</v>
      </c>
      <c r="BE444" s="52">
        <f t="shared" ca="1" si="4129"/>
        <v>0</v>
      </c>
      <c r="BF444" s="52">
        <f t="shared" ca="1" si="4129"/>
        <v>0</v>
      </c>
      <c r="BG444" s="52">
        <f t="shared" ca="1" si="4129"/>
        <v>0</v>
      </c>
      <c r="BH444" s="52">
        <f t="shared" ca="1" si="4129"/>
        <v>0</v>
      </c>
      <c r="BI444" s="52">
        <f t="shared" ca="1" si="4129"/>
        <v>0</v>
      </c>
      <c r="BJ444" s="52">
        <f t="shared" ca="1" si="4129"/>
        <v>0</v>
      </c>
      <c r="BK444" s="52">
        <f t="shared" ca="1" si="4129"/>
        <v>0</v>
      </c>
      <c r="BL444" s="52">
        <f t="shared" ca="1" si="4129"/>
        <v>0</v>
      </c>
      <c r="BM444" s="52">
        <f t="shared" ca="1" si="4129"/>
        <v>0</v>
      </c>
      <c r="BN444" s="52">
        <f t="shared" ca="1" si="4129"/>
        <v>0</v>
      </c>
      <c r="BO444" s="52">
        <f t="shared" ca="1" si="4129"/>
        <v>0</v>
      </c>
      <c r="BP444" s="52">
        <f t="shared" ca="1" si="4129"/>
        <v>0</v>
      </c>
      <c r="BQ444" s="52">
        <f t="shared" ca="1" si="4129"/>
        <v>0</v>
      </c>
      <c r="BR444" s="52">
        <f t="shared" ca="1" si="4129"/>
        <v>0</v>
      </c>
      <c r="BS444" s="52">
        <f t="shared" ca="1" si="4129"/>
        <v>0</v>
      </c>
      <c r="BT444" s="52">
        <f t="shared" ca="1" si="4129"/>
        <v>0</v>
      </c>
      <c r="BU444" s="52">
        <f t="shared" ca="1" si="4129"/>
        <v>0</v>
      </c>
      <c r="BV444" s="52">
        <f t="shared" ca="1" si="4129"/>
        <v>0</v>
      </c>
      <c r="BW444" s="52">
        <f t="shared" ca="1" si="4129"/>
        <v>0</v>
      </c>
      <c r="BX444" s="52">
        <f t="shared" ca="1" si="4129"/>
        <v>0</v>
      </c>
      <c r="BY444" s="52">
        <f t="shared" ca="1" si="4129"/>
        <v>0</v>
      </c>
      <c r="BZ444" s="52">
        <f t="shared" ca="1" si="4129"/>
        <v>0</v>
      </c>
      <c r="CA444" s="52">
        <f t="shared" ca="1" si="4129"/>
        <v>0</v>
      </c>
      <c r="CB444" s="52">
        <f t="shared" ca="1" si="4129"/>
        <v>0</v>
      </c>
      <c r="CC444" s="52">
        <f t="shared" ca="1" si="4129"/>
        <v>0</v>
      </c>
      <c r="CD444" s="52">
        <f t="shared" ca="1" si="4129"/>
        <v>0</v>
      </c>
      <c r="CE444" s="52">
        <f t="shared" ca="1" si="4129"/>
        <v>0</v>
      </c>
      <c r="CF444" s="52">
        <f t="shared" ref="CF444:CO444" ca="1" si="4130" xml:space="preserve"> CE450</f>
        <v>0</v>
      </c>
      <c r="CG444" s="52">
        <f t="shared" ca="1" si="4130"/>
        <v>0</v>
      </c>
      <c r="CH444" s="52">
        <f t="shared" ca="1" si="4130"/>
        <v>0</v>
      </c>
      <c r="CI444" s="52">
        <f t="shared" ca="1" si="4130"/>
        <v>0</v>
      </c>
      <c r="CJ444" s="52">
        <f t="shared" ca="1" si="4130"/>
        <v>0</v>
      </c>
      <c r="CK444" s="52">
        <f t="shared" ca="1" si="4130"/>
        <v>0</v>
      </c>
      <c r="CL444" s="52">
        <f t="shared" ca="1" si="4130"/>
        <v>0</v>
      </c>
      <c r="CM444" s="52">
        <f t="shared" ca="1" si="4130"/>
        <v>0</v>
      </c>
      <c r="CN444" s="52">
        <f t="shared" ca="1" si="4130"/>
        <v>0</v>
      </c>
      <c r="CO444" s="52">
        <f t="shared" ca="1" si="4130"/>
        <v>0</v>
      </c>
    </row>
    <row r="445" spans="1:93">
      <c r="A445" s="10"/>
      <c r="B445" s="10"/>
      <c r="C445" s="17" t="s">
        <v>126</v>
      </c>
      <c r="D445" s="10"/>
      <c r="E445" s="62"/>
      <c r="F445" s="11"/>
      <c r="G445" s="134" t="str">
        <f t="shared" si="4126"/>
        <v>тыс. руб.</v>
      </c>
      <c r="H445" s="10"/>
      <c r="I445" s="23">
        <f ca="1">SUM(L445:CO445)</f>
        <v>768271.93111951416</v>
      </c>
      <c r="J445" s="10"/>
      <c r="K445" s="10"/>
      <c r="L445" s="52">
        <f t="shared" ref="L445:AQ445" ca="1" si="4131" xml:space="preserve"> L325 + L446</f>
        <v>0</v>
      </c>
      <c r="M445" s="52">
        <f t="shared" ca="1" si="4131"/>
        <v>0</v>
      </c>
      <c r="N445" s="52">
        <f t="shared" ca="1" si="4131"/>
        <v>0</v>
      </c>
      <c r="O445" s="52">
        <f t="shared" ca="1" si="4131"/>
        <v>0</v>
      </c>
      <c r="P445" s="52">
        <f t="shared" ca="1" si="4131"/>
        <v>0</v>
      </c>
      <c r="Q445" s="52">
        <f t="shared" ca="1" si="4131"/>
        <v>0</v>
      </c>
      <c r="R445" s="52">
        <f t="shared" ca="1" si="4131"/>
        <v>0</v>
      </c>
      <c r="S445" s="52">
        <f t="shared" ca="1" si="4131"/>
        <v>0</v>
      </c>
      <c r="T445" s="52">
        <f t="shared" ca="1" si="4131"/>
        <v>0</v>
      </c>
      <c r="U445" s="52">
        <f t="shared" ca="1" si="4131"/>
        <v>0</v>
      </c>
      <c r="V445" s="52">
        <f t="shared" ca="1" si="4131"/>
        <v>0</v>
      </c>
      <c r="W445" s="52">
        <f t="shared" ca="1" si="4131"/>
        <v>0</v>
      </c>
      <c r="X445" s="52">
        <f t="shared" ca="1" si="4131"/>
        <v>0</v>
      </c>
      <c r="Y445" s="52">
        <f t="shared" ca="1" si="4131"/>
        <v>0</v>
      </c>
      <c r="Z445" s="52">
        <f t="shared" ca="1" si="4131"/>
        <v>0</v>
      </c>
      <c r="AA445" s="52">
        <f t="shared" ca="1" si="4131"/>
        <v>0</v>
      </c>
      <c r="AB445" s="52">
        <f t="shared" ca="1" si="4131"/>
        <v>1097531.3301707346</v>
      </c>
      <c r="AC445" s="52">
        <f t="shared" ca="1" si="4131"/>
        <v>-329259.39905122033</v>
      </c>
      <c r="AD445" s="52">
        <f t="shared" ca="1" si="4131"/>
        <v>0</v>
      </c>
      <c r="AE445" s="52">
        <f t="shared" ca="1" si="4131"/>
        <v>0</v>
      </c>
      <c r="AF445" s="52">
        <f t="shared" ca="1" si="4131"/>
        <v>0</v>
      </c>
      <c r="AG445" s="52">
        <f t="shared" ca="1" si="4131"/>
        <v>0</v>
      </c>
      <c r="AH445" s="52">
        <f t="shared" ca="1" si="4131"/>
        <v>0</v>
      </c>
      <c r="AI445" s="52">
        <f t="shared" ca="1" si="4131"/>
        <v>0</v>
      </c>
      <c r="AJ445" s="52">
        <f t="shared" ca="1" si="4131"/>
        <v>0</v>
      </c>
      <c r="AK445" s="52">
        <f t="shared" ca="1" si="4131"/>
        <v>0</v>
      </c>
      <c r="AL445" s="52">
        <f t="shared" ca="1" si="4131"/>
        <v>0</v>
      </c>
      <c r="AM445" s="52">
        <f t="shared" ca="1" si="4131"/>
        <v>0</v>
      </c>
      <c r="AN445" s="52">
        <f t="shared" ca="1" si="4131"/>
        <v>0</v>
      </c>
      <c r="AO445" s="52">
        <f t="shared" ca="1" si="4131"/>
        <v>0</v>
      </c>
      <c r="AP445" s="52">
        <f t="shared" ca="1" si="4131"/>
        <v>0</v>
      </c>
      <c r="AQ445" s="52">
        <f t="shared" ca="1" si="4131"/>
        <v>0</v>
      </c>
      <c r="AR445" s="52">
        <f t="shared" ref="AR445:BW445" ca="1" si="4132" xml:space="preserve"> AR325 + AR446</f>
        <v>0</v>
      </c>
      <c r="AS445" s="52">
        <f t="shared" ca="1" si="4132"/>
        <v>0</v>
      </c>
      <c r="AT445" s="52">
        <f t="shared" ca="1" si="4132"/>
        <v>0</v>
      </c>
      <c r="AU445" s="52">
        <f t="shared" ca="1" si="4132"/>
        <v>0</v>
      </c>
      <c r="AV445" s="52">
        <f t="shared" ca="1" si="4132"/>
        <v>0</v>
      </c>
      <c r="AW445" s="52">
        <f t="shared" ca="1" si="4132"/>
        <v>0</v>
      </c>
      <c r="AX445" s="52">
        <f t="shared" ca="1" si="4132"/>
        <v>0</v>
      </c>
      <c r="AY445" s="52">
        <f t="shared" ca="1" si="4132"/>
        <v>0</v>
      </c>
      <c r="AZ445" s="52">
        <f t="shared" ca="1" si="4132"/>
        <v>0</v>
      </c>
      <c r="BA445" s="52">
        <f t="shared" ca="1" si="4132"/>
        <v>0</v>
      </c>
      <c r="BB445" s="52">
        <f t="shared" ca="1" si="4132"/>
        <v>0</v>
      </c>
      <c r="BC445" s="52">
        <f t="shared" ca="1" si="4132"/>
        <v>0</v>
      </c>
      <c r="BD445" s="52">
        <f t="shared" ca="1" si="4132"/>
        <v>0</v>
      </c>
      <c r="BE445" s="52">
        <f t="shared" ca="1" si="4132"/>
        <v>0</v>
      </c>
      <c r="BF445" s="52">
        <f t="shared" ca="1" si="4132"/>
        <v>0</v>
      </c>
      <c r="BG445" s="52">
        <f t="shared" ca="1" si="4132"/>
        <v>0</v>
      </c>
      <c r="BH445" s="52">
        <f t="shared" ca="1" si="4132"/>
        <v>0</v>
      </c>
      <c r="BI445" s="52">
        <f t="shared" ca="1" si="4132"/>
        <v>0</v>
      </c>
      <c r="BJ445" s="52">
        <f t="shared" ca="1" si="4132"/>
        <v>0</v>
      </c>
      <c r="BK445" s="52">
        <f t="shared" ca="1" si="4132"/>
        <v>0</v>
      </c>
      <c r="BL445" s="52">
        <f t="shared" ca="1" si="4132"/>
        <v>0</v>
      </c>
      <c r="BM445" s="52">
        <f t="shared" ca="1" si="4132"/>
        <v>0</v>
      </c>
      <c r="BN445" s="52">
        <f t="shared" ca="1" si="4132"/>
        <v>0</v>
      </c>
      <c r="BO445" s="52">
        <f t="shared" ca="1" si="4132"/>
        <v>0</v>
      </c>
      <c r="BP445" s="52">
        <f t="shared" ca="1" si="4132"/>
        <v>0</v>
      </c>
      <c r="BQ445" s="52">
        <f t="shared" ca="1" si="4132"/>
        <v>0</v>
      </c>
      <c r="BR445" s="52">
        <f t="shared" ca="1" si="4132"/>
        <v>0</v>
      </c>
      <c r="BS445" s="52">
        <f t="shared" ca="1" si="4132"/>
        <v>0</v>
      </c>
      <c r="BT445" s="52">
        <f t="shared" ca="1" si="4132"/>
        <v>0</v>
      </c>
      <c r="BU445" s="52">
        <f t="shared" ca="1" si="4132"/>
        <v>0</v>
      </c>
      <c r="BV445" s="52">
        <f t="shared" ca="1" si="4132"/>
        <v>0</v>
      </c>
      <c r="BW445" s="52">
        <f t="shared" ca="1" si="4132"/>
        <v>0</v>
      </c>
      <c r="BX445" s="52">
        <f t="shared" ref="BX445:CO445" ca="1" si="4133" xml:space="preserve"> BX325 + BX446</f>
        <v>0</v>
      </c>
      <c r="BY445" s="52">
        <f t="shared" ca="1" si="4133"/>
        <v>0</v>
      </c>
      <c r="BZ445" s="52">
        <f t="shared" ca="1" si="4133"/>
        <v>0</v>
      </c>
      <c r="CA445" s="52">
        <f t="shared" ca="1" si="4133"/>
        <v>0</v>
      </c>
      <c r="CB445" s="52">
        <f t="shared" ca="1" si="4133"/>
        <v>0</v>
      </c>
      <c r="CC445" s="52">
        <f t="shared" ca="1" si="4133"/>
        <v>0</v>
      </c>
      <c r="CD445" s="52">
        <f t="shared" ca="1" si="4133"/>
        <v>0</v>
      </c>
      <c r="CE445" s="52">
        <f t="shared" ca="1" si="4133"/>
        <v>0</v>
      </c>
      <c r="CF445" s="52">
        <f t="shared" ca="1" si="4133"/>
        <v>0</v>
      </c>
      <c r="CG445" s="52">
        <f t="shared" ca="1" si="4133"/>
        <v>0</v>
      </c>
      <c r="CH445" s="52">
        <f t="shared" ca="1" si="4133"/>
        <v>0</v>
      </c>
      <c r="CI445" s="52">
        <f t="shared" ca="1" si="4133"/>
        <v>0</v>
      </c>
      <c r="CJ445" s="52">
        <f t="shared" ca="1" si="4133"/>
        <v>0</v>
      </c>
      <c r="CK445" s="52">
        <f t="shared" ca="1" si="4133"/>
        <v>0</v>
      </c>
      <c r="CL445" s="52">
        <f t="shared" ca="1" si="4133"/>
        <v>0</v>
      </c>
      <c r="CM445" s="52">
        <f t="shared" ca="1" si="4133"/>
        <v>0</v>
      </c>
      <c r="CN445" s="52">
        <f t="shared" ca="1" si="4133"/>
        <v>0</v>
      </c>
      <c r="CO445" s="52">
        <f t="shared" ca="1" si="4133"/>
        <v>0</v>
      </c>
    </row>
    <row r="446" spans="1:93">
      <c r="A446" s="10"/>
      <c r="B446" s="10"/>
      <c r="C446" s="17" t="s">
        <v>129</v>
      </c>
      <c r="D446" s="10"/>
      <c r="E446" s="178">
        <f>Предпосылки!E377</f>
        <v>0.3</v>
      </c>
      <c r="F446" s="11"/>
      <c r="G446" s="134" t="str">
        <f t="shared" si="4126"/>
        <v>тыс. руб.</v>
      </c>
      <c r="H446" s="10"/>
      <c r="I446" s="23">
        <f ca="1">SUM(L446:CO446)</f>
        <v>-329259.39905122033</v>
      </c>
      <c r="J446" s="10"/>
      <c r="K446" s="10"/>
      <c r="L446" s="52">
        <f t="shared" ref="L446:AQ446" si="4134" xml:space="preserve"> - K325 * $E446</f>
        <v>0</v>
      </c>
      <c r="M446" s="52">
        <f t="shared" ca="1" si="4134"/>
        <v>0</v>
      </c>
      <c r="N446" s="52">
        <f t="shared" ca="1" si="4134"/>
        <v>0</v>
      </c>
      <c r="O446" s="52">
        <f t="shared" ca="1" si="4134"/>
        <v>0</v>
      </c>
      <c r="P446" s="52">
        <f t="shared" ca="1" si="4134"/>
        <v>0</v>
      </c>
      <c r="Q446" s="52">
        <f t="shared" ca="1" si="4134"/>
        <v>0</v>
      </c>
      <c r="R446" s="52">
        <f t="shared" ca="1" si="4134"/>
        <v>0</v>
      </c>
      <c r="S446" s="52">
        <f t="shared" ca="1" si="4134"/>
        <v>0</v>
      </c>
      <c r="T446" s="52">
        <f t="shared" ca="1" si="4134"/>
        <v>0</v>
      </c>
      <c r="U446" s="52">
        <f t="shared" ca="1" si="4134"/>
        <v>0</v>
      </c>
      <c r="V446" s="52">
        <f t="shared" ca="1" si="4134"/>
        <v>0</v>
      </c>
      <c r="W446" s="52">
        <f t="shared" ca="1" si="4134"/>
        <v>0</v>
      </c>
      <c r="X446" s="52">
        <f t="shared" ca="1" si="4134"/>
        <v>0</v>
      </c>
      <c r="Y446" s="52">
        <f t="shared" ca="1" si="4134"/>
        <v>0</v>
      </c>
      <c r="Z446" s="52">
        <f t="shared" ca="1" si="4134"/>
        <v>0</v>
      </c>
      <c r="AA446" s="52">
        <f t="shared" ca="1" si="4134"/>
        <v>0</v>
      </c>
      <c r="AB446" s="52">
        <f t="shared" ca="1" si="4134"/>
        <v>0</v>
      </c>
      <c r="AC446" s="52">
        <f t="shared" ca="1" si="4134"/>
        <v>-329259.39905122033</v>
      </c>
      <c r="AD446" s="52">
        <f t="shared" ca="1" si="4134"/>
        <v>0</v>
      </c>
      <c r="AE446" s="52">
        <f t="shared" ca="1" si="4134"/>
        <v>0</v>
      </c>
      <c r="AF446" s="52">
        <f t="shared" ca="1" si="4134"/>
        <v>0</v>
      </c>
      <c r="AG446" s="52">
        <f t="shared" ca="1" si="4134"/>
        <v>0</v>
      </c>
      <c r="AH446" s="52">
        <f t="shared" ca="1" si="4134"/>
        <v>0</v>
      </c>
      <c r="AI446" s="52">
        <f t="shared" ca="1" si="4134"/>
        <v>0</v>
      </c>
      <c r="AJ446" s="52">
        <f t="shared" ca="1" si="4134"/>
        <v>0</v>
      </c>
      <c r="AK446" s="52">
        <f t="shared" ca="1" si="4134"/>
        <v>0</v>
      </c>
      <c r="AL446" s="52">
        <f t="shared" ca="1" si="4134"/>
        <v>0</v>
      </c>
      <c r="AM446" s="52">
        <f t="shared" ca="1" si="4134"/>
        <v>0</v>
      </c>
      <c r="AN446" s="52">
        <f t="shared" ca="1" si="4134"/>
        <v>0</v>
      </c>
      <c r="AO446" s="52">
        <f t="shared" ca="1" si="4134"/>
        <v>0</v>
      </c>
      <c r="AP446" s="52">
        <f t="shared" ca="1" si="4134"/>
        <v>0</v>
      </c>
      <c r="AQ446" s="52">
        <f t="shared" ca="1" si="4134"/>
        <v>0</v>
      </c>
      <c r="AR446" s="52">
        <f t="shared" ref="AR446:BW446" ca="1" si="4135" xml:space="preserve"> - AQ325 * $E446</f>
        <v>0</v>
      </c>
      <c r="AS446" s="52">
        <f t="shared" ca="1" si="4135"/>
        <v>0</v>
      </c>
      <c r="AT446" s="52">
        <f t="shared" ca="1" si="4135"/>
        <v>0</v>
      </c>
      <c r="AU446" s="52">
        <f t="shared" ca="1" si="4135"/>
        <v>0</v>
      </c>
      <c r="AV446" s="52">
        <f t="shared" ca="1" si="4135"/>
        <v>0</v>
      </c>
      <c r="AW446" s="52">
        <f t="shared" ca="1" si="4135"/>
        <v>0</v>
      </c>
      <c r="AX446" s="52">
        <f t="shared" ca="1" si="4135"/>
        <v>0</v>
      </c>
      <c r="AY446" s="52">
        <f t="shared" ca="1" si="4135"/>
        <v>0</v>
      </c>
      <c r="AZ446" s="52">
        <f t="shared" ca="1" si="4135"/>
        <v>0</v>
      </c>
      <c r="BA446" s="52">
        <f t="shared" ca="1" si="4135"/>
        <v>0</v>
      </c>
      <c r="BB446" s="52">
        <f t="shared" ca="1" si="4135"/>
        <v>0</v>
      </c>
      <c r="BC446" s="52">
        <f t="shared" ca="1" si="4135"/>
        <v>0</v>
      </c>
      <c r="BD446" s="52">
        <f t="shared" ca="1" si="4135"/>
        <v>0</v>
      </c>
      <c r="BE446" s="52">
        <f t="shared" ca="1" si="4135"/>
        <v>0</v>
      </c>
      <c r="BF446" s="52">
        <f t="shared" ca="1" si="4135"/>
        <v>0</v>
      </c>
      <c r="BG446" s="52">
        <f t="shared" ca="1" si="4135"/>
        <v>0</v>
      </c>
      <c r="BH446" s="52">
        <f t="shared" ca="1" si="4135"/>
        <v>0</v>
      </c>
      <c r="BI446" s="52">
        <f t="shared" ca="1" si="4135"/>
        <v>0</v>
      </c>
      <c r="BJ446" s="52">
        <f t="shared" ca="1" si="4135"/>
        <v>0</v>
      </c>
      <c r="BK446" s="52">
        <f t="shared" ca="1" si="4135"/>
        <v>0</v>
      </c>
      <c r="BL446" s="52">
        <f t="shared" ca="1" si="4135"/>
        <v>0</v>
      </c>
      <c r="BM446" s="52">
        <f t="shared" ca="1" si="4135"/>
        <v>0</v>
      </c>
      <c r="BN446" s="52">
        <f t="shared" ca="1" si="4135"/>
        <v>0</v>
      </c>
      <c r="BO446" s="52">
        <f t="shared" ca="1" si="4135"/>
        <v>0</v>
      </c>
      <c r="BP446" s="52">
        <f t="shared" ca="1" si="4135"/>
        <v>0</v>
      </c>
      <c r="BQ446" s="52">
        <f t="shared" ca="1" si="4135"/>
        <v>0</v>
      </c>
      <c r="BR446" s="52">
        <f t="shared" ca="1" si="4135"/>
        <v>0</v>
      </c>
      <c r="BS446" s="52">
        <f t="shared" ca="1" si="4135"/>
        <v>0</v>
      </c>
      <c r="BT446" s="52">
        <f t="shared" ca="1" si="4135"/>
        <v>0</v>
      </c>
      <c r="BU446" s="52">
        <f t="shared" ca="1" si="4135"/>
        <v>0</v>
      </c>
      <c r="BV446" s="52">
        <f t="shared" ca="1" si="4135"/>
        <v>0</v>
      </c>
      <c r="BW446" s="52">
        <f t="shared" ca="1" si="4135"/>
        <v>0</v>
      </c>
      <c r="BX446" s="52">
        <f t="shared" ref="BX446:CO446" ca="1" si="4136" xml:space="preserve"> - BW325 * $E446</f>
        <v>0</v>
      </c>
      <c r="BY446" s="52">
        <f t="shared" ca="1" si="4136"/>
        <v>0</v>
      </c>
      <c r="BZ446" s="52">
        <f t="shared" ca="1" si="4136"/>
        <v>0</v>
      </c>
      <c r="CA446" s="52">
        <f t="shared" ca="1" si="4136"/>
        <v>0</v>
      </c>
      <c r="CB446" s="52">
        <f t="shared" ca="1" si="4136"/>
        <v>0</v>
      </c>
      <c r="CC446" s="52">
        <f t="shared" ca="1" si="4136"/>
        <v>0</v>
      </c>
      <c r="CD446" s="52">
        <f t="shared" ca="1" si="4136"/>
        <v>0</v>
      </c>
      <c r="CE446" s="52">
        <f t="shared" ca="1" si="4136"/>
        <v>0</v>
      </c>
      <c r="CF446" s="52">
        <f t="shared" ca="1" si="4136"/>
        <v>0</v>
      </c>
      <c r="CG446" s="52">
        <f t="shared" ca="1" si="4136"/>
        <v>0</v>
      </c>
      <c r="CH446" s="52">
        <f t="shared" ca="1" si="4136"/>
        <v>0</v>
      </c>
      <c r="CI446" s="52">
        <f t="shared" ca="1" si="4136"/>
        <v>0</v>
      </c>
      <c r="CJ446" s="52">
        <f t="shared" ca="1" si="4136"/>
        <v>0</v>
      </c>
      <c r="CK446" s="52">
        <f t="shared" ca="1" si="4136"/>
        <v>0</v>
      </c>
      <c r="CL446" s="52">
        <f t="shared" ca="1" si="4136"/>
        <v>0</v>
      </c>
      <c r="CM446" s="52">
        <f t="shared" ca="1" si="4136"/>
        <v>0</v>
      </c>
      <c r="CN446" s="52">
        <f t="shared" ca="1" si="4136"/>
        <v>0</v>
      </c>
      <c r="CO446" s="52">
        <f t="shared" ca="1" si="4136"/>
        <v>0</v>
      </c>
    </row>
    <row r="447" spans="1:93">
      <c r="A447" s="10"/>
      <c r="B447" s="10"/>
      <c r="C447" s="17" t="s">
        <v>388</v>
      </c>
      <c r="D447" s="10"/>
      <c r="E447" s="62"/>
      <c r="F447" s="11"/>
      <c r="G447" s="134" t="str">
        <f t="shared" si="4126"/>
        <v>тыс. руб.</v>
      </c>
      <c r="H447" s="10"/>
      <c r="I447" s="10"/>
      <c r="J447" s="10"/>
      <c r="K447" s="10"/>
      <c r="L447" s="52">
        <f t="shared" ref="L447:R447" ca="1" si="4137" xml:space="preserve"> L445 + K447</f>
        <v>0</v>
      </c>
      <c r="M447" s="52">
        <f t="shared" ca="1" si="4137"/>
        <v>0</v>
      </c>
      <c r="N447" s="52">
        <f t="shared" ca="1" si="4137"/>
        <v>0</v>
      </c>
      <c r="O447" s="52">
        <f t="shared" ca="1" si="4137"/>
        <v>0</v>
      </c>
      <c r="P447" s="52">
        <f t="shared" ca="1" si="4137"/>
        <v>0</v>
      </c>
      <c r="Q447" s="52">
        <f t="shared" ca="1" si="4137"/>
        <v>0</v>
      </c>
      <c r="R447" s="52">
        <f t="shared" ca="1" si="4137"/>
        <v>0</v>
      </c>
      <c r="S447" s="52">
        <f t="shared" ref="S447" ca="1" si="4138" xml:space="preserve"> S445 + R447</f>
        <v>0</v>
      </c>
      <c r="T447" s="52">
        <f t="shared" ref="T447:CE447" ca="1" si="4139" xml:space="preserve"> T445 + S447</f>
        <v>0</v>
      </c>
      <c r="U447" s="52">
        <f t="shared" ca="1" si="4139"/>
        <v>0</v>
      </c>
      <c r="V447" s="52">
        <f t="shared" ca="1" si="4139"/>
        <v>0</v>
      </c>
      <c r="W447" s="52">
        <f t="shared" ca="1" si="4139"/>
        <v>0</v>
      </c>
      <c r="X447" s="52">
        <f t="shared" ca="1" si="4139"/>
        <v>0</v>
      </c>
      <c r="Y447" s="52">
        <f t="shared" ca="1" si="4139"/>
        <v>0</v>
      </c>
      <c r="Z447" s="52">
        <f t="shared" ca="1" si="4139"/>
        <v>0</v>
      </c>
      <c r="AA447" s="52">
        <f t="shared" ca="1" si="4139"/>
        <v>0</v>
      </c>
      <c r="AB447" s="52">
        <f t="shared" ca="1" si="4139"/>
        <v>1097531.3301707346</v>
      </c>
      <c r="AC447" s="52">
        <f t="shared" ca="1" si="4139"/>
        <v>768271.93111951416</v>
      </c>
      <c r="AD447" s="52">
        <f t="shared" ca="1" si="4139"/>
        <v>768271.93111951416</v>
      </c>
      <c r="AE447" s="52">
        <f t="shared" ca="1" si="4139"/>
        <v>768271.93111951416</v>
      </c>
      <c r="AF447" s="52">
        <f t="shared" ca="1" si="4139"/>
        <v>768271.93111951416</v>
      </c>
      <c r="AG447" s="52">
        <f t="shared" ca="1" si="4139"/>
        <v>768271.93111951416</v>
      </c>
      <c r="AH447" s="52">
        <f t="shared" ca="1" si="4139"/>
        <v>768271.93111951416</v>
      </c>
      <c r="AI447" s="52">
        <f t="shared" ca="1" si="4139"/>
        <v>768271.93111951416</v>
      </c>
      <c r="AJ447" s="52">
        <f t="shared" ca="1" si="4139"/>
        <v>768271.93111951416</v>
      </c>
      <c r="AK447" s="52">
        <f t="shared" ca="1" si="4139"/>
        <v>768271.93111951416</v>
      </c>
      <c r="AL447" s="52">
        <f t="shared" ca="1" si="4139"/>
        <v>768271.93111951416</v>
      </c>
      <c r="AM447" s="52">
        <f t="shared" ca="1" si="4139"/>
        <v>768271.93111951416</v>
      </c>
      <c r="AN447" s="52">
        <f t="shared" ca="1" si="4139"/>
        <v>768271.93111951416</v>
      </c>
      <c r="AO447" s="52">
        <f t="shared" ca="1" si="4139"/>
        <v>768271.93111951416</v>
      </c>
      <c r="AP447" s="52">
        <f t="shared" ca="1" si="4139"/>
        <v>768271.93111951416</v>
      </c>
      <c r="AQ447" s="52">
        <f t="shared" ca="1" si="4139"/>
        <v>768271.93111951416</v>
      </c>
      <c r="AR447" s="52">
        <f t="shared" ca="1" si="4139"/>
        <v>768271.93111951416</v>
      </c>
      <c r="AS447" s="52">
        <f t="shared" ca="1" si="4139"/>
        <v>768271.93111951416</v>
      </c>
      <c r="AT447" s="52">
        <f t="shared" ca="1" si="4139"/>
        <v>768271.93111951416</v>
      </c>
      <c r="AU447" s="52">
        <f t="shared" ca="1" si="4139"/>
        <v>768271.93111951416</v>
      </c>
      <c r="AV447" s="52">
        <f t="shared" ca="1" si="4139"/>
        <v>768271.93111951416</v>
      </c>
      <c r="AW447" s="52">
        <f t="shared" ca="1" si="4139"/>
        <v>768271.93111951416</v>
      </c>
      <c r="AX447" s="52">
        <f t="shared" ca="1" si="4139"/>
        <v>768271.93111951416</v>
      </c>
      <c r="AY447" s="52">
        <f t="shared" ca="1" si="4139"/>
        <v>768271.93111951416</v>
      </c>
      <c r="AZ447" s="52">
        <f t="shared" ca="1" si="4139"/>
        <v>768271.93111951416</v>
      </c>
      <c r="BA447" s="52">
        <f t="shared" ca="1" si="4139"/>
        <v>768271.93111951416</v>
      </c>
      <c r="BB447" s="52">
        <f t="shared" ca="1" si="4139"/>
        <v>768271.93111951416</v>
      </c>
      <c r="BC447" s="52">
        <f t="shared" ca="1" si="4139"/>
        <v>768271.93111951416</v>
      </c>
      <c r="BD447" s="52">
        <f t="shared" ca="1" si="4139"/>
        <v>768271.93111951416</v>
      </c>
      <c r="BE447" s="52">
        <f t="shared" ca="1" si="4139"/>
        <v>768271.93111951416</v>
      </c>
      <c r="BF447" s="52">
        <f t="shared" ca="1" si="4139"/>
        <v>768271.93111951416</v>
      </c>
      <c r="BG447" s="52">
        <f t="shared" ca="1" si="4139"/>
        <v>768271.93111951416</v>
      </c>
      <c r="BH447" s="52">
        <f t="shared" ca="1" si="4139"/>
        <v>768271.93111951416</v>
      </c>
      <c r="BI447" s="52">
        <f t="shared" ca="1" si="4139"/>
        <v>768271.93111951416</v>
      </c>
      <c r="BJ447" s="52">
        <f t="shared" ca="1" si="4139"/>
        <v>768271.93111951416</v>
      </c>
      <c r="BK447" s="52">
        <f t="shared" ca="1" si="4139"/>
        <v>768271.93111951416</v>
      </c>
      <c r="BL447" s="52">
        <f t="shared" ca="1" si="4139"/>
        <v>768271.93111951416</v>
      </c>
      <c r="BM447" s="52">
        <f t="shared" ca="1" si="4139"/>
        <v>768271.93111951416</v>
      </c>
      <c r="BN447" s="52">
        <f t="shared" ca="1" si="4139"/>
        <v>768271.93111951416</v>
      </c>
      <c r="BO447" s="52">
        <f t="shared" ca="1" si="4139"/>
        <v>768271.93111951416</v>
      </c>
      <c r="BP447" s="52">
        <f t="shared" ca="1" si="4139"/>
        <v>768271.93111951416</v>
      </c>
      <c r="BQ447" s="52">
        <f t="shared" ca="1" si="4139"/>
        <v>768271.93111951416</v>
      </c>
      <c r="BR447" s="52">
        <f t="shared" ca="1" si="4139"/>
        <v>768271.93111951416</v>
      </c>
      <c r="BS447" s="52">
        <f t="shared" ca="1" si="4139"/>
        <v>768271.93111951416</v>
      </c>
      <c r="BT447" s="52">
        <f t="shared" ca="1" si="4139"/>
        <v>768271.93111951416</v>
      </c>
      <c r="BU447" s="52">
        <f t="shared" ca="1" si="4139"/>
        <v>768271.93111951416</v>
      </c>
      <c r="BV447" s="52">
        <f t="shared" ca="1" si="4139"/>
        <v>768271.93111951416</v>
      </c>
      <c r="BW447" s="52">
        <f t="shared" ca="1" si="4139"/>
        <v>768271.93111951416</v>
      </c>
      <c r="BX447" s="52">
        <f t="shared" ca="1" si="4139"/>
        <v>768271.93111951416</v>
      </c>
      <c r="BY447" s="52">
        <f t="shared" ca="1" si="4139"/>
        <v>768271.93111951416</v>
      </c>
      <c r="BZ447" s="52">
        <f t="shared" ca="1" si="4139"/>
        <v>768271.93111951416</v>
      </c>
      <c r="CA447" s="52">
        <f t="shared" ca="1" si="4139"/>
        <v>768271.93111951416</v>
      </c>
      <c r="CB447" s="52">
        <f t="shared" ca="1" si="4139"/>
        <v>768271.93111951416</v>
      </c>
      <c r="CC447" s="52">
        <f t="shared" ca="1" si="4139"/>
        <v>768271.93111951416</v>
      </c>
      <c r="CD447" s="52">
        <f t="shared" ca="1" si="4139"/>
        <v>768271.93111951416</v>
      </c>
      <c r="CE447" s="52">
        <f t="shared" ca="1" si="4139"/>
        <v>768271.93111951416</v>
      </c>
      <c r="CF447" s="52">
        <f t="shared" ref="CF447:CO447" ca="1" si="4140" xml:space="preserve"> CF445 + CE447</f>
        <v>768271.93111951416</v>
      </c>
      <c r="CG447" s="52">
        <f t="shared" ca="1" si="4140"/>
        <v>768271.93111951416</v>
      </c>
      <c r="CH447" s="52">
        <f t="shared" ca="1" si="4140"/>
        <v>768271.93111951416</v>
      </c>
      <c r="CI447" s="52">
        <f t="shared" ca="1" si="4140"/>
        <v>768271.93111951416</v>
      </c>
      <c r="CJ447" s="52">
        <f t="shared" ca="1" si="4140"/>
        <v>768271.93111951416</v>
      </c>
      <c r="CK447" s="52">
        <f t="shared" ca="1" si="4140"/>
        <v>768271.93111951416</v>
      </c>
      <c r="CL447" s="52">
        <f t="shared" ca="1" si="4140"/>
        <v>768271.93111951416</v>
      </c>
      <c r="CM447" s="52">
        <f t="shared" ca="1" si="4140"/>
        <v>768271.93111951416</v>
      </c>
      <c r="CN447" s="52">
        <f t="shared" ca="1" si="4140"/>
        <v>768271.93111951416</v>
      </c>
      <c r="CO447" s="52">
        <f t="shared" ca="1" si="4140"/>
        <v>768271.93111951416</v>
      </c>
    </row>
    <row r="448" spans="1:93">
      <c r="A448" s="10"/>
      <c r="B448" s="10"/>
      <c r="C448" s="17" t="s">
        <v>389</v>
      </c>
      <c r="D448" s="10"/>
      <c r="E448" s="62"/>
      <c r="F448" s="11"/>
      <c r="G448" s="134" t="str">
        <f t="shared" si="4126"/>
        <v>тыс. руб.</v>
      </c>
      <c r="H448" s="10"/>
      <c r="I448" s="23">
        <f ca="1">SUM(L448:CO448)</f>
        <v>768271.93111951381</v>
      </c>
      <c r="J448" s="10"/>
      <c r="K448" s="10"/>
      <c r="L448" s="52">
        <f t="shared" ref="L448" ca="1" si="4141" xml:space="preserve"> MIN(L447*L443,K450)</f>
        <v>0</v>
      </c>
      <c r="M448" s="52">
        <f t="shared" ref="M448" ca="1" si="4142" xml:space="preserve"> MIN(M447*M443,L450)</f>
        <v>0</v>
      </c>
      <c r="N448" s="52">
        <f t="shared" ref="N448" ca="1" si="4143" xml:space="preserve"> MIN(N447*N443,M450)</f>
        <v>0</v>
      </c>
      <c r="O448" s="52">
        <f t="shared" ref="O448" ca="1" si="4144" xml:space="preserve"> MIN(O447*O443,N450)</f>
        <v>0</v>
      </c>
      <c r="P448" s="52">
        <f t="shared" ref="P448" ca="1" si="4145" xml:space="preserve"> MIN(P447*P443,O450)</f>
        <v>0</v>
      </c>
      <c r="Q448" s="52">
        <f t="shared" ref="Q448" ca="1" si="4146" xml:space="preserve"> MIN(Q447*Q443,P450)</f>
        <v>0</v>
      </c>
      <c r="R448" s="52">
        <f t="shared" ref="R448" ca="1" si="4147" xml:space="preserve"> MIN(R447*R443,Q450)</f>
        <v>0</v>
      </c>
      <c r="S448" s="52">
        <f t="shared" ref="S448" ca="1" si="4148" xml:space="preserve"> MIN(S447*S443,R450)</f>
        <v>0</v>
      </c>
      <c r="T448" s="52">
        <f t="shared" ref="T448" ca="1" si="4149" xml:space="preserve"> MIN(T447*T443,S450)</f>
        <v>0</v>
      </c>
      <c r="U448" s="52">
        <f t="shared" ref="U448" ca="1" si="4150" xml:space="preserve"> MIN(U447*U443,T450)</f>
        <v>0</v>
      </c>
      <c r="V448" s="52">
        <f t="shared" ref="V448" ca="1" si="4151" xml:space="preserve"> MIN(V447*V443,U450)</f>
        <v>0</v>
      </c>
      <c r="W448" s="52">
        <f t="shared" ref="W448" ca="1" si="4152" xml:space="preserve"> MIN(W447*W443,V450)</f>
        <v>0</v>
      </c>
      <c r="X448" s="52">
        <f t="shared" ref="X448" ca="1" si="4153" xml:space="preserve"> MIN(X447*X443,W450)</f>
        <v>0</v>
      </c>
      <c r="Y448" s="52">
        <f t="shared" ref="Y448" ca="1" si="4154" xml:space="preserve"> MIN(Y447*Y443,X450)</f>
        <v>0</v>
      </c>
      <c r="Z448" s="52">
        <f t="shared" ref="Z448" ca="1" si="4155" xml:space="preserve"> MIN(Z447*Z443,Y450)</f>
        <v>0</v>
      </c>
      <c r="AA448" s="52">
        <f t="shared" ref="AA448" ca="1" si="4156" xml:space="preserve"> MIN(AA447*AA443,Z450)</f>
        <v>0</v>
      </c>
      <c r="AB448" s="52">
        <f t="shared" ref="AB448" ca="1" si="4157" xml:space="preserve"> MIN(AB447*AB443,AA450)</f>
        <v>0</v>
      </c>
      <c r="AC448" s="52">
        <f t="shared" ref="AC448" ca="1" si="4158" xml:space="preserve"> MIN(AC447*AC443,AB450)</f>
        <v>27438.283254268361</v>
      </c>
      <c r="AD448" s="52">
        <f t="shared" ref="AD448" ca="1" si="4159" xml:space="preserve"> MIN(AD447*AD443,AC450)</f>
        <v>27438.283254268361</v>
      </c>
      <c r="AE448" s="52">
        <f t="shared" ref="AE448" ca="1" si="4160" xml:space="preserve"> MIN(AE447*AE443,AD450)</f>
        <v>27438.283254268361</v>
      </c>
      <c r="AF448" s="52">
        <f t="shared" ref="AF448" ca="1" si="4161" xml:space="preserve"> MIN(AF447*AF443,AE450)</f>
        <v>27438.283254268361</v>
      </c>
      <c r="AG448" s="52">
        <f t="shared" ref="AG448" ca="1" si="4162" xml:space="preserve"> MIN(AG447*AG443,AF450)</f>
        <v>27438.283254268361</v>
      </c>
      <c r="AH448" s="52">
        <f t="shared" ref="AH448" ca="1" si="4163" xml:space="preserve"> MIN(AH447*AH443,AG450)</f>
        <v>27438.283254268361</v>
      </c>
      <c r="AI448" s="52">
        <f t="shared" ref="AI448" ca="1" si="4164" xml:space="preserve"> MIN(AI447*AI443,AH450)</f>
        <v>27438.283254268361</v>
      </c>
      <c r="AJ448" s="52">
        <f t="shared" ref="AJ448" ca="1" si="4165" xml:space="preserve"> MIN(AJ447*AJ443,AI450)</f>
        <v>27438.283254268361</v>
      </c>
      <c r="AK448" s="52">
        <f t="shared" ref="AK448" ca="1" si="4166" xml:space="preserve"> MIN(AK447*AK443,AJ450)</f>
        <v>27438.283254268361</v>
      </c>
      <c r="AL448" s="52">
        <f t="shared" ref="AL448" ca="1" si="4167" xml:space="preserve"> MIN(AL447*AL443,AK450)</f>
        <v>27438.283254268361</v>
      </c>
      <c r="AM448" s="52">
        <f t="shared" ref="AM448" ca="1" si="4168" xml:space="preserve"> MIN(AM447*AM443,AL450)</f>
        <v>27438.283254268361</v>
      </c>
      <c r="AN448" s="52">
        <f t="shared" ref="AN448" ca="1" si="4169" xml:space="preserve"> MIN(AN447*AN443,AM450)</f>
        <v>27438.283254268361</v>
      </c>
      <c r="AO448" s="52">
        <f t="shared" ref="AO448" ca="1" si="4170" xml:space="preserve"> MIN(AO447*AO443,AN450)</f>
        <v>27438.283254268361</v>
      </c>
      <c r="AP448" s="52">
        <f t="shared" ref="AP448" ca="1" si="4171" xml:space="preserve"> MIN(AP447*AP443,AO450)</f>
        <v>27438.283254268361</v>
      </c>
      <c r="AQ448" s="52">
        <f t="shared" ref="AQ448" ca="1" si="4172" xml:space="preserve"> MIN(AQ447*AQ443,AP450)</f>
        <v>27438.283254268361</v>
      </c>
      <c r="AR448" s="52">
        <f t="shared" ref="AR448" ca="1" si="4173" xml:space="preserve"> MIN(AR447*AR443,AQ450)</f>
        <v>27438.283254268361</v>
      </c>
      <c r="AS448" s="52">
        <f t="shared" ref="AS448" ca="1" si="4174" xml:space="preserve"> MIN(AS447*AS443,AR450)</f>
        <v>27438.283254268361</v>
      </c>
      <c r="AT448" s="52">
        <f t="shared" ref="AT448" ca="1" si="4175" xml:space="preserve"> MIN(AT447*AT443,AS450)</f>
        <v>27438.283254268361</v>
      </c>
      <c r="AU448" s="52">
        <f t="shared" ref="AU448" ca="1" si="4176" xml:space="preserve"> MIN(AU447*AU443,AT450)</f>
        <v>27438.283254268361</v>
      </c>
      <c r="AV448" s="52">
        <f t="shared" ref="AV448" ca="1" si="4177" xml:space="preserve"> MIN(AV447*AV443,AU450)</f>
        <v>27438.283254268361</v>
      </c>
      <c r="AW448" s="52">
        <f t="shared" ref="AW448" ca="1" si="4178" xml:space="preserve"> MIN(AW447*AW443,AV450)</f>
        <v>27438.283254268361</v>
      </c>
      <c r="AX448" s="52">
        <f t="shared" ref="AX448" ca="1" si="4179" xml:space="preserve"> MIN(AX447*AX443,AW450)</f>
        <v>27438.283254268361</v>
      </c>
      <c r="AY448" s="52">
        <f t="shared" ref="AY448" ca="1" si="4180" xml:space="preserve"> MIN(AY447*AY443,AX450)</f>
        <v>27438.283254268361</v>
      </c>
      <c r="AZ448" s="52">
        <f t="shared" ref="AZ448" ca="1" si="4181" xml:space="preserve"> MIN(AZ447*AZ443,AY450)</f>
        <v>27438.283254268361</v>
      </c>
      <c r="BA448" s="52">
        <f t="shared" ref="BA448" ca="1" si="4182" xml:space="preserve"> MIN(BA447*BA443,AZ450)</f>
        <v>27438.283254268361</v>
      </c>
      <c r="BB448" s="52">
        <f t="shared" ref="BB448" ca="1" si="4183" xml:space="preserve"> MIN(BB447*BB443,BA450)</f>
        <v>27438.283254268361</v>
      </c>
      <c r="BC448" s="52">
        <f t="shared" ref="BC448" ca="1" si="4184" xml:space="preserve"> MIN(BC447*BC443,BB450)</f>
        <v>27438.283254268361</v>
      </c>
      <c r="BD448" s="52">
        <f t="shared" ref="BD448" ca="1" si="4185" xml:space="preserve"> MIN(BD447*BD443,BC450)</f>
        <v>27438.283254268361</v>
      </c>
      <c r="BE448" s="52">
        <f t="shared" ref="BE448" ca="1" si="4186" xml:space="preserve"> MIN(BE447*BE443,BD450)</f>
        <v>0</v>
      </c>
      <c r="BF448" s="52">
        <f t="shared" ref="BF448" ca="1" si="4187" xml:space="preserve"> MIN(BF447*BF443,BE450)</f>
        <v>0</v>
      </c>
      <c r="BG448" s="52">
        <f t="shared" ref="BG448" ca="1" si="4188" xml:space="preserve"> MIN(BG447*BG443,BF450)</f>
        <v>0</v>
      </c>
      <c r="BH448" s="52">
        <f t="shared" ref="BH448" ca="1" si="4189" xml:space="preserve"> MIN(BH447*BH443,BG450)</f>
        <v>0</v>
      </c>
      <c r="BI448" s="52">
        <f t="shared" ref="BI448" ca="1" si="4190" xml:space="preserve"> MIN(BI447*BI443,BH450)</f>
        <v>0</v>
      </c>
      <c r="BJ448" s="52">
        <f t="shared" ref="BJ448" ca="1" si="4191" xml:space="preserve"> MIN(BJ447*BJ443,BI450)</f>
        <v>0</v>
      </c>
      <c r="BK448" s="52">
        <f t="shared" ref="BK448" ca="1" si="4192" xml:space="preserve"> MIN(BK447*BK443,BJ450)</f>
        <v>0</v>
      </c>
      <c r="BL448" s="52">
        <f t="shared" ref="BL448" ca="1" si="4193" xml:space="preserve"> MIN(BL447*BL443,BK450)</f>
        <v>0</v>
      </c>
      <c r="BM448" s="52">
        <f t="shared" ref="BM448" ca="1" si="4194" xml:space="preserve"> MIN(BM447*BM443,BL450)</f>
        <v>0</v>
      </c>
      <c r="BN448" s="52">
        <f t="shared" ref="BN448" ca="1" si="4195" xml:space="preserve"> MIN(BN447*BN443,BM450)</f>
        <v>0</v>
      </c>
      <c r="BO448" s="52">
        <f t="shared" ref="BO448" ca="1" si="4196" xml:space="preserve"> MIN(BO447*BO443,BN450)</f>
        <v>0</v>
      </c>
      <c r="BP448" s="52">
        <f t="shared" ref="BP448" ca="1" si="4197" xml:space="preserve"> MIN(BP447*BP443,BO450)</f>
        <v>0</v>
      </c>
      <c r="BQ448" s="52">
        <f t="shared" ref="BQ448" ca="1" si="4198" xml:space="preserve"> MIN(BQ447*BQ443,BP450)</f>
        <v>0</v>
      </c>
      <c r="BR448" s="52">
        <f t="shared" ref="BR448" ca="1" si="4199" xml:space="preserve"> MIN(BR447*BR443,BQ450)</f>
        <v>0</v>
      </c>
      <c r="BS448" s="52">
        <f t="shared" ref="BS448" ca="1" si="4200" xml:space="preserve"> MIN(BS447*BS443,BR450)</f>
        <v>0</v>
      </c>
      <c r="BT448" s="52">
        <f t="shared" ref="BT448" ca="1" si="4201" xml:space="preserve"> MIN(BT447*BT443,BS450)</f>
        <v>0</v>
      </c>
      <c r="BU448" s="52">
        <f t="shared" ref="BU448" ca="1" si="4202" xml:space="preserve"> MIN(BU447*BU443,BT450)</f>
        <v>0</v>
      </c>
      <c r="BV448" s="52">
        <f t="shared" ref="BV448" ca="1" si="4203" xml:space="preserve"> MIN(BV447*BV443,BU450)</f>
        <v>0</v>
      </c>
      <c r="BW448" s="52">
        <f t="shared" ref="BW448" ca="1" si="4204" xml:space="preserve"> MIN(BW447*BW443,BV450)</f>
        <v>0</v>
      </c>
      <c r="BX448" s="52">
        <f t="shared" ref="BX448" ca="1" si="4205" xml:space="preserve"> MIN(BX447*BX443,BW450)</f>
        <v>0</v>
      </c>
      <c r="BY448" s="52">
        <f t="shared" ref="BY448" ca="1" si="4206" xml:space="preserve"> MIN(BY447*BY443,BX450)</f>
        <v>0</v>
      </c>
      <c r="BZ448" s="52">
        <f t="shared" ref="BZ448" ca="1" si="4207" xml:space="preserve"> MIN(BZ447*BZ443,BY450)</f>
        <v>0</v>
      </c>
      <c r="CA448" s="52">
        <f t="shared" ref="CA448" ca="1" si="4208" xml:space="preserve"> MIN(CA447*CA443,BZ450)</f>
        <v>0</v>
      </c>
      <c r="CB448" s="52">
        <f t="shared" ref="CB448" ca="1" si="4209" xml:space="preserve"> MIN(CB447*CB443,CA450)</f>
        <v>0</v>
      </c>
      <c r="CC448" s="52">
        <f t="shared" ref="CC448" ca="1" si="4210" xml:space="preserve"> MIN(CC447*CC443,CB450)</f>
        <v>0</v>
      </c>
      <c r="CD448" s="52">
        <f t="shared" ref="CD448" ca="1" si="4211" xml:space="preserve"> MIN(CD447*CD443,CC450)</f>
        <v>0</v>
      </c>
      <c r="CE448" s="52">
        <f t="shared" ref="CE448" ca="1" si="4212" xml:space="preserve"> MIN(CE447*CE443,CD450)</f>
        <v>0</v>
      </c>
      <c r="CF448" s="52">
        <f t="shared" ref="CF448" ca="1" si="4213" xml:space="preserve"> MIN(CF447*CF443,CE450)</f>
        <v>0</v>
      </c>
      <c r="CG448" s="52">
        <f t="shared" ref="CG448" ca="1" si="4214" xml:space="preserve"> MIN(CG447*CG443,CF450)</f>
        <v>0</v>
      </c>
      <c r="CH448" s="52">
        <f t="shared" ref="CH448" ca="1" si="4215" xml:space="preserve"> MIN(CH447*CH443,CG450)</f>
        <v>0</v>
      </c>
      <c r="CI448" s="52">
        <f t="shared" ref="CI448" ca="1" si="4216" xml:space="preserve"> MIN(CI447*CI443,CH450)</f>
        <v>0</v>
      </c>
      <c r="CJ448" s="52">
        <f t="shared" ref="CJ448" ca="1" si="4217" xml:space="preserve"> MIN(CJ447*CJ443,CI450)</f>
        <v>0</v>
      </c>
      <c r="CK448" s="52">
        <f t="shared" ref="CK448" ca="1" si="4218" xml:space="preserve"> MIN(CK447*CK443,CJ450)</f>
        <v>0</v>
      </c>
      <c r="CL448" s="52">
        <f t="shared" ref="CL448" ca="1" si="4219" xml:space="preserve"> MIN(CL447*CL443,CK450)</f>
        <v>0</v>
      </c>
      <c r="CM448" s="52">
        <f t="shared" ref="CM448" ca="1" si="4220" xml:space="preserve"> MIN(CM447*CM443,CL450)</f>
        <v>0</v>
      </c>
      <c r="CN448" s="52">
        <f t="shared" ref="CN448" ca="1" si="4221" xml:space="preserve"> MIN(CN447*CN443,CM450)</f>
        <v>0</v>
      </c>
      <c r="CO448" s="52">
        <f t="shared" ref="CO448" ca="1" si="4222" xml:space="preserve"> MIN(CO447*CO443,CN450)</f>
        <v>0</v>
      </c>
    </row>
    <row r="449" spans="1:93">
      <c r="A449" s="10"/>
      <c r="B449" s="10"/>
      <c r="C449" s="17" t="s">
        <v>127</v>
      </c>
      <c r="D449" s="10"/>
      <c r="E449" s="62"/>
      <c r="F449" s="11"/>
      <c r="G449" s="134" t="str">
        <f t="shared" si="4126"/>
        <v>тыс. руб.</v>
      </c>
      <c r="H449" s="10"/>
      <c r="I449" s="10"/>
      <c r="J449" s="10"/>
      <c r="K449" s="10"/>
      <c r="L449" s="52">
        <f t="shared" ref="L449" ca="1" si="4223" xml:space="preserve"> SUM(K449,-L448)</f>
        <v>0</v>
      </c>
      <c r="M449" s="52">
        <f t="shared" ref="M449" ca="1" si="4224" xml:space="preserve"> SUM(L449,-M448)</f>
        <v>0</v>
      </c>
      <c r="N449" s="52">
        <f t="shared" ref="N449" ca="1" si="4225" xml:space="preserve"> SUM(M449,-N448)</f>
        <v>0</v>
      </c>
      <c r="O449" s="52">
        <f t="shared" ref="O449" ca="1" si="4226" xml:space="preserve"> SUM(N449,-O448)</f>
        <v>0</v>
      </c>
      <c r="P449" s="52">
        <f t="shared" ref="P449" ca="1" si="4227" xml:space="preserve"> SUM(O449,-P448)</f>
        <v>0</v>
      </c>
      <c r="Q449" s="52">
        <f t="shared" ref="Q449" ca="1" si="4228" xml:space="preserve"> SUM(P449,-Q448)</f>
        <v>0</v>
      </c>
      <c r="R449" s="52">
        <f t="shared" ref="R449" ca="1" si="4229" xml:space="preserve"> SUM(Q449,-R448)</f>
        <v>0</v>
      </c>
      <c r="S449" s="52">
        <f t="shared" ref="S449" ca="1" si="4230" xml:space="preserve"> SUM(R449,-S448)</f>
        <v>0</v>
      </c>
      <c r="T449" s="52">
        <f t="shared" ref="T449" ca="1" si="4231" xml:space="preserve"> SUM(S449,-T448)</f>
        <v>0</v>
      </c>
      <c r="U449" s="52">
        <f t="shared" ref="U449" ca="1" si="4232" xml:space="preserve"> SUM(T449,-U448)</f>
        <v>0</v>
      </c>
      <c r="V449" s="52">
        <f t="shared" ref="V449" ca="1" si="4233" xml:space="preserve"> SUM(U449,-V448)</f>
        <v>0</v>
      </c>
      <c r="W449" s="52">
        <f t="shared" ref="W449" ca="1" si="4234" xml:space="preserve"> SUM(V449,-W448)</f>
        <v>0</v>
      </c>
      <c r="X449" s="52">
        <f t="shared" ref="X449" ca="1" si="4235" xml:space="preserve"> SUM(W449,-X448)</f>
        <v>0</v>
      </c>
      <c r="Y449" s="52">
        <f t="shared" ref="Y449" ca="1" si="4236" xml:space="preserve"> SUM(X449,-Y448)</f>
        <v>0</v>
      </c>
      <c r="Z449" s="52">
        <f t="shared" ref="Z449" ca="1" si="4237" xml:space="preserve"> SUM(Y449,-Z448)</f>
        <v>0</v>
      </c>
      <c r="AA449" s="52">
        <f t="shared" ref="AA449" ca="1" si="4238" xml:space="preserve"> SUM(Z449,-AA448)</f>
        <v>0</v>
      </c>
      <c r="AB449" s="52">
        <f t="shared" ref="AB449" ca="1" si="4239" xml:space="preserve"> SUM(AA449,-AB448)</f>
        <v>0</v>
      </c>
      <c r="AC449" s="52">
        <f t="shared" ref="AC449" ca="1" si="4240" xml:space="preserve"> SUM(AB449,-AC448)</f>
        <v>-27438.283254268361</v>
      </c>
      <c r="AD449" s="52">
        <f t="shared" ref="AD449" ca="1" si="4241" xml:space="preserve"> SUM(AC449,-AD448)</f>
        <v>-54876.566508536722</v>
      </c>
      <c r="AE449" s="52">
        <f t="shared" ref="AE449" ca="1" si="4242" xml:space="preserve"> SUM(AD449,-AE448)</f>
        <v>-82314.849762805083</v>
      </c>
      <c r="AF449" s="52">
        <f t="shared" ref="AF449" ca="1" si="4243" xml:space="preserve"> SUM(AE449,-AF448)</f>
        <v>-109753.13301707344</v>
      </c>
      <c r="AG449" s="52">
        <f t="shared" ref="AG449" ca="1" si="4244" xml:space="preserve"> SUM(AF449,-AG448)</f>
        <v>-137191.41627134179</v>
      </c>
      <c r="AH449" s="52">
        <f t="shared" ref="AH449" ca="1" si="4245" xml:space="preserve"> SUM(AG449,-AH448)</f>
        <v>-164629.69952561014</v>
      </c>
      <c r="AI449" s="52">
        <f t="shared" ref="AI449" ca="1" si="4246" xml:space="preserve"> SUM(AH449,-AI448)</f>
        <v>-192067.98277987848</v>
      </c>
      <c r="AJ449" s="52">
        <f t="shared" ref="AJ449" ca="1" si="4247" xml:space="preserve"> SUM(AI449,-AJ448)</f>
        <v>-219506.26603414683</v>
      </c>
      <c r="AK449" s="52">
        <f t="shared" ref="AK449" ca="1" si="4248" xml:space="preserve"> SUM(AJ449,-AK448)</f>
        <v>-246944.54928841518</v>
      </c>
      <c r="AL449" s="52">
        <f t="shared" ref="AL449" ca="1" si="4249" xml:space="preserve"> SUM(AK449,-AL448)</f>
        <v>-274382.83254268352</v>
      </c>
      <c r="AM449" s="52">
        <f t="shared" ref="AM449" ca="1" si="4250" xml:space="preserve"> SUM(AL449,-AM448)</f>
        <v>-301821.11579695187</v>
      </c>
      <c r="AN449" s="52">
        <f t="shared" ref="AN449" ca="1" si="4251" xml:space="preserve"> SUM(AM449,-AN448)</f>
        <v>-329259.39905122021</v>
      </c>
      <c r="AO449" s="52">
        <f t="shared" ref="AO449" ca="1" si="4252" xml:space="preserve"> SUM(AN449,-AO448)</f>
        <v>-356697.68230548856</v>
      </c>
      <c r="AP449" s="52">
        <f t="shared" ref="AP449" ca="1" si="4253" xml:space="preserve"> SUM(AO449,-AP448)</f>
        <v>-384135.96555975691</v>
      </c>
      <c r="AQ449" s="52">
        <f t="shared" ref="AQ449" ca="1" si="4254" xml:space="preserve"> SUM(AP449,-AQ448)</f>
        <v>-411574.24881402525</v>
      </c>
      <c r="AR449" s="52">
        <f t="shared" ref="AR449" ca="1" si="4255" xml:space="preserve"> SUM(AQ449,-AR448)</f>
        <v>-439012.5320682936</v>
      </c>
      <c r="AS449" s="52">
        <f t="shared" ref="AS449" ca="1" si="4256" xml:space="preserve"> SUM(AR449,-AS448)</f>
        <v>-466450.81532256195</v>
      </c>
      <c r="AT449" s="52">
        <f t="shared" ref="AT449" ca="1" si="4257" xml:space="preserve"> SUM(AS449,-AT448)</f>
        <v>-493889.09857683029</v>
      </c>
      <c r="AU449" s="52">
        <f t="shared" ref="AU449" ca="1" si="4258" xml:space="preserve"> SUM(AT449,-AU448)</f>
        <v>-521327.38183109864</v>
      </c>
      <c r="AV449" s="52">
        <f t="shared" ref="AV449" ca="1" si="4259" xml:space="preserve"> SUM(AU449,-AV448)</f>
        <v>-548765.66508536704</v>
      </c>
      <c r="AW449" s="52">
        <f t="shared" ref="AW449" ca="1" si="4260" xml:space="preserve"> SUM(AV449,-AW448)</f>
        <v>-576203.94833963539</v>
      </c>
      <c r="AX449" s="52">
        <f t="shared" ref="AX449" ca="1" si="4261" xml:space="preserve"> SUM(AW449,-AX448)</f>
        <v>-603642.23159390374</v>
      </c>
      <c r="AY449" s="52">
        <f t="shared" ref="AY449" ca="1" si="4262" xml:space="preserve"> SUM(AX449,-AY448)</f>
        <v>-631080.51484817208</v>
      </c>
      <c r="AZ449" s="52">
        <f t="shared" ref="AZ449" ca="1" si="4263" xml:space="preserve"> SUM(AY449,-AZ448)</f>
        <v>-658518.79810244043</v>
      </c>
      <c r="BA449" s="52">
        <f t="shared" ref="BA449" ca="1" si="4264" xml:space="preserve"> SUM(AZ449,-BA448)</f>
        <v>-685957.08135670878</v>
      </c>
      <c r="BB449" s="52">
        <f t="shared" ref="BB449" ca="1" si="4265" xml:space="preserve"> SUM(BA449,-BB448)</f>
        <v>-713395.36461097712</v>
      </c>
      <c r="BC449" s="52">
        <f t="shared" ref="BC449" ca="1" si="4266" xml:space="preserve"> SUM(BB449,-BC448)</f>
        <v>-740833.64786524547</v>
      </c>
      <c r="BD449" s="52">
        <f t="shared" ref="BD449" ca="1" si="4267" xml:space="preserve"> SUM(BC449,-BD448)</f>
        <v>-768271.93111951381</v>
      </c>
      <c r="BE449" s="52">
        <f t="shared" ref="BE449" ca="1" si="4268" xml:space="preserve"> SUM(BD449,-BE448)</f>
        <v>-768271.93111951381</v>
      </c>
      <c r="BF449" s="52">
        <f t="shared" ref="BF449" ca="1" si="4269" xml:space="preserve"> SUM(BE449,-BF448)</f>
        <v>-768271.93111951381</v>
      </c>
      <c r="BG449" s="52">
        <f t="shared" ref="BG449" ca="1" si="4270" xml:space="preserve"> SUM(BF449,-BG448)</f>
        <v>-768271.93111951381</v>
      </c>
      <c r="BH449" s="52">
        <f t="shared" ref="BH449" ca="1" si="4271" xml:space="preserve"> SUM(BG449,-BH448)</f>
        <v>-768271.93111951381</v>
      </c>
      <c r="BI449" s="52">
        <f t="shared" ref="BI449" ca="1" si="4272" xml:space="preserve"> SUM(BH449,-BI448)</f>
        <v>-768271.93111951381</v>
      </c>
      <c r="BJ449" s="52">
        <f t="shared" ref="BJ449" ca="1" si="4273" xml:space="preserve"> SUM(BI449,-BJ448)</f>
        <v>-768271.93111951381</v>
      </c>
      <c r="BK449" s="52">
        <f t="shared" ref="BK449" ca="1" si="4274" xml:space="preserve"> SUM(BJ449,-BK448)</f>
        <v>-768271.93111951381</v>
      </c>
      <c r="BL449" s="52">
        <f t="shared" ref="BL449" ca="1" si="4275" xml:space="preserve"> SUM(BK449,-BL448)</f>
        <v>-768271.93111951381</v>
      </c>
      <c r="BM449" s="52">
        <f t="shared" ref="BM449" ca="1" si="4276" xml:space="preserve"> SUM(BL449,-BM448)</f>
        <v>-768271.93111951381</v>
      </c>
      <c r="BN449" s="52">
        <f t="shared" ref="BN449" ca="1" si="4277" xml:space="preserve"> SUM(BM449,-BN448)</f>
        <v>-768271.93111951381</v>
      </c>
      <c r="BO449" s="52">
        <f t="shared" ref="BO449" ca="1" si="4278" xml:space="preserve"> SUM(BN449,-BO448)</f>
        <v>-768271.93111951381</v>
      </c>
      <c r="BP449" s="52">
        <f t="shared" ref="BP449" ca="1" si="4279" xml:space="preserve"> SUM(BO449,-BP448)</f>
        <v>-768271.93111951381</v>
      </c>
      <c r="BQ449" s="52">
        <f t="shared" ref="BQ449" ca="1" si="4280" xml:space="preserve"> SUM(BP449,-BQ448)</f>
        <v>-768271.93111951381</v>
      </c>
      <c r="BR449" s="52">
        <f t="shared" ref="BR449" ca="1" si="4281" xml:space="preserve"> SUM(BQ449,-BR448)</f>
        <v>-768271.93111951381</v>
      </c>
      <c r="BS449" s="52">
        <f t="shared" ref="BS449" ca="1" si="4282" xml:space="preserve"> SUM(BR449,-BS448)</f>
        <v>-768271.93111951381</v>
      </c>
      <c r="BT449" s="52">
        <f t="shared" ref="BT449" ca="1" si="4283" xml:space="preserve"> SUM(BS449,-BT448)</f>
        <v>-768271.93111951381</v>
      </c>
      <c r="BU449" s="52">
        <f t="shared" ref="BU449" ca="1" si="4284" xml:space="preserve"> SUM(BT449,-BU448)</f>
        <v>-768271.93111951381</v>
      </c>
      <c r="BV449" s="52">
        <f t="shared" ref="BV449" ca="1" si="4285" xml:space="preserve"> SUM(BU449,-BV448)</f>
        <v>-768271.93111951381</v>
      </c>
      <c r="BW449" s="52">
        <f t="shared" ref="BW449" ca="1" si="4286" xml:space="preserve"> SUM(BV449,-BW448)</f>
        <v>-768271.93111951381</v>
      </c>
      <c r="BX449" s="52">
        <f t="shared" ref="BX449" ca="1" si="4287" xml:space="preserve"> SUM(BW449,-BX448)</f>
        <v>-768271.93111951381</v>
      </c>
      <c r="BY449" s="52">
        <f t="shared" ref="BY449" ca="1" si="4288" xml:space="preserve"> SUM(BX449,-BY448)</f>
        <v>-768271.93111951381</v>
      </c>
      <c r="BZ449" s="52">
        <f t="shared" ref="BZ449" ca="1" si="4289" xml:space="preserve"> SUM(BY449,-BZ448)</f>
        <v>-768271.93111951381</v>
      </c>
      <c r="CA449" s="52">
        <f t="shared" ref="CA449" ca="1" si="4290" xml:space="preserve"> SUM(BZ449,-CA448)</f>
        <v>-768271.93111951381</v>
      </c>
      <c r="CB449" s="52">
        <f t="shared" ref="CB449" ca="1" si="4291" xml:space="preserve"> SUM(CA449,-CB448)</f>
        <v>-768271.93111951381</v>
      </c>
      <c r="CC449" s="52">
        <f t="shared" ref="CC449" ca="1" si="4292" xml:space="preserve"> SUM(CB449,-CC448)</f>
        <v>-768271.93111951381</v>
      </c>
      <c r="CD449" s="52">
        <f t="shared" ref="CD449" ca="1" si="4293" xml:space="preserve"> SUM(CC449,-CD448)</f>
        <v>-768271.93111951381</v>
      </c>
      <c r="CE449" s="52">
        <f t="shared" ref="CE449" ca="1" si="4294" xml:space="preserve"> SUM(CD449,-CE448)</f>
        <v>-768271.93111951381</v>
      </c>
      <c r="CF449" s="52">
        <f t="shared" ref="CF449" ca="1" si="4295" xml:space="preserve"> SUM(CE449,-CF448)</f>
        <v>-768271.93111951381</v>
      </c>
      <c r="CG449" s="52">
        <f t="shared" ref="CG449" ca="1" si="4296" xml:space="preserve"> SUM(CF449,-CG448)</f>
        <v>-768271.93111951381</v>
      </c>
      <c r="CH449" s="52">
        <f t="shared" ref="CH449" ca="1" si="4297" xml:space="preserve"> SUM(CG449,-CH448)</f>
        <v>-768271.93111951381</v>
      </c>
      <c r="CI449" s="52">
        <f t="shared" ref="CI449" ca="1" si="4298" xml:space="preserve"> SUM(CH449,-CI448)</f>
        <v>-768271.93111951381</v>
      </c>
      <c r="CJ449" s="52">
        <f t="shared" ref="CJ449" ca="1" si="4299" xml:space="preserve"> SUM(CI449,-CJ448)</f>
        <v>-768271.93111951381</v>
      </c>
      <c r="CK449" s="52">
        <f t="shared" ref="CK449" ca="1" si="4300" xml:space="preserve"> SUM(CJ449,-CK448)</f>
        <v>-768271.93111951381</v>
      </c>
      <c r="CL449" s="52">
        <f t="shared" ref="CL449" ca="1" si="4301" xml:space="preserve"> SUM(CK449,-CL448)</f>
        <v>-768271.93111951381</v>
      </c>
      <c r="CM449" s="52">
        <f t="shared" ref="CM449" ca="1" si="4302" xml:space="preserve"> SUM(CL449,-CM448)</f>
        <v>-768271.93111951381</v>
      </c>
      <c r="CN449" s="52">
        <f t="shared" ref="CN449" ca="1" si="4303" xml:space="preserve"> SUM(CM449,-CN448)</f>
        <v>-768271.93111951381</v>
      </c>
      <c r="CO449" s="52">
        <f t="shared" ref="CO449" ca="1" si="4304" xml:space="preserve"> SUM(CN449,-CO448)</f>
        <v>-768271.93111951381</v>
      </c>
    </row>
    <row r="450" spans="1:93">
      <c r="A450" s="10"/>
      <c r="B450" s="10"/>
      <c r="C450" s="17" t="s">
        <v>128</v>
      </c>
      <c r="D450" s="10"/>
      <c r="E450" s="62"/>
      <c r="F450" s="11"/>
      <c r="G450" s="134" t="str">
        <f t="shared" si="4126"/>
        <v>тыс. руб.</v>
      </c>
      <c r="H450" s="10"/>
      <c r="I450" s="10"/>
      <c r="J450" s="10"/>
      <c r="K450" s="10"/>
      <c r="L450" s="52">
        <f t="shared" ref="L450" ca="1" si="4305" xml:space="preserve"> SUM(L447,L449)</f>
        <v>0</v>
      </c>
      <c r="M450" s="52">
        <f t="shared" ref="M450" ca="1" si="4306" xml:space="preserve"> SUM(M447,M449)</f>
        <v>0</v>
      </c>
      <c r="N450" s="52">
        <f t="shared" ref="N450" ca="1" si="4307" xml:space="preserve"> SUM(N447,N449)</f>
        <v>0</v>
      </c>
      <c r="O450" s="52">
        <f t="shared" ref="O450" ca="1" si="4308" xml:space="preserve"> SUM(O447,O449)</f>
        <v>0</v>
      </c>
      <c r="P450" s="52">
        <f t="shared" ref="P450" ca="1" si="4309" xml:space="preserve"> SUM(P447,P449)</f>
        <v>0</v>
      </c>
      <c r="Q450" s="52">
        <f t="shared" ref="Q450" ca="1" si="4310" xml:space="preserve"> SUM(Q447,Q449)</f>
        <v>0</v>
      </c>
      <c r="R450" s="52">
        <f t="shared" ref="R450" ca="1" si="4311" xml:space="preserve"> SUM(R447,R449)</f>
        <v>0</v>
      </c>
      <c r="S450" s="52">
        <f t="shared" ref="S450" ca="1" si="4312" xml:space="preserve"> SUM(S447,S449)</f>
        <v>0</v>
      </c>
      <c r="T450" s="52">
        <f t="shared" ref="T450" ca="1" si="4313" xml:space="preserve"> SUM(T447,T449)</f>
        <v>0</v>
      </c>
      <c r="U450" s="52">
        <f t="shared" ref="U450" ca="1" si="4314" xml:space="preserve"> SUM(U447,U449)</f>
        <v>0</v>
      </c>
      <c r="V450" s="52">
        <f t="shared" ref="V450" ca="1" si="4315" xml:space="preserve"> SUM(V447,V449)</f>
        <v>0</v>
      </c>
      <c r="W450" s="52">
        <f t="shared" ref="W450" ca="1" si="4316" xml:space="preserve"> SUM(W447,W449)</f>
        <v>0</v>
      </c>
      <c r="X450" s="52">
        <f t="shared" ref="X450" ca="1" si="4317" xml:space="preserve"> SUM(X447,X449)</f>
        <v>0</v>
      </c>
      <c r="Y450" s="52">
        <f t="shared" ref="Y450" ca="1" si="4318" xml:space="preserve"> SUM(Y447,Y449)</f>
        <v>0</v>
      </c>
      <c r="Z450" s="52">
        <f t="shared" ref="Z450" ca="1" si="4319" xml:space="preserve"> SUM(Z447,Z449)</f>
        <v>0</v>
      </c>
      <c r="AA450" s="52">
        <f t="shared" ref="AA450" ca="1" si="4320" xml:space="preserve"> SUM(AA447,AA449)</f>
        <v>0</v>
      </c>
      <c r="AB450" s="52">
        <f t="shared" ref="AB450" ca="1" si="4321" xml:space="preserve"> SUM(AB447,AB449)</f>
        <v>1097531.3301707346</v>
      </c>
      <c r="AC450" s="52">
        <f t="shared" ref="AC450" ca="1" si="4322" xml:space="preserve"> SUM(AC447,AC449)</f>
        <v>740833.64786524582</v>
      </c>
      <c r="AD450" s="52">
        <f t="shared" ref="AD450" ca="1" si="4323" xml:space="preserve"> SUM(AD447,AD449)</f>
        <v>713395.36461097747</v>
      </c>
      <c r="AE450" s="52">
        <f t="shared" ref="AE450" ca="1" si="4324" xml:space="preserve"> SUM(AE447,AE449)</f>
        <v>685957.08135670912</v>
      </c>
      <c r="AF450" s="52">
        <f t="shared" ref="AF450" ca="1" si="4325" xml:space="preserve"> SUM(AF447,AF449)</f>
        <v>658518.79810244078</v>
      </c>
      <c r="AG450" s="52">
        <f t="shared" ref="AG450" ca="1" si="4326" xml:space="preserve"> SUM(AG447,AG449)</f>
        <v>631080.51484817243</v>
      </c>
      <c r="AH450" s="52">
        <f t="shared" ref="AH450" ca="1" si="4327" xml:space="preserve"> SUM(AH447,AH449)</f>
        <v>603642.23159390409</v>
      </c>
      <c r="AI450" s="52">
        <f t="shared" ref="AI450" ca="1" si="4328" xml:space="preserve"> SUM(AI447,AI449)</f>
        <v>576203.94833963574</v>
      </c>
      <c r="AJ450" s="52">
        <f t="shared" ref="AJ450" ca="1" si="4329" xml:space="preserve"> SUM(AJ447,AJ449)</f>
        <v>548765.66508536739</v>
      </c>
      <c r="AK450" s="52">
        <f t="shared" ref="AK450" ca="1" si="4330" xml:space="preserve"> SUM(AK447,AK449)</f>
        <v>521327.38183109899</v>
      </c>
      <c r="AL450" s="52">
        <f t="shared" ref="AL450" ca="1" si="4331" xml:space="preserve"> SUM(AL447,AL449)</f>
        <v>493889.09857683064</v>
      </c>
      <c r="AM450" s="52">
        <f t="shared" ref="AM450" ca="1" si="4332" xml:space="preserve"> SUM(AM447,AM449)</f>
        <v>466450.8153225623</v>
      </c>
      <c r="AN450" s="52">
        <f t="shared" ref="AN450" ca="1" si="4333" xml:space="preserve"> SUM(AN447,AN449)</f>
        <v>439012.53206829395</v>
      </c>
      <c r="AO450" s="52">
        <f t="shared" ref="AO450" ca="1" si="4334" xml:space="preserve"> SUM(AO447,AO449)</f>
        <v>411574.2488140256</v>
      </c>
      <c r="AP450" s="52">
        <f t="shared" ref="AP450" ca="1" si="4335" xml:space="preserve"> SUM(AP447,AP449)</f>
        <v>384135.96555975726</v>
      </c>
      <c r="AQ450" s="52">
        <f t="shared" ref="AQ450" ca="1" si="4336" xml:space="preserve"> SUM(AQ447,AQ449)</f>
        <v>356697.68230548891</v>
      </c>
      <c r="AR450" s="52">
        <f t="shared" ref="AR450" ca="1" si="4337" xml:space="preserve"> SUM(AR447,AR449)</f>
        <v>329259.39905122056</v>
      </c>
      <c r="AS450" s="52">
        <f t="shared" ref="AS450" ca="1" si="4338" xml:space="preserve"> SUM(AS447,AS449)</f>
        <v>301821.11579695222</v>
      </c>
      <c r="AT450" s="52">
        <f t="shared" ref="AT450" ca="1" si="4339" xml:space="preserve"> SUM(AT447,AT449)</f>
        <v>274382.83254268387</v>
      </c>
      <c r="AU450" s="52">
        <f t="shared" ref="AU450" ca="1" si="4340" xml:space="preserve"> SUM(AU447,AU449)</f>
        <v>246944.54928841552</v>
      </c>
      <c r="AV450" s="52">
        <f t="shared" ref="AV450" ca="1" si="4341" xml:space="preserve"> SUM(AV447,AV449)</f>
        <v>219506.26603414712</v>
      </c>
      <c r="AW450" s="52">
        <f t="shared" ref="AW450" ca="1" si="4342" xml:space="preserve"> SUM(AW447,AW449)</f>
        <v>192067.98277987877</v>
      </c>
      <c r="AX450" s="52">
        <f t="shared" ref="AX450" ca="1" si="4343" xml:space="preserve"> SUM(AX447,AX449)</f>
        <v>164629.69952561043</v>
      </c>
      <c r="AY450" s="52">
        <f t="shared" ref="AY450" ca="1" si="4344" xml:space="preserve"> SUM(AY447,AY449)</f>
        <v>137191.41627134208</v>
      </c>
      <c r="AZ450" s="52">
        <f t="shared" ref="AZ450" ca="1" si="4345" xml:space="preserve"> SUM(AZ447,AZ449)</f>
        <v>109753.13301707373</v>
      </c>
      <c r="BA450" s="52">
        <f t="shared" ref="BA450" ca="1" si="4346" xml:space="preserve"> SUM(BA447,BA449)</f>
        <v>82314.849762805388</v>
      </c>
      <c r="BB450" s="52">
        <f t="shared" ref="BB450" ca="1" si="4347" xml:space="preserve"> SUM(BB447,BB449)</f>
        <v>54876.566508537042</v>
      </c>
      <c r="BC450" s="52">
        <f t="shared" ref="BC450" ca="1" si="4348" xml:space="preserve"> SUM(BC447,BC449)</f>
        <v>27438.283254268696</v>
      </c>
      <c r="BD450" s="52">
        <f t="shared" ref="BD450" ca="1" si="4349" xml:space="preserve"> SUM(BD447,BD449)</f>
        <v>0</v>
      </c>
      <c r="BE450" s="52">
        <f t="shared" ref="BE450" ca="1" si="4350" xml:space="preserve"> SUM(BE447,BE449)</f>
        <v>0</v>
      </c>
      <c r="BF450" s="52">
        <f t="shared" ref="BF450" ca="1" si="4351" xml:space="preserve"> SUM(BF447,BF449)</f>
        <v>0</v>
      </c>
      <c r="BG450" s="52">
        <f t="shared" ref="BG450" ca="1" si="4352" xml:space="preserve"> SUM(BG447,BG449)</f>
        <v>0</v>
      </c>
      <c r="BH450" s="52">
        <f t="shared" ref="BH450" ca="1" si="4353" xml:space="preserve"> SUM(BH447,BH449)</f>
        <v>0</v>
      </c>
      <c r="BI450" s="52">
        <f t="shared" ref="BI450" ca="1" si="4354" xml:space="preserve"> SUM(BI447,BI449)</f>
        <v>0</v>
      </c>
      <c r="BJ450" s="52">
        <f t="shared" ref="BJ450" ca="1" si="4355" xml:space="preserve"> SUM(BJ447,BJ449)</f>
        <v>0</v>
      </c>
      <c r="BK450" s="52">
        <f t="shared" ref="BK450" ca="1" si="4356" xml:space="preserve"> SUM(BK447,BK449)</f>
        <v>0</v>
      </c>
      <c r="BL450" s="52">
        <f t="shared" ref="BL450" ca="1" si="4357" xml:space="preserve"> SUM(BL447,BL449)</f>
        <v>0</v>
      </c>
      <c r="BM450" s="52">
        <f t="shared" ref="BM450" ca="1" si="4358" xml:space="preserve"> SUM(BM447,BM449)</f>
        <v>0</v>
      </c>
      <c r="BN450" s="52">
        <f t="shared" ref="BN450" ca="1" si="4359" xml:space="preserve"> SUM(BN447,BN449)</f>
        <v>0</v>
      </c>
      <c r="BO450" s="52">
        <f t="shared" ref="BO450" ca="1" si="4360" xml:space="preserve"> SUM(BO447,BO449)</f>
        <v>0</v>
      </c>
      <c r="BP450" s="52">
        <f t="shared" ref="BP450" ca="1" si="4361" xml:space="preserve"> SUM(BP447,BP449)</f>
        <v>0</v>
      </c>
      <c r="BQ450" s="52">
        <f t="shared" ref="BQ450" ca="1" si="4362" xml:space="preserve"> SUM(BQ447,BQ449)</f>
        <v>0</v>
      </c>
      <c r="BR450" s="52">
        <f t="shared" ref="BR450" ca="1" si="4363" xml:space="preserve"> SUM(BR447,BR449)</f>
        <v>0</v>
      </c>
      <c r="BS450" s="52">
        <f t="shared" ref="BS450" ca="1" si="4364" xml:space="preserve"> SUM(BS447,BS449)</f>
        <v>0</v>
      </c>
      <c r="BT450" s="52">
        <f t="shared" ref="BT450" ca="1" si="4365" xml:space="preserve"> SUM(BT447,BT449)</f>
        <v>0</v>
      </c>
      <c r="BU450" s="52">
        <f t="shared" ref="BU450" ca="1" si="4366" xml:space="preserve"> SUM(BU447,BU449)</f>
        <v>0</v>
      </c>
      <c r="BV450" s="52">
        <f t="shared" ref="BV450" ca="1" si="4367" xml:space="preserve"> SUM(BV447,BV449)</f>
        <v>0</v>
      </c>
      <c r="BW450" s="52">
        <f t="shared" ref="BW450" ca="1" si="4368" xml:space="preserve"> SUM(BW447,BW449)</f>
        <v>0</v>
      </c>
      <c r="BX450" s="52">
        <f t="shared" ref="BX450" ca="1" si="4369" xml:space="preserve"> SUM(BX447,BX449)</f>
        <v>0</v>
      </c>
      <c r="BY450" s="52">
        <f t="shared" ref="BY450" ca="1" si="4370" xml:space="preserve"> SUM(BY447,BY449)</f>
        <v>0</v>
      </c>
      <c r="BZ450" s="52">
        <f t="shared" ref="BZ450" ca="1" si="4371" xml:space="preserve"> SUM(BZ447,BZ449)</f>
        <v>0</v>
      </c>
      <c r="CA450" s="52">
        <f t="shared" ref="CA450" ca="1" si="4372" xml:space="preserve"> SUM(CA447,CA449)</f>
        <v>0</v>
      </c>
      <c r="CB450" s="52">
        <f t="shared" ref="CB450" ca="1" si="4373" xml:space="preserve"> SUM(CB447,CB449)</f>
        <v>0</v>
      </c>
      <c r="CC450" s="52">
        <f t="shared" ref="CC450" ca="1" si="4374" xml:space="preserve"> SUM(CC447,CC449)</f>
        <v>0</v>
      </c>
      <c r="CD450" s="52">
        <f t="shared" ref="CD450" ca="1" si="4375" xml:space="preserve"> SUM(CD447,CD449)</f>
        <v>0</v>
      </c>
      <c r="CE450" s="52">
        <f t="shared" ref="CE450" ca="1" si="4376" xml:space="preserve"> SUM(CE447,CE449)</f>
        <v>0</v>
      </c>
      <c r="CF450" s="52">
        <f t="shared" ref="CF450" ca="1" si="4377" xml:space="preserve"> SUM(CF447,CF449)</f>
        <v>0</v>
      </c>
      <c r="CG450" s="52">
        <f t="shared" ref="CG450" ca="1" si="4378" xml:space="preserve"> SUM(CG447,CG449)</f>
        <v>0</v>
      </c>
      <c r="CH450" s="52">
        <f t="shared" ref="CH450" ca="1" si="4379" xml:space="preserve"> SUM(CH447,CH449)</f>
        <v>0</v>
      </c>
      <c r="CI450" s="52">
        <f t="shared" ref="CI450" ca="1" si="4380" xml:space="preserve"> SUM(CI447,CI449)</f>
        <v>0</v>
      </c>
      <c r="CJ450" s="52">
        <f t="shared" ref="CJ450" ca="1" si="4381" xml:space="preserve"> SUM(CJ447,CJ449)</f>
        <v>0</v>
      </c>
      <c r="CK450" s="52">
        <f t="shared" ref="CK450" ca="1" si="4382" xml:space="preserve"> SUM(CK447,CK449)</f>
        <v>0</v>
      </c>
      <c r="CL450" s="52">
        <f t="shared" ref="CL450" ca="1" si="4383" xml:space="preserve"> SUM(CL447,CL449)</f>
        <v>0</v>
      </c>
      <c r="CM450" s="52">
        <f t="shared" ref="CM450" ca="1" si="4384" xml:space="preserve"> SUM(CM447,CM449)</f>
        <v>0</v>
      </c>
      <c r="CN450" s="52">
        <f t="shared" ref="CN450" ca="1" si="4385" xml:space="preserve"> SUM(CN447,CN449)</f>
        <v>0</v>
      </c>
      <c r="CO450" s="52">
        <f t="shared" ref="CO450" ca="1" si="4386" xml:space="preserve"> SUM(CO447,CO449)</f>
        <v>0</v>
      </c>
    </row>
    <row r="451" spans="1:93">
      <c r="A451" s="10"/>
      <c r="B451" s="10"/>
      <c r="C451" s="17"/>
      <c r="D451" s="10"/>
      <c r="E451" s="62"/>
      <c r="F451" s="11"/>
      <c r="G451" s="11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  <c r="BL451" s="10"/>
      <c r="BM451" s="10"/>
      <c r="BN451" s="10"/>
      <c r="BO451" s="10"/>
      <c r="BP451" s="10"/>
      <c r="BQ451" s="10"/>
      <c r="BR451" s="10"/>
      <c r="BS451" s="10"/>
      <c r="BT451" s="10"/>
      <c r="BU451" s="10"/>
      <c r="BV451" s="10"/>
      <c r="BW451" s="10"/>
      <c r="BX451" s="10"/>
      <c r="BY451" s="10"/>
      <c r="BZ451" s="10"/>
      <c r="CA451" s="10"/>
      <c r="CB451" s="10"/>
      <c r="CC451" s="10"/>
      <c r="CD451" s="10"/>
      <c r="CE451" s="10"/>
      <c r="CF451" s="10"/>
      <c r="CG451" s="10"/>
      <c r="CH451" s="10"/>
      <c r="CI451" s="10"/>
      <c r="CJ451" s="10"/>
      <c r="CK451" s="10"/>
      <c r="CL451" s="10"/>
      <c r="CM451" s="10"/>
      <c r="CN451" s="10"/>
      <c r="CO451" s="10"/>
    </row>
    <row r="452" spans="1:93">
      <c r="A452" s="10"/>
      <c r="B452" s="10"/>
      <c r="C452" s="87" t="s">
        <v>1091</v>
      </c>
      <c r="D452" s="10"/>
      <c r="E452" s="62"/>
      <c r="F452" s="11"/>
      <c r="G452" s="11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  <c r="BL452" s="10"/>
      <c r="BM452" s="10"/>
      <c r="BN452" s="10"/>
      <c r="BO452" s="10"/>
      <c r="BP452" s="10"/>
      <c r="BQ452" s="10"/>
      <c r="BR452" s="10"/>
      <c r="BS452" s="10"/>
      <c r="BT452" s="10"/>
      <c r="BU452" s="10"/>
      <c r="BV452" s="10"/>
      <c r="BW452" s="10"/>
      <c r="BX452" s="10"/>
      <c r="BY452" s="10"/>
      <c r="BZ452" s="10"/>
      <c r="CA452" s="10"/>
      <c r="CB452" s="10"/>
      <c r="CC452" s="10"/>
      <c r="CD452" s="10"/>
      <c r="CE452" s="10"/>
      <c r="CF452" s="10"/>
      <c r="CG452" s="10"/>
      <c r="CH452" s="10"/>
      <c r="CI452" s="10"/>
      <c r="CJ452" s="10"/>
      <c r="CK452" s="10"/>
      <c r="CL452" s="10"/>
      <c r="CM452" s="10"/>
      <c r="CN452" s="10"/>
      <c r="CO452" s="10"/>
    </row>
    <row r="453" spans="1:93">
      <c r="A453" s="10"/>
      <c r="B453" s="10"/>
      <c r="C453" s="17" t="s">
        <v>386</v>
      </c>
      <c r="D453" s="10"/>
      <c r="E453" s="184">
        <f xml:space="preserve"> Предпосылки!E370</f>
        <v>30</v>
      </c>
      <c r="F453" s="11"/>
      <c r="G453" s="11" t="s">
        <v>123</v>
      </c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0"/>
      <c r="BS453" s="10"/>
      <c r="BT453" s="10"/>
      <c r="BU453" s="10"/>
      <c r="BV453" s="10"/>
      <c r="BW453" s="10"/>
      <c r="BX453" s="10"/>
      <c r="BY453" s="10"/>
      <c r="BZ453" s="10"/>
      <c r="CA453" s="10"/>
      <c r="CB453" s="10"/>
      <c r="CC453" s="10"/>
      <c r="CD453" s="10"/>
      <c r="CE453" s="10"/>
      <c r="CF453" s="10"/>
      <c r="CG453" s="10"/>
      <c r="CH453" s="10"/>
      <c r="CI453" s="10"/>
      <c r="CJ453" s="10"/>
      <c r="CK453" s="10"/>
      <c r="CL453" s="10"/>
      <c r="CM453" s="10"/>
      <c r="CN453" s="10"/>
      <c r="CO453" s="10"/>
    </row>
    <row r="454" spans="1:93">
      <c r="A454" s="10"/>
      <c r="B454" s="10"/>
      <c r="C454" s="17" t="s">
        <v>387</v>
      </c>
      <c r="D454" s="10"/>
      <c r="E454" s="182"/>
      <c r="F454" s="42"/>
      <c r="G454" s="11" t="s">
        <v>28</v>
      </c>
      <c r="H454" s="10"/>
      <c r="I454" s="10"/>
      <c r="J454" s="10"/>
      <c r="K454" s="10"/>
      <c r="L454" s="157">
        <f t="shared" ref="L454" si="4387" xml:space="preserve"> IF($E453&lt;&gt;0,1/$E453,0)/Periods_in_Year</f>
        <v>8.3333333333333332E-3</v>
      </c>
      <c r="M454" s="157">
        <f t="shared" ref="M454" si="4388" xml:space="preserve"> IF($E453&lt;&gt;0,1/$E453,0)/Periods_in_Year</f>
        <v>8.3333333333333332E-3</v>
      </c>
      <c r="N454" s="157">
        <f t="shared" ref="N454" si="4389" xml:space="preserve"> IF($E453&lt;&gt;0,1/$E453,0)/Periods_in_Year</f>
        <v>8.3333333333333332E-3</v>
      </c>
      <c r="O454" s="157">
        <f t="shared" ref="O454" si="4390" xml:space="preserve"> IF($E453&lt;&gt;0,1/$E453,0)/Periods_in_Year</f>
        <v>8.3333333333333332E-3</v>
      </c>
      <c r="P454" s="157">
        <f t="shared" ref="P454" si="4391" xml:space="preserve"> IF($E453&lt;&gt;0,1/$E453,0)/Periods_in_Year</f>
        <v>8.3333333333333332E-3</v>
      </c>
      <c r="Q454" s="157">
        <f t="shared" ref="Q454" si="4392" xml:space="preserve"> IF($E453&lt;&gt;0,1/$E453,0)/Periods_in_Year</f>
        <v>8.3333333333333332E-3</v>
      </c>
      <c r="R454" s="157">
        <f t="shared" ref="R454" si="4393" xml:space="preserve"> IF($E453&lt;&gt;0,1/$E453,0)/Periods_in_Year</f>
        <v>8.3333333333333332E-3</v>
      </c>
      <c r="S454" s="157">
        <f t="shared" ref="S454" si="4394" xml:space="preserve"> IF($E453&lt;&gt;0,1/$E453,0)/Periods_in_Year</f>
        <v>8.3333333333333332E-3</v>
      </c>
      <c r="T454" s="157">
        <f t="shared" ref="T454" si="4395" xml:space="preserve"> IF($E453&lt;&gt;0,1/$E453,0)/Periods_in_Year</f>
        <v>8.3333333333333332E-3</v>
      </c>
      <c r="U454" s="157">
        <f t="shared" ref="U454" si="4396" xml:space="preserve"> IF($E453&lt;&gt;0,1/$E453,0)/Periods_in_Year</f>
        <v>8.3333333333333332E-3</v>
      </c>
      <c r="V454" s="157">
        <f t="shared" ref="V454" si="4397" xml:space="preserve"> IF($E453&lt;&gt;0,1/$E453,0)/Periods_in_Year</f>
        <v>8.3333333333333332E-3</v>
      </c>
      <c r="W454" s="157">
        <f t="shared" ref="W454" si="4398" xml:space="preserve"> IF($E453&lt;&gt;0,1/$E453,0)/Periods_in_Year</f>
        <v>8.3333333333333332E-3</v>
      </c>
      <c r="X454" s="157">
        <f t="shared" ref="X454" si="4399" xml:space="preserve"> IF($E453&lt;&gt;0,1/$E453,0)/Periods_in_Year</f>
        <v>8.3333333333333332E-3</v>
      </c>
      <c r="Y454" s="157">
        <f t="shared" ref="Y454" si="4400" xml:space="preserve"> IF($E453&lt;&gt;0,1/$E453,0)/Periods_in_Year</f>
        <v>8.3333333333333332E-3</v>
      </c>
      <c r="Z454" s="157">
        <f t="shared" ref="Z454" si="4401" xml:space="preserve"> IF($E453&lt;&gt;0,1/$E453,0)/Periods_in_Year</f>
        <v>8.3333333333333332E-3</v>
      </c>
      <c r="AA454" s="157">
        <f t="shared" ref="AA454" si="4402" xml:space="preserve"> IF($E453&lt;&gt;0,1/$E453,0)/Periods_in_Year</f>
        <v>8.3333333333333332E-3</v>
      </c>
      <c r="AB454" s="157">
        <f t="shared" ref="AB454" si="4403" xml:space="preserve"> IF($E453&lt;&gt;0,1/$E453,0)/Periods_in_Year</f>
        <v>8.3333333333333332E-3</v>
      </c>
      <c r="AC454" s="157">
        <f t="shared" ref="AC454" si="4404" xml:space="preserve"> IF($E453&lt;&gt;0,1/$E453,0)/Periods_in_Year</f>
        <v>8.3333333333333332E-3</v>
      </c>
      <c r="AD454" s="157">
        <f t="shared" ref="AD454" si="4405" xml:space="preserve"> IF($E453&lt;&gt;0,1/$E453,0)/Periods_in_Year</f>
        <v>8.3333333333333332E-3</v>
      </c>
      <c r="AE454" s="157">
        <f t="shared" ref="AE454" si="4406" xml:space="preserve"> IF($E453&lt;&gt;0,1/$E453,0)/Periods_in_Year</f>
        <v>8.3333333333333332E-3</v>
      </c>
      <c r="AF454" s="157">
        <f t="shared" ref="AF454" si="4407" xml:space="preserve"> IF($E453&lt;&gt;0,1/$E453,0)/Periods_in_Year</f>
        <v>8.3333333333333332E-3</v>
      </c>
      <c r="AG454" s="157">
        <f t="shared" ref="AG454" si="4408" xml:space="preserve"> IF($E453&lt;&gt;0,1/$E453,0)/Periods_in_Year</f>
        <v>8.3333333333333332E-3</v>
      </c>
      <c r="AH454" s="157">
        <f t="shared" ref="AH454" si="4409" xml:space="preserve"> IF($E453&lt;&gt;0,1/$E453,0)/Periods_in_Year</f>
        <v>8.3333333333333332E-3</v>
      </c>
      <c r="AI454" s="157">
        <f t="shared" ref="AI454" si="4410" xml:space="preserve"> IF($E453&lt;&gt;0,1/$E453,0)/Periods_in_Year</f>
        <v>8.3333333333333332E-3</v>
      </c>
      <c r="AJ454" s="157">
        <f t="shared" ref="AJ454" si="4411" xml:space="preserve"> IF($E453&lt;&gt;0,1/$E453,0)/Periods_in_Year</f>
        <v>8.3333333333333332E-3</v>
      </c>
      <c r="AK454" s="157">
        <f t="shared" ref="AK454" si="4412" xml:space="preserve"> IF($E453&lt;&gt;0,1/$E453,0)/Periods_in_Year</f>
        <v>8.3333333333333332E-3</v>
      </c>
      <c r="AL454" s="157">
        <f t="shared" ref="AL454" si="4413" xml:space="preserve"> IF($E453&lt;&gt;0,1/$E453,0)/Periods_in_Year</f>
        <v>8.3333333333333332E-3</v>
      </c>
      <c r="AM454" s="157">
        <f t="shared" ref="AM454" si="4414" xml:space="preserve"> IF($E453&lt;&gt;0,1/$E453,0)/Periods_in_Year</f>
        <v>8.3333333333333332E-3</v>
      </c>
      <c r="AN454" s="157">
        <f t="shared" ref="AN454" si="4415" xml:space="preserve"> IF($E453&lt;&gt;0,1/$E453,0)/Periods_in_Year</f>
        <v>8.3333333333333332E-3</v>
      </c>
      <c r="AO454" s="157">
        <f t="shared" ref="AO454" si="4416" xml:space="preserve"> IF($E453&lt;&gt;0,1/$E453,0)/Periods_in_Year</f>
        <v>8.3333333333333332E-3</v>
      </c>
      <c r="AP454" s="157">
        <f t="shared" ref="AP454" si="4417" xml:space="preserve"> IF($E453&lt;&gt;0,1/$E453,0)/Periods_in_Year</f>
        <v>8.3333333333333332E-3</v>
      </c>
      <c r="AQ454" s="157">
        <f t="shared" ref="AQ454" si="4418" xml:space="preserve"> IF($E453&lt;&gt;0,1/$E453,0)/Periods_in_Year</f>
        <v>8.3333333333333332E-3</v>
      </c>
      <c r="AR454" s="157">
        <f t="shared" ref="AR454" si="4419" xml:space="preserve"> IF($E453&lt;&gt;0,1/$E453,0)/Periods_in_Year</f>
        <v>8.3333333333333332E-3</v>
      </c>
      <c r="AS454" s="157">
        <f t="shared" ref="AS454" si="4420" xml:space="preserve"> IF($E453&lt;&gt;0,1/$E453,0)/Periods_in_Year</f>
        <v>8.3333333333333332E-3</v>
      </c>
      <c r="AT454" s="157">
        <f t="shared" ref="AT454" si="4421" xml:space="preserve"> IF($E453&lt;&gt;0,1/$E453,0)/Periods_in_Year</f>
        <v>8.3333333333333332E-3</v>
      </c>
      <c r="AU454" s="157">
        <f t="shared" ref="AU454" si="4422" xml:space="preserve"> IF($E453&lt;&gt;0,1/$E453,0)/Periods_in_Year</f>
        <v>8.3333333333333332E-3</v>
      </c>
      <c r="AV454" s="157">
        <f t="shared" ref="AV454" si="4423" xml:space="preserve"> IF($E453&lt;&gt;0,1/$E453,0)/Periods_in_Year</f>
        <v>8.3333333333333332E-3</v>
      </c>
      <c r="AW454" s="157">
        <f t="shared" ref="AW454" si="4424" xml:space="preserve"> IF($E453&lt;&gt;0,1/$E453,0)/Periods_in_Year</f>
        <v>8.3333333333333332E-3</v>
      </c>
      <c r="AX454" s="157">
        <f t="shared" ref="AX454" si="4425" xml:space="preserve"> IF($E453&lt;&gt;0,1/$E453,0)/Periods_in_Year</f>
        <v>8.3333333333333332E-3</v>
      </c>
      <c r="AY454" s="157">
        <f t="shared" ref="AY454" si="4426" xml:space="preserve"> IF($E453&lt;&gt;0,1/$E453,0)/Periods_in_Year</f>
        <v>8.3333333333333332E-3</v>
      </c>
      <c r="AZ454" s="157">
        <f t="shared" ref="AZ454" si="4427" xml:space="preserve"> IF($E453&lt;&gt;0,1/$E453,0)/Periods_in_Year</f>
        <v>8.3333333333333332E-3</v>
      </c>
      <c r="BA454" s="157">
        <f t="shared" ref="BA454" si="4428" xml:space="preserve"> IF($E453&lt;&gt;0,1/$E453,0)/Periods_in_Year</f>
        <v>8.3333333333333332E-3</v>
      </c>
      <c r="BB454" s="157">
        <f t="shared" ref="BB454" si="4429" xml:space="preserve"> IF($E453&lt;&gt;0,1/$E453,0)/Periods_in_Year</f>
        <v>8.3333333333333332E-3</v>
      </c>
      <c r="BC454" s="157">
        <f t="shared" ref="BC454" si="4430" xml:space="preserve"> IF($E453&lt;&gt;0,1/$E453,0)/Periods_in_Year</f>
        <v>8.3333333333333332E-3</v>
      </c>
      <c r="BD454" s="157">
        <f t="shared" ref="BD454" si="4431" xml:space="preserve"> IF($E453&lt;&gt;0,1/$E453,0)/Periods_in_Year</f>
        <v>8.3333333333333332E-3</v>
      </c>
      <c r="BE454" s="157">
        <f t="shared" ref="BE454" si="4432" xml:space="preserve"> IF($E453&lt;&gt;0,1/$E453,0)/Periods_in_Year</f>
        <v>8.3333333333333332E-3</v>
      </c>
      <c r="BF454" s="157">
        <f t="shared" ref="BF454" si="4433" xml:space="preserve"> IF($E453&lt;&gt;0,1/$E453,0)/Periods_in_Year</f>
        <v>8.3333333333333332E-3</v>
      </c>
      <c r="BG454" s="157">
        <f t="shared" ref="BG454" si="4434" xml:space="preserve"> IF($E453&lt;&gt;0,1/$E453,0)/Periods_in_Year</f>
        <v>8.3333333333333332E-3</v>
      </c>
      <c r="BH454" s="157">
        <f t="shared" ref="BH454" si="4435" xml:space="preserve"> IF($E453&lt;&gt;0,1/$E453,0)/Periods_in_Year</f>
        <v>8.3333333333333332E-3</v>
      </c>
      <c r="BI454" s="157">
        <f t="shared" ref="BI454" si="4436" xml:space="preserve"> IF($E453&lt;&gt;0,1/$E453,0)/Periods_in_Year</f>
        <v>8.3333333333333332E-3</v>
      </c>
      <c r="BJ454" s="157">
        <f t="shared" ref="BJ454" si="4437" xml:space="preserve"> IF($E453&lt;&gt;0,1/$E453,0)/Periods_in_Year</f>
        <v>8.3333333333333332E-3</v>
      </c>
      <c r="BK454" s="157">
        <f t="shared" ref="BK454" si="4438" xml:space="preserve"> IF($E453&lt;&gt;0,1/$E453,0)/Periods_in_Year</f>
        <v>8.3333333333333332E-3</v>
      </c>
      <c r="BL454" s="157">
        <f t="shared" ref="BL454" si="4439" xml:space="preserve"> IF($E453&lt;&gt;0,1/$E453,0)/Periods_in_Year</f>
        <v>8.3333333333333332E-3</v>
      </c>
      <c r="BM454" s="157">
        <f t="shared" ref="BM454" si="4440" xml:space="preserve"> IF($E453&lt;&gt;0,1/$E453,0)/Periods_in_Year</f>
        <v>8.3333333333333332E-3</v>
      </c>
      <c r="BN454" s="157">
        <f t="shared" ref="BN454" si="4441" xml:space="preserve"> IF($E453&lt;&gt;0,1/$E453,0)/Periods_in_Year</f>
        <v>8.3333333333333332E-3</v>
      </c>
      <c r="BO454" s="157">
        <f t="shared" ref="BO454" si="4442" xml:space="preserve"> IF($E453&lt;&gt;0,1/$E453,0)/Periods_in_Year</f>
        <v>8.3333333333333332E-3</v>
      </c>
      <c r="BP454" s="157">
        <f t="shared" ref="BP454" si="4443" xml:space="preserve"> IF($E453&lt;&gt;0,1/$E453,0)/Periods_in_Year</f>
        <v>8.3333333333333332E-3</v>
      </c>
      <c r="BQ454" s="157">
        <f t="shared" ref="BQ454" si="4444" xml:space="preserve"> IF($E453&lt;&gt;0,1/$E453,0)/Periods_in_Year</f>
        <v>8.3333333333333332E-3</v>
      </c>
      <c r="BR454" s="157">
        <f t="shared" ref="BR454" si="4445" xml:space="preserve"> IF($E453&lt;&gt;0,1/$E453,0)/Periods_in_Year</f>
        <v>8.3333333333333332E-3</v>
      </c>
      <c r="BS454" s="157">
        <f t="shared" ref="BS454" si="4446" xml:space="preserve"> IF($E453&lt;&gt;0,1/$E453,0)/Periods_in_Year</f>
        <v>8.3333333333333332E-3</v>
      </c>
      <c r="BT454" s="157">
        <f t="shared" ref="BT454" si="4447" xml:space="preserve"> IF($E453&lt;&gt;0,1/$E453,0)/Periods_in_Year</f>
        <v>8.3333333333333332E-3</v>
      </c>
      <c r="BU454" s="157">
        <f t="shared" ref="BU454" si="4448" xml:space="preserve"> IF($E453&lt;&gt;0,1/$E453,0)/Periods_in_Year</f>
        <v>8.3333333333333332E-3</v>
      </c>
      <c r="BV454" s="157">
        <f t="shared" ref="BV454" si="4449" xml:space="preserve"> IF($E453&lt;&gt;0,1/$E453,0)/Periods_in_Year</f>
        <v>8.3333333333333332E-3</v>
      </c>
      <c r="BW454" s="157">
        <f t="shared" ref="BW454" si="4450" xml:space="preserve"> IF($E453&lt;&gt;0,1/$E453,0)/Periods_in_Year</f>
        <v>8.3333333333333332E-3</v>
      </c>
      <c r="BX454" s="157">
        <f t="shared" ref="BX454" si="4451" xml:space="preserve"> IF($E453&lt;&gt;0,1/$E453,0)/Periods_in_Year</f>
        <v>8.3333333333333332E-3</v>
      </c>
      <c r="BY454" s="157">
        <f t="shared" ref="BY454" si="4452" xml:space="preserve"> IF($E453&lt;&gt;0,1/$E453,0)/Periods_in_Year</f>
        <v>8.3333333333333332E-3</v>
      </c>
      <c r="BZ454" s="157">
        <f t="shared" ref="BZ454" si="4453" xml:space="preserve"> IF($E453&lt;&gt;0,1/$E453,0)/Periods_in_Year</f>
        <v>8.3333333333333332E-3</v>
      </c>
      <c r="CA454" s="157">
        <f t="shared" ref="CA454" si="4454" xml:space="preserve"> IF($E453&lt;&gt;0,1/$E453,0)/Periods_in_Year</f>
        <v>8.3333333333333332E-3</v>
      </c>
      <c r="CB454" s="157">
        <f t="shared" ref="CB454" si="4455" xml:space="preserve"> IF($E453&lt;&gt;0,1/$E453,0)/Periods_in_Year</f>
        <v>8.3333333333333332E-3</v>
      </c>
      <c r="CC454" s="157">
        <f t="shared" ref="CC454" si="4456" xml:space="preserve"> IF($E453&lt;&gt;0,1/$E453,0)/Periods_in_Year</f>
        <v>8.3333333333333332E-3</v>
      </c>
      <c r="CD454" s="157">
        <f t="shared" ref="CD454" si="4457" xml:space="preserve"> IF($E453&lt;&gt;0,1/$E453,0)/Periods_in_Year</f>
        <v>8.3333333333333332E-3</v>
      </c>
      <c r="CE454" s="157">
        <f t="shared" ref="CE454" si="4458" xml:space="preserve"> IF($E453&lt;&gt;0,1/$E453,0)/Periods_in_Year</f>
        <v>8.3333333333333332E-3</v>
      </c>
      <c r="CF454" s="157">
        <f t="shared" ref="CF454" si="4459" xml:space="preserve"> IF($E453&lt;&gt;0,1/$E453,0)/Periods_in_Year</f>
        <v>8.3333333333333332E-3</v>
      </c>
      <c r="CG454" s="157">
        <f t="shared" ref="CG454" si="4460" xml:space="preserve"> IF($E453&lt;&gt;0,1/$E453,0)/Periods_in_Year</f>
        <v>8.3333333333333332E-3</v>
      </c>
      <c r="CH454" s="157">
        <f t="shared" ref="CH454" si="4461" xml:space="preserve"> IF($E453&lt;&gt;0,1/$E453,0)/Periods_in_Year</f>
        <v>8.3333333333333332E-3</v>
      </c>
      <c r="CI454" s="157">
        <f t="shared" ref="CI454" si="4462" xml:space="preserve"> IF($E453&lt;&gt;0,1/$E453,0)/Periods_in_Year</f>
        <v>8.3333333333333332E-3</v>
      </c>
      <c r="CJ454" s="157">
        <f t="shared" ref="CJ454" si="4463" xml:space="preserve"> IF($E453&lt;&gt;0,1/$E453,0)/Periods_in_Year</f>
        <v>8.3333333333333332E-3</v>
      </c>
      <c r="CK454" s="157">
        <f t="shared" ref="CK454" si="4464" xml:space="preserve"> IF($E453&lt;&gt;0,1/$E453,0)/Periods_in_Year</f>
        <v>8.3333333333333332E-3</v>
      </c>
      <c r="CL454" s="157">
        <f t="shared" ref="CL454" si="4465" xml:space="preserve"> IF($E453&lt;&gt;0,1/$E453,0)/Periods_in_Year</f>
        <v>8.3333333333333332E-3</v>
      </c>
      <c r="CM454" s="157">
        <f t="shared" ref="CM454" si="4466" xml:space="preserve"> IF($E453&lt;&gt;0,1/$E453,0)/Periods_in_Year</f>
        <v>8.3333333333333332E-3</v>
      </c>
      <c r="CN454" s="157">
        <f t="shared" ref="CN454" si="4467" xml:space="preserve"> IF($E453&lt;&gt;0,1/$E453,0)/Periods_in_Year</f>
        <v>8.3333333333333332E-3</v>
      </c>
      <c r="CO454" s="157">
        <f t="shared" ref="CO454" si="4468" xml:space="preserve"> IF($E453&lt;&gt;0,1/$E453,0)/Periods_in_Year</f>
        <v>8.3333333333333332E-3</v>
      </c>
    </row>
    <row r="455" spans="1:93">
      <c r="A455" s="10"/>
      <c r="B455" s="10"/>
      <c r="C455" s="17" t="s">
        <v>125</v>
      </c>
      <c r="D455" s="10"/>
      <c r="E455" s="62"/>
      <c r="F455" s="11"/>
      <c r="G455" s="134" t="str">
        <f t="shared" ref="G455:G461" si="4469">Monetary_Unit</f>
        <v>тыс. руб.</v>
      </c>
      <c r="H455" s="10"/>
      <c r="I455" s="10"/>
      <c r="J455" s="10"/>
      <c r="K455" s="10"/>
      <c r="L455" s="52">
        <f t="shared" ref="L455:R455" si="4470" xml:space="preserve"> K461</f>
        <v>0</v>
      </c>
      <c r="M455" s="52">
        <f t="shared" ca="1" si="4470"/>
        <v>0</v>
      </c>
      <c r="N455" s="52">
        <f t="shared" ca="1" si="4470"/>
        <v>0</v>
      </c>
      <c r="O455" s="52">
        <f t="shared" ca="1" si="4470"/>
        <v>0</v>
      </c>
      <c r="P455" s="52">
        <f t="shared" ca="1" si="4470"/>
        <v>0</v>
      </c>
      <c r="Q455" s="52">
        <f t="shared" ca="1" si="4470"/>
        <v>0</v>
      </c>
      <c r="R455" s="52">
        <f t="shared" ca="1" si="4470"/>
        <v>0</v>
      </c>
      <c r="S455" s="52">
        <f t="shared" ref="S455" ca="1" si="4471" xml:space="preserve"> R461</f>
        <v>0</v>
      </c>
      <c r="T455" s="52">
        <f t="shared" ref="T455:CE455" ca="1" si="4472" xml:space="preserve"> S461</f>
        <v>0</v>
      </c>
      <c r="U455" s="52">
        <f t="shared" ca="1" si="4472"/>
        <v>0</v>
      </c>
      <c r="V455" s="52">
        <f t="shared" ca="1" si="4472"/>
        <v>0</v>
      </c>
      <c r="W455" s="52">
        <f t="shared" ca="1" si="4472"/>
        <v>0</v>
      </c>
      <c r="X455" s="52">
        <f t="shared" ca="1" si="4472"/>
        <v>0</v>
      </c>
      <c r="Y455" s="52">
        <f t="shared" ca="1" si="4472"/>
        <v>0</v>
      </c>
      <c r="Z455" s="52">
        <f t="shared" ca="1" si="4472"/>
        <v>0</v>
      </c>
      <c r="AA455" s="52">
        <f t="shared" ca="1" si="4472"/>
        <v>0</v>
      </c>
      <c r="AB455" s="52">
        <f t="shared" ca="1" si="4472"/>
        <v>0</v>
      </c>
      <c r="AC455" s="52">
        <f t="shared" ca="1" si="4472"/>
        <v>0</v>
      </c>
      <c r="AD455" s="52">
        <f t="shared" ca="1" si="4472"/>
        <v>0</v>
      </c>
      <c r="AE455" s="52">
        <f t="shared" ca="1" si="4472"/>
        <v>0</v>
      </c>
      <c r="AF455" s="52">
        <f t="shared" ca="1" si="4472"/>
        <v>0</v>
      </c>
      <c r="AG455" s="52">
        <f t="shared" ca="1" si="4472"/>
        <v>0</v>
      </c>
      <c r="AH455" s="52">
        <f t="shared" ca="1" si="4472"/>
        <v>0</v>
      </c>
      <c r="AI455" s="52">
        <f t="shared" ca="1" si="4472"/>
        <v>0</v>
      </c>
      <c r="AJ455" s="52">
        <f t="shared" ca="1" si="4472"/>
        <v>0</v>
      </c>
      <c r="AK455" s="52">
        <f t="shared" ca="1" si="4472"/>
        <v>0</v>
      </c>
      <c r="AL455" s="52">
        <f t="shared" ca="1" si="4472"/>
        <v>0</v>
      </c>
      <c r="AM455" s="52">
        <f t="shared" ca="1" si="4472"/>
        <v>0</v>
      </c>
      <c r="AN455" s="52">
        <f t="shared" ca="1" si="4472"/>
        <v>0</v>
      </c>
      <c r="AO455" s="52">
        <f t="shared" ca="1" si="4472"/>
        <v>0</v>
      </c>
      <c r="AP455" s="52">
        <f t="shared" ca="1" si="4472"/>
        <v>0</v>
      </c>
      <c r="AQ455" s="52">
        <f t="shared" ca="1" si="4472"/>
        <v>0</v>
      </c>
      <c r="AR455" s="52">
        <f t="shared" ca="1" si="4472"/>
        <v>0</v>
      </c>
      <c r="AS455" s="52">
        <f t="shared" ca="1" si="4472"/>
        <v>0</v>
      </c>
      <c r="AT455" s="52">
        <f t="shared" ca="1" si="4472"/>
        <v>0</v>
      </c>
      <c r="AU455" s="52">
        <f t="shared" ca="1" si="4472"/>
        <v>0</v>
      </c>
      <c r="AV455" s="52">
        <f t="shared" ca="1" si="4472"/>
        <v>0</v>
      </c>
      <c r="AW455" s="52">
        <f t="shared" ca="1" si="4472"/>
        <v>0</v>
      </c>
      <c r="AX455" s="52">
        <f t="shared" ca="1" si="4472"/>
        <v>0</v>
      </c>
      <c r="AY455" s="52">
        <f t="shared" ca="1" si="4472"/>
        <v>0</v>
      </c>
      <c r="AZ455" s="52">
        <f t="shared" ca="1" si="4472"/>
        <v>0</v>
      </c>
      <c r="BA455" s="52">
        <f t="shared" ca="1" si="4472"/>
        <v>0</v>
      </c>
      <c r="BB455" s="52">
        <f t="shared" ca="1" si="4472"/>
        <v>0</v>
      </c>
      <c r="BC455" s="52">
        <f t="shared" ca="1" si="4472"/>
        <v>0</v>
      </c>
      <c r="BD455" s="52">
        <f t="shared" ca="1" si="4472"/>
        <v>0</v>
      </c>
      <c r="BE455" s="52">
        <f t="shared" ca="1" si="4472"/>
        <v>0</v>
      </c>
      <c r="BF455" s="52">
        <f t="shared" ca="1" si="4472"/>
        <v>0</v>
      </c>
      <c r="BG455" s="52">
        <f t="shared" ca="1" si="4472"/>
        <v>0</v>
      </c>
      <c r="BH455" s="52">
        <f t="shared" ca="1" si="4472"/>
        <v>0</v>
      </c>
      <c r="BI455" s="52">
        <f t="shared" ca="1" si="4472"/>
        <v>0</v>
      </c>
      <c r="BJ455" s="52">
        <f t="shared" ca="1" si="4472"/>
        <v>0</v>
      </c>
      <c r="BK455" s="52">
        <f t="shared" ca="1" si="4472"/>
        <v>0</v>
      </c>
      <c r="BL455" s="52">
        <f t="shared" ca="1" si="4472"/>
        <v>0</v>
      </c>
      <c r="BM455" s="52">
        <f t="shared" ca="1" si="4472"/>
        <v>0</v>
      </c>
      <c r="BN455" s="52">
        <f t="shared" ca="1" si="4472"/>
        <v>0</v>
      </c>
      <c r="BO455" s="52">
        <f t="shared" ca="1" si="4472"/>
        <v>0</v>
      </c>
      <c r="BP455" s="52">
        <f t="shared" ca="1" si="4472"/>
        <v>0</v>
      </c>
      <c r="BQ455" s="52">
        <f t="shared" ca="1" si="4472"/>
        <v>0</v>
      </c>
      <c r="BR455" s="52">
        <f t="shared" ca="1" si="4472"/>
        <v>0</v>
      </c>
      <c r="BS455" s="52">
        <f t="shared" ca="1" si="4472"/>
        <v>0</v>
      </c>
      <c r="BT455" s="52">
        <f t="shared" ca="1" si="4472"/>
        <v>0</v>
      </c>
      <c r="BU455" s="52">
        <f t="shared" ca="1" si="4472"/>
        <v>0</v>
      </c>
      <c r="BV455" s="52">
        <f t="shared" ca="1" si="4472"/>
        <v>0</v>
      </c>
      <c r="BW455" s="52">
        <f t="shared" ca="1" si="4472"/>
        <v>0</v>
      </c>
      <c r="BX455" s="52">
        <f t="shared" ca="1" si="4472"/>
        <v>0</v>
      </c>
      <c r="BY455" s="52">
        <f t="shared" ca="1" si="4472"/>
        <v>0</v>
      </c>
      <c r="BZ455" s="52">
        <f t="shared" ca="1" si="4472"/>
        <v>0</v>
      </c>
      <c r="CA455" s="52">
        <f t="shared" ca="1" si="4472"/>
        <v>0</v>
      </c>
      <c r="CB455" s="52">
        <f t="shared" ca="1" si="4472"/>
        <v>0</v>
      </c>
      <c r="CC455" s="52">
        <f t="shared" ca="1" si="4472"/>
        <v>0</v>
      </c>
      <c r="CD455" s="52">
        <f t="shared" ca="1" si="4472"/>
        <v>0</v>
      </c>
      <c r="CE455" s="52">
        <f t="shared" ca="1" si="4472"/>
        <v>0</v>
      </c>
      <c r="CF455" s="52">
        <f t="shared" ref="CF455:CO455" ca="1" si="4473" xml:space="preserve"> CE461</f>
        <v>0</v>
      </c>
      <c r="CG455" s="52">
        <f t="shared" ca="1" si="4473"/>
        <v>0</v>
      </c>
      <c r="CH455" s="52">
        <f t="shared" ca="1" si="4473"/>
        <v>0</v>
      </c>
      <c r="CI455" s="52">
        <f t="shared" ca="1" si="4473"/>
        <v>0</v>
      </c>
      <c r="CJ455" s="52">
        <f t="shared" ca="1" si="4473"/>
        <v>0</v>
      </c>
      <c r="CK455" s="52">
        <f t="shared" ca="1" si="4473"/>
        <v>0</v>
      </c>
      <c r="CL455" s="52">
        <f t="shared" ca="1" si="4473"/>
        <v>0</v>
      </c>
      <c r="CM455" s="52">
        <f t="shared" ca="1" si="4473"/>
        <v>0</v>
      </c>
      <c r="CN455" s="52">
        <f t="shared" ca="1" si="4473"/>
        <v>0</v>
      </c>
      <c r="CO455" s="52">
        <f t="shared" ca="1" si="4473"/>
        <v>0</v>
      </c>
    </row>
    <row r="456" spans="1:93">
      <c r="A456" s="10"/>
      <c r="B456" s="10"/>
      <c r="C456" s="17" t="s">
        <v>126</v>
      </c>
      <c r="D456" s="10"/>
      <c r="E456" s="62"/>
      <c r="F456" s="11"/>
      <c r="G456" s="134" t="str">
        <f t="shared" si="4469"/>
        <v>тыс. руб.</v>
      </c>
      <c r="H456" s="10"/>
      <c r="I456" s="23">
        <f ca="1">SUM(L456:CO456)</f>
        <v>0</v>
      </c>
      <c r="J456" s="10"/>
      <c r="K456" s="10"/>
      <c r="L456" s="52">
        <f ca="1" xml:space="preserve"> SUM(L$328,L$330) * $E345 + L457</f>
        <v>0</v>
      </c>
      <c r="M456" s="52">
        <f t="shared" ref="M456:BX456" ca="1" si="4474" xml:space="preserve"> SUM(M$328,M$330) * $E345 + M457</f>
        <v>0</v>
      </c>
      <c r="N456" s="52">
        <f t="shared" ca="1" si="4474"/>
        <v>0</v>
      </c>
      <c r="O456" s="52">
        <f t="shared" ca="1" si="4474"/>
        <v>0</v>
      </c>
      <c r="P456" s="52">
        <f t="shared" ca="1" si="4474"/>
        <v>0</v>
      </c>
      <c r="Q456" s="52">
        <f t="shared" ca="1" si="4474"/>
        <v>0</v>
      </c>
      <c r="R456" s="52">
        <f t="shared" ca="1" si="4474"/>
        <v>0</v>
      </c>
      <c r="S456" s="52">
        <f t="shared" ca="1" si="4474"/>
        <v>0</v>
      </c>
      <c r="T456" s="52">
        <f t="shared" ca="1" si="4474"/>
        <v>0</v>
      </c>
      <c r="U456" s="52">
        <f t="shared" ca="1" si="4474"/>
        <v>0</v>
      </c>
      <c r="V456" s="52">
        <f t="shared" ca="1" si="4474"/>
        <v>0</v>
      </c>
      <c r="W456" s="52">
        <f t="shared" ca="1" si="4474"/>
        <v>0</v>
      </c>
      <c r="X456" s="52">
        <f t="shared" ca="1" si="4474"/>
        <v>0</v>
      </c>
      <c r="Y456" s="52">
        <f t="shared" ca="1" si="4474"/>
        <v>0</v>
      </c>
      <c r="Z456" s="52">
        <f t="shared" ca="1" si="4474"/>
        <v>0</v>
      </c>
      <c r="AA456" s="52">
        <f t="shared" ca="1" si="4474"/>
        <v>0</v>
      </c>
      <c r="AB456" s="52">
        <f t="shared" ca="1" si="4474"/>
        <v>0</v>
      </c>
      <c r="AC456" s="52">
        <f t="shared" ca="1" si="4474"/>
        <v>0</v>
      </c>
      <c r="AD456" s="52">
        <f t="shared" ca="1" si="4474"/>
        <v>0</v>
      </c>
      <c r="AE456" s="52">
        <f t="shared" ca="1" si="4474"/>
        <v>0</v>
      </c>
      <c r="AF456" s="52">
        <f t="shared" ca="1" si="4474"/>
        <v>0</v>
      </c>
      <c r="AG456" s="52">
        <f t="shared" ca="1" si="4474"/>
        <v>0</v>
      </c>
      <c r="AH456" s="52">
        <f t="shared" ca="1" si="4474"/>
        <v>0</v>
      </c>
      <c r="AI456" s="52">
        <f t="shared" ca="1" si="4474"/>
        <v>0</v>
      </c>
      <c r="AJ456" s="52">
        <f t="shared" ca="1" si="4474"/>
        <v>0</v>
      </c>
      <c r="AK456" s="52">
        <f t="shared" ca="1" si="4474"/>
        <v>0</v>
      </c>
      <c r="AL456" s="52">
        <f t="shared" ca="1" si="4474"/>
        <v>0</v>
      </c>
      <c r="AM456" s="52">
        <f t="shared" ca="1" si="4474"/>
        <v>0</v>
      </c>
      <c r="AN456" s="52">
        <f t="shared" ca="1" si="4474"/>
        <v>0</v>
      </c>
      <c r="AO456" s="52">
        <f t="shared" ca="1" si="4474"/>
        <v>0</v>
      </c>
      <c r="AP456" s="52">
        <f t="shared" ca="1" si="4474"/>
        <v>0</v>
      </c>
      <c r="AQ456" s="52">
        <f t="shared" ca="1" si="4474"/>
        <v>0</v>
      </c>
      <c r="AR456" s="52">
        <f t="shared" ca="1" si="4474"/>
        <v>0</v>
      </c>
      <c r="AS456" s="52">
        <f t="shared" ca="1" si="4474"/>
        <v>0</v>
      </c>
      <c r="AT456" s="52">
        <f t="shared" ca="1" si="4474"/>
        <v>0</v>
      </c>
      <c r="AU456" s="52">
        <f t="shared" ca="1" si="4474"/>
        <v>0</v>
      </c>
      <c r="AV456" s="52">
        <f t="shared" ca="1" si="4474"/>
        <v>0</v>
      </c>
      <c r="AW456" s="52">
        <f t="shared" ca="1" si="4474"/>
        <v>0</v>
      </c>
      <c r="AX456" s="52">
        <f t="shared" ca="1" si="4474"/>
        <v>0</v>
      </c>
      <c r="AY456" s="52">
        <f t="shared" ca="1" si="4474"/>
        <v>0</v>
      </c>
      <c r="AZ456" s="52">
        <f t="shared" ca="1" si="4474"/>
        <v>0</v>
      </c>
      <c r="BA456" s="52">
        <f t="shared" ca="1" si="4474"/>
        <v>0</v>
      </c>
      <c r="BB456" s="52">
        <f t="shared" ca="1" si="4474"/>
        <v>0</v>
      </c>
      <c r="BC456" s="52">
        <f t="shared" ca="1" si="4474"/>
        <v>0</v>
      </c>
      <c r="BD456" s="52">
        <f t="shared" ca="1" si="4474"/>
        <v>0</v>
      </c>
      <c r="BE456" s="52">
        <f t="shared" ca="1" si="4474"/>
        <v>0</v>
      </c>
      <c r="BF456" s="52">
        <f t="shared" ca="1" si="4474"/>
        <v>0</v>
      </c>
      <c r="BG456" s="52">
        <f t="shared" ca="1" si="4474"/>
        <v>0</v>
      </c>
      <c r="BH456" s="52">
        <f t="shared" ca="1" si="4474"/>
        <v>0</v>
      </c>
      <c r="BI456" s="52">
        <f t="shared" ca="1" si="4474"/>
        <v>0</v>
      </c>
      <c r="BJ456" s="52">
        <f t="shared" ca="1" si="4474"/>
        <v>0</v>
      </c>
      <c r="BK456" s="52">
        <f t="shared" ca="1" si="4474"/>
        <v>0</v>
      </c>
      <c r="BL456" s="52">
        <f t="shared" ca="1" si="4474"/>
        <v>0</v>
      </c>
      <c r="BM456" s="52">
        <f t="shared" ca="1" si="4474"/>
        <v>0</v>
      </c>
      <c r="BN456" s="52">
        <f t="shared" ca="1" si="4474"/>
        <v>0</v>
      </c>
      <c r="BO456" s="52">
        <f t="shared" ca="1" si="4474"/>
        <v>0</v>
      </c>
      <c r="BP456" s="52">
        <f t="shared" ca="1" si="4474"/>
        <v>0</v>
      </c>
      <c r="BQ456" s="52">
        <f t="shared" ca="1" si="4474"/>
        <v>0</v>
      </c>
      <c r="BR456" s="52">
        <f t="shared" ca="1" si="4474"/>
        <v>0</v>
      </c>
      <c r="BS456" s="52">
        <f t="shared" ca="1" si="4474"/>
        <v>0</v>
      </c>
      <c r="BT456" s="52">
        <f t="shared" ca="1" si="4474"/>
        <v>0</v>
      </c>
      <c r="BU456" s="52">
        <f t="shared" ca="1" si="4474"/>
        <v>0</v>
      </c>
      <c r="BV456" s="52">
        <f t="shared" ca="1" si="4474"/>
        <v>0</v>
      </c>
      <c r="BW456" s="52">
        <f t="shared" ca="1" si="4474"/>
        <v>0</v>
      </c>
      <c r="BX456" s="52">
        <f t="shared" ca="1" si="4474"/>
        <v>0</v>
      </c>
      <c r="BY456" s="52">
        <f t="shared" ref="BY456:CO456" ca="1" si="4475" xml:space="preserve"> SUM(BY$328,BY$330) * $E345 + BY457</f>
        <v>0</v>
      </c>
      <c r="BZ456" s="52">
        <f t="shared" ca="1" si="4475"/>
        <v>0</v>
      </c>
      <c r="CA456" s="52">
        <f t="shared" ca="1" si="4475"/>
        <v>0</v>
      </c>
      <c r="CB456" s="52">
        <f t="shared" ca="1" si="4475"/>
        <v>0</v>
      </c>
      <c r="CC456" s="52">
        <f t="shared" ca="1" si="4475"/>
        <v>0</v>
      </c>
      <c r="CD456" s="52">
        <f t="shared" ca="1" si="4475"/>
        <v>0</v>
      </c>
      <c r="CE456" s="52">
        <f t="shared" ca="1" si="4475"/>
        <v>0</v>
      </c>
      <c r="CF456" s="52">
        <f t="shared" ca="1" si="4475"/>
        <v>0</v>
      </c>
      <c r="CG456" s="52">
        <f t="shared" ca="1" si="4475"/>
        <v>0</v>
      </c>
      <c r="CH456" s="52">
        <f t="shared" ca="1" si="4475"/>
        <v>0</v>
      </c>
      <c r="CI456" s="52">
        <f t="shared" ca="1" si="4475"/>
        <v>0</v>
      </c>
      <c r="CJ456" s="52">
        <f t="shared" ca="1" si="4475"/>
        <v>0</v>
      </c>
      <c r="CK456" s="52">
        <f t="shared" ca="1" si="4475"/>
        <v>0</v>
      </c>
      <c r="CL456" s="52">
        <f t="shared" ca="1" si="4475"/>
        <v>0</v>
      </c>
      <c r="CM456" s="52">
        <f t="shared" ca="1" si="4475"/>
        <v>0</v>
      </c>
      <c r="CN456" s="52">
        <f t="shared" ca="1" si="4475"/>
        <v>0</v>
      </c>
      <c r="CO456" s="52">
        <f t="shared" ca="1" si="4475"/>
        <v>0</v>
      </c>
    </row>
    <row r="457" spans="1:93">
      <c r="A457" s="10"/>
      <c r="B457" s="10"/>
      <c r="C457" s="17" t="s">
        <v>129</v>
      </c>
      <c r="D457" s="10"/>
      <c r="E457" s="178">
        <f>Предпосылки!E375</f>
        <v>0.1</v>
      </c>
      <c r="F457" s="11"/>
      <c r="G457" s="134" t="str">
        <f t="shared" si="4469"/>
        <v>тыс. руб.</v>
      </c>
      <c r="H457" s="10"/>
      <c r="I457" s="23">
        <f ca="1">SUM(L457:CO457)</f>
        <v>0</v>
      </c>
      <c r="J457" s="10"/>
      <c r="K457" s="10"/>
      <c r="L457" s="52">
        <f ca="1" xml:space="preserve"> - SUM(K$328,K$330) * $E345 * $E457</f>
        <v>0</v>
      </c>
      <c r="M457" s="52">
        <f t="shared" ref="M457:BX457" ca="1" si="4476" xml:space="preserve"> - SUM(L$328,L$330) * $E345 * $E457</f>
        <v>0</v>
      </c>
      <c r="N457" s="52">
        <f t="shared" ca="1" si="4476"/>
        <v>0</v>
      </c>
      <c r="O457" s="52">
        <f t="shared" ca="1" si="4476"/>
        <v>0</v>
      </c>
      <c r="P457" s="52">
        <f t="shared" ca="1" si="4476"/>
        <v>0</v>
      </c>
      <c r="Q457" s="52">
        <f t="shared" ca="1" si="4476"/>
        <v>0</v>
      </c>
      <c r="R457" s="52">
        <f t="shared" ca="1" si="4476"/>
        <v>0</v>
      </c>
      <c r="S457" s="52">
        <f t="shared" ca="1" si="4476"/>
        <v>0</v>
      </c>
      <c r="T457" s="52">
        <f t="shared" ca="1" si="4476"/>
        <v>0</v>
      </c>
      <c r="U457" s="52">
        <f t="shared" ca="1" si="4476"/>
        <v>0</v>
      </c>
      <c r="V457" s="52">
        <f t="shared" ca="1" si="4476"/>
        <v>0</v>
      </c>
      <c r="W457" s="52">
        <f t="shared" ca="1" si="4476"/>
        <v>0</v>
      </c>
      <c r="X457" s="52">
        <f t="shared" ca="1" si="4476"/>
        <v>0</v>
      </c>
      <c r="Y457" s="52">
        <f t="shared" ca="1" si="4476"/>
        <v>0</v>
      </c>
      <c r="Z457" s="52">
        <f t="shared" ca="1" si="4476"/>
        <v>0</v>
      </c>
      <c r="AA457" s="52">
        <f t="shared" ca="1" si="4476"/>
        <v>0</v>
      </c>
      <c r="AB457" s="52">
        <f t="shared" ca="1" si="4476"/>
        <v>0</v>
      </c>
      <c r="AC457" s="52">
        <f t="shared" ca="1" si="4476"/>
        <v>0</v>
      </c>
      <c r="AD457" s="52">
        <f t="shared" ca="1" si="4476"/>
        <v>0</v>
      </c>
      <c r="AE457" s="52">
        <f t="shared" ca="1" si="4476"/>
        <v>0</v>
      </c>
      <c r="AF457" s="52">
        <f t="shared" ca="1" si="4476"/>
        <v>0</v>
      </c>
      <c r="AG457" s="52">
        <f t="shared" ca="1" si="4476"/>
        <v>0</v>
      </c>
      <c r="AH457" s="52">
        <f t="shared" ca="1" si="4476"/>
        <v>0</v>
      </c>
      <c r="AI457" s="52">
        <f t="shared" ca="1" si="4476"/>
        <v>0</v>
      </c>
      <c r="AJ457" s="52">
        <f t="shared" ca="1" si="4476"/>
        <v>0</v>
      </c>
      <c r="AK457" s="52">
        <f t="shared" ca="1" si="4476"/>
        <v>0</v>
      </c>
      <c r="AL457" s="52">
        <f t="shared" ca="1" si="4476"/>
        <v>0</v>
      </c>
      <c r="AM457" s="52">
        <f t="shared" ca="1" si="4476"/>
        <v>0</v>
      </c>
      <c r="AN457" s="52">
        <f t="shared" ca="1" si="4476"/>
        <v>0</v>
      </c>
      <c r="AO457" s="52">
        <f t="shared" ca="1" si="4476"/>
        <v>0</v>
      </c>
      <c r="AP457" s="52">
        <f t="shared" ca="1" si="4476"/>
        <v>0</v>
      </c>
      <c r="AQ457" s="52">
        <f t="shared" ca="1" si="4476"/>
        <v>0</v>
      </c>
      <c r="AR457" s="52">
        <f t="shared" ca="1" si="4476"/>
        <v>0</v>
      </c>
      <c r="AS457" s="52">
        <f t="shared" ca="1" si="4476"/>
        <v>0</v>
      </c>
      <c r="AT457" s="52">
        <f t="shared" ca="1" si="4476"/>
        <v>0</v>
      </c>
      <c r="AU457" s="52">
        <f t="shared" ca="1" si="4476"/>
        <v>0</v>
      </c>
      <c r="AV457" s="52">
        <f t="shared" ca="1" si="4476"/>
        <v>0</v>
      </c>
      <c r="AW457" s="52">
        <f t="shared" ca="1" si="4476"/>
        <v>0</v>
      </c>
      <c r="AX457" s="52">
        <f t="shared" ca="1" si="4476"/>
        <v>0</v>
      </c>
      <c r="AY457" s="52">
        <f t="shared" ca="1" si="4476"/>
        <v>0</v>
      </c>
      <c r="AZ457" s="52">
        <f t="shared" ca="1" si="4476"/>
        <v>0</v>
      </c>
      <c r="BA457" s="52">
        <f t="shared" ca="1" si="4476"/>
        <v>0</v>
      </c>
      <c r="BB457" s="52">
        <f t="shared" ca="1" si="4476"/>
        <v>0</v>
      </c>
      <c r="BC457" s="52">
        <f t="shared" ca="1" si="4476"/>
        <v>0</v>
      </c>
      <c r="BD457" s="52">
        <f t="shared" ca="1" si="4476"/>
        <v>0</v>
      </c>
      <c r="BE457" s="52">
        <f t="shared" ca="1" si="4476"/>
        <v>0</v>
      </c>
      <c r="BF457" s="52">
        <f t="shared" ca="1" si="4476"/>
        <v>0</v>
      </c>
      <c r="BG457" s="52">
        <f t="shared" ca="1" si="4476"/>
        <v>0</v>
      </c>
      <c r="BH457" s="52">
        <f t="shared" ca="1" si="4476"/>
        <v>0</v>
      </c>
      <c r="BI457" s="52">
        <f t="shared" ca="1" si="4476"/>
        <v>0</v>
      </c>
      <c r="BJ457" s="52">
        <f t="shared" ca="1" si="4476"/>
        <v>0</v>
      </c>
      <c r="BK457" s="52">
        <f t="shared" ca="1" si="4476"/>
        <v>0</v>
      </c>
      <c r="BL457" s="52">
        <f t="shared" ca="1" si="4476"/>
        <v>0</v>
      </c>
      <c r="BM457" s="52">
        <f t="shared" ca="1" si="4476"/>
        <v>0</v>
      </c>
      <c r="BN457" s="52">
        <f t="shared" ca="1" si="4476"/>
        <v>0</v>
      </c>
      <c r="BO457" s="52">
        <f t="shared" ca="1" si="4476"/>
        <v>0</v>
      </c>
      <c r="BP457" s="52">
        <f t="shared" ca="1" si="4476"/>
        <v>0</v>
      </c>
      <c r="BQ457" s="52">
        <f t="shared" ca="1" si="4476"/>
        <v>0</v>
      </c>
      <c r="BR457" s="52">
        <f t="shared" ca="1" si="4476"/>
        <v>0</v>
      </c>
      <c r="BS457" s="52">
        <f t="shared" ca="1" si="4476"/>
        <v>0</v>
      </c>
      <c r="BT457" s="52">
        <f t="shared" ca="1" si="4476"/>
        <v>0</v>
      </c>
      <c r="BU457" s="52">
        <f t="shared" ca="1" si="4476"/>
        <v>0</v>
      </c>
      <c r="BV457" s="52">
        <f t="shared" ca="1" si="4476"/>
        <v>0</v>
      </c>
      <c r="BW457" s="52">
        <f t="shared" ca="1" si="4476"/>
        <v>0</v>
      </c>
      <c r="BX457" s="52">
        <f t="shared" ca="1" si="4476"/>
        <v>0</v>
      </c>
      <c r="BY457" s="52">
        <f t="shared" ref="BY457:CO457" ca="1" si="4477" xml:space="preserve"> - SUM(BX$328,BX$330) * $E345 * $E457</f>
        <v>0</v>
      </c>
      <c r="BZ457" s="52">
        <f t="shared" ca="1" si="4477"/>
        <v>0</v>
      </c>
      <c r="CA457" s="52">
        <f t="shared" ca="1" si="4477"/>
        <v>0</v>
      </c>
      <c r="CB457" s="52">
        <f t="shared" ca="1" si="4477"/>
        <v>0</v>
      </c>
      <c r="CC457" s="52">
        <f t="shared" ca="1" si="4477"/>
        <v>0</v>
      </c>
      <c r="CD457" s="52">
        <f t="shared" ca="1" si="4477"/>
        <v>0</v>
      </c>
      <c r="CE457" s="52">
        <f t="shared" ca="1" si="4477"/>
        <v>0</v>
      </c>
      <c r="CF457" s="52">
        <f t="shared" ca="1" si="4477"/>
        <v>0</v>
      </c>
      <c r="CG457" s="52">
        <f t="shared" ca="1" si="4477"/>
        <v>0</v>
      </c>
      <c r="CH457" s="52">
        <f t="shared" ca="1" si="4477"/>
        <v>0</v>
      </c>
      <c r="CI457" s="52">
        <f t="shared" ca="1" si="4477"/>
        <v>0</v>
      </c>
      <c r="CJ457" s="52">
        <f t="shared" ca="1" si="4477"/>
        <v>0</v>
      </c>
      <c r="CK457" s="52">
        <f t="shared" ca="1" si="4477"/>
        <v>0</v>
      </c>
      <c r="CL457" s="52">
        <f t="shared" ca="1" si="4477"/>
        <v>0</v>
      </c>
      <c r="CM457" s="52">
        <f t="shared" ca="1" si="4477"/>
        <v>0</v>
      </c>
      <c r="CN457" s="52">
        <f t="shared" ca="1" si="4477"/>
        <v>0</v>
      </c>
      <c r="CO457" s="52">
        <f t="shared" ca="1" si="4477"/>
        <v>0</v>
      </c>
    </row>
    <row r="458" spans="1:93">
      <c r="A458" s="10"/>
      <c r="B458" s="10"/>
      <c r="C458" s="17" t="s">
        <v>388</v>
      </c>
      <c r="D458" s="10"/>
      <c r="E458" s="62"/>
      <c r="F458" s="11"/>
      <c r="G458" s="134" t="str">
        <f t="shared" si="4469"/>
        <v>тыс. руб.</v>
      </c>
      <c r="H458" s="10"/>
      <c r="I458" s="10"/>
      <c r="J458" s="10"/>
      <c r="K458" s="10"/>
      <c r="L458" s="52">
        <f t="shared" ref="L458:R458" ca="1" si="4478" xml:space="preserve"> L456 + K458</f>
        <v>0</v>
      </c>
      <c r="M458" s="52">
        <f t="shared" ca="1" si="4478"/>
        <v>0</v>
      </c>
      <c r="N458" s="52">
        <f t="shared" ca="1" si="4478"/>
        <v>0</v>
      </c>
      <c r="O458" s="52">
        <f t="shared" ca="1" si="4478"/>
        <v>0</v>
      </c>
      <c r="P458" s="52">
        <f t="shared" ca="1" si="4478"/>
        <v>0</v>
      </c>
      <c r="Q458" s="52">
        <f t="shared" ca="1" si="4478"/>
        <v>0</v>
      </c>
      <c r="R458" s="52">
        <f t="shared" ca="1" si="4478"/>
        <v>0</v>
      </c>
      <c r="S458" s="52">
        <f t="shared" ref="S458" ca="1" si="4479" xml:space="preserve"> S456 + R458</f>
        <v>0</v>
      </c>
      <c r="T458" s="52">
        <f t="shared" ref="T458:CE458" ca="1" si="4480" xml:space="preserve"> T456 + S458</f>
        <v>0</v>
      </c>
      <c r="U458" s="52">
        <f t="shared" ca="1" si="4480"/>
        <v>0</v>
      </c>
      <c r="V458" s="52">
        <f t="shared" ca="1" si="4480"/>
        <v>0</v>
      </c>
      <c r="W458" s="52">
        <f t="shared" ca="1" si="4480"/>
        <v>0</v>
      </c>
      <c r="X458" s="52">
        <f t="shared" ca="1" si="4480"/>
        <v>0</v>
      </c>
      <c r="Y458" s="52">
        <f t="shared" ca="1" si="4480"/>
        <v>0</v>
      </c>
      <c r="Z458" s="52">
        <f t="shared" ca="1" si="4480"/>
        <v>0</v>
      </c>
      <c r="AA458" s="52">
        <f t="shared" ca="1" si="4480"/>
        <v>0</v>
      </c>
      <c r="AB458" s="52">
        <f t="shared" ca="1" si="4480"/>
        <v>0</v>
      </c>
      <c r="AC458" s="52">
        <f t="shared" ca="1" si="4480"/>
        <v>0</v>
      </c>
      <c r="AD458" s="52">
        <f t="shared" ca="1" si="4480"/>
        <v>0</v>
      </c>
      <c r="AE458" s="52">
        <f t="shared" ca="1" si="4480"/>
        <v>0</v>
      </c>
      <c r="AF458" s="52">
        <f t="shared" ca="1" si="4480"/>
        <v>0</v>
      </c>
      <c r="AG458" s="52">
        <f t="shared" ca="1" si="4480"/>
        <v>0</v>
      </c>
      <c r="AH458" s="52">
        <f t="shared" ca="1" si="4480"/>
        <v>0</v>
      </c>
      <c r="AI458" s="52">
        <f t="shared" ca="1" si="4480"/>
        <v>0</v>
      </c>
      <c r="AJ458" s="52">
        <f t="shared" ca="1" si="4480"/>
        <v>0</v>
      </c>
      <c r="AK458" s="52">
        <f t="shared" ca="1" si="4480"/>
        <v>0</v>
      </c>
      <c r="AL458" s="52">
        <f t="shared" ca="1" si="4480"/>
        <v>0</v>
      </c>
      <c r="AM458" s="52">
        <f t="shared" ca="1" si="4480"/>
        <v>0</v>
      </c>
      <c r="AN458" s="52">
        <f t="shared" ca="1" si="4480"/>
        <v>0</v>
      </c>
      <c r="AO458" s="52">
        <f t="shared" ca="1" si="4480"/>
        <v>0</v>
      </c>
      <c r="AP458" s="52">
        <f t="shared" ca="1" si="4480"/>
        <v>0</v>
      </c>
      <c r="AQ458" s="52">
        <f t="shared" ca="1" si="4480"/>
        <v>0</v>
      </c>
      <c r="AR458" s="52">
        <f t="shared" ca="1" si="4480"/>
        <v>0</v>
      </c>
      <c r="AS458" s="52">
        <f t="shared" ca="1" si="4480"/>
        <v>0</v>
      </c>
      <c r="AT458" s="52">
        <f t="shared" ca="1" si="4480"/>
        <v>0</v>
      </c>
      <c r="AU458" s="52">
        <f t="shared" ca="1" si="4480"/>
        <v>0</v>
      </c>
      <c r="AV458" s="52">
        <f t="shared" ca="1" si="4480"/>
        <v>0</v>
      </c>
      <c r="AW458" s="52">
        <f t="shared" ca="1" si="4480"/>
        <v>0</v>
      </c>
      <c r="AX458" s="52">
        <f t="shared" ca="1" si="4480"/>
        <v>0</v>
      </c>
      <c r="AY458" s="52">
        <f t="shared" ca="1" si="4480"/>
        <v>0</v>
      </c>
      <c r="AZ458" s="52">
        <f t="shared" ca="1" si="4480"/>
        <v>0</v>
      </c>
      <c r="BA458" s="52">
        <f t="shared" ca="1" si="4480"/>
        <v>0</v>
      </c>
      <c r="BB458" s="52">
        <f t="shared" ca="1" si="4480"/>
        <v>0</v>
      </c>
      <c r="BC458" s="52">
        <f t="shared" ca="1" si="4480"/>
        <v>0</v>
      </c>
      <c r="BD458" s="52">
        <f t="shared" ca="1" si="4480"/>
        <v>0</v>
      </c>
      <c r="BE458" s="52">
        <f t="shared" ca="1" si="4480"/>
        <v>0</v>
      </c>
      <c r="BF458" s="52">
        <f t="shared" ca="1" si="4480"/>
        <v>0</v>
      </c>
      <c r="BG458" s="52">
        <f t="shared" ca="1" si="4480"/>
        <v>0</v>
      </c>
      <c r="BH458" s="52">
        <f t="shared" ca="1" si="4480"/>
        <v>0</v>
      </c>
      <c r="BI458" s="52">
        <f t="shared" ca="1" si="4480"/>
        <v>0</v>
      </c>
      <c r="BJ458" s="52">
        <f t="shared" ca="1" si="4480"/>
        <v>0</v>
      </c>
      <c r="BK458" s="52">
        <f t="shared" ca="1" si="4480"/>
        <v>0</v>
      </c>
      <c r="BL458" s="52">
        <f t="shared" ca="1" si="4480"/>
        <v>0</v>
      </c>
      <c r="BM458" s="52">
        <f t="shared" ca="1" si="4480"/>
        <v>0</v>
      </c>
      <c r="BN458" s="52">
        <f t="shared" ca="1" si="4480"/>
        <v>0</v>
      </c>
      <c r="BO458" s="52">
        <f t="shared" ca="1" si="4480"/>
        <v>0</v>
      </c>
      <c r="BP458" s="52">
        <f t="shared" ca="1" si="4480"/>
        <v>0</v>
      </c>
      <c r="BQ458" s="52">
        <f t="shared" ca="1" si="4480"/>
        <v>0</v>
      </c>
      <c r="BR458" s="52">
        <f t="shared" ca="1" si="4480"/>
        <v>0</v>
      </c>
      <c r="BS458" s="52">
        <f t="shared" ca="1" si="4480"/>
        <v>0</v>
      </c>
      <c r="BT458" s="52">
        <f t="shared" ca="1" si="4480"/>
        <v>0</v>
      </c>
      <c r="BU458" s="52">
        <f t="shared" ca="1" si="4480"/>
        <v>0</v>
      </c>
      <c r="BV458" s="52">
        <f t="shared" ca="1" si="4480"/>
        <v>0</v>
      </c>
      <c r="BW458" s="52">
        <f t="shared" ca="1" si="4480"/>
        <v>0</v>
      </c>
      <c r="BX458" s="52">
        <f t="shared" ca="1" si="4480"/>
        <v>0</v>
      </c>
      <c r="BY458" s="52">
        <f t="shared" ca="1" si="4480"/>
        <v>0</v>
      </c>
      <c r="BZ458" s="52">
        <f t="shared" ca="1" si="4480"/>
        <v>0</v>
      </c>
      <c r="CA458" s="52">
        <f t="shared" ca="1" si="4480"/>
        <v>0</v>
      </c>
      <c r="CB458" s="52">
        <f t="shared" ca="1" si="4480"/>
        <v>0</v>
      </c>
      <c r="CC458" s="52">
        <f t="shared" ca="1" si="4480"/>
        <v>0</v>
      </c>
      <c r="CD458" s="52">
        <f t="shared" ca="1" si="4480"/>
        <v>0</v>
      </c>
      <c r="CE458" s="52">
        <f t="shared" ca="1" si="4480"/>
        <v>0</v>
      </c>
      <c r="CF458" s="52">
        <f t="shared" ref="CF458:CO458" ca="1" si="4481" xml:space="preserve"> CF456 + CE458</f>
        <v>0</v>
      </c>
      <c r="CG458" s="52">
        <f t="shared" ca="1" si="4481"/>
        <v>0</v>
      </c>
      <c r="CH458" s="52">
        <f t="shared" ca="1" si="4481"/>
        <v>0</v>
      </c>
      <c r="CI458" s="52">
        <f t="shared" ca="1" si="4481"/>
        <v>0</v>
      </c>
      <c r="CJ458" s="52">
        <f t="shared" ca="1" si="4481"/>
        <v>0</v>
      </c>
      <c r="CK458" s="52">
        <f t="shared" ca="1" si="4481"/>
        <v>0</v>
      </c>
      <c r="CL458" s="52">
        <f t="shared" ca="1" si="4481"/>
        <v>0</v>
      </c>
      <c r="CM458" s="52">
        <f t="shared" ca="1" si="4481"/>
        <v>0</v>
      </c>
      <c r="CN458" s="52">
        <f t="shared" ca="1" si="4481"/>
        <v>0</v>
      </c>
      <c r="CO458" s="52">
        <f t="shared" ca="1" si="4481"/>
        <v>0</v>
      </c>
    </row>
    <row r="459" spans="1:93">
      <c r="A459" s="10"/>
      <c r="B459" s="10"/>
      <c r="C459" s="17" t="s">
        <v>389</v>
      </c>
      <c r="D459" s="10"/>
      <c r="E459" s="62"/>
      <c r="F459" s="11"/>
      <c r="G459" s="134" t="str">
        <f t="shared" si="4469"/>
        <v>тыс. руб.</v>
      </c>
      <c r="H459" s="10"/>
      <c r="I459" s="23">
        <f ca="1">SUM(L459:CO459)</f>
        <v>0</v>
      </c>
      <c r="J459" s="10"/>
      <c r="K459" s="10"/>
      <c r="L459" s="52">
        <f t="shared" ref="L459" ca="1" si="4482" xml:space="preserve"> MIN(L458*L454,K461)</f>
        <v>0</v>
      </c>
      <c r="M459" s="52">
        <f t="shared" ref="M459" ca="1" si="4483" xml:space="preserve"> MIN(M458*M454,L461)</f>
        <v>0</v>
      </c>
      <c r="N459" s="52">
        <f t="shared" ref="N459" ca="1" si="4484" xml:space="preserve"> MIN(N458*N454,M461)</f>
        <v>0</v>
      </c>
      <c r="O459" s="52">
        <f t="shared" ref="O459" ca="1" si="4485" xml:space="preserve"> MIN(O458*O454,N461)</f>
        <v>0</v>
      </c>
      <c r="P459" s="52">
        <f t="shared" ref="P459" ca="1" si="4486" xml:space="preserve"> MIN(P458*P454,O461)</f>
        <v>0</v>
      </c>
      <c r="Q459" s="52">
        <f t="shared" ref="Q459" ca="1" si="4487" xml:space="preserve"> MIN(Q458*Q454,P461)</f>
        <v>0</v>
      </c>
      <c r="R459" s="52">
        <f t="shared" ref="R459" ca="1" si="4488" xml:space="preserve"> MIN(R458*R454,Q461)</f>
        <v>0</v>
      </c>
      <c r="S459" s="52">
        <f t="shared" ref="S459" ca="1" si="4489" xml:space="preserve"> MIN(S458*S454,R461)</f>
        <v>0</v>
      </c>
      <c r="T459" s="52">
        <f t="shared" ref="T459" ca="1" si="4490" xml:space="preserve"> MIN(T458*T454,S461)</f>
        <v>0</v>
      </c>
      <c r="U459" s="52">
        <f t="shared" ref="U459" ca="1" si="4491" xml:space="preserve"> MIN(U458*U454,T461)</f>
        <v>0</v>
      </c>
      <c r="V459" s="52">
        <f t="shared" ref="V459" ca="1" si="4492" xml:space="preserve"> MIN(V458*V454,U461)</f>
        <v>0</v>
      </c>
      <c r="W459" s="52">
        <f t="shared" ref="W459" ca="1" si="4493" xml:space="preserve"> MIN(W458*W454,V461)</f>
        <v>0</v>
      </c>
      <c r="X459" s="52">
        <f t="shared" ref="X459" ca="1" si="4494" xml:space="preserve"> MIN(X458*X454,W461)</f>
        <v>0</v>
      </c>
      <c r="Y459" s="52">
        <f t="shared" ref="Y459" ca="1" si="4495" xml:space="preserve"> MIN(Y458*Y454,X461)</f>
        <v>0</v>
      </c>
      <c r="Z459" s="52">
        <f t="shared" ref="Z459" ca="1" si="4496" xml:space="preserve"> MIN(Z458*Z454,Y461)</f>
        <v>0</v>
      </c>
      <c r="AA459" s="52">
        <f t="shared" ref="AA459" ca="1" si="4497" xml:space="preserve"> MIN(AA458*AA454,Z461)</f>
        <v>0</v>
      </c>
      <c r="AB459" s="52">
        <f t="shared" ref="AB459" ca="1" si="4498" xml:space="preserve"> MIN(AB458*AB454,AA461)</f>
        <v>0</v>
      </c>
      <c r="AC459" s="52">
        <f t="shared" ref="AC459" ca="1" si="4499" xml:space="preserve"> MIN(AC458*AC454,AB461)</f>
        <v>0</v>
      </c>
      <c r="AD459" s="52">
        <f t="shared" ref="AD459" ca="1" si="4500" xml:space="preserve"> MIN(AD458*AD454,AC461)</f>
        <v>0</v>
      </c>
      <c r="AE459" s="52">
        <f t="shared" ref="AE459" ca="1" si="4501" xml:space="preserve"> MIN(AE458*AE454,AD461)</f>
        <v>0</v>
      </c>
      <c r="AF459" s="52">
        <f t="shared" ref="AF459" ca="1" si="4502" xml:space="preserve"> MIN(AF458*AF454,AE461)</f>
        <v>0</v>
      </c>
      <c r="AG459" s="52">
        <f t="shared" ref="AG459" ca="1" si="4503" xml:space="preserve"> MIN(AG458*AG454,AF461)</f>
        <v>0</v>
      </c>
      <c r="AH459" s="52">
        <f t="shared" ref="AH459" ca="1" si="4504" xml:space="preserve"> MIN(AH458*AH454,AG461)</f>
        <v>0</v>
      </c>
      <c r="AI459" s="52">
        <f t="shared" ref="AI459" ca="1" si="4505" xml:space="preserve"> MIN(AI458*AI454,AH461)</f>
        <v>0</v>
      </c>
      <c r="AJ459" s="52">
        <f t="shared" ref="AJ459" ca="1" si="4506" xml:space="preserve"> MIN(AJ458*AJ454,AI461)</f>
        <v>0</v>
      </c>
      <c r="AK459" s="52">
        <f t="shared" ref="AK459" ca="1" si="4507" xml:space="preserve"> MIN(AK458*AK454,AJ461)</f>
        <v>0</v>
      </c>
      <c r="AL459" s="52">
        <f t="shared" ref="AL459" ca="1" si="4508" xml:space="preserve"> MIN(AL458*AL454,AK461)</f>
        <v>0</v>
      </c>
      <c r="AM459" s="52">
        <f t="shared" ref="AM459" ca="1" si="4509" xml:space="preserve"> MIN(AM458*AM454,AL461)</f>
        <v>0</v>
      </c>
      <c r="AN459" s="52">
        <f t="shared" ref="AN459" ca="1" si="4510" xml:space="preserve"> MIN(AN458*AN454,AM461)</f>
        <v>0</v>
      </c>
      <c r="AO459" s="52">
        <f t="shared" ref="AO459" ca="1" si="4511" xml:space="preserve"> MIN(AO458*AO454,AN461)</f>
        <v>0</v>
      </c>
      <c r="AP459" s="52">
        <f t="shared" ref="AP459" ca="1" si="4512" xml:space="preserve"> MIN(AP458*AP454,AO461)</f>
        <v>0</v>
      </c>
      <c r="AQ459" s="52">
        <f t="shared" ref="AQ459" ca="1" si="4513" xml:space="preserve"> MIN(AQ458*AQ454,AP461)</f>
        <v>0</v>
      </c>
      <c r="AR459" s="52">
        <f t="shared" ref="AR459" ca="1" si="4514" xml:space="preserve"> MIN(AR458*AR454,AQ461)</f>
        <v>0</v>
      </c>
      <c r="AS459" s="52">
        <f t="shared" ref="AS459" ca="1" si="4515" xml:space="preserve"> MIN(AS458*AS454,AR461)</f>
        <v>0</v>
      </c>
      <c r="AT459" s="52">
        <f t="shared" ref="AT459" ca="1" si="4516" xml:space="preserve"> MIN(AT458*AT454,AS461)</f>
        <v>0</v>
      </c>
      <c r="AU459" s="52">
        <f t="shared" ref="AU459" ca="1" si="4517" xml:space="preserve"> MIN(AU458*AU454,AT461)</f>
        <v>0</v>
      </c>
      <c r="AV459" s="52">
        <f t="shared" ref="AV459" ca="1" si="4518" xml:space="preserve"> MIN(AV458*AV454,AU461)</f>
        <v>0</v>
      </c>
      <c r="AW459" s="52">
        <f t="shared" ref="AW459" ca="1" si="4519" xml:space="preserve"> MIN(AW458*AW454,AV461)</f>
        <v>0</v>
      </c>
      <c r="AX459" s="52">
        <f t="shared" ref="AX459" ca="1" si="4520" xml:space="preserve"> MIN(AX458*AX454,AW461)</f>
        <v>0</v>
      </c>
      <c r="AY459" s="52">
        <f t="shared" ref="AY459" ca="1" si="4521" xml:space="preserve"> MIN(AY458*AY454,AX461)</f>
        <v>0</v>
      </c>
      <c r="AZ459" s="52">
        <f t="shared" ref="AZ459" ca="1" si="4522" xml:space="preserve"> MIN(AZ458*AZ454,AY461)</f>
        <v>0</v>
      </c>
      <c r="BA459" s="52">
        <f t="shared" ref="BA459" ca="1" si="4523" xml:space="preserve"> MIN(BA458*BA454,AZ461)</f>
        <v>0</v>
      </c>
      <c r="BB459" s="52">
        <f t="shared" ref="BB459" ca="1" si="4524" xml:space="preserve"> MIN(BB458*BB454,BA461)</f>
        <v>0</v>
      </c>
      <c r="BC459" s="52">
        <f t="shared" ref="BC459" ca="1" si="4525" xml:space="preserve"> MIN(BC458*BC454,BB461)</f>
        <v>0</v>
      </c>
      <c r="BD459" s="52">
        <f t="shared" ref="BD459" ca="1" si="4526" xml:space="preserve"> MIN(BD458*BD454,BC461)</f>
        <v>0</v>
      </c>
      <c r="BE459" s="52">
        <f t="shared" ref="BE459" ca="1" si="4527" xml:space="preserve"> MIN(BE458*BE454,BD461)</f>
        <v>0</v>
      </c>
      <c r="BF459" s="52">
        <f t="shared" ref="BF459" ca="1" si="4528" xml:space="preserve"> MIN(BF458*BF454,BE461)</f>
        <v>0</v>
      </c>
      <c r="BG459" s="52">
        <f t="shared" ref="BG459" ca="1" si="4529" xml:space="preserve"> MIN(BG458*BG454,BF461)</f>
        <v>0</v>
      </c>
      <c r="BH459" s="52">
        <f t="shared" ref="BH459" ca="1" si="4530" xml:space="preserve"> MIN(BH458*BH454,BG461)</f>
        <v>0</v>
      </c>
      <c r="BI459" s="52">
        <f t="shared" ref="BI459" ca="1" si="4531" xml:space="preserve"> MIN(BI458*BI454,BH461)</f>
        <v>0</v>
      </c>
      <c r="BJ459" s="52">
        <f t="shared" ref="BJ459" ca="1" si="4532" xml:space="preserve"> MIN(BJ458*BJ454,BI461)</f>
        <v>0</v>
      </c>
      <c r="BK459" s="52">
        <f t="shared" ref="BK459" ca="1" si="4533" xml:space="preserve"> MIN(BK458*BK454,BJ461)</f>
        <v>0</v>
      </c>
      <c r="BL459" s="52">
        <f t="shared" ref="BL459" ca="1" si="4534" xml:space="preserve"> MIN(BL458*BL454,BK461)</f>
        <v>0</v>
      </c>
      <c r="BM459" s="52">
        <f t="shared" ref="BM459" ca="1" si="4535" xml:space="preserve"> MIN(BM458*BM454,BL461)</f>
        <v>0</v>
      </c>
      <c r="BN459" s="52">
        <f t="shared" ref="BN459" ca="1" si="4536" xml:space="preserve"> MIN(BN458*BN454,BM461)</f>
        <v>0</v>
      </c>
      <c r="BO459" s="52">
        <f t="shared" ref="BO459" ca="1" si="4537" xml:space="preserve"> MIN(BO458*BO454,BN461)</f>
        <v>0</v>
      </c>
      <c r="BP459" s="52">
        <f t="shared" ref="BP459" ca="1" si="4538" xml:space="preserve"> MIN(BP458*BP454,BO461)</f>
        <v>0</v>
      </c>
      <c r="BQ459" s="52">
        <f t="shared" ref="BQ459" ca="1" si="4539" xml:space="preserve"> MIN(BQ458*BQ454,BP461)</f>
        <v>0</v>
      </c>
      <c r="BR459" s="52">
        <f t="shared" ref="BR459" ca="1" si="4540" xml:space="preserve"> MIN(BR458*BR454,BQ461)</f>
        <v>0</v>
      </c>
      <c r="BS459" s="52">
        <f t="shared" ref="BS459" ca="1" si="4541" xml:space="preserve"> MIN(BS458*BS454,BR461)</f>
        <v>0</v>
      </c>
      <c r="BT459" s="52">
        <f t="shared" ref="BT459" ca="1" si="4542" xml:space="preserve"> MIN(BT458*BT454,BS461)</f>
        <v>0</v>
      </c>
      <c r="BU459" s="52">
        <f t="shared" ref="BU459" ca="1" si="4543" xml:space="preserve"> MIN(BU458*BU454,BT461)</f>
        <v>0</v>
      </c>
      <c r="BV459" s="52">
        <f t="shared" ref="BV459" ca="1" si="4544" xml:space="preserve"> MIN(BV458*BV454,BU461)</f>
        <v>0</v>
      </c>
      <c r="BW459" s="52">
        <f t="shared" ref="BW459" ca="1" si="4545" xml:space="preserve"> MIN(BW458*BW454,BV461)</f>
        <v>0</v>
      </c>
      <c r="BX459" s="52">
        <f t="shared" ref="BX459" ca="1" si="4546" xml:space="preserve"> MIN(BX458*BX454,BW461)</f>
        <v>0</v>
      </c>
      <c r="BY459" s="52">
        <f t="shared" ref="BY459" ca="1" si="4547" xml:space="preserve"> MIN(BY458*BY454,BX461)</f>
        <v>0</v>
      </c>
      <c r="BZ459" s="52">
        <f t="shared" ref="BZ459" ca="1" si="4548" xml:space="preserve"> MIN(BZ458*BZ454,BY461)</f>
        <v>0</v>
      </c>
      <c r="CA459" s="52">
        <f t="shared" ref="CA459" ca="1" si="4549" xml:space="preserve"> MIN(CA458*CA454,BZ461)</f>
        <v>0</v>
      </c>
      <c r="CB459" s="52">
        <f t="shared" ref="CB459" ca="1" si="4550" xml:space="preserve"> MIN(CB458*CB454,CA461)</f>
        <v>0</v>
      </c>
      <c r="CC459" s="52">
        <f t="shared" ref="CC459" ca="1" si="4551" xml:space="preserve"> MIN(CC458*CC454,CB461)</f>
        <v>0</v>
      </c>
      <c r="CD459" s="52">
        <f t="shared" ref="CD459" ca="1" si="4552" xml:space="preserve"> MIN(CD458*CD454,CC461)</f>
        <v>0</v>
      </c>
      <c r="CE459" s="52">
        <f t="shared" ref="CE459" ca="1" si="4553" xml:space="preserve"> MIN(CE458*CE454,CD461)</f>
        <v>0</v>
      </c>
      <c r="CF459" s="52">
        <f t="shared" ref="CF459" ca="1" si="4554" xml:space="preserve"> MIN(CF458*CF454,CE461)</f>
        <v>0</v>
      </c>
      <c r="CG459" s="52">
        <f t="shared" ref="CG459" ca="1" si="4555" xml:space="preserve"> MIN(CG458*CG454,CF461)</f>
        <v>0</v>
      </c>
      <c r="CH459" s="52">
        <f t="shared" ref="CH459" ca="1" si="4556" xml:space="preserve"> MIN(CH458*CH454,CG461)</f>
        <v>0</v>
      </c>
      <c r="CI459" s="52">
        <f t="shared" ref="CI459" ca="1" si="4557" xml:space="preserve"> MIN(CI458*CI454,CH461)</f>
        <v>0</v>
      </c>
      <c r="CJ459" s="52">
        <f t="shared" ref="CJ459" ca="1" si="4558" xml:space="preserve"> MIN(CJ458*CJ454,CI461)</f>
        <v>0</v>
      </c>
      <c r="CK459" s="52">
        <f t="shared" ref="CK459" ca="1" si="4559" xml:space="preserve"> MIN(CK458*CK454,CJ461)</f>
        <v>0</v>
      </c>
      <c r="CL459" s="52">
        <f t="shared" ref="CL459" ca="1" si="4560" xml:space="preserve"> MIN(CL458*CL454,CK461)</f>
        <v>0</v>
      </c>
      <c r="CM459" s="52">
        <f t="shared" ref="CM459" ca="1" si="4561" xml:space="preserve"> MIN(CM458*CM454,CL461)</f>
        <v>0</v>
      </c>
      <c r="CN459" s="52">
        <f t="shared" ref="CN459" ca="1" si="4562" xml:space="preserve"> MIN(CN458*CN454,CM461)</f>
        <v>0</v>
      </c>
      <c r="CO459" s="52">
        <f t="shared" ref="CO459" ca="1" si="4563" xml:space="preserve"> MIN(CO458*CO454,CN461)</f>
        <v>0</v>
      </c>
    </row>
    <row r="460" spans="1:93">
      <c r="A460" s="10"/>
      <c r="B460" s="10"/>
      <c r="C460" s="17" t="s">
        <v>127</v>
      </c>
      <c r="D460" s="10"/>
      <c r="E460" s="62"/>
      <c r="F460" s="11"/>
      <c r="G460" s="134" t="str">
        <f t="shared" si="4469"/>
        <v>тыс. руб.</v>
      </c>
      <c r="H460" s="10"/>
      <c r="I460" s="10"/>
      <c r="J460" s="10"/>
      <c r="K460" s="10"/>
      <c r="L460" s="52">
        <f t="shared" ref="L460" ca="1" si="4564" xml:space="preserve"> SUM(K460,-L459)</f>
        <v>0</v>
      </c>
      <c r="M460" s="52">
        <f t="shared" ref="M460" ca="1" si="4565" xml:space="preserve"> SUM(L460,-M459)</f>
        <v>0</v>
      </c>
      <c r="N460" s="52">
        <f t="shared" ref="N460" ca="1" si="4566" xml:space="preserve"> SUM(M460,-N459)</f>
        <v>0</v>
      </c>
      <c r="O460" s="52">
        <f t="shared" ref="O460" ca="1" si="4567" xml:space="preserve"> SUM(N460,-O459)</f>
        <v>0</v>
      </c>
      <c r="P460" s="52">
        <f t="shared" ref="P460" ca="1" si="4568" xml:space="preserve"> SUM(O460,-P459)</f>
        <v>0</v>
      </c>
      <c r="Q460" s="52">
        <f t="shared" ref="Q460" ca="1" si="4569" xml:space="preserve"> SUM(P460,-Q459)</f>
        <v>0</v>
      </c>
      <c r="R460" s="52">
        <f t="shared" ref="R460" ca="1" si="4570" xml:space="preserve"> SUM(Q460,-R459)</f>
        <v>0</v>
      </c>
      <c r="S460" s="52">
        <f t="shared" ref="S460" ca="1" si="4571" xml:space="preserve"> SUM(R460,-S459)</f>
        <v>0</v>
      </c>
      <c r="T460" s="52">
        <f t="shared" ref="T460" ca="1" si="4572" xml:space="preserve"> SUM(S460,-T459)</f>
        <v>0</v>
      </c>
      <c r="U460" s="52">
        <f t="shared" ref="U460" ca="1" si="4573" xml:space="preserve"> SUM(T460,-U459)</f>
        <v>0</v>
      </c>
      <c r="V460" s="52">
        <f t="shared" ref="V460" ca="1" si="4574" xml:space="preserve"> SUM(U460,-V459)</f>
        <v>0</v>
      </c>
      <c r="W460" s="52">
        <f t="shared" ref="W460" ca="1" si="4575" xml:space="preserve"> SUM(V460,-W459)</f>
        <v>0</v>
      </c>
      <c r="X460" s="52">
        <f t="shared" ref="X460" ca="1" si="4576" xml:space="preserve"> SUM(W460,-X459)</f>
        <v>0</v>
      </c>
      <c r="Y460" s="52">
        <f t="shared" ref="Y460" ca="1" si="4577" xml:space="preserve"> SUM(X460,-Y459)</f>
        <v>0</v>
      </c>
      <c r="Z460" s="52">
        <f t="shared" ref="Z460" ca="1" si="4578" xml:space="preserve"> SUM(Y460,-Z459)</f>
        <v>0</v>
      </c>
      <c r="AA460" s="52">
        <f t="shared" ref="AA460" ca="1" si="4579" xml:space="preserve"> SUM(Z460,-AA459)</f>
        <v>0</v>
      </c>
      <c r="AB460" s="52">
        <f t="shared" ref="AB460" ca="1" si="4580" xml:space="preserve"> SUM(AA460,-AB459)</f>
        <v>0</v>
      </c>
      <c r="AC460" s="52">
        <f t="shared" ref="AC460" ca="1" si="4581" xml:space="preserve"> SUM(AB460,-AC459)</f>
        <v>0</v>
      </c>
      <c r="AD460" s="52">
        <f t="shared" ref="AD460" ca="1" si="4582" xml:space="preserve"> SUM(AC460,-AD459)</f>
        <v>0</v>
      </c>
      <c r="AE460" s="52">
        <f t="shared" ref="AE460" ca="1" si="4583" xml:space="preserve"> SUM(AD460,-AE459)</f>
        <v>0</v>
      </c>
      <c r="AF460" s="52">
        <f t="shared" ref="AF460" ca="1" si="4584" xml:space="preserve"> SUM(AE460,-AF459)</f>
        <v>0</v>
      </c>
      <c r="AG460" s="52">
        <f t="shared" ref="AG460" ca="1" si="4585" xml:space="preserve"> SUM(AF460,-AG459)</f>
        <v>0</v>
      </c>
      <c r="AH460" s="52">
        <f t="shared" ref="AH460" ca="1" si="4586" xml:space="preserve"> SUM(AG460,-AH459)</f>
        <v>0</v>
      </c>
      <c r="AI460" s="52">
        <f t="shared" ref="AI460" ca="1" si="4587" xml:space="preserve"> SUM(AH460,-AI459)</f>
        <v>0</v>
      </c>
      <c r="AJ460" s="52">
        <f t="shared" ref="AJ460" ca="1" si="4588" xml:space="preserve"> SUM(AI460,-AJ459)</f>
        <v>0</v>
      </c>
      <c r="AK460" s="52">
        <f t="shared" ref="AK460" ca="1" si="4589" xml:space="preserve"> SUM(AJ460,-AK459)</f>
        <v>0</v>
      </c>
      <c r="AL460" s="52">
        <f t="shared" ref="AL460" ca="1" si="4590" xml:space="preserve"> SUM(AK460,-AL459)</f>
        <v>0</v>
      </c>
      <c r="AM460" s="52">
        <f t="shared" ref="AM460" ca="1" si="4591" xml:space="preserve"> SUM(AL460,-AM459)</f>
        <v>0</v>
      </c>
      <c r="AN460" s="52">
        <f t="shared" ref="AN460" ca="1" si="4592" xml:space="preserve"> SUM(AM460,-AN459)</f>
        <v>0</v>
      </c>
      <c r="AO460" s="52">
        <f t="shared" ref="AO460" ca="1" si="4593" xml:space="preserve"> SUM(AN460,-AO459)</f>
        <v>0</v>
      </c>
      <c r="AP460" s="52">
        <f t="shared" ref="AP460" ca="1" si="4594" xml:space="preserve"> SUM(AO460,-AP459)</f>
        <v>0</v>
      </c>
      <c r="AQ460" s="52">
        <f t="shared" ref="AQ460" ca="1" si="4595" xml:space="preserve"> SUM(AP460,-AQ459)</f>
        <v>0</v>
      </c>
      <c r="AR460" s="52">
        <f t="shared" ref="AR460" ca="1" si="4596" xml:space="preserve"> SUM(AQ460,-AR459)</f>
        <v>0</v>
      </c>
      <c r="AS460" s="52">
        <f t="shared" ref="AS460" ca="1" si="4597" xml:space="preserve"> SUM(AR460,-AS459)</f>
        <v>0</v>
      </c>
      <c r="AT460" s="52">
        <f t="shared" ref="AT460" ca="1" si="4598" xml:space="preserve"> SUM(AS460,-AT459)</f>
        <v>0</v>
      </c>
      <c r="AU460" s="52">
        <f t="shared" ref="AU460" ca="1" si="4599" xml:space="preserve"> SUM(AT460,-AU459)</f>
        <v>0</v>
      </c>
      <c r="AV460" s="52">
        <f t="shared" ref="AV460" ca="1" si="4600" xml:space="preserve"> SUM(AU460,-AV459)</f>
        <v>0</v>
      </c>
      <c r="AW460" s="52">
        <f t="shared" ref="AW460" ca="1" si="4601" xml:space="preserve"> SUM(AV460,-AW459)</f>
        <v>0</v>
      </c>
      <c r="AX460" s="52">
        <f t="shared" ref="AX460" ca="1" si="4602" xml:space="preserve"> SUM(AW460,-AX459)</f>
        <v>0</v>
      </c>
      <c r="AY460" s="52">
        <f t="shared" ref="AY460" ca="1" si="4603" xml:space="preserve"> SUM(AX460,-AY459)</f>
        <v>0</v>
      </c>
      <c r="AZ460" s="52">
        <f t="shared" ref="AZ460" ca="1" si="4604" xml:space="preserve"> SUM(AY460,-AZ459)</f>
        <v>0</v>
      </c>
      <c r="BA460" s="52">
        <f t="shared" ref="BA460" ca="1" si="4605" xml:space="preserve"> SUM(AZ460,-BA459)</f>
        <v>0</v>
      </c>
      <c r="BB460" s="52">
        <f t="shared" ref="BB460" ca="1" si="4606" xml:space="preserve"> SUM(BA460,-BB459)</f>
        <v>0</v>
      </c>
      <c r="BC460" s="52">
        <f t="shared" ref="BC460" ca="1" si="4607" xml:space="preserve"> SUM(BB460,-BC459)</f>
        <v>0</v>
      </c>
      <c r="BD460" s="52">
        <f t="shared" ref="BD460" ca="1" si="4608" xml:space="preserve"> SUM(BC460,-BD459)</f>
        <v>0</v>
      </c>
      <c r="BE460" s="52">
        <f t="shared" ref="BE460" ca="1" si="4609" xml:space="preserve"> SUM(BD460,-BE459)</f>
        <v>0</v>
      </c>
      <c r="BF460" s="52">
        <f t="shared" ref="BF460" ca="1" si="4610" xml:space="preserve"> SUM(BE460,-BF459)</f>
        <v>0</v>
      </c>
      <c r="BG460" s="52">
        <f t="shared" ref="BG460" ca="1" si="4611" xml:space="preserve"> SUM(BF460,-BG459)</f>
        <v>0</v>
      </c>
      <c r="BH460" s="52">
        <f t="shared" ref="BH460" ca="1" si="4612" xml:space="preserve"> SUM(BG460,-BH459)</f>
        <v>0</v>
      </c>
      <c r="BI460" s="52">
        <f t="shared" ref="BI460" ca="1" si="4613" xml:space="preserve"> SUM(BH460,-BI459)</f>
        <v>0</v>
      </c>
      <c r="BJ460" s="52">
        <f t="shared" ref="BJ460" ca="1" si="4614" xml:space="preserve"> SUM(BI460,-BJ459)</f>
        <v>0</v>
      </c>
      <c r="BK460" s="52">
        <f t="shared" ref="BK460" ca="1" si="4615" xml:space="preserve"> SUM(BJ460,-BK459)</f>
        <v>0</v>
      </c>
      <c r="BL460" s="52">
        <f t="shared" ref="BL460" ca="1" si="4616" xml:space="preserve"> SUM(BK460,-BL459)</f>
        <v>0</v>
      </c>
      <c r="BM460" s="52">
        <f t="shared" ref="BM460" ca="1" si="4617" xml:space="preserve"> SUM(BL460,-BM459)</f>
        <v>0</v>
      </c>
      <c r="BN460" s="52">
        <f t="shared" ref="BN460" ca="1" si="4618" xml:space="preserve"> SUM(BM460,-BN459)</f>
        <v>0</v>
      </c>
      <c r="BO460" s="52">
        <f t="shared" ref="BO460" ca="1" si="4619" xml:space="preserve"> SUM(BN460,-BO459)</f>
        <v>0</v>
      </c>
      <c r="BP460" s="52">
        <f t="shared" ref="BP460" ca="1" si="4620" xml:space="preserve"> SUM(BO460,-BP459)</f>
        <v>0</v>
      </c>
      <c r="BQ460" s="52">
        <f t="shared" ref="BQ460" ca="1" si="4621" xml:space="preserve"> SUM(BP460,-BQ459)</f>
        <v>0</v>
      </c>
      <c r="BR460" s="52">
        <f t="shared" ref="BR460" ca="1" si="4622" xml:space="preserve"> SUM(BQ460,-BR459)</f>
        <v>0</v>
      </c>
      <c r="BS460" s="52">
        <f t="shared" ref="BS460" ca="1" si="4623" xml:space="preserve"> SUM(BR460,-BS459)</f>
        <v>0</v>
      </c>
      <c r="BT460" s="52">
        <f t="shared" ref="BT460" ca="1" si="4624" xml:space="preserve"> SUM(BS460,-BT459)</f>
        <v>0</v>
      </c>
      <c r="BU460" s="52">
        <f t="shared" ref="BU460" ca="1" si="4625" xml:space="preserve"> SUM(BT460,-BU459)</f>
        <v>0</v>
      </c>
      <c r="BV460" s="52">
        <f t="shared" ref="BV460" ca="1" si="4626" xml:space="preserve"> SUM(BU460,-BV459)</f>
        <v>0</v>
      </c>
      <c r="BW460" s="52">
        <f t="shared" ref="BW460" ca="1" si="4627" xml:space="preserve"> SUM(BV460,-BW459)</f>
        <v>0</v>
      </c>
      <c r="BX460" s="52">
        <f t="shared" ref="BX460" ca="1" si="4628" xml:space="preserve"> SUM(BW460,-BX459)</f>
        <v>0</v>
      </c>
      <c r="BY460" s="52">
        <f t="shared" ref="BY460" ca="1" si="4629" xml:space="preserve"> SUM(BX460,-BY459)</f>
        <v>0</v>
      </c>
      <c r="BZ460" s="52">
        <f t="shared" ref="BZ460" ca="1" si="4630" xml:space="preserve"> SUM(BY460,-BZ459)</f>
        <v>0</v>
      </c>
      <c r="CA460" s="52">
        <f t="shared" ref="CA460" ca="1" si="4631" xml:space="preserve"> SUM(BZ460,-CA459)</f>
        <v>0</v>
      </c>
      <c r="CB460" s="52">
        <f t="shared" ref="CB460" ca="1" si="4632" xml:space="preserve"> SUM(CA460,-CB459)</f>
        <v>0</v>
      </c>
      <c r="CC460" s="52">
        <f t="shared" ref="CC460" ca="1" si="4633" xml:space="preserve"> SUM(CB460,-CC459)</f>
        <v>0</v>
      </c>
      <c r="CD460" s="52">
        <f t="shared" ref="CD460" ca="1" si="4634" xml:space="preserve"> SUM(CC460,-CD459)</f>
        <v>0</v>
      </c>
      <c r="CE460" s="52">
        <f t="shared" ref="CE460" ca="1" si="4635" xml:space="preserve"> SUM(CD460,-CE459)</f>
        <v>0</v>
      </c>
      <c r="CF460" s="52">
        <f t="shared" ref="CF460" ca="1" si="4636" xml:space="preserve"> SUM(CE460,-CF459)</f>
        <v>0</v>
      </c>
      <c r="CG460" s="52">
        <f t="shared" ref="CG460" ca="1" si="4637" xml:space="preserve"> SUM(CF460,-CG459)</f>
        <v>0</v>
      </c>
      <c r="CH460" s="52">
        <f t="shared" ref="CH460" ca="1" si="4638" xml:space="preserve"> SUM(CG460,-CH459)</f>
        <v>0</v>
      </c>
      <c r="CI460" s="52">
        <f t="shared" ref="CI460" ca="1" si="4639" xml:space="preserve"> SUM(CH460,-CI459)</f>
        <v>0</v>
      </c>
      <c r="CJ460" s="52">
        <f t="shared" ref="CJ460" ca="1" si="4640" xml:space="preserve"> SUM(CI460,-CJ459)</f>
        <v>0</v>
      </c>
      <c r="CK460" s="52">
        <f t="shared" ref="CK460" ca="1" si="4641" xml:space="preserve"> SUM(CJ460,-CK459)</f>
        <v>0</v>
      </c>
      <c r="CL460" s="52">
        <f t="shared" ref="CL460" ca="1" si="4642" xml:space="preserve"> SUM(CK460,-CL459)</f>
        <v>0</v>
      </c>
      <c r="CM460" s="52">
        <f t="shared" ref="CM460" ca="1" si="4643" xml:space="preserve"> SUM(CL460,-CM459)</f>
        <v>0</v>
      </c>
      <c r="CN460" s="52">
        <f t="shared" ref="CN460" ca="1" si="4644" xml:space="preserve"> SUM(CM460,-CN459)</f>
        <v>0</v>
      </c>
      <c r="CO460" s="52">
        <f t="shared" ref="CO460" ca="1" si="4645" xml:space="preserve"> SUM(CN460,-CO459)</f>
        <v>0</v>
      </c>
    </row>
    <row r="461" spans="1:93">
      <c r="A461" s="10"/>
      <c r="B461" s="10"/>
      <c r="C461" s="17" t="s">
        <v>128</v>
      </c>
      <c r="D461" s="42"/>
      <c r="E461" s="62"/>
      <c r="F461" s="11"/>
      <c r="G461" s="134" t="str">
        <f t="shared" si="4469"/>
        <v>тыс. руб.</v>
      </c>
      <c r="H461" s="10"/>
      <c r="I461" s="10"/>
      <c r="J461" s="10"/>
      <c r="K461" s="10"/>
      <c r="L461" s="52">
        <f t="shared" ref="L461" ca="1" si="4646" xml:space="preserve"> SUM(L458,L460)</f>
        <v>0</v>
      </c>
      <c r="M461" s="52">
        <f t="shared" ref="M461" ca="1" si="4647" xml:space="preserve"> SUM(M458,M460)</f>
        <v>0</v>
      </c>
      <c r="N461" s="52">
        <f t="shared" ref="N461" ca="1" si="4648" xml:space="preserve"> SUM(N458,N460)</f>
        <v>0</v>
      </c>
      <c r="O461" s="52">
        <f t="shared" ref="O461" ca="1" si="4649" xml:space="preserve"> SUM(O458,O460)</f>
        <v>0</v>
      </c>
      <c r="P461" s="52">
        <f t="shared" ref="P461" ca="1" si="4650" xml:space="preserve"> SUM(P458,P460)</f>
        <v>0</v>
      </c>
      <c r="Q461" s="52">
        <f t="shared" ref="Q461" ca="1" si="4651" xml:space="preserve"> SUM(Q458,Q460)</f>
        <v>0</v>
      </c>
      <c r="R461" s="52">
        <f t="shared" ref="R461" ca="1" si="4652" xml:space="preserve"> SUM(R458,R460)</f>
        <v>0</v>
      </c>
      <c r="S461" s="52">
        <f t="shared" ref="S461" ca="1" si="4653" xml:space="preserve"> SUM(S458,S460)</f>
        <v>0</v>
      </c>
      <c r="T461" s="52">
        <f t="shared" ref="T461" ca="1" si="4654" xml:space="preserve"> SUM(T458,T460)</f>
        <v>0</v>
      </c>
      <c r="U461" s="52">
        <f t="shared" ref="U461" ca="1" si="4655" xml:space="preserve"> SUM(U458,U460)</f>
        <v>0</v>
      </c>
      <c r="V461" s="52">
        <f t="shared" ref="V461" ca="1" si="4656" xml:space="preserve"> SUM(V458,V460)</f>
        <v>0</v>
      </c>
      <c r="W461" s="52">
        <f t="shared" ref="W461" ca="1" si="4657" xml:space="preserve"> SUM(W458,W460)</f>
        <v>0</v>
      </c>
      <c r="X461" s="52">
        <f t="shared" ref="X461" ca="1" si="4658" xml:space="preserve"> SUM(X458,X460)</f>
        <v>0</v>
      </c>
      <c r="Y461" s="52">
        <f t="shared" ref="Y461" ca="1" si="4659" xml:space="preserve"> SUM(Y458,Y460)</f>
        <v>0</v>
      </c>
      <c r="Z461" s="52">
        <f t="shared" ref="Z461" ca="1" si="4660" xml:space="preserve"> SUM(Z458,Z460)</f>
        <v>0</v>
      </c>
      <c r="AA461" s="52">
        <f t="shared" ref="AA461" ca="1" si="4661" xml:space="preserve"> SUM(AA458,AA460)</f>
        <v>0</v>
      </c>
      <c r="AB461" s="52">
        <f t="shared" ref="AB461" ca="1" si="4662" xml:space="preserve"> SUM(AB458,AB460)</f>
        <v>0</v>
      </c>
      <c r="AC461" s="52">
        <f t="shared" ref="AC461" ca="1" si="4663" xml:space="preserve"> SUM(AC458,AC460)</f>
        <v>0</v>
      </c>
      <c r="AD461" s="52">
        <f t="shared" ref="AD461" ca="1" si="4664" xml:space="preserve"> SUM(AD458,AD460)</f>
        <v>0</v>
      </c>
      <c r="AE461" s="52">
        <f t="shared" ref="AE461" ca="1" si="4665" xml:space="preserve"> SUM(AE458,AE460)</f>
        <v>0</v>
      </c>
      <c r="AF461" s="52">
        <f t="shared" ref="AF461" ca="1" si="4666" xml:space="preserve"> SUM(AF458,AF460)</f>
        <v>0</v>
      </c>
      <c r="AG461" s="52">
        <f t="shared" ref="AG461" ca="1" si="4667" xml:space="preserve"> SUM(AG458,AG460)</f>
        <v>0</v>
      </c>
      <c r="AH461" s="52">
        <f t="shared" ref="AH461" ca="1" si="4668" xml:space="preserve"> SUM(AH458,AH460)</f>
        <v>0</v>
      </c>
      <c r="AI461" s="52">
        <f t="shared" ref="AI461" ca="1" si="4669" xml:space="preserve"> SUM(AI458,AI460)</f>
        <v>0</v>
      </c>
      <c r="AJ461" s="52">
        <f t="shared" ref="AJ461" ca="1" si="4670" xml:space="preserve"> SUM(AJ458,AJ460)</f>
        <v>0</v>
      </c>
      <c r="AK461" s="52">
        <f t="shared" ref="AK461" ca="1" si="4671" xml:space="preserve"> SUM(AK458,AK460)</f>
        <v>0</v>
      </c>
      <c r="AL461" s="52">
        <f t="shared" ref="AL461" ca="1" si="4672" xml:space="preserve"> SUM(AL458,AL460)</f>
        <v>0</v>
      </c>
      <c r="AM461" s="52">
        <f t="shared" ref="AM461" ca="1" si="4673" xml:space="preserve"> SUM(AM458,AM460)</f>
        <v>0</v>
      </c>
      <c r="AN461" s="52">
        <f t="shared" ref="AN461" ca="1" si="4674" xml:space="preserve"> SUM(AN458,AN460)</f>
        <v>0</v>
      </c>
      <c r="AO461" s="52">
        <f t="shared" ref="AO461" ca="1" si="4675" xml:space="preserve"> SUM(AO458,AO460)</f>
        <v>0</v>
      </c>
      <c r="AP461" s="52">
        <f t="shared" ref="AP461" ca="1" si="4676" xml:space="preserve"> SUM(AP458,AP460)</f>
        <v>0</v>
      </c>
      <c r="AQ461" s="52">
        <f t="shared" ref="AQ461" ca="1" si="4677" xml:space="preserve"> SUM(AQ458,AQ460)</f>
        <v>0</v>
      </c>
      <c r="AR461" s="52">
        <f t="shared" ref="AR461" ca="1" si="4678" xml:space="preserve"> SUM(AR458,AR460)</f>
        <v>0</v>
      </c>
      <c r="AS461" s="52">
        <f t="shared" ref="AS461" ca="1" si="4679" xml:space="preserve"> SUM(AS458,AS460)</f>
        <v>0</v>
      </c>
      <c r="AT461" s="52">
        <f t="shared" ref="AT461" ca="1" si="4680" xml:space="preserve"> SUM(AT458,AT460)</f>
        <v>0</v>
      </c>
      <c r="AU461" s="52">
        <f t="shared" ref="AU461" ca="1" si="4681" xml:space="preserve"> SUM(AU458,AU460)</f>
        <v>0</v>
      </c>
      <c r="AV461" s="52">
        <f t="shared" ref="AV461" ca="1" si="4682" xml:space="preserve"> SUM(AV458,AV460)</f>
        <v>0</v>
      </c>
      <c r="AW461" s="52">
        <f t="shared" ref="AW461" ca="1" si="4683" xml:space="preserve"> SUM(AW458,AW460)</f>
        <v>0</v>
      </c>
      <c r="AX461" s="52">
        <f t="shared" ref="AX461" ca="1" si="4684" xml:space="preserve"> SUM(AX458,AX460)</f>
        <v>0</v>
      </c>
      <c r="AY461" s="52">
        <f t="shared" ref="AY461" ca="1" si="4685" xml:space="preserve"> SUM(AY458,AY460)</f>
        <v>0</v>
      </c>
      <c r="AZ461" s="52">
        <f t="shared" ref="AZ461" ca="1" si="4686" xml:space="preserve"> SUM(AZ458,AZ460)</f>
        <v>0</v>
      </c>
      <c r="BA461" s="52">
        <f t="shared" ref="BA461" ca="1" si="4687" xml:space="preserve"> SUM(BA458,BA460)</f>
        <v>0</v>
      </c>
      <c r="BB461" s="52">
        <f t="shared" ref="BB461" ca="1" si="4688" xml:space="preserve"> SUM(BB458,BB460)</f>
        <v>0</v>
      </c>
      <c r="BC461" s="52">
        <f t="shared" ref="BC461" ca="1" si="4689" xml:space="preserve"> SUM(BC458,BC460)</f>
        <v>0</v>
      </c>
      <c r="BD461" s="52">
        <f t="shared" ref="BD461" ca="1" si="4690" xml:space="preserve"> SUM(BD458,BD460)</f>
        <v>0</v>
      </c>
      <c r="BE461" s="52">
        <f t="shared" ref="BE461" ca="1" si="4691" xml:space="preserve"> SUM(BE458,BE460)</f>
        <v>0</v>
      </c>
      <c r="BF461" s="52">
        <f t="shared" ref="BF461" ca="1" si="4692" xml:space="preserve"> SUM(BF458,BF460)</f>
        <v>0</v>
      </c>
      <c r="BG461" s="52">
        <f t="shared" ref="BG461" ca="1" si="4693" xml:space="preserve"> SUM(BG458,BG460)</f>
        <v>0</v>
      </c>
      <c r="BH461" s="52">
        <f t="shared" ref="BH461" ca="1" si="4694" xml:space="preserve"> SUM(BH458,BH460)</f>
        <v>0</v>
      </c>
      <c r="BI461" s="52">
        <f t="shared" ref="BI461" ca="1" si="4695" xml:space="preserve"> SUM(BI458,BI460)</f>
        <v>0</v>
      </c>
      <c r="BJ461" s="52">
        <f t="shared" ref="BJ461" ca="1" si="4696" xml:space="preserve"> SUM(BJ458,BJ460)</f>
        <v>0</v>
      </c>
      <c r="BK461" s="52">
        <f t="shared" ref="BK461" ca="1" si="4697" xml:space="preserve"> SUM(BK458,BK460)</f>
        <v>0</v>
      </c>
      <c r="BL461" s="52">
        <f t="shared" ref="BL461" ca="1" si="4698" xml:space="preserve"> SUM(BL458,BL460)</f>
        <v>0</v>
      </c>
      <c r="BM461" s="52">
        <f t="shared" ref="BM461" ca="1" si="4699" xml:space="preserve"> SUM(BM458,BM460)</f>
        <v>0</v>
      </c>
      <c r="BN461" s="52">
        <f t="shared" ref="BN461" ca="1" si="4700" xml:space="preserve"> SUM(BN458,BN460)</f>
        <v>0</v>
      </c>
      <c r="BO461" s="52">
        <f t="shared" ref="BO461" ca="1" si="4701" xml:space="preserve"> SUM(BO458,BO460)</f>
        <v>0</v>
      </c>
      <c r="BP461" s="52">
        <f t="shared" ref="BP461" ca="1" si="4702" xml:space="preserve"> SUM(BP458,BP460)</f>
        <v>0</v>
      </c>
      <c r="BQ461" s="52">
        <f t="shared" ref="BQ461" ca="1" si="4703" xml:space="preserve"> SUM(BQ458,BQ460)</f>
        <v>0</v>
      </c>
      <c r="BR461" s="52">
        <f t="shared" ref="BR461" ca="1" si="4704" xml:space="preserve"> SUM(BR458,BR460)</f>
        <v>0</v>
      </c>
      <c r="BS461" s="52">
        <f t="shared" ref="BS461" ca="1" si="4705" xml:space="preserve"> SUM(BS458,BS460)</f>
        <v>0</v>
      </c>
      <c r="BT461" s="52">
        <f t="shared" ref="BT461" ca="1" si="4706" xml:space="preserve"> SUM(BT458,BT460)</f>
        <v>0</v>
      </c>
      <c r="BU461" s="52">
        <f t="shared" ref="BU461" ca="1" si="4707" xml:space="preserve"> SUM(BU458,BU460)</f>
        <v>0</v>
      </c>
      <c r="BV461" s="52">
        <f t="shared" ref="BV461" ca="1" si="4708" xml:space="preserve"> SUM(BV458,BV460)</f>
        <v>0</v>
      </c>
      <c r="BW461" s="52">
        <f t="shared" ref="BW461" ca="1" si="4709" xml:space="preserve"> SUM(BW458,BW460)</f>
        <v>0</v>
      </c>
      <c r="BX461" s="52">
        <f t="shared" ref="BX461" ca="1" si="4710" xml:space="preserve"> SUM(BX458,BX460)</f>
        <v>0</v>
      </c>
      <c r="BY461" s="52">
        <f t="shared" ref="BY461" ca="1" si="4711" xml:space="preserve"> SUM(BY458,BY460)</f>
        <v>0</v>
      </c>
      <c r="BZ461" s="52">
        <f t="shared" ref="BZ461" ca="1" si="4712" xml:space="preserve"> SUM(BZ458,BZ460)</f>
        <v>0</v>
      </c>
      <c r="CA461" s="52">
        <f t="shared" ref="CA461" ca="1" si="4713" xml:space="preserve"> SUM(CA458,CA460)</f>
        <v>0</v>
      </c>
      <c r="CB461" s="52">
        <f t="shared" ref="CB461" ca="1" si="4714" xml:space="preserve"> SUM(CB458,CB460)</f>
        <v>0</v>
      </c>
      <c r="CC461" s="52">
        <f t="shared" ref="CC461" ca="1" si="4715" xml:space="preserve"> SUM(CC458,CC460)</f>
        <v>0</v>
      </c>
      <c r="CD461" s="52">
        <f t="shared" ref="CD461" ca="1" si="4716" xml:space="preserve"> SUM(CD458,CD460)</f>
        <v>0</v>
      </c>
      <c r="CE461" s="52">
        <f t="shared" ref="CE461" ca="1" si="4717" xml:space="preserve"> SUM(CE458,CE460)</f>
        <v>0</v>
      </c>
      <c r="CF461" s="52">
        <f t="shared" ref="CF461" ca="1" si="4718" xml:space="preserve"> SUM(CF458,CF460)</f>
        <v>0</v>
      </c>
      <c r="CG461" s="52">
        <f t="shared" ref="CG461" ca="1" si="4719" xml:space="preserve"> SUM(CG458,CG460)</f>
        <v>0</v>
      </c>
      <c r="CH461" s="52">
        <f t="shared" ref="CH461" ca="1" si="4720" xml:space="preserve"> SUM(CH458,CH460)</f>
        <v>0</v>
      </c>
      <c r="CI461" s="52">
        <f t="shared" ref="CI461" ca="1" si="4721" xml:space="preserve"> SUM(CI458,CI460)</f>
        <v>0</v>
      </c>
      <c r="CJ461" s="52">
        <f t="shared" ref="CJ461" ca="1" si="4722" xml:space="preserve"> SUM(CJ458,CJ460)</f>
        <v>0</v>
      </c>
      <c r="CK461" s="52">
        <f t="shared" ref="CK461" ca="1" si="4723" xml:space="preserve"> SUM(CK458,CK460)</f>
        <v>0</v>
      </c>
      <c r="CL461" s="52">
        <f t="shared" ref="CL461" ca="1" si="4724" xml:space="preserve"> SUM(CL458,CL460)</f>
        <v>0</v>
      </c>
      <c r="CM461" s="52">
        <f t="shared" ref="CM461" ca="1" si="4725" xml:space="preserve"> SUM(CM458,CM460)</f>
        <v>0</v>
      </c>
      <c r="CN461" s="52">
        <f t="shared" ref="CN461" ca="1" si="4726" xml:space="preserve"> SUM(CN458,CN460)</f>
        <v>0</v>
      </c>
      <c r="CO461" s="52">
        <f t="shared" ref="CO461" ca="1" si="4727" xml:space="preserve"> SUM(CO458,CO460)</f>
        <v>0</v>
      </c>
    </row>
    <row r="462" spans="1:93">
      <c r="A462" s="10"/>
      <c r="B462" s="10"/>
      <c r="C462" s="21"/>
      <c r="D462" s="42"/>
      <c r="E462" s="62"/>
      <c r="F462" s="11"/>
      <c r="G462" s="11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  <c r="BL462" s="10"/>
      <c r="BM462" s="10"/>
      <c r="BN462" s="10"/>
      <c r="BO462" s="10"/>
      <c r="BP462" s="10"/>
      <c r="BQ462" s="10"/>
      <c r="BR462" s="10"/>
      <c r="BS462" s="10"/>
      <c r="BT462" s="10"/>
      <c r="BU462" s="10"/>
      <c r="BV462" s="10"/>
      <c r="BW462" s="10"/>
      <c r="BX462" s="10"/>
      <c r="BY462" s="10"/>
      <c r="BZ462" s="10"/>
      <c r="CA462" s="10"/>
      <c r="CB462" s="10"/>
      <c r="CC462" s="10"/>
      <c r="CD462" s="10"/>
      <c r="CE462" s="10"/>
      <c r="CF462" s="10"/>
      <c r="CG462" s="10"/>
      <c r="CH462" s="10"/>
      <c r="CI462" s="10"/>
      <c r="CJ462" s="10"/>
      <c r="CK462" s="10"/>
      <c r="CL462" s="10"/>
      <c r="CM462" s="10"/>
      <c r="CN462" s="10"/>
      <c r="CO462" s="10"/>
    </row>
    <row r="463" spans="1:93">
      <c r="A463" s="10"/>
      <c r="B463" s="10"/>
      <c r="C463" s="87" t="s">
        <v>1092</v>
      </c>
      <c r="D463" s="10"/>
      <c r="E463" s="62"/>
      <c r="F463" s="11"/>
      <c r="G463" s="11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  <c r="CD463" s="10"/>
      <c r="CE463" s="10"/>
      <c r="CF463" s="10"/>
      <c r="CG463" s="10"/>
      <c r="CH463" s="10"/>
      <c r="CI463" s="10"/>
      <c r="CJ463" s="10"/>
      <c r="CK463" s="10"/>
      <c r="CL463" s="10"/>
      <c r="CM463" s="10"/>
      <c r="CN463" s="10"/>
      <c r="CO463" s="10"/>
    </row>
    <row r="464" spans="1:93">
      <c r="A464" s="10"/>
      <c r="B464" s="10"/>
      <c r="C464" s="17" t="s">
        <v>386</v>
      </c>
      <c r="D464" s="10"/>
      <c r="E464" s="184">
        <f xml:space="preserve"> Предпосылки!E371</f>
        <v>30</v>
      </c>
      <c r="F464" s="11"/>
      <c r="G464" s="11" t="s">
        <v>123</v>
      </c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0"/>
      <c r="CE464" s="10"/>
      <c r="CF464" s="10"/>
      <c r="CG464" s="10"/>
      <c r="CH464" s="10"/>
      <c r="CI464" s="10"/>
      <c r="CJ464" s="10"/>
      <c r="CK464" s="10"/>
      <c r="CL464" s="10"/>
      <c r="CM464" s="10"/>
      <c r="CN464" s="10"/>
      <c r="CO464" s="10"/>
    </row>
    <row r="465" spans="1:93">
      <c r="A465" s="10"/>
      <c r="B465" s="10"/>
      <c r="C465" s="17" t="s">
        <v>387</v>
      </c>
      <c r="D465" s="10"/>
      <c r="E465" s="182"/>
      <c r="F465" s="42"/>
      <c r="G465" s="11" t="s">
        <v>28</v>
      </c>
      <c r="H465" s="10"/>
      <c r="I465" s="10"/>
      <c r="J465" s="10"/>
      <c r="K465" s="10"/>
      <c r="L465" s="157">
        <f t="shared" ref="L465" si="4728" xml:space="preserve"> IF($E464&lt;&gt;0,1/$E464,0)/Periods_in_Year</f>
        <v>8.3333333333333332E-3</v>
      </c>
      <c r="M465" s="157">
        <f t="shared" ref="M465" si="4729" xml:space="preserve"> IF($E464&lt;&gt;0,1/$E464,0)/Periods_in_Year</f>
        <v>8.3333333333333332E-3</v>
      </c>
      <c r="N465" s="157">
        <f t="shared" ref="N465" si="4730" xml:space="preserve"> IF($E464&lt;&gt;0,1/$E464,0)/Periods_in_Year</f>
        <v>8.3333333333333332E-3</v>
      </c>
      <c r="O465" s="157">
        <f t="shared" ref="O465" si="4731" xml:space="preserve"> IF($E464&lt;&gt;0,1/$E464,0)/Periods_in_Year</f>
        <v>8.3333333333333332E-3</v>
      </c>
      <c r="P465" s="157">
        <f t="shared" ref="P465" si="4732" xml:space="preserve"> IF($E464&lt;&gt;0,1/$E464,0)/Periods_in_Year</f>
        <v>8.3333333333333332E-3</v>
      </c>
      <c r="Q465" s="157">
        <f t="shared" ref="Q465" si="4733" xml:space="preserve"> IF($E464&lt;&gt;0,1/$E464,0)/Periods_in_Year</f>
        <v>8.3333333333333332E-3</v>
      </c>
      <c r="R465" s="157">
        <f t="shared" ref="R465" si="4734" xml:space="preserve"> IF($E464&lt;&gt;0,1/$E464,0)/Periods_in_Year</f>
        <v>8.3333333333333332E-3</v>
      </c>
      <c r="S465" s="157">
        <f t="shared" ref="S465" si="4735" xml:space="preserve"> IF($E464&lt;&gt;0,1/$E464,0)/Periods_in_Year</f>
        <v>8.3333333333333332E-3</v>
      </c>
      <c r="T465" s="157">
        <f t="shared" ref="T465" si="4736" xml:space="preserve"> IF($E464&lt;&gt;0,1/$E464,0)/Periods_in_Year</f>
        <v>8.3333333333333332E-3</v>
      </c>
      <c r="U465" s="157">
        <f t="shared" ref="U465" si="4737" xml:space="preserve"> IF($E464&lt;&gt;0,1/$E464,0)/Periods_in_Year</f>
        <v>8.3333333333333332E-3</v>
      </c>
      <c r="V465" s="157">
        <f t="shared" ref="V465" si="4738" xml:space="preserve"> IF($E464&lt;&gt;0,1/$E464,0)/Periods_in_Year</f>
        <v>8.3333333333333332E-3</v>
      </c>
      <c r="W465" s="157">
        <f t="shared" ref="W465" si="4739" xml:space="preserve"> IF($E464&lt;&gt;0,1/$E464,0)/Periods_in_Year</f>
        <v>8.3333333333333332E-3</v>
      </c>
      <c r="X465" s="157">
        <f t="shared" ref="X465" si="4740" xml:space="preserve"> IF($E464&lt;&gt;0,1/$E464,0)/Periods_in_Year</f>
        <v>8.3333333333333332E-3</v>
      </c>
      <c r="Y465" s="157">
        <f t="shared" ref="Y465" si="4741" xml:space="preserve"> IF($E464&lt;&gt;0,1/$E464,0)/Periods_in_Year</f>
        <v>8.3333333333333332E-3</v>
      </c>
      <c r="Z465" s="157">
        <f t="shared" ref="Z465" si="4742" xml:space="preserve"> IF($E464&lt;&gt;0,1/$E464,0)/Periods_in_Year</f>
        <v>8.3333333333333332E-3</v>
      </c>
      <c r="AA465" s="157">
        <f t="shared" ref="AA465" si="4743" xml:space="preserve"> IF($E464&lt;&gt;0,1/$E464,0)/Periods_in_Year</f>
        <v>8.3333333333333332E-3</v>
      </c>
      <c r="AB465" s="157">
        <f t="shared" ref="AB465" si="4744" xml:space="preserve"> IF($E464&lt;&gt;0,1/$E464,0)/Periods_in_Year</f>
        <v>8.3333333333333332E-3</v>
      </c>
      <c r="AC465" s="157">
        <f t="shared" ref="AC465" si="4745" xml:space="preserve"> IF($E464&lt;&gt;0,1/$E464,0)/Periods_in_Year</f>
        <v>8.3333333333333332E-3</v>
      </c>
      <c r="AD465" s="157">
        <f t="shared" ref="AD465" si="4746" xml:space="preserve"> IF($E464&lt;&gt;0,1/$E464,0)/Periods_in_Year</f>
        <v>8.3333333333333332E-3</v>
      </c>
      <c r="AE465" s="157">
        <f t="shared" ref="AE465" si="4747" xml:space="preserve"> IF($E464&lt;&gt;0,1/$E464,0)/Periods_in_Year</f>
        <v>8.3333333333333332E-3</v>
      </c>
      <c r="AF465" s="157">
        <f t="shared" ref="AF465" si="4748" xml:space="preserve"> IF($E464&lt;&gt;0,1/$E464,0)/Periods_in_Year</f>
        <v>8.3333333333333332E-3</v>
      </c>
      <c r="AG465" s="157">
        <f t="shared" ref="AG465" si="4749" xml:space="preserve"> IF($E464&lt;&gt;0,1/$E464,0)/Periods_in_Year</f>
        <v>8.3333333333333332E-3</v>
      </c>
      <c r="AH465" s="157">
        <f t="shared" ref="AH465" si="4750" xml:space="preserve"> IF($E464&lt;&gt;0,1/$E464,0)/Periods_in_Year</f>
        <v>8.3333333333333332E-3</v>
      </c>
      <c r="AI465" s="157">
        <f t="shared" ref="AI465" si="4751" xml:space="preserve"> IF($E464&lt;&gt;0,1/$E464,0)/Periods_in_Year</f>
        <v>8.3333333333333332E-3</v>
      </c>
      <c r="AJ465" s="157">
        <f t="shared" ref="AJ465" si="4752" xml:space="preserve"> IF($E464&lt;&gt;0,1/$E464,0)/Periods_in_Year</f>
        <v>8.3333333333333332E-3</v>
      </c>
      <c r="AK465" s="157">
        <f t="shared" ref="AK465" si="4753" xml:space="preserve"> IF($E464&lt;&gt;0,1/$E464,0)/Periods_in_Year</f>
        <v>8.3333333333333332E-3</v>
      </c>
      <c r="AL465" s="157">
        <f t="shared" ref="AL465" si="4754" xml:space="preserve"> IF($E464&lt;&gt;0,1/$E464,0)/Periods_in_Year</f>
        <v>8.3333333333333332E-3</v>
      </c>
      <c r="AM465" s="157">
        <f t="shared" ref="AM465" si="4755" xml:space="preserve"> IF($E464&lt;&gt;0,1/$E464,0)/Periods_in_Year</f>
        <v>8.3333333333333332E-3</v>
      </c>
      <c r="AN465" s="157">
        <f t="shared" ref="AN465" si="4756" xml:space="preserve"> IF($E464&lt;&gt;0,1/$E464,0)/Periods_in_Year</f>
        <v>8.3333333333333332E-3</v>
      </c>
      <c r="AO465" s="157">
        <f t="shared" ref="AO465" si="4757" xml:space="preserve"> IF($E464&lt;&gt;0,1/$E464,0)/Periods_in_Year</f>
        <v>8.3333333333333332E-3</v>
      </c>
      <c r="AP465" s="157">
        <f t="shared" ref="AP465" si="4758" xml:space="preserve"> IF($E464&lt;&gt;0,1/$E464,0)/Periods_in_Year</f>
        <v>8.3333333333333332E-3</v>
      </c>
      <c r="AQ465" s="157">
        <f t="shared" ref="AQ465" si="4759" xml:space="preserve"> IF($E464&lt;&gt;0,1/$E464,0)/Periods_in_Year</f>
        <v>8.3333333333333332E-3</v>
      </c>
      <c r="AR465" s="157">
        <f t="shared" ref="AR465" si="4760" xml:space="preserve"> IF($E464&lt;&gt;0,1/$E464,0)/Periods_in_Year</f>
        <v>8.3333333333333332E-3</v>
      </c>
      <c r="AS465" s="157">
        <f t="shared" ref="AS465" si="4761" xml:space="preserve"> IF($E464&lt;&gt;0,1/$E464,0)/Periods_in_Year</f>
        <v>8.3333333333333332E-3</v>
      </c>
      <c r="AT465" s="157">
        <f t="shared" ref="AT465" si="4762" xml:space="preserve"> IF($E464&lt;&gt;0,1/$E464,0)/Periods_in_Year</f>
        <v>8.3333333333333332E-3</v>
      </c>
      <c r="AU465" s="157">
        <f t="shared" ref="AU465" si="4763" xml:space="preserve"> IF($E464&lt;&gt;0,1/$E464,0)/Periods_in_Year</f>
        <v>8.3333333333333332E-3</v>
      </c>
      <c r="AV465" s="157">
        <f t="shared" ref="AV465" si="4764" xml:space="preserve"> IF($E464&lt;&gt;0,1/$E464,0)/Periods_in_Year</f>
        <v>8.3333333333333332E-3</v>
      </c>
      <c r="AW465" s="157">
        <f t="shared" ref="AW465" si="4765" xml:space="preserve"> IF($E464&lt;&gt;0,1/$E464,0)/Periods_in_Year</f>
        <v>8.3333333333333332E-3</v>
      </c>
      <c r="AX465" s="157">
        <f t="shared" ref="AX465" si="4766" xml:space="preserve"> IF($E464&lt;&gt;0,1/$E464,0)/Periods_in_Year</f>
        <v>8.3333333333333332E-3</v>
      </c>
      <c r="AY465" s="157">
        <f t="shared" ref="AY465" si="4767" xml:space="preserve"> IF($E464&lt;&gt;0,1/$E464,0)/Periods_in_Year</f>
        <v>8.3333333333333332E-3</v>
      </c>
      <c r="AZ465" s="157">
        <f t="shared" ref="AZ465" si="4768" xml:space="preserve"> IF($E464&lt;&gt;0,1/$E464,0)/Periods_in_Year</f>
        <v>8.3333333333333332E-3</v>
      </c>
      <c r="BA465" s="157">
        <f t="shared" ref="BA465" si="4769" xml:space="preserve"> IF($E464&lt;&gt;0,1/$E464,0)/Periods_in_Year</f>
        <v>8.3333333333333332E-3</v>
      </c>
      <c r="BB465" s="157">
        <f t="shared" ref="BB465" si="4770" xml:space="preserve"> IF($E464&lt;&gt;0,1/$E464,0)/Periods_in_Year</f>
        <v>8.3333333333333332E-3</v>
      </c>
      <c r="BC465" s="157">
        <f t="shared" ref="BC465" si="4771" xml:space="preserve"> IF($E464&lt;&gt;0,1/$E464,0)/Periods_in_Year</f>
        <v>8.3333333333333332E-3</v>
      </c>
      <c r="BD465" s="157">
        <f t="shared" ref="BD465" si="4772" xml:space="preserve"> IF($E464&lt;&gt;0,1/$E464,0)/Periods_in_Year</f>
        <v>8.3333333333333332E-3</v>
      </c>
      <c r="BE465" s="157">
        <f t="shared" ref="BE465" si="4773" xml:space="preserve"> IF($E464&lt;&gt;0,1/$E464,0)/Periods_in_Year</f>
        <v>8.3333333333333332E-3</v>
      </c>
      <c r="BF465" s="157">
        <f t="shared" ref="BF465" si="4774" xml:space="preserve"> IF($E464&lt;&gt;0,1/$E464,0)/Periods_in_Year</f>
        <v>8.3333333333333332E-3</v>
      </c>
      <c r="BG465" s="157">
        <f t="shared" ref="BG465" si="4775" xml:space="preserve"> IF($E464&lt;&gt;0,1/$E464,0)/Periods_in_Year</f>
        <v>8.3333333333333332E-3</v>
      </c>
      <c r="BH465" s="157">
        <f t="shared" ref="BH465" si="4776" xml:space="preserve"> IF($E464&lt;&gt;0,1/$E464,0)/Periods_in_Year</f>
        <v>8.3333333333333332E-3</v>
      </c>
      <c r="BI465" s="157">
        <f t="shared" ref="BI465" si="4777" xml:space="preserve"> IF($E464&lt;&gt;0,1/$E464,0)/Periods_in_Year</f>
        <v>8.3333333333333332E-3</v>
      </c>
      <c r="BJ465" s="157">
        <f t="shared" ref="BJ465" si="4778" xml:space="preserve"> IF($E464&lt;&gt;0,1/$E464,0)/Periods_in_Year</f>
        <v>8.3333333333333332E-3</v>
      </c>
      <c r="BK465" s="157">
        <f t="shared" ref="BK465" si="4779" xml:space="preserve"> IF($E464&lt;&gt;0,1/$E464,0)/Periods_in_Year</f>
        <v>8.3333333333333332E-3</v>
      </c>
      <c r="BL465" s="157">
        <f t="shared" ref="BL465" si="4780" xml:space="preserve"> IF($E464&lt;&gt;0,1/$E464,0)/Periods_in_Year</f>
        <v>8.3333333333333332E-3</v>
      </c>
      <c r="BM465" s="157">
        <f t="shared" ref="BM465" si="4781" xml:space="preserve"> IF($E464&lt;&gt;0,1/$E464,0)/Periods_in_Year</f>
        <v>8.3333333333333332E-3</v>
      </c>
      <c r="BN465" s="157">
        <f t="shared" ref="BN465" si="4782" xml:space="preserve"> IF($E464&lt;&gt;0,1/$E464,0)/Periods_in_Year</f>
        <v>8.3333333333333332E-3</v>
      </c>
      <c r="BO465" s="157">
        <f t="shared" ref="BO465" si="4783" xml:space="preserve"> IF($E464&lt;&gt;0,1/$E464,0)/Periods_in_Year</f>
        <v>8.3333333333333332E-3</v>
      </c>
      <c r="BP465" s="157">
        <f t="shared" ref="BP465" si="4784" xml:space="preserve"> IF($E464&lt;&gt;0,1/$E464,0)/Periods_in_Year</f>
        <v>8.3333333333333332E-3</v>
      </c>
      <c r="BQ465" s="157">
        <f t="shared" ref="BQ465" si="4785" xml:space="preserve"> IF($E464&lt;&gt;0,1/$E464,0)/Periods_in_Year</f>
        <v>8.3333333333333332E-3</v>
      </c>
      <c r="BR465" s="157">
        <f t="shared" ref="BR465" si="4786" xml:space="preserve"> IF($E464&lt;&gt;0,1/$E464,0)/Periods_in_Year</f>
        <v>8.3333333333333332E-3</v>
      </c>
      <c r="BS465" s="157">
        <f t="shared" ref="BS465" si="4787" xml:space="preserve"> IF($E464&lt;&gt;0,1/$E464,0)/Periods_in_Year</f>
        <v>8.3333333333333332E-3</v>
      </c>
      <c r="BT465" s="157">
        <f t="shared" ref="BT465" si="4788" xml:space="preserve"> IF($E464&lt;&gt;0,1/$E464,0)/Periods_in_Year</f>
        <v>8.3333333333333332E-3</v>
      </c>
      <c r="BU465" s="157">
        <f t="shared" ref="BU465" si="4789" xml:space="preserve"> IF($E464&lt;&gt;0,1/$E464,0)/Periods_in_Year</f>
        <v>8.3333333333333332E-3</v>
      </c>
      <c r="BV465" s="157">
        <f t="shared" ref="BV465" si="4790" xml:space="preserve"> IF($E464&lt;&gt;0,1/$E464,0)/Periods_in_Year</f>
        <v>8.3333333333333332E-3</v>
      </c>
      <c r="BW465" s="157">
        <f t="shared" ref="BW465" si="4791" xml:space="preserve"> IF($E464&lt;&gt;0,1/$E464,0)/Periods_in_Year</f>
        <v>8.3333333333333332E-3</v>
      </c>
      <c r="BX465" s="157">
        <f t="shared" ref="BX465" si="4792" xml:space="preserve"> IF($E464&lt;&gt;0,1/$E464,0)/Periods_in_Year</f>
        <v>8.3333333333333332E-3</v>
      </c>
      <c r="BY465" s="157">
        <f t="shared" ref="BY465" si="4793" xml:space="preserve"> IF($E464&lt;&gt;0,1/$E464,0)/Periods_in_Year</f>
        <v>8.3333333333333332E-3</v>
      </c>
      <c r="BZ465" s="157">
        <f t="shared" ref="BZ465" si="4794" xml:space="preserve"> IF($E464&lt;&gt;0,1/$E464,0)/Periods_in_Year</f>
        <v>8.3333333333333332E-3</v>
      </c>
      <c r="CA465" s="157">
        <f t="shared" ref="CA465" si="4795" xml:space="preserve"> IF($E464&lt;&gt;0,1/$E464,0)/Periods_in_Year</f>
        <v>8.3333333333333332E-3</v>
      </c>
      <c r="CB465" s="157">
        <f t="shared" ref="CB465" si="4796" xml:space="preserve"> IF($E464&lt;&gt;0,1/$E464,0)/Periods_in_Year</f>
        <v>8.3333333333333332E-3</v>
      </c>
      <c r="CC465" s="157">
        <f t="shared" ref="CC465" si="4797" xml:space="preserve"> IF($E464&lt;&gt;0,1/$E464,0)/Periods_in_Year</f>
        <v>8.3333333333333332E-3</v>
      </c>
      <c r="CD465" s="157">
        <f t="shared" ref="CD465" si="4798" xml:space="preserve"> IF($E464&lt;&gt;0,1/$E464,0)/Periods_in_Year</f>
        <v>8.3333333333333332E-3</v>
      </c>
      <c r="CE465" s="157">
        <f t="shared" ref="CE465" si="4799" xml:space="preserve"> IF($E464&lt;&gt;0,1/$E464,0)/Periods_in_Year</f>
        <v>8.3333333333333332E-3</v>
      </c>
      <c r="CF465" s="157">
        <f t="shared" ref="CF465" si="4800" xml:space="preserve"> IF($E464&lt;&gt;0,1/$E464,0)/Periods_in_Year</f>
        <v>8.3333333333333332E-3</v>
      </c>
      <c r="CG465" s="157">
        <f t="shared" ref="CG465" si="4801" xml:space="preserve"> IF($E464&lt;&gt;0,1/$E464,0)/Periods_in_Year</f>
        <v>8.3333333333333332E-3</v>
      </c>
      <c r="CH465" s="157">
        <f t="shared" ref="CH465" si="4802" xml:space="preserve"> IF($E464&lt;&gt;0,1/$E464,0)/Periods_in_Year</f>
        <v>8.3333333333333332E-3</v>
      </c>
      <c r="CI465" s="157">
        <f t="shared" ref="CI465" si="4803" xml:space="preserve"> IF($E464&lt;&gt;0,1/$E464,0)/Periods_in_Year</f>
        <v>8.3333333333333332E-3</v>
      </c>
      <c r="CJ465" s="157">
        <f t="shared" ref="CJ465" si="4804" xml:space="preserve"> IF($E464&lt;&gt;0,1/$E464,0)/Periods_in_Year</f>
        <v>8.3333333333333332E-3</v>
      </c>
      <c r="CK465" s="157">
        <f t="shared" ref="CK465" si="4805" xml:space="preserve"> IF($E464&lt;&gt;0,1/$E464,0)/Periods_in_Year</f>
        <v>8.3333333333333332E-3</v>
      </c>
      <c r="CL465" s="157">
        <f t="shared" ref="CL465" si="4806" xml:space="preserve"> IF($E464&lt;&gt;0,1/$E464,0)/Periods_in_Year</f>
        <v>8.3333333333333332E-3</v>
      </c>
      <c r="CM465" s="157">
        <f t="shared" ref="CM465" si="4807" xml:space="preserve"> IF($E464&lt;&gt;0,1/$E464,0)/Periods_in_Year</f>
        <v>8.3333333333333332E-3</v>
      </c>
      <c r="CN465" s="157">
        <f t="shared" ref="CN465" si="4808" xml:space="preserve"> IF($E464&lt;&gt;0,1/$E464,0)/Periods_in_Year</f>
        <v>8.3333333333333332E-3</v>
      </c>
      <c r="CO465" s="157">
        <f t="shared" ref="CO465" si="4809" xml:space="preserve"> IF($E464&lt;&gt;0,1/$E464,0)/Periods_in_Year</f>
        <v>8.3333333333333332E-3</v>
      </c>
    </row>
    <row r="466" spans="1:93">
      <c r="A466" s="10"/>
      <c r="B466" s="10"/>
      <c r="C466" s="17" t="s">
        <v>125</v>
      </c>
      <c r="D466" s="10"/>
      <c r="E466" s="62"/>
      <c r="F466" s="11"/>
      <c r="G466" s="134" t="str">
        <f t="shared" ref="G466:G472" si="4810">Monetary_Unit</f>
        <v>тыс. руб.</v>
      </c>
      <c r="H466" s="10"/>
      <c r="I466" s="10"/>
      <c r="J466" s="10"/>
      <c r="K466" s="10"/>
      <c r="L466" s="52">
        <f t="shared" ref="L466:R466" si="4811" xml:space="preserve"> K472</f>
        <v>0</v>
      </c>
      <c r="M466" s="52">
        <f t="shared" ca="1" si="4811"/>
        <v>0</v>
      </c>
      <c r="N466" s="52">
        <f t="shared" ca="1" si="4811"/>
        <v>0</v>
      </c>
      <c r="O466" s="52">
        <f t="shared" ca="1" si="4811"/>
        <v>0</v>
      </c>
      <c r="P466" s="52">
        <f t="shared" ca="1" si="4811"/>
        <v>0</v>
      </c>
      <c r="Q466" s="52">
        <f t="shared" ca="1" si="4811"/>
        <v>0</v>
      </c>
      <c r="R466" s="52">
        <f t="shared" ca="1" si="4811"/>
        <v>0</v>
      </c>
      <c r="S466" s="52">
        <f t="shared" ref="S466" ca="1" si="4812" xml:space="preserve"> R472</f>
        <v>0</v>
      </c>
      <c r="T466" s="52">
        <f t="shared" ref="T466:CE466" ca="1" si="4813" xml:space="preserve"> S472</f>
        <v>0</v>
      </c>
      <c r="U466" s="52">
        <f t="shared" ca="1" si="4813"/>
        <v>0</v>
      </c>
      <c r="V466" s="52">
        <f t="shared" ca="1" si="4813"/>
        <v>0</v>
      </c>
      <c r="W466" s="52">
        <f t="shared" ca="1" si="4813"/>
        <v>0</v>
      </c>
      <c r="X466" s="52">
        <f t="shared" ca="1" si="4813"/>
        <v>0</v>
      </c>
      <c r="Y466" s="52">
        <f t="shared" ca="1" si="4813"/>
        <v>0</v>
      </c>
      <c r="Z466" s="52">
        <f t="shared" ca="1" si="4813"/>
        <v>0</v>
      </c>
      <c r="AA466" s="52">
        <f t="shared" ca="1" si="4813"/>
        <v>0</v>
      </c>
      <c r="AB466" s="52">
        <f t="shared" ca="1" si="4813"/>
        <v>0</v>
      </c>
      <c r="AC466" s="52">
        <f t="shared" ca="1" si="4813"/>
        <v>0</v>
      </c>
      <c r="AD466" s="52">
        <f t="shared" ca="1" si="4813"/>
        <v>0</v>
      </c>
      <c r="AE466" s="52">
        <f t="shared" ca="1" si="4813"/>
        <v>0</v>
      </c>
      <c r="AF466" s="52">
        <f t="shared" ca="1" si="4813"/>
        <v>0</v>
      </c>
      <c r="AG466" s="52">
        <f t="shared" ca="1" si="4813"/>
        <v>0</v>
      </c>
      <c r="AH466" s="52">
        <f t="shared" ca="1" si="4813"/>
        <v>0</v>
      </c>
      <c r="AI466" s="52">
        <f t="shared" ca="1" si="4813"/>
        <v>0</v>
      </c>
      <c r="AJ466" s="52">
        <f t="shared" ca="1" si="4813"/>
        <v>0</v>
      </c>
      <c r="AK466" s="52">
        <f t="shared" ca="1" si="4813"/>
        <v>0</v>
      </c>
      <c r="AL466" s="52">
        <f t="shared" ca="1" si="4813"/>
        <v>0</v>
      </c>
      <c r="AM466" s="52">
        <f t="shared" ca="1" si="4813"/>
        <v>0</v>
      </c>
      <c r="AN466" s="52">
        <f t="shared" ca="1" si="4813"/>
        <v>0</v>
      </c>
      <c r="AO466" s="52">
        <f t="shared" ca="1" si="4813"/>
        <v>0</v>
      </c>
      <c r="AP466" s="52">
        <f t="shared" ca="1" si="4813"/>
        <v>0</v>
      </c>
      <c r="AQ466" s="52">
        <f t="shared" ca="1" si="4813"/>
        <v>0</v>
      </c>
      <c r="AR466" s="52">
        <f t="shared" ca="1" si="4813"/>
        <v>0</v>
      </c>
      <c r="AS466" s="52">
        <f t="shared" ca="1" si="4813"/>
        <v>0</v>
      </c>
      <c r="AT466" s="52">
        <f t="shared" ca="1" si="4813"/>
        <v>0</v>
      </c>
      <c r="AU466" s="52">
        <f t="shared" ca="1" si="4813"/>
        <v>0</v>
      </c>
      <c r="AV466" s="52">
        <f t="shared" ca="1" si="4813"/>
        <v>0</v>
      </c>
      <c r="AW466" s="52">
        <f t="shared" ca="1" si="4813"/>
        <v>0</v>
      </c>
      <c r="AX466" s="52">
        <f t="shared" ca="1" si="4813"/>
        <v>0</v>
      </c>
      <c r="AY466" s="52">
        <f t="shared" ca="1" si="4813"/>
        <v>0</v>
      </c>
      <c r="AZ466" s="52">
        <f t="shared" ca="1" si="4813"/>
        <v>0</v>
      </c>
      <c r="BA466" s="52">
        <f t="shared" ca="1" si="4813"/>
        <v>0</v>
      </c>
      <c r="BB466" s="52">
        <f t="shared" ca="1" si="4813"/>
        <v>0</v>
      </c>
      <c r="BC466" s="52">
        <f t="shared" ca="1" si="4813"/>
        <v>0</v>
      </c>
      <c r="BD466" s="52">
        <f t="shared" ca="1" si="4813"/>
        <v>0</v>
      </c>
      <c r="BE466" s="52">
        <f t="shared" ca="1" si="4813"/>
        <v>0</v>
      </c>
      <c r="BF466" s="52">
        <f t="shared" ca="1" si="4813"/>
        <v>0</v>
      </c>
      <c r="BG466" s="52">
        <f t="shared" ca="1" si="4813"/>
        <v>0</v>
      </c>
      <c r="BH466" s="52">
        <f t="shared" ca="1" si="4813"/>
        <v>0</v>
      </c>
      <c r="BI466" s="52">
        <f t="shared" ca="1" si="4813"/>
        <v>0</v>
      </c>
      <c r="BJ466" s="52">
        <f t="shared" ca="1" si="4813"/>
        <v>0</v>
      </c>
      <c r="BK466" s="52">
        <f t="shared" ca="1" si="4813"/>
        <v>0</v>
      </c>
      <c r="BL466" s="52">
        <f t="shared" ca="1" si="4813"/>
        <v>0</v>
      </c>
      <c r="BM466" s="52">
        <f t="shared" ca="1" si="4813"/>
        <v>0</v>
      </c>
      <c r="BN466" s="52">
        <f t="shared" ca="1" si="4813"/>
        <v>0</v>
      </c>
      <c r="BO466" s="52">
        <f t="shared" ca="1" si="4813"/>
        <v>0</v>
      </c>
      <c r="BP466" s="52">
        <f t="shared" ca="1" si="4813"/>
        <v>0</v>
      </c>
      <c r="BQ466" s="52">
        <f t="shared" ca="1" si="4813"/>
        <v>0</v>
      </c>
      <c r="BR466" s="52">
        <f t="shared" ca="1" si="4813"/>
        <v>0</v>
      </c>
      <c r="BS466" s="52">
        <f t="shared" ca="1" si="4813"/>
        <v>0</v>
      </c>
      <c r="BT466" s="52">
        <f t="shared" ca="1" si="4813"/>
        <v>0</v>
      </c>
      <c r="BU466" s="52">
        <f t="shared" ca="1" si="4813"/>
        <v>0</v>
      </c>
      <c r="BV466" s="52">
        <f t="shared" ca="1" si="4813"/>
        <v>0</v>
      </c>
      <c r="BW466" s="52">
        <f t="shared" ca="1" si="4813"/>
        <v>0</v>
      </c>
      <c r="BX466" s="52">
        <f t="shared" ca="1" si="4813"/>
        <v>0</v>
      </c>
      <c r="BY466" s="52">
        <f t="shared" ca="1" si="4813"/>
        <v>0</v>
      </c>
      <c r="BZ466" s="52">
        <f t="shared" ca="1" si="4813"/>
        <v>0</v>
      </c>
      <c r="CA466" s="52">
        <f t="shared" ca="1" si="4813"/>
        <v>0</v>
      </c>
      <c r="CB466" s="52">
        <f t="shared" ca="1" si="4813"/>
        <v>0</v>
      </c>
      <c r="CC466" s="52">
        <f t="shared" ca="1" si="4813"/>
        <v>0</v>
      </c>
      <c r="CD466" s="52">
        <f t="shared" ca="1" si="4813"/>
        <v>0</v>
      </c>
      <c r="CE466" s="52">
        <f t="shared" ca="1" si="4813"/>
        <v>0</v>
      </c>
      <c r="CF466" s="52">
        <f t="shared" ref="CF466:CO466" ca="1" si="4814" xml:space="preserve"> CE472</f>
        <v>0</v>
      </c>
      <c r="CG466" s="52">
        <f t="shared" ca="1" si="4814"/>
        <v>0</v>
      </c>
      <c r="CH466" s="52">
        <f t="shared" ca="1" si="4814"/>
        <v>0</v>
      </c>
      <c r="CI466" s="52">
        <f t="shared" ca="1" si="4814"/>
        <v>0</v>
      </c>
      <c r="CJ466" s="52">
        <f t="shared" ca="1" si="4814"/>
        <v>0</v>
      </c>
      <c r="CK466" s="52">
        <f t="shared" ca="1" si="4814"/>
        <v>0</v>
      </c>
      <c r="CL466" s="52">
        <f t="shared" ca="1" si="4814"/>
        <v>0</v>
      </c>
      <c r="CM466" s="52">
        <f t="shared" ca="1" si="4814"/>
        <v>0</v>
      </c>
      <c r="CN466" s="52">
        <f t="shared" ca="1" si="4814"/>
        <v>0</v>
      </c>
      <c r="CO466" s="52">
        <f t="shared" ca="1" si="4814"/>
        <v>0</v>
      </c>
    </row>
    <row r="467" spans="1:93">
      <c r="A467" s="10"/>
      <c r="B467" s="10"/>
      <c r="C467" s="17" t="s">
        <v>126</v>
      </c>
      <c r="D467" s="10"/>
      <c r="E467" s="62"/>
      <c r="F467" s="11"/>
      <c r="G467" s="134" t="str">
        <f t="shared" si="4810"/>
        <v>тыс. руб.</v>
      </c>
      <c r="H467" s="10"/>
      <c r="I467" s="23">
        <f ca="1">SUM(L467:CO467)</f>
        <v>0</v>
      </c>
      <c r="J467" s="10"/>
      <c r="K467" s="10"/>
      <c r="L467" s="52">
        <f ca="1" xml:space="preserve"> SUM(L$328,L$330) * $E346 + L468</f>
        <v>0</v>
      </c>
      <c r="M467" s="52">
        <f t="shared" ref="M467:BX467" ca="1" si="4815" xml:space="preserve"> SUM(M$328,M$330) * $E346 + M468</f>
        <v>0</v>
      </c>
      <c r="N467" s="52">
        <f t="shared" ca="1" si="4815"/>
        <v>0</v>
      </c>
      <c r="O467" s="52">
        <f t="shared" ca="1" si="4815"/>
        <v>0</v>
      </c>
      <c r="P467" s="52">
        <f t="shared" ca="1" si="4815"/>
        <v>0</v>
      </c>
      <c r="Q467" s="52">
        <f t="shared" ca="1" si="4815"/>
        <v>0</v>
      </c>
      <c r="R467" s="52">
        <f t="shared" ca="1" si="4815"/>
        <v>0</v>
      </c>
      <c r="S467" s="52">
        <f t="shared" ca="1" si="4815"/>
        <v>0</v>
      </c>
      <c r="T467" s="52">
        <f t="shared" ca="1" si="4815"/>
        <v>0</v>
      </c>
      <c r="U467" s="52">
        <f t="shared" ca="1" si="4815"/>
        <v>0</v>
      </c>
      <c r="V467" s="52">
        <f t="shared" ca="1" si="4815"/>
        <v>0</v>
      </c>
      <c r="W467" s="52">
        <f t="shared" ca="1" si="4815"/>
        <v>0</v>
      </c>
      <c r="X467" s="52">
        <f t="shared" ca="1" si="4815"/>
        <v>0</v>
      </c>
      <c r="Y467" s="52">
        <f t="shared" ca="1" si="4815"/>
        <v>0</v>
      </c>
      <c r="Z467" s="52">
        <f t="shared" ca="1" si="4815"/>
        <v>0</v>
      </c>
      <c r="AA467" s="52">
        <f t="shared" ca="1" si="4815"/>
        <v>0</v>
      </c>
      <c r="AB467" s="52">
        <f t="shared" ca="1" si="4815"/>
        <v>0</v>
      </c>
      <c r="AC467" s="52">
        <f t="shared" ca="1" si="4815"/>
        <v>0</v>
      </c>
      <c r="AD467" s="52">
        <f t="shared" ca="1" si="4815"/>
        <v>0</v>
      </c>
      <c r="AE467" s="52">
        <f t="shared" ca="1" si="4815"/>
        <v>0</v>
      </c>
      <c r="AF467" s="52">
        <f t="shared" ca="1" si="4815"/>
        <v>0</v>
      </c>
      <c r="AG467" s="52">
        <f t="shared" ca="1" si="4815"/>
        <v>0</v>
      </c>
      <c r="AH467" s="52">
        <f t="shared" ca="1" si="4815"/>
        <v>0</v>
      </c>
      <c r="AI467" s="52">
        <f t="shared" ca="1" si="4815"/>
        <v>0</v>
      </c>
      <c r="AJ467" s="52">
        <f t="shared" ca="1" si="4815"/>
        <v>0</v>
      </c>
      <c r="AK467" s="52">
        <f t="shared" ca="1" si="4815"/>
        <v>0</v>
      </c>
      <c r="AL467" s="52">
        <f t="shared" ca="1" si="4815"/>
        <v>0</v>
      </c>
      <c r="AM467" s="52">
        <f t="shared" ca="1" si="4815"/>
        <v>0</v>
      </c>
      <c r="AN467" s="52">
        <f t="shared" ca="1" si="4815"/>
        <v>0</v>
      </c>
      <c r="AO467" s="52">
        <f t="shared" ca="1" si="4815"/>
        <v>0</v>
      </c>
      <c r="AP467" s="52">
        <f t="shared" ca="1" si="4815"/>
        <v>0</v>
      </c>
      <c r="AQ467" s="52">
        <f t="shared" ca="1" si="4815"/>
        <v>0</v>
      </c>
      <c r="AR467" s="52">
        <f t="shared" ca="1" si="4815"/>
        <v>0</v>
      </c>
      <c r="AS467" s="52">
        <f t="shared" ca="1" si="4815"/>
        <v>0</v>
      </c>
      <c r="AT467" s="52">
        <f t="shared" ca="1" si="4815"/>
        <v>0</v>
      </c>
      <c r="AU467" s="52">
        <f t="shared" ca="1" si="4815"/>
        <v>0</v>
      </c>
      <c r="AV467" s="52">
        <f t="shared" ca="1" si="4815"/>
        <v>0</v>
      </c>
      <c r="AW467" s="52">
        <f t="shared" ca="1" si="4815"/>
        <v>0</v>
      </c>
      <c r="AX467" s="52">
        <f t="shared" ca="1" si="4815"/>
        <v>0</v>
      </c>
      <c r="AY467" s="52">
        <f t="shared" ca="1" si="4815"/>
        <v>0</v>
      </c>
      <c r="AZ467" s="52">
        <f t="shared" ca="1" si="4815"/>
        <v>0</v>
      </c>
      <c r="BA467" s="52">
        <f t="shared" ca="1" si="4815"/>
        <v>0</v>
      </c>
      <c r="BB467" s="52">
        <f t="shared" ca="1" si="4815"/>
        <v>0</v>
      </c>
      <c r="BC467" s="52">
        <f t="shared" ca="1" si="4815"/>
        <v>0</v>
      </c>
      <c r="BD467" s="52">
        <f t="shared" ca="1" si="4815"/>
        <v>0</v>
      </c>
      <c r="BE467" s="52">
        <f t="shared" ca="1" si="4815"/>
        <v>0</v>
      </c>
      <c r="BF467" s="52">
        <f t="shared" ca="1" si="4815"/>
        <v>0</v>
      </c>
      <c r="BG467" s="52">
        <f t="shared" ca="1" si="4815"/>
        <v>0</v>
      </c>
      <c r="BH467" s="52">
        <f t="shared" ca="1" si="4815"/>
        <v>0</v>
      </c>
      <c r="BI467" s="52">
        <f t="shared" ca="1" si="4815"/>
        <v>0</v>
      </c>
      <c r="BJ467" s="52">
        <f t="shared" ca="1" si="4815"/>
        <v>0</v>
      </c>
      <c r="BK467" s="52">
        <f t="shared" ca="1" si="4815"/>
        <v>0</v>
      </c>
      <c r="BL467" s="52">
        <f t="shared" ca="1" si="4815"/>
        <v>0</v>
      </c>
      <c r="BM467" s="52">
        <f t="shared" ca="1" si="4815"/>
        <v>0</v>
      </c>
      <c r="BN467" s="52">
        <f t="shared" ca="1" si="4815"/>
        <v>0</v>
      </c>
      <c r="BO467" s="52">
        <f t="shared" ca="1" si="4815"/>
        <v>0</v>
      </c>
      <c r="BP467" s="52">
        <f t="shared" ca="1" si="4815"/>
        <v>0</v>
      </c>
      <c r="BQ467" s="52">
        <f t="shared" ca="1" si="4815"/>
        <v>0</v>
      </c>
      <c r="BR467" s="52">
        <f t="shared" ca="1" si="4815"/>
        <v>0</v>
      </c>
      <c r="BS467" s="52">
        <f t="shared" ca="1" si="4815"/>
        <v>0</v>
      </c>
      <c r="BT467" s="52">
        <f t="shared" ca="1" si="4815"/>
        <v>0</v>
      </c>
      <c r="BU467" s="52">
        <f t="shared" ca="1" si="4815"/>
        <v>0</v>
      </c>
      <c r="BV467" s="52">
        <f t="shared" ca="1" si="4815"/>
        <v>0</v>
      </c>
      <c r="BW467" s="52">
        <f t="shared" ca="1" si="4815"/>
        <v>0</v>
      </c>
      <c r="BX467" s="52">
        <f t="shared" ca="1" si="4815"/>
        <v>0</v>
      </c>
      <c r="BY467" s="52">
        <f t="shared" ref="BY467:CO467" ca="1" si="4816" xml:space="preserve"> SUM(BY$328,BY$330) * $E346 + BY468</f>
        <v>0</v>
      </c>
      <c r="BZ467" s="52">
        <f t="shared" ca="1" si="4816"/>
        <v>0</v>
      </c>
      <c r="CA467" s="52">
        <f t="shared" ca="1" si="4816"/>
        <v>0</v>
      </c>
      <c r="CB467" s="52">
        <f t="shared" ca="1" si="4816"/>
        <v>0</v>
      </c>
      <c r="CC467" s="52">
        <f t="shared" ca="1" si="4816"/>
        <v>0</v>
      </c>
      <c r="CD467" s="52">
        <f t="shared" ca="1" si="4816"/>
        <v>0</v>
      </c>
      <c r="CE467" s="52">
        <f t="shared" ca="1" si="4816"/>
        <v>0</v>
      </c>
      <c r="CF467" s="52">
        <f t="shared" ca="1" si="4816"/>
        <v>0</v>
      </c>
      <c r="CG467" s="52">
        <f t="shared" ca="1" si="4816"/>
        <v>0</v>
      </c>
      <c r="CH467" s="52">
        <f t="shared" ca="1" si="4816"/>
        <v>0</v>
      </c>
      <c r="CI467" s="52">
        <f t="shared" ca="1" si="4816"/>
        <v>0</v>
      </c>
      <c r="CJ467" s="52">
        <f t="shared" ca="1" si="4816"/>
        <v>0</v>
      </c>
      <c r="CK467" s="52">
        <f t="shared" ca="1" si="4816"/>
        <v>0</v>
      </c>
      <c r="CL467" s="52">
        <f t="shared" ca="1" si="4816"/>
        <v>0</v>
      </c>
      <c r="CM467" s="52">
        <f t="shared" ca="1" si="4816"/>
        <v>0</v>
      </c>
      <c r="CN467" s="52">
        <f t="shared" ca="1" si="4816"/>
        <v>0</v>
      </c>
      <c r="CO467" s="52">
        <f t="shared" ca="1" si="4816"/>
        <v>0</v>
      </c>
    </row>
    <row r="468" spans="1:93">
      <c r="A468" s="10"/>
      <c r="B468" s="10"/>
      <c r="C468" s="17" t="s">
        <v>129</v>
      </c>
      <c r="D468" s="10"/>
      <c r="E468" s="178">
        <f>Предпосылки!E376</f>
        <v>0.1</v>
      </c>
      <c r="F468" s="11"/>
      <c r="G468" s="134" t="str">
        <f t="shared" si="4810"/>
        <v>тыс. руб.</v>
      </c>
      <c r="H468" s="10"/>
      <c r="I468" s="23">
        <f ca="1">SUM(L468:CO468)</f>
        <v>0</v>
      </c>
      <c r="J468" s="10"/>
      <c r="K468" s="10"/>
      <c r="L468" s="52">
        <f ca="1" xml:space="preserve"> - SUM(K$328,K$330) * $E346 *$E468</f>
        <v>0</v>
      </c>
      <c r="M468" s="52">
        <f t="shared" ref="M468:BX468" ca="1" si="4817" xml:space="preserve"> - SUM(L$328,L$330) * $E346 *$E468</f>
        <v>0</v>
      </c>
      <c r="N468" s="52">
        <f t="shared" ca="1" si="4817"/>
        <v>0</v>
      </c>
      <c r="O468" s="52">
        <f t="shared" ca="1" si="4817"/>
        <v>0</v>
      </c>
      <c r="P468" s="52">
        <f t="shared" ca="1" si="4817"/>
        <v>0</v>
      </c>
      <c r="Q468" s="52">
        <f t="shared" ca="1" si="4817"/>
        <v>0</v>
      </c>
      <c r="R468" s="52">
        <f t="shared" ca="1" si="4817"/>
        <v>0</v>
      </c>
      <c r="S468" s="52">
        <f t="shared" ca="1" si="4817"/>
        <v>0</v>
      </c>
      <c r="T468" s="52">
        <f t="shared" ca="1" si="4817"/>
        <v>0</v>
      </c>
      <c r="U468" s="52">
        <f t="shared" ca="1" si="4817"/>
        <v>0</v>
      </c>
      <c r="V468" s="52">
        <f t="shared" ca="1" si="4817"/>
        <v>0</v>
      </c>
      <c r="W468" s="52">
        <f t="shared" ca="1" si="4817"/>
        <v>0</v>
      </c>
      <c r="X468" s="52">
        <f t="shared" ca="1" si="4817"/>
        <v>0</v>
      </c>
      <c r="Y468" s="52">
        <f t="shared" ca="1" si="4817"/>
        <v>0</v>
      </c>
      <c r="Z468" s="52">
        <f t="shared" ca="1" si="4817"/>
        <v>0</v>
      </c>
      <c r="AA468" s="52">
        <f t="shared" ca="1" si="4817"/>
        <v>0</v>
      </c>
      <c r="AB468" s="52">
        <f t="shared" ca="1" si="4817"/>
        <v>0</v>
      </c>
      <c r="AC468" s="52">
        <f t="shared" ca="1" si="4817"/>
        <v>0</v>
      </c>
      <c r="AD468" s="52">
        <f t="shared" ca="1" si="4817"/>
        <v>0</v>
      </c>
      <c r="AE468" s="52">
        <f t="shared" ca="1" si="4817"/>
        <v>0</v>
      </c>
      <c r="AF468" s="52">
        <f t="shared" ca="1" si="4817"/>
        <v>0</v>
      </c>
      <c r="AG468" s="52">
        <f t="shared" ca="1" si="4817"/>
        <v>0</v>
      </c>
      <c r="AH468" s="52">
        <f t="shared" ca="1" si="4817"/>
        <v>0</v>
      </c>
      <c r="AI468" s="52">
        <f t="shared" ca="1" si="4817"/>
        <v>0</v>
      </c>
      <c r="AJ468" s="52">
        <f t="shared" ca="1" si="4817"/>
        <v>0</v>
      </c>
      <c r="AK468" s="52">
        <f t="shared" ca="1" si="4817"/>
        <v>0</v>
      </c>
      <c r="AL468" s="52">
        <f t="shared" ca="1" si="4817"/>
        <v>0</v>
      </c>
      <c r="AM468" s="52">
        <f t="shared" ca="1" si="4817"/>
        <v>0</v>
      </c>
      <c r="AN468" s="52">
        <f t="shared" ca="1" si="4817"/>
        <v>0</v>
      </c>
      <c r="AO468" s="52">
        <f t="shared" ca="1" si="4817"/>
        <v>0</v>
      </c>
      <c r="AP468" s="52">
        <f t="shared" ca="1" si="4817"/>
        <v>0</v>
      </c>
      <c r="AQ468" s="52">
        <f t="shared" ca="1" si="4817"/>
        <v>0</v>
      </c>
      <c r="AR468" s="52">
        <f t="shared" ca="1" si="4817"/>
        <v>0</v>
      </c>
      <c r="AS468" s="52">
        <f t="shared" ca="1" si="4817"/>
        <v>0</v>
      </c>
      <c r="AT468" s="52">
        <f t="shared" ca="1" si="4817"/>
        <v>0</v>
      </c>
      <c r="AU468" s="52">
        <f t="shared" ca="1" si="4817"/>
        <v>0</v>
      </c>
      <c r="AV468" s="52">
        <f t="shared" ca="1" si="4817"/>
        <v>0</v>
      </c>
      <c r="AW468" s="52">
        <f t="shared" ca="1" si="4817"/>
        <v>0</v>
      </c>
      <c r="AX468" s="52">
        <f t="shared" ca="1" si="4817"/>
        <v>0</v>
      </c>
      <c r="AY468" s="52">
        <f t="shared" ca="1" si="4817"/>
        <v>0</v>
      </c>
      <c r="AZ468" s="52">
        <f t="shared" ca="1" si="4817"/>
        <v>0</v>
      </c>
      <c r="BA468" s="52">
        <f t="shared" ca="1" si="4817"/>
        <v>0</v>
      </c>
      <c r="BB468" s="52">
        <f t="shared" ca="1" si="4817"/>
        <v>0</v>
      </c>
      <c r="BC468" s="52">
        <f t="shared" ca="1" si="4817"/>
        <v>0</v>
      </c>
      <c r="BD468" s="52">
        <f t="shared" ca="1" si="4817"/>
        <v>0</v>
      </c>
      <c r="BE468" s="52">
        <f t="shared" ca="1" si="4817"/>
        <v>0</v>
      </c>
      <c r="BF468" s="52">
        <f t="shared" ca="1" si="4817"/>
        <v>0</v>
      </c>
      <c r="BG468" s="52">
        <f t="shared" ca="1" si="4817"/>
        <v>0</v>
      </c>
      <c r="BH468" s="52">
        <f t="shared" ca="1" si="4817"/>
        <v>0</v>
      </c>
      <c r="BI468" s="52">
        <f t="shared" ca="1" si="4817"/>
        <v>0</v>
      </c>
      <c r="BJ468" s="52">
        <f t="shared" ca="1" si="4817"/>
        <v>0</v>
      </c>
      <c r="BK468" s="52">
        <f t="shared" ca="1" si="4817"/>
        <v>0</v>
      </c>
      <c r="BL468" s="52">
        <f t="shared" ca="1" si="4817"/>
        <v>0</v>
      </c>
      <c r="BM468" s="52">
        <f t="shared" ca="1" si="4817"/>
        <v>0</v>
      </c>
      <c r="BN468" s="52">
        <f t="shared" ca="1" si="4817"/>
        <v>0</v>
      </c>
      <c r="BO468" s="52">
        <f t="shared" ca="1" si="4817"/>
        <v>0</v>
      </c>
      <c r="BP468" s="52">
        <f t="shared" ca="1" si="4817"/>
        <v>0</v>
      </c>
      <c r="BQ468" s="52">
        <f t="shared" ca="1" si="4817"/>
        <v>0</v>
      </c>
      <c r="BR468" s="52">
        <f t="shared" ca="1" si="4817"/>
        <v>0</v>
      </c>
      <c r="BS468" s="52">
        <f t="shared" ca="1" si="4817"/>
        <v>0</v>
      </c>
      <c r="BT468" s="52">
        <f t="shared" ca="1" si="4817"/>
        <v>0</v>
      </c>
      <c r="BU468" s="52">
        <f t="shared" ca="1" si="4817"/>
        <v>0</v>
      </c>
      <c r="BV468" s="52">
        <f t="shared" ca="1" si="4817"/>
        <v>0</v>
      </c>
      <c r="BW468" s="52">
        <f t="shared" ca="1" si="4817"/>
        <v>0</v>
      </c>
      <c r="BX468" s="52">
        <f t="shared" ca="1" si="4817"/>
        <v>0</v>
      </c>
      <c r="BY468" s="52">
        <f t="shared" ref="BY468:CO468" ca="1" si="4818" xml:space="preserve"> - SUM(BX$328,BX$330) * $E346 *$E468</f>
        <v>0</v>
      </c>
      <c r="BZ468" s="52">
        <f t="shared" ca="1" si="4818"/>
        <v>0</v>
      </c>
      <c r="CA468" s="52">
        <f t="shared" ca="1" si="4818"/>
        <v>0</v>
      </c>
      <c r="CB468" s="52">
        <f t="shared" ca="1" si="4818"/>
        <v>0</v>
      </c>
      <c r="CC468" s="52">
        <f t="shared" ca="1" si="4818"/>
        <v>0</v>
      </c>
      <c r="CD468" s="52">
        <f t="shared" ca="1" si="4818"/>
        <v>0</v>
      </c>
      <c r="CE468" s="52">
        <f t="shared" ca="1" si="4818"/>
        <v>0</v>
      </c>
      <c r="CF468" s="52">
        <f t="shared" ca="1" si="4818"/>
        <v>0</v>
      </c>
      <c r="CG468" s="52">
        <f t="shared" ca="1" si="4818"/>
        <v>0</v>
      </c>
      <c r="CH468" s="52">
        <f t="shared" ca="1" si="4818"/>
        <v>0</v>
      </c>
      <c r="CI468" s="52">
        <f t="shared" ca="1" si="4818"/>
        <v>0</v>
      </c>
      <c r="CJ468" s="52">
        <f t="shared" ca="1" si="4818"/>
        <v>0</v>
      </c>
      <c r="CK468" s="52">
        <f t="shared" ca="1" si="4818"/>
        <v>0</v>
      </c>
      <c r="CL468" s="52">
        <f t="shared" ca="1" si="4818"/>
        <v>0</v>
      </c>
      <c r="CM468" s="52">
        <f t="shared" ca="1" si="4818"/>
        <v>0</v>
      </c>
      <c r="CN468" s="52">
        <f t="shared" ca="1" si="4818"/>
        <v>0</v>
      </c>
      <c r="CO468" s="52">
        <f t="shared" ca="1" si="4818"/>
        <v>0</v>
      </c>
    </row>
    <row r="469" spans="1:93">
      <c r="A469" s="10"/>
      <c r="B469" s="10"/>
      <c r="C469" s="17" t="s">
        <v>388</v>
      </c>
      <c r="D469" s="10"/>
      <c r="E469" s="62"/>
      <c r="F469" s="11"/>
      <c r="G469" s="134" t="str">
        <f t="shared" si="4810"/>
        <v>тыс. руб.</v>
      </c>
      <c r="H469" s="10"/>
      <c r="I469" s="10"/>
      <c r="J469" s="10"/>
      <c r="K469" s="10"/>
      <c r="L469" s="52">
        <f t="shared" ref="L469:R469" ca="1" si="4819" xml:space="preserve"> L467 + K469</f>
        <v>0</v>
      </c>
      <c r="M469" s="52">
        <f t="shared" ca="1" si="4819"/>
        <v>0</v>
      </c>
      <c r="N469" s="52">
        <f t="shared" ca="1" si="4819"/>
        <v>0</v>
      </c>
      <c r="O469" s="52">
        <f t="shared" ca="1" si="4819"/>
        <v>0</v>
      </c>
      <c r="P469" s="52">
        <f t="shared" ca="1" si="4819"/>
        <v>0</v>
      </c>
      <c r="Q469" s="52">
        <f t="shared" ca="1" si="4819"/>
        <v>0</v>
      </c>
      <c r="R469" s="52">
        <f t="shared" ca="1" si="4819"/>
        <v>0</v>
      </c>
      <c r="S469" s="52">
        <f t="shared" ref="S469" ca="1" si="4820" xml:space="preserve"> S467 + R469</f>
        <v>0</v>
      </c>
      <c r="T469" s="52">
        <f t="shared" ref="T469:CE469" ca="1" si="4821" xml:space="preserve"> T467 + S469</f>
        <v>0</v>
      </c>
      <c r="U469" s="52">
        <f t="shared" ca="1" si="4821"/>
        <v>0</v>
      </c>
      <c r="V469" s="52">
        <f t="shared" ca="1" si="4821"/>
        <v>0</v>
      </c>
      <c r="W469" s="52">
        <f t="shared" ca="1" si="4821"/>
        <v>0</v>
      </c>
      <c r="X469" s="52">
        <f t="shared" ca="1" si="4821"/>
        <v>0</v>
      </c>
      <c r="Y469" s="52">
        <f t="shared" ca="1" si="4821"/>
        <v>0</v>
      </c>
      <c r="Z469" s="52">
        <f t="shared" ca="1" si="4821"/>
        <v>0</v>
      </c>
      <c r="AA469" s="52">
        <f t="shared" ca="1" si="4821"/>
        <v>0</v>
      </c>
      <c r="AB469" s="52">
        <f t="shared" ca="1" si="4821"/>
        <v>0</v>
      </c>
      <c r="AC469" s="52">
        <f t="shared" ca="1" si="4821"/>
        <v>0</v>
      </c>
      <c r="AD469" s="52">
        <f t="shared" ca="1" si="4821"/>
        <v>0</v>
      </c>
      <c r="AE469" s="52">
        <f t="shared" ca="1" si="4821"/>
        <v>0</v>
      </c>
      <c r="AF469" s="52">
        <f t="shared" ca="1" si="4821"/>
        <v>0</v>
      </c>
      <c r="AG469" s="52">
        <f t="shared" ca="1" si="4821"/>
        <v>0</v>
      </c>
      <c r="AH469" s="52">
        <f t="shared" ca="1" si="4821"/>
        <v>0</v>
      </c>
      <c r="AI469" s="52">
        <f t="shared" ca="1" si="4821"/>
        <v>0</v>
      </c>
      <c r="AJ469" s="52">
        <f t="shared" ca="1" si="4821"/>
        <v>0</v>
      </c>
      <c r="AK469" s="52">
        <f t="shared" ca="1" si="4821"/>
        <v>0</v>
      </c>
      <c r="AL469" s="52">
        <f t="shared" ca="1" si="4821"/>
        <v>0</v>
      </c>
      <c r="AM469" s="52">
        <f t="shared" ca="1" si="4821"/>
        <v>0</v>
      </c>
      <c r="AN469" s="52">
        <f t="shared" ca="1" si="4821"/>
        <v>0</v>
      </c>
      <c r="AO469" s="52">
        <f t="shared" ca="1" si="4821"/>
        <v>0</v>
      </c>
      <c r="AP469" s="52">
        <f t="shared" ca="1" si="4821"/>
        <v>0</v>
      </c>
      <c r="AQ469" s="52">
        <f t="shared" ca="1" si="4821"/>
        <v>0</v>
      </c>
      <c r="AR469" s="52">
        <f t="shared" ca="1" si="4821"/>
        <v>0</v>
      </c>
      <c r="AS469" s="52">
        <f t="shared" ca="1" si="4821"/>
        <v>0</v>
      </c>
      <c r="AT469" s="52">
        <f t="shared" ca="1" si="4821"/>
        <v>0</v>
      </c>
      <c r="AU469" s="52">
        <f t="shared" ca="1" si="4821"/>
        <v>0</v>
      </c>
      <c r="AV469" s="52">
        <f t="shared" ca="1" si="4821"/>
        <v>0</v>
      </c>
      <c r="AW469" s="52">
        <f t="shared" ca="1" si="4821"/>
        <v>0</v>
      </c>
      <c r="AX469" s="52">
        <f t="shared" ca="1" si="4821"/>
        <v>0</v>
      </c>
      <c r="AY469" s="52">
        <f t="shared" ca="1" si="4821"/>
        <v>0</v>
      </c>
      <c r="AZ469" s="52">
        <f t="shared" ca="1" si="4821"/>
        <v>0</v>
      </c>
      <c r="BA469" s="52">
        <f t="shared" ca="1" si="4821"/>
        <v>0</v>
      </c>
      <c r="BB469" s="52">
        <f t="shared" ca="1" si="4821"/>
        <v>0</v>
      </c>
      <c r="BC469" s="52">
        <f t="shared" ca="1" si="4821"/>
        <v>0</v>
      </c>
      <c r="BD469" s="52">
        <f t="shared" ca="1" si="4821"/>
        <v>0</v>
      </c>
      <c r="BE469" s="52">
        <f t="shared" ca="1" si="4821"/>
        <v>0</v>
      </c>
      <c r="BF469" s="52">
        <f t="shared" ca="1" si="4821"/>
        <v>0</v>
      </c>
      <c r="BG469" s="52">
        <f t="shared" ca="1" si="4821"/>
        <v>0</v>
      </c>
      <c r="BH469" s="52">
        <f t="shared" ca="1" si="4821"/>
        <v>0</v>
      </c>
      <c r="BI469" s="52">
        <f t="shared" ca="1" si="4821"/>
        <v>0</v>
      </c>
      <c r="BJ469" s="52">
        <f t="shared" ca="1" si="4821"/>
        <v>0</v>
      </c>
      <c r="BK469" s="52">
        <f t="shared" ca="1" si="4821"/>
        <v>0</v>
      </c>
      <c r="BL469" s="52">
        <f t="shared" ca="1" si="4821"/>
        <v>0</v>
      </c>
      <c r="BM469" s="52">
        <f t="shared" ca="1" si="4821"/>
        <v>0</v>
      </c>
      <c r="BN469" s="52">
        <f t="shared" ca="1" si="4821"/>
        <v>0</v>
      </c>
      <c r="BO469" s="52">
        <f t="shared" ca="1" si="4821"/>
        <v>0</v>
      </c>
      <c r="BP469" s="52">
        <f t="shared" ca="1" si="4821"/>
        <v>0</v>
      </c>
      <c r="BQ469" s="52">
        <f t="shared" ca="1" si="4821"/>
        <v>0</v>
      </c>
      <c r="BR469" s="52">
        <f t="shared" ca="1" si="4821"/>
        <v>0</v>
      </c>
      <c r="BS469" s="52">
        <f t="shared" ca="1" si="4821"/>
        <v>0</v>
      </c>
      <c r="BT469" s="52">
        <f t="shared" ca="1" si="4821"/>
        <v>0</v>
      </c>
      <c r="BU469" s="52">
        <f t="shared" ca="1" si="4821"/>
        <v>0</v>
      </c>
      <c r="BV469" s="52">
        <f t="shared" ca="1" si="4821"/>
        <v>0</v>
      </c>
      <c r="BW469" s="52">
        <f t="shared" ca="1" si="4821"/>
        <v>0</v>
      </c>
      <c r="BX469" s="52">
        <f t="shared" ca="1" si="4821"/>
        <v>0</v>
      </c>
      <c r="BY469" s="52">
        <f t="shared" ca="1" si="4821"/>
        <v>0</v>
      </c>
      <c r="BZ469" s="52">
        <f t="shared" ca="1" si="4821"/>
        <v>0</v>
      </c>
      <c r="CA469" s="52">
        <f t="shared" ca="1" si="4821"/>
        <v>0</v>
      </c>
      <c r="CB469" s="52">
        <f t="shared" ca="1" si="4821"/>
        <v>0</v>
      </c>
      <c r="CC469" s="52">
        <f t="shared" ca="1" si="4821"/>
        <v>0</v>
      </c>
      <c r="CD469" s="52">
        <f t="shared" ca="1" si="4821"/>
        <v>0</v>
      </c>
      <c r="CE469" s="52">
        <f t="shared" ca="1" si="4821"/>
        <v>0</v>
      </c>
      <c r="CF469" s="52">
        <f t="shared" ref="CF469:CO469" ca="1" si="4822" xml:space="preserve"> CF467 + CE469</f>
        <v>0</v>
      </c>
      <c r="CG469" s="52">
        <f t="shared" ca="1" si="4822"/>
        <v>0</v>
      </c>
      <c r="CH469" s="52">
        <f t="shared" ca="1" si="4822"/>
        <v>0</v>
      </c>
      <c r="CI469" s="52">
        <f t="shared" ca="1" si="4822"/>
        <v>0</v>
      </c>
      <c r="CJ469" s="52">
        <f t="shared" ca="1" si="4822"/>
        <v>0</v>
      </c>
      <c r="CK469" s="52">
        <f t="shared" ca="1" si="4822"/>
        <v>0</v>
      </c>
      <c r="CL469" s="52">
        <f t="shared" ca="1" si="4822"/>
        <v>0</v>
      </c>
      <c r="CM469" s="52">
        <f t="shared" ca="1" si="4822"/>
        <v>0</v>
      </c>
      <c r="CN469" s="52">
        <f t="shared" ca="1" si="4822"/>
        <v>0</v>
      </c>
      <c r="CO469" s="52">
        <f t="shared" ca="1" si="4822"/>
        <v>0</v>
      </c>
    </row>
    <row r="470" spans="1:93">
      <c r="A470" s="10"/>
      <c r="B470" s="10"/>
      <c r="C470" s="17" t="s">
        <v>389</v>
      </c>
      <c r="D470" s="10"/>
      <c r="E470" s="62"/>
      <c r="F470" s="11"/>
      <c r="G470" s="134" t="str">
        <f t="shared" si="4810"/>
        <v>тыс. руб.</v>
      </c>
      <c r="H470" s="10"/>
      <c r="I470" s="23">
        <f ca="1">SUM(L470:CO470)</f>
        <v>0</v>
      </c>
      <c r="J470" s="10"/>
      <c r="K470" s="10"/>
      <c r="L470" s="52">
        <f t="shared" ref="L470" ca="1" si="4823" xml:space="preserve"> MIN(L469*L465,K472)</f>
        <v>0</v>
      </c>
      <c r="M470" s="52">
        <f t="shared" ref="M470" ca="1" si="4824" xml:space="preserve"> MIN(M469*M465,L472)</f>
        <v>0</v>
      </c>
      <c r="N470" s="52">
        <f t="shared" ref="N470" ca="1" si="4825" xml:space="preserve"> MIN(N469*N465,M472)</f>
        <v>0</v>
      </c>
      <c r="O470" s="52">
        <f t="shared" ref="O470" ca="1" si="4826" xml:space="preserve"> MIN(O469*O465,N472)</f>
        <v>0</v>
      </c>
      <c r="P470" s="52">
        <f t="shared" ref="P470" ca="1" si="4827" xml:space="preserve"> MIN(P469*P465,O472)</f>
        <v>0</v>
      </c>
      <c r="Q470" s="52">
        <f t="shared" ref="Q470" ca="1" si="4828" xml:space="preserve"> MIN(Q469*Q465,P472)</f>
        <v>0</v>
      </c>
      <c r="R470" s="52">
        <f t="shared" ref="R470" ca="1" si="4829" xml:space="preserve"> MIN(R469*R465,Q472)</f>
        <v>0</v>
      </c>
      <c r="S470" s="52">
        <f t="shared" ref="S470" ca="1" si="4830" xml:space="preserve"> MIN(S469*S465,R472)</f>
        <v>0</v>
      </c>
      <c r="T470" s="52">
        <f t="shared" ref="T470" ca="1" si="4831" xml:space="preserve"> MIN(T469*T465,S472)</f>
        <v>0</v>
      </c>
      <c r="U470" s="52">
        <f t="shared" ref="U470" ca="1" si="4832" xml:space="preserve"> MIN(U469*U465,T472)</f>
        <v>0</v>
      </c>
      <c r="V470" s="52">
        <f t="shared" ref="V470" ca="1" si="4833" xml:space="preserve"> MIN(V469*V465,U472)</f>
        <v>0</v>
      </c>
      <c r="W470" s="52">
        <f t="shared" ref="W470" ca="1" si="4834" xml:space="preserve"> MIN(W469*W465,V472)</f>
        <v>0</v>
      </c>
      <c r="X470" s="52">
        <f t="shared" ref="X470" ca="1" si="4835" xml:space="preserve"> MIN(X469*X465,W472)</f>
        <v>0</v>
      </c>
      <c r="Y470" s="52">
        <f t="shared" ref="Y470" ca="1" si="4836" xml:space="preserve"> MIN(Y469*Y465,X472)</f>
        <v>0</v>
      </c>
      <c r="Z470" s="52">
        <f t="shared" ref="Z470" ca="1" si="4837" xml:space="preserve"> MIN(Z469*Z465,Y472)</f>
        <v>0</v>
      </c>
      <c r="AA470" s="52">
        <f t="shared" ref="AA470" ca="1" si="4838" xml:space="preserve"> MIN(AA469*AA465,Z472)</f>
        <v>0</v>
      </c>
      <c r="AB470" s="52">
        <f t="shared" ref="AB470" ca="1" si="4839" xml:space="preserve"> MIN(AB469*AB465,AA472)</f>
        <v>0</v>
      </c>
      <c r="AC470" s="52">
        <f t="shared" ref="AC470" ca="1" si="4840" xml:space="preserve"> MIN(AC469*AC465,AB472)</f>
        <v>0</v>
      </c>
      <c r="AD470" s="52">
        <f t="shared" ref="AD470" ca="1" si="4841" xml:space="preserve"> MIN(AD469*AD465,AC472)</f>
        <v>0</v>
      </c>
      <c r="AE470" s="52">
        <f t="shared" ref="AE470" ca="1" si="4842" xml:space="preserve"> MIN(AE469*AE465,AD472)</f>
        <v>0</v>
      </c>
      <c r="AF470" s="52">
        <f t="shared" ref="AF470" ca="1" si="4843" xml:space="preserve"> MIN(AF469*AF465,AE472)</f>
        <v>0</v>
      </c>
      <c r="AG470" s="52">
        <f t="shared" ref="AG470" ca="1" si="4844" xml:space="preserve"> MIN(AG469*AG465,AF472)</f>
        <v>0</v>
      </c>
      <c r="AH470" s="52">
        <f t="shared" ref="AH470" ca="1" si="4845" xml:space="preserve"> MIN(AH469*AH465,AG472)</f>
        <v>0</v>
      </c>
      <c r="AI470" s="52">
        <f t="shared" ref="AI470" ca="1" si="4846" xml:space="preserve"> MIN(AI469*AI465,AH472)</f>
        <v>0</v>
      </c>
      <c r="AJ470" s="52">
        <f t="shared" ref="AJ470" ca="1" si="4847" xml:space="preserve"> MIN(AJ469*AJ465,AI472)</f>
        <v>0</v>
      </c>
      <c r="AK470" s="52">
        <f t="shared" ref="AK470" ca="1" si="4848" xml:space="preserve"> MIN(AK469*AK465,AJ472)</f>
        <v>0</v>
      </c>
      <c r="AL470" s="52">
        <f t="shared" ref="AL470" ca="1" si="4849" xml:space="preserve"> MIN(AL469*AL465,AK472)</f>
        <v>0</v>
      </c>
      <c r="AM470" s="52">
        <f t="shared" ref="AM470" ca="1" si="4850" xml:space="preserve"> MIN(AM469*AM465,AL472)</f>
        <v>0</v>
      </c>
      <c r="AN470" s="52">
        <f t="shared" ref="AN470" ca="1" si="4851" xml:space="preserve"> MIN(AN469*AN465,AM472)</f>
        <v>0</v>
      </c>
      <c r="AO470" s="52">
        <f t="shared" ref="AO470" ca="1" si="4852" xml:space="preserve"> MIN(AO469*AO465,AN472)</f>
        <v>0</v>
      </c>
      <c r="AP470" s="52">
        <f t="shared" ref="AP470" ca="1" si="4853" xml:space="preserve"> MIN(AP469*AP465,AO472)</f>
        <v>0</v>
      </c>
      <c r="AQ470" s="52">
        <f t="shared" ref="AQ470" ca="1" si="4854" xml:space="preserve"> MIN(AQ469*AQ465,AP472)</f>
        <v>0</v>
      </c>
      <c r="AR470" s="52">
        <f t="shared" ref="AR470" ca="1" si="4855" xml:space="preserve"> MIN(AR469*AR465,AQ472)</f>
        <v>0</v>
      </c>
      <c r="AS470" s="52">
        <f t="shared" ref="AS470" ca="1" si="4856" xml:space="preserve"> MIN(AS469*AS465,AR472)</f>
        <v>0</v>
      </c>
      <c r="AT470" s="52">
        <f t="shared" ref="AT470" ca="1" si="4857" xml:space="preserve"> MIN(AT469*AT465,AS472)</f>
        <v>0</v>
      </c>
      <c r="AU470" s="52">
        <f t="shared" ref="AU470" ca="1" si="4858" xml:space="preserve"> MIN(AU469*AU465,AT472)</f>
        <v>0</v>
      </c>
      <c r="AV470" s="52">
        <f t="shared" ref="AV470" ca="1" si="4859" xml:space="preserve"> MIN(AV469*AV465,AU472)</f>
        <v>0</v>
      </c>
      <c r="AW470" s="52">
        <f t="shared" ref="AW470" ca="1" si="4860" xml:space="preserve"> MIN(AW469*AW465,AV472)</f>
        <v>0</v>
      </c>
      <c r="AX470" s="52">
        <f t="shared" ref="AX470" ca="1" si="4861" xml:space="preserve"> MIN(AX469*AX465,AW472)</f>
        <v>0</v>
      </c>
      <c r="AY470" s="52">
        <f t="shared" ref="AY470" ca="1" si="4862" xml:space="preserve"> MIN(AY469*AY465,AX472)</f>
        <v>0</v>
      </c>
      <c r="AZ470" s="52">
        <f t="shared" ref="AZ470" ca="1" si="4863" xml:space="preserve"> MIN(AZ469*AZ465,AY472)</f>
        <v>0</v>
      </c>
      <c r="BA470" s="52">
        <f t="shared" ref="BA470" ca="1" si="4864" xml:space="preserve"> MIN(BA469*BA465,AZ472)</f>
        <v>0</v>
      </c>
      <c r="BB470" s="52">
        <f t="shared" ref="BB470" ca="1" si="4865" xml:space="preserve"> MIN(BB469*BB465,BA472)</f>
        <v>0</v>
      </c>
      <c r="BC470" s="52">
        <f t="shared" ref="BC470" ca="1" si="4866" xml:space="preserve"> MIN(BC469*BC465,BB472)</f>
        <v>0</v>
      </c>
      <c r="BD470" s="52">
        <f t="shared" ref="BD470" ca="1" si="4867" xml:space="preserve"> MIN(BD469*BD465,BC472)</f>
        <v>0</v>
      </c>
      <c r="BE470" s="52">
        <f t="shared" ref="BE470" ca="1" si="4868" xml:space="preserve"> MIN(BE469*BE465,BD472)</f>
        <v>0</v>
      </c>
      <c r="BF470" s="52">
        <f t="shared" ref="BF470" ca="1" si="4869" xml:space="preserve"> MIN(BF469*BF465,BE472)</f>
        <v>0</v>
      </c>
      <c r="BG470" s="52">
        <f t="shared" ref="BG470" ca="1" si="4870" xml:space="preserve"> MIN(BG469*BG465,BF472)</f>
        <v>0</v>
      </c>
      <c r="BH470" s="52">
        <f t="shared" ref="BH470" ca="1" si="4871" xml:space="preserve"> MIN(BH469*BH465,BG472)</f>
        <v>0</v>
      </c>
      <c r="BI470" s="52">
        <f t="shared" ref="BI470" ca="1" si="4872" xml:space="preserve"> MIN(BI469*BI465,BH472)</f>
        <v>0</v>
      </c>
      <c r="BJ470" s="52">
        <f t="shared" ref="BJ470" ca="1" si="4873" xml:space="preserve"> MIN(BJ469*BJ465,BI472)</f>
        <v>0</v>
      </c>
      <c r="BK470" s="52">
        <f t="shared" ref="BK470" ca="1" si="4874" xml:space="preserve"> MIN(BK469*BK465,BJ472)</f>
        <v>0</v>
      </c>
      <c r="BL470" s="52">
        <f t="shared" ref="BL470" ca="1" si="4875" xml:space="preserve"> MIN(BL469*BL465,BK472)</f>
        <v>0</v>
      </c>
      <c r="BM470" s="52">
        <f t="shared" ref="BM470" ca="1" si="4876" xml:space="preserve"> MIN(BM469*BM465,BL472)</f>
        <v>0</v>
      </c>
      <c r="BN470" s="52">
        <f t="shared" ref="BN470" ca="1" si="4877" xml:space="preserve"> MIN(BN469*BN465,BM472)</f>
        <v>0</v>
      </c>
      <c r="BO470" s="52">
        <f t="shared" ref="BO470" ca="1" si="4878" xml:space="preserve"> MIN(BO469*BO465,BN472)</f>
        <v>0</v>
      </c>
      <c r="BP470" s="52">
        <f t="shared" ref="BP470" ca="1" si="4879" xml:space="preserve"> MIN(BP469*BP465,BO472)</f>
        <v>0</v>
      </c>
      <c r="BQ470" s="52">
        <f t="shared" ref="BQ470" ca="1" si="4880" xml:space="preserve"> MIN(BQ469*BQ465,BP472)</f>
        <v>0</v>
      </c>
      <c r="BR470" s="52">
        <f t="shared" ref="BR470" ca="1" si="4881" xml:space="preserve"> MIN(BR469*BR465,BQ472)</f>
        <v>0</v>
      </c>
      <c r="BS470" s="52">
        <f t="shared" ref="BS470" ca="1" si="4882" xml:space="preserve"> MIN(BS469*BS465,BR472)</f>
        <v>0</v>
      </c>
      <c r="BT470" s="52">
        <f t="shared" ref="BT470" ca="1" si="4883" xml:space="preserve"> MIN(BT469*BT465,BS472)</f>
        <v>0</v>
      </c>
      <c r="BU470" s="52">
        <f t="shared" ref="BU470" ca="1" si="4884" xml:space="preserve"> MIN(BU469*BU465,BT472)</f>
        <v>0</v>
      </c>
      <c r="BV470" s="52">
        <f t="shared" ref="BV470" ca="1" si="4885" xml:space="preserve"> MIN(BV469*BV465,BU472)</f>
        <v>0</v>
      </c>
      <c r="BW470" s="52">
        <f t="shared" ref="BW470" ca="1" si="4886" xml:space="preserve"> MIN(BW469*BW465,BV472)</f>
        <v>0</v>
      </c>
      <c r="BX470" s="52">
        <f t="shared" ref="BX470" ca="1" si="4887" xml:space="preserve"> MIN(BX469*BX465,BW472)</f>
        <v>0</v>
      </c>
      <c r="BY470" s="52">
        <f t="shared" ref="BY470" ca="1" si="4888" xml:space="preserve"> MIN(BY469*BY465,BX472)</f>
        <v>0</v>
      </c>
      <c r="BZ470" s="52">
        <f t="shared" ref="BZ470" ca="1" si="4889" xml:space="preserve"> MIN(BZ469*BZ465,BY472)</f>
        <v>0</v>
      </c>
      <c r="CA470" s="52">
        <f t="shared" ref="CA470" ca="1" si="4890" xml:space="preserve"> MIN(CA469*CA465,BZ472)</f>
        <v>0</v>
      </c>
      <c r="CB470" s="52">
        <f t="shared" ref="CB470" ca="1" si="4891" xml:space="preserve"> MIN(CB469*CB465,CA472)</f>
        <v>0</v>
      </c>
      <c r="CC470" s="52">
        <f t="shared" ref="CC470" ca="1" si="4892" xml:space="preserve"> MIN(CC469*CC465,CB472)</f>
        <v>0</v>
      </c>
      <c r="CD470" s="52">
        <f t="shared" ref="CD470" ca="1" si="4893" xml:space="preserve"> MIN(CD469*CD465,CC472)</f>
        <v>0</v>
      </c>
      <c r="CE470" s="52">
        <f t="shared" ref="CE470" ca="1" si="4894" xml:space="preserve"> MIN(CE469*CE465,CD472)</f>
        <v>0</v>
      </c>
      <c r="CF470" s="52">
        <f t="shared" ref="CF470" ca="1" si="4895" xml:space="preserve"> MIN(CF469*CF465,CE472)</f>
        <v>0</v>
      </c>
      <c r="CG470" s="52">
        <f t="shared" ref="CG470" ca="1" si="4896" xml:space="preserve"> MIN(CG469*CG465,CF472)</f>
        <v>0</v>
      </c>
      <c r="CH470" s="52">
        <f t="shared" ref="CH470" ca="1" si="4897" xml:space="preserve"> MIN(CH469*CH465,CG472)</f>
        <v>0</v>
      </c>
      <c r="CI470" s="52">
        <f t="shared" ref="CI470" ca="1" si="4898" xml:space="preserve"> MIN(CI469*CI465,CH472)</f>
        <v>0</v>
      </c>
      <c r="CJ470" s="52">
        <f t="shared" ref="CJ470" ca="1" si="4899" xml:space="preserve"> MIN(CJ469*CJ465,CI472)</f>
        <v>0</v>
      </c>
      <c r="CK470" s="52">
        <f t="shared" ref="CK470" ca="1" si="4900" xml:space="preserve"> MIN(CK469*CK465,CJ472)</f>
        <v>0</v>
      </c>
      <c r="CL470" s="52">
        <f t="shared" ref="CL470" ca="1" si="4901" xml:space="preserve"> MIN(CL469*CL465,CK472)</f>
        <v>0</v>
      </c>
      <c r="CM470" s="52">
        <f t="shared" ref="CM470" ca="1" si="4902" xml:space="preserve"> MIN(CM469*CM465,CL472)</f>
        <v>0</v>
      </c>
      <c r="CN470" s="52">
        <f t="shared" ref="CN470" ca="1" si="4903" xml:space="preserve"> MIN(CN469*CN465,CM472)</f>
        <v>0</v>
      </c>
      <c r="CO470" s="52">
        <f t="shared" ref="CO470" ca="1" si="4904" xml:space="preserve"> MIN(CO469*CO465,CN472)</f>
        <v>0</v>
      </c>
    </row>
    <row r="471" spans="1:93">
      <c r="A471" s="10"/>
      <c r="B471" s="10"/>
      <c r="C471" s="17" t="s">
        <v>127</v>
      </c>
      <c r="D471" s="10"/>
      <c r="E471" s="62"/>
      <c r="F471" s="11"/>
      <c r="G471" s="134" t="str">
        <f t="shared" si="4810"/>
        <v>тыс. руб.</v>
      </c>
      <c r="H471" s="10"/>
      <c r="I471" s="10"/>
      <c r="J471" s="10"/>
      <c r="K471" s="10"/>
      <c r="L471" s="52">
        <f t="shared" ref="L471" ca="1" si="4905" xml:space="preserve"> SUM(K471,-L470)</f>
        <v>0</v>
      </c>
      <c r="M471" s="52">
        <f t="shared" ref="M471" ca="1" si="4906" xml:space="preserve"> SUM(L471,-M470)</f>
        <v>0</v>
      </c>
      <c r="N471" s="52">
        <f t="shared" ref="N471" ca="1" si="4907" xml:space="preserve"> SUM(M471,-N470)</f>
        <v>0</v>
      </c>
      <c r="O471" s="52">
        <f t="shared" ref="O471" ca="1" si="4908" xml:space="preserve"> SUM(N471,-O470)</f>
        <v>0</v>
      </c>
      <c r="P471" s="52">
        <f t="shared" ref="P471" ca="1" si="4909" xml:space="preserve"> SUM(O471,-P470)</f>
        <v>0</v>
      </c>
      <c r="Q471" s="52">
        <f t="shared" ref="Q471" ca="1" si="4910" xml:space="preserve"> SUM(P471,-Q470)</f>
        <v>0</v>
      </c>
      <c r="R471" s="52">
        <f t="shared" ref="R471" ca="1" si="4911" xml:space="preserve"> SUM(Q471,-R470)</f>
        <v>0</v>
      </c>
      <c r="S471" s="52">
        <f t="shared" ref="S471" ca="1" si="4912" xml:space="preserve"> SUM(R471,-S470)</f>
        <v>0</v>
      </c>
      <c r="T471" s="52">
        <f t="shared" ref="T471" ca="1" si="4913" xml:space="preserve"> SUM(S471,-T470)</f>
        <v>0</v>
      </c>
      <c r="U471" s="52">
        <f t="shared" ref="U471" ca="1" si="4914" xml:space="preserve"> SUM(T471,-U470)</f>
        <v>0</v>
      </c>
      <c r="V471" s="52">
        <f t="shared" ref="V471" ca="1" si="4915" xml:space="preserve"> SUM(U471,-V470)</f>
        <v>0</v>
      </c>
      <c r="W471" s="52">
        <f t="shared" ref="W471" ca="1" si="4916" xml:space="preserve"> SUM(V471,-W470)</f>
        <v>0</v>
      </c>
      <c r="X471" s="52">
        <f t="shared" ref="X471" ca="1" si="4917" xml:space="preserve"> SUM(W471,-X470)</f>
        <v>0</v>
      </c>
      <c r="Y471" s="52">
        <f t="shared" ref="Y471" ca="1" si="4918" xml:space="preserve"> SUM(X471,-Y470)</f>
        <v>0</v>
      </c>
      <c r="Z471" s="52">
        <f t="shared" ref="Z471" ca="1" si="4919" xml:space="preserve"> SUM(Y471,-Z470)</f>
        <v>0</v>
      </c>
      <c r="AA471" s="52">
        <f t="shared" ref="AA471" ca="1" si="4920" xml:space="preserve"> SUM(Z471,-AA470)</f>
        <v>0</v>
      </c>
      <c r="AB471" s="52">
        <f t="shared" ref="AB471" ca="1" si="4921" xml:space="preserve"> SUM(AA471,-AB470)</f>
        <v>0</v>
      </c>
      <c r="AC471" s="52">
        <f t="shared" ref="AC471" ca="1" si="4922" xml:space="preserve"> SUM(AB471,-AC470)</f>
        <v>0</v>
      </c>
      <c r="AD471" s="52">
        <f t="shared" ref="AD471" ca="1" si="4923" xml:space="preserve"> SUM(AC471,-AD470)</f>
        <v>0</v>
      </c>
      <c r="AE471" s="52">
        <f t="shared" ref="AE471" ca="1" si="4924" xml:space="preserve"> SUM(AD471,-AE470)</f>
        <v>0</v>
      </c>
      <c r="AF471" s="52">
        <f t="shared" ref="AF471" ca="1" si="4925" xml:space="preserve"> SUM(AE471,-AF470)</f>
        <v>0</v>
      </c>
      <c r="AG471" s="52">
        <f t="shared" ref="AG471" ca="1" si="4926" xml:space="preserve"> SUM(AF471,-AG470)</f>
        <v>0</v>
      </c>
      <c r="AH471" s="52">
        <f t="shared" ref="AH471" ca="1" si="4927" xml:space="preserve"> SUM(AG471,-AH470)</f>
        <v>0</v>
      </c>
      <c r="AI471" s="52">
        <f t="shared" ref="AI471" ca="1" si="4928" xml:space="preserve"> SUM(AH471,-AI470)</f>
        <v>0</v>
      </c>
      <c r="AJ471" s="52">
        <f t="shared" ref="AJ471" ca="1" si="4929" xml:space="preserve"> SUM(AI471,-AJ470)</f>
        <v>0</v>
      </c>
      <c r="AK471" s="52">
        <f t="shared" ref="AK471" ca="1" si="4930" xml:space="preserve"> SUM(AJ471,-AK470)</f>
        <v>0</v>
      </c>
      <c r="AL471" s="52">
        <f t="shared" ref="AL471" ca="1" si="4931" xml:space="preserve"> SUM(AK471,-AL470)</f>
        <v>0</v>
      </c>
      <c r="AM471" s="52">
        <f t="shared" ref="AM471" ca="1" si="4932" xml:space="preserve"> SUM(AL471,-AM470)</f>
        <v>0</v>
      </c>
      <c r="AN471" s="52">
        <f t="shared" ref="AN471" ca="1" si="4933" xml:space="preserve"> SUM(AM471,-AN470)</f>
        <v>0</v>
      </c>
      <c r="AO471" s="52">
        <f t="shared" ref="AO471" ca="1" si="4934" xml:space="preserve"> SUM(AN471,-AO470)</f>
        <v>0</v>
      </c>
      <c r="AP471" s="52">
        <f t="shared" ref="AP471" ca="1" si="4935" xml:space="preserve"> SUM(AO471,-AP470)</f>
        <v>0</v>
      </c>
      <c r="AQ471" s="52">
        <f t="shared" ref="AQ471" ca="1" si="4936" xml:space="preserve"> SUM(AP471,-AQ470)</f>
        <v>0</v>
      </c>
      <c r="AR471" s="52">
        <f t="shared" ref="AR471" ca="1" si="4937" xml:space="preserve"> SUM(AQ471,-AR470)</f>
        <v>0</v>
      </c>
      <c r="AS471" s="52">
        <f t="shared" ref="AS471" ca="1" si="4938" xml:space="preserve"> SUM(AR471,-AS470)</f>
        <v>0</v>
      </c>
      <c r="AT471" s="52">
        <f t="shared" ref="AT471" ca="1" si="4939" xml:space="preserve"> SUM(AS471,-AT470)</f>
        <v>0</v>
      </c>
      <c r="AU471" s="52">
        <f t="shared" ref="AU471" ca="1" si="4940" xml:space="preserve"> SUM(AT471,-AU470)</f>
        <v>0</v>
      </c>
      <c r="AV471" s="52">
        <f t="shared" ref="AV471" ca="1" si="4941" xml:space="preserve"> SUM(AU471,-AV470)</f>
        <v>0</v>
      </c>
      <c r="AW471" s="52">
        <f t="shared" ref="AW471" ca="1" si="4942" xml:space="preserve"> SUM(AV471,-AW470)</f>
        <v>0</v>
      </c>
      <c r="AX471" s="52">
        <f t="shared" ref="AX471" ca="1" si="4943" xml:space="preserve"> SUM(AW471,-AX470)</f>
        <v>0</v>
      </c>
      <c r="AY471" s="52">
        <f t="shared" ref="AY471" ca="1" si="4944" xml:space="preserve"> SUM(AX471,-AY470)</f>
        <v>0</v>
      </c>
      <c r="AZ471" s="52">
        <f t="shared" ref="AZ471" ca="1" si="4945" xml:space="preserve"> SUM(AY471,-AZ470)</f>
        <v>0</v>
      </c>
      <c r="BA471" s="52">
        <f t="shared" ref="BA471" ca="1" si="4946" xml:space="preserve"> SUM(AZ471,-BA470)</f>
        <v>0</v>
      </c>
      <c r="BB471" s="52">
        <f t="shared" ref="BB471" ca="1" si="4947" xml:space="preserve"> SUM(BA471,-BB470)</f>
        <v>0</v>
      </c>
      <c r="BC471" s="52">
        <f t="shared" ref="BC471" ca="1" si="4948" xml:space="preserve"> SUM(BB471,-BC470)</f>
        <v>0</v>
      </c>
      <c r="BD471" s="52">
        <f t="shared" ref="BD471" ca="1" si="4949" xml:space="preserve"> SUM(BC471,-BD470)</f>
        <v>0</v>
      </c>
      <c r="BE471" s="52">
        <f t="shared" ref="BE471" ca="1" si="4950" xml:space="preserve"> SUM(BD471,-BE470)</f>
        <v>0</v>
      </c>
      <c r="BF471" s="52">
        <f t="shared" ref="BF471" ca="1" si="4951" xml:space="preserve"> SUM(BE471,-BF470)</f>
        <v>0</v>
      </c>
      <c r="BG471" s="52">
        <f t="shared" ref="BG471" ca="1" si="4952" xml:space="preserve"> SUM(BF471,-BG470)</f>
        <v>0</v>
      </c>
      <c r="BH471" s="52">
        <f t="shared" ref="BH471" ca="1" si="4953" xml:space="preserve"> SUM(BG471,-BH470)</f>
        <v>0</v>
      </c>
      <c r="BI471" s="52">
        <f t="shared" ref="BI471" ca="1" si="4954" xml:space="preserve"> SUM(BH471,-BI470)</f>
        <v>0</v>
      </c>
      <c r="BJ471" s="52">
        <f t="shared" ref="BJ471" ca="1" si="4955" xml:space="preserve"> SUM(BI471,-BJ470)</f>
        <v>0</v>
      </c>
      <c r="BK471" s="52">
        <f t="shared" ref="BK471" ca="1" si="4956" xml:space="preserve"> SUM(BJ471,-BK470)</f>
        <v>0</v>
      </c>
      <c r="BL471" s="52">
        <f t="shared" ref="BL471" ca="1" si="4957" xml:space="preserve"> SUM(BK471,-BL470)</f>
        <v>0</v>
      </c>
      <c r="BM471" s="52">
        <f t="shared" ref="BM471" ca="1" si="4958" xml:space="preserve"> SUM(BL471,-BM470)</f>
        <v>0</v>
      </c>
      <c r="BN471" s="52">
        <f t="shared" ref="BN471" ca="1" si="4959" xml:space="preserve"> SUM(BM471,-BN470)</f>
        <v>0</v>
      </c>
      <c r="BO471" s="52">
        <f t="shared" ref="BO471" ca="1" si="4960" xml:space="preserve"> SUM(BN471,-BO470)</f>
        <v>0</v>
      </c>
      <c r="BP471" s="52">
        <f t="shared" ref="BP471" ca="1" si="4961" xml:space="preserve"> SUM(BO471,-BP470)</f>
        <v>0</v>
      </c>
      <c r="BQ471" s="52">
        <f t="shared" ref="BQ471" ca="1" si="4962" xml:space="preserve"> SUM(BP471,-BQ470)</f>
        <v>0</v>
      </c>
      <c r="BR471" s="52">
        <f t="shared" ref="BR471" ca="1" si="4963" xml:space="preserve"> SUM(BQ471,-BR470)</f>
        <v>0</v>
      </c>
      <c r="BS471" s="52">
        <f t="shared" ref="BS471" ca="1" si="4964" xml:space="preserve"> SUM(BR471,-BS470)</f>
        <v>0</v>
      </c>
      <c r="BT471" s="52">
        <f t="shared" ref="BT471" ca="1" si="4965" xml:space="preserve"> SUM(BS471,-BT470)</f>
        <v>0</v>
      </c>
      <c r="BU471" s="52">
        <f t="shared" ref="BU471" ca="1" si="4966" xml:space="preserve"> SUM(BT471,-BU470)</f>
        <v>0</v>
      </c>
      <c r="BV471" s="52">
        <f t="shared" ref="BV471" ca="1" si="4967" xml:space="preserve"> SUM(BU471,-BV470)</f>
        <v>0</v>
      </c>
      <c r="BW471" s="52">
        <f t="shared" ref="BW471" ca="1" si="4968" xml:space="preserve"> SUM(BV471,-BW470)</f>
        <v>0</v>
      </c>
      <c r="BX471" s="52">
        <f t="shared" ref="BX471" ca="1" si="4969" xml:space="preserve"> SUM(BW471,-BX470)</f>
        <v>0</v>
      </c>
      <c r="BY471" s="52">
        <f t="shared" ref="BY471" ca="1" si="4970" xml:space="preserve"> SUM(BX471,-BY470)</f>
        <v>0</v>
      </c>
      <c r="BZ471" s="52">
        <f t="shared" ref="BZ471" ca="1" si="4971" xml:space="preserve"> SUM(BY471,-BZ470)</f>
        <v>0</v>
      </c>
      <c r="CA471" s="52">
        <f t="shared" ref="CA471" ca="1" si="4972" xml:space="preserve"> SUM(BZ471,-CA470)</f>
        <v>0</v>
      </c>
      <c r="CB471" s="52">
        <f t="shared" ref="CB471" ca="1" si="4973" xml:space="preserve"> SUM(CA471,-CB470)</f>
        <v>0</v>
      </c>
      <c r="CC471" s="52">
        <f t="shared" ref="CC471" ca="1" si="4974" xml:space="preserve"> SUM(CB471,-CC470)</f>
        <v>0</v>
      </c>
      <c r="CD471" s="52">
        <f t="shared" ref="CD471" ca="1" si="4975" xml:space="preserve"> SUM(CC471,-CD470)</f>
        <v>0</v>
      </c>
      <c r="CE471" s="52">
        <f t="shared" ref="CE471" ca="1" si="4976" xml:space="preserve"> SUM(CD471,-CE470)</f>
        <v>0</v>
      </c>
      <c r="CF471" s="52">
        <f t="shared" ref="CF471" ca="1" si="4977" xml:space="preserve"> SUM(CE471,-CF470)</f>
        <v>0</v>
      </c>
      <c r="CG471" s="52">
        <f t="shared" ref="CG471" ca="1" si="4978" xml:space="preserve"> SUM(CF471,-CG470)</f>
        <v>0</v>
      </c>
      <c r="CH471" s="52">
        <f t="shared" ref="CH471" ca="1" si="4979" xml:space="preserve"> SUM(CG471,-CH470)</f>
        <v>0</v>
      </c>
      <c r="CI471" s="52">
        <f t="shared" ref="CI471" ca="1" si="4980" xml:space="preserve"> SUM(CH471,-CI470)</f>
        <v>0</v>
      </c>
      <c r="CJ471" s="52">
        <f t="shared" ref="CJ471" ca="1" si="4981" xml:space="preserve"> SUM(CI471,-CJ470)</f>
        <v>0</v>
      </c>
      <c r="CK471" s="52">
        <f t="shared" ref="CK471" ca="1" si="4982" xml:space="preserve"> SUM(CJ471,-CK470)</f>
        <v>0</v>
      </c>
      <c r="CL471" s="52">
        <f t="shared" ref="CL471" ca="1" si="4983" xml:space="preserve"> SUM(CK471,-CL470)</f>
        <v>0</v>
      </c>
      <c r="CM471" s="52">
        <f t="shared" ref="CM471" ca="1" si="4984" xml:space="preserve"> SUM(CL471,-CM470)</f>
        <v>0</v>
      </c>
      <c r="CN471" s="52">
        <f t="shared" ref="CN471" ca="1" si="4985" xml:space="preserve"> SUM(CM471,-CN470)</f>
        <v>0</v>
      </c>
      <c r="CO471" s="52">
        <f t="shared" ref="CO471" ca="1" si="4986" xml:space="preserve"> SUM(CN471,-CO470)</f>
        <v>0</v>
      </c>
    </row>
    <row r="472" spans="1:93">
      <c r="A472" s="10"/>
      <c r="B472" s="10"/>
      <c r="C472" s="17" t="s">
        <v>128</v>
      </c>
      <c r="D472" s="42"/>
      <c r="E472" s="62"/>
      <c r="F472" s="11"/>
      <c r="G472" s="134" t="str">
        <f t="shared" si="4810"/>
        <v>тыс. руб.</v>
      </c>
      <c r="H472" s="10"/>
      <c r="I472" s="10"/>
      <c r="J472" s="10"/>
      <c r="K472" s="10"/>
      <c r="L472" s="52">
        <f t="shared" ref="L472" ca="1" si="4987" xml:space="preserve"> SUM(L469,L471)</f>
        <v>0</v>
      </c>
      <c r="M472" s="52">
        <f t="shared" ref="M472" ca="1" si="4988" xml:space="preserve"> SUM(M469,M471)</f>
        <v>0</v>
      </c>
      <c r="N472" s="52">
        <f t="shared" ref="N472" ca="1" si="4989" xml:space="preserve"> SUM(N469,N471)</f>
        <v>0</v>
      </c>
      <c r="O472" s="52">
        <f t="shared" ref="O472" ca="1" si="4990" xml:space="preserve"> SUM(O469,O471)</f>
        <v>0</v>
      </c>
      <c r="P472" s="52">
        <f t="shared" ref="P472" ca="1" si="4991" xml:space="preserve"> SUM(P469,P471)</f>
        <v>0</v>
      </c>
      <c r="Q472" s="52">
        <f t="shared" ref="Q472" ca="1" si="4992" xml:space="preserve"> SUM(Q469,Q471)</f>
        <v>0</v>
      </c>
      <c r="R472" s="52">
        <f t="shared" ref="R472" ca="1" si="4993" xml:space="preserve"> SUM(R469,R471)</f>
        <v>0</v>
      </c>
      <c r="S472" s="52">
        <f t="shared" ref="S472" ca="1" si="4994" xml:space="preserve"> SUM(S469,S471)</f>
        <v>0</v>
      </c>
      <c r="T472" s="52">
        <f t="shared" ref="T472" ca="1" si="4995" xml:space="preserve"> SUM(T469,T471)</f>
        <v>0</v>
      </c>
      <c r="U472" s="52">
        <f t="shared" ref="U472" ca="1" si="4996" xml:space="preserve"> SUM(U469,U471)</f>
        <v>0</v>
      </c>
      <c r="V472" s="52">
        <f t="shared" ref="V472" ca="1" si="4997" xml:space="preserve"> SUM(V469,V471)</f>
        <v>0</v>
      </c>
      <c r="W472" s="52">
        <f t="shared" ref="W472" ca="1" si="4998" xml:space="preserve"> SUM(W469,W471)</f>
        <v>0</v>
      </c>
      <c r="X472" s="52">
        <f t="shared" ref="X472" ca="1" si="4999" xml:space="preserve"> SUM(X469,X471)</f>
        <v>0</v>
      </c>
      <c r="Y472" s="52">
        <f t="shared" ref="Y472" ca="1" si="5000" xml:space="preserve"> SUM(Y469,Y471)</f>
        <v>0</v>
      </c>
      <c r="Z472" s="52">
        <f t="shared" ref="Z472" ca="1" si="5001" xml:space="preserve"> SUM(Z469,Z471)</f>
        <v>0</v>
      </c>
      <c r="AA472" s="52">
        <f t="shared" ref="AA472" ca="1" si="5002" xml:space="preserve"> SUM(AA469,AA471)</f>
        <v>0</v>
      </c>
      <c r="AB472" s="52">
        <f t="shared" ref="AB472" ca="1" si="5003" xml:space="preserve"> SUM(AB469,AB471)</f>
        <v>0</v>
      </c>
      <c r="AC472" s="52">
        <f t="shared" ref="AC472" ca="1" si="5004" xml:space="preserve"> SUM(AC469,AC471)</f>
        <v>0</v>
      </c>
      <c r="AD472" s="52">
        <f t="shared" ref="AD472" ca="1" si="5005" xml:space="preserve"> SUM(AD469,AD471)</f>
        <v>0</v>
      </c>
      <c r="AE472" s="52">
        <f t="shared" ref="AE472" ca="1" si="5006" xml:space="preserve"> SUM(AE469,AE471)</f>
        <v>0</v>
      </c>
      <c r="AF472" s="52">
        <f t="shared" ref="AF472" ca="1" si="5007" xml:space="preserve"> SUM(AF469,AF471)</f>
        <v>0</v>
      </c>
      <c r="AG472" s="52">
        <f t="shared" ref="AG472" ca="1" si="5008" xml:space="preserve"> SUM(AG469,AG471)</f>
        <v>0</v>
      </c>
      <c r="AH472" s="52">
        <f t="shared" ref="AH472" ca="1" si="5009" xml:space="preserve"> SUM(AH469,AH471)</f>
        <v>0</v>
      </c>
      <c r="AI472" s="52">
        <f t="shared" ref="AI472" ca="1" si="5010" xml:space="preserve"> SUM(AI469,AI471)</f>
        <v>0</v>
      </c>
      <c r="AJ472" s="52">
        <f t="shared" ref="AJ472" ca="1" si="5011" xml:space="preserve"> SUM(AJ469,AJ471)</f>
        <v>0</v>
      </c>
      <c r="AK472" s="52">
        <f t="shared" ref="AK472" ca="1" si="5012" xml:space="preserve"> SUM(AK469,AK471)</f>
        <v>0</v>
      </c>
      <c r="AL472" s="52">
        <f t="shared" ref="AL472" ca="1" si="5013" xml:space="preserve"> SUM(AL469,AL471)</f>
        <v>0</v>
      </c>
      <c r="AM472" s="52">
        <f t="shared" ref="AM472" ca="1" si="5014" xml:space="preserve"> SUM(AM469,AM471)</f>
        <v>0</v>
      </c>
      <c r="AN472" s="52">
        <f t="shared" ref="AN472" ca="1" si="5015" xml:space="preserve"> SUM(AN469,AN471)</f>
        <v>0</v>
      </c>
      <c r="AO472" s="52">
        <f t="shared" ref="AO472" ca="1" si="5016" xml:space="preserve"> SUM(AO469,AO471)</f>
        <v>0</v>
      </c>
      <c r="AP472" s="52">
        <f t="shared" ref="AP472" ca="1" si="5017" xml:space="preserve"> SUM(AP469,AP471)</f>
        <v>0</v>
      </c>
      <c r="AQ472" s="52">
        <f t="shared" ref="AQ472" ca="1" si="5018" xml:space="preserve"> SUM(AQ469,AQ471)</f>
        <v>0</v>
      </c>
      <c r="AR472" s="52">
        <f t="shared" ref="AR472" ca="1" si="5019" xml:space="preserve"> SUM(AR469,AR471)</f>
        <v>0</v>
      </c>
      <c r="AS472" s="52">
        <f t="shared" ref="AS472" ca="1" si="5020" xml:space="preserve"> SUM(AS469,AS471)</f>
        <v>0</v>
      </c>
      <c r="AT472" s="52">
        <f t="shared" ref="AT472" ca="1" si="5021" xml:space="preserve"> SUM(AT469,AT471)</f>
        <v>0</v>
      </c>
      <c r="AU472" s="52">
        <f t="shared" ref="AU472" ca="1" si="5022" xml:space="preserve"> SUM(AU469,AU471)</f>
        <v>0</v>
      </c>
      <c r="AV472" s="52">
        <f t="shared" ref="AV472" ca="1" si="5023" xml:space="preserve"> SUM(AV469,AV471)</f>
        <v>0</v>
      </c>
      <c r="AW472" s="52">
        <f t="shared" ref="AW472" ca="1" si="5024" xml:space="preserve"> SUM(AW469,AW471)</f>
        <v>0</v>
      </c>
      <c r="AX472" s="52">
        <f t="shared" ref="AX472" ca="1" si="5025" xml:space="preserve"> SUM(AX469,AX471)</f>
        <v>0</v>
      </c>
      <c r="AY472" s="52">
        <f t="shared" ref="AY472" ca="1" si="5026" xml:space="preserve"> SUM(AY469,AY471)</f>
        <v>0</v>
      </c>
      <c r="AZ472" s="52">
        <f t="shared" ref="AZ472" ca="1" si="5027" xml:space="preserve"> SUM(AZ469,AZ471)</f>
        <v>0</v>
      </c>
      <c r="BA472" s="52">
        <f t="shared" ref="BA472" ca="1" si="5028" xml:space="preserve"> SUM(BA469,BA471)</f>
        <v>0</v>
      </c>
      <c r="BB472" s="52">
        <f t="shared" ref="BB472" ca="1" si="5029" xml:space="preserve"> SUM(BB469,BB471)</f>
        <v>0</v>
      </c>
      <c r="BC472" s="52">
        <f t="shared" ref="BC472" ca="1" si="5030" xml:space="preserve"> SUM(BC469,BC471)</f>
        <v>0</v>
      </c>
      <c r="BD472" s="52">
        <f t="shared" ref="BD472" ca="1" si="5031" xml:space="preserve"> SUM(BD469,BD471)</f>
        <v>0</v>
      </c>
      <c r="BE472" s="52">
        <f t="shared" ref="BE472" ca="1" si="5032" xml:space="preserve"> SUM(BE469,BE471)</f>
        <v>0</v>
      </c>
      <c r="BF472" s="52">
        <f t="shared" ref="BF472" ca="1" si="5033" xml:space="preserve"> SUM(BF469,BF471)</f>
        <v>0</v>
      </c>
      <c r="BG472" s="52">
        <f t="shared" ref="BG472" ca="1" si="5034" xml:space="preserve"> SUM(BG469,BG471)</f>
        <v>0</v>
      </c>
      <c r="BH472" s="52">
        <f t="shared" ref="BH472" ca="1" si="5035" xml:space="preserve"> SUM(BH469,BH471)</f>
        <v>0</v>
      </c>
      <c r="BI472" s="52">
        <f t="shared" ref="BI472" ca="1" si="5036" xml:space="preserve"> SUM(BI469,BI471)</f>
        <v>0</v>
      </c>
      <c r="BJ472" s="52">
        <f t="shared" ref="BJ472" ca="1" si="5037" xml:space="preserve"> SUM(BJ469,BJ471)</f>
        <v>0</v>
      </c>
      <c r="BK472" s="52">
        <f t="shared" ref="BK472" ca="1" si="5038" xml:space="preserve"> SUM(BK469,BK471)</f>
        <v>0</v>
      </c>
      <c r="BL472" s="52">
        <f t="shared" ref="BL472" ca="1" si="5039" xml:space="preserve"> SUM(BL469,BL471)</f>
        <v>0</v>
      </c>
      <c r="BM472" s="52">
        <f t="shared" ref="BM472" ca="1" si="5040" xml:space="preserve"> SUM(BM469,BM471)</f>
        <v>0</v>
      </c>
      <c r="BN472" s="52">
        <f t="shared" ref="BN472" ca="1" si="5041" xml:space="preserve"> SUM(BN469,BN471)</f>
        <v>0</v>
      </c>
      <c r="BO472" s="52">
        <f t="shared" ref="BO472" ca="1" si="5042" xml:space="preserve"> SUM(BO469,BO471)</f>
        <v>0</v>
      </c>
      <c r="BP472" s="52">
        <f t="shared" ref="BP472" ca="1" si="5043" xml:space="preserve"> SUM(BP469,BP471)</f>
        <v>0</v>
      </c>
      <c r="BQ472" s="52">
        <f t="shared" ref="BQ472" ca="1" si="5044" xml:space="preserve"> SUM(BQ469,BQ471)</f>
        <v>0</v>
      </c>
      <c r="BR472" s="52">
        <f t="shared" ref="BR472" ca="1" si="5045" xml:space="preserve"> SUM(BR469,BR471)</f>
        <v>0</v>
      </c>
      <c r="BS472" s="52">
        <f t="shared" ref="BS472" ca="1" si="5046" xml:space="preserve"> SUM(BS469,BS471)</f>
        <v>0</v>
      </c>
      <c r="BT472" s="52">
        <f t="shared" ref="BT472" ca="1" si="5047" xml:space="preserve"> SUM(BT469,BT471)</f>
        <v>0</v>
      </c>
      <c r="BU472" s="52">
        <f t="shared" ref="BU472" ca="1" si="5048" xml:space="preserve"> SUM(BU469,BU471)</f>
        <v>0</v>
      </c>
      <c r="BV472" s="52">
        <f t="shared" ref="BV472" ca="1" si="5049" xml:space="preserve"> SUM(BV469,BV471)</f>
        <v>0</v>
      </c>
      <c r="BW472" s="52">
        <f t="shared" ref="BW472" ca="1" si="5050" xml:space="preserve"> SUM(BW469,BW471)</f>
        <v>0</v>
      </c>
      <c r="BX472" s="52">
        <f t="shared" ref="BX472" ca="1" si="5051" xml:space="preserve"> SUM(BX469,BX471)</f>
        <v>0</v>
      </c>
      <c r="BY472" s="52">
        <f t="shared" ref="BY472" ca="1" si="5052" xml:space="preserve"> SUM(BY469,BY471)</f>
        <v>0</v>
      </c>
      <c r="BZ472" s="52">
        <f t="shared" ref="BZ472" ca="1" si="5053" xml:space="preserve"> SUM(BZ469,BZ471)</f>
        <v>0</v>
      </c>
      <c r="CA472" s="52">
        <f t="shared" ref="CA472" ca="1" si="5054" xml:space="preserve"> SUM(CA469,CA471)</f>
        <v>0</v>
      </c>
      <c r="CB472" s="52">
        <f t="shared" ref="CB472" ca="1" si="5055" xml:space="preserve"> SUM(CB469,CB471)</f>
        <v>0</v>
      </c>
      <c r="CC472" s="52">
        <f t="shared" ref="CC472" ca="1" si="5056" xml:space="preserve"> SUM(CC469,CC471)</f>
        <v>0</v>
      </c>
      <c r="CD472" s="52">
        <f t="shared" ref="CD472" ca="1" si="5057" xml:space="preserve"> SUM(CD469,CD471)</f>
        <v>0</v>
      </c>
      <c r="CE472" s="52">
        <f t="shared" ref="CE472" ca="1" si="5058" xml:space="preserve"> SUM(CE469,CE471)</f>
        <v>0</v>
      </c>
      <c r="CF472" s="52">
        <f t="shared" ref="CF472" ca="1" si="5059" xml:space="preserve"> SUM(CF469,CF471)</f>
        <v>0</v>
      </c>
      <c r="CG472" s="52">
        <f t="shared" ref="CG472" ca="1" si="5060" xml:space="preserve"> SUM(CG469,CG471)</f>
        <v>0</v>
      </c>
      <c r="CH472" s="52">
        <f t="shared" ref="CH472" ca="1" si="5061" xml:space="preserve"> SUM(CH469,CH471)</f>
        <v>0</v>
      </c>
      <c r="CI472" s="52">
        <f t="shared" ref="CI472" ca="1" si="5062" xml:space="preserve"> SUM(CI469,CI471)</f>
        <v>0</v>
      </c>
      <c r="CJ472" s="52">
        <f t="shared" ref="CJ472" ca="1" si="5063" xml:space="preserve"> SUM(CJ469,CJ471)</f>
        <v>0</v>
      </c>
      <c r="CK472" s="52">
        <f t="shared" ref="CK472" ca="1" si="5064" xml:space="preserve"> SUM(CK469,CK471)</f>
        <v>0</v>
      </c>
      <c r="CL472" s="52">
        <f t="shared" ref="CL472" ca="1" si="5065" xml:space="preserve"> SUM(CL469,CL471)</f>
        <v>0</v>
      </c>
      <c r="CM472" s="52">
        <f t="shared" ref="CM472" ca="1" si="5066" xml:space="preserve"> SUM(CM469,CM471)</f>
        <v>0</v>
      </c>
      <c r="CN472" s="52">
        <f t="shared" ref="CN472" ca="1" si="5067" xml:space="preserve"> SUM(CN469,CN471)</f>
        <v>0</v>
      </c>
      <c r="CO472" s="52">
        <f t="shared" ref="CO472" ca="1" si="5068" xml:space="preserve"> SUM(CO469,CO471)</f>
        <v>0</v>
      </c>
    </row>
    <row r="473" spans="1:93">
      <c r="A473" s="10"/>
      <c r="B473" s="10"/>
      <c r="C473" s="21"/>
      <c r="D473" s="42"/>
      <c r="E473" s="62"/>
      <c r="F473" s="11"/>
      <c r="G473" s="11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  <c r="BL473" s="10"/>
      <c r="BM473" s="10"/>
      <c r="BN473" s="10"/>
      <c r="BO473" s="10"/>
      <c r="BP473" s="10"/>
      <c r="BQ473" s="10"/>
      <c r="BR473" s="10"/>
      <c r="BS473" s="10"/>
      <c r="BT473" s="10"/>
      <c r="BU473" s="10"/>
      <c r="BV473" s="10"/>
      <c r="BW473" s="10"/>
      <c r="BX473" s="10"/>
      <c r="BY473" s="10"/>
      <c r="BZ473" s="10"/>
      <c r="CA473" s="10"/>
      <c r="CB473" s="10"/>
      <c r="CC473" s="10"/>
      <c r="CD473" s="10"/>
      <c r="CE473" s="10"/>
      <c r="CF473" s="10"/>
      <c r="CG473" s="10"/>
      <c r="CH473" s="10"/>
      <c r="CI473" s="10"/>
      <c r="CJ473" s="10"/>
      <c r="CK473" s="10"/>
      <c r="CL473" s="10"/>
      <c r="CM473" s="10"/>
      <c r="CN473" s="10"/>
      <c r="CO473" s="10"/>
    </row>
    <row r="474" spans="1:93">
      <c r="A474" s="10"/>
      <c r="B474" s="10"/>
      <c r="C474" s="87" t="s">
        <v>1093</v>
      </c>
      <c r="D474" s="10"/>
      <c r="E474" s="62"/>
      <c r="F474" s="11"/>
      <c r="G474" s="11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  <c r="CD474" s="10"/>
      <c r="CE474" s="10"/>
      <c r="CF474" s="10"/>
      <c r="CG474" s="10"/>
      <c r="CH474" s="10"/>
      <c r="CI474" s="10"/>
      <c r="CJ474" s="10"/>
      <c r="CK474" s="10"/>
      <c r="CL474" s="10"/>
      <c r="CM474" s="10"/>
      <c r="CN474" s="10"/>
      <c r="CO474" s="10"/>
    </row>
    <row r="475" spans="1:93">
      <c r="A475" s="10"/>
      <c r="B475" s="10"/>
      <c r="C475" s="17" t="s">
        <v>386</v>
      </c>
      <c r="D475" s="10"/>
      <c r="E475" s="184">
        <f xml:space="preserve"> Предпосылки!E372</f>
        <v>7</v>
      </c>
      <c r="F475" s="11"/>
      <c r="G475" s="11" t="s">
        <v>123</v>
      </c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  <c r="BL475" s="10"/>
      <c r="BM475" s="10"/>
      <c r="BN475" s="10"/>
      <c r="BO475" s="10"/>
      <c r="BP475" s="10"/>
      <c r="BQ475" s="10"/>
      <c r="BR475" s="10"/>
      <c r="BS475" s="10"/>
      <c r="BT475" s="10"/>
      <c r="BU475" s="10"/>
      <c r="BV475" s="10"/>
      <c r="BW475" s="10"/>
      <c r="BX475" s="10"/>
      <c r="BY475" s="10"/>
      <c r="BZ475" s="10"/>
      <c r="CA475" s="10"/>
      <c r="CB475" s="10"/>
      <c r="CC475" s="10"/>
      <c r="CD475" s="10"/>
      <c r="CE475" s="10"/>
      <c r="CF475" s="10"/>
      <c r="CG475" s="10"/>
      <c r="CH475" s="10"/>
      <c r="CI475" s="10"/>
      <c r="CJ475" s="10"/>
      <c r="CK475" s="10"/>
      <c r="CL475" s="10"/>
      <c r="CM475" s="10"/>
      <c r="CN475" s="10"/>
      <c r="CO475" s="10"/>
    </row>
    <row r="476" spans="1:93">
      <c r="A476" s="10"/>
      <c r="B476" s="10"/>
      <c r="C476" s="17" t="s">
        <v>387</v>
      </c>
      <c r="D476" s="10"/>
      <c r="E476" s="182"/>
      <c r="F476" s="42"/>
      <c r="G476" s="11" t="s">
        <v>28</v>
      </c>
      <c r="H476" s="10"/>
      <c r="I476" s="10"/>
      <c r="J476" s="10"/>
      <c r="K476" s="10"/>
      <c r="L476" s="157">
        <f t="shared" ref="L476" si="5069" xml:space="preserve"> IF($E475&lt;&gt;0,1/$E475,0)/Periods_in_Year</f>
        <v>3.5714285714285712E-2</v>
      </c>
      <c r="M476" s="157">
        <f t="shared" ref="M476" si="5070" xml:space="preserve"> IF($E475&lt;&gt;0,1/$E475,0)/Periods_in_Year</f>
        <v>3.5714285714285712E-2</v>
      </c>
      <c r="N476" s="157">
        <f t="shared" ref="N476" si="5071" xml:space="preserve"> IF($E475&lt;&gt;0,1/$E475,0)/Periods_in_Year</f>
        <v>3.5714285714285712E-2</v>
      </c>
      <c r="O476" s="157">
        <f t="shared" ref="O476" si="5072" xml:space="preserve"> IF($E475&lt;&gt;0,1/$E475,0)/Periods_in_Year</f>
        <v>3.5714285714285712E-2</v>
      </c>
      <c r="P476" s="157">
        <f t="shared" ref="P476" si="5073" xml:space="preserve"> IF($E475&lt;&gt;0,1/$E475,0)/Periods_in_Year</f>
        <v>3.5714285714285712E-2</v>
      </c>
      <c r="Q476" s="157">
        <f t="shared" ref="Q476" si="5074" xml:space="preserve"> IF($E475&lt;&gt;0,1/$E475,0)/Periods_in_Year</f>
        <v>3.5714285714285712E-2</v>
      </c>
      <c r="R476" s="157">
        <f t="shared" ref="R476" si="5075" xml:space="preserve"> IF($E475&lt;&gt;0,1/$E475,0)/Periods_in_Year</f>
        <v>3.5714285714285712E-2</v>
      </c>
      <c r="S476" s="157">
        <f t="shared" ref="S476" si="5076" xml:space="preserve"> IF($E475&lt;&gt;0,1/$E475,0)/Periods_in_Year</f>
        <v>3.5714285714285712E-2</v>
      </c>
      <c r="T476" s="157">
        <f t="shared" ref="T476" si="5077" xml:space="preserve"> IF($E475&lt;&gt;0,1/$E475,0)/Periods_in_Year</f>
        <v>3.5714285714285712E-2</v>
      </c>
      <c r="U476" s="157">
        <f t="shared" ref="U476" si="5078" xml:space="preserve"> IF($E475&lt;&gt;0,1/$E475,0)/Periods_in_Year</f>
        <v>3.5714285714285712E-2</v>
      </c>
      <c r="V476" s="157">
        <f t="shared" ref="V476" si="5079" xml:space="preserve"> IF($E475&lt;&gt;0,1/$E475,0)/Periods_in_Year</f>
        <v>3.5714285714285712E-2</v>
      </c>
      <c r="W476" s="157">
        <f t="shared" ref="W476" si="5080" xml:space="preserve"> IF($E475&lt;&gt;0,1/$E475,0)/Periods_in_Year</f>
        <v>3.5714285714285712E-2</v>
      </c>
      <c r="X476" s="157">
        <f t="shared" ref="X476" si="5081" xml:space="preserve"> IF($E475&lt;&gt;0,1/$E475,0)/Periods_in_Year</f>
        <v>3.5714285714285712E-2</v>
      </c>
      <c r="Y476" s="157">
        <f t="shared" ref="Y476" si="5082" xml:space="preserve"> IF($E475&lt;&gt;0,1/$E475,0)/Periods_in_Year</f>
        <v>3.5714285714285712E-2</v>
      </c>
      <c r="Z476" s="157">
        <f t="shared" ref="Z476" si="5083" xml:space="preserve"> IF($E475&lt;&gt;0,1/$E475,0)/Periods_in_Year</f>
        <v>3.5714285714285712E-2</v>
      </c>
      <c r="AA476" s="157">
        <f t="shared" ref="AA476" si="5084" xml:space="preserve"> IF($E475&lt;&gt;0,1/$E475,0)/Periods_in_Year</f>
        <v>3.5714285714285712E-2</v>
      </c>
      <c r="AB476" s="157">
        <f t="shared" ref="AB476" si="5085" xml:space="preserve"> IF($E475&lt;&gt;0,1/$E475,0)/Periods_in_Year</f>
        <v>3.5714285714285712E-2</v>
      </c>
      <c r="AC476" s="157">
        <f t="shared" ref="AC476" si="5086" xml:space="preserve"> IF($E475&lt;&gt;0,1/$E475,0)/Periods_in_Year</f>
        <v>3.5714285714285712E-2</v>
      </c>
      <c r="AD476" s="157">
        <f t="shared" ref="AD476" si="5087" xml:space="preserve"> IF($E475&lt;&gt;0,1/$E475,0)/Periods_in_Year</f>
        <v>3.5714285714285712E-2</v>
      </c>
      <c r="AE476" s="157">
        <f t="shared" ref="AE476" si="5088" xml:space="preserve"> IF($E475&lt;&gt;0,1/$E475,0)/Periods_in_Year</f>
        <v>3.5714285714285712E-2</v>
      </c>
      <c r="AF476" s="157">
        <f t="shared" ref="AF476" si="5089" xml:space="preserve"> IF($E475&lt;&gt;0,1/$E475,0)/Periods_in_Year</f>
        <v>3.5714285714285712E-2</v>
      </c>
      <c r="AG476" s="157">
        <f t="shared" ref="AG476" si="5090" xml:space="preserve"> IF($E475&lt;&gt;0,1/$E475,0)/Periods_in_Year</f>
        <v>3.5714285714285712E-2</v>
      </c>
      <c r="AH476" s="157">
        <f t="shared" ref="AH476" si="5091" xml:space="preserve"> IF($E475&lt;&gt;0,1/$E475,0)/Periods_in_Year</f>
        <v>3.5714285714285712E-2</v>
      </c>
      <c r="AI476" s="157">
        <f t="shared" ref="AI476" si="5092" xml:space="preserve"> IF($E475&lt;&gt;0,1/$E475,0)/Periods_in_Year</f>
        <v>3.5714285714285712E-2</v>
      </c>
      <c r="AJ476" s="157">
        <f t="shared" ref="AJ476" si="5093" xml:space="preserve"> IF($E475&lt;&gt;0,1/$E475,0)/Periods_in_Year</f>
        <v>3.5714285714285712E-2</v>
      </c>
      <c r="AK476" s="157">
        <f t="shared" ref="AK476" si="5094" xml:space="preserve"> IF($E475&lt;&gt;0,1/$E475,0)/Periods_in_Year</f>
        <v>3.5714285714285712E-2</v>
      </c>
      <c r="AL476" s="157">
        <f t="shared" ref="AL476" si="5095" xml:space="preserve"> IF($E475&lt;&gt;0,1/$E475,0)/Periods_in_Year</f>
        <v>3.5714285714285712E-2</v>
      </c>
      <c r="AM476" s="157">
        <f t="shared" ref="AM476" si="5096" xml:space="preserve"> IF($E475&lt;&gt;0,1/$E475,0)/Periods_in_Year</f>
        <v>3.5714285714285712E-2</v>
      </c>
      <c r="AN476" s="157">
        <f t="shared" ref="AN476" si="5097" xml:space="preserve"> IF($E475&lt;&gt;0,1/$E475,0)/Periods_in_Year</f>
        <v>3.5714285714285712E-2</v>
      </c>
      <c r="AO476" s="157">
        <f t="shared" ref="AO476" si="5098" xml:space="preserve"> IF($E475&lt;&gt;0,1/$E475,0)/Periods_in_Year</f>
        <v>3.5714285714285712E-2</v>
      </c>
      <c r="AP476" s="157">
        <f t="shared" ref="AP476" si="5099" xml:space="preserve"> IF($E475&lt;&gt;0,1/$E475,0)/Periods_in_Year</f>
        <v>3.5714285714285712E-2</v>
      </c>
      <c r="AQ476" s="157">
        <f t="shared" ref="AQ476" si="5100" xml:space="preserve"> IF($E475&lt;&gt;0,1/$E475,0)/Periods_in_Year</f>
        <v>3.5714285714285712E-2</v>
      </c>
      <c r="AR476" s="157">
        <f t="shared" ref="AR476" si="5101" xml:space="preserve"> IF($E475&lt;&gt;0,1/$E475,0)/Periods_in_Year</f>
        <v>3.5714285714285712E-2</v>
      </c>
      <c r="AS476" s="157">
        <f t="shared" ref="AS476" si="5102" xml:space="preserve"> IF($E475&lt;&gt;0,1/$E475,0)/Periods_in_Year</f>
        <v>3.5714285714285712E-2</v>
      </c>
      <c r="AT476" s="157">
        <f t="shared" ref="AT476" si="5103" xml:space="preserve"> IF($E475&lt;&gt;0,1/$E475,0)/Periods_in_Year</f>
        <v>3.5714285714285712E-2</v>
      </c>
      <c r="AU476" s="157">
        <f t="shared" ref="AU476" si="5104" xml:space="preserve"> IF($E475&lt;&gt;0,1/$E475,0)/Periods_in_Year</f>
        <v>3.5714285714285712E-2</v>
      </c>
      <c r="AV476" s="157">
        <f t="shared" ref="AV476" si="5105" xml:space="preserve"> IF($E475&lt;&gt;0,1/$E475,0)/Periods_in_Year</f>
        <v>3.5714285714285712E-2</v>
      </c>
      <c r="AW476" s="157">
        <f t="shared" ref="AW476" si="5106" xml:space="preserve"> IF($E475&lt;&gt;0,1/$E475,0)/Periods_in_Year</f>
        <v>3.5714285714285712E-2</v>
      </c>
      <c r="AX476" s="157">
        <f t="shared" ref="AX476" si="5107" xml:space="preserve"> IF($E475&lt;&gt;0,1/$E475,0)/Periods_in_Year</f>
        <v>3.5714285714285712E-2</v>
      </c>
      <c r="AY476" s="157">
        <f t="shared" ref="AY476" si="5108" xml:space="preserve"> IF($E475&lt;&gt;0,1/$E475,0)/Periods_in_Year</f>
        <v>3.5714285714285712E-2</v>
      </c>
      <c r="AZ476" s="157">
        <f t="shared" ref="AZ476" si="5109" xml:space="preserve"> IF($E475&lt;&gt;0,1/$E475,0)/Periods_in_Year</f>
        <v>3.5714285714285712E-2</v>
      </c>
      <c r="BA476" s="157">
        <f t="shared" ref="BA476" si="5110" xml:space="preserve"> IF($E475&lt;&gt;0,1/$E475,0)/Periods_in_Year</f>
        <v>3.5714285714285712E-2</v>
      </c>
      <c r="BB476" s="157">
        <f t="shared" ref="BB476" si="5111" xml:space="preserve"> IF($E475&lt;&gt;0,1/$E475,0)/Periods_in_Year</f>
        <v>3.5714285714285712E-2</v>
      </c>
      <c r="BC476" s="157">
        <f t="shared" ref="BC476" si="5112" xml:space="preserve"> IF($E475&lt;&gt;0,1/$E475,0)/Periods_in_Year</f>
        <v>3.5714285714285712E-2</v>
      </c>
      <c r="BD476" s="157">
        <f t="shared" ref="BD476" si="5113" xml:space="preserve"> IF($E475&lt;&gt;0,1/$E475,0)/Periods_in_Year</f>
        <v>3.5714285714285712E-2</v>
      </c>
      <c r="BE476" s="157">
        <f t="shared" ref="BE476" si="5114" xml:space="preserve"> IF($E475&lt;&gt;0,1/$E475,0)/Periods_in_Year</f>
        <v>3.5714285714285712E-2</v>
      </c>
      <c r="BF476" s="157">
        <f t="shared" ref="BF476" si="5115" xml:space="preserve"> IF($E475&lt;&gt;0,1/$E475,0)/Periods_in_Year</f>
        <v>3.5714285714285712E-2</v>
      </c>
      <c r="BG476" s="157">
        <f t="shared" ref="BG476" si="5116" xml:space="preserve"> IF($E475&lt;&gt;0,1/$E475,0)/Periods_in_Year</f>
        <v>3.5714285714285712E-2</v>
      </c>
      <c r="BH476" s="157">
        <f t="shared" ref="BH476" si="5117" xml:space="preserve"> IF($E475&lt;&gt;0,1/$E475,0)/Periods_in_Year</f>
        <v>3.5714285714285712E-2</v>
      </c>
      <c r="BI476" s="157">
        <f t="shared" ref="BI476" si="5118" xml:space="preserve"> IF($E475&lt;&gt;0,1/$E475,0)/Periods_in_Year</f>
        <v>3.5714285714285712E-2</v>
      </c>
      <c r="BJ476" s="157">
        <f t="shared" ref="BJ476" si="5119" xml:space="preserve"> IF($E475&lt;&gt;0,1/$E475,0)/Periods_in_Year</f>
        <v>3.5714285714285712E-2</v>
      </c>
      <c r="BK476" s="157">
        <f t="shared" ref="BK476" si="5120" xml:space="preserve"> IF($E475&lt;&gt;0,1/$E475,0)/Periods_in_Year</f>
        <v>3.5714285714285712E-2</v>
      </c>
      <c r="BL476" s="157">
        <f t="shared" ref="BL476" si="5121" xml:space="preserve"> IF($E475&lt;&gt;0,1/$E475,0)/Periods_in_Year</f>
        <v>3.5714285714285712E-2</v>
      </c>
      <c r="BM476" s="157">
        <f t="shared" ref="BM476" si="5122" xml:space="preserve"> IF($E475&lt;&gt;0,1/$E475,0)/Periods_in_Year</f>
        <v>3.5714285714285712E-2</v>
      </c>
      <c r="BN476" s="157">
        <f t="shared" ref="BN476" si="5123" xml:space="preserve"> IF($E475&lt;&gt;0,1/$E475,0)/Periods_in_Year</f>
        <v>3.5714285714285712E-2</v>
      </c>
      <c r="BO476" s="157">
        <f t="shared" ref="BO476" si="5124" xml:space="preserve"> IF($E475&lt;&gt;0,1/$E475,0)/Periods_in_Year</f>
        <v>3.5714285714285712E-2</v>
      </c>
      <c r="BP476" s="157">
        <f t="shared" ref="BP476" si="5125" xml:space="preserve"> IF($E475&lt;&gt;0,1/$E475,0)/Periods_in_Year</f>
        <v>3.5714285714285712E-2</v>
      </c>
      <c r="BQ476" s="157">
        <f t="shared" ref="BQ476" si="5126" xml:space="preserve"> IF($E475&lt;&gt;0,1/$E475,0)/Periods_in_Year</f>
        <v>3.5714285714285712E-2</v>
      </c>
      <c r="BR476" s="157">
        <f t="shared" ref="BR476" si="5127" xml:space="preserve"> IF($E475&lt;&gt;0,1/$E475,0)/Periods_in_Year</f>
        <v>3.5714285714285712E-2</v>
      </c>
      <c r="BS476" s="157">
        <f t="shared" ref="BS476" si="5128" xml:space="preserve"> IF($E475&lt;&gt;0,1/$E475,0)/Periods_in_Year</f>
        <v>3.5714285714285712E-2</v>
      </c>
      <c r="BT476" s="157">
        <f t="shared" ref="BT476" si="5129" xml:space="preserve"> IF($E475&lt;&gt;0,1/$E475,0)/Periods_in_Year</f>
        <v>3.5714285714285712E-2</v>
      </c>
      <c r="BU476" s="157">
        <f t="shared" ref="BU476" si="5130" xml:space="preserve"> IF($E475&lt;&gt;0,1/$E475,0)/Periods_in_Year</f>
        <v>3.5714285714285712E-2</v>
      </c>
      <c r="BV476" s="157">
        <f t="shared" ref="BV476" si="5131" xml:space="preserve"> IF($E475&lt;&gt;0,1/$E475,0)/Periods_in_Year</f>
        <v>3.5714285714285712E-2</v>
      </c>
      <c r="BW476" s="157">
        <f t="shared" ref="BW476" si="5132" xml:space="preserve"> IF($E475&lt;&gt;0,1/$E475,0)/Periods_in_Year</f>
        <v>3.5714285714285712E-2</v>
      </c>
      <c r="BX476" s="157">
        <f t="shared" ref="BX476" si="5133" xml:space="preserve"> IF($E475&lt;&gt;0,1/$E475,0)/Periods_in_Year</f>
        <v>3.5714285714285712E-2</v>
      </c>
      <c r="BY476" s="157">
        <f t="shared" ref="BY476" si="5134" xml:space="preserve"> IF($E475&lt;&gt;0,1/$E475,0)/Periods_in_Year</f>
        <v>3.5714285714285712E-2</v>
      </c>
      <c r="BZ476" s="157">
        <f t="shared" ref="BZ476" si="5135" xml:space="preserve"> IF($E475&lt;&gt;0,1/$E475,0)/Periods_in_Year</f>
        <v>3.5714285714285712E-2</v>
      </c>
      <c r="CA476" s="157">
        <f t="shared" ref="CA476" si="5136" xml:space="preserve"> IF($E475&lt;&gt;0,1/$E475,0)/Periods_in_Year</f>
        <v>3.5714285714285712E-2</v>
      </c>
      <c r="CB476" s="157">
        <f t="shared" ref="CB476" si="5137" xml:space="preserve"> IF($E475&lt;&gt;0,1/$E475,0)/Periods_in_Year</f>
        <v>3.5714285714285712E-2</v>
      </c>
      <c r="CC476" s="157">
        <f t="shared" ref="CC476" si="5138" xml:space="preserve"> IF($E475&lt;&gt;0,1/$E475,0)/Periods_in_Year</f>
        <v>3.5714285714285712E-2</v>
      </c>
      <c r="CD476" s="157">
        <f t="shared" ref="CD476" si="5139" xml:space="preserve"> IF($E475&lt;&gt;0,1/$E475,0)/Periods_in_Year</f>
        <v>3.5714285714285712E-2</v>
      </c>
      <c r="CE476" s="157">
        <f t="shared" ref="CE476" si="5140" xml:space="preserve"> IF($E475&lt;&gt;0,1/$E475,0)/Periods_in_Year</f>
        <v>3.5714285714285712E-2</v>
      </c>
      <c r="CF476" s="157">
        <f t="shared" ref="CF476" si="5141" xml:space="preserve"> IF($E475&lt;&gt;0,1/$E475,0)/Periods_in_Year</f>
        <v>3.5714285714285712E-2</v>
      </c>
      <c r="CG476" s="157">
        <f t="shared" ref="CG476" si="5142" xml:space="preserve"> IF($E475&lt;&gt;0,1/$E475,0)/Periods_in_Year</f>
        <v>3.5714285714285712E-2</v>
      </c>
      <c r="CH476" s="157">
        <f t="shared" ref="CH476" si="5143" xml:space="preserve"> IF($E475&lt;&gt;0,1/$E475,0)/Periods_in_Year</f>
        <v>3.5714285714285712E-2</v>
      </c>
      <c r="CI476" s="157">
        <f t="shared" ref="CI476" si="5144" xml:space="preserve"> IF($E475&lt;&gt;0,1/$E475,0)/Periods_in_Year</f>
        <v>3.5714285714285712E-2</v>
      </c>
      <c r="CJ476" s="157">
        <f t="shared" ref="CJ476" si="5145" xml:space="preserve"> IF($E475&lt;&gt;0,1/$E475,0)/Periods_in_Year</f>
        <v>3.5714285714285712E-2</v>
      </c>
      <c r="CK476" s="157">
        <f t="shared" ref="CK476" si="5146" xml:space="preserve"> IF($E475&lt;&gt;0,1/$E475,0)/Periods_in_Year</f>
        <v>3.5714285714285712E-2</v>
      </c>
      <c r="CL476" s="157">
        <f t="shared" ref="CL476" si="5147" xml:space="preserve"> IF($E475&lt;&gt;0,1/$E475,0)/Periods_in_Year</f>
        <v>3.5714285714285712E-2</v>
      </c>
      <c r="CM476" s="157">
        <f t="shared" ref="CM476" si="5148" xml:space="preserve"> IF($E475&lt;&gt;0,1/$E475,0)/Periods_in_Year</f>
        <v>3.5714285714285712E-2</v>
      </c>
      <c r="CN476" s="157">
        <f t="shared" ref="CN476" si="5149" xml:space="preserve"> IF($E475&lt;&gt;0,1/$E475,0)/Periods_in_Year</f>
        <v>3.5714285714285712E-2</v>
      </c>
      <c r="CO476" s="157">
        <f t="shared" ref="CO476" si="5150" xml:space="preserve"> IF($E475&lt;&gt;0,1/$E475,0)/Periods_in_Year</f>
        <v>3.5714285714285712E-2</v>
      </c>
    </row>
    <row r="477" spans="1:93">
      <c r="A477" s="10"/>
      <c r="B477" s="10"/>
      <c r="C477" s="17" t="s">
        <v>125</v>
      </c>
      <c r="D477" s="10"/>
      <c r="E477" s="62"/>
      <c r="F477" s="11"/>
      <c r="G477" s="134" t="str">
        <f t="shared" ref="G477:G483" si="5151">Monetary_Unit</f>
        <v>тыс. руб.</v>
      </c>
      <c r="H477" s="10"/>
      <c r="I477" s="10"/>
      <c r="J477" s="10"/>
      <c r="K477" s="10"/>
      <c r="L477" s="52">
        <f t="shared" ref="L477:R477" si="5152" xml:space="preserve"> K483</f>
        <v>0</v>
      </c>
      <c r="M477" s="52">
        <f t="shared" ca="1" si="5152"/>
        <v>0</v>
      </c>
      <c r="N477" s="52">
        <f t="shared" ca="1" si="5152"/>
        <v>0</v>
      </c>
      <c r="O477" s="52">
        <f t="shared" ca="1" si="5152"/>
        <v>0</v>
      </c>
      <c r="P477" s="52">
        <f t="shared" ca="1" si="5152"/>
        <v>0</v>
      </c>
      <c r="Q477" s="52">
        <f t="shared" ca="1" si="5152"/>
        <v>0</v>
      </c>
      <c r="R477" s="52">
        <f t="shared" ca="1" si="5152"/>
        <v>0</v>
      </c>
      <c r="S477" s="52">
        <f t="shared" ref="S477" ca="1" si="5153" xml:space="preserve"> R483</f>
        <v>0</v>
      </c>
      <c r="T477" s="52">
        <f t="shared" ref="T477:CE477" ca="1" si="5154" xml:space="preserve"> S483</f>
        <v>0</v>
      </c>
      <c r="U477" s="52">
        <f t="shared" ca="1" si="5154"/>
        <v>0</v>
      </c>
      <c r="V477" s="52">
        <f t="shared" ca="1" si="5154"/>
        <v>0</v>
      </c>
      <c r="W477" s="52">
        <f t="shared" ca="1" si="5154"/>
        <v>0</v>
      </c>
      <c r="X477" s="52">
        <f t="shared" ca="1" si="5154"/>
        <v>0</v>
      </c>
      <c r="Y477" s="52">
        <f t="shared" ca="1" si="5154"/>
        <v>0</v>
      </c>
      <c r="Z477" s="52">
        <f t="shared" ca="1" si="5154"/>
        <v>0</v>
      </c>
      <c r="AA477" s="52">
        <f t="shared" ca="1" si="5154"/>
        <v>0</v>
      </c>
      <c r="AB477" s="52">
        <f t="shared" ca="1" si="5154"/>
        <v>0</v>
      </c>
      <c r="AC477" s="52">
        <f t="shared" ca="1" si="5154"/>
        <v>0</v>
      </c>
      <c r="AD477" s="52">
        <f t="shared" ca="1" si="5154"/>
        <v>0</v>
      </c>
      <c r="AE477" s="52">
        <f t="shared" ca="1" si="5154"/>
        <v>0</v>
      </c>
      <c r="AF477" s="52">
        <f t="shared" ca="1" si="5154"/>
        <v>0</v>
      </c>
      <c r="AG477" s="52">
        <f t="shared" ca="1" si="5154"/>
        <v>0</v>
      </c>
      <c r="AH477" s="52">
        <f t="shared" ca="1" si="5154"/>
        <v>0</v>
      </c>
      <c r="AI477" s="52">
        <f t="shared" ca="1" si="5154"/>
        <v>0</v>
      </c>
      <c r="AJ477" s="52">
        <f t="shared" ca="1" si="5154"/>
        <v>0</v>
      </c>
      <c r="AK477" s="52">
        <f t="shared" ca="1" si="5154"/>
        <v>0</v>
      </c>
      <c r="AL477" s="52">
        <f t="shared" ca="1" si="5154"/>
        <v>0</v>
      </c>
      <c r="AM477" s="52">
        <f t="shared" ca="1" si="5154"/>
        <v>0</v>
      </c>
      <c r="AN477" s="52">
        <f t="shared" ca="1" si="5154"/>
        <v>0</v>
      </c>
      <c r="AO477" s="52">
        <f t="shared" ca="1" si="5154"/>
        <v>0</v>
      </c>
      <c r="AP477" s="52">
        <f t="shared" ca="1" si="5154"/>
        <v>0</v>
      </c>
      <c r="AQ477" s="52">
        <f t="shared" ca="1" si="5154"/>
        <v>0</v>
      </c>
      <c r="AR477" s="52">
        <f t="shared" ca="1" si="5154"/>
        <v>0</v>
      </c>
      <c r="AS477" s="52">
        <f t="shared" ca="1" si="5154"/>
        <v>0</v>
      </c>
      <c r="AT477" s="52">
        <f t="shared" ca="1" si="5154"/>
        <v>0</v>
      </c>
      <c r="AU477" s="52">
        <f t="shared" ca="1" si="5154"/>
        <v>0</v>
      </c>
      <c r="AV477" s="52">
        <f t="shared" ca="1" si="5154"/>
        <v>0</v>
      </c>
      <c r="AW477" s="52">
        <f t="shared" ca="1" si="5154"/>
        <v>0</v>
      </c>
      <c r="AX477" s="52">
        <f t="shared" ca="1" si="5154"/>
        <v>0</v>
      </c>
      <c r="AY477" s="52">
        <f t="shared" ca="1" si="5154"/>
        <v>0</v>
      </c>
      <c r="AZ477" s="52">
        <f t="shared" ca="1" si="5154"/>
        <v>0</v>
      </c>
      <c r="BA477" s="52">
        <f t="shared" ca="1" si="5154"/>
        <v>0</v>
      </c>
      <c r="BB477" s="52">
        <f t="shared" ca="1" si="5154"/>
        <v>0</v>
      </c>
      <c r="BC477" s="52">
        <f t="shared" ca="1" si="5154"/>
        <v>0</v>
      </c>
      <c r="BD477" s="52">
        <f t="shared" ca="1" si="5154"/>
        <v>0</v>
      </c>
      <c r="BE477" s="52">
        <f t="shared" ca="1" si="5154"/>
        <v>0</v>
      </c>
      <c r="BF477" s="52">
        <f t="shared" ca="1" si="5154"/>
        <v>0</v>
      </c>
      <c r="BG477" s="52">
        <f t="shared" ca="1" si="5154"/>
        <v>0</v>
      </c>
      <c r="BH477" s="52">
        <f t="shared" ca="1" si="5154"/>
        <v>0</v>
      </c>
      <c r="BI477" s="52">
        <f t="shared" ca="1" si="5154"/>
        <v>0</v>
      </c>
      <c r="BJ477" s="52">
        <f t="shared" ca="1" si="5154"/>
        <v>0</v>
      </c>
      <c r="BK477" s="52">
        <f t="shared" ca="1" si="5154"/>
        <v>0</v>
      </c>
      <c r="BL477" s="52">
        <f t="shared" ca="1" si="5154"/>
        <v>0</v>
      </c>
      <c r="BM477" s="52">
        <f t="shared" ca="1" si="5154"/>
        <v>0</v>
      </c>
      <c r="BN477" s="52">
        <f t="shared" ca="1" si="5154"/>
        <v>0</v>
      </c>
      <c r="BO477" s="52">
        <f t="shared" ca="1" si="5154"/>
        <v>0</v>
      </c>
      <c r="BP477" s="52">
        <f t="shared" ca="1" si="5154"/>
        <v>0</v>
      </c>
      <c r="BQ477" s="52">
        <f t="shared" ca="1" si="5154"/>
        <v>0</v>
      </c>
      <c r="BR477" s="52">
        <f t="shared" ca="1" si="5154"/>
        <v>0</v>
      </c>
      <c r="BS477" s="52">
        <f t="shared" ca="1" si="5154"/>
        <v>0</v>
      </c>
      <c r="BT477" s="52">
        <f t="shared" ca="1" si="5154"/>
        <v>0</v>
      </c>
      <c r="BU477" s="52">
        <f t="shared" ca="1" si="5154"/>
        <v>0</v>
      </c>
      <c r="BV477" s="52">
        <f t="shared" ca="1" si="5154"/>
        <v>0</v>
      </c>
      <c r="BW477" s="52">
        <f t="shared" ca="1" si="5154"/>
        <v>0</v>
      </c>
      <c r="BX477" s="52">
        <f t="shared" ca="1" si="5154"/>
        <v>0</v>
      </c>
      <c r="BY477" s="52">
        <f t="shared" ca="1" si="5154"/>
        <v>0</v>
      </c>
      <c r="BZ477" s="52">
        <f t="shared" ca="1" si="5154"/>
        <v>0</v>
      </c>
      <c r="CA477" s="52">
        <f t="shared" ca="1" si="5154"/>
        <v>0</v>
      </c>
      <c r="CB477" s="52">
        <f t="shared" ca="1" si="5154"/>
        <v>0</v>
      </c>
      <c r="CC477" s="52">
        <f t="shared" ca="1" si="5154"/>
        <v>0</v>
      </c>
      <c r="CD477" s="52">
        <f t="shared" ca="1" si="5154"/>
        <v>0</v>
      </c>
      <c r="CE477" s="52">
        <f t="shared" ca="1" si="5154"/>
        <v>0</v>
      </c>
      <c r="CF477" s="52">
        <f t="shared" ref="CF477:CO477" ca="1" si="5155" xml:space="preserve"> CE483</f>
        <v>0</v>
      </c>
      <c r="CG477" s="52">
        <f t="shared" ca="1" si="5155"/>
        <v>0</v>
      </c>
      <c r="CH477" s="52">
        <f t="shared" ca="1" si="5155"/>
        <v>0</v>
      </c>
      <c r="CI477" s="52">
        <f t="shared" ca="1" si="5155"/>
        <v>0</v>
      </c>
      <c r="CJ477" s="52">
        <f t="shared" ca="1" si="5155"/>
        <v>0</v>
      </c>
      <c r="CK477" s="52">
        <f t="shared" ca="1" si="5155"/>
        <v>0</v>
      </c>
      <c r="CL477" s="52">
        <f t="shared" ca="1" si="5155"/>
        <v>0</v>
      </c>
      <c r="CM477" s="52">
        <f t="shared" ca="1" si="5155"/>
        <v>0</v>
      </c>
      <c r="CN477" s="52">
        <f t="shared" ca="1" si="5155"/>
        <v>0</v>
      </c>
      <c r="CO477" s="52">
        <f t="shared" ca="1" si="5155"/>
        <v>0</v>
      </c>
    </row>
    <row r="478" spans="1:93">
      <c r="A478" s="10"/>
      <c r="B478" s="10"/>
      <c r="C478" s="17" t="s">
        <v>126</v>
      </c>
      <c r="D478" s="10"/>
      <c r="E478" s="62"/>
      <c r="F478" s="11"/>
      <c r="G478" s="134" t="str">
        <f t="shared" si="5151"/>
        <v>тыс. руб.</v>
      </c>
      <c r="H478" s="10"/>
      <c r="I478" s="23">
        <f ca="1">SUM(L478:CO478)</f>
        <v>0</v>
      </c>
      <c r="J478" s="10"/>
      <c r="K478" s="10"/>
      <c r="L478" s="52">
        <f ca="1" xml:space="preserve"> SUM(L$328,L$330) * $E347 + L479</f>
        <v>0</v>
      </c>
      <c r="M478" s="52">
        <f t="shared" ref="M478:BX478" ca="1" si="5156" xml:space="preserve"> SUM(M$328,M$330) * $E347 + M479</f>
        <v>0</v>
      </c>
      <c r="N478" s="52">
        <f t="shared" ca="1" si="5156"/>
        <v>0</v>
      </c>
      <c r="O478" s="52">
        <f t="shared" ca="1" si="5156"/>
        <v>0</v>
      </c>
      <c r="P478" s="52">
        <f t="shared" ca="1" si="5156"/>
        <v>0</v>
      </c>
      <c r="Q478" s="52">
        <f t="shared" ca="1" si="5156"/>
        <v>0</v>
      </c>
      <c r="R478" s="52">
        <f t="shared" ca="1" si="5156"/>
        <v>0</v>
      </c>
      <c r="S478" s="52">
        <f t="shared" ca="1" si="5156"/>
        <v>0</v>
      </c>
      <c r="T478" s="52">
        <f t="shared" ca="1" si="5156"/>
        <v>0</v>
      </c>
      <c r="U478" s="52">
        <f t="shared" ca="1" si="5156"/>
        <v>0</v>
      </c>
      <c r="V478" s="52">
        <f t="shared" ca="1" si="5156"/>
        <v>0</v>
      </c>
      <c r="W478" s="52">
        <f t="shared" ca="1" si="5156"/>
        <v>0</v>
      </c>
      <c r="X478" s="52">
        <f t="shared" ca="1" si="5156"/>
        <v>0</v>
      </c>
      <c r="Y478" s="52">
        <f t="shared" ca="1" si="5156"/>
        <v>0</v>
      </c>
      <c r="Z478" s="52">
        <f t="shared" ca="1" si="5156"/>
        <v>0</v>
      </c>
      <c r="AA478" s="52">
        <f t="shared" ca="1" si="5156"/>
        <v>0</v>
      </c>
      <c r="AB478" s="52">
        <f t="shared" ca="1" si="5156"/>
        <v>0</v>
      </c>
      <c r="AC478" s="52">
        <f t="shared" ca="1" si="5156"/>
        <v>0</v>
      </c>
      <c r="AD478" s="52">
        <f t="shared" ca="1" si="5156"/>
        <v>0</v>
      </c>
      <c r="AE478" s="52">
        <f t="shared" ca="1" si="5156"/>
        <v>0</v>
      </c>
      <c r="AF478" s="52">
        <f t="shared" ca="1" si="5156"/>
        <v>0</v>
      </c>
      <c r="AG478" s="52">
        <f t="shared" ca="1" si="5156"/>
        <v>0</v>
      </c>
      <c r="AH478" s="52">
        <f t="shared" ca="1" si="5156"/>
        <v>0</v>
      </c>
      <c r="AI478" s="52">
        <f t="shared" ca="1" si="5156"/>
        <v>0</v>
      </c>
      <c r="AJ478" s="52">
        <f t="shared" ca="1" si="5156"/>
        <v>0</v>
      </c>
      <c r="AK478" s="52">
        <f t="shared" ca="1" si="5156"/>
        <v>0</v>
      </c>
      <c r="AL478" s="52">
        <f t="shared" ca="1" si="5156"/>
        <v>0</v>
      </c>
      <c r="AM478" s="52">
        <f t="shared" ca="1" si="5156"/>
        <v>0</v>
      </c>
      <c r="AN478" s="52">
        <f t="shared" ca="1" si="5156"/>
        <v>0</v>
      </c>
      <c r="AO478" s="52">
        <f t="shared" ca="1" si="5156"/>
        <v>0</v>
      </c>
      <c r="AP478" s="52">
        <f t="shared" ca="1" si="5156"/>
        <v>0</v>
      </c>
      <c r="AQ478" s="52">
        <f t="shared" ca="1" si="5156"/>
        <v>0</v>
      </c>
      <c r="AR478" s="52">
        <f t="shared" ca="1" si="5156"/>
        <v>0</v>
      </c>
      <c r="AS478" s="52">
        <f t="shared" ca="1" si="5156"/>
        <v>0</v>
      </c>
      <c r="AT478" s="52">
        <f t="shared" ca="1" si="5156"/>
        <v>0</v>
      </c>
      <c r="AU478" s="52">
        <f t="shared" ca="1" si="5156"/>
        <v>0</v>
      </c>
      <c r="AV478" s="52">
        <f t="shared" ca="1" si="5156"/>
        <v>0</v>
      </c>
      <c r="AW478" s="52">
        <f t="shared" ca="1" si="5156"/>
        <v>0</v>
      </c>
      <c r="AX478" s="52">
        <f t="shared" ca="1" si="5156"/>
        <v>0</v>
      </c>
      <c r="AY478" s="52">
        <f t="shared" ca="1" si="5156"/>
        <v>0</v>
      </c>
      <c r="AZ478" s="52">
        <f t="shared" ca="1" si="5156"/>
        <v>0</v>
      </c>
      <c r="BA478" s="52">
        <f t="shared" ca="1" si="5156"/>
        <v>0</v>
      </c>
      <c r="BB478" s="52">
        <f t="shared" ca="1" si="5156"/>
        <v>0</v>
      </c>
      <c r="BC478" s="52">
        <f t="shared" ca="1" si="5156"/>
        <v>0</v>
      </c>
      <c r="BD478" s="52">
        <f t="shared" ca="1" si="5156"/>
        <v>0</v>
      </c>
      <c r="BE478" s="52">
        <f t="shared" ca="1" si="5156"/>
        <v>0</v>
      </c>
      <c r="BF478" s="52">
        <f t="shared" ca="1" si="5156"/>
        <v>0</v>
      </c>
      <c r="BG478" s="52">
        <f t="shared" ca="1" si="5156"/>
        <v>0</v>
      </c>
      <c r="BH478" s="52">
        <f t="shared" ca="1" si="5156"/>
        <v>0</v>
      </c>
      <c r="BI478" s="52">
        <f t="shared" ca="1" si="5156"/>
        <v>0</v>
      </c>
      <c r="BJ478" s="52">
        <f t="shared" ca="1" si="5156"/>
        <v>0</v>
      </c>
      <c r="BK478" s="52">
        <f t="shared" ca="1" si="5156"/>
        <v>0</v>
      </c>
      <c r="BL478" s="52">
        <f t="shared" ca="1" si="5156"/>
        <v>0</v>
      </c>
      <c r="BM478" s="52">
        <f t="shared" ca="1" si="5156"/>
        <v>0</v>
      </c>
      <c r="BN478" s="52">
        <f t="shared" ca="1" si="5156"/>
        <v>0</v>
      </c>
      <c r="BO478" s="52">
        <f t="shared" ca="1" si="5156"/>
        <v>0</v>
      </c>
      <c r="BP478" s="52">
        <f t="shared" ca="1" si="5156"/>
        <v>0</v>
      </c>
      <c r="BQ478" s="52">
        <f t="shared" ca="1" si="5156"/>
        <v>0</v>
      </c>
      <c r="BR478" s="52">
        <f t="shared" ca="1" si="5156"/>
        <v>0</v>
      </c>
      <c r="BS478" s="52">
        <f t="shared" ca="1" si="5156"/>
        <v>0</v>
      </c>
      <c r="BT478" s="52">
        <f t="shared" ca="1" si="5156"/>
        <v>0</v>
      </c>
      <c r="BU478" s="52">
        <f t="shared" ca="1" si="5156"/>
        <v>0</v>
      </c>
      <c r="BV478" s="52">
        <f t="shared" ca="1" si="5156"/>
        <v>0</v>
      </c>
      <c r="BW478" s="52">
        <f t="shared" ca="1" si="5156"/>
        <v>0</v>
      </c>
      <c r="BX478" s="52">
        <f t="shared" ca="1" si="5156"/>
        <v>0</v>
      </c>
      <c r="BY478" s="52">
        <f t="shared" ref="BY478:CO478" ca="1" si="5157" xml:space="preserve"> SUM(BY$328,BY$330) * $E347 + BY479</f>
        <v>0</v>
      </c>
      <c r="BZ478" s="52">
        <f t="shared" ca="1" si="5157"/>
        <v>0</v>
      </c>
      <c r="CA478" s="52">
        <f t="shared" ca="1" si="5157"/>
        <v>0</v>
      </c>
      <c r="CB478" s="52">
        <f t="shared" ca="1" si="5157"/>
        <v>0</v>
      </c>
      <c r="CC478" s="52">
        <f t="shared" ca="1" si="5157"/>
        <v>0</v>
      </c>
      <c r="CD478" s="52">
        <f t="shared" ca="1" si="5157"/>
        <v>0</v>
      </c>
      <c r="CE478" s="52">
        <f t="shared" ca="1" si="5157"/>
        <v>0</v>
      </c>
      <c r="CF478" s="52">
        <f t="shared" ca="1" si="5157"/>
        <v>0</v>
      </c>
      <c r="CG478" s="52">
        <f t="shared" ca="1" si="5157"/>
        <v>0</v>
      </c>
      <c r="CH478" s="52">
        <f t="shared" ca="1" si="5157"/>
        <v>0</v>
      </c>
      <c r="CI478" s="52">
        <f t="shared" ca="1" si="5157"/>
        <v>0</v>
      </c>
      <c r="CJ478" s="52">
        <f t="shared" ca="1" si="5157"/>
        <v>0</v>
      </c>
      <c r="CK478" s="52">
        <f t="shared" ca="1" si="5157"/>
        <v>0</v>
      </c>
      <c r="CL478" s="52">
        <f t="shared" ca="1" si="5157"/>
        <v>0</v>
      </c>
      <c r="CM478" s="52">
        <f t="shared" ca="1" si="5157"/>
        <v>0</v>
      </c>
      <c r="CN478" s="52">
        <f t="shared" ca="1" si="5157"/>
        <v>0</v>
      </c>
      <c r="CO478" s="52">
        <f t="shared" ca="1" si="5157"/>
        <v>0</v>
      </c>
    </row>
    <row r="479" spans="1:93">
      <c r="A479" s="10"/>
      <c r="B479" s="10"/>
      <c r="C479" s="17" t="s">
        <v>129</v>
      </c>
      <c r="D479" s="10"/>
      <c r="E479" s="178">
        <f>Предпосылки!E377</f>
        <v>0.3</v>
      </c>
      <c r="F479" s="11"/>
      <c r="G479" s="134" t="str">
        <f t="shared" si="5151"/>
        <v>тыс. руб.</v>
      </c>
      <c r="H479" s="10"/>
      <c r="I479" s="23">
        <f ca="1">SUM(L479:CO479)</f>
        <v>0</v>
      </c>
      <c r="J479" s="10"/>
      <c r="K479" s="10"/>
      <c r="L479" s="52">
        <f ca="1" xml:space="preserve"> - SUM(K$328,K$330) * $E347 * $E479</f>
        <v>0</v>
      </c>
      <c r="M479" s="52">
        <f t="shared" ref="M479:BX479" ca="1" si="5158" xml:space="preserve"> - SUM(L$328,L$330) * $E347 * $E479</f>
        <v>0</v>
      </c>
      <c r="N479" s="52">
        <f t="shared" ca="1" si="5158"/>
        <v>0</v>
      </c>
      <c r="O479" s="52">
        <f t="shared" ca="1" si="5158"/>
        <v>0</v>
      </c>
      <c r="P479" s="52">
        <f t="shared" ca="1" si="5158"/>
        <v>0</v>
      </c>
      <c r="Q479" s="52">
        <f t="shared" ca="1" si="5158"/>
        <v>0</v>
      </c>
      <c r="R479" s="52">
        <f t="shared" ca="1" si="5158"/>
        <v>0</v>
      </c>
      <c r="S479" s="52">
        <f t="shared" ca="1" si="5158"/>
        <v>0</v>
      </c>
      <c r="T479" s="52">
        <f t="shared" ca="1" si="5158"/>
        <v>0</v>
      </c>
      <c r="U479" s="52">
        <f t="shared" ca="1" si="5158"/>
        <v>0</v>
      </c>
      <c r="V479" s="52">
        <f t="shared" ca="1" si="5158"/>
        <v>0</v>
      </c>
      <c r="W479" s="52">
        <f t="shared" ca="1" si="5158"/>
        <v>0</v>
      </c>
      <c r="X479" s="52">
        <f t="shared" ca="1" si="5158"/>
        <v>0</v>
      </c>
      <c r="Y479" s="52">
        <f t="shared" ca="1" si="5158"/>
        <v>0</v>
      </c>
      <c r="Z479" s="52">
        <f t="shared" ca="1" si="5158"/>
        <v>0</v>
      </c>
      <c r="AA479" s="52">
        <f t="shared" ca="1" si="5158"/>
        <v>0</v>
      </c>
      <c r="AB479" s="52">
        <f t="shared" ca="1" si="5158"/>
        <v>0</v>
      </c>
      <c r="AC479" s="52">
        <f t="shared" ca="1" si="5158"/>
        <v>0</v>
      </c>
      <c r="AD479" s="52">
        <f t="shared" ca="1" si="5158"/>
        <v>0</v>
      </c>
      <c r="AE479" s="52">
        <f t="shared" ca="1" si="5158"/>
        <v>0</v>
      </c>
      <c r="AF479" s="52">
        <f t="shared" ca="1" si="5158"/>
        <v>0</v>
      </c>
      <c r="AG479" s="52">
        <f t="shared" ca="1" si="5158"/>
        <v>0</v>
      </c>
      <c r="AH479" s="52">
        <f t="shared" ca="1" si="5158"/>
        <v>0</v>
      </c>
      <c r="AI479" s="52">
        <f t="shared" ca="1" si="5158"/>
        <v>0</v>
      </c>
      <c r="AJ479" s="52">
        <f t="shared" ca="1" si="5158"/>
        <v>0</v>
      </c>
      <c r="AK479" s="52">
        <f t="shared" ca="1" si="5158"/>
        <v>0</v>
      </c>
      <c r="AL479" s="52">
        <f t="shared" ca="1" si="5158"/>
        <v>0</v>
      </c>
      <c r="AM479" s="52">
        <f t="shared" ca="1" si="5158"/>
        <v>0</v>
      </c>
      <c r="AN479" s="52">
        <f t="shared" ca="1" si="5158"/>
        <v>0</v>
      </c>
      <c r="AO479" s="52">
        <f t="shared" ca="1" si="5158"/>
        <v>0</v>
      </c>
      <c r="AP479" s="52">
        <f t="shared" ca="1" si="5158"/>
        <v>0</v>
      </c>
      <c r="AQ479" s="52">
        <f t="shared" ca="1" si="5158"/>
        <v>0</v>
      </c>
      <c r="AR479" s="52">
        <f t="shared" ca="1" si="5158"/>
        <v>0</v>
      </c>
      <c r="AS479" s="52">
        <f t="shared" ca="1" si="5158"/>
        <v>0</v>
      </c>
      <c r="AT479" s="52">
        <f t="shared" ca="1" si="5158"/>
        <v>0</v>
      </c>
      <c r="AU479" s="52">
        <f t="shared" ca="1" si="5158"/>
        <v>0</v>
      </c>
      <c r="AV479" s="52">
        <f t="shared" ca="1" si="5158"/>
        <v>0</v>
      </c>
      <c r="AW479" s="52">
        <f t="shared" ca="1" si="5158"/>
        <v>0</v>
      </c>
      <c r="AX479" s="52">
        <f t="shared" ca="1" si="5158"/>
        <v>0</v>
      </c>
      <c r="AY479" s="52">
        <f t="shared" ca="1" si="5158"/>
        <v>0</v>
      </c>
      <c r="AZ479" s="52">
        <f t="shared" ca="1" si="5158"/>
        <v>0</v>
      </c>
      <c r="BA479" s="52">
        <f t="shared" ca="1" si="5158"/>
        <v>0</v>
      </c>
      <c r="BB479" s="52">
        <f t="shared" ca="1" si="5158"/>
        <v>0</v>
      </c>
      <c r="BC479" s="52">
        <f t="shared" ca="1" si="5158"/>
        <v>0</v>
      </c>
      <c r="BD479" s="52">
        <f t="shared" ca="1" si="5158"/>
        <v>0</v>
      </c>
      <c r="BE479" s="52">
        <f t="shared" ca="1" si="5158"/>
        <v>0</v>
      </c>
      <c r="BF479" s="52">
        <f t="shared" ca="1" si="5158"/>
        <v>0</v>
      </c>
      <c r="BG479" s="52">
        <f t="shared" ca="1" si="5158"/>
        <v>0</v>
      </c>
      <c r="BH479" s="52">
        <f t="shared" ca="1" si="5158"/>
        <v>0</v>
      </c>
      <c r="BI479" s="52">
        <f t="shared" ca="1" si="5158"/>
        <v>0</v>
      </c>
      <c r="BJ479" s="52">
        <f t="shared" ca="1" si="5158"/>
        <v>0</v>
      </c>
      <c r="BK479" s="52">
        <f t="shared" ca="1" si="5158"/>
        <v>0</v>
      </c>
      <c r="BL479" s="52">
        <f t="shared" ca="1" si="5158"/>
        <v>0</v>
      </c>
      <c r="BM479" s="52">
        <f t="shared" ca="1" si="5158"/>
        <v>0</v>
      </c>
      <c r="BN479" s="52">
        <f t="shared" ca="1" si="5158"/>
        <v>0</v>
      </c>
      <c r="BO479" s="52">
        <f t="shared" ca="1" si="5158"/>
        <v>0</v>
      </c>
      <c r="BP479" s="52">
        <f t="shared" ca="1" si="5158"/>
        <v>0</v>
      </c>
      <c r="BQ479" s="52">
        <f t="shared" ca="1" si="5158"/>
        <v>0</v>
      </c>
      <c r="BR479" s="52">
        <f t="shared" ca="1" si="5158"/>
        <v>0</v>
      </c>
      <c r="BS479" s="52">
        <f t="shared" ca="1" si="5158"/>
        <v>0</v>
      </c>
      <c r="BT479" s="52">
        <f t="shared" ca="1" si="5158"/>
        <v>0</v>
      </c>
      <c r="BU479" s="52">
        <f t="shared" ca="1" si="5158"/>
        <v>0</v>
      </c>
      <c r="BV479" s="52">
        <f t="shared" ca="1" si="5158"/>
        <v>0</v>
      </c>
      <c r="BW479" s="52">
        <f t="shared" ca="1" si="5158"/>
        <v>0</v>
      </c>
      <c r="BX479" s="52">
        <f t="shared" ca="1" si="5158"/>
        <v>0</v>
      </c>
      <c r="BY479" s="52">
        <f t="shared" ref="BY479:CO479" ca="1" si="5159" xml:space="preserve"> - SUM(BX$328,BX$330) * $E347 * $E479</f>
        <v>0</v>
      </c>
      <c r="BZ479" s="52">
        <f t="shared" ca="1" si="5159"/>
        <v>0</v>
      </c>
      <c r="CA479" s="52">
        <f t="shared" ca="1" si="5159"/>
        <v>0</v>
      </c>
      <c r="CB479" s="52">
        <f t="shared" ca="1" si="5159"/>
        <v>0</v>
      </c>
      <c r="CC479" s="52">
        <f t="shared" ca="1" si="5159"/>
        <v>0</v>
      </c>
      <c r="CD479" s="52">
        <f t="shared" ca="1" si="5159"/>
        <v>0</v>
      </c>
      <c r="CE479" s="52">
        <f t="shared" ca="1" si="5159"/>
        <v>0</v>
      </c>
      <c r="CF479" s="52">
        <f t="shared" ca="1" si="5159"/>
        <v>0</v>
      </c>
      <c r="CG479" s="52">
        <f t="shared" ca="1" si="5159"/>
        <v>0</v>
      </c>
      <c r="CH479" s="52">
        <f t="shared" ca="1" si="5159"/>
        <v>0</v>
      </c>
      <c r="CI479" s="52">
        <f t="shared" ca="1" si="5159"/>
        <v>0</v>
      </c>
      <c r="CJ479" s="52">
        <f t="shared" ca="1" si="5159"/>
        <v>0</v>
      </c>
      <c r="CK479" s="52">
        <f t="shared" ca="1" si="5159"/>
        <v>0</v>
      </c>
      <c r="CL479" s="52">
        <f t="shared" ca="1" si="5159"/>
        <v>0</v>
      </c>
      <c r="CM479" s="52">
        <f t="shared" ca="1" si="5159"/>
        <v>0</v>
      </c>
      <c r="CN479" s="52">
        <f t="shared" ca="1" si="5159"/>
        <v>0</v>
      </c>
      <c r="CO479" s="52">
        <f t="shared" ca="1" si="5159"/>
        <v>0</v>
      </c>
    </row>
    <row r="480" spans="1:93">
      <c r="A480" s="10"/>
      <c r="B480" s="10"/>
      <c r="C480" s="17" t="s">
        <v>388</v>
      </c>
      <c r="D480" s="10"/>
      <c r="E480" s="62"/>
      <c r="F480" s="11"/>
      <c r="G480" s="134" t="str">
        <f t="shared" si="5151"/>
        <v>тыс. руб.</v>
      </c>
      <c r="H480" s="10"/>
      <c r="I480" s="10"/>
      <c r="J480" s="10"/>
      <c r="K480" s="10"/>
      <c r="L480" s="52">
        <f t="shared" ref="L480:R480" ca="1" si="5160" xml:space="preserve"> L478 + K480</f>
        <v>0</v>
      </c>
      <c r="M480" s="52">
        <f t="shared" ca="1" si="5160"/>
        <v>0</v>
      </c>
      <c r="N480" s="52">
        <f t="shared" ca="1" si="5160"/>
        <v>0</v>
      </c>
      <c r="O480" s="52">
        <f t="shared" ca="1" si="5160"/>
        <v>0</v>
      </c>
      <c r="P480" s="52">
        <f t="shared" ca="1" si="5160"/>
        <v>0</v>
      </c>
      <c r="Q480" s="52">
        <f t="shared" ca="1" si="5160"/>
        <v>0</v>
      </c>
      <c r="R480" s="52">
        <f t="shared" ca="1" si="5160"/>
        <v>0</v>
      </c>
      <c r="S480" s="52">
        <f t="shared" ref="S480" ca="1" si="5161" xml:space="preserve"> S478 + R480</f>
        <v>0</v>
      </c>
      <c r="T480" s="52">
        <f t="shared" ref="T480:CE480" ca="1" si="5162" xml:space="preserve"> T478 + S480</f>
        <v>0</v>
      </c>
      <c r="U480" s="52">
        <f t="shared" ca="1" si="5162"/>
        <v>0</v>
      </c>
      <c r="V480" s="52">
        <f t="shared" ca="1" si="5162"/>
        <v>0</v>
      </c>
      <c r="W480" s="52">
        <f t="shared" ca="1" si="5162"/>
        <v>0</v>
      </c>
      <c r="X480" s="52">
        <f t="shared" ca="1" si="5162"/>
        <v>0</v>
      </c>
      <c r="Y480" s="52">
        <f t="shared" ca="1" si="5162"/>
        <v>0</v>
      </c>
      <c r="Z480" s="52">
        <f t="shared" ca="1" si="5162"/>
        <v>0</v>
      </c>
      <c r="AA480" s="52">
        <f t="shared" ca="1" si="5162"/>
        <v>0</v>
      </c>
      <c r="AB480" s="52">
        <f t="shared" ca="1" si="5162"/>
        <v>0</v>
      </c>
      <c r="AC480" s="52">
        <f t="shared" ca="1" si="5162"/>
        <v>0</v>
      </c>
      <c r="AD480" s="52">
        <f t="shared" ca="1" si="5162"/>
        <v>0</v>
      </c>
      <c r="AE480" s="52">
        <f t="shared" ca="1" si="5162"/>
        <v>0</v>
      </c>
      <c r="AF480" s="52">
        <f t="shared" ca="1" si="5162"/>
        <v>0</v>
      </c>
      <c r="AG480" s="52">
        <f t="shared" ca="1" si="5162"/>
        <v>0</v>
      </c>
      <c r="AH480" s="52">
        <f t="shared" ca="1" si="5162"/>
        <v>0</v>
      </c>
      <c r="AI480" s="52">
        <f t="shared" ca="1" si="5162"/>
        <v>0</v>
      </c>
      <c r="AJ480" s="52">
        <f t="shared" ca="1" si="5162"/>
        <v>0</v>
      </c>
      <c r="AK480" s="52">
        <f t="shared" ca="1" si="5162"/>
        <v>0</v>
      </c>
      <c r="AL480" s="52">
        <f t="shared" ca="1" si="5162"/>
        <v>0</v>
      </c>
      <c r="AM480" s="52">
        <f t="shared" ca="1" si="5162"/>
        <v>0</v>
      </c>
      <c r="AN480" s="52">
        <f t="shared" ca="1" si="5162"/>
        <v>0</v>
      </c>
      <c r="AO480" s="52">
        <f t="shared" ca="1" si="5162"/>
        <v>0</v>
      </c>
      <c r="AP480" s="52">
        <f t="shared" ca="1" si="5162"/>
        <v>0</v>
      </c>
      <c r="AQ480" s="52">
        <f t="shared" ca="1" si="5162"/>
        <v>0</v>
      </c>
      <c r="AR480" s="52">
        <f t="shared" ca="1" si="5162"/>
        <v>0</v>
      </c>
      <c r="AS480" s="52">
        <f t="shared" ca="1" si="5162"/>
        <v>0</v>
      </c>
      <c r="AT480" s="52">
        <f t="shared" ca="1" si="5162"/>
        <v>0</v>
      </c>
      <c r="AU480" s="52">
        <f t="shared" ca="1" si="5162"/>
        <v>0</v>
      </c>
      <c r="AV480" s="52">
        <f t="shared" ca="1" si="5162"/>
        <v>0</v>
      </c>
      <c r="AW480" s="52">
        <f t="shared" ca="1" si="5162"/>
        <v>0</v>
      </c>
      <c r="AX480" s="52">
        <f t="shared" ca="1" si="5162"/>
        <v>0</v>
      </c>
      <c r="AY480" s="52">
        <f t="shared" ca="1" si="5162"/>
        <v>0</v>
      </c>
      <c r="AZ480" s="52">
        <f t="shared" ca="1" si="5162"/>
        <v>0</v>
      </c>
      <c r="BA480" s="52">
        <f t="shared" ca="1" si="5162"/>
        <v>0</v>
      </c>
      <c r="BB480" s="52">
        <f t="shared" ca="1" si="5162"/>
        <v>0</v>
      </c>
      <c r="BC480" s="52">
        <f t="shared" ca="1" si="5162"/>
        <v>0</v>
      </c>
      <c r="BD480" s="52">
        <f t="shared" ca="1" si="5162"/>
        <v>0</v>
      </c>
      <c r="BE480" s="52">
        <f t="shared" ca="1" si="5162"/>
        <v>0</v>
      </c>
      <c r="BF480" s="52">
        <f t="shared" ca="1" si="5162"/>
        <v>0</v>
      </c>
      <c r="BG480" s="52">
        <f t="shared" ca="1" si="5162"/>
        <v>0</v>
      </c>
      <c r="BH480" s="52">
        <f t="shared" ca="1" si="5162"/>
        <v>0</v>
      </c>
      <c r="BI480" s="52">
        <f t="shared" ca="1" si="5162"/>
        <v>0</v>
      </c>
      <c r="BJ480" s="52">
        <f t="shared" ca="1" si="5162"/>
        <v>0</v>
      </c>
      <c r="BK480" s="52">
        <f t="shared" ca="1" si="5162"/>
        <v>0</v>
      </c>
      <c r="BL480" s="52">
        <f t="shared" ca="1" si="5162"/>
        <v>0</v>
      </c>
      <c r="BM480" s="52">
        <f t="shared" ca="1" si="5162"/>
        <v>0</v>
      </c>
      <c r="BN480" s="52">
        <f t="shared" ca="1" si="5162"/>
        <v>0</v>
      </c>
      <c r="BO480" s="52">
        <f t="shared" ca="1" si="5162"/>
        <v>0</v>
      </c>
      <c r="BP480" s="52">
        <f t="shared" ca="1" si="5162"/>
        <v>0</v>
      </c>
      <c r="BQ480" s="52">
        <f t="shared" ca="1" si="5162"/>
        <v>0</v>
      </c>
      <c r="BR480" s="52">
        <f t="shared" ca="1" si="5162"/>
        <v>0</v>
      </c>
      <c r="BS480" s="52">
        <f t="shared" ca="1" si="5162"/>
        <v>0</v>
      </c>
      <c r="BT480" s="52">
        <f t="shared" ca="1" si="5162"/>
        <v>0</v>
      </c>
      <c r="BU480" s="52">
        <f t="shared" ca="1" si="5162"/>
        <v>0</v>
      </c>
      <c r="BV480" s="52">
        <f t="shared" ca="1" si="5162"/>
        <v>0</v>
      </c>
      <c r="BW480" s="52">
        <f t="shared" ca="1" si="5162"/>
        <v>0</v>
      </c>
      <c r="BX480" s="52">
        <f t="shared" ca="1" si="5162"/>
        <v>0</v>
      </c>
      <c r="BY480" s="52">
        <f t="shared" ca="1" si="5162"/>
        <v>0</v>
      </c>
      <c r="BZ480" s="52">
        <f t="shared" ca="1" si="5162"/>
        <v>0</v>
      </c>
      <c r="CA480" s="52">
        <f t="shared" ca="1" si="5162"/>
        <v>0</v>
      </c>
      <c r="CB480" s="52">
        <f t="shared" ca="1" si="5162"/>
        <v>0</v>
      </c>
      <c r="CC480" s="52">
        <f t="shared" ca="1" si="5162"/>
        <v>0</v>
      </c>
      <c r="CD480" s="52">
        <f t="shared" ca="1" si="5162"/>
        <v>0</v>
      </c>
      <c r="CE480" s="52">
        <f t="shared" ca="1" si="5162"/>
        <v>0</v>
      </c>
      <c r="CF480" s="52">
        <f t="shared" ref="CF480:CO480" ca="1" si="5163" xml:space="preserve"> CF478 + CE480</f>
        <v>0</v>
      </c>
      <c r="CG480" s="52">
        <f t="shared" ca="1" si="5163"/>
        <v>0</v>
      </c>
      <c r="CH480" s="52">
        <f t="shared" ca="1" si="5163"/>
        <v>0</v>
      </c>
      <c r="CI480" s="52">
        <f t="shared" ca="1" si="5163"/>
        <v>0</v>
      </c>
      <c r="CJ480" s="52">
        <f t="shared" ca="1" si="5163"/>
        <v>0</v>
      </c>
      <c r="CK480" s="52">
        <f t="shared" ca="1" si="5163"/>
        <v>0</v>
      </c>
      <c r="CL480" s="52">
        <f t="shared" ca="1" si="5163"/>
        <v>0</v>
      </c>
      <c r="CM480" s="52">
        <f t="shared" ca="1" si="5163"/>
        <v>0</v>
      </c>
      <c r="CN480" s="52">
        <f t="shared" ca="1" si="5163"/>
        <v>0</v>
      </c>
      <c r="CO480" s="52">
        <f t="shared" ca="1" si="5163"/>
        <v>0</v>
      </c>
    </row>
    <row r="481" spans="1:93">
      <c r="A481" s="10"/>
      <c r="B481" s="10"/>
      <c r="C481" s="17" t="s">
        <v>389</v>
      </c>
      <c r="D481" s="10"/>
      <c r="E481" s="62"/>
      <c r="F481" s="11"/>
      <c r="G481" s="134" t="str">
        <f t="shared" si="5151"/>
        <v>тыс. руб.</v>
      </c>
      <c r="H481" s="10"/>
      <c r="I481" s="23">
        <f ca="1">SUM(L481:CO481)</f>
        <v>0</v>
      </c>
      <c r="J481" s="10"/>
      <c r="K481" s="10"/>
      <c r="L481" s="52">
        <f t="shared" ref="L481" ca="1" si="5164" xml:space="preserve"> MIN(L480*L476,K483)</f>
        <v>0</v>
      </c>
      <c r="M481" s="52">
        <f t="shared" ref="M481" ca="1" si="5165" xml:space="preserve"> MIN(M480*M476,L483)</f>
        <v>0</v>
      </c>
      <c r="N481" s="52">
        <f t="shared" ref="N481" ca="1" si="5166" xml:space="preserve"> MIN(N480*N476,M483)</f>
        <v>0</v>
      </c>
      <c r="O481" s="52">
        <f t="shared" ref="O481" ca="1" si="5167" xml:space="preserve"> MIN(O480*O476,N483)</f>
        <v>0</v>
      </c>
      <c r="P481" s="52">
        <f t="shared" ref="P481" ca="1" si="5168" xml:space="preserve"> MIN(P480*P476,O483)</f>
        <v>0</v>
      </c>
      <c r="Q481" s="52">
        <f t="shared" ref="Q481" ca="1" si="5169" xml:space="preserve"> MIN(Q480*Q476,P483)</f>
        <v>0</v>
      </c>
      <c r="R481" s="52">
        <f t="shared" ref="R481" ca="1" si="5170" xml:space="preserve"> MIN(R480*R476,Q483)</f>
        <v>0</v>
      </c>
      <c r="S481" s="52">
        <f t="shared" ref="S481" ca="1" si="5171" xml:space="preserve"> MIN(S480*S476,R483)</f>
        <v>0</v>
      </c>
      <c r="T481" s="52">
        <f t="shared" ref="T481" ca="1" si="5172" xml:space="preserve"> MIN(T480*T476,S483)</f>
        <v>0</v>
      </c>
      <c r="U481" s="52">
        <f t="shared" ref="U481" ca="1" si="5173" xml:space="preserve"> MIN(U480*U476,T483)</f>
        <v>0</v>
      </c>
      <c r="V481" s="52">
        <f t="shared" ref="V481" ca="1" si="5174" xml:space="preserve"> MIN(V480*V476,U483)</f>
        <v>0</v>
      </c>
      <c r="W481" s="52">
        <f t="shared" ref="W481" ca="1" si="5175" xml:space="preserve"> MIN(W480*W476,V483)</f>
        <v>0</v>
      </c>
      <c r="X481" s="52">
        <f t="shared" ref="X481" ca="1" si="5176" xml:space="preserve"> MIN(X480*X476,W483)</f>
        <v>0</v>
      </c>
      <c r="Y481" s="52">
        <f t="shared" ref="Y481" ca="1" si="5177" xml:space="preserve"> MIN(Y480*Y476,X483)</f>
        <v>0</v>
      </c>
      <c r="Z481" s="52">
        <f t="shared" ref="Z481" ca="1" si="5178" xml:space="preserve"> MIN(Z480*Z476,Y483)</f>
        <v>0</v>
      </c>
      <c r="AA481" s="52">
        <f t="shared" ref="AA481" ca="1" si="5179" xml:space="preserve"> MIN(AA480*AA476,Z483)</f>
        <v>0</v>
      </c>
      <c r="AB481" s="52">
        <f t="shared" ref="AB481" ca="1" si="5180" xml:space="preserve"> MIN(AB480*AB476,AA483)</f>
        <v>0</v>
      </c>
      <c r="AC481" s="52">
        <f t="shared" ref="AC481" ca="1" si="5181" xml:space="preserve"> MIN(AC480*AC476,AB483)</f>
        <v>0</v>
      </c>
      <c r="AD481" s="52">
        <f t="shared" ref="AD481" ca="1" si="5182" xml:space="preserve"> MIN(AD480*AD476,AC483)</f>
        <v>0</v>
      </c>
      <c r="AE481" s="52">
        <f t="shared" ref="AE481" ca="1" si="5183" xml:space="preserve"> MIN(AE480*AE476,AD483)</f>
        <v>0</v>
      </c>
      <c r="AF481" s="52">
        <f t="shared" ref="AF481" ca="1" si="5184" xml:space="preserve"> MIN(AF480*AF476,AE483)</f>
        <v>0</v>
      </c>
      <c r="AG481" s="52">
        <f t="shared" ref="AG481" ca="1" si="5185" xml:space="preserve"> MIN(AG480*AG476,AF483)</f>
        <v>0</v>
      </c>
      <c r="AH481" s="52">
        <f t="shared" ref="AH481" ca="1" si="5186" xml:space="preserve"> MIN(AH480*AH476,AG483)</f>
        <v>0</v>
      </c>
      <c r="AI481" s="52">
        <f t="shared" ref="AI481" ca="1" si="5187" xml:space="preserve"> MIN(AI480*AI476,AH483)</f>
        <v>0</v>
      </c>
      <c r="AJ481" s="52">
        <f t="shared" ref="AJ481" ca="1" si="5188" xml:space="preserve"> MIN(AJ480*AJ476,AI483)</f>
        <v>0</v>
      </c>
      <c r="AK481" s="52">
        <f t="shared" ref="AK481" ca="1" si="5189" xml:space="preserve"> MIN(AK480*AK476,AJ483)</f>
        <v>0</v>
      </c>
      <c r="AL481" s="52">
        <f t="shared" ref="AL481" ca="1" si="5190" xml:space="preserve"> MIN(AL480*AL476,AK483)</f>
        <v>0</v>
      </c>
      <c r="AM481" s="52">
        <f t="shared" ref="AM481" ca="1" si="5191" xml:space="preserve"> MIN(AM480*AM476,AL483)</f>
        <v>0</v>
      </c>
      <c r="AN481" s="52">
        <f t="shared" ref="AN481" ca="1" si="5192" xml:space="preserve"> MIN(AN480*AN476,AM483)</f>
        <v>0</v>
      </c>
      <c r="AO481" s="52">
        <f t="shared" ref="AO481" ca="1" si="5193" xml:space="preserve"> MIN(AO480*AO476,AN483)</f>
        <v>0</v>
      </c>
      <c r="AP481" s="52">
        <f t="shared" ref="AP481" ca="1" si="5194" xml:space="preserve"> MIN(AP480*AP476,AO483)</f>
        <v>0</v>
      </c>
      <c r="AQ481" s="52">
        <f t="shared" ref="AQ481" ca="1" si="5195" xml:space="preserve"> MIN(AQ480*AQ476,AP483)</f>
        <v>0</v>
      </c>
      <c r="AR481" s="52">
        <f t="shared" ref="AR481" ca="1" si="5196" xml:space="preserve"> MIN(AR480*AR476,AQ483)</f>
        <v>0</v>
      </c>
      <c r="AS481" s="52">
        <f t="shared" ref="AS481" ca="1" si="5197" xml:space="preserve"> MIN(AS480*AS476,AR483)</f>
        <v>0</v>
      </c>
      <c r="AT481" s="52">
        <f t="shared" ref="AT481" ca="1" si="5198" xml:space="preserve"> MIN(AT480*AT476,AS483)</f>
        <v>0</v>
      </c>
      <c r="AU481" s="52">
        <f t="shared" ref="AU481" ca="1" si="5199" xml:space="preserve"> MIN(AU480*AU476,AT483)</f>
        <v>0</v>
      </c>
      <c r="AV481" s="52">
        <f t="shared" ref="AV481" ca="1" si="5200" xml:space="preserve"> MIN(AV480*AV476,AU483)</f>
        <v>0</v>
      </c>
      <c r="AW481" s="52">
        <f t="shared" ref="AW481" ca="1" si="5201" xml:space="preserve"> MIN(AW480*AW476,AV483)</f>
        <v>0</v>
      </c>
      <c r="AX481" s="52">
        <f t="shared" ref="AX481" ca="1" si="5202" xml:space="preserve"> MIN(AX480*AX476,AW483)</f>
        <v>0</v>
      </c>
      <c r="AY481" s="52">
        <f t="shared" ref="AY481" ca="1" si="5203" xml:space="preserve"> MIN(AY480*AY476,AX483)</f>
        <v>0</v>
      </c>
      <c r="AZ481" s="52">
        <f t="shared" ref="AZ481" ca="1" si="5204" xml:space="preserve"> MIN(AZ480*AZ476,AY483)</f>
        <v>0</v>
      </c>
      <c r="BA481" s="52">
        <f t="shared" ref="BA481" ca="1" si="5205" xml:space="preserve"> MIN(BA480*BA476,AZ483)</f>
        <v>0</v>
      </c>
      <c r="BB481" s="52">
        <f t="shared" ref="BB481" ca="1" si="5206" xml:space="preserve"> MIN(BB480*BB476,BA483)</f>
        <v>0</v>
      </c>
      <c r="BC481" s="52">
        <f t="shared" ref="BC481" ca="1" si="5207" xml:space="preserve"> MIN(BC480*BC476,BB483)</f>
        <v>0</v>
      </c>
      <c r="BD481" s="52">
        <f t="shared" ref="BD481" ca="1" si="5208" xml:space="preserve"> MIN(BD480*BD476,BC483)</f>
        <v>0</v>
      </c>
      <c r="BE481" s="52">
        <f t="shared" ref="BE481" ca="1" si="5209" xml:space="preserve"> MIN(BE480*BE476,BD483)</f>
        <v>0</v>
      </c>
      <c r="BF481" s="52">
        <f t="shared" ref="BF481" ca="1" si="5210" xml:space="preserve"> MIN(BF480*BF476,BE483)</f>
        <v>0</v>
      </c>
      <c r="BG481" s="52">
        <f t="shared" ref="BG481" ca="1" si="5211" xml:space="preserve"> MIN(BG480*BG476,BF483)</f>
        <v>0</v>
      </c>
      <c r="BH481" s="52">
        <f t="shared" ref="BH481" ca="1" si="5212" xml:space="preserve"> MIN(BH480*BH476,BG483)</f>
        <v>0</v>
      </c>
      <c r="BI481" s="52">
        <f t="shared" ref="BI481" ca="1" si="5213" xml:space="preserve"> MIN(BI480*BI476,BH483)</f>
        <v>0</v>
      </c>
      <c r="BJ481" s="52">
        <f t="shared" ref="BJ481" ca="1" si="5214" xml:space="preserve"> MIN(BJ480*BJ476,BI483)</f>
        <v>0</v>
      </c>
      <c r="BK481" s="52">
        <f t="shared" ref="BK481" ca="1" si="5215" xml:space="preserve"> MIN(BK480*BK476,BJ483)</f>
        <v>0</v>
      </c>
      <c r="BL481" s="52">
        <f t="shared" ref="BL481" ca="1" si="5216" xml:space="preserve"> MIN(BL480*BL476,BK483)</f>
        <v>0</v>
      </c>
      <c r="BM481" s="52">
        <f t="shared" ref="BM481" ca="1" si="5217" xml:space="preserve"> MIN(BM480*BM476,BL483)</f>
        <v>0</v>
      </c>
      <c r="BN481" s="52">
        <f t="shared" ref="BN481" ca="1" si="5218" xml:space="preserve"> MIN(BN480*BN476,BM483)</f>
        <v>0</v>
      </c>
      <c r="BO481" s="52">
        <f t="shared" ref="BO481" ca="1" si="5219" xml:space="preserve"> MIN(BO480*BO476,BN483)</f>
        <v>0</v>
      </c>
      <c r="BP481" s="52">
        <f t="shared" ref="BP481" ca="1" si="5220" xml:space="preserve"> MIN(BP480*BP476,BO483)</f>
        <v>0</v>
      </c>
      <c r="BQ481" s="52">
        <f t="shared" ref="BQ481" ca="1" si="5221" xml:space="preserve"> MIN(BQ480*BQ476,BP483)</f>
        <v>0</v>
      </c>
      <c r="BR481" s="52">
        <f t="shared" ref="BR481" ca="1" si="5222" xml:space="preserve"> MIN(BR480*BR476,BQ483)</f>
        <v>0</v>
      </c>
      <c r="BS481" s="52">
        <f t="shared" ref="BS481" ca="1" si="5223" xml:space="preserve"> MIN(BS480*BS476,BR483)</f>
        <v>0</v>
      </c>
      <c r="BT481" s="52">
        <f t="shared" ref="BT481" ca="1" si="5224" xml:space="preserve"> MIN(BT480*BT476,BS483)</f>
        <v>0</v>
      </c>
      <c r="BU481" s="52">
        <f t="shared" ref="BU481" ca="1" si="5225" xml:space="preserve"> MIN(BU480*BU476,BT483)</f>
        <v>0</v>
      </c>
      <c r="BV481" s="52">
        <f t="shared" ref="BV481" ca="1" si="5226" xml:space="preserve"> MIN(BV480*BV476,BU483)</f>
        <v>0</v>
      </c>
      <c r="BW481" s="52">
        <f t="shared" ref="BW481" ca="1" si="5227" xml:space="preserve"> MIN(BW480*BW476,BV483)</f>
        <v>0</v>
      </c>
      <c r="BX481" s="52">
        <f t="shared" ref="BX481" ca="1" si="5228" xml:space="preserve"> MIN(BX480*BX476,BW483)</f>
        <v>0</v>
      </c>
      <c r="BY481" s="52">
        <f t="shared" ref="BY481" ca="1" si="5229" xml:space="preserve"> MIN(BY480*BY476,BX483)</f>
        <v>0</v>
      </c>
      <c r="BZ481" s="52">
        <f t="shared" ref="BZ481" ca="1" si="5230" xml:space="preserve"> MIN(BZ480*BZ476,BY483)</f>
        <v>0</v>
      </c>
      <c r="CA481" s="52">
        <f t="shared" ref="CA481" ca="1" si="5231" xml:space="preserve"> MIN(CA480*CA476,BZ483)</f>
        <v>0</v>
      </c>
      <c r="CB481" s="52">
        <f t="shared" ref="CB481" ca="1" si="5232" xml:space="preserve"> MIN(CB480*CB476,CA483)</f>
        <v>0</v>
      </c>
      <c r="CC481" s="52">
        <f t="shared" ref="CC481" ca="1" si="5233" xml:space="preserve"> MIN(CC480*CC476,CB483)</f>
        <v>0</v>
      </c>
      <c r="CD481" s="52">
        <f t="shared" ref="CD481" ca="1" si="5234" xml:space="preserve"> MIN(CD480*CD476,CC483)</f>
        <v>0</v>
      </c>
      <c r="CE481" s="52">
        <f t="shared" ref="CE481" ca="1" si="5235" xml:space="preserve"> MIN(CE480*CE476,CD483)</f>
        <v>0</v>
      </c>
      <c r="CF481" s="52">
        <f t="shared" ref="CF481" ca="1" si="5236" xml:space="preserve"> MIN(CF480*CF476,CE483)</f>
        <v>0</v>
      </c>
      <c r="CG481" s="52">
        <f t="shared" ref="CG481" ca="1" si="5237" xml:space="preserve"> MIN(CG480*CG476,CF483)</f>
        <v>0</v>
      </c>
      <c r="CH481" s="52">
        <f t="shared" ref="CH481" ca="1" si="5238" xml:space="preserve"> MIN(CH480*CH476,CG483)</f>
        <v>0</v>
      </c>
      <c r="CI481" s="52">
        <f t="shared" ref="CI481" ca="1" si="5239" xml:space="preserve"> MIN(CI480*CI476,CH483)</f>
        <v>0</v>
      </c>
      <c r="CJ481" s="52">
        <f t="shared" ref="CJ481" ca="1" si="5240" xml:space="preserve"> MIN(CJ480*CJ476,CI483)</f>
        <v>0</v>
      </c>
      <c r="CK481" s="52">
        <f t="shared" ref="CK481" ca="1" si="5241" xml:space="preserve"> MIN(CK480*CK476,CJ483)</f>
        <v>0</v>
      </c>
      <c r="CL481" s="52">
        <f t="shared" ref="CL481" ca="1" si="5242" xml:space="preserve"> MIN(CL480*CL476,CK483)</f>
        <v>0</v>
      </c>
      <c r="CM481" s="52">
        <f t="shared" ref="CM481" ca="1" si="5243" xml:space="preserve"> MIN(CM480*CM476,CL483)</f>
        <v>0</v>
      </c>
      <c r="CN481" s="52">
        <f t="shared" ref="CN481" ca="1" si="5244" xml:space="preserve"> MIN(CN480*CN476,CM483)</f>
        <v>0</v>
      </c>
      <c r="CO481" s="52">
        <f t="shared" ref="CO481" ca="1" si="5245" xml:space="preserve"> MIN(CO480*CO476,CN483)</f>
        <v>0</v>
      </c>
    </row>
    <row r="482" spans="1:93">
      <c r="A482" s="10"/>
      <c r="B482" s="10"/>
      <c r="C482" s="17" t="s">
        <v>127</v>
      </c>
      <c r="D482" s="10"/>
      <c r="E482" s="62"/>
      <c r="F482" s="11"/>
      <c r="G482" s="134" t="str">
        <f t="shared" si="5151"/>
        <v>тыс. руб.</v>
      </c>
      <c r="H482" s="10"/>
      <c r="I482" s="10"/>
      <c r="J482" s="10"/>
      <c r="K482" s="10"/>
      <c r="L482" s="52">
        <f t="shared" ref="L482" ca="1" si="5246" xml:space="preserve"> SUM(K482,-L481)</f>
        <v>0</v>
      </c>
      <c r="M482" s="52">
        <f t="shared" ref="M482" ca="1" si="5247" xml:space="preserve"> SUM(L482,-M481)</f>
        <v>0</v>
      </c>
      <c r="N482" s="52">
        <f t="shared" ref="N482" ca="1" si="5248" xml:space="preserve"> SUM(M482,-N481)</f>
        <v>0</v>
      </c>
      <c r="O482" s="52">
        <f t="shared" ref="O482" ca="1" si="5249" xml:space="preserve"> SUM(N482,-O481)</f>
        <v>0</v>
      </c>
      <c r="P482" s="52">
        <f t="shared" ref="P482" ca="1" si="5250" xml:space="preserve"> SUM(O482,-P481)</f>
        <v>0</v>
      </c>
      <c r="Q482" s="52">
        <f t="shared" ref="Q482" ca="1" si="5251" xml:space="preserve"> SUM(P482,-Q481)</f>
        <v>0</v>
      </c>
      <c r="R482" s="52">
        <f t="shared" ref="R482" ca="1" si="5252" xml:space="preserve"> SUM(Q482,-R481)</f>
        <v>0</v>
      </c>
      <c r="S482" s="52">
        <f t="shared" ref="S482" ca="1" si="5253" xml:space="preserve"> SUM(R482,-S481)</f>
        <v>0</v>
      </c>
      <c r="T482" s="52">
        <f t="shared" ref="T482" ca="1" si="5254" xml:space="preserve"> SUM(S482,-T481)</f>
        <v>0</v>
      </c>
      <c r="U482" s="52">
        <f t="shared" ref="U482" ca="1" si="5255" xml:space="preserve"> SUM(T482,-U481)</f>
        <v>0</v>
      </c>
      <c r="V482" s="52">
        <f t="shared" ref="V482" ca="1" si="5256" xml:space="preserve"> SUM(U482,-V481)</f>
        <v>0</v>
      </c>
      <c r="W482" s="52">
        <f t="shared" ref="W482" ca="1" si="5257" xml:space="preserve"> SUM(V482,-W481)</f>
        <v>0</v>
      </c>
      <c r="X482" s="52">
        <f t="shared" ref="X482" ca="1" si="5258" xml:space="preserve"> SUM(W482,-X481)</f>
        <v>0</v>
      </c>
      <c r="Y482" s="52">
        <f t="shared" ref="Y482" ca="1" si="5259" xml:space="preserve"> SUM(X482,-Y481)</f>
        <v>0</v>
      </c>
      <c r="Z482" s="52">
        <f t="shared" ref="Z482" ca="1" si="5260" xml:space="preserve"> SUM(Y482,-Z481)</f>
        <v>0</v>
      </c>
      <c r="AA482" s="52">
        <f t="shared" ref="AA482" ca="1" si="5261" xml:space="preserve"> SUM(Z482,-AA481)</f>
        <v>0</v>
      </c>
      <c r="AB482" s="52">
        <f t="shared" ref="AB482" ca="1" si="5262" xml:space="preserve"> SUM(AA482,-AB481)</f>
        <v>0</v>
      </c>
      <c r="AC482" s="52">
        <f t="shared" ref="AC482" ca="1" si="5263" xml:space="preserve"> SUM(AB482,-AC481)</f>
        <v>0</v>
      </c>
      <c r="AD482" s="52">
        <f t="shared" ref="AD482" ca="1" si="5264" xml:space="preserve"> SUM(AC482,-AD481)</f>
        <v>0</v>
      </c>
      <c r="AE482" s="52">
        <f t="shared" ref="AE482" ca="1" si="5265" xml:space="preserve"> SUM(AD482,-AE481)</f>
        <v>0</v>
      </c>
      <c r="AF482" s="52">
        <f t="shared" ref="AF482" ca="1" si="5266" xml:space="preserve"> SUM(AE482,-AF481)</f>
        <v>0</v>
      </c>
      <c r="AG482" s="52">
        <f t="shared" ref="AG482" ca="1" si="5267" xml:space="preserve"> SUM(AF482,-AG481)</f>
        <v>0</v>
      </c>
      <c r="AH482" s="52">
        <f t="shared" ref="AH482" ca="1" si="5268" xml:space="preserve"> SUM(AG482,-AH481)</f>
        <v>0</v>
      </c>
      <c r="AI482" s="52">
        <f t="shared" ref="AI482" ca="1" si="5269" xml:space="preserve"> SUM(AH482,-AI481)</f>
        <v>0</v>
      </c>
      <c r="AJ482" s="52">
        <f t="shared" ref="AJ482" ca="1" si="5270" xml:space="preserve"> SUM(AI482,-AJ481)</f>
        <v>0</v>
      </c>
      <c r="AK482" s="52">
        <f t="shared" ref="AK482" ca="1" si="5271" xml:space="preserve"> SUM(AJ482,-AK481)</f>
        <v>0</v>
      </c>
      <c r="AL482" s="52">
        <f t="shared" ref="AL482" ca="1" si="5272" xml:space="preserve"> SUM(AK482,-AL481)</f>
        <v>0</v>
      </c>
      <c r="AM482" s="52">
        <f t="shared" ref="AM482" ca="1" si="5273" xml:space="preserve"> SUM(AL482,-AM481)</f>
        <v>0</v>
      </c>
      <c r="AN482" s="52">
        <f t="shared" ref="AN482" ca="1" si="5274" xml:space="preserve"> SUM(AM482,-AN481)</f>
        <v>0</v>
      </c>
      <c r="AO482" s="52">
        <f t="shared" ref="AO482" ca="1" si="5275" xml:space="preserve"> SUM(AN482,-AO481)</f>
        <v>0</v>
      </c>
      <c r="AP482" s="52">
        <f t="shared" ref="AP482" ca="1" si="5276" xml:space="preserve"> SUM(AO482,-AP481)</f>
        <v>0</v>
      </c>
      <c r="AQ482" s="52">
        <f t="shared" ref="AQ482" ca="1" si="5277" xml:space="preserve"> SUM(AP482,-AQ481)</f>
        <v>0</v>
      </c>
      <c r="AR482" s="52">
        <f t="shared" ref="AR482" ca="1" si="5278" xml:space="preserve"> SUM(AQ482,-AR481)</f>
        <v>0</v>
      </c>
      <c r="AS482" s="52">
        <f t="shared" ref="AS482" ca="1" si="5279" xml:space="preserve"> SUM(AR482,-AS481)</f>
        <v>0</v>
      </c>
      <c r="AT482" s="52">
        <f t="shared" ref="AT482" ca="1" si="5280" xml:space="preserve"> SUM(AS482,-AT481)</f>
        <v>0</v>
      </c>
      <c r="AU482" s="52">
        <f t="shared" ref="AU482" ca="1" si="5281" xml:space="preserve"> SUM(AT482,-AU481)</f>
        <v>0</v>
      </c>
      <c r="AV482" s="52">
        <f t="shared" ref="AV482" ca="1" si="5282" xml:space="preserve"> SUM(AU482,-AV481)</f>
        <v>0</v>
      </c>
      <c r="AW482" s="52">
        <f t="shared" ref="AW482" ca="1" si="5283" xml:space="preserve"> SUM(AV482,-AW481)</f>
        <v>0</v>
      </c>
      <c r="AX482" s="52">
        <f t="shared" ref="AX482" ca="1" si="5284" xml:space="preserve"> SUM(AW482,-AX481)</f>
        <v>0</v>
      </c>
      <c r="AY482" s="52">
        <f t="shared" ref="AY482" ca="1" si="5285" xml:space="preserve"> SUM(AX482,-AY481)</f>
        <v>0</v>
      </c>
      <c r="AZ482" s="52">
        <f t="shared" ref="AZ482" ca="1" si="5286" xml:space="preserve"> SUM(AY482,-AZ481)</f>
        <v>0</v>
      </c>
      <c r="BA482" s="52">
        <f t="shared" ref="BA482" ca="1" si="5287" xml:space="preserve"> SUM(AZ482,-BA481)</f>
        <v>0</v>
      </c>
      <c r="BB482" s="52">
        <f t="shared" ref="BB482" ca="1" si="5288" xml:space="preserve"> SUM(BA482,-BB481)</f>
        <v>0</v>
      </c>
      <c r="BC482" s="52">
        <f t="shared" ref="BC482" ca="1" si="5289" xml:space="preserve"> SUM(BB482,-BC481)</f>
        <v>0</v>
      </c>
      <c r="BD482" s="52">
        <f t="shared" ref="BD482" ca="1" si="5290" xml:space="preserve"> SUM(BC482,-BD481)</f>
        <v>0</v>
      </c>
      <c r="BE482" s="52">
        <f t="shared" ref="BE482" ca="1" si="5291" xml:space="preserve"> SUM(BD482,-BE481)</f>
        <v>0</v>
      </c>
      <c r="BF482" s="52">
        <f t="shared" ref="BF482" ca="1" si="5292" xml:space="preserve"> SUM(BE482,-BF481)</f>
        <v>0</v>
      </c>
      <c r="BG482" s="52">
        <f t="shared" ref="BG482" ca="1" si="5293" xml:space="preserve"> SUM(BF482,-BG481)</f>
        <v>0</v>
      </c>
      <c r="BH482" s="52">
        <f t="shared" ref="BH482" ca="1" si="5294" xml:space="preserve"> SUM(BG482,-BH481)</f>
        <v>0</v>
      </c>
      <c r="BI482" s="52">
        <f t="shared" ref="BI482" ca="1" si="5295" xml:space="preserve"> SUM(BH482,-BI481)</f>
        <v>0</v>
      </c>
      <c r="BJ482" s="52">
        <f t="shared" ref="BJ482" ca="1" si="5296" xml:space="preserve"> SUM(BI482,-BJ481)</f>
        <v>0</v>
      </c>
      <c r="BK482" s="52">
        <f t="shared" ref="BK482" ca="1" si="5297" xml:space="preserve"> SUM(BJ482,-BK481)</f>
        <v>0</v>
      </c>
      <c r="BL482" s="52">
        <f t="shared" ref="BL482" ca="1" si="5298" xml:space="preserve"> SUM(BK482,-BL481)</f>
        <v>0</v>
      </c>
      <c r="BM482" s="52">
        <f t="shared" ref="BM482" ca="1" si="5299" xml:space="preserve"> SUM(BL482,-BM481)</f>
        <v>0</v>
      </c>
      <c r="BN482" s="52">
        <f t="shared" ref="BN482" ca="1" si="5300" xml:space="preserve"> SUM(BM482,-BN481)</f>
        <v>0</v>
      </c>
      <c r="BO482" s="52">
        <f t="shared" ref="BO482" ca="1" si="5301" xml:space="preserve"> SUM(BN482,-BO481)</f>
        <v>0</v>
      </c>
      <c r="BP482" s="52">
        <f t="shared" ref="BP482" ca="1" si="5302" xml:space="preserve"> SUM(BO482,-BP481)</f>
        <v>0</v>
      </c>
      <c r="BQ482" s="52">
        <f t="shared" ref="BQ482" ca="1" si="5303" xml:space="preserve"> SUM(BP482,-BQ481)</f>
        <v>0</v>
      </c>
      <c r="BR482" s="52">
        <f t="shared" ref="BR482" ca="1" si="5304" xml:space="preserve"> SUM(BQ482,-BR481)</f>
        <v>0</v>
      </c>
      <c r="BS482" s="52">
        <f t="shared" ref="BS482" ca="1" si="5305" xml:space="preserve"> SUM(BR482,-BS481)</f>
        <v>0</v>
      </c>
      <c r="BT482" s="52">
        <f t="shared" ref="BT482" ca="1" si="5306" xml:space="preserve"> SUM(BS482,-BT481)</f>
        <v>0</v>
      </c>
      <c r="BU482" s="52">
        <f t="shared" ref="BU482" ca="1" si="5307" xml:space="preserve"> SUM(BT482,-BU481)</f>
        <v>0</v>
      </c>
      <c r="BV482" s="52">
        <f t="shared" ref="BV482" ca="1" si="5308" xml:space="preserve"> SUM(BU482,-BV481)</f>
        <v>0</v>
      </c>
      <c r="BW482" s="52">
        <f t="shared" ref="BW482" ca="1" si="5309" xml:space="preserve"> SUM(BV482,-BW481)</f>
        <v>0</v>
      </c>
      <c r="BX482" s="52">
        <f t="shared" ref="BX482" ca="1" si="5310" xml:space="preserve"> SUM(BW482,-BX481)</f>
        <v>0</v>
      </c>
      <c r="BY482" s="52">
        <f t="shared" ref="BY482" ca="1" si="5311" xml:space="preserve"> SUM(BX482,-BY481)</f>
        <v>0</v>
      </c>
      <c r="BZ482" s="52">
        <f t="shared" ref="BZ482" ca="1" si="5312" xml:space="preserve"> SUM(BY482,-BZ481)</f>
        <v>0</v>
      </c>
      <c r="CA482" s="52">
        <f t="shared" ref="CA482" ca="1" si="5313" xml:space="preserve"> SUM(BZ482,-CA481)</f>
        <v>0</v>
      </c>
      <c r="CB482" s="52">
        <f t="shared" ref="CB482" ca="1" si="5314" xml:space="preserve"> SUM(CA482,-CB481)</f>
        <v>0</v>
      </c>
      <c r="CC482" s="52">
        <f t="shared" ref="CC482" ca="1" si="5315" xml:space="preserve"> SUM(CB482,-CC481)</f>
        <v>0</v>
      </c>
      <c r="CD482" s="52">
        <f t="shared" ref="CD482" ca="1" si="5316" xml:space="preserve"> SUM(CC482,-CD481)</f>
        <v>0</v>
      </c>
      <c r="CE482" s="52">
        <f t="shared" ref="CE482" ca="1" si="5317" xml:space="preserve"> SUM(CD482,-CE481)</f>
        <v>0</v>
      </c>
      <c r="CF482" s="52">
        <f t="shared" ref="CF482" ca="1" si="5318" xml:space="preserve"> SUM(CE482,-CF481)</f>
        <v>0</v>
      </c>
      <c r="CG482" s="52">
        <f t="shared" ref="CG482" ca="1" si="5319" xml:space="preserve"> SUM(CF482,-CG481)</f>
        <v>0</v>
      </c>
      <c r="CH482" s="52">
        <f t="shared" ref="CH482" ca="1" si="5320" xml:space="preserve"> SUM(CG482,-CH481)</f>
        <v>0</v>
      </c>
      <c r="CI482" s="52">
        <f t="shared" ref="CI482" ca="1" si="5321" xml:space="preserve"> SUM(CH482,-CI481)</f>
        <v>0</v>
      </c>
      <c r="CJ482" s="52">
        <f t="shared" ref="CJ482" ca="1" si="5322" xml:space="preserve"> SUM(CI482,-CJ481)</f>
        <v>0</v>
      </c>
      <c r="CK482" s="52">
        <f t="shared" ref="CK482" ca="1" si="5323" xml:space="preserve"> SUM(CJ482,-CK481)</f>
        <v>0</v>
      </c>
      <c r="CL482" s="52">
        <f t="shared" ref="CL482" ca="1" si="5324" xml:space="preserve"> SUM(CK482,-CL481)</f>
        <v>0</v>
      </c>
      <c r="CM482" s="52">
        <f t="shared" ref="CM482" ca="1" si="5325" xml:space="preserve"> SUM(CL482,-CM481)</f>
        <v>0</v>
      </c>
      <c r="CN482" s="52">
        <f t="shared" ref="CN482" ca="1" si="5326" xml:space="preserve"> SUM(CM482,-CN481)</f>
        <v>0</v>
      </c>
      <c r="CO482" s="52">
        <f t="shared" ref="CO482" ca="1" si="5327" xml:space="preserve"> SUM(CN482,-CO481)</f>
        <v>0</v>
      </c>
    </row>
    <row r="483" spans="1:93">
      <c r="A483" s="10"/>
      <c r="B483" s="10"/>
      <c r="C483" s="17" t="s">
        <v>128</v>
      </c>
      <c r="D483" s="42"/>
      <c r="E483" s="62"/>
      <c r="F483" s="11"/>
      <c r="G483" s="134" t="str">
        <f t="shared" si="5151"/>
        <v>тыс. руб.</v>
      </c>
      <c r="H483" s="10"/>
      <c r="I483" s="10"/>
      <c r="J483" s="10"/>
      <c r="K483" s="10"/>
      <c r="L483" s="52">
        <f t="shared" ref="L483" ca="1" si="5328" xml:space="preserve"> SUM(L480,L482)</f>
        <v>0</v>
      </c>
      <c r="M483" s="52">
        <f t="shared" ref="M483" ca="1" si="5329" xml:space="preserve"> SUM(M480,M482)</f>
        <v>0</v>
      </c>
      <c r="N483" s="52">
        <f t="shared" ref="N483" ca="1" si="5330" xml:space="preserve"> SUM(N480,N482)</f>
        <v>0</v>
      </c>
      <c r="O483" s="52">
        <f t="shared" ref="O483" ca="1" si="5331" xml:space="preserve"> SUM(O480,O482)</f>
        <v>0</v>
      </c>
      <c r="P483" s="52">
        <f t="shared" ref="P483" ca="1" si="5332" xml:space="preserve"> SUM(P480,P482)</f>
        <v>0</v>
      </c>
      <c r="Q483" s="52">
        <f t="shared" ref="Q483" ca="1" si="5333" xml:space="preserve"> SUM(Q480,Q482)</f>
        <v>0</v>
      </c>
      <c r="R483" s="52">
        <f t="shared" ref="R483" ca="1" si="5334" xml:space="preserve"> SUM(R480,R482)</f>
        <v>0</v>
      </c>
      <c r="S483" s="52">
        <f t="shared" ref="S483" ca="1" si="5335" xml:space="preserve"> SUM(S480,S482)</f>
        <v>0</v>
      </c>
      <c r="T483" s="52">
        <f t="shared" ref="T483" ca="1" si="5336" xml:space="preserve"> SUM(T480,T482)</f>
        <v>0</v>
      </c>
      <c r="U483" s="52">
        <f t="shared" ref="U483" ca="1" si="5337" xml:space="preserve"> SUM(U480,U482)</f>
        <v>0</v>
      </c>
      <c r="V483" s="52">
        <f t="shared" ref="V483" ca="1" si="5338" xml:space="preserve"> SUM(V480,V482)</f>
        <v>0</v>
      </c>
      <c r="W483" s="52">
        <f t="shared" ref="W483" ca="1" si="5339" xml:space="preserve"> SUM(W480,W482)</f>
        <v>0</v>
      </c>
      <c r="X483" s="52">
        <f t="shared" ref="X483" ca="1" si="5340" xml:space="preserve"> SUM(X480,X482)</f>
        <v>0</v>
      </c>
      <c r="Y483" s="52">
        <f t="shared" ref="Y483" ca="1" si="5341" xml:space="preserve"> SUM(Y480,Y482)</f>
        <v>0</v>
      </c>
      <c r="Z483" s="52">
        <f t="shared" ref="Z483" ca="1" si="5342" xml:space="preserve"> SUM(Z480,Z482)</f>
        <v>0</v>
      </c>
      <c r="AA483" s="52">
        <f t="shared" ref="AA483" ca="1" si="5343" xml:space="preserve"> SUM(AA480,AA482)</f>
        <v>0</v>
      </c>
      <c r="AB483" s="52">
        <f t="shared" ref="AB483" ca="1" si="5344" xml:space="preserve"> SUM(AB480,AB482)</f>
        <v>0</v>
      </c>
      <c r="AC483" s="52">
        <f t="shared" ref="AC483" ca="1" si="5345" xml:space="preserve"> SUM(AC480,AC482)</f>
        <v>0</v>
      </c>
      <c r="AD483" s="52">
        <f t="shared" ref="AD483" ca="1" si="5346" xml:space="preserve"> SUM(AD480,AD482)</f>
        <v>0</v>
      </c>
      <c r="AE483" s="52">
        <f t="shared" ref="AE483" ca="1" si="5347" xml:space="preserve"> SUM(AE480,AE482)</f>
        <v>0</v>
      </c>
      <c r="AF483" s="52">
        <f t="shared" ref="AF483" ca="1" si="5348" xml:space="preserve"> SUM(AF480,AF482)</f>
        <v>0</v>
      </c>
      <c r="AG483" s="52">
        <f t="shared" ref="AG483" ca="1" si="5349" xml:space="preserve"> SUM(AG480,AG482)</f>
        <v>0</v>
      </c>
      <c r="AH483" s="52">
        <f t="shared" ref="AH483" ca="1" si="5350" xml:space="preserve"> SUM(AH480,AH482)</f>
        <v>0</v>
      </c>
      <c r="AI483" s="52">
        <f t="shared" ref="AI483" ca="1" si="5351" xml:space="preserve"> SUM(AI480,AI482)</f>
        <v>0</v>
      </c>
      <c r="AJ483" s="52">
        <f t="shared" ref="AJ483" ca="1" si="5352" xml:space="preserve"> SUM(AJ480,AJ482)</f>
        <v>0</v>
      </c>
      <c r="AK483" s="52">
        <f t="shared" ref="AK483" ca="1" si="5353" xml:space="preserve"> SUM(AK480,AK482)</f>
        <v>0</v>
      </c>
      <c r="AL483" s="52">
        <f t="shared" ref="AL483" ca="1" si="5354" xml:space="preserve"> SUM(AL480,AL482)</f>
        <v>0</v>
      </c>
      <c r="AM483" s="52">
        <f t="shared" ref="AM483" ca="1" si="5355" xml:space="preserve"> SUM(AM480,AM482)</f>
        <v>0</v>
      </c>
      <c r="AN483" s="52">
        <f t="shared" ref="AN483" ca="1" si="5356" xml:space="preserve"> SUM(AN480,AN482)</f>
        <v>0</v>
      </c>
      <c r="AO483" s="52">
        <f t="shared" ref="AO483" ca="1" si="5357" xml:space="preserve"> SUM(AO480,AO482)</f>
        <v>0</v>
      </c>
      <c r="AP483" s="52">
        <f t="shared" ref="AP483" ca="1" si="5358" xml:space="preserve"> SUM(AP480,AP482)</f>
        <v>0</v>
      </c>
      <c r="AQ483" s="52">
        <f t="shared" ref="AQ483" ca="1" si="5359" xml:space="preserve"> SUM(AQ480,AQ482)</f>
        <v>0</v>
      </c>
      <c r="AR483" s="52">
        <f t="shared" ref="AR483" ca="1" si="5360" xml:space="preserve"> SUM(AR480,AR482)</f>
        <v>0</v>
      </c>
      <c r="AS483" s="52">
        <f t="shared" ref="AS483" ca="1" si="5361" xml:space="preserve"> SUM(AS480,AS482)</f>
        <v>0</v>
      </c>
      <c r="AT483" s="52">
        <f t="shared" ref="AT483" ca="1" si="5362" xml:space="preserve"> SUM(AT480,AT482)</f>
        <v>0</v>
      </c>
      <c r="AU483" s="52">
        <f t="shared" ref="AU483" ca="1" si="5363" xml:space="preserve"> SUM(AU480,AU482)</f>
        <v>0</v>
      </c>
      <c r="AV483" s="52">
        <f t="shared" ref="AV483" ca="1" si="5364" xml:space="preserve"> SUM(AV480,AV482)</f>
        <v>0</v>
      </c>
      <c r="AW483" s="52">
        <f t="shared" ref="AW483" ca="1" si="5365" xml:space="preserve"> SUM(AW480,AW482)</f>
        <v>0</v>
      </c>
      <c r="AX483" s="52">
        <f t="shared" ref="AX483" ca="1" si="5366" xml:space="preserve"> SUM(AX480,AX482)</f>
        <v>0</v>
      </c>
      <c r="AY483" s="52">
        <f t="shared" ref="AY483" ca="1" si="5367" xml:space="preserve"> SUM(AY480,AY482)</f>
        <v>0</v>
      </c>
      <c r="AZ483" s="52">
        <f t="shared" ref="AZ483" ca="1" si="5368" xml:space="preserve"> SUM(AZ480,AZ482)</f>
        <v>0</v>
      </c>
      <c r="BA483" s="52">
        <f t="shared" ref="BA483" ca="1" si="5369" xml:space="preserve"> SUM(BA480,BA482)</f>
        <v>0</v>
      </c>
      <c r="BB483" s="52">
        <f t="shared" ref="BB483" ca="1" si="5370" xml:space="preserve"> SUM(BB480,BB482)</f>
        <v>0</v>
      </c>
      <c r="BC483" s="52">
        <f t="shared" ref="BC483" ca="1" si="5371" xml:space="preserve"> SUM(BC480,BC482)</f>
        <v>0</v>
      </c>
      <c r="BD483" s="52">
        <f t="shared" ref="BD483" ca="1" si="5372" xml:space="preserve"> SUM(BD480,BD482)</f>
        <v>0</v>
      </c>
      <c r="BE483" s="52">
        <f t="shared" ref="BE483" ca="1" si="5373" xml:space="preserve"> SUM(BE480,BE482)</f>
        <v>0</v>
      </c>
      <c r="BF483" s="52">
        <f t="shared" ref="BF483" ca="1" si="5374" xml:space="preserve"> SUM(BF480,BF482)</f>
        <v>0</v>
      </c>
      <c r="BG483" s="52">
        <f t="shared" ref="BG483" ca="1" si="5375" xml:space="preserve"> SUM(BG480,BG482)</f>
        <v>0</v>
      </c>
      <c r="BH483" s="52">
        <f t="shared" ref="BH483" ca="1" si="5376" xml:space="preserve"> SUM(BH480,BH482)</f>
        <v>0</v>
      </c>
      <c r="BI483" s="52">
        <f t="shared" ref="BI483" ca="1" si="5377" xml:space="preserve"> SUM(BI480,BI482)</f>
        <v>0</v>
      </c>
      <c r="BJ483" s="52">
        <f t="shared" ref="BJ483" ca="1" si="5378" xml:space="preserve"> SUM(BJ480,BJ482)</f>
        <v>0</v>
      </c>
      <c r="BK483" s="52">
        <f t="shared" ref="BK483" ca="1" si="5379" xml:space="preserve"> SUM(BK480,BK482)</f>
        <v>0</v>
      </c>
      <c r="BL483" s="52">
        <f t="shared" ref="BL483" ca="1" si="5380" xml:space="preserve"> SUM(BL480,BL482)</f>
        <v>0</v>
      </c>
      <c r="BM483" s="52">
        <f t="shared" ref="BM483" ca="1" si="5381" xml:space="preserve"> SUM(BM480,BM482)</f>
        <v>0</v>
      </c>
      <c r="BN483" s="52">
        <f t="shared" ref="BN483" ca="1" si="5382" xml:space="preserve"> SUM(BN480,BN482)</f>
        <v>0</v>
      </c>
      <c r="BO483" s="52">
        <f t="shared" ref="BO483" ca="1" si="5383" xml:space="preserve"> SUM(BO480,BO482)</f>
        <v>0</v>
      </c>
      <c r="BP483" s="52">
        <f t="shared" ref="BP483" ca="1" si="5384" xml:space="preserve"> SUM(BP480,BP482)</f>
        <v>0</v>
      </c>
      <c r="BQ483" s="52">
        <f t="shared" ref="BQ483" ca="1" si="5385" xml:space="preserve"> SUM(BQ480,BQ482)</f>
        <v>0</v>
      </c>
      <c r="BR483" s="52">
        <f t="shared" ref="BR483" ca="1" si="5386" xml:space="preserve"> SUM(BR480,BR482)</f>
        <v>0</v>
      </c>
      <c r="BS483" s="52">
        <f t="shared" ref="BS483" ca="1" si="5387" xml:space="preserve"> SUM(BS480,BS482)</f>
        <v>0</v>
      </c>
      <c r="BT483" s="52">
        <f t="shared" ref="BT483" ca="1" si="5388" xml:space="preserve"> SUM(BT480,BT482)</f>
        <v>0</v>
      </c>
      <c r="BU483" s="52">
        <f t="shared" ref="BU483" ca="1" si="5389" xml:space="preserve"> SUM(BU480,BU482)</f>
        <v>0</v>
      </c>
      <c r="BV483" s="52">
        <f t="shared" ref="BV483" ca="1" si="5390" xml:space="preserve"> SUM(BV480,BV482)</f>
        <v>0</v>
      </c>
      <c r="BW483" s="52">
        <f t="shared" ref="BW483" ca="1" si="5391" xml:space="preserve"> SUM(BW480,BW482)</f>
        <v>0</v>
      </c>
      <c r="BX483" s="52">
        <f t="shared" ref="BX483" ca="1" si="5392" xml:space="preserve"> SUM(BX480,BX482)</f>
        <v>0</v>
      </c>
      <c r="BY483" s="52">
        <f t="shared" ref="BY483" ca="1" si="5393" xml:space="preserve"> SUM(BY480,BY482)</f>
        <v>0</v>
      </c>
      <c r="BZ483" s="52">
        <f t="shared" ref="BZ483" ca="1" si="5394" xml:space="preserve"> SUM(BZ480,BZ482)</f>
        <v>0</v>
      </c>
      <c r="CA483" s="52">
        <f t="shared" ref="CA483" ca="1" si="5395" xml:space="preserve"> SUM(CA480,CA482)</f>
        <v>0</v>
      </c>
      <c r="CB483" s="52">
        <f t="shared" ref="CB483" ca="1" si="5396" xml:space="preserve"> SUM(CB480,CB482)</f>
        <v>0</v>
      </c>
      <c r="CC483" s="52">
        <f t="shared" ref="CC483" ca="1" si="5397" xml:space="preserve"> SUM(CC480,CC482)</f>
        <v>0</v>
      </c>
      <c r="CD483" s="52">
        <f t="shared" ref="CD483" ca="1" si="5398" xml:space="preserve"> SUM(CD480,CD482)</f>
        <v>0</v>
      </c>
      <c r="CE483" s="52">
        <f t="shared" ref="CE483" ca="1" si="5399" xml:space="preserve"> SUM(CE480,CE482)</f>
        <v>0</v>
      </c>
      <c r="CF483" s="52">
        <f t="shared" ref="CF483" ca="1" si="5400" xml:space="preserve"> SUM(CF480,CF482)</f>
        <v>0</v>
      </c>
      <c r="CG483" s="52">
        <f t="shared" ref="CG483" ca="1" si="5401" xml:space="preserve"> SUM(CG480,CG482)</f>
        <v>0</v>
      </c>
      <c r="CH483" s="52">
        <f t="shared" ref="CH483" ca="1" si="5402" xml:space="preserve"> SUM(CH480,CH482)</f>
        <v>0</v>
      </c>
      <c r="CI483" s="52">
        <f t="shared" ref="CI483" ca="1" si="5403" xml:space="preserve"> SUM(CI480,CI482)</f>
        <v>0</v>
      </c>
      <c r="CJ483" s="52">
        <f t="shared" ref="CJ483" ca="1" si="5404" xml:space="preserve"> SUM(CJ480,CJ482)</f>
        <v>0</v>
      </c>
      <c r="CK483" s="52">
        <f t="shared" ref="CK483" ca="1" si="5405" xml:space="preserve"> SUM(CK480,CK482)</f>
        <v>0</v>
      </c>
      <c r="CL483" s="52">
        <f t="shared" ref="CL483" ca="1" si="5406" xml:space="preserve"> SUM(CL480,CL482)</f>
        <v>0</v>
      </c>
      <c r="CM483" s="52">
        <f t="shared" ref="CM483" ca="1" si="5407" xml:space="preserve"> SUM(CM480,CM482)</f>
        <v>0</v>
      </c>
      <c r="CN483" s="52">
        <f t="shared" ref="CN483" ca="1" si="5408" xml:space="preserve"> SUM(CN480,CN482)</f>
        <v>0</v>
      </c>
      <c r="CO483" s="52">
        <f t="shared" ref="CO483" ca="1" si="5409" xml:space="preserve"> SUM(CO480,CO482)</f>
        <v>0</v>
      </c>
    </row>
    <row r="484" spans="1:93">
      <c r="A484" s="10"/>
      <c r="B484" s="10"/>
      <c r="C484" s="21"/>
      <c r="D484" s="42"/>
      <c r="E484" s="62"/>
      <c r="F484" s="11"/>
      <c r="G484" s="11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  <c r="CD484" s="10"/>
      <c r="CE484" s="10"/>
      <c r="CF484" s="10"/>
      <c r="CG484" s="10"/>
      <c r="CH484" s="10"/>
      <c r="CI484" s="10"/>
      <c r="CJ484" s="10"/>
      <c r="CK484" s="10"/>
      <c r="CL484" s="10"/>
      <c r="CM484" s="10"/>
      <c r="CN484" s="10"/>
      <c r="CO484" s="10"/>
    </row>
    <row r="485" spans="1:93" ht="16" thickBot="1">
      <c r="A485" s="10"/>
      <c r="B485" s="10"/>
      <c r="C485" s="12" t="s">
        <v>318</v>
      </c>
      <c r="D485" s="12"/>
      <c r="E485" s="12"/>
      <c r="F485" s="12"/>
      <c r="G485" s="362"/>
      <c r="H485" s="12"/>
      <c r="I485" s="12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  <c r="BL485" s="10"/>
      <c r="BM485" s="10"/>
      <c r="BN485" s="10"/>
      <c r="BO485" s="10"/>
      <c r="BP485" s="10"/>
      <c r="BQ485" s="10"/>
      <c r="BR485" s="10"/>
      <c r="BS485" s="10"/>
      <c r="BT485" s="10"/>
      <c r="BU485" s="10"/>
      <c r="BV485" s="10"/>
      <c r="BW485" s="10"/>
      <c r="BX485" s="10"/>
      <c r="BY485" s="10"/>
      <c r="BZ485" s="10"/>
      <c r="CA485" s="10"/>
      <c r="CB485" s="10"/>
      <c r="CC485" s="10"/>
      <c r="CD485" s="10"/>
      <c r="CE485" s="10"/>
      <c r="CF485" s="10"/>
      <c r="CG485" s="10"/>
      <c r="CH485" s="10"/>
      <c r="CI485" s="10"/>
      <c r="CJ485" s="10"/>
      <c r="CK485" s="10"/>
      <c r="CL485" s="10"/>
      <c r="CM485" s="10"/>
      <c r="CN485" s="10"/>
      <c r="CO485" s="10"/>
    </row>
    <row r="486" spans="1:93">
      <c r="A486" s="10"/>
      <c r="B486" s="10"/>
      <c r="C486" s="10"/>
      <c r="D486" s="10"/>
      <c r="E486" s="10"/>
      <c r="F486" s="10"/>
      <c r="G486" s="14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  <c r="BL486" s="10"/>
      <c r="BM486" s="10"/>
      <c r="BN486" s="10"/>
      <c r="BO486" s="10"/>
      <c r="BP486" s="10"/>
      <c r="BQ486" s="10"/>
      <c r="BR486" s="10"/>
      <c r="BS486" s="10"/>
      <c r="BT486" s="10"/>
      <c r="BU486" s="10"/>
      <c r="BV486" s="10"/>
      <c r="BW486" s="10"/>
      <c r="BX486" s="10"/>
      <c r="BY486" s="10"/>
      <c r="BZ486" s="10"/>
      <c r="CA486" s="10"/>
      <c r="CB486" s="10"/>
      <c r="CC486" s="10"/>
      <c r="CD486" s="10"/>
      <c r="CE486" s="10"/>
      <c r="CF486" s="10"/>
      <c r="CG486" s="10"/>
      <c r="CH486" s="10"/>
      <c r="CI486" s="10"/>
      <c r="CJ486" s="10"/>
      <c r="CK486" s="10"/>
      <c r="CL486" s="10"/>
      <c r="CM486" s="10"/>
      <c r="CN486" s="10"/>
      <c r="CO486" s="10"/>
    </row>
    <row r="487" spans="1:93">
      <c r="A487" s="10"/>
      <c r="B487" s="10"/>
      <c r="C487" s="87" t="s">
        <v>390</v>
      </c>
      <c r="D487" s="10"/>
      <c r="E487" s="10"/>
      <c r="F487" s="10"/>
      <c r="G487" s="14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</row>
    <row r="488" spans="1:93">
      <c r="A488" s="10"/>
      <c r="B488" s="10"/>
      <c r="C488" s="17" t="s">
        <v>125</v>
      </c>
      <c r="D488" s="10"/>
      <c r="E488" s="62"/>
      <c r="F488" s="11"/>
      <c r="G488" s="143" t="str">
        <f>Monetary_Unit</f>
        <v>тыс. руб.</v>
      </c>
      <c r="H488" s="10"/>
      <c r="I488" s="10"/>
      <c r="J488" s="10"/>
      <c r="K488" s="10"/>
      <c r="L488" s="52">
        <f t="shared" ref="L488" si="5410">K491*Flag_Forecast</f>
        <v>0</v>
      </c>
      <c r="M488" s="52">
        <f t="shared" ref="M488" ca="1" si="5411">L491*Flag_Forecast</f>
        <v>0</v>
      </c>
      <c r="N488" s="52">
        <f t="shared" ref="N488" ca="1" si="5412">M491*Flag_Forecast</f>
        <v>0</v>
      </c>
      <c r="O488" s="52">
        <f t="shared" ref="O488" ca="1" si="5413">N491*Flag_Forecast</f>
        <v>0</v>
      </c>
      <c r="P488" s="52">
        <f t="shared" ref="P488" ca="1" si="5414">O491*Flag_Forecast</f>
        <v>0</v>
      </c>
      <c r="Q488" s="52">
        <f t="shared" ref="Q488" ca="1" si="5415">P491*Flag_Forecast</f>
        <v>0</v>
      </c>
      <c r="R488" s="52">
        <f t="shared" ref="R488" ca="1" si="5416">Q491*Flag_Forecast</f>
        <v>0</v>
      </c>
      <c r="S488" s="52">
        <f t="shared" ref="S488" ca="1" si="5417">R491*Flag_Forecast</f>
        <v>0</v>
      </c>
      <c r="T488" s="52">
        <f t="shared" ref="T488" ca="1" si="5418">S491*Flag_Forecast</f>
        <v>0</v>
      </c>
      <c r="U488" s="52">
        <f t="shared" ref="U488" ca="1" si="5419">T491*Flag_Forecast</f>
        <v>0</v>
      </c>
      <c r="V488" s="52">
        <f t="shared" ref="V488" ca="1" si="5420">U491*Flag_Forecast</f>
        <v>0</v>
      </c>
      <c r="W488" s="52">
        <f t="shared" ref="W488" ca="1" si="5421">V491*Flag_Forecast</f>
        <v>0</v>
      </c>
      <c r="X488" s="52">
        <f t="shared" ref="X488" ca="1" si="5422">W491*Flag_Forecast</f>
        <v>0</v>
      </c>
      <c r="Y488" s="52">
        <f t="shared" ref="Y488" ca="1" si="5423">X491*Flag_Forecast</f>
        <v>0</v>
      </c>
      <c r="Z488" s="52">
        <f t="shared" ref="Z488" ca="1" si="5424">Y491*Flag_Forecast</f>
        <v>0</v>
      </c>
      <c r="AA488" s="52">
        <f t="shared" ref="AA488" ca="1" si="5425">Z491*Flag_Forecast</f>
        <v>0</v>
      </c>
      <c r="AB488" s="52">
        <f t="shared" ref="AB488" ca="1" si="5426">AA491*Flag_Forecast</f>
        <v>0</v>
      </c>
      <c r="AC488" s="52">
        <f t="shared" ref="AC488" ca="1" si="5427">AB491*Flag_Forecast</f>
        <v>5063779.5792829748</v>
      </c>
      <c r="AD488" s="52">
        <f t="shared" ref="AD488" ca="1" si="5428">AC491*Flag_Forecast</f>
        <v>4989933.8930070419</v>
      </c>
      <c r="AE488" s="52">
        <f t="shared" ref="AE488" ca="1" si="5429">AD491*Flag_Forecast</f>
        <v>4916088.2067311089</v>
      </c>
      <c r="AF488" s="52">
        <f t="shared" ref="AF488" ca="1" si="5430">AE491*Flag_Forecast</f>
        <v>4842242.520455176</v>
      </c>
      <c r="AG488" s="52">
        <f t="shared" ref="AG488" ca="1" si="5431">AF491*Flag_Forecast</f>
        <v>4768396.8341792431</v>
      </c>
      <c r="AH488" s="52">
        <f t="shared" ref="AH488" ca="1" si="5432">AG491*Flag_Forecast</f>
        <v>4694551.1479033101</v>
      </c>
      <c r="AI488" s="52">
        <f t="shared" ref="AI488" ca="1" si="5433">AH491*Flag_Forecast</f>
        <v>4620705.4616273772</v>
      </c>
      <c r="AJ488" s="52">
        <f t="shared" ref="AJ488" ca="1" si="5434">AI491*Flag_Forecast</f>
        <v>4546859.7753514443</v>
      </c>
      <c r="AK488" s="52">
        <f t="shared" ref="AK488" ca="1" si="5435">AJ491*Flag_Forecast</f>
        <v>4473014.0890755113</v>
      </c>
      <c r="AL488" s="52">
        <f t="shared" ref="AL488" ca="1" si="5436">AK491*Flag_Forecast</f>
        <v>4399168.4027995784</v>
      </c>
      <c r="AM488" s="52">
        <f t="shared" ref="AM488" ca="1" si="5437">AL491*Flag_Forecast</f>
        <v>4325322.7165236454</v>
      </c>
      <c r="AN488" s="52">
        <f t="shared" ref="AN488" ca="1" si="5438">AM491*Flag_Forecast</f>
        <v>4251477.0302477125</v>
      </c>
      <c r="AO488" s="52">
        <f t="shared" ref="AO488" ca="1" si="5439">AN491*Flag_Forecast</f>
        <v>4177631.3439717796</v>
      </c>
      <c r="AP488" s="52">
        <f t="shared" ref="AP488" ca="1" si="5440">AO491*Flag_Forecast</f>
        <v>4103785.6576958466</v>
      </c>
      <c r="AQ488" s="52">
        <f t="shared" ref="AQ488" ca="1" si="5441">AP491*Flag_Forecast</f>
        <v>4029939.9714199137</v>
      </c>
      <c r="AR488" s="52">
        <f t="shared" ref="AR488" ca="1" si="5442">AQ491*Flag_Forecast</f>
        <v>3956094.2851439808</v>
      </c>
      <c r="AS488" s="52">
        <f t="shared" ref="AS488" ca="1" si="5443">AR491*Flag_Forecast</f>
        <v>3882248.5988680478</v>
      </c>
      <c r="AT488" s="52">
        <f t="shared" ref="AT488" ca="1" si="5444">AS491*Flag_Forecast</f>
        <v>3808402.9125921149</v>
      </c>
      <c r="AU488" s="52">
        <f t="shared" ref="AU488" ca="1" si="5445">AT491*Flag_Forecast</f>
        <v>3734557.2263161819</v>
      </c>
      <c r="AV488" s="52">
        <f t="shared" ref="AV488" ca="1" si="5446">AU491*Flag_Forecast</f>
        <v>3660711.540040249</v>
      </c>
      <c r="AW488" s="52">
        <f t="shared" ref="AW488" ca="1" si="5447">AV491*Flag_Forecast</f>
        <v>3586865.8537643161</v>
      </c>
      <c r="AX488" s="52">
        <f t="shared" ref="AX488" ca="1" si="5448">AW491*Flag_Forecast</f>
        <v>3513020.1674883831</v>
      </c>
      <c r="AY488" s="52">
        <f t="shared" ref="AY488" ca="1" si="5449">AX491*Flag_Forecast</f>
        <v>3439174.4812124502</v>
      </c>
      <c r="AZ488" s="52">
        <f t="shared" ref="AZ488" ca="1" si="5450">AY491*Flag_Forecast</f>
        <v>3365328.7949365173</v>
      </c>
      <c r="BA488" s="52">
        <f t="shared" ref="BA488" ca="1" si="5451">AZ491*Flag_Forecast</f>
        <v>3291483.1086605843</v>
      </c>
      <c r="BB488" s="52">
        <f t="shared" ref="BB488" ca="1" si="5452">BA491*Flag_Forecast</f>
        <v>3217637.4223846514</v>
      </c>
      <c r="BC488" s="52">
        <f t="shared" ref="BC488" ca="1" si="5453">BB491*Flag_Forecast</f>
        <v>3143791.7361087184</v>
      </c>
      <c r="BD488" s="52">
        <f t="shared" ref="BD488" ca="1" si="5454">BC491*Flag_Forecast</f>
        <v>3069946.0498327855</v>
      </c>
      <c r="BE488" s="52">
        <f t="shared" ref="BE488" ca="1" si="5455">BD491*Flag_Forecast</f>
        <v>2996100.363556853</v>
      </c>
      <c r="BF488" s="52">
        <f t="shared" ref="BF488" ca="1" si="5456">BE491*Flag_Forecast</f>
        <v>2963534.0552573223</v>
      </c>
      <c r="BG488" s="52">
        <f t="shared" ref="BG488" ca="1" si="5457">BF491*Flag_Forecast</f>
        <v>2930967.7469577915</v>
      </c>
      <c r="BH488" s="52">
        <f t="shared" ref="BH488" ca="1" si="5458">BG491*Flag_Forecast</f>
        <v>2898401.4386582607</v>
      </c>
      <c r="BI488" s="52">
        <f t="shared" ref="BI488" ca="1" si="5459">BH491*Flag_Forecast</f>
        <v>2865835.13035873</v>
      </c>
      <c r="BJ488" s="52">
        <f t="shared" ref="BJ488" ca="1" si="5460">BI491*Flag_Forecast</f>
        <v>2833268.8220591992</v>
      </c>
      <c r="BK488" s="52">
        <f t="shared" ref="BK488" ca="1" si="5461">BJ491*Flag_Forecast</f>
        <v>2800702.5137596685</v>
      </c>
      <c r="BL488" s="52">
        <f t="shared" ref="BL488" ca="1" si="5462">BK491*Flag_Forecast</f>
        <v>2768136.2054601377</v>
      </c>
      <c r="BM488" s="52">
        <f t="shared" ref="BM488" ca="1" si="5463">BL491*Flag_Forecast</f>
        <v>2735569.8971606069</v>
      </c>
      <c r="BN488" s="52">
        <f t="shared" ref="BN488" ca="1" si="5464">BM491*Flag_Forecast</f>
        <v>2703003.5888610762</v>
      </c>
      <c r="BO488" s="52">
        <f t="shared" ref="BO488" ca="1" si="5465">BN491*Flag_Forecast</f>
        <v>2670437.2805615454</v>
      </c>
      <c r="BP488" s="52">
        <f t="shared" ref="BP488" ca="1" si="5466">BO491*Flag_Forecast</f>
        <v>2637870.9722620146</v>
      </c>
      <c r="BQ488" s="52">
        <f t="shared" ref="BQ488" ca="1" si="5467">BP491*Flag_Forecast</f>
        <v>2605304.6639624839</v>
      </c>
      <c r="BR488" s="52">
        <f t="shared" ref="BR488" ca="1" si="5468">BQ491*Flag_Forecast</f>
        <v>2572738.3556629531</v>
      </c>
      <c r="BS488" s="52">
        <f t="shared" ref="BS488" ca="1" si="5469">BR491*Flag_Forecast</f>
        <v>2540172.0473634223</v>
      </c>
      <c r="BT488" s="52">
        <f t="shared" ref="BT488" ca="1" si="5470">BS491*Flag_Forecast</f>
        <v>2507605.7390638916</v>
      </c>
      <c r="BU488" s="52">
        <f t="shared" ref="BU488" ca="1" si="5471">BT491*Flag_Forecast</f>
        <v>2475039.4307643608</v>
      </c>
      <c r="BV488" s="52">
        <f t="shared" ref="BV488" ca="1" si="5472">BU491*Flag_Forecast</f>
        <v>2442473.1224648301</v>
      </c>
      <c r="BW488" s="52">
        <f t="shared" ref="BW488" ca="1" si="5473">BV491*Flag_Forecast</f>
        <v>2409906.8141652993</v>
      </c>
      <c r="BX488" s="52">
        <f t="shared" ref="BX488" ca="1" si="5474">BW491*Flag_Forecast</f>
        <v>2377340.5058657685</v>
      </c>
      <c r="BY488" s="52">
        <f t="shared" ref="BY488" ca="1" si="5475">BX491*Flag_Forecast</f>
        <v>2344774.1975662378</v>
      </c>
      <c r="BZ488" s="52">
        <f t="shared" ref="BZ488" ca="1" si="5476">BY491*Flag_Forecast</f>
        <v>2312207.889266707</v>
      </c>
      <c r="CA488" s="52">
        <f t="shared" ref="CA488" ca="1" si="5477">BZ491*Flag_Forecast</f>
        <v>2279641.5809671762</v>
      </c>
      <c r="CB488" s="52">
        <f t="shared" ref="CB488" ca="1" si="5478">CA491*Flag_Forecast</f>
        <v>2247075.2726676455</v>
      </c>
      <c r="CC488" s="52">
        <f t="shared" ref="CC488" ca="1" si="5479">CB491*Flag_Forecast</f>
        <v>2214508.9643681147</v>
      </c>
      <c r="CD488" s="52">
        <f t="shared" ref="CD488" ca="1" si="5480">CC491*Flag_Forecast</f>
        <v>2181942.656068584</v>
      </c>
      <c r="CE488" s="52">
        <f t="shared" ref="CE488" ca="1" si="5481">CD491*Flag_Forecast</f>
        <v>2149376.3477690532</v>
      </c>
      <c r="CF488" s="52">
        <f t="shared" ref="CF488" ca="1" si="5482">CE491*Flag_Forecast</f>
        <v>2116810.0394695224</v>
      </c>
      <c r="CG488" s="52">
        <f t="shared" ref="CG488" ca="1" si="5483">CF491*Flag_Forecast</f>
        <v>2084243.7311699914</v>
      </c>
      <c r="CH488" s="52">
        <f t="shared" ref="CH488" ca="1" si="5484">CG491*Flag_Forecast</f>
        <v>2051677.4228704604</v>
      </c>
      <c r="CI488" s="52">
        <f t="shared" ref="CI488" ca="1" si="5485">CH491*Flag_Forecast</f>
        <v>2019111.1145709294</v>
      </c>
      <c r="CJ488" s="52">
        <f t="shared" ref="CJ488" ca="1" si="5486">CI491*Flag_Forecast</f>
        <v>1986544.8062713984</v>
      </c>
      <c r="CK488" s="52">
        <f t="shared" ref="CK488" ca="1" si="5487">CJ491*Flag_Forecast</f>
        <v>1953978.4979718674</v>
      </c>
      <c r="CL488" s="52">
        <f t="shared" ref="CL488" ca="1" si="5488">CK491*Flag_Forecast</f>
        <v>1921412.1896723364</v>
      </c>
      <c r="CM488" s="52">
        <f t="shared" ref="CM488" ca="1" si="5489">CL491*Flag_Forecast</f>
        <v>1888845.8813728055</v>
      </c>
      <c r="CN488" s="52">
        <f t="shared" ref="CN488" ca="1" si="5490">CM491*Flag_Forecast</f>
        <v>1856279.5730732745</v>
      </c>
      <c r="CO488" s="52">
        <f t="shared" ref="CO488" ca="1" si="5491">CN491*Flag_Forecast</f>
        <v>1823713.2647737435</v>
      </c>
    </row>
    <row r="489" spans="1:93">
      <c r="A489" s="10"/>
      <c r="B489" s="10"/>
      <c r="C489" s="17" t="s">
        <v>126</v>
      </c>
      <c r="D489" s="10"/>
      <c r="E489" s="62"/>
      <c r="F489" s="11"/>
      <c r="G489" s="143" t="str">
        <f>Monetary_Unit</f>
        <v>тыс. руб.</v>
      </c>
      <c r="H489" s="10"/>
      <c r="I489" s="23">
        <f ca="1">SUM(L489:CO489)</f>
        <v>5063779.5792829748</v>
      </c>
      <c r="J489" s="10"/>
      <c r="K489" s="10"/>
      <c r="L489" s="52">
        <f t="shared" ref="L489:R489" ca="1" si="5492">SUM(L355,L365,L375,L385,L395,L405,L414)</f>
        <v>0</v>
      </c>
      <c r="M489" s="52">
        <f t="shared" ca="1" si="5492"/>
        <v>0</v>
      </c>
      <c r="N489" s="52">
        <f t="shared" ca="1" si="5492"/>
        <v>0</v>
      </c>
      <c r="O489" s="52">
        <f t="shared" ca="1" si="5492"/>
        <v>0</v>
      </c>
      <c r="P489" s="52">
        <f t="shared" ca="1" si="5492"/>
        <v>0</v>
      </c>
      <c r="Q489" s="52">
        <f t="shared" ca="1" si="5492"/>
        <v>0</v>
      </c>
      <c r="R489" s="52">
        <f t="shared" ca="1" si="5492"/>
        <v>0</v>
      </c>
      <c r="S489" s="52">
        <f t="shared" ref="S489" ca="1" si="5493">SUM(S355,S365,S375,S385,S395,S405,S414)</f>
        <v>0</v>
      </c>
      <c r="T489" s="52">
        <f t="shared" ref="T489:CE489" ca="1" si="5494">SUM(T355,T365,T375,T385,T395,T405,T414)</f>
        <v>0</v>
      </c>
      <c r="U489" s="52">
        <f t="shared" ca="1" si="5494"/>
        <v>0</v>
      </c>
      <c r="V489" s="52">
        <f t="shared" ca="1" si="5494"/>
        <v>0</v>
      </c>
      <c r="W489" s="52">
        <f t="shared" ca="1" si="5494"/>
        <v>0</v>
      </c>
      <c r="X489" s="52">
        <f t="shared" ca="1" si="5494"/>
        <v>0</v>
      </c>
      <c r="Y489" s="52">
        <f t="shared" ca="1" si="5494"/>
        <v>0</v>
      </c>
      <c r="Z489" s="52">
        <f t="shared" ca="1" si="5494"/>
        <v>0</v>
      </c>
      <c r="AA489" s="52">
        <f t="shared" ca="1" si="5494"/>
        <v>0</v>
      </c>
      <c r="AB489" s="52">
        <f t="shared" ca="1" si="5494"/>
        <v>5063779.5792829748</v>
      </c>
      <c r="AC489" s="52">
        <f t="shared" ca="1" si="5494"/>
        <v>0</v>
      </c>
      <c r="AD489" s="52">
        <f t="shared" ca="1" si="5494"/>
        <v>0</v>
      </c>
      <c r="AE489" s="52">
        <f t="shared" ca="1" si="5494"/>
        <v>0</v>
      </c>
      <c r="AF489" s="52">
        <f t="shared" ca="1" si="5494"/>
        <v>0</v>
      </c>
      <c r="AG489" s="52">
        <f t="shared" ca="1" si="5494"/>
        <v>0</v>
      </c>
      <c r="AH489" s="52">
        <f t="shared" ca="1" si="5494"/>
        <v>0</v>
      </c>
      <c r="AI489" s="52">
        <f t="shared" ca="1" si="5494"/>
        <v>0</v>
      </c>
      <c r="AJ489" s="52">
        <f t="shared" ca="1" si="5494"/>
        <v>0</v>
      </c>
      <c r="AK489" s="52">
        <f t="shared" ca="1" si="5494"/>
        <v>0</v>
      </c>
      <c r="AL489" s="52">
        <f t="shared" ca="1" si="5494"/>
        <v>0</v>
      </c>
      <c r="AM489" s="52">
        <f t="shared" ca="1" si="5494"/>
        <v>0</v>
      </c>
      <c r="AN489" s="52">
        <f t="shared" ca="1" si="5494"/>
        <v>0</v>
      </c>
      <c r="AO489" s="52">
        <f t="shared" ca="1" si="5494"/>
        <v>0</v>
      </c>
      <c r="AP489" s="52">
        <f t="shared" ca="1" si="5494"/>
        <v>0</v>
      </c>
      <c r="AQ489" s="52">
        <f t="shared" ca="1" si="5494"/>
        <v>0</v>
      </c>
      <c r="AR489" s="52">
        <f t="shared" ca="1" si="5494"/>
        <v>0</v>
      </c>
      <c r="AS489" s="52">
        <f t="shared" ca="1" si="5494"/>
        <v>0</v>
      </c>
      <c r="AT489" s="52">
        <f t="shared" ca="1" si="5494"/>
        <v>0</v>
      </c>
      <c r="AU489" s="52">
        <f t="shared" ca="1" si="5494"/>
        <v>0</v>
      </c>
      <c r="AV489" s="52">
        <f t="shared" ca="1" si="5494"/>
        <v>0</v>
      </c>
      <c r="AW489" s="52">
        <f t="shared" ca="1" si="5494"/>
        <v>0</v>
      </c>
      <c r="AX489" s="52">
        <f t="shared" ca="1" si="5494"/>
        <v>0</v>
      </c>
      <c r="AY489" s="52">
        <f t="shared" ca="1" si="5494"/>
        <v>0</v>
      </c>
      <c r="AZ489" s="52">
        <f t="shared" ca="1" si="5494"/>
        <v>0</v>
      </c>
      <c r="BA489" s="52">
        <f t="shared" ca="1" si="5494"/>
        <v>0</v>
      </c>
      <c r="BB489" s="52">
        <f t="shared" ca="1" si="5494"/>
        <v>0</v>
      </c>
      <c r="BC489" s="52">
        <f t="shared" ca="1" si="5494"/>
        <v>0</v>
      </c>
      <c r="BD489" s="52">
        <f t="shared" ca="1" si="5494"/>
        <v>0</v>
      </c>
      <c r="BE489" s="52">
        <f t="shared" ca="1" si="5494"/>
        <v>0</v>
      </c>
      <c r="BF489" s="52">
        <f t="shared" ca="1" si="5494"/>
        <v>0</v>
      </c>
      <c r="BG489" s="52">
        <f t="shared" ca="1" si="5494"/>
        <v>0</v>
      </c>
      <c r="BH489" s="52">
        <f t="shared" ca="1" si="5494"/>
        <v>0</v>
      </c>
      <c r="BI489" s="52">
        <f t="shared" ca="1" si="5494"/>
        <v>0</v>
      </c>
      <c r="BJ489" s="52">
        <f t="shared" ca="1" si="5494"/>
        <v>0</v>
      </c>
      <c r="BK489" s="52">
        <f t="shared" ca="1" si="5494"/>
        <v>0</v>
      </c>
      <c r="BL489" s="52">
        <f t="shared" ca="1" si="5494"/>
        <v>0</v>
      </c>
      <c r="BM489" s="52">
        <f t="shared" ca="1" si="5494"/>
        <v>0</v>
      </c>
      <c r="BN489" s="52">
        <f t="shared" ca="1" si="5494"/>
        <v>0</v>
      </c>
      <c r="BO489" s="52">
        <f t="shared" ca="1" si="5494"/>
        <v>0</v>
      </c>
      <c r="BP489" s="52">
        <f t="shared" ca="1" si="5494"/>
        <v>0</v>
      </c>
      <c r="BQ489" s="52">
        <f t="shared" ca="1" si="5494"/>
        <v>0</v>
      </c>
      <c r="BR489" s="52">
        <f t="shared" ca="1" si="5494"/>
        <v>0</v>
      </c>
      <c r="BS489" s="52">
        <f t="shared" ca="1" si="5494"/>
        <v>0</v>
      </c>
      <c r="BT489" s="52">
        <f t="shared" ca="1" si="5494"/>
        <v>0</v>
      </c>
      <c r="BU489" s="52">
        <f t="shared" ca="1" si="5494"/>
        <v>0</v>
      </c>
      <c r="BV489" s="52">
        <f t="shared" ca="1" si="5494"/>
        <v>0</v>
      </c>
      <c r="BW489" s="52">
        <f t="shared" ca="1" si="5494"/>
        <v>0</v>
      </c>
      <c r="BX489" s="52">
        <f t="shared" ca="1" si="5494"/>
        <v>0</v>
      </c>
      <c r="BY489" s="52">
        <f t="shared" ca="1" si="5494"/>
        <v>0</v>
      </c>
      <c r="BZ489" s="52">
        <f t="shared" ca="1" si="5494"/>
        <v>0</v>
      </c>
      <c r="CA489" s="52">
        <f t="shared" ca="1" si="5494"/>
        <v>0</v>
      </c>
      <c r="CB489" s="52">
        <f t="shared" ca="1" si="5494"/>
        <v>0</v>
      </c>
      <c r="CC489" s="52">
        <f t="shared" ca="1" si="5494"/>
        <v>0</v>
      </c>
      <c r="CD489" s="52">
        <f t="shared" ca="1" si="5494"/>
        <v>0</v>
      </c>
      <c r="CE489" s="52">
        <f t="shared" ca="1" si="5494"/>
        <v>0</v>
      </c>
      <c r="CF489" s="52">
        <f t="shared" ref="CF489:CO489" ca="1" si="5495">SUM(CF355,CF365,CF375,CF385,CF395,CF405,CF414)</f>
        <v>0</v>
      </c>
      <c r="CG489" s="52">
        <f t="shared" ca="1" si="5495"/>
        <v>0</v>
      </c>
      <c r="CH489" s="52">
        <f t="shared" ca="1" si="5495"/>
        <v>0</v>
      </c>
      <c r="CI489" s="52">
        <f t="shared" ca="1" si="5495"/>
        <v>0</v>
      </c>
      <c r="CJ489" s="52">
        <f t="shared" ca="1" si="5495"/>
        <v>0</v>
      </c>
      <c r="CK489" s="52">
        <f t="shared" ca="1" si="5495"/>
        <v>0</v>
      </c>
      <c r="CL489" s="52">
        <f t="shared" ca="1" si="5495"/>
        <v>0</v>
      </c>
      <c r="CM489" s="52">
        <f t="shared" ca="1" si="5495"/>
        <v>0</v>
      </c>
      <c r="CN489" s="52">
        <f t="shared" ca="1" si="5495"/>
        <v>0</v>
      </c>
      <c r="CO489" s="52">
        <f t="shared" ca="1" si="5495"/>
        <v>0</v>
      </c>
    </row>
    <row r="490" spans="1:93">
      <c r="A490" s="10"/>
      <c r="B490" s="10"/>
      <c r="C490" s="17" t="s">
        <v>389</v>
      </c>
      <c r="D490" s="10"/>
      <c r="E490" s="62"/>
      <c r="F490" s="11"/>
      <c r="G490" s="143" t="str">
        <f>Monetary_Unit</f>
        <v>тыс. руб.</v>
      </c>
      <c r="H490" s="10"/>
      <c r="I490" s="23">
        <f ca="1">SUM(L490:CO490)</f>
        <v>-3272632.6228087652</v>
      </c>
      <c r="J490" s="10"/>
      <c r="K490" s="10"/>
      <c r="L490" s="52">
        <f t="shared" ref="L490:AQ490" ca="1" si="5496">-SUM(L357,L367,L377,L387,L397,L407)*Flag_Forecast</f>
        <v>0</v>
      </c>
      <c r="M490" s="52">
        <f t="shared" ca="1" si="5496"/>
        <v>0</v>
      </c>
      <c r="N490" s="52">
        <f t="shared" ca="1" si="5496"/>
        <v>0</v>
      </c>
      <c r="O490" s="52">
        <f t="shared" ca="1" si="5496"/>
        <v>0</v>
      </c>
      <c r="P490" s="52">
        <f t="shared" ca="1" si="5496"/>
        <v>0</v>
      </c>
      <c r="Q490" s="52">
        <f t="shared" ca="1" si="5496"/>
        <v>0</v>
      </c>
      <c r="R490" s="52">
        <f t="shared" ca="1" si="5496"/>
        <v>0</v>
      </c>
      <c r="S490" s="52">
        <f t="shared" ca="1" si="5496"/>
        <v>0</v>
      </c>
      <c r="T490" s="52">
        <f t="shared" ca="1" si="5496"/>
        <v>0</v>
      </c>
      <c r="U490" s="52">
        <f t="shared" ca="1" si="5496"/>
        <v>0</v>
      </c>
      <c r="V490" s="52">
        <f t="shared" ca="1" si="5496"/>
        <v>0</v>
      </c>
      <c r="W490" s="52">
        <f t="shared" ca="1" si="5496"/>
        <v>0</v>
      </c>
      <c r="X490" s="52">
        <f t="shared" ca="1" si="5496"/>
        <v>0</v>
      </c>
      <c r="Y490" s="52">
        <f t="shared" ca="1" si="5496"/>
        <v>0</v>
      </c>
      <c r="Z490" s="52">
        <f t="shared" ca="1" si="5496"/>
        <v>0</v>
      </c>
      <c r="AA490" s="52">
        <f t="shared" ca="1" si="5496"/>
        <v>0</v>
      </c>
      <c r="AB490" s="52">
        <f t="shared" ca="1" si="5496"/>
        <v>0</v>
      </c>
      <c r="AC490" s="52">
        <f t="shared" ca="1" si="5496"/>
        <v>-73845.686275933069</v>
      </c>
      <c r="AD490" s="52">
        <f t="shared" ca="1" si="5496"/>
        <v>-73845.686275933069</v>
      </c>
      <c r="AE490" s="52">
        <f t="shared" ca="1" si="5496"/>
        <v>-73845.686275933069</v>
      </c>
      <c r="AF490" s="52">
        <f t="shared" ca="1" si="5496"/>
        <v>-73845.686275933069</v>
      </c>
      <c r="AG490" s="52">
        <f t="shared" ca="1" si="5496"/>
        <v>-73845.686275933069</v>
      </c>
      <c r="AH490" s="52">
        <f t="shared" ca="1" si="5496"/>
        <v>-73845.686275933069</v>
      </c>
      <c r="AI490" s="52">
        <f t="shared" ca="1" si="5496"/>
        <v>-73845.686275933069</v>
      </c>
      <c r="AJ490" s="52">
        <f t="shared" ca="1" si="5496"/>
        <v>-73845.686275933069</v>
      </c>
      <c r="AK490" s="52">
        <f t="shared" ca="1" si="5496"/>
        <v>-73845.686275933069</v>
      </c>
      <c r="AL490" s="52">
        <f t="shared" ca="1" si="5496"/>
        <v>-73845.686275933069</v>
      </c>
      <c r="AM490" s="52">
        <f t="shared" ca="1" si="5496"/>
        <v>-73845.686275933069</v>
      </c>
      <c r="AN490" s="52">
        <f t="shared" ca="1" si="5496"/>
        <v>-73845.686275933069</v>
      </c>
      <c r="AO490" s="52">
        <f t="shared" ca="1" si="5496"/>
        <v>-73845.686275933069</v>
      </c>
      <c r="AP490" s="52">
        <f t="shared" ca="1" si="5496"/>
        <v>-73845.686275933069</v>
      </c>
      <c r="AQ490" s="52">
        <f t="shared" ca="1" si="5496"/>
        <v>-73845.686275933069</v>
      </c>
      <c r="AR490" s="52">
        <f t="shared" ref="AR490:BW490" ca="1" si="5497">-SUM(AR357,AR367,AR377,AR387,AR397,AR407)*Flag_Forecast</f>
        <v>-73845.686275933069</v>
      </c>
      <c r="AS490" s="52">
        <f t="shared" ca="1" si="5497"/>
        <v>-73845.686275933069</v>
      </c>
      <c r="AT490" s="52">
        <f t="shared" ca="1" si="5497"/>
        <v>-73845.686275933069</v>
      </c>
      <c r="AU490" s="52">
        <f t="shared" ca="1" si="5497"/>
        <v>-73845.686275933069</v>
      </c>
      <c r="AV490" s="52">
        <f t="shared" ca="1" si="5497"/>
        <v>-73845.686275933069</v>
      </c>
      <c r="AW490" s="52">
        <f t="shared" ca="1" si="5497"/>
        <v>-73845.686275933069</v>
      </c>
      <c r="AX490" s="52">
        <f t="shared" ca="1" si="5497"/>
        <v>-73845.686275933069</v>
      </c>
      <c r="AY490" s="52">
        <f t="shared" ca="1" si="5497"/>
        <v>-73845.686275933069</v>
      </c>
      <c r="AZ490" s="52">
        <f t="shared" ca="1" si="5497"/>
        <v>-73845.686275933069</v>
      </c>
      <c r="BA490" s="52">
        <f t="shared" ca="1" si="5497"/>
        <v>-73845.686275933069</v>
      </c>
      <c r="BB490" s="52">
        <f t="shared" ca="1" si="5497"/>
        <v>-73845.686275933069</v>
      </c>
      <c r="BC490" s="52">
        <f t="shared" ca="1" si="5497"/>
        <v>-73845.686275933069</v>
      </c>
      <c r="BD490" s="52">
        <f t="shared" ca="1" si="5497"/>
        <v>-73845.686275932632</v>
      </c>
      <c r="BE490" s="52">
        <f t="shared" ca="1" si="5497"/>
        <v>-32566.308299530971</v>
      </c>
      <c r="BF490" s="52">
        <f t="shared" ca="1" si="5497"/>
        <v>-32566.308299530971</v>
      </c>
      <c r="BG490" s="52">
        <f t="shared" ca="1" si="5497"/>
        <v>-32566.308299530971</v>
      </c>
      <c r="BH490" s="52">
        <f t="shared" ca="1" si="5497"/>
        <v>-32566.308299530971</v>
      </c>
      <c r="BI490" s="52">
        <f t="shared" ca="1" si="5497"/>
        <v>-32566.308299530971</v>
      </c>
      <c r="BJ490" s="52">
        <f t="shared" ca="1" si="5497"/>
        <v>-32566.308299530971</v>
      </c>
      <c r="BK490" s="52">
        <f t="shared" ca="1" si="5497"/>
        <v>-32566.308299530971</v>
      </c>
      <c r="BL490" s="52">
        <f t="shared" ca="1" si="5497"/>
        <v>-32566.308299530971</v>
      </c>
      <c r="BM490" s="52">
        <f t="shared" ca="1" si="5497"/>
        <v>-32566.308299530971</v>
      </c>
      <c r="BN490" s="52">
        <f t="shared" ca="1" si="5497"/>
        <v>-32566.308299530971</v>
      </c>
      <c r="BO490" s="52">
        <f t="shared" ca="1" si="5497"/>
        <v>-32566.308299530971</v>
      </c>
      <c r="BP490" s="52">
        <f t="shared" ca="1" si="5497"/>
        <v>-32566.308299530971</v>
      </c>
      <c r="BQ490" s="52">
        <f t="shared" ca="1" si="5497"/>
        <v>-32566.308299530971</v>
      </c>
      <c r="BR490" s="52">
        <f t="shared" ca="1" si="5497"/>
        <v>-32566.308299530971</v>
      </c>
      <c r="BS490" s="52">
        <f t="shared" ca="1" si="5497"/>
        <v>-32566.308299530971</v>
      </c>
      <c r="BT490" s="52">
        <f t="shared" ca="1" si="5497"/>
        <v>-32566.308299530971</v>
      </c>
      <c r="BU490" s="52">
        <f t="shared" ca="1" si="5497"/>
        <v>-32566.308299530971</v>
      </c>
      <c r="BV490" s="52">
        <f t="shared" ca="1" si="5497"/>
        <v>-32566.308299530971</v>
      </c>
      <c r="BW490" s="52">
        <f t="shared" ca="1" si="5497"/>
        <v>-32566.308299530971</v>
      </c>
      <c r="BX490" s="52">
        <f t="shared" ref="BX490:CO490" ca="1" si="5498">-SUM(BX357,BX367,BX377,BX387,BX397,BX407)*Flag_Forecast</f>
        <v>-32566.308299530971</v>
      </c>
      <c r="BY490" s="52">
        <f t="shared" ca="1" si="5498"/>
        <v>-32566.308299530971</v>
      </c>
      <c r="BZ490" s="52">
        <f t="shared" ca="1" si="5498"/>
        <v>-32566.308299530971</v>
      </c>
      <c r="CA490" s="52">
        <f t="shared" ca="1" si="5498"/>
        <v>-32566.308299530971</v>
      </c>
      <c r="CB490" s="52">
        <f t="shared" ca="1" si="5498"/>
        <v>-32566.308299530971</v>
      </c>
      <c r="CC490" s="52">
        <f t="shared" ca="1" si="5498"/>
        <v>-32566.308299530971</v>
      </c>
      <c r="CD490" s="52">
        <f t="shared" ca="1" si="5498"/>
        <v>-32566.308299530971</v>
      </c>
      <c r="CE490" s="52">
        <f t="shared" ca="1" si="5498"/>
        <v>-32566.308299530971</v>
      </c>
      <c r="CF490" s="52">
        <f t="shared" ca="1" si="5498"/>
        <v>-32566.308299530971</v>
      </c>
      <c r="CG490" s="52">
        <f t="shared" ca="1" si="5498"/>
        <v>-32566.308299530971</v>
      </c>
      <c r="CH490" s="52">
        <f t="shared" ca="1" si="5498"/>
        <v>-32566.308299530971</v>
      </c>
      <c r="CI490" s="52">
        <f t="shared" ca="1" si="5498"/>
        <v>-32566.308299530971</v>
      </c>
      <c r="CJ490" s="52">
        <f t="shared" ca="1" si="5498"/>
        <v>-32566.308299530971</v>
      </c>
      <c r="CK490" s="52">
        <f t="shared" ca="1" si="5498"/>
        <v>-32566.308299530971</v>
      </c>
      <c r="CL490" s="52">
        <f t="shared" ca="1" si="5498"/>
        <v>-32566.308299530971</v>
      </c>
      <c r="CM490" s="52">
        <f t="shared" ca="1" si="5498"/>
        <v>-32566.308299530971</v>
      </c>
      <c r="CN490" s="52">
        <f t="shared" ca="1" si="5498"/>
        <v>-32566.308299530971</v>
      </c>
      <c r="CO490" s="52">
        <f t="shared" ca="1" si="5498"/>
        <v>-32566.308299530971</v>
      </c>
    </row>
    <row r="491" spans="1:93">
      <c r="A491" s="10"/>
      <c r="B491" s="10"/>
      <c r="C491" s="17" t="s">
        <v>128</v>
      </c>
      <c r="D491" s="10"/>
      <c r="E491" s="62"/>
      <c r="F491" s="11"/>
      <c r="G491" s="143" t="str">
        <f>Monetary_Unit</f>
        <v>тыс. руб.</v>
      </c>
      <c r="H491" s="10"/>
      <c r="I491" s="10"/>
      <c r="J491" s="10"/>
      <c r="K491" s="10"/>
      <c r="L491" s="52">
        <f t="shared" ref="L491:R491" ca="1" si="5499">SUM(L488:L490)*(ABS(SUM(L488:L490)&gt;Accuracy))*Flag_Forecast</f>
        <v>0</v>
      </c>
      <c r="M491" s="52">
        <f t="shared" ca="1" si="5499"/>
        <v>0</v>
      </c>
      <c r="N491" s="52">
        <f t="shared" ca="1" si="5499"/>
        <v>0</v>
      </c>
      <c r="O491" s="52">
        <f t="shared" ca="1" si="5499"/>
        <v>0</v>
      </c>
      <c r="P491" s="52">
        <f t="shared" ca="1" si="5499"/>
        <v>0</v>
      </c>
      <c r="Q491" s="52">
        <f t="shared" ca="1" si="5499"/>
        <v>0</v>
      </c>
      <c r="R491" s="52">
        <f t="shared" ca="1" si="5499"/>
        <v>0</v>
      </c>
      <c r="S491" s="52">
        <f t="shared" ref="S491" ca="1" si="5500">SUM(S488:S490)*(ABS(SUM(S488:S490)&gt;Accuracy))*Flag_Forecast</f>
        <v>0</v>
      </c>
      <c r="T491" s="52">
        <f t="shared" ref="T491:CE491" ca="1" si="5501">SUM(T488:T490)*(ABS(SUM(T488:T490)&gt;Accuracy))*Flag_Forecast</f>
        <v>0</v>
      </c>
      <c r="U491" s="52">
        <f t="shared" ca="1" si="5501"/>
        <v>0</v>
      </c>
      <c r="V491" s="52">
        <f t="shared" ca="1" si="5501"/>
        <v>0</v>
      </c>
      <c r="W491" s="52">
        <f t="shared" ca="1" si="5501"/>
        <v>0</v>
      </c>
      <c r="X491" s="52">
        <f t="shared" ca="1" si="5501"/>
        <v>0</v>
      </c>
      <c r="Y491" s="52">
        <f t="shared" ca="1" si="5501"/>
        <v>0</v>
      </c>
      <c r="Z491" s="52">
        <f t="shared" ca="1" si="5501"/>
        <v>0</v>
      </c>
      <c r="AA491" s="52">
        <f t="shared" ca="1" si="5501"/>
        <v>0</v>
      </c>
      <c r="AB491" s="52">
        <f t="shared" ca="1" si="5501"/>
        <v>5063779.5792829748</v>
      </c>
      <c r="AC491" s="52">
        <f t="shared" ca="1" si="5501"/>
        <v>4989933.8930070419</v>
      </c>
      <c r="AD491" s="52">
        <f t="shared" ca="1" si="5501"/>
        <v>4916088.2067311089</v>
      </c>
      <c r="AE491" s="52">
        <f t="shared" ca="1" si="5501"/>
        <v>4842242.520455176</v>
      </c>
      <c r="AF491" s="52">
        <f t="shared" ca="1" si="5501"/>
        <v>4768396.8341792431</v>
      </c>
      <c r="AG491" s="52">
        <f t="shared" ca="1" si="5501"/>
        <v>4694551.1479033101</v>
      </c>
      <c r="AH491" s="52">
        <f t="shared" ca="1" si="5501"/>
        <v>4620705.4616273772</v>
      </c>
      <c r="AI491" s="52">
        <f t="shared" ca="1" si="5501"/>
        <v>4546859.7753514443</v>
      </c>
      <c r="AJ491" s="52">
        <f t="shared" ca="1" si="5501"/>
        <v>4473014.0890755113</v>
      </c>
      <c r="AK491" s="52">
        <f t="shared" ca="1" si="5501"/>
        <v>4399168.4027995784</v>
      </c>
      <c r="AL491" s="52">
        <f t="shared" ca="1" si="5501"/>
        <v>4325322.7165236454</v>
      </c>
      <c r="AM491" s="52">
        <f t="shared" ca="1" si="5501"/>
        <v>4251477.0302477125</v>
      </c>
      <c r="AN491" s="52">
        <f t="shared" ca="1" si="5501"/>
        <v>4177631.3439717796</v>
      </c>
      <c r="AO491" s="52">
        <f t="shared" ca="1" si="5501"/>
        <v>4103785.6576958466</v>
      </c>
      <c r="AP491" s="52">
        <f t="shared" ca="1" si="5501"/>
        <v>4029939.9714199137</v>
      </c>
      <c r="AQ491" s="52">
        <f t="shared" ca="1" si="5501"/>
        <v>3956094.2851439808</v>
      </c>
      <c r="AR491" s="52">
        <f t="shared" ca="1" si="5501"/>
        <v>3882248.5988680478</v>
      </c>
      <c r="AS491" s="52">
        <f t="shared" ca="1" si="5501"/>
        <v>3808402.9125921149</v>
      </c>
      <c r="AT491" s="52">
        <f t="shared" ca="1" si="5501"/>
        <v>3734557.2263161819</v>
      </c>
      <c r="AU491" s="52">
        <f t="shared" ca="1" si="5501"/>
        <v>3660711.540040249</v>
      </c>
      <c r="AV491" s="52">
        <f t="shared" ca="1" si="5501"/>
        <v>3586865.8537643161</v>
      </c>
      <c r="AW491" s="52">
        <f t="shared" ca="1" si="5501"/>
        <v>3513020.1674883831</v>
      </c>
      <c r="AX491" s="52">
        <f t="shared" ca="1" si="5501"/>
        <v>3439174.4812124502</v>
      </c>
      <c r="AY491" s="52">
        <f t="shared" ca="1" si="5501"/>
        <v>3365328.7949365173</v>
      </c>
      <c r="AZ491" s="52">
        <f t="shared" ca="1" si="5501"/>
        <v>3291483.1086605843</v>
      </c>
      <c r="BA491" s="52">
        <f t="shared" ca="1" si="5501"/>
        <v>3217637.4223846514</v>
      </c>
      <c r="BB491" s="52">
        <f t="shared" ca="1" si="5501"/>
        <v>3143791.7361087184</v>
      </c>
      <c r="BC491" s="52">
        <f t="shared" ca="1" si="5501"/>
        <v>3069946.0498327855</v>
      </c>
      <c r="BD491" s="52">
        <f t="shared" ca="1" si="5501"/>
        <v>2996100.363556853</v>
      </c>
      <c r="BE491" s="52">
        <f t="shared" ca="1" si="5501"/>
        <v>2963534.0552573223</v>
      </c>
      <c r="BF491" s="52">
        <f t="shared" ca="1" si="5501"/>
        <v>2930967.7469577915</v>
      </c>
      <c r="BG491" s="52">
        <f t="shared" ca="1" si="5501"/>
        <v>2898401.4386582607</v>
      </c>
      <c r="BH491" s="52">
        <f t="shared" ca="1" si="5501"/>
        <v>2865835.13035873</v>
      </c>
      <c r="BI491" s="52">
        <f t="shared" ca="1" si="5501"/>
        <v>2833268.8220591992</v>
      </c>
      <c r="BJ491" s="52">
        <f t="shared" ca="1" si="5501"/>
        <v>2800702.5137596685</v>
      </c>
      <c r="BK491" s="52">
        <f t="shared" ca="1" si="5501"/>
        <v>2768136.2054601377</v>
      </c>
      <c r="BL491" s="52">
        <f t="shared" ca="1" si="5501"/>
        <v>2735569.8971606069</v>
      </c>
      <c r="BM491" s="52">
        <f t="shared" ca="1" si="5501"/>
        <v>2703003.5888610762</v>
      </c>
      <c r="BN491" s="52">
        <f t="shared" ca="1" si="5501"/>
        <v>2670437.2805615454</v>
      </c>
      <c r="BO491" s="52">
        <f t="shared" ca="1" si="5501"/>
        <v>2637870.9722620146</v>
      </c>
      <c r="BP491" s="52">
        <f t="shared" ca="1" si="5501"/>
        <v>2605304.6639624839</v>
      </c>
      <c r="BQ491" s="52">
        <f t="shared" ca="1" si="5501"/>
        <v>2572738.3556629531</v>
      </c>
      <c r="BR491" s="52">
        <f t="shared" ca="1" si="5501"/>
        <v>2540172.0473634223</v>
      </c>
      <c r="BS491" s="52">
        <f t="shared" ca="1" si="5501"/>
        <v>2507605.7390638916</v>
      </c>
      <c r="BT491" s="52">
        <f t="shared" ca="1" si="5501"/>
        <v>2475039.4307643608</v>
      </c>
      <c r="BU491" s="52">
        <f t="shared" ca="1" si="5501"/>
        <v>2442473.1224648301</v>
      </c>
      <c r="BV491" s="52">
        <f t="shared" ca="1" si="5501"/>
        <v>2409906.8141652993</v>
      </c>
      <c r="BW491" s="52">
        <f t="shared" ca="1" si="5501"/>
        <v>2377340.5058657685</v>
      </c>
      <c r="BX491" s="52">
        <f t="shared" ca="1" si="5501"/>
        <v>2344774.1975662378</v>
      </c>
      <c r="BY491" s="52">
        <f t="shared" ca="1" si="5501"/>
        <v>2312207.889266707</v>
      </c>
      <c r="BZ491" s="52">
        <f t="shared" ca="1" si="5501"/>
        <v>2279641.5809671762</v>
      </c>
      <c r="CA491" s="52">
        <f t="shared" ca="1" si="5501"/>
        <v>2247075.2726676455</v>
      </c>
      <c r="CB491" s="52">
        <f t="shared" ca="1" si="5501"/>
        <v>2214508.9643681147</v>
      </c>
      <c r="CC491" s="52">
        <f t="shared" ca="1" si="5501"/>
        <v>2181942.656068584</v>
      </c>
      <c r="CD491" s="52">
        <f t="shared" ca="1" si="5501"/>
        <v>2149376.3477690532</v>
      </c>
      <c r="CE491" s="52">
        <f t="shared" ca="1" si="5501"/>
        <v>2116810.0394695224</v>
      </c>
      <c r="CF491" s="52">
        <f t="shared" ref="CF491:CO491" ca="1" si="5502">SUM(CF488:CF490)*(ABS(SUM(CF488:CF490)&gt;Accuracy))*Flag_Forecast</f>
        <v>2084243.7311699914</v>
      </c>
      <c r="CG491" s="52">
        <f t="shared" ca="1" si="5502"/>
        <v>2051677.4228704604</v>
      </c>
      <c r="CH491" s="52">
        <f t="shared" ca="1" si="5502"/>
        <v>2019111.1145709294</v>
      </c>
      <c r="CI491" s="52">
        <f t="shared" ca="1" si="5502"/>
        <v>1986544.8062713984</v>
      </c>
      <c r="CJ491" s="52">
        <f t="shared" ca="1" si="5502"/>
        <v>1953978.4979718674</v>
      </c>
      <c r="CK491" s="52">
        <f t="shared" ca="1" si="5502"/>
        <v>1921412.1896723364</v>
      </c>
      <c r="CL491" s="52">
        <f t="shared" ca="1" si="5502"/>
        <v>1888845.8813728055</v>
      </c>
      <c r="CM491" s="52">
        <f t="shared" ca="1" si="5502"/>
        <v>1856279.5730732745</v>
      </c>
      <c r="CN491" s="52">
        <f t="shared" ca="1" si="5502"/>
        <v>1823713.2647737435</v>
      </c>
      <c r="CO491" s="52">
        <f t="shared" ca="1" si="5502"/>
        <v>1791146.9564742125</v>
      </c>
    </row>
    <row r="492" spans="1:93">
      <c r="A492" s="10"/>
      <c r="B492" s="10"/>
      <c r="C492" s="17"/>
      <c r="D492" s="10"/>
      <c r="E492" s="10"/>
      <c r="F492" s="10"/>
      <c r="G492" s="14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  <c r="BL492" s="10"/>
      <c r="BM492" s="10"/>
      <c r="BN492" s="10"/>
      <c r="BO492" s="10"/>
      <c r="BP492" s="10"/>
      <c r="BQ492" s="10"/>
      <c r="BR492" s="10"/>
      <c r="BS492" s="10"/>
      <c r="BT492" s="10"/>
      <c r="BU492" s="10"/>
      <c r="BV492" s="10"/>
      <c r="BW492" s="10"/>
      <c r="BX492" s="10"/>
      <c r="BY492" s="10"/>
      <c r="BZ492" s="10"/>
      <c r="CA492" s="10"/>
      <c r="CB492" s="10"/>
      <c r="CC492" s="10"/>
      <c r="CD492" s="10"/>
      <c r="CE492" s="10"/>
      <c r="CF492" s="10"/>
      <c r="CG492" s="10"/>
      <c r="CH492" s="10"/>
      <c r="CI492" s="10"/>
      <c r="CJ492" s="10"/>
      <c r="CK492" s="10"/>
      <c r="CL492" s="10"/>
      <c r="CM492" s="10"/>
      <c r="CN492" s="10"/>
      <c r="CO492" s="10"/>
    </row>
    <row r="493" spans="1:93">
      <c r="A493" s="10"/>
      <c r="B493" s="10"/>
      <c r="C493" s="87" t="s">
        <v>391</v>
      </c>
      <c r="D493" s="10"/>
      <c r="E493" s="10"/>
      <c r="F493" s="10"/>
      <c r="G493" s="14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  <c r="CD493" s="10"/>
      <c r="CE493" s="10"/>
      <c r="CF493" s="10"/>
      <c r="CG493" s="10"/>
      <c r="CH493" s="10"/>
      <c r="CI493" s="10"/>
      <c r="CJ493" s="10"/>
      <c r="CK493" s="10"/>
      <c r="CL493" s="10"/>
      <c r="CM493" s="10"/>
      <c r="CN493" s="10"/>
      <c r="CO493" s="10"/>
    </row>
    <row r="494" spans="1:93">
      <c r="A494" s="10"/>
      <c r="B494" s="10"/>
      <c r="C494" s="17" t="s">
        <v>389</v>
      </c>
      <c r="D494" s="10"/>
      <c r="E494" s="10"/>
      <c r="F494" s="10"/>
      <c r="G494" s="143" t="str">
        <f>Monetary_Unit</f>
        <v>тыс. руб.</v>
      </c>
      <c r="H494" s="10"/>
      <c r="I494" s="23">
        <f ca="1">SUM(L494:CO494)</f>
        <v>-2580389.4107222585</v>
      </c>
      <c r="J494" s="10"/>
      <c r="K494" s="10"/>
      <c r="L494" s="52">
        <f t="shared" ref="L494:R494" ca="1" si="5503">-SUM(L426,L437,L448,L459,L470,L481)*Flag_Forecast</f>
        <v>0</v>
      </c>
      <c r="M494" s="52">
        <f t="shared" ca="1" si="5503"/>
        <v>0</v>
      </c>
      <c r="N494" s="52">
        <f t="shared" ca="1" si="5503"/>
        <v>0</v>
      </c>
      <c r="O494" s="52">
        <f t="shared" ca="1" si="5503"/>
        <v>0</v>
      </c>
      <c r="P494" s="52">
        <f t="shared" ca="1" si="5503"/>
        <v>0</v>
      </c>
      <c r="Q494" s="52">
        <f t="shared" ca="1" si="5503"/>
        <v>0</v>
      </c>
      <c r="R494" s="52">
        <f t="shared" ca="1" si="5503"/>
        <v>0</v>
      </c>
      <c r="S494" s="52">
        <f t="shared" ref="S494" ca="1" si="5504">-SUM(S426,S437,S448,S459,S470,S481)*Flag_Forecast</f>
        <v>0</v>
      </c>
      <c r="T494" s="52">
        <f t="shared" ref="T494:CE494" ca="1" si="5505">-SUM(T426,T437,T448,T459,T470,T481)*Flag_Forecast</f>
        <v>0</v>
      </c>
      <c r="U494" s="52">
        <f t="shared" ca="1" si="5505"/>
        <v>0</v>
      </c>
      <c r="V494" s="52">
        <f t="shared" ca="1" si="5505"/>
        <v>0</v>
      </c>
      <c r="W494" s="52">
        <f t="shared" ca="1" si="5505"/>
        <v>0</v>
      </c>
      <c r="X494" s="52">
        <f t="shared" ca="1" si="5505"/>
        <v>0</v>
      </c>
      <c r="Y494" s="52">
        <f t="shared" ca="1" si="5505"/>
        <v>0</v>
      </c>
      <c r="Z494" s="52">
        <f t="shared" ca="1" si="5505"/>
        <v>0</v>
      </c>
      <c r="AA494" s="52">
        <f t="shared" ca="1" si="5505"/>
        <v>0</v>
      </c>
      <c r="AB494" s="52">
        <f t="shared" ca="1" si="5505"/>
        <v>0</v>
      </c>
      <c r="AC494" s="52">
        <f t="shared" ca="1" si="5505"/>
        <v>-58339.03904464173</v>
      </c>
      <c r="AD494" s="52">
        <f t="shared" ca="1" si="5505"/>
        <v>-55269.794563836636</v>
      </c>
      <c r="AE494" s="52">
        <f t="shared" ca="1" si="5505"/>
        <v>-55269.794563836636</v>
      </c>
      <c r="AF494" s="52">
        <f t="shared" ca="1" si="5505"/>
        <v>-55269.794563836636</v>
      </c>
      <c r="AG494" s="52">
        <f t="shared" ca="1" si="5505"/>
        <v>-55269.794563836636</v>
      </c>
      <c r="AH494" s="52">
        <f t="shared" ca="1" si="5505"/>
        <v>-55269.794563836636</v>
      </c>
      <c r="AI494" s="52">
        <f t="shared" ca="1" si="5505"/>
        <v>-55269.794563836636</v>
      </c>
      <c r="AJ494" s="52">
        <f t="shared" ca="1" si="5505"/>
        <v>-55269.794563836636</v>
      </c>
      <c r="AK494" s="52">
        <f t="shared" ca="1" si="5505"/>
        <v>-55269.794563836636</v>
      </c>
      <c r="AL494" s="52">
        <f t="shared" ca="1" si="5505"/>
        <v>-55269.794563836636</v>
      </c>
      <c r="AM494" s="52">
        <f t="shared" ca="1" si="5505"/>
        <v>-55269.794563836636</v>
      </c>
      <c r="AN494" s="52">
        <f t="shared" ca="1" si="5505"/>
        <v>-55269.794563836636</v>
      </c>
      <c r="AO494" s="52">
        <f t="shared" ca="1" si="5505"/>
        <v>-55269.794563836636</v>
      </c>
      <c r="AP494" s="52">
        <f t="shared" ca="1" si="5505"/>
        <v>-55269.794563836636</v>
      </c>
      <c r="AQ494" s="52">
        <f t="shared" ca="1" si="5505"/>
        <v>-55269.794563836636</v>
      </c>
      <c r="AR494" s="52">
        <f t="shared" ca="1" si="5505"/>
        <v>-55269.794563836636</v>
      </c>
      <c r="AS494" s="52">
        <f t="shared" ca="1" si="5505"/>
        <v>-55269.794563836636</v>
      </c>
      <c r="AT494" s="52">
        <f t="shared" ca="1" si="5505"/>
        <v>-55269.794563836636</v>
      </c>
      <c r="AU494" s="52">
        <f t="shared" ca="1" si="5505"/>
        <v>-55269.794563836636</v>
      </c>
      <c r="AV494" s="52">
        <f t="shared" ca="1" si="5505"/>
        <v>-55269.794563836636</v>
      </c>
      <c r="AW494" s="52">
        <f t="shared" ca="1" si="5505"/>
        <v>-55269.794563836636</v>
      </c>
      <c r="AX494" s="52">
        <f t="shared" ca="1" si="5505"/>
        <v>-55269.794563836636</v>
      </c>
      <c r="AY494" s="52">
        <f t="shared" ca="1" si="5505"/>
        <v>-55269.794563836636</v>
      </c>
      <c r="AZ494" s="52">
        <f t="shared" ca="1" si="5505"/>
        <v>-55269.794563836636</v>
      </c>
      <c r="BA494" s="52">
        <f t="shared" ca="1" si="5505"/>
        <v>-55269.794563836636</v>
      </c>
      <c r="BB494" s="52">
        <f t="shared" ca="1" si="5505"/>
        <v>-55269.794563836636</v>
      </c>
      <c r="BC494" s="52">
        <f t="shared" ca="1" si="5505"/>
        <v>-55269.794563836636</v>
      </c>
      <c r="BD494" s="52">
        <f t="shared" ca="1" si="5505"/>
        <v>-55269.794563836636</v>
      </c>
      <c r="BE494" s="52">
        <f t="shared" ca="1" si="5505"/>
        <v>-27831.511309568275</v>
      </c>
      <c r="BF494" s="52">
        <f t="shared" ca="1" si="5505"/>
        <v>-27831.511309568275</v>
      </c>
      <c r="BG494" s="52">
        <f t="shared" ca="1" si="5505"/>
        <v>-27831.511309568275</v>
      </c>
      <c r="BH494" s="52">
        <f t="shared" ca="1" si="5505"/>
        <v>-27831.511309568275</v>
      </c>
      <c r="BI494" s="52">
        <f t="shared" ca="1" si="5505"/>
        <v>-27831.511309568275</v>
      </c>
      <c r="BJ494" s="52">
        <f t="shared" ca="1" si="5505"/>
        <v>-27831.511309568275</v>
      </c>
      <c r="BK494" s="52">
        <f t="shared" ca="1" si="5505"/>
        <v>-27831.511309568275</v>
      </c>
      <c r="BL494" s="52">
        <f t="shared" ca="1" si="5505"/>
        <v>-27831.511309568275</v>
      </c>
      <c r="BM494" s="52">
        <f t="shared" ca="1" si="5505"/>
        <v>-27831.511309568275</v>
      </c>
      <c r="BN494" s="52">
        <f t="shared" ca="1" si="5505"/>
        <v>-27831.511309568275</v>
      </c>
      <c r="BO494" s="52">
        <f t="shared" ca="1" si="5505"/>
        <v>-27831.511309568275</v>
      </c>
      <c r="BP494" s="52">
        <f t="shared" ca="1" si="5505"/>
        <v>-27831.511309568275</v>
      </c>
      <c r="BQ494" s="52">
        <f t="shared" ca="1" si="5505"/>
        <v>-27831.511309568275</v>
      </c>
      <c r="BR494" s="52">
        <f t="shared" ca="1" si="5505"/>
        <v>-27831.511309568275</v>
      </c>
      <c r="BS494" s="52">
        <f t="shared" ca="1" si="5505"/>
        <v>-27831.511309568275</v>
      </c>
      <c r="BT494" s="52">
        <f t="shared" ca="1" si="5505"/>
        <v>-27831.511309568275</v>
      </c>
      <c r="BU494" s="52">
        <f t="shared" ca="1" si="5505"/>
        <v>-27831.511309568275</v>
      </c>
      <c r="BV494" s="52">
        <f t="shared" ca="1" si="5505"/>
        <v>-27831.511309568275</v>
      </c>
      <c r="BW494" s="52">
        <f t="shared" ca="1" si="5505"/>
        <v>-27831.511309568275</v>
      </c>
      <c r="BX494" s="52">
        <f t="shared" ca="1" si="5505"/>
        <v>-27831.511309568275</v>
      </c>
      <c r="BY494" s="52">
        <f t="shared" ca="1" si="5505"/>
        <v>-27831.511309568275</v>
      </c>
      <c r="BZ494" s="52">
        <f t="shared" ca="1" si="5505"/>
        <v>-27831.511309568275</v>
      </c>
      <c r="CA494" s="52">
        <f t="shared" ca="1" si="5505"/>
        <v>-27831.511309568275</v>
      </c>
      <c r="CB494" s="52">
        <f t="shared" ca="1" si="5505"/>
        <v>-27831.511309568275</v>
      </c>
      <c r="CC494" s="52">
        <f t="shared" ca="1" si="5505"/>
        <v>-27831.511309568275</v>
      </c>
      <c r="CD494" s="52">
        <f t="shared" ca="1" si="5505"/>
        <v>-27831.511309568275</v>
      </c>
      <c r="CE494" s="52">
        <f t="shared" ca="1" si="5505"/>
        <v>-27831.511309568275</v>
      </c>
      <c r="CF494" s="52">
        <f t="shared" ref="CF494:CO494" ca="1" si="5506">-SUM(CF426,CF437,CF448,CF459,CF470,CF481)*Flag_Forecast</f>
        <v>-27831.511309568275</v>
      </c>
      <c r="CG494" s="52">
        <f t="shared" ca="1" si="5506"/>
        <v>-27831.511309568275</v>
      </c>
      <c r="CH494" s="52">
        <f t="shared" ca="1" si="5506"/>
        <v>-27831.511309568275</v>
      </c>
      <c r="CI494" s="52">
        <f t="shared" ca="1" si="5506"/>
        <v>-27831.511309568275</v>
      </c>
      <c r="CJ494" s="52">
        <f t="shared" ca="1" si="5506"/>
        <v>-27831.511309568275</v>
      </c>
      <c r="CK494" s="52">
        <f t="shared" ca="1" si="5506"/>
        <v>-27831.511309568275</v>
      </c>
      <c r="CL494" s="52">
        <f t="shared" ca="1" si="5506"/>
        <v>-27831.511309568275</v>
      </c>
      <c r="CM494" s="52">
        <f t="shared" ca="1" si="5506"/>
        <v>-27831.511309568275</v>
      </c>
      <c r="CN494" s="52">
        <f t="shared" ca="1" si="5506"/>
        <v>-27831.511309568275</v>
      </c>
      <c r="CO494" s="52">
        <f t="shared" ca="1" si="5506"/>
        <v>-27831.511309568275</v>
      </c>
    </row>
    <row r="495" spans="1:93">
      <c r="A495" s="10"/>
      <c r="B495" s="10"/>
      <c r="C495" s="17" t="s">
        <v>129</v>
      </c>
      <c r="D495" s="10"/>
      <c r="E495" s="10"/>
      <c r="F495" s="10"/>
      <c r="G495" s="143" t="str">
        <f>Monetary_Unit</f>
        <v>тыс. руб.</v>
      </c>
      <c r="H495" s="10"/>
      <c r="I495" s="23">
        <f ca="1">SUM(L495:CO495)</f>
        <v>-700346.21651213081</v>
      </c>
      <c r="J495" s="10"/>
      <c r="K495" s="10"/>
      <c r="L495" s="52">
        <f t="shared" ref="L495:R495" ca="1" si="5507">SUM(L424,L435,L446,L457,L468,L479)</f>
        <v>0</v>
      </c>
      <c r="M495" s="52">
        <f t="shared" ca="1" si="5507"/>
        <v>0</v>
      </c>
      <c r="N495" s="52">
        <f t="shared" ca="1" si="5507"/>
        <v>0</v>
      </c>
      <c r="O495" s="52">
        <f t="shared" ca="1" si="5507"/>
        <v>0</v>
      </c>
      <c r="P495" s="52">
        <f t="shared" ca="1" si="5507"/>
        <v>0</v>
      </c>
      <c r="Q495" s="52">
        <f t="shared" ca="1" si="5507"/>
        <v>0</v>
      </c>
      <c r="R495" s="52">
        <f t="shared" ca="1" si="5507"/>
        <v>0</v>
      </c>
      <c r="S495" s="52">
        <f t="shared" ref="S495" ca="1" si="5508">SUM(S424,S435,S446,S457,S468,S479)</f>
        <v>0</v>
      </c>
      <c r="T495" s="52">
        <f t="shared" ref="T495:CE495" ca="1" si="5509">SUM(T424,T435,T446,T457,T468,T479)</f>
        <v>0</v>
      </c>
      <c r="U495" s="52">
        <f t="shared" ca="1" si="5509"/>
        <v>0</v>
      </c>
      <c r="V495" s="52">
        <f t="shared" ca="1" si="5509"/>
        <v>0</v>
      </c>
      <c r="W495" s="52">
        <f t="shared" ca="1" si="5509"/>
        <v>0</v>
      </c>
      <c r="X495" s="52">
        <f t="shared" ca="1" si="5509"/>
        <v>0</v>
      </c>
      <c r="Y495" s="52">
        <f t="shared" ca="1" si="5509"/>
        <v>0</v>
      </c>
      <c r="Z495" s="52">
        <f t="shared" ca="1" si="5509"/>
        <v>0</v>
      </c>
      <c r="AA495" s="52">
        <f t="shared" ca="1" si="5509"/>
        <v>0</v>
      </c>
      <c r="AB495" s="52">
        <f t="shared" ca="1" si="5509"/>
        <v>0</v>
      </c>
      <c r="AC495" s="52">
        <f t="shared" ca="1" si="5509"/>
        <v>-700346.21651213081</v>
      </c>
      <c r="AD495" s="52">
        <f t="shared" ca="1" si="5509"/>
        <v>0</v>
      </c>
      <c r="AE495" s="52">
        <f t="shared" ca="1" si="5509"/>
        <v>0</v>
      </c>
      <c r="AF495" s="52">
        <f t="shared" ca="1" si="5509"/>
        <v>0</v>
      </c>
      <c r="AG495" s="52">
        <f t="shared" ca="1" si="5509"/>
        <v>0</v>
      </c>
      <c r="AH495" s="52">
        <f t="shared" ca="1" si="5509"/>
        <v>0</v>
      </c>
      <c r="AI495" s="52">
        <f t="shared" ca="1" si="5509"/>
        <v>0</v>
      </c>
      <c r="AJ495" s="52">
        <f t="shared" ca="1" si="5509"/>
        <v>0</v>
      </c>
      <c r="AK495" s="52">
        <f t="shared" ca="1" si="5509"/>
        <v>0</v>
      </c>
      <c r="AL495" s="52">
        <f t="shared" ca="1" si="5509"/>
        <v>0</v>
      </c>
      <c r="AM495" s="52">
        <f t="shared" ca="1" si="5509"/>
        <v>0</v>
      </c>
      <c r="AN495" s="52">
        <f t="shared" ca="1" si="5509"/>
        <v>0</v>
      </c>
      <c r="AO495" s="52">
        <f t="shared" ca="1" si="5509"/>
        <v>0</v>
      </c>
      <c r="AP495" s="52">
        <f t="shared" ca="1" si="5509"/>
        <v>0</v>
      </c>
      <c r="AQ495" s="52">
        <f t="shared" ca="1" si="5509"/>
        <v>0</v>
      </c>
      <c r="AR495" s="52">
        <f t="shared" ca="1" si="5509"/>
        <v>0</v>
      </c>
      <c r="AS495" s="52">
        <f t="shared" ca="1" si="5509"/>
        <v>0</v>
      </c>
      <c r="AT495" s="52">
        <f t="shared" ca="1" si="5509"/>
        <v>0</v>
      </c>
      <c r="AU495" s="52">
        <f t="shared" ca="1" si="5509"/>
        <v>0</v>
      </c>
      <c r="AV495" s="52">
        <f t="shared" ca="1" si="5509"/>
        <v>0</v>
      </c>
      <c r="AW495" s="52">
        <f t="shared" ca="1" si="5509"/>
        <v>0</v>
      </c>
      <c r="AX495" s="52">
        <f t="shared" ca="1" si="5509"/>
        <v>0</v>
      </c>
      <c r="AY495" s="52">
        <f t="shared" ca="1" si="5509"/>
        <v>0</v>
      </c>
      <c r="AZ495" s="52">
        <f t="shared" ca="1" si="5509"/>
        <v>0</v>
      </c>
      <c r="BA495" s="52">
        <f t="shared" ca="1" si="5509"/>
        <v>0</v>
      </c>
      <c r="BB495" s="52">
        <f t="shared" ca="1" si="5509"/>
        <v>0</v>
      </c>
      <c r="BC495" s="52">
        <f t="shared" ca="1" si="5509"/>
        <v>0</v>
      </c>
      <c r="BD495" s="52">
        <f t="shared" ca="1" si="5509"/>
        <v>0</v>
      </c>
      <c r="BE495" s="52">
        <f t="shared" ca="1" si="5509"/>
        <v>0</v>
      </c>
      <c r="BF495" s="52">
        <f t="shared" ca="1" si="5509"/>
        <v>0</v>
      </c>
      <c r="BG495" s="52">
        <f t="shared" ca="1" si="5509"/>
        <v>0</v>
      </c>
      <c r="BH495" s="52">
        <f t="shared" ca="1" si="5509"/>
        <v>0</v>
      </c>
      <c r="BI495" s="52">
        <f t="shared" ca="1" si="5509"/>
        <v>0</v>
      </c>
      <c r="BJ495" s="52">
        <f t="shared" ca="1" si="5509"/>
        <v>0</v>
      </c>
      <c r="BK495" s="52">
        <f t="shared" ca="1" si="5509"/>
        <v>0</v>
      </c>
      <c r="BL495" s="52">
        <f t="shared" ca="1" si="5509"/>
        <v>0</v>
      </c>
      <c r="BM495" s="52">
        <f t="shared" ca="1" si="5509"/>
        <v>0</v>
      </c>
      <c r="BN495" s="52">
        <f t="shared" ca="1" si="5509"/>
        <v>0</v>
      </c>
      <c r="BO495" s="52">
        <f t="shared" ca="1" si="5509"/>
        <v>0</v>
      </c>
      <c r="BP495" s="52">
        <f t="shared" ca="1" si="5509"/>
        <v>0</v>
      </c>
      <c r="BQ495" s="52">
        <f t="shared" ca="1" si="5509"/>
        <v>0</v>
      </c>
      <c r="BR495" s="52">
        <f t="shared" ca="1" si="5509"/>
        <v>0</v>
      </c>
      <c r="BS495" s="52">
        <f t="shared" ca="1" si="5509"/>
        <v>0</v>
      </c>
      <c r="BT495" s="52">
        <f t="shared" ca="1" si="5509"/>
        <v>0</v>
      </c>
      <c r="BU495" s="52">
        <f t="shared" ca="1" si="5509"/>
        <v>0</v>
      </c>
      <c r="BV495" s="52">
        <f t="shared" ca="1" si="5509"/>
        <v>0</v>
      </c>
      <c r="BW495" s="52">
        <f t="shared" ca="1" si="5509"/>
        <v>0</v>
      </c>
      <c r="BX495" s="52">
        <f t="shared" ca="1" si="5509"/>
        <v>0</v>
      </c>
      <c r="BY495" s="52">
        <f t="shared" ca="1" si="5509"/>
        <v>0</v>
      </c>
      <c r="BZ495" s="52">
        <f t="shared" ca="1" si="5509"/>
        <v>0</v>
      </c>
      <c r="CA495" s="52">
        <f t="shared" ca="1" si="5509"/>
        <v>0</v>
      </c>
      <c r="CB495" s="52">
        <f t="shared" ca="1" si="5509"/>
        <v>0</v>
      </c>
      <c r="CC495" s="52">
        <f t="shared" ca="1" si="5509"/>
        <v>0</v>
      </c>
      <c r="CD495" s="52">
        <f t="shared" ca="1" si="5509"/>
        <v>0</v>
      </c>
      <c r="CE495" s="52">
        <f t="shared" ca="1" si="5509"/>
        <v>0</v>
      </c>
      <c r="CF495" s="52">
        <f t="shared" ref="CF495:CO495" ca="1" si="5510">SUM(CF424,CF435,CF446,CF457,CF468,CF479)</f>
        <v>0</v>
      </c>
      <c r="CG495" s="52">
        <f t="shared" ca="1" si="5510"/>
        <v>0</v>
      </c>
      <c r="CH495" s="52">
        <f t="shared" ca="1" si="5510"/>
        <v>0</v>
      </c>
      <c r="CI495" s="52">
        <f t="shared" ca="1" si="5510"/>
        <v>0</v>
      </c>
      <c r="CJ495" s="52">
        <f t="shared" ca="1" si="5510"/>
        <v>0</v>
      </c>
      <c r="CK495" s="52">
        <f t="shared" ca="1" si="5510"/>
        <v>0</v>
      </c>
      <c r="CL495" s="52">
        <f t="shared" ca="1" si="5510"/>
        <v>0</v>
      </c>
      <c r="CM495" s="52">
        <f t="shared" ca="1" si="5510"/>
        <v>0</v>
      </c>
      <c r="CN495" s="52">
        <f t="shared" ca="1" si="5510"/>
        <v>0</v>
      </c>
      <c r="CO495" s="52">
        <f t="shared" ca="1" si="5510"/>
        <v>0</v>
      </c>
    </row>
    <row r="496" spans="1:93">
      <c r="A496" s="10"/>
      <c r="B496" s="10"/>
      <c r="C496" s="17"/>
      <c r="D496" s="10"/>
      <c r="E496" s="10"/>
      <c r="F496" s="10"/>
      <c r="G496" s="142"/>
      <c r="H496" s="11"/>
      <c r="I496" s="11"/>
      <c r="J496" s="11"/>
      <c r="K496" s="10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  <c r="CC496" s="11"/>
      <c r="CD496" s="11"/>
      <c r="CE496" s="11"/>
      <c r="CF496" s="11"/>
      <c r="CG496" s="11"/>
      <c r="CH496" s="11"/>
      <c r="CI496" s="11"/>
      <c r="CJ496" s="11"/>
      <c r="CK496" s="11"/>
      <c r="CL496" s="11"/>
      <c r="CM496" s="11"/>
      <c r="CN496" s="11"/>
      <c r="CO496" s="11"/>
    </row>
    <row r="497" spans="1:93" ht="16" thickBot="1">
      <c r="A497" s="10"/>
      <c r="B497" s="10"/>
      <c r="C497" s="12" t="s">
        <v>319</v>
      </c>
      <c r="D497" s="12"/>
      <c r="E497" s="12"/>
      <c r="F497" s="12"/>
      <c r="G497" s="362"/>
      <c r="H497" s="12"/>
      <c r="I497" s="12"/>
      <c r="J497" s="11"/>
      <c r="K497" s="10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  <c r="CC497" s="11"/>
      <c r="CD497" s="11"/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</row>
    <row r="498" spans="1:93">
      <c r="A498" s="10"/>
      <c r="B498" s="10"/>
      <c r="C498" s="21"/>
      <c r="D498" s="10"/>
      <c r="E498" s="10"/>
      <c r="F498" s="10"/>
      <c r="G498" s="14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  <c r="CD498" s="10"/>
      <c r="CE498" s="10"/>
      <c r="CF498" s="10"/>
      <c r="CG498" s="10"/>
      <c r="CH498" s="10"/>
      <c r="CI498" s="10"/>
      <c r="CJ498" s="10"/>
      <c r="CK498" s="10"/>
      <c r="CL498" s="10"/>
      <c r="CM498" s="10"/>
      <c r="CN498" s="10"/>
      <c r="CO498" s="10"/>
    </row>
    <row r="499" spans="1:93">
      <c r="A499" s="10"/>
      <c r="B499" s="10"/>
      <c r="C499" s="17" t="s">
        <v>392</v>
      </c>
      <c r="D499" s="10"/>
      <c r="E499" s="10"/>
      <c r="F499" s="10"/>
      <c r="G499" s="143" t="str">
        <f>Monetary_Unit</f>
        <v>тыс. руб.</v>
      </c>
      <c r="H499" s="10"/>
      <c r="I499" s="11"/>
      <c r="J499" s="10"/>
      <c r="K499" s="10"/>
      <c r="L499" s="52">
        <f t="shared" ref="L499" si="5511">K502*Flag_Forecast</f>
        <v>0</v>
      </c>
      <c r="M499" s="52">
        <f t="shared" ref="M499" ca="1" si="5512">L502*Flag_Forecast</f>
        <v>0</v>
      </c>
      <c r="N499" s="52">
        <f t="shared" ref="N499" ca="1" si="5513">M502*Flag_Forecast</f>
        <v>0</v>
      </c>
      <c r="O499" s="52">
        <f t="shared" ref="O499" ca="1" si="5514">N502*Flag_Forecast</f>
        <v>0</v>
      </c>
      <c r="P499" s="52">
        <f t="shared" ref="P499" ca="1" si="5515">O502*Flag_Forecast</f>
        <v>0</v>
      </c>
      <c r="Q499" s="52">
        <f t="shared" ref="Q499" ca="1" si="5516">P502*Flag_Forecast</f>
        <v>0</v>
      </c>
      <c r="R499" s="52">
        <f t="shared" ref="R499" ca="1" si="5517">Q502*Flag_Forecast</f>
        <v>0</v>
      </c>
      <c r="S499" s="52">
        <f t="shared" ref="S499" ca="1" si="5518">R502*Flag_Forecast</f>
        <v>0</v>
      </c>
      <c r="T499" s="52">
        <f t="shared" ref="T499" ca="1" si="5519">S502*Flag_Forecast</f>
        <v>0</v>
      </c>
      <c r="U499" s="52">
        <f t="shared" ref="U499" ca="1" si="5520">T502*Flag_Forecast</f>
        <v>0</v>
      </c>
      <c r="V499" s="52">
        <f t="shared" ref="V499" ca="1" si="5521">U502*Flag_Forecast</f>
        <v>0</v>
      </c>
      <c r="W499" s="52">
        <f t="shared" ref="W499" ca="1" si="5522">V502*Flag_Forecast</f>
        <v>0</v>
      </c>
      <c r="X499" s="52">
        <f t="shared" ref="X499" ca="1" si="5523">W502*Flag_Forecast</f>
        <v>0</v>
      </c>
      <c r="Y499" s="52">
        <f t="shared" ref="Y499" ca="1" si="5524">X502*Flag_Forecast</f>
        <v>0</v>
      </c>
      <c r="Z499" s="52">
        <f t="shared" ref="Z499" ca="1" si="5525">Y502*Flag_Forecast</f>
        <v>0</v>
      </c>
      <c r="AA499" s="52">
        <f t="shared" ref="AA499" ca="1" si="5526">Z502*Flag_Forecast</f>
        <v>0</v>
      </c>
      <c r="AB499" s="52">
        <f t="shared" ref="AB499" ca="1" si="5527">AA502*Flag_Forecast</f>
        <v>0</v>
      </c>
      <c r="AC499" s="52">
        <f t="shared" ref="AC499" ca="1" si="5528">AB502*Flag_Forecast</f>
        <v>3907956.9959437158</v>
      </c>
      <c r="AD499" s="52">
        <f t="shared" ref="AD499" ca="1" si="5529">AC502*Flag_Forecast</f>
        <v>3875390.687644185</v>
      </c>
      <c r="AE499" s="52">
        <f t="shared" ref="AE499" ca="1" si="5530">AD502*Flag_Forecast</f>
        <v>3842824.3793446543</v>
      </c>
      <c r="AF499" s="52">
        <f t="shared" ref="AF499" ca="1" si="5531">AE502*Flag_Forecast</f>
        <v>3810258.0710451235</v>
      </c>
      <c r="AG499" s="52">
        <f t="shared" ref="AG499" ca="1" si="5532">AF502*Flag_Forecast</f>
        <v>3777691.7627455927</v>
      </c>
      <c r="AH499" s="52">
        <f t="shared" ref="AH499" ca="1" si="5533">AG502*Flag_Forecast</f>
        <v>3745125.454446062</v>
      </c>
      <c r="AI499" s="52">
        <f t="shared" ref="AI499" ca="1" si="5534">AH502*Flag_Forecast</f>
        <v>3712559.1461465312</v>
      </c>
      <c r="AJ499" s="52">
        <f t="shared" ref="AJ499" ca="1" si="5535">AI502*Flag_Forecast</f>
        <v>3679992.8378470005</v>
      </c>
      <c r="AK499" s="52">
        <f t="shared" ref="AK499" ca="1" si="5536">AJ502*Flag_Forecast</f>
        <v>3647426.5295474697</v>
      </c>
      <c r="AL499" s="52">
        <f t="shared" ref="AL499" ca="1" si="5537">AK502*Flag_Forecast</f>
        <v>3614860.2212479389</v>
      </c>
      <c r="AM499" s="52">
        <f t="shared" ref="AM499" ca="1" si="5538">AL502*Flag_Forecast</f>
        <v>3582293.9129484082</v>
      </c>
      <c r="AN499" s="52">
        <f t="shared" ref="AN499" ca="1" si="5539">AM502*Flag_Forecast</f>
        <v>3549727.6046488774</v>
      </c>
      <c r="AO499" s="52">
        <f t="shared" ref="AO499" ca="1" si="5540">AN502*Flag_Forecast</f>
        <v>3517161.2963493466</v>
      </c>
      <c r="AP499" s="52">
        <f t="shared" ref="AP499" ca="1" si="5541">AO502*Flag_Forecast</f>
        <v>3484594.9880498159</v>
      </c>
      <c r="AQ499" s="52">
        <f t="shared" ref="AQ499" ca="1" si="5542">AP502*Flag_Forecast</f>
        <v>3452028.6797502851</v>
      </c>
      <c r="AR499" s="52">
        <f t="shared" ref="AR499" ca="1" si="5543">AQ502*Flag_Forecast</f>
        <v>3419462.3714507543</v>
      </c>
      <c r="AS499" s="52">
        <f t="shared" ref="AS499" ca="1" si="5544">AR502*Flag_Forecast</f>
        <v>3386896.0631512236</v>
      </c>
      <c r="AT499" s="52">
        <f t="shared" ref="AT499" ca="1" si="5545">AS502*Flag_Forecast</f>
        <v>3354329.7548516928</v>
      </c>
      <c r="AU499" s="52">
        <f t="shared" ref="AU499" ca="1" si="5546">AT502*Flag_Forecast</f>
        <v>3321763.4465521621</v>
      </c>
      <c r="AV499" s="52">
        <f t="shared" ref="AV499" ca="1" si="5547">AU502*Flag_Forecast</f>
        <v>3289197.1382526313</v>
      </c>
      <c r="AW499" s="52">
        <f t="shared" ref="AW499" ca="1" si="5548">AV502*Flag_Forecast</f>
        <v>3256630.8299531005</v>
      </c>
      <c r="AX499" s="52">
        <f t="shared" ref="AX499" ca="1" si="5549">AW502*Flag_Forecast</f>
        <v>3224064.5216535698</v>
      </c>
      <c r="AY499" s="52">
        <f t="shared" ref="AY499" ca="1" si="5550">AX502*Flag_Forecast</f>
        <v>3191498.213354039</v>
      </c>
      <c r="AZ499" s="52">
        <f t="shared" ref="AZ499" ca="1" si="5551">AY502*Flag_Forecast</f>
        <v>3158931.9050545082</v>
      </c>
      <c r="BA499" s="52">
        <f t="shared" ref="BA499" ca="1" si="5552">AZ502*Flag_Forecast</f>
        <v>3126365.5967549775</v>
      </c>
      <c r="BB499" s="52">
        <f t="shared" ref="BB499" ca="1" si="5553">BA502*Flag_Forecast</f>
        <v>3093799.2884554467</v>
      </c>
      <c r="BC499" s="52">
        <f t="shared" ref="BC499" ca="1" si="5554">BB502*Flag_Forecast</f>
        <v>3061232.980155916</v>
      </c>
      <c r="BD499" s="52">
        <f t="shared" ref="BD499" ca="1" si="5555">BC502*Flag_Forecast</f>
        <v>3028666.6718563852</v>
      </c>
      <c r="BE499" s="52">
        <f t="shared" ref="BE499" ca="1" si="5556">BD502*Flag_Forecast</f>
        <v>2996100.3635568544</v>
      </c>
      <c r="BF499" s="52">
        <f t="shared" ref="BF499" ca="1" si="5557">BE502*Flag_Forecast</f>
        <v>2963534.0552573237</v>
      </c>
      <c r="BG499" s="52">
        <f t="shared" ref="BG499" ca="1" si="5558">BF502*Flag_Forecast</f>
        <v>2930967.7469577929</v>
      </c>
      <c r="BH499" s="52">
        <f t="shared" ref="BH499" ca="1" si="5559">BG502*Flag_Forecast</f>
        <v>2898401.4386582621</v>
      </c>
      <c r="BI499" s="52">
        <f t="shared" ref="BI499" ca="1" si="5560">BH502*Flag_Forecast</f>
        <v>2865835.1303587314</v>
      </c>
      <c r="BJ499" s="52">
        <f t="shared" ref="BJ499" ca="1" si="5561">BI502*Flag_Forecast</f>
        <v>2833268.8220592006</v>
      </c>
      <c r="BK499" s="52">
        <f t="shared" ref="BK499" ca="1" si="5562">BJ502*Flag_Forecast</f>
        <v>2800702.5137596698</v>
      </c>
      <c r="BL499" s="52">
        <f t="shared" ref="BL499" ca="1" si="5563">BK502*Flag_Forecast</f>
        <v>2768136.2054601391</v>
      </c>
      <c r="BM499" s="52">
        <f t="shared" ref="BM499" ca="1" si="5564">BL502*Flag_Forecast</f>
        <v>2735569.8971606083</v>
      </c>
      <c r="BN499" s="52">
        <f t="shared" ref="BN499" ca="1" si="5565">BM502*Flag_Forecast</f>
        <v>2703003.5888610776</v>
      </c>
      <c r="BO499" s="52">
        <f t="shared" ref="BO499" ca="1" si="5566">BN502*Flag_Forecast</f>
        <v>2670437.2805615468</v>
      </c>
      <c r="BP499" s="52">
        <f t="shared" ref="BP499" ca="1" si="5567">BO502*Flag_Forecast</f>
        <v>2637870.972262016</v>
      </c>
      <c r="BQ499" s="52">
        <f t="shared" ref="BQ499" ca="1" si="5568">BP502*Flag_Forecast</f>
        <v>2605304.6639624853</v>
      </c>
      <c r="BR499" s="52">
        <f t="shared" ref="BR499" ca="1" si="5569">BQ502*Flag_Forecast</f>
        <v>2572738.3556629545</v>
      </c>
      <c r="BS499" s="52">
        <f t="shared" ref="BS499" ca="1" si="5570">BR502*Flag_Forecast</f>
        <v>2540172.0473634237</v>
      </c>
      <c r="BT499" s="52">
        <f t="shared" ref="BT499" ca="1" si="5571">BS502*Flag_Forecast</f>
        <v>2507605.739063893</v>
      </c>
      <c r="BU499" s="52">
        <f t="shared" ref="BU499" ca="1" si="5572">BT502*Flag_Forecast</f>
        <v>2475039.4307643622</v>
      </c>
      <c r="BV499" s="52">
        <f t="shared" ref="BV499" ca="1" si="5573">BU502*Flag_Forecast</f>
        <v>2442473.1224648315</v>
      </c>
      <c r="BW499" s="52">
        <f t="shared" ref="BW499" ca="1" si="5574">BV502*Flag_Forecast</f>
        <v>2409906.8141653007</v>
      </c>
      <c r="BX499" s="52">
        <f t="shared" ref="BX499" ca="1" si="5575">BW502*Flag_Forecast</f>
        <v>2377340.5058657699</v>
      </c>
      <c r="BY499" s="52">
        <f t="shared" ref="BY499" ca="1" si="5576">BX502*Flag_Forecast</f>
        <v>2344774.1975662392</v>
      </c>
      <c r="BZ499" s="52">
        <f t="shared" ref="BZ499" ca="1" si="5577">BY502*Flag_Forecast</f>
        <v>2312207.8892667084</v>
      </c>
      <c r="CA499" s="52">
        <f t="shared" ref="CA499" ca="1" si="5578">BZ502*Flag_Forecast</f>
        <v>2279641.5809671776</v>
      </c>
      <c r="CB499" s="52">
        <f t="shared" ref="CB499" ca="1" si="5579">CA502*Flag_Forecast</f>
        <v>2247075.2726676469</v>
      </c>
      <c r="CC499" s="52">
        <f t="shared" ref="CC499" ca="1" si="5580">CB502*Flag_Forecast</f>
        <v>2214508.9643681161</v>
      </c>
      <c r="CD499" s="52">
        <f t="shared" ref="CD499" ca="1" si="5581">CC502*Flag_Forecast</f>
        <v>2181942.6560685853</v>
      </c>
      <c r="CE499" s="52">
        <f t="shared" ref="CE499" ca="1" si="5582">CD502*Flag_Forecast</f>
        <v>2149376.3477690546</v>
      </c>
      <c r="CF499" s="52">
        <f t="shared" ref="CF499" ca="1" si="5583">CE502*Flag_Forecast</f>
        <v>2116810.0394695238</v>
      </c>
      <c r="CG499" s="52">
        <f t="shared" ref="CG499" ca="1" si="5584">CF502*Flag_Forecast</f>
        <v>2084243.7311699928</v>
      </c>
      <c r="CH499" s="52">
        <f t="shared" ref="CH499" ca="1" si="5585">CG502*Flag_Forecast</f>
        <v>2051677.4228704618</v>
      </c>
      <c r="CI499" s="52">
        <f t="shared" ref="CI499" ca="1" si="5586">CH502*Flag_Forecast</f>
        <v>2019111.1145709308</v>
      </c>
      <c r="CJ499" s="52">
        <f t="shared" ref="CJ499" ca="1" si="5587">CI502*Flag_Forecast</f>
        <v>1986544.8062713998</v>
      </c>
      <c r="CK499" s="52">
        <f t="shared" ref="CK499" ca="1" si="5588">CJ502*Flag_Forecast</f>
        <v>1953978.4979718688</v>
      </c>
      <c r="CL499" s="52">
        <f t="shared" ref="CL499" ca="1" si="5589">CK502*Flag_Forecast</f>
        <v>1921412.1896723378</v>
      </c>
      <c r="CM499" s="52">
        <f t="shared" ref="CM499" ca="1" si="5590">CL502*Flag_Forecast</f>
        <v>1888845.8813728068</v>
      </c>
      <c r="CN499" s="52">
        <f t="shared" ref="CN499" ca="1" si="5591">CM502*Flag_Forecast</f>
        <v>1856279.5730732759</v>
      </c>
      <c r="CO499" s="52">
        <f t="shared" ref="CO499" ca="1" si="5592">CN502*Flag_Forecast</f>
        <v>1823713.2647737449</v>
      </c>
    </row>
    <row r="500" spans="1:93">
      <c r="A500" s="10"/>
      <c r="B500" s="10"/>
      <c r="C500" s="17" t="s">
        <v>131</v>
      </c>
      <c r="D500" s="10"/>
      <c r="E500" s="10"/>
      <c r="F500" s="10"/>
      <c r="G500" s="143" t="str">
        <f>Monetary_Unit</f>
        <v>тыс. руб.</v>
      </c>
      <c r="H500" s="10"/>
      <c r="I500" s="23">
        <f ca="1">SUM(L500:CO500)</f>
        <v>3907956.9959437158</v>
      </c>
      <c r="J500" s="10"/>
      <c r="K500" s="10"/>
      <c r="L500" s="52">
        <f ca="1">SUM(L355,L365,L385,L395)</f>
        <v>0</v>
      </c>
      <c r="M500" s="52">
        <f t="shared" ref="M500:BX500" ca="1" si="5593">SUM(M355,M365,M385,M395)</f>
        <v>0</v>
      </c>
      <c r="N500" s="52">
        <f t="shared" ca="1" si="5593"/>
        <v>0</v>
      </c>
      <c r="O500" s="52">
        <f t="shared" ca="1" si="5593"/>
        <v>0</v>
      </c>
      <c r="P500" s="52">
        <f t="shared" ca="1" si="5593"/>
        <v>0</v>
      </c>
      <c r="Q500" s="52">
        <f t="shared" ca="1" si="5593"/>
        <v>0</v>
      </c>
      <c r="R500" s="52">
        <f t="shared" ca="1" si="5593"/>
        <v>0</v>
      </c>
      <c r="S500" s="52">
        <f t="shared" ca="1" si="5593"/>
        <v>0</v>
      </c>
      <c r="T500" s="52">
        <f t="shared" ca="1" si="5593"/>
        <v>0</v>
      </c>
      <c r="U500" s="52">
        <f t="shared" ca="1" si="5593"/>
        <v>0</v>
      </c>
      <c r="V500" s="52">
        <f t="shared" ca="1" si="5593"/>
        <v>0</v>
      </c>
      <c r="W500" s="52">
        <f t="shared" ca="1" si="5593"/>
        <v>0</v>
      </c>
      <c r="X500" s="52">
        <f t="shared" ca="1" si="5593"/>
        <v>0</v>
      </c>
      <c r="Y500" s="52">
        <f t="shared" ca="1" si="5593"/>
        <v>0</v>
      </c>
      <c r="Z500" s="52">
        <f t="shared" ca="1" si="5593"/>
        <v>0</v>
      </c>
      <c r="AA500" s="52">
        <f t="shared" ca="1" si="5593"/>
        <v>0</v>
      </c>
      <c r="AB500" s="52">
        <f t="shared" ca="1" si="5593"/>
        <v>3907956.9959437158</v>
      </c>
      <c r="AC500" s="52">
        <f t="shared" ca="1" si="5593"/>
        <v>0</v>
      </c>
      <c r="AD500" s="52">
        <f t="shared" ca="1" si="5593"/>
        <v>0</v>
      </c>
      <c r="AE500" s="52">
        <f t="shared" ca="1" si="5593"/>
        <v>0</v>
      </c>
      <c r="AF500" s="52">
        <f t="shared" ca="1" si="5593"/>
        <v>0</v>
      </c>
      <c r="AG500" s="52">
        <f t="shared" ca="1" si="5593"/>
        <v>0</v>
      </c>
      <c r="AH500" s="52">
        <f t="shared" ca="1" si="5593"/>
        <v>0</v>
      </c>
      <c r="AI500" s="52">
        <f t="shared" ca="1" si="5593"/>
        <v>0</v>
      </c>
      <c r="AJ500" s="52">
        <f t="shared" ca="1" si="5593"/>
        <v>0</v>
      </c>
      <c r="AK500" s="52">
        <f t="shared" ca="1" si="5593"/>
        <v>0</v>
      </c>
      <c r="AL500" s="52">
        <f t="shared" ca="1" si="5593"/>
        <v>0</v>
      </c>
      <c r="AM500" s="52">
        <f t="shared" ca="1" si="5593"/>
        <v>0</v>
      </c>
      <c r="AN500" s="52">
        <f t="shared" ca="1" si="5593"/>
        <v>0</v>
      </c>
      <c r="AO500" s="52">
        <f t="shared" ca="1" si="5593"/>
        <v>0</v>
      </c>
      <c r="AP500" s="52">
        <f t="shared" ca="1" si="5593"/>
        <v>0</v>
      </c>
      <c r="AQ500" s="52">
        <f t="shared" ca="1" si="5593"/>
        <v>0</v>
      </c>
      <c r="AR500" s="52">
        <f t="shared" ca="1" si="5593"/>
        <v>0</v>
      </c>
      <c r="AS500" s="52">
        <f t="shared" ca="1" si="5593"/>
        <v>0</v>
      </c>
      <c r="AT500" s="52">
        <f t="shared" ca="1" si="5593"/>
        <v>0</v>
      </c>
      <c r="AU500" s="52">
        <f t="shared" ca="1" si="5593"/>
        <v>0</v>
      </c>
      <c r="AV500" s="52">
        <f t="shared" ca="1" si="5593"/>
        <v>0</v>
      </c>
      <c r="AW500" s="52">
        <f t="shared" ca="1" si="5593"/>
        <v>0</v>
      </c>
      <c r="AX500" s="52">
        <f t="shared" ca="1" si="5593"/>
        <v>0</v>
      </c>
      <c r="AY500" s="52">
        <f t="shared" ca="1" si="5593"/>
        <v>0</v>
      </c>
      <c r="AZ500" s="52">
        <f t="shared" ca="1" si="5593"/>
        <v>0</v>
      </c>
      <c r="BA500" s="52">
        <f t="shared" ca="1" si="5593"/>
        <v>0</v>
      </c>
      <c r="BB500" s="52">
        <f t="shared" ca="1" si="5593"/>
        <v>0</v>
      </c>
      <c r="BC500" s="52">
        <f t="shared" ca="1" si="5593"/>
        <v>0</v>
      </c>
      <c r="BD500" s="52">
        <f t="shared" ca="1" si="5593"/>
        <v>0</v>
      </c>
      <c r="BE500" s="52">
        <f t="shared" ca="1" si="5593"/>
        <v>0</v>
      </c>
      <c r="BF500" s="52">
        <f t="shared" ca="1" si="5593"/>
        <v>0</v>
      </c>
      <c r="BG500" s="52">
        <f t="shared" ca="1" si="5593"/>
        <v>0</v>
      </c>
      <c r="BH500" s="52">
        <f t="shared" ca="1" si="5593"/>
        <v>0</v>
      </c>
      <c r="BI500" s="52">
        <f t="shared" ca="1" si="5593"/>
        <v>0</v>
      </c>
      <c r="BJ500" s="52">
        <f t="shared" ca="1" si="5593"/>
        <v>0</v>
      </c>
      <c r="BK500" s="52">
        <f t="shared" ca="1" si="5593"/>
        <v>0</v>
      </c>
      <c r="BL500" s="52">
        <f t="shared" ca="1" si="5593"/>
        <v>0</v>
      </c>
      <c r="BM500" s="52">
        <f t="shared" ca="1" si="5593"/>
        <v>0</v>
      </c>
      <c r="BN500" s="52">
        <f t="shared" ca="1" si="5593"/>
        <v>0</v>
      </c>
      <c r="BO500" s="52">
        <f t="shared" ca="1" si="5593"/>
        <v>0</v>
      </c>
      <c r="BP500" s="52">
        <f t="shared" ca="1" si="5593"/>
        <v>0</v>
      </c>
      <c r="BQ500" s="52">
        <f t="shared" ca="1" si="5593"/>
        <v>0</v>
      </c>
      <c r="BR500" s="52">
        <f t="shared" ca="1" si="5593"/>
        <v>0</v>
      </c>
      <c r="BS500" s="52">
        <f t="shared" ca="1" si="5593"/>
        <v>0</v>
      </c>
      <c r="BT500" s="52">
        <f t="shared" ca="1" si="5593"/>
        <v>0</v>
      </c>
      <c r="BU500" s="52">
        <f t="shared" ca="1" si="5593"/>
        <v>0</v>
      </c>
      <c r="BV500" s="52">
        <f t="shared" ca="1" si="5593"/>
        <v>0</v>
      </c>
      <c r="BW500" s="52">
        <f t="shared" ca="1" si="5593"/>
        <v>0</v>
      </c>
      <c r="BX500" s="52">
        <f t="shared" ca="1" si="5593"/>
        <v>0</v>
      </c>
      <c r="BY500" s="52">
        <f t="shared" ref="BY500:CO500" ca="1" si="5594">SUM(BY355,BY365,BY385,BY395)</f>
        <v>0</v>
      </c>
      <c r="BZ500" s="52">
        <f t="shared" ca="1" si="5594"/>
        <v>0</v>
      </c>
      <c r="CA500" s="52">
        <f t="shared" ca="1" si="5594"/>
        <v>0</v>
      </c>
      <c r="CB500" s="52">
        <f t="shared" ca="1" si="5594"/>
        <v>0</v>
      </c>
      <c r="CC500" s="52">
        <f t="shared" ca="1" si="5594"/>
        <v>0</v>
      </c>
      <c r="CD500" s="52">
        <f t="shared" ca="1" si="5594"/>
        <v>0</v>
      </c>
      <c r="CE500" s="52">
        <f t="shared" ca="1" si="5594"/>
        <v>0</v>
      </c>
      <c r="CF500" s="52">
        <f t="shared" ca="1" si="5594"/>
        <v>0</v>
      </c>
      <c r="CG500" s="52">
        <f t="shared" ca="1" si="5594"/>
        <v>0</v>
      </c>
      <c r="CH500" s="52">
        <f t="shared" ca="1" si="5594"/>
        <v>0</v>
      </c>
      <c r="CI500" s="52">
        <f t="shared" ca="1" si="5594"/>
        <v>0</v>
      </c>
      <c r="CJ500" s="52">
        <f t="shared" ca="1" si="5594"/>
        <v>0</v>
      </c>
      <c r="CK500" s="52">
        <f t="shared" ca="1" si="5594"/>
        <v>0</v>
      </c>
      <c r="CL500" s="52">
        <f t="shared" ca="1" si="5594"/>
        <v>0</v>
      </c>
      <c r="CM500" s="52">
        <f t="shared" ca="1" si="5594"/>
        <v>0</v>
      </c>
      <c r="CN500" s="52">
        <f t="shared" ca="1" si="5594"/>
        <v>0</v>
      </c>
      <c r="CO500" s="52">
        <f t="shared" ca="1" si="5594"/>
        <v>0</v>
      </c>
    </row>
    <row r="501" spans="1:93">
      <c r="A501" s="10"/>
      <c r="B501" s="10"/>
      <c r="C501" s="17" t="s">
        <v>393</v>
      </c>
      <c r="D501" s="10"/>
      <c r="E501" s="10"/>
      <c r="F501" s="10"/>
      <c r="G501" s="143" t="str">
        <f>Monetary_Unit</f>
        <v>тыс. руб.</v>
      </c>
      <c r="H501" s="10"/>
      <c r="I501" s="23">
        <f ca="1">SUM(L501:CO501)</f>
        <v>-2116810.0394695145</v>
      </c>
      <c r="J501" s="10"/>
      <c r="K501" s="10"/>
      <c r="L501" s="52">
        <f t="shared" ref="L501:AQ501" ca="1" si="5595" xml:space="preserve"> - SUM(L357,L367,L387,L397) * Flag_Operations</f>
        <v>0</v>
      </c>
      <c r="M501" s="52">
        <f t="shared" ca="1" si="5595"/>
        <v>0</v>
      </c>
      <c r="N501" s="52">
        <f t="shared" ca="1" si="5595"/>
        <v>0</v>
      </c>
      <c r="O501" s="52">
        <f t="shared" ca="1" si="5595"/>
        <v>0</v>
      </c>
      <c r="P501" s="52">
        <f t="shared" ca="1" si="5595"/>
        <v>0</v>
      </c>
      <c r="Q501" s="52">
        <f t="shared" ca="1" si="5595"/>
        <v>0</v>
      </c>
      <c r="R501" s="52">
        <f t="shared" ca="1" si="5595"/>
        <v>0</v>
      </c>
      <c r="S501" s="52">
        <f t="shared" ca="1" si="5595"/>
        <v>0</v>
      </c>
      <c r="T501" s="52">
        <f t="shared" ca="1" si="5595"/>
        <v>0</v>
      </c>
      <c r="U501" s="52">
        <f t="shared" ca="1" si="5595"/>
        <v>0</v>
      </c>
      <c r="V501" s="52">
        <f t="shared" ca="1" si="5595"/>
        <v>0</v>
      </c>
      <c r="W501" s="52">
        <f t="shared" ca="1" si="5595"/>
        <v>0</v>
      </c>
      <c r="X501" s="52">
        <f t="shared" ca="1" si="5595"/>
        <v>0</v>
      </c>
      <c r="Y501" s="52">
        <f t="shared" ca="1" si="5595"/>
        <v>0</v>
      </c>
      <c r="Z501" s="52">
        <f t="shared" ca="1" si="5595"/>
        <v>0</v>
      </c>
      <c r="AA501" s="52">
        <f t="shared" ca="1" si="5595"/>
        <v>0</v>
      </c>
      <c r="AB501" s="52">
        <f t="shared" ca="1" si="5595"/>
        <v>0</v>
      </c>
      <c r="AC501" s="52">
        <f t="shared" ca="1" si="5595"/>
        <v>-32566.308299530971</v>
      </c>
      <c r="AD501" s="52">
        <f t="shared" ca="1" si="5595"/>
        <v>-32566.308299530971</v>
      </c>
      <c r="AE501" s="52">
        <f t="shared" ca="1" si="5595"/>
        <v>-32566.308299530971</v>
      </c>
      <c r="AF501" s="52">
        <f t="shared" ca="1" si="5595"/>
        <v>-32566.308299530971</v>
      </c>
      <c r="AG501" s="52">
        <f t="shared" ca="1" si="5595"/>
        <v>-32566.308299530971</v>
      </c>
      <c r="AH501" s="52">
        <f t="shared" ca="1" si="5595"/>
        <v>-32566.308299530971</v>
      </c>
      <c r="AI501" s="52">
        <f t="shared" ca="1" si="5595"/>
        <v>-32566.308299530971</v>
      </c>
      <c r="AJ501" s="52">
        <f t="shared" ca="1" si="5595"/>
        <v>-32566.308299530971</v>
      </c>
      <c r="AK501" s="52">
        <f t="shared" ca="1" si="5595"/>
        <v>-32566.308299530971</v>
      </c>
      <c r="AL501" s="52">
        <f t="shared" ca="1" si="5595"/>
        <v>-32566.308299530971</v>
      </c>
      <c r="AM501" s="52">
        <f t="shared" ca="1" si="5595"/>
        <v>-32566.308299530971</v>
      </c>
      <c r="AN501" s="52">
        <f t="shared" ca="1" si="5595"/>
        <v>-32566.308299530971</v>
      </c>
      <c r="AO501" s="52">
        <f t="shared" ca="1" si="5595"/>
        <v>-32566.308299530971</v>
      </c>
      <c r="AP501" s="52">
        <f t="shared" ca="1" si="5595"/>
        <v>-32566.308299530971</v>
      </c>
      <c r="AQ501" s="52">
        <f t="shared" ca="1" si="5595"/>
        <v>-32566.308299530971</v>
      </c>
      <c r="AR501" s="52">
        <f t="shared" ref="AR501:BW501" ca="1" si="5596" xml:space="preserve"> - SUM(AR357,AR367,AR387,AR397) * Flag_Operations</f>
        <v>-32566.308299530971</v>
      </c>
      <c r="AS501" s="52">
        <f t="shared" ca="1" si="5596"/>
        <v>-32566.308299530971</v>
      </c>
      <c r="AT501" s="52">
        <f t="shared" ca="1" si="5596"/>
        <v>-32566.308299530971</v>
      </c>
      <c r="AU501" s="52">
        <f t="shared" ca="1" si="5596"/>
        <v>-32566.308299530971</v>
      </c>
      <c r="AV501" s="52">
        <f t="shared" ca="1" si="5596"/>
        <v>-32566.308299530971</v>
      </c>
      <c r="AW501" s="52">
        <f t="shared" ca="1" si="5596"/>
        <v>-32566.308299530971</v>
      </c>
      <c r="AX501" s="52">
        <f t="shared" ca="1" si="5596"/>
        <v>-32566.308299530971</v>
      </c>
      <c r="AY501" s="52">
        <f t="shared" ca="1" si="5596"/>
        <v>-32566.308299530971</v>
      </c>
      <c r="AZ501" s="52">
        <f t="shared" ca="1" si="5596"/>
        <v>-32566.308299530971</v>
      </c>
      <c r="BA501" s="52">
        <f t="shared" ca="1" si="5596"/>
        <v>-32566.308299530971</v>
      </c>
      <c r="BB501" s="52">
        <f t="shared" ca="1" si="5596"/>
        <v>-32566.308299530971</v>
      </c>
      <c r="BC501" s="52">
        <f t="shared" ca="1" si="5596"/>
        <v>-32566.308299530971</v>
      </c>
      <c r="BD501" s="52">
        <f t="shared" ca="1" si="5596"/>
        <v>-32566.308299530971</v>
      </c>
      <c r="BE501" s="52">
        <f t="shared" ca="1" si="5596"/>
        <v>-32566.308299530971</v>
      </c>
      <c r="BF501" s="52">
        <f t="shared" ca="1" si="5596"/>
        <v>-32566.308299530971</v>
      </c>
      <c r="BG501" s="52">
        <f t="shared" ca="1" si="5596"/>
        <v>-32566.308299530971</v>
      </c>
      <c r="BH501" s="52">
        <f t="shared" ca="1" si="5596"/>
        <v>-32566.308299530971</v>
      </c>
      <c r="BI501" s="52">
        <f t="shared" ca="1" si="5596"/>
        <v>-32566.308299530971</v>
      </c>
      <c r="BJ501" s="52">
        <f t="shared" ca="1" si="5596"/>
        <v>-32566.308299530971</v>
      </c>
      <c r="BK501" s="52">
        <f t="shared" ca="1" si="5596"/>
        <v>-32566.308299530971</v>
      </c>
      <c r="BL501" s="52">
        <f t="shared" ca="1" si="5596"/>
        <v>-32566.308299530971</v>
      </c>
      <c r="BM501" s="52">
        <f t="shared" ca="1" si="5596"/>
        <v>-32566.308299530971</v>
      </c>
      <c r="BN501" s="52">
        <f t="shared" ca="1" si="5596"/>
        <v>-32566.308299530971</v>
      </c>
      <c r="BO501" s="52">
        <f t="shared" ca="1" si="5596"/>
        <v>-32566.308299530971</v>
      </c>
      <c r="BP501" s="52">
        <f t="shared" ca="1" si="5596"/>
        <v>-32566.308299530971</v>
      </c>
      <c r="BQ501" s="52">
        <f t="shared" ca="1" si="5596"/>
        <v>-32566.308299530971</v>
      </c>
      <c r="BR501" s="52">
        <f t="shared" ca="1" si="5596"/>
        <v>-32566.308299530971</v>
      </c>
      <c r="BS501" s="52">
        <f t="shared" ca="1" si="5596"/>
        <v>-32566.308299530971</v>
      </c>
      <c r="BT501" s="52">
        <f t="shared" ca="1" si="5596"/>
        <v>-32566.308299530971</v>
      </c>
      <c r="BU501" s="52">
        <f t="shared" ca="1" si="5596"/>
        <v>-32566.308299530971</v>
      </c>
      <c r="BV501" s="52">
        <f t="shared" ca="1" si="5596"/>
        <v>-32566.308299530971</v>
      </c>
      <c r="BW501" s="52">
        <f t="shared" ca="1" si="5596"/>
        <v>-32566.308299530971</v>
      </c>
      <c r="BX501" s="52">
        <f t="shared" ref="BX501:CO501" ca="1" si="5597" xml:space="preserve"> - SUM(BX357,BX367,BX387,BX397) * Flag_Operations</f>
        <v>-32566.308299530971</v>
      </c>
      <c r="BY501" s="52">
        <f t="shared" ca="1" si="5597"/>
        <v>-32566.308299530971</v>
      </c>
      <c r="BZ501" s="52">
        <f t="shared" ca="1" si="5597"/>
        <v>-32566.308299530971</v>
      </c>
      <c r="CA501" s="52">
        <f t="shared" ca="1" si="5597"/>
        <v>-32566.308299530971</v>
      </c>
      <c r="CB501" s="52">
        <f t="shared" ca="1" si="5597"/>
        <v>-32566.308299530971</v>
      </c>
      <c r="CC501" s="52">
        <f t="shared" ca="1" si="5597"/>
        <v>-32566.308299530971</v>
      </c>
      <c r="CD501" s="52">
        <f t="shared" ca="1" si="5597"/>
        <v>-32566.308299530971</v>
      </c>
      <c r="CE501" s="52">
        <f t="shared" ca="1" si="5597"/>
        <v>-32566.308299530971</v>
      </c>
      <c r="CF501" s="52">
        <f t="shared" ca="1" si="5597"/>
        <v>-32566.308299530971</v>
      </c>
      <c r="CG501" s="52">
        <f t="shared" ca="1" si="5597"/>
        <v>-32566.308299530971</v>
      </c>
      <c r="CH501" s="52">
        <f t="shared" ca="1" si="5597"/>
        <v>-32566.308299530971</v>
      </c>
      <c r="CI501" s="52">
        <f t="shared" ca="1" si="5597"/>
        <v>-32566.308299530971</v>
      </c>
      <c r="CJ501" s="52">
        <f t="shared" ca="1" si="5597"/>
        <v>-32566.308299530971</v>
      </c>
      <c r="CK501" s="52">
        <f t="shared" ca="1" si="5597"/>
        <v>-32566.308299530971</v>
      </c>
      <c r="CL501" s="52">
        <f t="shared" ca="1" si="5597"/>
        <v>-32566.308299530971</v>
      </c>
      <c r="CM501" s="52">
        <f t="shared" ca="1" si="5597"/>
        <v>-32566.308299530971</v>
      </c>
      <c r="CN501" s="52">
        <f t="shared" ca="1" si="5597"/>
        <v>-32566.308299530971</v>
      </c>
      <c r="CO501" s="52">
        <f t="shared" ca="1" si="5597"/>
        <v>-32566.308299530971</v>
      </c>
    </row>
    <row r="502" spans="1:93">
      <c r="A502" s="10"/>
      <c r="B502" s="10"/>
      <c r="C502" s="17" t="s">
        <v>394</v>
      </c>
      <c r="D502" s="10"/>
      <c r="E502" s="10"/>
      <c r="F502" s="10"/>
      <c r="G502" s="143" t="str">
        <f>Monetary_Unit</f>
        <v>тыс. руб.</v>
      </c>
      <c r="H502" s="10"/>
      <c r="I502" s="10"/>
      <c r="J502" s="10"/>
      <c r="K502" s="10"/>
      <c r="L502" s="52">
        <f t="shared" ref="L502:AQ502" ca="1" si="5598">SUM(L499:L501)*ABS(SUM(L499:L501)&gt;Accuracy)*Flag_Forecast</f>
        <v>0</v>
      </c>
      <c r="M502" s="52">
        <f t="shared" ca="1" si="5598"/>
        <v>0</v>
      </c>
      <c r="N502" s="52">
        <f t="shared" ca="1" si="5598"/>
        <v>0</v>
      </c>
      <c r="O502" s="52">
        <f t="shared" ca="1" si="5598"/>
        <v>0</v>
      </c>
      <c r="P502" s="52">
        <f t="shared" ca="1" si="5598"/>
        <v>0</v>
      </c>
      <c r="Q502" s="52">
        <f t="shared" ca="1" si="5598"/>
        <v>0</v>
      </c>
      <c r="R502" s="52">
        <f t="shared" ca="1" si="5598"/>
        <v>0</v>
      </c>
      <c r="S502" s="52">
        <f t="shared" ca="1" si="5598"/>
        <v>0</v>
      </c>
      <c r="T502" s="52">
        <f t="shared" ca="1" si="5598"/>
        <v>0</v>
      </c>
      <c r="U502" s="52">
        <f t="shared" ca="1" si="5598"/>
        <v>0</v>
      </c>
      <c r="V502" s="52">
        <f t="shared" ca="1" si="5598"/>
        <v>0</v>
      </c>
      <c r="W502" s="52">
        <f t="shared" ca="1" si="5598"/>
        <v>0</v>
      </c>
      <c r="X502" s="52">
        <f t="shared" ca="1" si="5598"/>
        <v>0</v>
      </c>
      <c r="Y502" s="52">
        <f t="shared" ca="1" si="5598"/>
        <v>0</v>
      </c>
      <c r="Z502" s="52">
        <f t="shared" ca="1" si="5598"/>
        <v>0</v>
      </c>
      <c r="AA502" s="52">
        <f t="shared" ca="1" si="5598"/>
        <v>0</v>
      </c>
      <c r="AB502" s="52">
        <f t="shared" ca="1" si="5598"/>
        <v>3907956.9959437158</v>
      </c>
      <c r="AC502" s="52">
        <f t="shared" ca="1" si="5598"/>
        <v>3875390.687644185</v>
      </c>
      <c r="AD502" s="52">
        <f t="shared" ca="1" si="5598"/>
        <v>3842824.3793446543</v>
      </c>
      <c r="AE502" s="52">
        <f t="shared" ca="1" si="5598"/>
        <v>3810258.0710451235</v>
      </c>
      <c r="AF502" s="52">
        <f t="shared" ca="1" si="5598"/>
        <v>3777691.7627455927</v>
      </c>
      <c r="AG502" s="52">
        <f t="shared" ca="1" si="5598"/>
        <v>3745125.454446062</v>
      </c>
      <c r="AH502" s="52">
        <f t="shared" ca="1" si="5598"/>
        <v>3712559.1461465312</v>
      </c>
      <c r="AI502" s="52">
        <f t="shared" ca="1" si="5598"/>
        <v>3679992.8378470005</v>
      </c>
      <c r="AJ502" s="52">
        <f t="shared" ca="1" si="5598"/>
        <v>3647426.5295474697</v>
      </c>
      <c r="AK502" s="52">
        <f t="shared" ca="1" si="5598"/>
        <v>3614860.2212479389</v>
      </c>
      <c r="AL502" s="52">
        <f t="shared" ca="1" si="5598"/>
        <v>3582293.9129484082</v>
      </c>
      <c r="AM502" s="52">
        <f t="shared" ca="1" si="5598"/>
        <v>3549727.6046488774</v>
      </c>
      <c r="AN502" s="52">
        <f t="shared" ca="1" si="5598"/>
        <v>3517161.2963493466</v>
      </c>
      <c r="AO502" s="52">
        <f t="shared" ca="1" si="5598"/>
        <v>3484594.9880498159</v>
      </c>
      <c r="AP502" s="52">
        <f t="shared" ca="1" si="5598"/>
        <v>3452028.6797502851</v>
      </c>
      <c r="AQ502" s="52">
        <f t="shared" ca="1" si="5598"/>
        <v>3419462.3714507543</v>
      </c>
      <c r="AR502" s="52">
        <f t="shared" ref="AR502:BW502" ca="1" si="5599">SUM(AR499:AR501)*ABS(SUM(AR499:AR501)&gt;Accuracy)*Flag_Forecast</f>
        <v>3386896.0631512236</v>
      </c>
      <c r="AS502" s="52">
        <f t="shared" ca="1" si="5599"/>
        <v>3354329.7548516928</v>
      </c>
      <c r="AT502" s="52">
        <f t="shared" ca="1" si="5599"/>
        <v>3321763.4465521621</v>
      </c>
      <c r="AU502" s="52">
        <f t="shared" ca="1" si="5599"/>
        <v>3289197.1382526313</v>
      </c>
      <c r="AV502" s="52">
        <f t="shared" ca="1" si="5599"/>
        <v>3256630.8299531005</v>
      </c>
      <c r="AW502" s="52">
        <f t="shared" ca="1" si="5599"/>
        <v>3224064.5216535698</v>
      </c>
      <c r="AX502" s="52">
        <f t="shared" ca="1" si="5599"/>
        <v>3191498.213354039</v>
      </c>
      <c r="AY502" s="52">
        <f t="shared" ca="1" si="5599"/>
        <v>3158931.9050545082</v>
      </c>
      <c r="AZ502" s="52">
        <f t="shared" ca="1" si="5599"/>
        <v>3126365.5967549775</v>
      </c>
      <c r="BA502" s="52">
        <f t="shared" ca="1" si="5599"/>
        <v>3093799.2884554467</v>
      </c>
      <c r="BB502" s="52">
        <f t="shared" ca="1" si="5599"/>
        <v>3061232.980155916</v>
      </c>
      <c r="BC502" s="52">
        <f t="shared" ca="1" si="5599"/>
        <v>3028666.6718563852</v>
      </c>
      <c r="BD502" s="52">
        <f t="shared" ca="1" si="5599"/>
        <v>2996100.3635568544</v>
      </c>
      <c r="BE502" s="52">
        <f t="shared" ca="1" si="5599"/>
        <v>2963534.0552573237</v>
      </c>
      <c r="BF502" s="52">
        <f t="shared" ca="1" si="5599"/>
        <v>2930967.7469577929</v>
      </c>
      <c r="BG502" s="52">
        <f t="shared" ca="1" si="5599"/>
        <v>2898401.4386582621</v>
      </c>
      <c r="BH502" s="52">
        <f t="shared" ca="1" si="5599"/>
        <v>2865835.1303587314</v>
      </c>
      <c r="BI502" s="52">
        <f t="shared" ca="1" si="5599"/>
        <v>2833268.8220592006</v>
      </c>
      <c r="BJ502" s="52">
        <f t="shared" ca="1" si="5599"/>
        <v>2800702.5137596698</v>
      </c>
      <c r="BK502" s="52">
        <f t="shared" ca="1" si="5599"/>
        <v>2768136.2054601391</v>
      </c>
      <c r="BL502" s="52">
        <f t="shared" ca="1" si="5599"/>
        <v>2735569.8971606083</v>
      </c>
      <c r="BM502" s="52">
        <f t="shared" ca="1" si="5599"/>
        <v>2703003.5888610776</v>
      </c>
      <c r="BN502" s="52">
        <f t="shared" ca="1" si="5599"/>
        <v>2670437.2805615468</v>
      </c>
      <c r="BO502" s="52">
        <f t="shared" ca="1" si="5599"/>
        <v>2637870.972262016</v>
      </c>
      <c r="BP502" s="52">
        <f t="shared" ca="1" si="5599"/>
        <v>2605304.6639624853</v>
      </c>
      <c r="BQ502" s="52">
        <f t="shared" ca="1" si="5599"/>
        <v>2572738.3556629545</v>
      </c>
      <c r="BR502" s="52">
        <f t="shared" ca="1" si="5599"/>
        <v>2540172.0473634237</v>
      </c>
      <c r="BS502" s="52">
        <f t="shared" ca="1" si="5599"/>
        <v>2507605.739063893</v>
      </c>
      <c r="BT502" s="52">
        <f t="shared" ca="1" si="5599"/>
        <v>2475039.4307643622</v>
      </c>
      <c r="BU502" s="52">
        <f t="shared" ca="1" si="5599"/>
        <v>2442473.1224648315</v>
      </c>
      <c r="BV502" s="52">
        <f t="shared" ca="1" si="5599"/>
        <v>2409906.8141653007</v>
      </c>
      <c r="BW502" s="52">
        <f t="shared" ca="1" si="5599"/>
        <v>2377340.5058657699</v>
      </c>
      <c r="BX502" s="52">
        <f t="shared" ref="BX502:CO502" ca="1" si="5600">SUM(BX499:BX501)*ABS(SUM(BX499:BX501)&gt;Accuracy)*Flag_Forecast</f>
        <v>2344774.1975662392</v>
      </c>
      <c r="BY502" s="52">
        <f t="shared" ca="1" si="5600"/>
        <v>2312207.8892667084</v>
      </c>
      <c r="BZ502" s="52">
        <f t="shared" ca="1" si="5600"/>
        <v>2279641.5809671776</v>
      </c>
      <c r="CA502" s="52">
        <f t="shared" ca="1" si="5600"/>
        <v>2247075.2726676469</v>
      </c>
      <c r="CB502" s="52">
        <f t="shared" ca="1" si="5600"/>
        <v>2214508.9643681161</v>
      </c>
      <c r="CC502" s="52">
        <f t="shared" ca="1" si="5600"/>
        <v>2181942.6560685853</v>
      </c>
      <c r="CD502" s="52">
        <f t="shared" ca="1" si="5600"/>
        <v>2149376.3477690546</v>
      </c>
      <c r="CE502" s="52">
        <f t="shared" ca="1" si="5600"/>
        <v>2116810.0394695238</v>
      </c>
      <c r="CF502" s="52">
        <f t="shared" ca="1" si="5600"/>
        <v>2084243.7311699928</v>
      </c>
      <c r="CG502" s="52">
        <f t="shared" ca="1" si="5600"/>
        <v>2051677.4228704618</v>
      </c>
      <c r="CH502" s="52">
        <f t="shared" ca="1" si="5600"/>
        <v>2019111.1145709308</v>
      </c>
      <c r="CI502" s="52">
        <f t="shared" ca="1" si="5600"/>
        <v>1986544.8062713998</v>
      </c>
      <c r="CJ502" s="52">
        <f t="shared" ca="1" si="5600"/>
        <v>1953978.4979718688</v>
      </c>
      <c r="CK502" s="52">
        <f t="shared" ca="1" si="5600"/>
        <v>1921412.1896723378</v>
      </c>
      <c r="CL502" s="52">
        <f t="shared" ca="1" si="5600"/>
        <v>1888845.8813728068</v>
      </c>
      <c r="CM502" s="52">
        <f t="shared" ca="1" si="5600"/>
        <v>1856279.5730732759</v>
      </c>
      <c r="CN502" s="52">
        <f t="shared" ca="1" si="5600"/>
        <v>1823713.2647737449</v>
      </c>
      <c r="CO502" s="52">
        <f t="shared" ca="1" si="5600"/>
        <v>1791146.9564742139</v>
      </c>
    </row>
    <row r="503" spans="1:93">
      <c r="A503" s="10"/>
      <c r="B503" s="10"/>
      <c r="C503" s="21"/>
      <c r="D503" s="10"/>
      <c r="E503" s="62"/>
      <c r="F503" s="11"/>
      <c r="G503" s="14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</row>
    <row r="504" spans="1:93" ht="22.5" customHeight="1">
      <c r="A504" s="77"/>
      <c r="B504" s="5" t="s">
        <v>96</v>
      </c>
      <c r="C504" s="5"/>
      <c r="D504" s="15"/>
      <c r="E504" s="15"/>
      <c r="F504" s="31"/>
      <c r="G504" s="18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  <c r="CJ504" s="31"/>
      <c r="CK504" s="31"/>
      <c r="CL504" s="31"/>
      <c r="CM504" s="31"/>
      <c r="CN504" s="31"/>
      <c r="CO504" s="31"/>
    </row>
    <row r="505" spans="1:93">
      <c r="A505" s="10"/>
      <c r="B505" s="101"/>
      <c r="C505" s="102"/>
      <c r="D505" s="69"/>
      <c r="E505" s="62"/>
      <c r="F505" s="70"/>
      <c r="G505" s="11"/>
      <c r="H505" s="69"/>
      <c r="I505" s="69"/>
      <c r="J505" s="69"/>
      <c r="K505" s="69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  <c r="AA505" s="103"/>
      <c r="AB505" s="103"/>
      <c r="AC505" s="103"/>
      <c r="AD505" s="103"/>
      <c r="AE505" s="103"/>
      <c r="AF505" s="103"/>
      <c r="AG505" s="103"/>
      <c r="AH505" s="103"/>
      <c r="AI505" s="103"/>
      <c r="AJ505" s="103"/>
      <c r="AK505" s="103"/>
      <c r="AL505" s="103"/>
      <c r="AM505" s="103"/>
      <c r="AN505" s="103"/>
      <c r="AO505" s="103"/>
      <c r="AP505" s="103"/>
      <c r="AQ505" s="103"/>
      <c r="AR505" s="103"/>
      <c r="AS505" s="103"/>
      <c r="AT505" s="103"/>
      <c r="AU505" s="103"/>
      <c r="AV505" s="103"/>
      <c r="AW505" s="103"/>
      <c r="AX505" s="103"/>
      <c r="AY505" s="103"/>
      <c r="AZ505" s="103"/>
      <c r="BA505" s="103"/>
      <c r="BB505" s="103"/>
      <c r="BC505" s="103"/>
      <c r="BD505" s="103"/>
      <c r="BE505" s="103"/>
      <c r="BF505" s="103"/>
      <c r="BG505" s="103"/>
      <c r="BH505" s="103"/>
      <c r="BI505" s="103"/>
      <c r="BJ505" s="103"/>
      <c r="BK505" s="103"/>
      <c r="BL505" s="103"/>
      <c r="BM505" s="103"/>
      <c r="BN505" s="103"/>
      <c r="BO505" s="103"/>
      <c r="BP505" s="103"/>
      <c r="BQ505" s="103"/>
      <c r="BR505" s="103"/>
      <c r="BS505" s="103"/>
      <c r="BT505" s="103"/>
      <c r="BU505" s="103"/>
      <c r="BV505" s="103"/>
      <c r="BW505" s="103"/>
      <c r="BX505" s="103"/>
      <c r="BY505" s="103"/>
      <c r="BZ505" s="103"/>
      <c r="CA505" s="103"/>
      <c r="CB505" s="103"/>
      <c r="CC505" s="103"/>
      <c r="CD505" s="103"/>
      <c r="CE505" s="103"/>
      <c r="CF505" s="103"/>
      <c r="CG505" s="103"/>
      <c r="CH505" s="103"/>
      <c r="CI505" s="103"/>
      <c r="CJ505" s="103"/>
      <c r="CK505" s="103"/>
      <c r="CL505" s="103"/>
      <c r="CM505" s="103"/>
      <c r="CN505" s="103"/>
      <c r="CO505" s="103"/>
    </row>
    <row r="506" spans="1:93" ht="16" thickBot="1">
      <c r="A506" s="10"/>
      <c r="B506" s="101"/>
      <c r="C506" s="12" t="s">
        <v>888</v>
      </c>
      <c r="D506" s="12"/>
      <c r="E506" s="12"/>
      <c r="F506" s="12"/>
      <c r="G506" s="362"/>
      <c r="H506" s="12"/>
      <c r="I506" s="12"/>
      <c r="J506" s="69"/>
      <c r="K506" s="69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  <c r="AA506" s="103"/>
      <c r="AB506" s="103"/>
      <c r="AC506" s="103"/>
      <c r="AD506" s="103"/>
      <c r="AE506" s="103"/>
      <c r="AF506" s="103"/>
      <c r="AG506" s="103"/>
      <c r="AH506" s="103"/>
      <c r="AI506" s="103"/>
      <c r="AJ506" s="103"/>
      <c r="AK506" s="103"/>
      <c r="AL506" s="103"/>
      <c r="AM506" s="103"/>
      <c r="AN506" s="103"/>
      <c r="AO506" s="103"/>
      <c r="AP506" s="103"/>
      <c r="AQ506" s="103"/>
      <c r="AR506" s="103"/>
      <c r="AS506" s="103"/>
      <c r="AT506" s="103"/>
      <c r="AU506" s="103"/>
      <c r="AV506" s="103"/>
      <c r="AW506" s="103"/>
      <c r="AX506" s="103"/>
      <c r="AY506" s="103"/>
      <c r="AZ506" s="103"/>
      <c r="BA506" s="103"/>
      <c r="BB506" s="103"/>
      <c r="BC506" s="103"/>
      <c r="BD506" s="103"/>
      <c r="BE506" s="103"/>
      <c r="BF506" s="103"/>
      <c r="BG506" s="103"/>
      <c r="BH506" s="103"/>
      <c r="BI506" s="103"/>
      <c r="BJ506" s="103"/>
      <c r="BK506" s="103"/>
      <c r="BL506" s="103"/>
      <c r="BM506" s="103"/>
      <c r="BN506" s="103"/>
      <c r="BO506" s="103"/>
      <c r="BP506" s="103"/>
      <c r="BQ506" s="103"/>
      <c r="BR506" s="103"/>
      <c r="BS506" s="103"/>
      <c r="BT506" s="103"/>
      <c r="BU506" s="103"/>
      <c r="BV506" s="103"/>
      <c r="BW506" s="103"/>
      <c r="BX506" s="103"/>
      <c r="BY506" s="103"/>
      <c r="BZ506" s="103"/>
      <c r="CA506" s="103"/>
      <c r="CB506" s="103"/>
      <c r="CC506" s="103"/>
      <c r="CD506" s="103"/>
      <c r="CE506" s="103"/>
      <c r="CF506" s="103"/>
      <c r="CG506" s="103"/>
      <c r="CH506" s="103"/>
      <c r="CI506" s="103"/>
      <c r="CJ506" s="103"/>
      <c r="CK506" s="103"/>
      <c r="CL506" s="103"/>
      <c r="CM506" s="103"/>
      <c r="CN506" s="103"/>
      <c r="CO506" s="103"/>
    </row>
    <row r="507" spans="1:93" s="133" customFormat="1" ht="14.5" customHeight="1">
      <c r="A507" s="10"/>
      <c r="B507" s="10"/>
      <c r="C507" s="21"/>
      <c r="D507" s="10"/>
      <c r="E507" s="10"/>
      <c r="F507" s="10"/>
      <c r="G507" s="11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  <c r="CD507" s="10"/>
      <c r="CE507" s="10"/>
      <c r="CF507" s="10"/>
      <c r="CG507" s="10"/>
      <c r="CH507" s="10"/>
      <c r="CI507" s="10"/>
      <c r="CJ507" s="10"/>
      <c r="CK507" s="10"/>
      <c r="CL507" s="10"/>
      <c r="CM507" s="10"/>
      <c r="CN507" s="10"/>
      <c r="CO507" s="10"/>
    </row>
    <row r="508" spans="1:93" s="133" customFormat="1" ht="14.5" customHeight="1">
      <c r="A508" s="9"/>
      <c r="B508" s="10"/>
      <c r="C508" s="87" t="s">
        <v>863</v>
      </c>
      <c r="D508" s="10"/>
      <c r="E508" s="10"/>
      <c r="F508" s="10"/>
      <c r="G508" s="11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  <c r="CD508" s="10"/>
      <c r="CE508" s="10"/>
      <c r="CF508" s="10"/>
      <c r="CG508" s="10"/>
      <c r="CH508" s="10"/>
      <c r="CI508" s="10"/>
      <c r="CJ508" s="10"/>
      <c r="CK508" s="10"/>
      <c r="CL508" s="10"/>
      <c r="CM508" s="10"/>
      <c r="CN508" s="10"/>
      <c r="CO508" s="10"/>
    </row>
    <row r="509" spans="1:93" s="133" customFormat="1" ht="14.5" customHeight="1">
      <c r="A509" s="9"/>
      <c r="B509" s="10"/>
      <c r="C509" s="21" t="str">
        <f>C95</f>
        <v>Сегмент 1: Объект размещения (отель)</v>
      </c>
      <c r="D509" s="10"/>
      <c r="E509" s="311" t="str">
        <f xml:space="preserve"> E95</f>
        <v>в проекте</v>
      </c>
      <c r="F509" s="10"/>
      <c r="G509" s="207"/>
      <c r="H509" s="10"/>
      <c r="I509" s="296">
        <f xml:space="preserve"> (E509 = "в проекте") * 1</f>
        <v>1</v>
      </c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  <c r="CD509" s="10"/>
      <c r="CE509" s="10"/>
      <c r="CF509" s="10"/>
      <c r="CG509" s="10"/>
      <c r="CH509" s="10"/>
      <c r="CI509" s="10"/>
      <c r="CJ509" s="10"/>
      <c r="CK509" s="10"/>
      <c r="CL509" s="10"/>
      <c r="CM509" s="10"/>
      <c r="CN509" s="10"/>
      <c r="CO509" s="10"/>
    </row>
    <row r="510" spans="1:93" s="133" customFormat="1" ht="14.5" customHeight="1">
      <c r="A510" s="9"/>
      <c r="B510" s="10"/>
      <c r="C510" s="21" t="str">
        <f>C96</f>
        <v>Сегмент 2: Развлекательный комплекс</v>
      </c>
      <c r="D510" s="10"/>
      <c r="E510" s="311" t="str">
        <f xml:space="preserve"> E96</f>
        <v>в проекте</v>
      </c>
      <c r="F510" s="10"/>
      <c r="G510" s="207"/>
      <c r="H510" s="10"/>
      <c r="I510" s="296">
        <f xml:space="preserve"> (E510 = "в проекте") * 1</f>
        <v>1</v>
      </c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</row>
    <row r="511" spans="1:93" s="133" customFormat="1" ht="14.5" customHeight="1">
      <c r="A511" s="9"/>
      <c r="B511" s="10"/>
      <c r="C511" s="21" t="str">
        <f>C97</f>
        <v>Сегмент 3: Крытый парк развлечений</v>
      </c>
      <c r="D511" s="10"/>
      <c r="E511" s="311" t="str">
        <f xml:space="preserve"> E97</f>
        <v>в проекте</v>
      </c>
      <c r="F511" s="10"/>
      <c r="G511" s="207"/>
      <c r="H511" s="10"/>
      <c r="I511" s="296">
        <f xml:space="preserve"> (E511 = "в проекте") * 1</f>
        <v>1</v>
      </c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  <c r="CD511" s="10"/>
      <c r="CE511" s="10"/>
      <c r="CF511" s="10"/>
      <c r="CG511" s="10"/>
      <c r="CH511" s="10"/>
      <c r="CI511" s="10"/>
      <c r="CJ511" s="10"/>
      <c r="CK511" s="10"/>
      <c r="CL511" s="10"/>
      <c r="CM511" s="10"/>
      <c r="CN511" s="10"/>
      <c r="CO511" s="10"/>
    </row>
    <row r="512" spans="1:93" s="133" customFormat="1" ht="14.5" customHeight="1">
      <c r="A512" s="10"/>
      <c r="B512" s="10"/>
      <c r="C512" s="21"/>
      <c r="D512" s="10"/>
      <c r="E512" s="10"/>
      <c r="F512" s="10"/>
      <c r="G512" s="11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</row>
    <row r="513" spans="1:93" s="141" customFormat="1" ht="14.5" customHeight="1">
      <c r="A513" s="10"/>
      <c r="B513" s="10"/>
      <c r="C513" s="87" t="s">
        <v>889</v>
      </c>
      <c r="D513" s="10"/>
      <c r="E513" s="10"/>
      <c r="F513" s="10"/>
      <c r="G513" s="11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  <c r="CD513" s="10"/>
      <c r="CE513" s="10"/>
      <c r="CF513" s="10"/>
      <c r="CG513" s="10"/>
      <c r="CH513" s="10"/>
      <c r="CI513" s="10"/>
      <c r="CJ513" s="10"/>
      <c r="CK513" s="10"/>
      <c r="CL513" s="10"/>
      <c r="CM513" s="10"/>
      <c r="CN513" s="10"/>
      <c r="CO513" s="10"/>
    </row>
    <row r="514" spans="1:93" s="141" customFormat="1" ht="14.5" customHeight="1">
      <c r="A514" s="10"/>
      <c r="B514" s="10"/>
      <c r="C514" s="21" t="str">
        <f>"Выручка " &amp; C35</f>
        <v>Выручка Объект размещения (отель)</v>
      </c>
      <c r="D514" s="10"/>
      <c r="E514" s="310">
        <f xml:space="preserve"> Контр_панель!G48</f>
        <v>0</v>
      </c>
      <c r="F514" s="10"/>
      <c r="G514" s="11"/>
      <c r="H514" s="10"/>
      <c r="I514" s="467">
        <f xml:space="preserve"> (1 + E514) * (1 + Revenue_sens) * I509</f>
        <v>1</v>
      </c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</row>
    <row r="515" spans="1:93" s="141" customFormat="1" ht="14.5" customHeight="1">
      <c r="A515" s="10"/>
      <c r="B515" s="10"/>
      <c r="C515" s="21" t="str">
        <f>"Выручка " &amp; C36</f>
        <v>Выручка Развлекательный комплекс</v>
      </c>
      <c r="D515" s="10"/>
      <c r="E515" s="310">
        <f xml:space="preserve"> Контр_панель!G49</f>
        <v>0</v>
      </c>
      <c r="F515" s="10"/>
      <c r="G515" s="11"/>
      <c r="H515" s="10"/>
      <c r="I515" s="467">
        <f xml:space="preserve"> (1 + E515) * (1 + Revenue_sens) * I510</f>
        <v>1</v>
      </c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  <c r="BL515" s="10"/>
      <c r="BM515" s="10"/>
      <c r="BN515" s="10"/>
      <c r="BO515" s="10"/>
      <c r="BP515" s="10"/>
      <c r="BQ515" s="10"/>
      <c r="BR515" s="10"/>
      <c r="BS515" s="10"/>
      <c r="BT515" s="10"/>
      <c r="BU515" s="10"/>
      <c r="BV515" s="10"/>
      <c r="BW515" s="10"/>
      <c r="BX515" s="10"/>
      <c r="BY515" s="10"/>
      <c r="BZ515" s="10"/>
      <c r="CA515" s="10"/>
      <c r="CB515" s="10"/>
      <c r="CC515" s="10"/>
      <c r="CD515" s="10"/>
      <c r="CE515" s="10"/>
      <c r="CF515" s="10"/>
      <c r="CG515" s="10"/>
      <c r="CH515" s="10"/>
      <c r="CI515" s="10"/>
      <c r="CJ515" s="10"/>
      <c r="CK515" s="10"/>
      <c r="CL515" s="10"/>
      <c r="CM515" s="10"/>
      <c r="CN515" s="10"/>
      <c r="CO515" s="10"/>
    </row>
    <row r="516" spans="1:93" s="141" customFormat="1" ht="14.5" customHeight="1">
      <c r="A516" s="10"/>
      <c r="B516" s="10"/>
      <c r="C516" s="21" t="str">
        <f>"Выручка " &amp; C37</f>
        <v>Выручка Крытый парк развлечений</v>
      </c>
      <c r="D516" s="10"/>
      <c r="E516" s="310">
        <f xml:space="preserve"> Контр_панель!G50</f>
        <v>0</v>
      </c>
      <c r="F516" s="10"/>
      <c r="G516" s="11"/>
      <c r="H516" s="10"/>
      <c r="I516" s="467">
        <f xml:space="preserve"> (1 + E516) * (1 + Revenue_sens) * I511</f>
        <v>1</v>
      </c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  <c r="CD516" s="10"/>
      <c r="CE516" s="10"/>
      <c r="CF516" s="10"/>
      <c r="CG516" s="10"/>
      <c r="CH516" s="10"/>
      <c r="CI516" s="10"/>
      <c r="CJ516" s="10"/>
      <c r="CK516" s="10"/>
      <c r="CL516" s="10"/>
      <c r="CM516" s="10"/>
      <c r="CN516" s="10"/>
      <c r="CO516" s="10"/>
    </row>
    <row r="517" spans="1:93" s="141" customFormat="1" ht="14.5" customHeight="1">
      <c r="A517" s="10"/>
      <c r="B517" s="10"/>
      <c r="C517" s="21"/>
      <c r="D517" s="10"/>
      <c r="E517" s="10"/>
      <c r="F517" s="10"/>
      <c r="G517" s="11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  <c r="CD517" s="10"/>
      <c r="CE517" s="10"/>
      <c r="CF517" s="10"/>
      <c r="CG517" s="10"/>
      <c r="CH517" s="10"/>
      <c r="CI517" s="10"/>
      <c r="CJ517" s="10"/>
      <c r="CK517" s="10"/>
      <c r="CL517" s="10"/>
      <c r="CM517" s="10"/>
      <c r="CN517" s="10"/>
      <c r="CO517" s="10"/>
    </row>
    <row r="518" spans="1:93" ht="15" customHeight="1">
      <c r="A518" s="10"/>
      <c r="B518" s="3"/>
      <c r="C518" s="384" t="str">
        <f>C509</f>
        <v>Сегмент 1: Объект размещения (отель)</v>
      </c>
      <c r="D518" s="273"/>
      <c r="E518" s="273"/>
      <c r="F518" s="273"/>
      <c r="G518" s="274"/>
      <c r="H518" s="273"/>
      <c r="I518" s="273"/>
      <c r="J518" s="273"/>
      <c r="K518" s="273"/>
      <c r="L518" s="273"/>
      <c r="M518" s="273"/>
      <c r="N518" s="273"/>
      <c r="O518" s="273"/>
      <c r="P518" s="273"/>
      <c r="Q518" s="273"/>
      <c r="R518" s="273"/>
      <c r="S518" s="273"/>
      <c r="T518" s="273"/>
      <c r="U518" s="273"/>
      <c r="V518" s="273"/>
      <c r="W518" s="273"/>
      <c r="X518" s="273"/>
      <c r="Y518" s="273"/>
      <c r="Z518" s="273"/>
      <c r="AA518" s="273"/>
      <c r="AB518" s="273"/>
      <c r="AC518" s="273"/>
      <c r="AD518" s="273"/>
      <c r="AE518" s="273"/>
      <c r="AF518" s="273"/>
      <c r="AG518" s="273"/>
      <c r="AH518" s="273"/>
      <c r="AI518" s="273"/>
      <c r="AJ518" s="273"/>
      <c r="AK518" s="273"/>
      <c r="AL518" s="273"/>
      <c r="AM518" s="273"/>
      <c r="AN518" s="273"/>
      <c r="AO518" s="273"/>
      <c r="AP518" s="273"/>
      <c r="AQ518" s="273"/>
      <c r="AR518" s="273"/>
      <c r="AS518" s="273"/>
      <c r="AT518" s="273"/>
      <c r="AU518" s="273"/>
      <c r="AV518" s="273"/>
      <c r="AW518" s="273"/>
      <c r="AX518" s="273"/>
      <c r="AY518" s="273"/>
      <c r="AZ518" s="273"/>
      <c r="BA518" s="273"/>
      <c r="BB518" s="273"/>
      <c r="BC518" s="273"/>
      <c r="BD518" s="273"/>
      <c r="BE518" s="273"/>
      <c r="BF518" s="273"/>
      <c r="BG518" s="273"/>
      <c r="BH518" s="273"/>
      <c r="BI518" s="273"/>
      <c r="BJ518" s="273"/>
      <c r="BK518" s="273"/>
      <c r="BL518" s="273"/>
      <c r="BM518" s="273"/>
      <c r="BN518" s="273"/>
      <c r="BO518" s="273"/>
      <c r="BP518" s="273"/>
      <c r="BQ518" s="273"/>
      <c r="BR518" s="273"/>
      <c r="BS518" s="273"/>
      <c r="BT518" s="273"/>
      <c r="BU518" s="273"/>
      <c r="BV518" s="273"/>
      <c r="BW518" s="273"/>
      <c r="BX518" s="273"/>
      <c r="BY518" s="273"/>
      <c r="BZ518" s="273"/>
      <c r="CA518" s="273"/>
      <c r="CB518" s="273"/>
      <c r="CC518" s="273"/>
      <c r="CD518" s="273"/>
      <c r="CE518" s="273"/>
      <c r="CF518" s="273"/>
      <c r="CG518" s="273"/>
      <c r="CH518" s="273"/>
      <c r="CI518" s="273"/>
      <c r="CJ518" s="273"/>
      <c r="CK518" s="273"/>
      <c r="CL518" s="273"/>
      <c r="CM518" s="273"/>
      <c r="CN518" s="273"/>
      <c r="CO518" s="273"/>
    </row>
    <row r="519" spans="1:93">
      <c r="A519" s="233"/>
      <c r="B519" s="101"/>
      <c r="C519" s="102"/>
      <c r="D519" s="69"/>
      <c r="E519" s="62"/>
      <c r="F519" s="70"/>
      <c r="G519" s="11"/>
      <c r="H519" s="69"/>
      <c r="I519" s="69"/>
      <c r="J519" s="69"/>
      <c r="K519" s="69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  <c r="AA519" s="103"/>
      <c r="AB519" s="103"/>
      <c r="AC519" s="103"/>
      <c r="AD519" s="103"/>
      <c r="AE519" s="103"/>
      <c r="AF519" s="103"/>
      <c r="AG519" s="103"/>
      <c r="AH519" s="103"/>
      <c r="AI519" s="103"/>
      <c r="AJ519" s="103"/>
      <c r="AK519" s="103"/>
      <c r="AL519" s="103"/>
      <c r="AM519" s="103"/>
      <c r="AN519" s="103"/>
      <c r="AO519" s="103"/>
      <c r="AP519" s="103"/>
      <c r="AQ519" s="103"/>
      <c r="AR519" s="103"/>
      <c r="AS519" s="103"/>
      <c r="AT519" s="103"/>
      <c r="AU519" s="103"/>
      <c r="AV519" s="103"/>
      <c r="AW519" s="103"/>
      <c r="AX519" s="103"/>
      <c r="AY519" s="103"/>
      <c r="AZ519" s="103"/>
      <c r="BA519" s="103"/>
      <c r="BB519" s="103"/>
      <c r="BC519" s="103"/>
      <c r="BD519" s="103"/>
      <c r="BE519" s="103"/>
      <c r="BF519" s="103"/>
      <c r="BG519" s="103"/>
      <c r="BH519" s="103"/>
      <c r="BI519" s="103"/>
      <c r="BJ519" s="103"/>
      <c r="BK519" s="103"/>
      <c r="BL519" s="103"/>
      <c r="BM519" s="103"/>
      <c r="BN519" s="103"/>
      <c r="BO519" s="103"/>
      <c r="BP519" s="103"/>
      <c r="BQ519" s="103"/>
      <c r="BR519" s="103"/>
      <c r="BS519" s="103"/>
      <c r="BT519" s="103"/>
      <c r="BU519" s="103"/>
      <c r="BV519" s="103"/>
      <c r="BW519" s="103"/>
      <c r="BX519" s="103"/>
      <c r="BY519" s="103"/>
      <c r="BZ519" s="103"/>
      <c r="CA519" s="103"/>
      <c r="CB519" s="103"/>
      <c r="CC519" s="103"/>
      <c r="CD519" s="103"/>
      <c r="CE519" s="103"/>
      <c r="CF519" s="103"/>
      <c r="CG519" s="103"/>
      <c r="CH519" s="103"/>
      <c r="CI519" s="103"/>
      <c r="CJ519" s="103"/>
      <c r="CK519" s="103"/>
      <c r="CL519" s="103"/>
      <c r="CM519" s="103"/>
      <c r="CN519" s="103"/>
      <c r="CO519" s="103"/>
    </row>
    <row r="520" spans="1:93" ht="16" thickBot="1">
      <c r="A520" s="233"/>
      <c r="B520" s="10"/>
      <c r="C520" s="12" t="s">
        <v>717</v>
      </c>
      <c r="D520" s="12"/>
      <c r="E520" s="12"/>
      <c r="F520" s="12"/>
      <c r="G520" s="362"/>
      <c r="H520" s="12"/>
      <c r="I520" s="12"/>
      <c r="J520" s="69"/>
      <c r="K520" s="69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  <c r="AA520" s="103"/>
      <c r="AB520" s="103"/>
      <c r="AC520" s="103"/>
      <c r="AD520" s="103"/>
      <c r="AE520" s="103"/>
      <c r="AF520" s="103"/>
      <c r="AG520" s="103"/>
      <c r="AH520" s="103"/>
      <c r="AI520" s="103"/>
      <c r="AJ520" s="103"/>
      <c r="AK520" s="103"/>
      <c r="AL520" s="103"/>
      <c r="AM520" s="103"/>
      <c r="AN520" s="103"/>
      <c r="AO520" s="103"/>
      <c r="AP520" s="103"/>
      <c r="AQ520" s="103"/>
      <c r="AR520" s="103"/>
      <c r="AS520" s="103"/>
      <c r="AT520" s="103"/>
      <c r="AU520" s="103"/>
      <c r="AV520" s="103"/>
      <c r="AW520" s="103"/>
      <c r="AX520" s="103"/>
      <c r="AY520" s="103"/>
      <c r="AZ520" s="103"/>
      <c r="BA520" s="103"/>
      <c r="BB520" s="103"/>
      <c r="BC520" s="103"/>
      <c r="BD520" s="103"/>
      <c r="BE520" s="103"/>
      <c r="BF520" s="103"/>
      <c r="BG520" s="103"/>
      <c r="BH520" s="103"/>
      <c r="BI520" s="103"/>
      <c r="BJ520" s="103"/>
      <c r="BK520" s="103"/>
      <c r="BL520" s="103"/>
      <c r="BM520" s="103"/>
      <c r="BN520" s="103"/>
      <c r="BO520" s="103"/>
      <c r="BP520" s="103"/>
      <c r="BQ520" s="103"/>
      <c r="BR520" s="103"/>
      <c r="BS520" s="103"/>
      <c r="BT520" s="103"/>
      <c r="BU520" s="103"/>
      <c r="BV520" s="103"/>
      <c r="BW520" s="103"/>
      <c r="BX520" s="103"/>
      <c r="BY520" s="103"/>
      <c r="BZ520" s="103"/>
      <c r="CA520" s="103"/>
      <c r="CB520" s="103"/>
      <c r="CC520" s="103"/>
      <c r="CD520" s="103"/>
      <c r="CE520" s="103"/>
      <c r="CF520" s="103"/>
      <c r="CG520" s="103"/>
      <c r="CH520" s="103"/>
      <c r="CI520" s="103"/>
      <c r="CJ520" s="103"/>
      <c r="CK520" s="103"/>
      <c r="CL520" s="103"/>
      <c r="CM520" s="103"/>
      <c r="CN520" s="103"/>
      <c r="CO520" s="103"/>
    </row>
    <row r="521" spans="1:93">
      <c r="A521" s="233"/>
      <c r="B521" s="101"/>
      <c r="C521" s="169"/>
      <c r="D521" s="69"/>
      <c r="E521" s="62"/>
      <c r="F521" s="70"/>
      <c r="G521" s="11"/>
      <c r="H521" s="69"/>
      <c r="I521" s="69"/>
      <c r="J521" s="69"/>
      <c r="K521" s="69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  <c r="AA521" s="103"/>
      <c r="AB521" s="103"/>
      <c r="AC521" s="103"/>
      <c r="AD521" s="103"/>
      <c r="AE521" s="103"/>
      <c r="AF521" s="103"/>
      <c r="AG521" s="103"/>
      <c r="AH521" s="103"/>
      <c r="AI521" s="103"/>
      <c r="AJ521" s="103"/>
      <c r="AK521" s="103"/>
      <c r="AL521" s="103"/>
      <c r="AM521" s="103"/>
      <c r="AN521" s="103"/>
      <c r="AO521" s="103"/>
      <c r="AP521" s="103"/>
      <c r="AQ521" s="103"/>
      <c r="AR521" s="103"/>
      <c r="AS521" s="103"/>
      <c r="AT521" s="103"/>
      <c r="AU521" s="103"/>
      <c r="AV521" s="103"/>
      <c r="AW521" s="103"/>
      <c r="AX521" s="103"/>
      <c r="AY521" s="103"/>
      <c r="AZ521" s="103"/>
      <c r="BA521" s="103"/>
      <c r="BB521" s="103"/>
      <c r="BC521" s="103"/>
      <c r="BD521" s="103"/>
      <c r="BE521" s="103"/>
      <c r="BF521" s="103"/>
      <c r="BG521" s="103"/>
      <c r="BH521" s="103"/>
      <c r="BI521" s="103"/>
      <c r="BJ521" s="103"/>
      <c r="BK521" s="103"/>
      <c r="BL521" s="103"/>
      <c r="BM521" s="103"/>
      <c r="BN521" s="103"/>
      <c r="BO521" s="103"/>
      <c r="BP521" s="103"/>
      <c r="BQ521" s="103"/>
      <c r="BR521" s="103"/>
      <c r="BS521" s="103"/>
      <c r="BT521" s="103"/>
      <c r="BU521" s="103"/>
      <c r="BV521" s="103"/>
      <c r="BW521" s="103"/>
      <c r="BX521" s="103"/>
      <c r="BY521" s="103"/>
      <c r="BZ521" s="103"/>
      <c r="CA521" s="103"/>
      <c r="CB521" s="103"/>
      <c r="CC521" s="103"/>
      <c r="CD521" s="103"/>
      <c r="CE521" s="103"/>
      <c r="CF521" s="103"/>
      <c r="CG521" s="103"/>
      <c r="CH521" s="103"/>
      <c r="CI521" s="103"/>
      <c r="CJ521" s="103"/>
      <c r="CK521" s="103"/>
      <c r="CL521" s="103"/>
      <c r="CM521" s="103"/>
      <c r="CN521" s="103"/>
      <c r="CO521" s="103"/>
    </row>
    <row r="522" spans="1:93">
      <c r="A522" s="233"/>
      <c r="B522" s="101"/>
      <c r="C522" s="17" t="s">
        <v>655</v>
      </c>
      <c r="D522" s="69"/>
      <c r="E522" s="196">
        <f xml:space="preserve"> Предпосылки!E385</f>
        <v>0.65</v>
      </c>
      <c r="F522" s="70"/>
      <c r="G522" s="11" t="s">
        <v>28</v>
      </c>
      <c r="H522" s="69"/>
      <c r="I522" s="69"/>
      <c r="J522" s="69"/>
      <c r="K522" s="69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  <c r="AA522" s="103"/>
      <c r="AB522" s="103"/>
      <c r="AC522" s="103"/>
      <c r="AD522" s="103"/>
      <c r="AE522" s="103"/>
      <c r="AF522" s="103"/>
      <c r="AG522" s="103"/>
      <c r="AH522" s="103"/>
      <c r="AI522" s="103"/>
      <c r="AJ522" s="103"/>
      <c r="AK522" s="103"/>
      <c r="AL522" s="103"/>
      <c r="AM522" s="103"/>
      <c r="AN522" s="103"/>
      <c r="AO522" s="103"/>
      <c r="AP522" s="103"/>
      <c r="AQ522" s="103"/>
      <c r="AR522" s="103"/>
      <c r="AS522" s="103"/>
      <c r="AT522" s="103"/>
      <c r="AU522" s="103"/>
      <c r="AV522" s="103"/>
      <c r="AW522" s="103"/>
      <c r="AX522" s="103"/>
      <c r="AY522" s="103"/>
      <c r="AZ522" s="103"/>
      <c r="BA522" s="103"/>
      <c r="BB522" s="103"/>
      <c r="BC522" s="103"/>
      <c r="BD522" s="103"/>
      <c r="BE522" s="103"/>
      <c r="BF522" s="103"/>
      <c r="BG522" s="103"/>
      <c r="BH522" s="103"/>
      <c r="BI522" s="103"/>
      <c r="BJ522" s="103"/>
      <c r="BK522" s="103"/>
      <c r="BL522" s="103"/>
      <c r="BM522" s="103"/>
      <c r="BN522" s="103"/>
      <c r="BO522" s="103"/>
      <c r="BP522" s="103"/>
      <c r="BQ522" s="103"/>
      <c r="BR522" s="103"/>
      <c r="BS522" s="103"/>
      <c r="BT522" s="103"/>
      <c r="BU522" s="103"/>
      <c r="BV522" s="103"/>
      <c r="BW522" s="103"/>
      <c r="BX522" s="103"/>
      <c r="BY522" s="103"/>
      <c r="BZ522" s="103"/>
      <c r="CA522" s="103"/>
      <c r="CB522" s="103"/>
      <c r="CC522" s="103"/>
      <c r="CD522" s="103"/>
      <c r="CE522" s="103"/>
      <c r="CF522" s="103"/>
      <c r="CG522" s="103"/>
      <c r="CH522" s="103"/>
      <c r="CI522" s="103"/>
      <c r="CJ522" s="103"/>
      <c r="CK522" s="103"/>
      <c r="CL522" s="103"/>
      <c r="CM522" s="103"/>
      <c r="CN522" s="103"/>
      <c r="CO522" s="103"/>
    </row>
    <row r="523" spans="1:93">
      <c r="A523" s="233"/>
      <c r="B523" s="101"/>
      <c r="C523" s="17" t="s">
        <v>654</v>
      </c>
      <c r="D523" s="69"/>
      <c r="E523" s="196">
        <f xml:space="preserve"> Предпосылки!E386</f>
        <v>0.45</v>
      </c>
      <c r="F523" s="70"/>
      <c r="G523" s="11" t="s">
        <v>28</v>
      </c>
      <c r="H523" s="69"/>
      <c r="I523" s="69"/>
      <c r="J523" s="69"/>
      <c r="K523" s="69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  <c r="AA523" s="103"/>
      <c r="AB523" s="103"/>
      <c r="AC523" s="103"/>
      <c r="AD523" s="103"/>
      <c r="AE523" s="103"/>
      <c r="AF523" s="103"/>
      <c r="AG523" s="103"/>
      <c r="AH523" s="103"/>
      <c r="AI523" s="103"/>
      <c r="AJ523" s="103"/>
      <c r="AK523" s="103"/>
      <c r="AL523" s="103"/>
      <c r="AM523" s="103"/>
      <c r="AN523" s="103"/>
      <c r="AO523" s="103"/>
      <c r="AP523" s="103"/>
      <c r="AQ523" s="103"/>
      <c r="AR523" s="103"/>
      <c r="AS523" s="103"/>
      <c r="AT523" s="103"/>
      <c r="AU523" s="103"/>
      <c r="AV523" s="103"/>
      <c r="AW523" s="103"/>
      <c r="AX523" s="103"/>
      <c r="AY523" s="103"/>
      <c r="AZ523" s="103"/>
      <c r="BA523" s="103"/>
      <c r="BB523" s="103"/>
      <c r="BC523" s="103"/>
      <c r="BD523" s="103"/>
      <c r="BE523" s="103"/>
      <c r="BF523" s="103"/>
      <c r="BG523" s="103"/>
      <c r="BH523" s="103"/>
      <c r="BI523" s="103"/>
      <c r="BJ523" s="103"/>
      <c r="BK523" s="103"/>
      <c r="BL523" s="103"/>
      <c r="BM523" s="103"/>
      <c r="BN523" s="103"/>
      <c r="BO523" s="103"/>
      <c r="BP523" s="103"/>
      <c r="BQ523" s="103"/>
      <c r="BR523" s="103"/>
      <c r="BS523" s="103"/>
      <c r="BT523" s="103"/>
      <c r="BU523" s="103"/>
      <c r="BV523" s="103"/>
      <c r="BW523" s="103"/>
      <c r="BX523" s="103"/>
      <c r="BY523" s="103"/>
      <c r="BZ523" s="103"/>
      <c r="CA523" s="103"/>
      <c r="CB523" s="103"/>
      <c r="CC523" s="103"/>
      <c r="CD523" s="103"/>
      <c r="CE523" s="103"/>
      <c r="CF523" s="103"/>
      <c r="CG523" s="103"/>
      <c r="CH523" s="103"/>
      <c r="CI523" s="103"/>
      <c r="CJ523" s="103"/>
      <c r="CK523" s="103"/>
      <c r="CL523" s="103"/>
      <c r="CM523" s="103"/>
      <c r="CN523" s="103"/>
      <c r="CO523" s="103"/>
    </row>
    <row r="524" spans="1:93">
      <c r="A524" s="233"/>
      <c r="B524" s="101"/>
      <c r="C524" s="17" t="s">
        <v>657</v>
      </c>
      <c r="D524" s="69"/>
      <c r="E524" s="184">
        <f xml:space="preserve"> Предпосылки!E387</f>
        <v>12</v>
      </c>
      <c r="F524" s="70"/>
      <c r="G524" s="11" t="s">
        <v>658</v>
      </c>
      <c r="H524" s="69"/>
      <c r="I524" s="69"/>
      <c r="J524" s="69"/>
      <c r="K524" s="69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  <c r="AA524" s="103"/>
      <c r="AB524" s="103"/>
      <c r="AC524" s="103"/>
      <c r="AD524" s="103"/>
      <c r="AE524" s="103"/>
      <c r="AF524" s="103"/>
      <c r="AG524" s="103"/>
      <c r="AH524" s="103"/>
      <c r="AI524" s="103"/>
      <c r="AJ524" s="103"/>
      <c r="AK524" s="103"/>
      <c r="AL524" s="103"/>
      <c r="AM524" s="103"/>
      <c r="AN524" s="103"/>
      <c r="AO524" s="103"/>
      <c r="AP524" s="103"/>
      <c r="AQ524" s="103"/>
      <c r="AR524" s="103"/>
      <c r="AS524" s="103"/>
      <c r="AT524" s="103"/>
      <c r="AU524" s="103"/>
      <c r="AV524" s="103"/>
      <c r="AW524" s="103"/>
      <c r="AX524" s="103"/>
      <c r="AY524" s="103"/>
      <c r="AZ524" s="103"/>
      <c r="BA524" s="103"/>
      <c r="BB524" s="103"/>
      <c r="BC524" s="103"/>
      <c r="BD524" s="103"/>
      <c r="BE524" s="103"/>
      <c r="BF524" s="103"/>
      <c r="BG524" s="103"/>
      <c r="BH524" s="103"/>
      <c r="BI524" s="103"/>
      <c r="BJ524" s="103"/>
      <c r="BK524" s="103"/>
      <c r="BL524" s="103"/>
      <c r="BM524" s="103"/>
      <c r="BN524" s="103"/>
      <c r="BO524" s="103"/>
      <c r="BP524" s="103"/>
      <c r="BQ524" s="103"/>
      <c r="BR524" s="103"/>
      <c r="BS524" s="103"/>
      <c r="BT524" s="103"/>
      <c r="BU524" s="103"/>
      <c r="BV524" s="103"/>
      <c r="BW524" s="103"/>
      <c r="BX524" s="103"/>
      <c r="BY524" s="103"/>
      <c r="BZ524" s="103"/>
      <c r="CA524" s="103"/>
      <c r="CB524" s="103"/>
      <c r="CC524" s="103"/>
      <c r="CD524" s="103"/>
      <c r="CE524" s="103"/>
      <c r="CF524" s="103"/>
      <c r="CG524" s="103"/>
      <c r="CH524" s="103"/>
      <c r="CI524" s="103"/>
      <c r="CJ524" s="103"/>
      <c r="CK524" s="103"/>
      <c r="CL524" s="103"/>
      <c r="CM524" s="103"/>
      <c r="CN524" s="103"/>
      <c r="CO524" s="103"/>
    </row>
    <row r="525" spans="1:93">
      <c r="A525" s="233"/>
      <c r="B525" s="101"/>
      <c r="C525" s="169"/>
      <c r="D525" s="69"/>
      <c r="E525" s="62"/>
      <c r="F525" s="70"/>
      <c r="G525" s="11"/>
      <c r="H525" s="69"/>
      <c r="I525" s="69"/>
      <c r="J525" s="69"/>
      <c r="K525" s="69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  <c r="AA525" s="103"/>
      <c r="AB525" s="103"/>
      <c r="AC525" s="103"/>
      <c r="AD525" s="103"/>
      <c r="AE525" s="103"/>
      <c r="AF525" s="103"/>
      <c r="AG525" s="103"/>
      <c r="AH525" s="103"/>
      <c r="AI525" s="103"/>
      <c r="AJ525" s="103"/>
      <c r="AK525" s="103"/>
      <c r="AL525" s="103"/>
      <c r="AM525" s="103"/>
      <c r="AN525" s="103"/>
      <c r="AO525" s="103"/>
      <c r="AP525" s="103"/>
      <c r="AQ525" s="103"/>
      <c r="AR525" s="103"/>
      <c r="AS525" s="103"/>
      <c r="AT525" s="103"/>
      <c r="AU525" s="103"/>
      <c r="AV525" s="103"/>
      <c r="AW525" s="103"/>
      <c r="AX525" s="103"/>
      <c r="AY525" s="103"/>
      <c r="AZ525" s="103"/>
      <c r="BA525" s="103"/>
      <c r="BB525" s="103"/>
      <c r="BC525" s="103"/>
      <c r="BD525" s="103"/>
      <c r="BE525" s="103"/>
      <c r="BF525" s="103"/>
      <c r="BG525" s="103"/>
      <c r="BH525" s="103"/>
      <c r="BI525" s="103"/>
      <c r="BJ525" s="103"/>
      <c r="BK525" s="103"/>
      <c r="BL525" s="103"/>
      <c r="BM525" s="103"/>
      <c r="BN525" s="103"/>
      <c r="BO525" s="103"/>
      <c r="BP525" s="103"/>
      <c r="BQ525" s="103"/>
      <c r="BR525" s="103"/>
      <c r="BS525" s="103"/>
      <c r="BT525" s="103"/>
      <c r="BU525" s="103"/>
      <c r="BV525" s="103"/>
      <c r="BW525" s="103"/>
      <c r="BX525" s="103"/>
      <c r="BY525" s="103"/>
      <c r="BZ525" s="103"/>
      <c r="CA525" s="103"/>
      <c r="CB525" s="103"/>
      <c r="CC525" s="103"/>
      <c r="CD525" s="103"/>
      <c r="CE525" s="103"/>
      <c r="CF525" s="103"/>
      <c r="CG525" s="103"/>
      <c r="CH525" s="103"/>
      <c r="CI525" s="103"/>
      <c r="CJ525" s="103"/>
      <c r="CK525" s="103"/>
      <c r="CL525" s="103"/>
      <c r="CM525" s="103"/>
      <c r="CN525" s="103"/>
      <c r="CO525" s="103"/>
    </row>
    <row r="526" spans="1:93">
      <c r="A526" s="233"/>
      <c r="B526" s="101"/>
      <c r="C526" s="17" t="s">
        <v>656</v>
      </c>
      <c r="D526" s="69"/>
      <c r="E526" s="107">
        <f xml:space="preserve"> (E522 - E523) / E524</f>
        <v>1.6666666666666666E-2</v>
      </c>
      <c r="F526" s="70"/>
      <c r="G526" s="11" t="s">
        <v>28</v>
      </c>
      <c r="H526" s="69"/>
      <c r="I526" s="69"/>
      <c r="J526" s="69"/>
      <c r="K526" s="69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  <c r="AA526" s="103"/>
      <c r="AB526" s="103"/>
      <c r="AC526" s="103"/>
      <c r="AD526" s="103"/>
      <c r="AE526" s="103"/>
      <c r="AF526" s="103"/>
      <c r="AG526" s="103"/>
      <c r="AH526" s="103"/>
      <c r="AI526" s="103"/>
      <c r="AJ526" s="103"/>
      <c r="AK526" s="103"/>
      <c r="AL526" s="103"/>
      <c r="AM526" s="103"/>
      <c r="AN526" s="103"/>
      <c r="AO526" s="103"/>
      <c r="AP526" s="103"/>
      <c r="AQ526" s="103"/>
      <c r="AR526" s="103"/>
      <c r="AS526" s="103"/>
      <c r="AT526" s="103"/>
      <c r="AU526" s="103"/>
      <c r="AV526" s="103"/>
      <c r="AW526" s="103"/>
      <c r="AX526" s="103"/>
      <c r="AY526" s="103"/>
      <c r="AZ526" s="103"/>
      <c r="BA526" s="103"/>
      <c r="BB526" s="103"/>
      <c r="BC526" s="103"/>
      <c r="BD526" s="103"/>
      <c r="BE526" s="103"/>
      <c r="BF526" s="103"/>
      <c r="BG526" s="103"/>
      <c r="BH526" s="103"/>
      <c r="BI526" s="103"/>
      <c r="BJ526" s="103"/>
      <c r="BK526" s="103"/>
      <c r="BL526" s="103"/>
      <c r="BM526" s="103"/>
      <c r="BN526" s="103"/>
      <c r="BO526" s="103"/>
      <c r="BP526" s="103"/>
      <c r="BQ526" s="103"/>
      <c r="BR526" s="103"/>
      <c r="BS526" s="103"/>
      <c r="BT526" s="103"/>
      <c r="BU526" s="103"/>
      <c r="BV526" s="103"/>
      <c r="BW526" s="103"/>
      <c r="BX526" s="103"/>
      <c r="BY526" s="103"/>
      <c r="BZ526" s="103"/>
      <c r="CA526" s="103"/>
      <c r="CB526" s="103"/>
      <c r="CC526" s="103"/>
      <c r="CD526" s="103"/>
      <c r="CE526" s="103"/>
      <c r="CF526" s="103"/>
      <c r="CG526" s="103"/>
      <c r="CH526" s="103"/>
      <c r="CI526" s="103"/>
      <c r="CJ526" s="103"/>
      <c r="CK526" s="103"/>
      <c r="CL526" s="103"/>
      <c r="CM526" s="103"/>
      <c r="CN526" s="103"/>
      <c r="CO526" s="103"/>
    </row>
    <row r="527" spans="1:93">
      <c r="A527" s="233"/>
      <c r="B527" s="101"/>
      <c r="C527" s="169"/>
      <c r="D527" s="69"/>
      <c r="E527" s="62"/>
      <c r="F527" s="70"/>
      <c r="G527" s="11"/>
      <c r="H527" s="69"/>
      <c r="I527" s="69"/>
      <c r="J527" s="69"/>
      <c r="K527" s="69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  <c r="AA527" s="103"/>
      <c r="AB527" s="103"/>
      <c r="AC527" s="103"/>
      <c r="AD527" s="103"/>
      <c r="AE527" s="103"/>
      <c r="AF527" s="103"/>
      <c r="AG527" s="103"/>
      <c r="AH527" s="103"/>
      <c r="AI527" s="103"/>
      <c r="AJ527" s="103"/>
      <c r="AK527" s="103"/>
      <c r="AL527" s="103"/>
      <c r="AM527" s="103"/>
      <c r="AN527" s="103"/>
      <c r="AO527" s="103"/>
      <c r="AP527" s="103"/>
      <c r="AQ527" s="103"/>
      <c r="AR527" s="103"/>
      <c r="AS527" s="103"/>
      <c r="AT527" s="103"/>
      <c r="AU527" s="103"/>
      <c r="AV527" s="103"/>
      <c r="AW527" s="103"/>
      <c r="AX527" s="103"/>
      <c r="AY527" s="103"/>
      <c r="AZ527" s="103"/>
      <c r="BA527" s="103"/>
      <c r="BB527" s="103"/>
      <c r="BC527" s="103"/>
      <c r="BD527" s="103"/>
      <c r="BE527" s="103"/>
      <c r="BF527" s="103"/>
      <c r="BG527" s="103"/>
      <c r="BH527" s="103"/>
      <c r="BI527" s="103"/>
      <c r="BJ527" s="103"/>
      <c r="BK527" s="103"/>
      <c r="BL527" s="103"/>
      <c r="BM527" s="103"/>
      <c r="BN527" s="103"/>
      <c r="BO527" s="103"/>
      <c r="BP527" s="103"/>
      <c r="BQ527" s="103"/>
      <c r="BR527" s="103"/>
      <c r="BS527" s="103"/>
      <c r="BT527" s="103"/>
      <c r="BU527" s="103"/>
      <c r="BV527" s="103"/>
      <c r="BW527" s="103"/>
      <c r="BX527" s="103"/>
      <c r="BY527" s="103"/>
      <c r="BZ527" s="103"/>
      <c r="CA527" s="103"/>
      <c r="CB527" s="103"/>
      <c r="CC527" s="103"/>
      <c r="CD527" s="103"/>
      <c r="CE527" s="103"/>
      <c r="CF527" s="103"/>
      <c r="CG527" s="103"/>
      <c r="CH527" s="103"/>
      <c r="CI527" s="103"/>
      <c r="CJ527" s="103"/>
      <c r="CK527" s="103"/>
      <c r="CL527" s="103"/>
      <c r="CM527" s="103"/>
      <c r="CN527" s="103"/>
      <c r="CO527" s="103"/>
    </row>
    <row r="528" spans="1:93">
      <c r="A528" s="233"/>
      <c r="B528" s="101"/>
      <c r="C528" s="17" t="s">
        <v>1177</v>
      </c>
      <c r="D528" s="69"/>
      <c r="E528" s="62"/>
      <c r="F528" s="70"/>
      <c r="G528" s="11" t="s">
        <v>28</v>
      </c>
      <c r="H528" s="69"/>
      <c r="I528" s="69"/>
      <c r="J528" s="69"/>
      <c r="K528" s="69"/>
      <c r="L528" s="144">
        <f t="shared" ref="L528" si="5601">MIN((Flag_First_Operations*$E$523+(Flag_First_Operations&lt;&gt;1)*(K528+$E$526))*Flag_Operations,$E$522)</f>
        <v>0</v>
      </c>
      <c r="M528" s="144">
        <f t="shared" ref="M528" si="5602">MIN((Flag_First_Operations*$E$523+(Flag_First_Operations&lt;&gt;1)*(L528+$E$526))*Flag_Operations,$E$522)</f>
        <v>0</v>
      </c>
      <c r="N528" s="144">
        <f t="shared" ref="N528" si="5603">MIN((Flag_First_Operations*$E$523+(Flag_First_Operations&lt;&gt;1)*(M528+$E$526))*Flag_Operations,$E$522)</f>
        <v>0</v>
      </c>
      <c r="O528" s="144">
        <f t="shared" ref="O528" si="5604">MIN((Flag_First_Operations*$E$523+(Flag_First_Operations&lt;&gt;1)*(N528+$E$526))*Flag_Operations,$E$522)</f>
        <v>0</v>
      </c>
      <c r="P528" s="144">
        <f t="shared" ref="P528" si="5605">MIN((Flag_First_Operations*$E$523+(Flag_First_Operations&lt;&gt;1)*(O528+$E$526))*Flag_Operations,$E$522)</f>
        <v>0</v>
      </c>
      <c r="Q528" s="144">
        <f t="shared" ref="Q528" si="5606">MIN((Flag_First_Operations*$E$523+(Flag_First_Operations&lt;&gt;1)*(P528+$E$526))*Flag_Operations,$E$522)</f>
        <v>0</v>
      </c>
      <c r="R528" s="144">
        <f t="shared" ref="R528" si="5607">MIN((Flag_First_Operations*$E$523+(Flag_First_Operations&lt;&gt;1)*(Q528+$E$526))*Flag_Operations,$E$522)</f>
        <v>0</v>
      </c>
      <c r="S528" s="144">
        <f t="shared" ref="S528" si="5608">MIN((Flag_First_Operations*$E$523+(Flag_First_Operations&lt;&gt;1)*(R528+$E$526))*Flag_Operations,$E$522)</f>
        <v>0</v>
      </c>
      <c r="T528" s="144">
        <f t="shared" ref="T528" si="5609">MIN((Flag_First_Operations*$E$523+(Flag_First_Operations&lt;&gt;1)*(S528+$E$526))*Flag_Operations,$E$522)</f>
        <v>0</v>
      </c>
      <c r="U528" s="144">
        <f t="shared" ref="U528" si="5610">MIN((Flag_First_Operations*$E$523+(Flag_First_Operations&lt;&gt;1)*(T528+$E$526))*Flag_Operations,$E$522)</f>
        <v>0</v>
      </c>
      <c r="V528" s="144">
        <f t="shared" ref="V528" si="5611">MIN((Flag_First_Operations*$E$523+(Flag_First_Operations&lt;&gt;1)*(U528+$E$526))*Flag_Operations,$E$522)</f>
        <v>0</v>
      </c>
      <c r="W528" s="144">
        <f t="shared" ref="W528" si="5612">MIN((Flag_First_Operations*$E$523+(Flag_First_Operations&lt;&gt;1)*(V528+$E$526))*Flag_Operations,$E$522)</f>
        <v>0</v>
      </c>
      <c r="X528" s="144">
        <f t="shared" ref="X528" si="5613">MIN((Flag_First_Operations*$E$523+(Flag_First_Operations&lt;&gt;1)*(W528+$E$526))*Flag_Operations,$E$522)</f>
        <v>0</v>
      </c>
      <c r="Y528" s="144">
        <f t="shared" ref="Y528" si="5614">MIN((Flag_First_Operations*$E$523+(Flag_First_Operations&lt;&gt;1)*(X528+$E$526))*Flag_Operations,$E$522)</f>
        <v>0</v>
      </c>
      <c r="Z528" s="144">
        <f t="shared" ref="Z528" si="5615">MIN((Flag_First_Operations*$E$523+(Flag_First_Operations&lt;&gt;1)*(Y528+$E$526))*Flag_Operations,$E$522)</f>
        <v>0</v>
      </c>
      <c r="AA528" s="144">
        <f t="shared" ref="AA528" si="5616">MIN((Flag_First_Operations*$E$523+(Flag_First_Operations&lt;&gt;1)*(Z528+$E$526))*Flag_Operations,$E$522)</f>
        <v>0</v>
      </c>
      <c r="AB528" s="144">
        <f t="shared" ref="AB528" si="5617">MIN((Flag_First_Operations*$E$523+(Flag_First_Operations&lt;&gt;1)*(AA528+$E$526))*Flag_Operations,$E$522)</f>
        <v>0</v>
      </c>
      <c r="AC528" s="144">
        <f t="shared" ref="AC528" si="5618">MIN((Flag_First_Operations*$E$523+(Flag_First_Operations&lt;&gt;1)*(AB528+$E$526))*Flag_Operations,$E$522)</f>
        <v>0.45</v>
      </c>
      <c r="AD528" s="144">
        <f t="shared" ref="AD528" si="5619">MIN((Flag_First_Operations*$E$523+(Flag_First_Operations&lt;&gt;1)*(AC528+$E$526))*Flag_Operations,$E$522)</f>
        <v>0.46666666666666667</v>
      </c>
      <c r="AE528" s="144">
        <f t="shared" ref="AE528" si="5620">MIN((Flag_First_Operations*$E$523+(Flag_First_Operations&lt;&gt;1)*(AD528+$E$526))*Flag_Operations,$E$522)</f>
        <v>0.48333333333333334</v>
      </c>
      <c r="AF528" s="144">
        <f t="shared" ref="AF528" si="5621">MIN((Flag_First_Operations*$E$523+(Flag_First_Operations&lt;&gt;1)*(AE528+$E$526))*Flag_Operations,$E$522)</f>
        <v>0.5</v>
      </c>
      <c r="AG528" s="144">
        <f t="shared" ref="AG528" si="5622">MIN((Flag_First_Operations*$E$523+(Flag_First_Operations&lt;&gt;1)*(AF528+$E$526))*Flag_Operations,$E$522)</f>
        <v>0.51666666666666672</v>
      </c>
      <c r="AH528" s="144">
        <f t="shared" ref="AH528" si="5623">MIN((Flag_First_Operations*$E$523+(Flag_First_Operations&lt;&gt;1)*(AG528+$E$526))*Flag_Operations,$E$522)</f>
        <v>0.53333333333333344</v>
      </c>
      <c r="AI528" s="144">
        <f t="shared" ref="AI528" si="5624">MIN((Flag_First_Operations*$E$523+(Flag_First_Operations&lt;&gt;1)*(AH528+$E$526))*Flag_Operations,$E$522)</f>
        <v>0.55000000000000016</v>
      </c>
      <c r="AJ528" s="144">
        <f t="shared" ref="AJ528" si="5625">MIN((Flag_First_Operations*$E$523+(Flag_First_Operations&lt;&gt;1)*(AI528+$E$526))*Flag_Operations,$E$522)</f>
        <v>0.56666666666666687</v>
      </c>
      <c r="AK528" s="144">
        <f t="shared" ref="AK528" si="5626">MIN((Flag_First_Operations*$E$523+(Flag_First_Operations&lt;&gt;1)*(AJ528+$E$526))*Flag_Operations,$E$522)</f>
        <v>0.58333333333333359</v>
      </c>
      <c r="AL528" s="144">
        <f t="shared" ref="AL528" si="5627">MIN((Flag_First_Operations*$E$523+(Flag_First_Operations&lt;&gt;1)*(AK528+$E$526))*Flag_Operations,$E$522)</f>
        <v>0.60000000000000031</v>
      </c>
      <c r="AM528" s="144">
        <f t="shared" ref="AM528" si="5628">MIN((Flag_First_Operations*$E$523+(Flag_First_Operations&lt;&gt;1)*(AL528+$E$526))*Flag_Operations,$E$522)</f>
        <v>0.61666666666666703</v>
      </c>
      <c r="AN528" s="144">
        <f t="shared" ref="AN528" si="5629">MIN((Flag_First_Operations*$E$523+(Flag_First_Operations&lt;&gt;1)*(AM528+$E$526))*Flag_Operations,$E$522)</f>
        <v>0.63333333333333375</v>
      </c>
      <c r="AO528" s="144">
        <f t="shared" ref="AO528" si="5630">MIN((Flag_First_Operations*$E$523+(Flag_First_Operations&lt;&gt;1)*(AN528+$E$526))*Flag_Operations,$E$522)</f>
        <v>0.65</v>
      </c>
      <c r="AP528" s="144">
        <f t="shared" ref="AP528" si="5631">MIN((Flag_First_Operations*$E$523+(Flag_First_Operations&lt;&gt;1)*(AO528+$E$526))*Flag_Operations,$E$522)</f>
        <v>0.65</v>
      </c>
      <c r="AQ528" s="144">
        <f t="shared" ref="AQ528" si="5632">MIN((Flag_First_Operations*$E$523+(Flag_First_Operations&lt;&gt;1)*(AP528+$E$526))*Flag_Operations,$E$522)</f>
        <v>0.65</v>
      </c>
      <c r="AR528" s="144">
        <f t="shared" ref="AR528" si="5633">MIN((Flag_First_Operations*$E$523+(Flag_First_Operations&lt;&gt;1)*(AQ528+$E$526))*Flag_Operations,$E$522)</f>
        <v>0.65</v>
      </c>
      <c r="AS528" s="144">
        <f t="shared" ref="AS528" si="5634">MIN((Flag_First_Operations*$E$523+(Flag_First_Operations&lt;&gt;1)*(AR528+$E$526))*Flag_Operations,$E$522)</f>
        <v>0.65</v>
      </c>
      <c r="AT528" s="144">
        <f t="shared" ref="AT528" si="5635">MIN((Flag_First_Operations*$E$523+(Flag_First_Operations&lt;&gt;1)*(AS528+$E$526))*Flag_Operations,$E$522)</f>
        <v>0.65</v>
      </c>
      <c r="AU528" s="144">
        <f t="shared" ref="AU528" si="5636">MIN((Flag_First_Operations*$E$523+(Flag_First_Operations&lt;&gt;1)*(AT528+$E$526))*Flag_Operations,$E$522)</f>
        <v>0.65</v>
      </c>
      <c r="AV528" s="144">
        <f t="shared" ref="AV528" si="5637">MIN((Flag_First_Operations*$E$523+(Flag_First_Operations&lt;&gt;1)*(AU528+$E$526))*Flag_Operations,$E$522)</f>
        <v>0.65</v>
      </c>
      <c r="AW528" s="144">
        <f t="shared" ref="AW528" si="5638">MIN((Flag_First_Operations*$E$523+(Flag_First_Operations&lt;&gt;1)*(AV528+$E$526))*Flag_Operations,$E$522)</f>
        <v>0.65</v>
      </c>
      <c r="AX528" s="144">
        <f t="shared" ref="AX528" si="5639">MIN((Flag_First_Operations*$E$523+(Flag_First_Operations&lt;&gt;1)*(AW528+$E$526))*Flag_Operations,$E$522)</f>
        <v>0.65</v>
      </c>
      <c r="AY528" s="144">
        <f t="shared" ref="AY528" si="5640">MIN((Flag_First_Operations*$E$523+(Flag_First_Operations&lt;&gt;1)*(AX528+$E$526))*Flag_Operations,$E$522)</f>
        <v>0.65</v>
      </c>
      <c r="AZ528" s="144">
        <f t="shared" ref="AZ528" si="5641">MIN((Flag_First_Operations*$E$523+(Flag_First_Operations&lt;&gt;1)*(AY528+$E$526))*Flag_Operations,$E$522)</f>
        <v>0.65</v>
      </c>
      <c r="BA528" s="144">
        <f t="shared" ref="BA528" si="5642">MIN((Flag_First_Operations*$E$523+(Flag_First_Operations&lt;&gt;1)*(AZ528+$E$526))*Flag_Operations,$E$522)</f>
        <v>0.65</v>
      </c>
      <c r="BB528" s="144">
        <f t="shared" ref="BB528" si="5643">MIN((Flag_First_Operations*$E$523+(Flag_First_Operations&lt;&gt;1)*(BA528+$E$526))*Flag_Operations,$E$522)</f>
        <v>0.65</v>
      </c>
      <c r="BC528" s="144">
        <f t="shared" ref="BC528" si="5644">MIN((Flag_First_Operations*$E$523+(Flag_First_Operations&lt;&gt;1)*(BB528+$E$526))*Flag_Operations,$E$522)</f>
        <v>0.65</v>
      </c>
      <c r="BD528" s="144">
        <f t="shared" ref="BD528" si="5645">MIN((Flag_First_Operations*$E$523+(Flag_First_Operations&lt;&gt;1)*(BC528+$E$526))*Flag_Operations,$E$522)</f>
        <v>0.65</v>
      </c>
      <c r="BE528" s="144">
        <f t="shared" ref="BE528" si="5646">MIN((Flag_First_Operations*$E$523+(Flag_First_Operations&lt;&gt;1)*(BD528+$E$526))*Flag_Operations,$E$522)</f>
        <v>0.65</v>
      </c>
      <c r="BF528" s="144">
        <f t="shared" ref="BF528" si="5647">MIN((Flag_First_Operations*$E$523+(Flag_First_Operations&lt;&gt;1)*(BE528+$E$526))*Flag_Operations,$E$522)</f>
        <v>0.65</v>
      </c>
      <c r="BG528" s="144">
        <f t="shared" ref="BG528" si="5648">MIN((Flag_First_Operations*$E$523+(Flag_First_Operations&lt;&gt;1)*(BF528+$E$526))*Flag_Operations,$E$522)</f>
        <v>0.65</v>
      </c>
      <c r="BH528" s="144">
        <f t="shared" ref="BH528" si="5649">MIN((Flag_First_Operations*$E$523+(Flag_First_Operations&lt;&gt;1)*(BG528+$E$526))*Flag_Operations,$E$522)</f>
        <v>0.65</v>
      </c>
      <c r="BI528" s="144">
        <f t="shared" ref="BI528" si="5650">MIN((Flag_First_Operations*$E$523+(Flag_First_Operations&lt;&gt;1)*(BH528+$E$526))*Flag_Operations,$E$522)</f>
        <v>0.65</v>
      </c>
      <c r="BJ528" s="144">
        <f t="shared" ref="BJ528" si="5651">MIN((Flag_First_Operations*$E$523+(Flag_First_Operations&lt;&gt;1)*(BI528+$E$526))*Flag_Operations,$E$522)</f>
        <v>0.65</v>
      </c>
      <c r="BK528" s="144">
        <f t="shared" ref="BK528" si="5652">MIN((Flag_First_Operations*$E$523+(Flag_First_Operations&lt;&gt;1)*(BJ528+$E$526))*Flag_Operations,$E$522)</f>
        <v>0.65</v>
      </c>
      <c r="BL528" s="144">
        <f t="shared" ref="BL528" si="5653">MIN((Flag_First_Operations*$E$523+(Flag_First_Operations&lt;&gt;1)*(BK528+$E$526))*Flag_Operations,$E$522)</f>
        <v>0.65</v>
      </c>
      <c r="BM528" s="144">
        <f t="shared" ref="BM528" si="5654">MIN((Flag_First_Operations*$E$523+(Flag_First_Operations&lt;&gt;1)*(BL528+$E$526))*Flag_Operations,$E$522)</f>
        <v>0.65</v>
      </c>
      <c r="BN528" s="144">
        <f t="shared" ref="BN528" si="5655">MIN((Flag_First_Operations*$E$523+(Flag_First_Operations&lt;&gt;1)*(BM528+$E$526))*Flag_Operations,$E$522)</f>
        <v>0.65</v>
      </c>
      <c r="BO528" s="144">
        <f t="shared" ref="BO528" si="5656">MIN((Flag_First_Operations*$E$523+(Flag_First_Operations&lt;&gt;1)*(BN528+$E$526))*Flag_Operations,$E$522)</f>
        <v>0.65</v>
      </c>
      <c r="BP528" s="144">
        <f t="shared" ref="BP528" si="5657">MIN((Flag_First_Operations*$E$523+(Flag_First_Operations&lt;&gt;1)*(BO528+$E$526))*Flag_Operations,$E$522)</f>
        <v>0.65</v>
      </c>
      <c r="BQ528" s="144">
        <f t="shared" ref="BQ528" si="5658">MIN((Flag_First_Operations*$E$523+(Flag_First_Operations&lt;&gt;1)*(BP528+$E$526))*Flag_Operations,$E$522)</f>
        <v>0.65</v>
      </c>
      <c r="BR528" s="144">
        <f t="shared" ref="BR528" si="5659">MIN((Flag_First_Operations*$E$523+(Flag_First_Operations&lt;&gt;1)*(BQ528+$E$526))*Flag_Operations,$E$522)</f>
        <v>0.65</v>
      </c>
      <c r="BS528" s="144">
        <f t="shared" ref="BS528" si="5660">MIN((Flag_First_Operations*$E$523+(Flag_First_Operations&lt;&gt;1)*(BR528+$E$526))*Flag_Operations,$E$522)</f>
        <v>0.65</v>
      </c>
      <c r="BT528" s="144">
        <f t="shared" ref="BT528" si="5661">MIN((Flag_First_Operations*$E$523+(Flag_First_Operations&lt;&gt;1)*(BS528+$E$526))*Flag_Operations,$E$522)</f>
        <v>0.65</v>
      </c>
      <c r="BU528" s="144">
        <f t="shared" ref="BU528" si="5662">MIN((Flag_First_Operations*$E$523+(Flag_First_Operations&lt;&gt;1)*(BT528+$E$526))*Flag_Operations,$E$522)</f>
        <v>0.65</v>
      </c>
      <c r="BV528" s="144">
        <f t="shared" ref="BV528" si="5663">MIN((Flag_First_Operations*$E$523+(Flag_First_Operations&lt;&gt;1)*(BU528+$E$526))*Flag_Operations,$E$522)</f>
        <v>0.65</v>
      </c>
      <c r="BW528" s="144">
        <f t="shared" ref="BW528" si="5664">MIN((Flag_First_Operations*$E$523+(Flag_First_Operations&lt;&gt;1)*(BV528+$E$526))*Flag_Operations,$E$522)</f>
        <v>0.65</v>
      </c>
      <c r="BX528" s="144">
        <f t="shared" ref="BX528" si="5665">MIN((Flag_First_Operations*$E$523+(Flag_First_Operations&lt;&gt;1)*(BW528+$E$526))*Flag_Operations,$E$522)</f>
        <v>0.65</v>
      </c>
      <c r="BY528" s="144">
        <f t="shared" ref="BY528" si="5666">MIN((Flag_First_Operations*$E$523+(Flag_First_Operations&lt;&gt;1)*(BX528+$E$526))*Flag_Operations,$E$522)</f>
        <v>0.65</v>
      </c>
      <c r="BZ528" s="144">
        <f t="shared" ref="BZ528" si="5667">MIN((Flag_First_Operations*$E$523+(Flag_First_Operations&lt;&gt;1)*(BY528+$E$526))*Flag_Operations,$E$522)</f>
        <v>0.65</v>
      </c>
      <c r="CA528" s="144">
        <f t="shared" ref="CA528" si="5668">MIN((Flag_First_Operations*$E$523+(Flag_First_Operations&lt;&gt;1)*(BZ528+$E$526))*Flag_Operations,$E$522)</f>
        <v>0.65</v>
      </c>
      <c r="CB528" s="144">
        <f t="shared" ref="CB528" si="5669">MIN((Flag_First_Operations*$E$523+(Flag_First_Operations&lt;&gt;1)*(CA528+$E$526))*Flag_Operations,$E$522)</f>
        <v>0.65</v>
      </c>
      <c r="CC528" s="144">
        <f t="shared" ref="CC528" si="5670">MIN((Flag_First_Operations*$E$523+(Flag_First_Operations&lt;&gt;1)*(CB528+$E$526))*Flag_Operations,$E$522)</f>
        <v>0.65</v>
      </c>
      <c r="CD528" s="144">
        <f t="shared" ref="CD528" si="5671">MIN((Flag_First_Operations*$E$523+(Flag_First_Operations&lt;&gt;1)*(CC528+$E$526))*Flag_Operations,$E$522)</f>
        <v>0.65</v>
      </c>
      <c r="CE528" s="144">
        <f t="shared" ref="CE528" si="5672">MIN((Flag_First_Operations*$E$523+(Flag_First_Operations&lt;&gt;1)*(CD528+$E$526))*Flag_Operations,$E$522)</f>
        <v>0.65</v>
      </c>
      <c r="CF528" s="144">
        <f t="shared" ref="CF528" si="5673">MIN((Flag_First_Operations*$E$523+(Flag_First_Operations&lt;&gt;1)*(CE528+$E$526))*Flag_Operations,$E$522)</f>
        <v>0.65</v>
      </c>
      <c r="CG528" s="144">
        <f t="shared" ref="CG528" si="5674">MIN((Flag_First_Operations*$E$523+(Flag_First_Operations&lt;&gt;1)*(CF528+$E$526))*Flag_Operations,$E$522)</f>
        <v>0.65</v>
      </c>
      <c r="CH528" s="144">
        <f t="shared" ref="CH528" si="5675">MIN((Flag_First_Operations*$E$523+(Flag_First_Operations&lt;&gt;1)*(CG528+$E$526))*Flag_Operations,$E$522)</f>
        <v>0.65</v>
      </c>
      <c r="CI528" s="144">
        <f t="shared" ref="CI528" si="5676">MIN((Flag_First_Operations*$E$523+(Flag_First_Operations&lt;&gt;1)*(CH528+$E$526))*Flag_Operations,$E$522)</f>
        <v>0.65</v>
      </c>
      <c r="CJ528" s="144">
        <f t="shared" ref="CJ528" si="5677">MIN((Flag_First_Operations*$E$523+(Flag_First_Operations&lt;&gt;1)*(CI528+$E$526))*Flag_Operations,$E$522)</f>
        <v>0.65</v>
      </c>
      <c r="CK528" s="144">
        <f t="shared" ref="CK528" si="5678">MIN((Flag_First_Operations*$E$523+(Flag_First_Operations&lt;&gt;1)*(CJ528+$E$526))*Flag_Operations,$E$522)</f>
        <v>0.65</v>
      </c>
      <c r="CL528" s="144">
        <f t="shared" ref="CL528" si="5679">MIN((Flag_First_Operations*$E$523+(Flag_First_Operations&lt;&gt;1)*(CK528+$E$526))*Flag_Operations,$E$522)</f>
        <v>0.65</v>
      </c>
      <c r="CM528" s="144">
        <f t="shared" ref="CM528" si="5680">MIN((Flag_First_Operations*$E$523+(Flag_First_Operations&lt;&gt;1)*(CL528+$E$526))*Flag_Operations,$E$522)</f>
        <v>0.65</v>
      </c>
      <c r="CN528" s="144">
        <f t="shared" ref="CN528" si="5681">MIN((Flag_First_Operations*$E$523+(Flag_First_Operations&lt;&gt;1)*(CM528+$E$526))*Flag_Operations,$E$522)</f>
        <v>0.65</v>
      </c>
      <c r="CO528" s="144">
        <f t="shared" ref="CO528" si="5682">MIN((Flag_First_Operations*$E$523+(Flag_First_Operations&lt;&gt;1)*(CN528+$E$526))*Flag_Operations,$E$522)</f>
        <v>0.65</v>
      </c>
    </row>
    <row r="529" spans="1:94">
      <c r="A529" s="233"/>
      <c r="B529" s="101"/>
      <c r="C529" s="17" t="s">
        <v>1176</v>
      </c>
      <c r="D529" s="69"/>
      <c r="E529" s="62"/>
      <c r="F529" s="70"/>
      <c r="G529" s="11" t="s">
        <v>28</v>
      </c>
      <c r="H529" s="69"/>
      <c r="I529" s="69"/>
      <c r="J529" s="69"/>
      <c r="K529" s="69"/>
      <c r="L529" s="144">
        <f>SUMIF(Предпосылки!$L$388:$O$388,MONTH(End_of_period)/3,Предпосылки!$L$389:$O$389)*Periods_in_Year/Предпосылки!$H$389*Flag_Operations</f>
        <v>0</v>
      </c>
      <c r="M529" s="144">
        <f>SUMIF(Предпосылки!$L$388:$O$388,MONTH(End_of_period)/3,Предпосылки!$L$389:$O$389)*Periods_in_Year/Предпосылки!$H$389*Flag_Operations</f>
        <v>0</v>
      </c>
      <c r="N529" s="144">
        <f>SUMIF(Предпосылки!$L$388:$O$388,MONTH(End_of_period)/3,Предпосылки!$L$389:$O$389)*Periods_in_Year/Предпосылки!$H$389*Flag_Operations</f>
        <v>0</v>
      </c>
      <c r="O529" s="144">
        <f>SUMIF(Предпосылки!$L$388:$O$388,MONTH(End_of_period)/3,Предпосылки!$L$389:$O$389)*Periods_in_Year/Предпосылки!$H$389*Flag_Operations</f>
        <v>0</v>
      </c>
      <c r="P529" s="144">
        <f>SUMIF(Предпосылки!$L$388:$O$388,MONTH(End_of_period)/3,Предпосылки!$L$389:$O$389)*Periods_in_Year/Предпосылки!$H$389*Flag_Operations</f>
        <v>0</v>
      </c>
      <c r="Q529" s="144">
        <f>SUMIF(Предпосылки!$L$388:$O$388,MONTH(End_of_period)/3,Предпосылки!$L$389:$O$389)*Periods_in_Year/Предпосылки!$H$389*Flag_Operations</f>
        <v>0</v>
      </c>
      <c r="R529" s="144">
        <f>SUMIF(Предпосылки!$L$388:$O$388,MONTH(End_of_period)/3,Предпосылки!$L$389:$O$389)*Periods_in_Year/Предпосылки!$H$389*Flag_Operations</f>
        <v>0</v>
      </c>
      <c r="S529" s="144">
        <f>SUMIF(Предпосылки!$L$388:$O$388,MONTH(End_of_period)/3,Предпосылки!$L$389:$O$389)*Periods_in_Year/Предпосылки!$H$389*Flag_Operations</f>
        <v>0</v>
      </c>
      <c r="T529" s="144">
        <f>SUMIF(Предпосылки!$L$388:$O$388,MONTH(End_of_period)/3,Предпосылки!$L$389:$O$389)*Periods_in_Year/Предпосылки!$H$389*Flag_Operations</f>
        <v>0</v>
      </c>
      <c r="U529" s="144">
        <f>SUMIF(Предпосылки!$L$388:$O$388,MONTH(End_of_period)/3,Предпосылки!$L$389:$O$389)*Periods_in_Year/Предпосылки!$H$389*Flag_Operations</f>
        <v>0</v>
      </c>
      <c r="V529" s="144">
        <f>SUMIF(Предпосылки!$L$388:$O$388,MONTH(End_of_period)/3,Предпосылки!$L$389:$O$389)*Periods_in_Year/Предпосылки!$H$389*Flag_Operations</f>
        <v>0</v>
      </c>
      <c r="W529" s="144">
        <f>SUMIF(Предпосылки!$L$388:$O$388,MONTH(End_of_period)/3,Предпосылки!$L$389:$O$389)*Periods_in_Year/Предпосылки!$H$389*Flag_Operations</f>
        <v>0</v>
      </c>
      <c r="X529" s="144">
        <f>SUMIF(Предпосылки!$L$388:$O$388,MONTH(End_of_period)/3,Предпосылки!$L$389:$O$389)*Periods_in_Year/Предпосылки!$H$389*Flag_Operations</f>
        <v>0</v>
      </c>
      <c r="Y529" s="144">
        <f>SUMIF(Предпосылки!$L$388:$O$388,MONTH(End_of_period)/3,Предпосылки!$L$389:$O$389)*Periods_in_Year/Предпосылки!$H$389*Flag_Operations</f>
        <v>0</v>
      </c>
      <c r="Z529" s="144">
        <f>SUMIF(Предпосылки!$L$388:$O$388,MONTH(End_of_period)/3,Предпосылки!$L$389:$O$389)*Periods_in_Year/Предпосылки!$H$389*Flag_Operations</f>
        <v>0</v>
      </c>
      <c r="AA529" s="144">
        <f>SUMIF(Предпосылки!$L$388:$O$388,MONTH(End_of_period)/3,Предпосылки!$L$389:$O$389)*Periods_in_Year/Предпосылки!$H$389*Flag_Operations</f>
        <v>0</v>
      </c>
      <c r="AB529" s="144">
        <f>SUMIF(Предпосылки!$L$388:$O$388,MONTH(End_of_period)/3,Предпосылки!$L$389:$O$389)*Periods_in_Year/Предпосылки!$H$389*Flag_Operations</f>
        <v>0</v>
      </c>
      <c r="AC529" s="144">
        <f>SUMIF(Предпосылки!$L$388:$O$388,MONTH(End_of_period)/3,Предпосылки!$L$389:$O$389)*Periods_in_Year/Предпосылки!$H$389*Flag_Operations</f>
        <v>1.1130742049469964</v>
      </c>
      <c r="AD529" s="144">
        <f>SUMIF(Предпосылки!$L$388:$O$388,MONTH(End_of_period)/3,Предпосылки!$L$389:$O$389)*Periods_in_Year/Предпосылки!$H$389*Flag_Operations</f>
        <v>1.3679959616355375</v>
      </c>
      <c r="AE529" s="144">
        <f>SUMIF(Предпосылки!$L$388:$O$388,MONTH(End_of_period)/3,Предпосылки!$L$389:$O$389)*Periods_in_Year/Предпосылки!$H$389*Flag_Operations</f>
        <v>0.77486118122160519</v>
      </c>
      <c r="AF529" s="144">
        <f>SUMIF(Предпосылки!$L$388:$O$388,MONTH(End_of_period)/3,Предпосылки!$L$389:$O$389)*Periods_in_Year/Предпосылки!$H$389*Flag_Operations</f>
        <v>0.74406865219586071</v>
      </c>
      <c r="AG529" s="144">
        <f>SUMIF(Предпосылки!$L$388:$O$388,MONTH(End_of_period)/3,Предпосылки!$L$389:$O$389)*Periods_in_Year/Предпосылки!$H$389*Flag_Operations</f>
        <v>1.1130742049469964</v>
      </c>
      <c r="AH529" s="144">
        <f>SUMIF(Предпосылки!$L$388:$O$388,MONTH(End_of_period)/3,Предпосылки!$L$389:$O$389)*Periods_in_Year/Предпосылки!$H$389*Flag_Operations</f>
        <v>1.3679959616355375</v>
      </c>
      <c r="AI529" s="144">
        <f>SUMIF(Предпосылки!$L$388:$O$388,MONTH(End_of_period)/3,Предпосылки!$L$389:$O$389)*Periods_in_Year/Предпосылки!$H$389*Flag_Operations</f>
        <v>0.77486118122160519</v>
      </c>
      <c r="AJ529" s="144">
        <f>SUMIF(Предпосылки!$L$388:$O$388,MONTH(End_of_period)/3,Предпосылки!$L$389:$O$389)*Periods_in_Year/Предпосылки!$H$389*Flag_Operations</f>
        <v>0.74406865219586071</v>
      </c>
      <c r="AK529" s="144">
        <f>SUMIF(Предпосылки!$L$388:$O$388,MONTH(End_of_period)/3,Предпосылки!$L$389:$O$389)*Periods_in_Year/Предпосылки!$H$389*Flag_Operations</f>
        <v>1.1130742049469964</v>
      </c>
      <c r="AL529" s="144">
        <f>SUMIF(Предпосылки!$L$388:$O$388,MONTH(End_of_period)/3,Предпосылки!$L$389:$O$389)*Periods_in_Year/Предпосылки!$H$389*Flag_Operations</f>
        <v>1.3679959616355375</v>
      </c>
      <c r="AM529" s="144">
        <f>SUMIF(Предпосылки!$L$388:$O$388,MONTH(End_of_period)/3,Предпосылки!$L$389:$O$389)*Periods_in_Year/Предпосылки!$H$389*Flag_Operations</f>
        <v>0.77486118122160519</v>
      </c>
      <c r="AN529" s="144">
        <f>SUMIF(Предпосылки!$L$388:$O$388,MONTH(End_of_period)/3,Предпосылки!$L$389:$O$389)*Periods_in_Year/Предпосылки!$H$389*Flag_Operations</f>
        <v>0.74406865219586071</v>
      </c>
      <c r="AO529" s="144">
        <f>SUMIF(Предпосылки!$L$388:$O$388,MONTH(End_of_period)/3,Предпосылки!$L$389:$O$389)*Periods_in_Year/Предпосылки!$H$389*Flag_Operations</f>
        <v>1.1130742049469964</v>
      </c>
      <c r="AP529" s="144">
        <f>SUMIF(Предпосылки!$L$388:$O$388,MONTH(End_of_period)/3,Предпосылки!$L$389:$O$389)*Periods_in_Year/Предпосылки!$H$389*Flag_Operations</f>
        <v>1.3679959616355375</v>
      </c>
      <c r="AQ529" s="144">
        <f>SUMIF(Предпосылки!$L$388:$O$388,MONTH(End_of_period)/3,Предпосылки!$L$389:$O$389)*Periods_in_Year/Предпосылки!$H$389*Flag_Operations</f>
        <v>0.77486118122160519</v>
      </c>
      <c r="AR529" s="144">
        <f>SUMIF(Предпосылки!$L$388:$O$388,MONTH(End_of_period)/3,Предпосылки!$L$389:$O$389)*Periods_in_Year/Предпосылки!$H$389*Flag_Operations</f>
        <v>0.74406865219586071</v>
      </c>
      <c r="AS529" s="144">
        <f>SUMIF(Предпосылки!$L$388:$O$388,MONTH(End_of_period)/3,Предпосылки!$L$389:$O$389)*Periods_in_Year/Предпосылки!$H$389*Flag_Operations</f>
        <v>1.1130742049469964</v>
      </c>
      <c r="AT529" s="144">
        <f>SUMIF(Предпосылки!$L$388:$O$388,MONTH(End_of_period)/3,Предпосылки!$L$389:$O$389)*Periods_in_Year/Предпосылки!$H$389*Flag_Operations</f>
        <v>1.3679959616355375</v>
      </c>
      <c r="AU529" s="144">
        <f>SUMIF(Предпосылки!$L$388:$O$388,MONTH(End_of_period)/3,Предпосылки!$L$389:$O$389)*Periods_in_Year/Предпосылки!$H$389*Flag_Operations</f>
        <v>0.77486118122160519</v>
      </c>
      <c r="AV529" s="144">
        <f>SUMIF(Предпосылки!$L$388:$O$388,MONTH(End_of_period)/3,Предпосылки!$L$389:$O$389)*Periods_in_Year/Предпосылки!$H$389*Flag_Operations</f>
        <v>0.74406865219586071</v>
      </c>
      <c r="AW529" s="144">
        <f>SUMIF(Предпосылки!$L$388:$O$388,MONTH(End_of_period)/3,Предпосылки!$L$389:$O$389)*Periods_in_Year/Предпосылки!$H$389*Flag_Operations</f>
        <v>1.1130742049469964</v>
      </c>
      <c r="AX529" s="144">
        <f>SUMIF(Предпосылки!$L$388:$O$388,MONTH(End_of_period)/3,Предпосылки!$L$389:$O$389)*Periods_in_Year/Предпосылки!$H$389*Flag_Operations</f>
        <v>1.3679959616355375</v>
      </c>
      <c r="AY529" s="144">
        <f>SUMIF(Предпосылки!$L$388:$O$388,MONTH(End_of_period)/3,Предпосылки!$L$389:$O$389)*Periods_in_Year/Предпосылки!$H$389*Flag_Operations</f>
        <v>0.77486118122160519</v>
      </c>
      <c r="AZ529" s="144">
        <f>SUMIF(Предпосылки!$L$388:$O$388,MONTH(End_of_period)/3,Предпосылки!$L$389:$O$389)*Periods_in_Year/Предпосылки!$H$389*Flag_Operations</f>
        <v>0.74406865219586071</v>
      </c>
      <c r="BA529" s="144">
        <f>SUMIF(Предпосылки!$L$388:$O$388,MONTH(End_of_period)/3,Предпосылки!$L$389:$O$389)*Periods_in_Year/Предпосылки!$H$389*Flag_Operations</f>
        <v>1.1130742049469964</v>
      </c>
      <c r="BB529" s="144">
        <f>SUMIF(Предпосылки!$L$388:$O$388,MONTH(End_of_period)/3,Предпосылки!$L$389:$O$389)*Periods_in_Year/Предпосылки!$H$389*Flag_Operations</f>
        <v>1.3679959616355375</v>
      </c>
      <c r="BC529" s="144">
        <f>SUMIF(Предпосылки!$L$388:$O$388,MONTH(End_of_period)/3,Предпосылки!$L$389:$O$389)*Periods_in_Year/Предпосылки!$H$389*Flag_Operations</f>
        <v>0.77486118122160519</v>
      </c>
      <c r="BD529" s="144">
        <f>SUMIF(Предпосылки!$L$388:$O$388,MONTH(End_of_period)/3,Предпосылки!$L$389:$O$389)*Periods_in_Year/Предпосылки!$H$389*Flag_Operations</f>
        <v>0.74406865219586071</v>
      </c>
      <c r="BE529" s="144">
        <f>SUMIF(Предпосылки!$L$388:$O$388,MONTH(End_of_period)/3,Предпосылки!$L$389:$O$389)*Periods_in_Year/Предпосылки!$H$389*Flag_Operations</f>
        <v>1.1130742049469964</v>
      </c>
      <c r="BF529" s="144">
        <f>SUMIF(Предпосылки!$L$388:$O$388,MONTH(End_of_period)/3,Предпосылки!$L$389:$O$389)*Periods_in_Year/Предпосылки!$H$389*Flag_Operations</f>
        <v>1.3679959616355375</v>
      </c>
      <c r="BG529" s="144">
        <f>SUMIF(Предпосылки!$L$388:$O$388,MONTH(End_of_period)/3,Предпосылки!$L$389:$O$389)*Periods_in_Year/Предпосылки!$H$389*Flag_Operations</f>
        <v>0.77486118122160519</v>
      </c>
      <c r="BH529" s="144">
        <f>SUMIF(Предпосылки!$L$388:$O$388,MONTH(End_of_period)/3,Предпосылки!$L$389:$O$389)*Periods_in_Year/Предпосылки!$H$389*Flag_Operations</f>
        <v>0.74406865219586071</v>
      </c>
      <c r="BI529" s="144">
        <f>SUMIF(Предпосылки!$L$388:$O$388,MONTH(End_of_period)/3,Предпосылки!$L$389:$O$389)*Periods_in_Year/Предпосылки!$H$389*Flag_Operations</f>
        <v>1.1130742049469964</v>
      </c>
      <c r="BJ529" s="144">
        <f>SUMIF(Предпосылки!$L$388:$O$388,MONTH(End_of_period)/3,Предпосылки!$L$389:$O$389)*Periods_in_Year/Предпосылки!$H$389*Flag_Operations</f>
        <v>1.3679959616355375</v>
      </c>
      <c r="BK529" s="144">
        <f>SUMIF(Предпосылки!$L$388:$O$388,MONTH(End_of_period)/3,Предпосылки!$L$389:$O$389)*Periods_in_Year/Предпосылки!$H$389*Flag_Operations</f>
        <v>0.77486118122160519</v>
      </c>
      <c r="BL529" s="144">
        <f>SUMIF(Предпосылки!$L$388:$O$388,MONTH(End_of_period)/3,Предпосылки!$L$389:$O$389)*Periods_in_Year/Предпосылки!$H$389*Flag_Operations</f>
        <v>0.74406865219586071</v>
      </c>
      <c r="BM529" s="144">
        <f>SUMIF(Предпосылки!$L$388:$O$388,MONTH(End_of_period)/3,Предпосылки!$L$389:$O$389)*Periods_in_Year/Предпосылки!$H$389*Flag_Operations</f>
        <v>1.1130742049469964</v>
      </c>
      <c r="BN529" s="144">
        <f>SUMIF(Предпосылки!$L$388:$O$388,MONTH(End_of_period)/3,Предпосылки!$L$389:$O$389)*Periods_in_Year/Предпосылки!$H$389*Flag_Operations</f>
        <v>1.3679959616355375</v>
      </c>
      <c r="BO529" s="144">
        <f>SUMIF(Предпосылки!$L$388:$O$388,MONTH(End_of_period)/3,Предпосылки!$L$389:$O$389)*Periods_in_Year/Предпосылки!$H$389*Flag_Operations</f>
        <v>0.77486118122160519</v>
      </c>
      <c r="BP529" s="144">
        <f>SUMIF(Предпосылки!$L$388:$O$388,MONTH(End_of_period)/3,Предпосылки!$L$389:$O$389)*Periods_in_Year/Предпосылки!$H$389*Flag_Operations</f>
        <v>0.74406865219586071</v>
      </c>
      <c r="BQ529" s="144">
        <f>SUMIF(Предпосылки!$L$388:$O$388,MONTH(End_of_period)/3,Предпосылки!$L$389:$O$389)*Periods_in_Year/Предпосылки!$H$389*Flag_Operations</f>
        <v>1.1130742049469964</v>
      </c>
      <c r="BR529" s="144">
        <f>SUMIF(Предпосылки!$L$388:$O$388,MONTH(End_of_period)/3,Предпосылки!$L$389:$O$389)*Periods_in_Year/Предпосылки!$H$389*Flag_Operations</f>
        <v>1.3679959616355375</v>
      </c>
      <c r="BS529" s="144">
        <f>SUMIF(Предпосылки!$L$388:$O$388,MONTH(End_of_period)/3,Предпосылки!$L$389:$O$389)*Periods_in_Year/Предпосылки!$H$389*Flag_Operations</f>
        <v>0.77486118122160519</v>
      </c>
      <c r="BT529" s="144">
        <f>SUMIF(Предпосылки!$L$388:$O$388,MONTH(End_of_period)/3,Предпосылки!$L$389:$O$389)*Periods_in_Year/Предпосылки!$H$389*Flag_Operations</f>
        <v>0.74406865219586071</v>
      </c>
      <c r="BU529" s="144">
        <f>SUMIF(Предпосылки!$L$388:$O$388,MONTH(End_of_period)/3,Предпосылки!$L$389:$O$389)*Periods_in_Year/Предпосылки!$H$389*Flag_Operations</f>
        <v>1.1130742049469964</v>
      </c>
      <c r="BV529" s="144">
        <f>SUMIF(Предпосылки!$L$388:$O$388,MONTH(End_of_period)/3,Предпосылки!$L$389:$O$389)*Periods_in_Year/Предпосылки!$H$389*Flag_Operations</f>
        <v>1.3679959616355375</v>
      </c>
      <c r="BW529" s="144">
        <f>SUMIF(Предпосылки!$L$388:$O$388,MONTH(End_of_period)/3,Предпосылки!$L$389:$O$389)*Periods_in_Year/Предпосылки!$H$389*Flag_Operations</f>
        <v>0.77486118122160519</v>
      </c>
      <c r="BX529" s="144">
        <f>SUMIF(Предпосылки!$L$388:$O$388,MONTH(End_of_period)/3,Предпосылки!$L$389:$O$389)*Periods_in_Year/Предпосылки!$H$389*Flag_Operations</f>
        <v>0.74406865219586071</v>
      </c>
      <c r="BY529" s="144">
        <f>SUMIF(Предпосылки!$L$388:$O$388,MONTH(End_of_period)/3,Предпосылки!$L$389:$O$389)*Periods_in_Year/Предпосылки!$H$389*Flag_Operations</f>
        <v>1.1130742049469964</v>
      </c>
      <c r="BZ529" s="144">
        <f>SUMIF(Предпосылки!$L$388:$O$388,MONTH(End_of_period)/3,Предпосылки!$L$389:$O$389)*Periods_in_Year/Предпосылки!$H$389*Flag_Operations</f>
        <v>1.3679959616355375</v>
      </c>
      <c r="CA529" s="144">
        <f>SUMIF(Предпосылки!$L$388:$O$388,MONTH(End_of_period)/3,Предпосылки!$L$389:$O$389)*Periods_in_Year/Предпосылки!$H$389*Flag_Operations</f>
        <v>0.77486118122160519</v>
      </c>
      <c r="CB529" s="144">
        <f>SUMIF(Предпосылки!$L$388:$O$388,MONTH(End_of_period)/3,Предпосылки!$L$389:$O$389)*Periods_in_Year/Предпосылки!$H$389*Flag_Operations</f>
        <v>0.74406865219586071</v>
      </c>
      <c r="CC529" s="144">
        <f>SUMIF(Предпосылки!$L$388:$O$388,MONTH(End_of_period)/3,Предпосылки!$L$389:$O$389)*Periods_in_Year/Предпосылки!$H$389*Flag_Operations</f>
        <v>1.1130742049469964</v>
      </c>
      <c r="CD529" s="144">
        <f>SUMIF(Предпосылки!$L$388:$O$388,MONTH(End_of_period)/3,Предпосылки!$L$389:$O$389)*Periods_in_Year/Предпосылки!$H$389*Flag_Operations</f>
        <v>1.3679959616355375</v>
      </c>
      <c r="CE529" s="144">
        <f>SUMIF(Предпосылки!$L$388:$O$388,MONTH(End_of_period)/3,Предпосылки!$L$389:$O$389)*Periods_in_Year/Предпосылки!$H$389*Flag_Operations</f>
        <v>0.77486118122160519</v>
      </c>
      <c r="CF529" s="144">
        <f>SUMIF(Предпосылки!$L$388:$O$388,MONTH(End_of_period)/3,Предпосылки!$L$389:$O$389)*Periods_in_Year/Предпосылки!$H$389*Flag_Operations</f>
        <v>0.74406865219586071</v>
      </c>
      <c r="CG529" s="144">
        <f>SUMIF(Предпосылки!$L$388:$O$388,MONTH(End_of_period)/3,Предпосылки!$L$389:$O$389)*Periods_in_Year/Предпосылки!$H$389*Flag_Operations</f>
        <v>1.1130742049469964</v>
      </c>
      <c r="CH529" s="144">
        <f>SUMIF(Предпосылки!$L$388:$O$388,MONTH(End_of_period)/3,Предпосылки!$L$389:$O$389)*Periods_in_Year/Предпосылки!$H$389*Flag_Operations</f>
        <v>1.3679959616355375</v>
      </c>
      <c r="CI529" s="144">
        <f>SUMIF(Предпосылки!$L$388:$O$388,MONTH(End_of_period)/3,Предпосылки!$L$389:$O$389)*Periods_in_Year/Предпосылки!$H$389*Flag_Operations</f>
        <v>0.77486118122160519</v>
      </c>
      <c r="CJ529" s="144">
        <f>SUMIF(Предпосылки!$L$388:$O$388,MONTH(End_of_period)/3,Предпосылки!$L$389:$O$389)*Periods_in_Year/Предпосылки!$H$389*Flag_Operations</f>
        <v>0.74406865219586071</v>
      </c>
      <c r="CK529" s="144">
        <f>SUMIF(Предпосылки!$L$388:$O$388,MONTH(End_of_period)/3,Предпосылки!$L$389:$O$389)*Periods_in_Year/Предпосылки!$H$389*Flag_Operations</f>
        <v>1.1130742049469964</v>
      </c>
      <c r="CL529" s="144">
        <f>SUMIF(Предпосылки!$L$388:$O$388,MONTH(End_of_period)/3,Предпосылки!$L$389:$O$389)*Periods_in_Year/Предпосылки!$H$389*Flag_Operations</f>
        <v>1.3679959616355375</v>
      </c>
      <c r="CM529" s="144">
        <f>SUMIF(Предпосылки!$L$388:$O$388,MONTH(End_of_period)/3,Предпосылки!$L$389:$O$389)*Periods_in_Year/Предпосылки!$H$389*Flag_Operations</f>
        <v>0.77486118122160519</v>
      </c>
      <c r="CN529" s="144">
        <f>SUMIF(Предпосылки!$L$388:$O$388,MONTH(End_of_period)/3,Предпосылки!$L$389:$O$389)*Periods_in_Year/Предпосылки!$H$389*Flag_Operations</f>
        <v>0.74406865219586071</v>
      </c>
      <c r="CO529" s="144">
        <f>SUMIF(Предпосылки!$L$388:$O$388,MONTH(End_of_period)/3,Предпосылки!$L$389:$O$389)*Periods_in_Year/Предпосылки!$H$389*Flag_Operations</f>
        <v>1.1130742049469964</v>
      </c>
      <c r="CP529" s="144"/>
    </row>
    <row r="530" spans="1:94">
      <c r="A530" s="233"/>
      <c r="B530" s="101"/>
      <c r="C530" s="17" t="s">
        <v>664</v>
      </c>
      <c r="D530" s="69"/>
      <c r="E530" s="184">
        <f xml:space="preserve"> Предпосылки!E111</f>
        <v>200</v>
      </c>
      <c r="F530" s="70"/>
      <c r="G530" s="11" t="s">
        <v>643</v>
      </c>
      <c r="H530" s="69"/>
      <c r="I530" s="69"/>
      <c r="J530" s="69"/>
      <c r="K530" s="69"/>
      <c r="L530" s="10">
        <f t="shared" ref="L530:BW530" si="5683" xml:space="preserve"> $E$530 * (Flag_Operations)</f>
        <v>0</v>
      </c>
      <c r="M530" s="10">
        <f t="shared" si="5683"/>
        <v>0</v>
      </c>
      <c r="N530" s="10">
        <f t="shared" si="5683"/>
        <v>0</v>
      </c>
      <c r="O530" s="10">
        <f t="shared" si="5683"/>
        <v>0</v>
      </c>
      <c r="P530" s="10">
        <f t="shared" si="5683"/>
        <v>0</v>
      </c>
      <c r="Q530" s="10">
        <f t="shared" si="5683"/>
        <v>0</v>
      </c>
      <c r="R530" s="10">
        <f t="shared" si="5683"/>
        <v>0</v>
      </c>
      <c r="S530" s="10">
        <f t="shared" si="5683"/>
        <v>0</v>
      </c>
      <c r="T530" s="10">
        <f t="shared" si="5683"/>
        <v>0</v>
      </c>
      <c r="U530" s="10">
        <f t="shared" si="5683"/>
        <v>0</v>
      </c>
      <c r="V530" s="10">
        <f t="shared" si="5683"/>
        <v>0</v>
      </c>
      <c r="W530" s="10">
        <f t="shared" si="5683"/>
        <v>0</v>
      </c>
      <c r="X530" s="10">
        <f t="shared" si="5683"/>
        <v>0</v>
      </c>
      <c r="Y530" s="10">
        <f t="shared" si="5683"/>
        <v>0</v>
      </c>
      <c r="Z530" s="10">
        <f t="shared" si="5683"/>
        <v>0</v>
      </c>
      <c r="AA530" s="10">
        <f t="shared" si="5683"/>
        <v>0</v>
      </c>
      <c r="AB530" s="10">
        <f t="shared" si="5683"/>
        <v>0</v>
      </c>
      <c r="AC530" s="10">
        <f t="shared" si="5683"/>
        <v>200</v>
      </c>
      <c r="AD530" s="10">
        <f t="shared" si="5683"/>
        <v>200</v>
      </c>
      <c r="AE530" s="10">
        <f t="shared" si="5683"/>
        <v>200</v>
      </c>
      <c r="AF530" s="10">
        <f t="shared" si="5683"/>
        <v>200</v>
      </c>
      <c r="AG530" s="10">
        <f t="shared" si="5683"/>
        <v>200</v>
      </c>
      <c r="AH530" s="10">
        <f t="shared" si="5683"/>
        <v>200</v>
      </c>
      <c r="AI530" s="10">
        <f t="shared" si="5683"/>
        <v>200</v>
      </c>
      <c r="AJ530" s="10">
        <f t="shared" si="5683"/>
        <v>200</v>
      </c>
      <c r="AK530" s="10">
        <f t="shared" si="5683"/>
        <v>200</v>
      </c>
      <c r="AL530" s="10">
        <f t="shared" si="5683"/>
        <v>200</v>
      </c>
      <c r="AM530" s="10">
        <f t="shared" si="5683"/>
        <v>200</v>
      </c>
      <c r="AN530" s="10">
        <f t="shared" si="5683"/>
        <v>200</v>
      </c>
      <c r="AO530" s="10">
        <f t="shared" si="5683"/>
        <v>200</v>
      </c>
      <c r="AP530" s="10">
        <f t="shared" si="5683"/>
        <v>200</v>
      </c>
      <c r="AQ530" s="10">
        <f t="shared" si="5683"/>
        <v>200</v>
      </c>
      <c r="AR530" s="10">
        <f t="shared" si="5683"/>
        <v>200</v>
      </c>
      <c r="AS530" s="10">
        <f t="shared" si="5683"/>
        <v>200</v>
      </c>
      <c r="AT530" s="10">
        <f t="shared" si="5683"/>
        <v>200</v>
      </c>
      <c r="AU530" s="10">
        <f t="shared" si="5683"/>
        <v>200</v>
      </c>
      <c r="AV530" s="10">
        <f t="shared" si="5683"/>
        <v>200</v>
      </c>
      <c r="AW530" s="10">
        <f t="shared" si="5683"/>
        <v>200</v>
      </c>
      <c r="AX530" s="10">
        <f t="shared" si="5683"/>
        <v>200</v>
      </c>
      <c r="AY530" s="10">
        <f t="shared" si="5683"/>
        <v>200</v>
      </c>
      <c r="AZ530" s="10">
        <f t="shared" si="5683"/>
        <v>200</v>
      </c>
      <c r="BA530" s="10">
        <f t="shared" si="5683"/>
        <v>200</v>
      </c>
      <c r="BB530" s="10">
        <f t="shared" si="5683"/>
        <v>200</v>
      </c>
      <c r="BC530" s="10">
        <f t="shared" si="5683"/>
        <v>200</v>
      </c>
      <c r="BD530" s="10">
        <f t="shared" si="5683"/>
        <v>200</v>
      </c>
      <c r="BE530" s="10">
        <f t="shared" si="5683"/>
        <v>200</v>
      </c>
      <c r="BF530" s="10">
        <f t="shared" si="5683"/>
        <v>200</v>
      </c>
      <c r="BG530" s="10">
        <f t="shared" si="5683"/>
        <v>200</v>
      </c>
      <c r="BH530" s="10">
        <f t="shared" si="5683"/>
        <v>200</v>
      </c>
      <c r="BI530" s="10">
        <f t="shared" si="5683"/>
        <v>200</v>
      </c>
      <c r="BJ530" s="10">
        <f t="shared" si="5683"/>
        <v>200</v>
      </c>
      <c r="BK530" s="10">
        <f t="shared" si="5683"/>
        <v>200</v>
      </c>
      <c r="BL530" s="10">
        <f t="shared" si="5683"/>
        <v>200</v>
      </c>
      <c r="BM530" s="10">
        <f t="shared" si="5683"/>
        <v>200</v>
      </c>
      <c r="BN530" s="10">
        <f t="shared" si="5683"/>
        <v>200</v>
      </c>
      <c r="BO530" s="10">
        <f t="shared" si="5683"/>
        <v>200</v>
      </c>
      <c r="BP530" s="10">
        <f t="shared" si="5683"/>
        <v>200</v>
      </c>
      <c r="BQ530" s="10">
        <f t="shared" si="5683"/>
        <v>200</v>
      </c>
      <c r="BR530" s="10">
        <f t="shared" si="5683"/>
        <v>200</v>
      </c>
      <c r="BS530" s="10">
        <f t="shared" si="5683"/>
        <v>200</v>
      </c>
      <c r="BT530" s="10">
        <f t="shared" si="5683"/>
        <v>200</v>
      </c>
      <c r="BU530" s="10">
        <f t="shared" si="5683"/>
        <v>200</v>
      </c>
      <c r="BV530" s="10">
        <f t="shared" si="5683"/>
        <v>200</v>
      </c>
      <c r="BW530" s="10">
        <f t="shared" si="5683"/>
        <v>200</v>
      </c>
      <c r="BX530" s="10">
        <f t="shared" ref="BX530:CO530" si="5684" xml:space="preserve"> $E$530 * (Flag_Operations)</f>
        <v>200</v>
      </c>
      <c r="BY530" s="10">
        <f t="shared" si="5684"/>
        <v>200</v>
      </c>
      <c r="BZ530" s="10">
        <f t="shared" si="5684"/>
        <v>200</v>
      </c>
      <c r="CA530" s="10">
        <f t="shared" si="5684"/>
        <v>200</v>
      </c>
      <c r="CB530" s="10">
        <f t="shared" si="5684"/>
        <v>200</v>
      </c>
      <c r="CC530" s="10">
        <f t="shared" si="5684"/>
        <v>200</v>
      </c>
      <c r="CD530" s="10">
        <f t="shared" si="5684"/>
        <v>200</v>
      </c>
      <c r="CE530" s="10">
        <f t="shared" si="5684"/>
        <v>200</v>
      </c>
      <c r="CF530" s="10">
        <f t="shared" si="5684"/>
        <v>200</v>
      </c>
      <c r="CG530" s="10">
        <f t="shared" si="5684"/>
        <v>200</v>
      </c>
      <c r="CH530" s="10">
        <f t="shared" si="5684"/>
        <v>200</v>
      </c>
      <c r="CI530" s="10">
        <f t="shared" si="5684"/>
        <v>200</v>
      </c>
      <c r="CJ530" s="10">
        <f t="shared" si="5684"/>
        <v>200</v>
      </c>
      <c r="CK530" s="10">
        <f t="shared" si="5684"/>
        <v>200</v>
      </c>
      <c r="CL530" s="10">
        <f t="shared" si="5684"/>
        <v>200</v>
      </c>
      <c r="CM530" s="10">
        <f t="shared" si="5684"/>
        <v>200</v>
      </c>
      <c r="CN530" s="10">
        <f t="shared" si="5684"/>
        <v>200</v>
      </c>
      <c r="CO530" s="10">
        <f t="shared" si="5684"/>
        <v>200</v>
      </c>
    </row>
    <row r="531" spans="1:94">
      <c r="A531" s="233"/>
      <c r="B531" s="101"/>
      <c r="C531" s="21" t="s">
        <v>776</v>
      </c>
      <c r="D531" s="69"/>
      <c r="E531" s="184">
        <f xml:space="preserve"> Предпосылки!E112</f>
        <v>128</v>
      </c>
      <c r="F531" s="70"/>
      <c r="G531" s="11" t="s">
        <v>643</v>
      </c>
      <c r="H531" s="69"/>
      <c r="I531" s="69"/>
      <c r="J531" s="69"/>
      <c r="K531" s="69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  <c r="CD531" s="10"/>
      <c r="CE531" s="10"/>
      <c r="CF531" s="10"/>
      <c r="CG531" s="10"/>
      <c r="CH531" s="10"/>
      <c r="CI531" s="10"/>
      <c r="CJ531" s="10"/>
      <c r="CK531" s="10"/>
      <c r="CL531" s="10"/>
      <c r="CM531" s="10"/>
      <c r="CN531" s="10"/>
      <c r="CO531" s="10"/>
    </row>
    <row r="532" spans="1:94">
      <c r="A532" s="233"/>
      <c r="B532" s="101"/>
      <c r="C532" s="21" t="s">
        <v>1257</v>
      </c>
      <c r="D532" s="69"/>
      <c r="E532" s="184">
        <f xml:space="preserve"> Предпосылки!E113</f>
        <v>55</v>
      </c>
      <c r="F532" s="70"/>
      <c r="G532" s="11" t="s">
        <v>643</v>
      </c>
      <c r="H532" s="69"/>
      <c r="I532" s="69"/>
      <c r="J532" s="69"/>
      <c r="K532" s="69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  <c r="CD532" s="10"/>
      <c r="CE532" s="10"/>
      <c r="CF532" s="10"/>
      <c r="CG532" s="10"/>
      <c r="CH532" s="10"/>
      <c r="CI532" s="10"/>
      <c r="CJ532" s="10"/>
      <c r="CK532" s="10"/>
      <c r="CL532" s="10"/>
      <c r="CM532" s="10"/>
      <c r="CN532" s="10"/>
      <c r="CO532" s="10"/>
    </row>
    <row r="533" spans="1:94">
      <c r="A533" s="233"/>
      <c r="B533" s="101"/>
      <c r="C533" s="21" t="s">
        <v>1258</v>
      </c>
      <c r="D533" s="69"/>
      <c r="E533" s="184">
        <f xml:space="preserve"> Предпосылки!E114</f>
        <v>10</v>
      </c>
      <c r="F533" s="70"/>
      <c r="G533" s="11" t="s">
        <v>643</v>
      </c>
      <c r="H533" s="69"/>
      <c r="I533" s="69"/>
      <c r="J533" s="69"/>
      <c r="K533" s="69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  <c r="BL533" s="10"/>
      <c r="BM533" s="10"/>
      <c r="BN533" s="10"/>
      <c r="BO533" s="10"/>
      <c r="BP533" s="10"/>
      <c r="BQ533" s="10"/>
      <c r="BR533" s="10"/>
      <c r="BS533" s="10"/>
      <c r="BT533" s="10"/>
      <c r="BU533" s="10"/>
      <c r="BV533" s="10"/>
      <c r="BW533" s="10"/>
      <c r="BX533" s="10"/>
      <c r="BY533" s="10"/>
      <c r="BZ533" s="10"/>
      <c r="CA533" s="10"/>
      <c r="CB533" s="10"/>
      <c r="CC533" s="10"/>
      <c r="CD533" s="10"/>
      <c r="CE533" s="10"/>
      <c r="CF533" s="10"/>
      <c r="CG533" s="10"/>
      <c r="CH533" s="10"/>
      <c r="CI533" s="10"/>
      <c r="CJ533" s="10"/>
      <c r="CK533" s="10"/>
      <c r="CL533" s="10"/>
      <c r="CM533" s="10"/>
      <c r="CN533" s="10"/>
      <c r="CO533" s="10"/>
    </row>
    <row r="534" spans="1:94">
      <c r="A534" s="233"/>
      <c r="B534" s="101"/>
      <c r="C534" s="21" t="s">
        <v>1266</v>
      </c>
      <c r="D534" s="69"/>
      <c r="E534" s="184">
        <f xml:space="preserve"> Предпосылки!E115</f>
        <v>2</v>
      </c>
      <c r="F534" s="70"/>
      <c r="G534" s="11" t="s">
        <v>643</v>
      </c>
      <c r="H534" s="69"/>
      <c r="I534" s="69"/>
      <c r="J534" s="69"/>
      <c r="K534" s="69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</row>
    <row r="535" spans="1:94">
      <c r="A535" s="233"/>
      <c r="B535" s="101"/>
      <c r="C535" s="21" t="s">
        <v>1245</v>
      </c>
      <c r="D535" s="69"/>
      <c r="E535" s="184">
        <f xml:space="preserve"> Предпосылки!E116</f>
        <v>5</v>
      </c>
      <c r="F535" s="70"/>
      <c r="G535" s="11" t="s">
        <v>643</v>
      </c>
      <c r="H535" s="69"/>
      <c r="I535" s="69"/>
      <c r="J535" s="69"/>
      <c r="K535" s="69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  <c r="CD535" s="10"/>
      <c r="CE535" s="10"/>
      <c r="CF535" s="10"/>
      <c r="CG535" s="10"/>
      <c r="CH535" s="10"/>
      <c r="CI535" s="10"/>
      <c r="CJ535" s="10"/>
      <c r="CK535" s="10"/>
      <c r="CL535" s="10"/>
      <c r="CM535" s="10"/>
      <c r="CN535" s="10"/>
      <c r="CO535" s="10"/>
    </row>
    <row r="536" spans="1:94">
      <c r="A536" s="233"/>
      <c r="B536" s="101"/>
      <c r="C536" s="21" t="s">
        <v>1357</v>
      </c>
      <c r="D536" s="69"/>
      <c r="E536" s="184">
        <f xml:space="preserve"> Предпосылки!E117</f>
        <v>0</v>
      </c>
      <c r="F536" s="70"/>
      <c r="G536" s="11" t="s">
        <v>643</v>
      </c>
      <c r="H536" s="69"/>
      <c r="I536" s="69"/>
      <c r="J536" s="69"/>
      <c r="K536" s="69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  <c r="CD536" s="10"/>
      <c r="CE536" s="10"/>
      <c r="CF536" s="10"/>
      <c r="CG536" s="10"/>
      <c r="CH536" s="10"/>
      <c r="CI536" s="10"/>
      <c r="CJ536" s="10"/>
      <c r="CK536" s="10"/>
      <c r="CL536" s="10"/>
      <c r="CM536" s="10"/>
      <c r="CN536" s="10"/>
      <c r="CO536" s="10"/>
    </row>
    <row r="537" spans="1:94">
      <c r="A537" s="233"/>
      <c r="B537" s="101"/>
      <c r="C537" s="21" t="s">
        <v>1267</v>
      </c>
      <c r="D537" s="69"/>
      <c r="E537" s="184">
        <f xml:space="preserve"> Предпосылки!E118</f>
        <v>0</v>
      </c>
      <c r="F537" s="70"/>
      <c r="G537" s="11" t="s">
        <v>643</v>
      </c>
      <c r="H537" s="69"/>
      <c r="I537" s="69"/>
      <c r="J537" s="69"/>
      <c r="K537" s="69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</row>
    <row r="538" spans="1:94">
      <c r="A538" s="233"/>
      <c r="B538" s="101"/>
      <c r="C538" s="21" t="s">
        <v>1268</v>
      </c>
      <c r="D538" s="69"/>
      <c r="E538" s="184">
        <f xml:space="preserve"> Предпосылки!E119</f>
        <v>0</v>
      </c>
      <c r="F538" s="70"/>
      <c r="G538" s="11" t="s">
        <v>643</v>
      </c>
      <c r="H538" s="69"/>
      <c r="I538" s="69"/>
      <c r="J538" s="69"/>
      <c r="K538" s="69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</row>
    <row r="539" spans="1:94">
      <c r="A539" s="233"/>
      <c r="B539" s="101"/>
      <c r="C539" s="21" t="s">
        <v>1347</v>
      </c>
      <c r="D539" s="69"/>
      <c r="E539" s="184">
        <f xml:space="preserve"> Предпосылки!E120</f>
        <v>0</v>
      </c>
      <c r="F539" s="70"/>
      <c r="G539" s="11" t="s">
        <v>643</v>
      </c>
      <c r="H539" s="69"/>
      <c r="I539" s="69"/>
      <c r="J539" s="69"/>
      <c r="K539" s="69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</row>
    <row r="540" spans="1:94">
      <c r="A540" s="233"/>
      <c r="B540" s="101"/>
      <c r="C540" s="17" t="s">
        <v>938</v>
      </c>
      <c r="D540" s="69"/>
      <c r="E540" s="62"/>
      <c r="F540" s="70"/>
      <c r="G540" s="11" t="s">
        <v>643</v>
      </c>
      <c r="H540" s="69"/>
      <c r="I540" s="69"/>
      <c r="J540" s="69"/>
      <c r="K540" s="69"/>
      <c r="L540" s="10">
        <f t="shared" ref="L540:R540" si="5685" xml:space="preserve"> L530 * Days_In_Period</f>
        <v>0</v>
      </c>
      <c r="M540" s="10">
        <f t="shared" si="5685"/>
        <v>0</v>
      </c>
      <c r="N540" s="10">
        <f t="shared" si="5685"/>
        <v>0</v>
      </c>
      <c r="O540" s="10">
        <f t="shared" si="5685"/>
        <v>0</v>
      </c>
      <c r="P540" s="10">
        <f t="shared" si="5685"/>
        <v>0</v>
      </c>
      <c r="Q540" s="10">
        <f t="shared" si="5685"/>
        <v>0</v>
      </c>
      <c r="R540" s="10">
        <f t="shared" si="5685"/>
        <v>0</v>
      </c>
      <c r="S540" s="10">
        <f t="shared" ref="S540" si="5686" xml:space="preserve"> S530 * Days_In_Period</f>
        <v>0</v>
      </c>
      <c r="T540" s="10">
        <f t="shared" ref="T540:CE540" si="5687" xml:space="preserve"> T530 * Days_In_Period</f>
        <v>0</v>
      </c>
      <c r="U540" s="10">
        <f t="shared" si="5687"/>
        <v>0</v>
      </c>
      <c r="V540" s="10">
        <f t="shared" si="5687"/>
        <v>0</v>
      </c>
      <c r="W540" s="10">
        <f t="shared" si="5687"/>
        <v>0</v>
      </c>
      <c r="X540" s="10">
        <f t="shared" si="5687"/>
        <v>0</v>
      </c>
      <c r="Y540" s="10">
        <f t="shared" si="5687"/>
        <v>0</v>
      </c>
      <c r="Z540" s="10">
        <f t="shared" si="5687"/>
        <v>0</v>
      </c>
      <c r="AA540" s="10">
        <f t="shared" si="5687"/>
        <v>0</v>
      </c>
      <c r="AB540" s="10">
        <f t="shared" si="5687"/>
        <v>0</v>
      </c>
      <c r="AC540" s="10">
        <f t="shared" si="5687"/>
        <v>18200</v>
      </c>
      <c r="AD540" s="10">
        <f t="shared" si="5687"/>
        <v>18400</v>
      </c>
      <c r="AE540" s="10">
        <f t="shared" si="5687"/>
        <v>18400</v>
      </c>
      <c r="AF540" s="10">
        <f t="shared" si="5687"/>
        <v>18000</v>
      </c>
      <c r="AG540" s="10">
        <f t="shared" si="5687"/>
        <v>18200</v>
      </c>
      <c r="AH540" s="10">
        <f t="shared" si="5687"/>
        <v>18400</v>
      </c>
      <c r="AI540" s="10">
        <f t="shared" si="5687"/>
        <v>18400</v>
      </c>
      <c r="AJ540" s="10">
        <f t="shared" si="5687"/>
        <v>18000</v>
      </c>
      <c r="AK540" s="10">
        <f t="shared" si="5687"/>
        <v>18200</v>
      </c>
      <c r="AL540" s="10">
        <f t="shared" si="5687"/>
        <v>18400</v>
      </c>
      <c r="AM540" s="10">
        <f t="shared" si="5687"/>
        <v>18400</v>
      </c>
      <c r="AN540" s="10">
        <f t="shared" si="5687"/>
        <v>18200</v>
      </c>
      <c r="AO540" s="10">
        <f t="shared" si="5687"/>
        <v>18200</v>
      </c>
      <c r="AP540" s="10">
        <f t="shared" si="5687"/>
        <v>18400</v>
      </c>
      <c r="AQ540" s="10">
        <f t="shared" si="5687"/>
        <v>18400</v>
      </c>
      <c r="AR540" s="10">
        <f t="shared" si="5687"/>
        <v>18000</v>
      </c>
      <c r="AS540" s="10">
        <f t="shared" si="5687"/>
        <v>18200</v>
      </c>
      <c r="AT540" s="10">
        <f t="shared" si="5687"/>
        <v>18400</v>
      </c>
      <c r="AU540" s="10">
        <f t="shared" si="5687"/>
        <v>18400</v>
      </c>
      <c r="AV540" s="10">
        <f t="shared" si="5687"/>
        <v>18000</v>
      </c>
      <c r="AW540" s="10">
        <f t="shared" si="5687"/>
        <v>18200</v>
      </c>
      <c r="AX540" s="10">
        <f t="shared" si="5687"/>
        <v>18400</v>
      </c>
      <c r="AY540" s="10">
        <f t="shared" si="5687"/>
        <v>18400</v>
      </c>
      <c r="AZ540" s="10">
        <f t="shared" si="5687"/>
        <v>18000</v>
      </c>
      <c r="BA540" s="10">
        <f t="shared" si="5687"/>
        <v>18200</v>
      </c>
      <c r="BB540" s="10">
        <f t="shared" si="5687"/>
        <v>18400</v>
      </c>
      <c r="BC540" s="10">
        <f t="shared" si="5687"/>
        <v>18400</v>
      </c>
      <c r="BD540" s="10">
        <f t="shared" si="5687"/>
        <v>18200</v>
      </c>
      <c r="BE540" s="10">
        <f t="shared" si="5687"/>
        <v>18200</v>
      </c>
      <c r="BF540" s="10">
        <f t="shared" si="5687"/>
        <v>18400</v>
      </c>
      <c r="BG540" s="10">
        <f t="shared" si="5687"/>
        <v>18400</v>
      </c>
      <c r="BH540" s="10">
        <f t="shared" si="5687"/>
        <v>18000</v>
      </c>
      <c r="BI540" s="10">
        <f t="shared" si="5687"/>
        <v>18200</v>
      </c>
      <c r="BJ540" s="10">
        <f t="shared" si="5687"/>
        <v>18400</v>
      </c>
      <c r="BK540" s="10">
        <f t="shared" si="5687"/>
        <v>18400</v>
      </c>
      <c r="BL540" s="10">
        <f t="shared" si="5687"/>
        <v>18000</v>
      </c>
      <c r="BM540" s="10">
        <f t="shared" si="5687"/>
        <v>18200</v>
      </c>
      <c r="BN540" s="10">
        <f t="shared" si="5687"/>
        <v>18400</v>
      </c>
      <c r="BO540" s="10">
        <f t="shared" si="5687"/>
        <v>18400</v>
      </c>
      <c r="BP540" s="10">
        <f t="shared" si="5687"/>
        <v>18000</v>
      </c>
      <c r="BQ540" s="10">
        <f t="shared" si="5687"/>
        <v>18200</v>
      </c>
      <c r="BR540" s="10">
        <f t="shared" si="5687"/>
        <v>18400</v>
      </c>
      <c r="BS540" s="10">
        <f t="shared" si="5687"/>
        <v>18400</v>
      </c>
      <c r="BT540" s="10">
        <f t="shared" si="5687"/>
        <v>18200</v>
      </c>
      <c r="BU540" s="10">
        <f t="shared" si="5687"/>
        <v>18200</v>
      </c>
      <c r="BV540" s="10">
        <f t="shared" si="5687"/>
        <v>18400</v>
      </c>
      <c r="BW540" s="10">
        <f t="shared" si="5687"/>
        <v>18400</v>
      </c>
      <c r="BX540" s="10">
        <f t="shared" si="5687"/>
        <v>18000</v>
      </c>
      <c r="BY540" s="10">
        <f t="shared" si="5687"/>
        <v>18200</v>
      </c>
      <c r="BZ540" s="10">
        <f t="shared" si="5687"/>
        <v>18400</v>
      </c>
      <c r="CA540" s="10">
        <f t="shared" si="5687"/>
        <v>18400</v>
      </c>
      <c r="CB540" s="10">
        <f t="shared" si="5687"/>
        <v>18000</v>
      </c>
      <c r="CC540" s="10">
        <f t="shared" si="5687"/>
        <v>18200</v>
      </c>
      <c r="CD540" s="10">
        <f t="shared" si="5687"/>
        <v>18400</v>
      </c>
      <c r="CE540" s="10">
        <f t="shared" si="5687"/>
        <v>18400</v>
      </c>
      <c r="CF540" s="10">
        <f t="shared" ref="CF540:CO540" si="5688" xml:space="preserve"> CF530 * Days_In_Period</f>
        <v>18000</v>
      </c>
      <c r="CG540" s="10">
        <f t="shared" si="5688"/>
        <v>18200</v>
      </c>
      <c r="CH540" s="10">
        <f t="shared" si="5688"/>
        <v>18400</v>
      </c>
      <c r="CI540" s="10">
        <f t="shared" si="5688"/>
        <v>18400</v>
      </c>
      <c r="CJ540" s="10">
        <f t="shared" si="5688"/>
        <v>18200</v>
      </c>
      <c r="CK540" s="10">
        <f t="shared" si="5688"/>
        <v>18200</v>
      </c>
      <c r="CL540" s="10">
        <f t="shared" si="5688"/>
        <v>18400</v>
      </c>
      <c r="CM540" s="10">
        <f t="shared" si="5688"/>
        <v>18400</v>
      </c>
      <c r="CN540" s="10">
        <f t="shared" si="5688"/>
        <v>18000</v>
      </c>
      <c r="CO540" s="10">
        <f t="shared" si="5688"/>
        <v>18200</v>
      </c>
    </row>
    <row r="541" spans="1:94">
      <c r="A541" s="233"/>
      <c r="B541" s="101"/>
      <c r="C541" s="169"/>
      <c r="D541" s="69"/>
      <c r="E541" s="62"/>
      <c r="F541" s="70"/>
      <c r="G541" s="11"/>
      <c r="H541" s="69"/>
      <c r="I541" s="69"/>
      <c r="J541" s="69"/>
      <c r="K541" s="69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  <c r="AA541" s="103"/>
      <c r="AB541" s="103"/>
      <c r="AC541" s="103"/>
      <c r="AD541" s="103"/>
      <c r="AE541" s="103"/>
      <c r="AF541" s="103"/>
      <c r="AG541" s="103"/>
      <c r="AH541" s="103"/>
      <c r="AI541" s="103"/>
      <c r="AJ541" s="103"/>
      <c r="AK541" s="103"/>
      <c r="AL541" s="103"/>
      <c r="AM541" s="103"/>
      <c r="AN541" s="103"/>
      <c r="AO541" s="103"/>
      <c r="AP541" s="103"/>
      <c r="AQ541" s="103"/>
      <c r="AR541" s="103"/>
      <c r="AS541" s="103"/>
      <c r="AT541" s="103"/>
      <c r="AU541" s="103"/>
      <c r="AV541" s="103"/>
      <c r="AW541" s="103"/>
      <c r="AX541" s="103"/>
      <c r="AY541" s="103"/>
      <c r="AZ541" s="103"/>
      <c r="BA541" s="103"/>
      <c r="BB541" s="103"/>
      <c r="BC541" s="103"/>
      <c r="BD541" s="103"/>
      <c r="BE541" s="103"/>
      <c r="BF541" s="103"/>
      <c r="BG541" s="103"/>
      <c r="BH541" s="103"/>
      <c r="BI541" s="103"/>
      <c r="BJ541" s="103"/>
      <c r="BK541" s="103"/>
      <c r="BL541" s="103"/>
      <c r="BM541" s="103"/>
      <c r="BN541" s="103"/>
      <c r="BO541" s="103"/>
      <c r="BP541" s="103"/>
      <c r="BQ541" s="103"/>
      <c r="BR541" s="103"/>
      <c r="BS541" s="103"/>
      <c r="BT541" s="103"/>
      <c r="BU541" s="103"/>
      <c r="BV541" s="103"/>
      <c r="BW541" s="103"/>
      <c r="BX541" s="103"/>
      <c r="BY541" s="103"/>
      <c r="BZ541" s="103"/>
      <c r="CA541" s="103"/>
      <c r="CB541" s="103"/>
      <c r="CC541" s="103"/>
      <c r="CD541" s="103"/>
      <c r="CE541" s="103"/>
      <c r="CF541" s="103"/>
      <c r="CG541" s="103"/>
      <c r="CH541" s="103"/>
      <c r="CI541" s="103"/>
      <c r="CJ541" s="103"/>
      <c r="CK541" s="103"/>
      <c r="CL541" s="103"/>
      <c r="CM541" s="103"/>
      <c r="CN541" s="103"/>
      <c r="CO541" s="103"/>
    </row>
    <row r="542" spans="1:94">
      <c r="A542" s="233"/>
      <c r="B542" s="101"/>
      <c r="C542" s="17" t="s">
        <v>659</v>
      </c>
      <c r="D542" s="69"/>
      <c r="E542" s="62"/>
      <c r="F542" s="70"/>
      <c r="G542" s="11" t="s">
        <v>643</v>
      </c>
      <c r="H542" s="69"/>
      <c r="I542" s="69"/>
      <c r="J542" s="69"/>
      <c r="K542" s="69"/>
      <c r="L542" s="10">
        <f xml:space="preserve"> L540 * L528 * L529</f>
        <v>0</v>
      </c>
      <c r="M542" s="10">
        <f t="shared" ref="M542:BX542" si="5689" xml:space="preserve"> M540 * M528 * M529</f>
        <v>0</v>
      </c>
      <c r="N542" s="10">
        <f t="shared" si="5689"/>
        <v>0</v>
      </c>
      <c r="O542" s="10">
        <f t="shared" si="5689"/>
        <v>0</v>
      </c>
      <c r="P542" s="10">
        <f t="shared" si="5689"/>
        <v>0</v>
      </c>
      <c r="Q542" s="10">
        <f t="shared" si="5689"/>
        <v>0</v>
      </c>
      <c r="R542" s="10">
        <f t="shared" si="5689"/>
        <v>0</v>
      </c>
      <c r="S542" s="10">
        <f t="shared" si="5689"/>
        <v>0</v>
      </c>
      <c r="T542" s="10">
        <f t="shared" si="5689"/>
        <v>0</v>
      </c>
      <c r="U542" s="10">
        <f t="shared" si="5689"/>
        <v>0</v>
      </c>
      <c r="V542" s="10">
        <f t="shared" si="5689"/>
        <v>0</v>
      </c>
      <c r="W542" s="10">
        <f t="shared" si="5689"/>
        <v>0</v>
      </c>
      <c r="X542" s="10">
        <f t="shared" si="5689"/>
        <v>0</v>
      </c>
      <c r="Y542" s="10">
        <f t="shared" si="5689"/>
        <v>0</v>
      </c>
      <c r="Z542" s="10">
        <f t="shared" si="5689"/>
        <v>0</v>
      </c>
      <c r="AA542" s="10">
        <f t="shared" si="5689"/>
        <v>0</v>
      </c>
      <c r="AB542" s="10">
        <f t="shared" si="5689"/>
        <v>0</v>
      </c>
      <c r="AC542" s="10">
        <f t="shared" si="5689"/>
        <v>9116.0777385158999</v>
      </c>
      <c r="AD542" s="10">
        <f t="shared" si="5689"/>
        <v>11746.52532391048</v>
      </c>
      <c r="AE542" s="10">
        <f t="shared" si="5689"/>
        <v>6891.098771664143</v>
      </c>
      <c r="AF542" s="10">
        <f t="shared" si="5689"/>
        <v>6696.6178697627465</v>
      </c>
      <c r="AG542" s="10">
        <f t="shared" si="5689"/>
        <v>10466.607773851591</v>
      </c>
      <c r="AH542" s="10">
        <f t="shared" si="5689"/>
        <v>13424.600370183411</v>
      </c>
      <c r="AI542" s="10">
        <f t="shared" si="5689"/>
        <v>7841.5951539626476</v>
      </c>
      <c r="AJ542" s="10">
        <f t="shared" si="5689"/>
        <v>7589.5002523977819</v>
      </c>
      <c r="AK542" s="10">
        <f t="shared" si="5689"/>
        <v>11817.137809187283</v>
      </c>
      <c r="AL542" s="10">
        <f t="shared" si="5689"/>
        <v>15102.675416456341</v>
      </c>
      <c r="AM542" s="10">
        <f t="shared" si="5689"/>
        <v>8792.0915362611522</v>
      </c>
      <c r="AN542" s="10">
        <f t="shared" si="5689"/>
        <v>8576.6313309776269</v>
      </c>
      <c r="AO542" s="10">
        <f t="shared" si="5689"/>
        <v>13167.667844522966</v>
      </c>
      <c r="AP542" s="10">
        <f t="shared" si="5689"/>
        <v>16361.231701161028</v>
      </c>
      <c r="AQ542" s="10">
        <f t="shared" si="5689"/>
        <v>9267.3397274103972</v>
      </c>
      <c r="AR542" s="10">
        <f t="shared" si="5689"/>
        <v>8705.6032306915695</v>
      </c>
      <c r="AS542" s="10">
        <f t="shared" si="5689"/>
        <v>13167.667844522966</v>
      </c>
      <c r="AT542" s="10">
        <f t="shared" si="5689"/>
        <v>16361.231701161028</v>
      </c>
      <c r="AU542" s="10">
        <f t="shared" si="5689"/>
        <v>9267.3397274103972</v>
      </c>
      <c r="AV542" s="10">
        <f t="shared" si="5689"/>
        <v>8705.6032306915695</v>
      </c>
      <c r="AW542" s="10">
        <f t="shared" si="5689"/>
        <v>13167.667844522966</v>
      </c>
      <c r="AX542" s="10">
        <f t="shared" si="5689"/>
        <v>16361.231701161028</v>
      </c>
      <c r="AY542" s="10">
        <f t="shared" si="5689"/>
        <v>9267.3397274103972</v>
      </c>
      <c r="AZ542" s="10">
        <f t="shared" si="5689"/>
        <v>8705.6032306915695</v>
      </c>
      <c r="BA542" s="10">
        <f t="shared" si="5689"/>
        <v>13167.667844522966</v>
      </c>
      <c r="BB542" s="10">
        <f t="shared" si="5689"/>
        <v>16361.231701161028</v>
      </c>
      <c r="BC542" s="10">
        <f t="shared" si="5689"/>
        <v>9267.3397274103972</v>
      </c>
      <c r="BD542" s="10">
        <f t="shared" si="5689"/>
        <v>8802.3321554770318</v>
      </c>
      <c r="BE542" s="10">
        <f t="shared" si="5689"/>
        <v>13167.667844522966</v>
      </c>
      <c r="BF542" s="10">
        <f t="shared" si="5689"/>
        <v>16361.231701161028</v>
      </c>
      <c r="BG542" s="10">
        <f t="shared" si="5689"/>
        <v>9267.3397274103972</v>
      </c>
      <c r="BH542" s="10">
        <f t="shared" si="5689"/>
        <v>8705.6032306915695</v>
      </c>
      <c r="BI542" s="10">
        <f t="shared" si="5689"/>
        <v>13167.667844522966</v>
      </c>
      <c r="BJ542" s="10">
        <f t="shared" si="5689"/>
        <v>16361.231701161028</v>
      </c>
      <c r="BK542" s="10">
        <f t="shared" si="5689"/>
        <v>9267.3397274103972</v>
      </c>
      <c r="BL542" s="10">
        <f t="shared" si="5689"/>
        <v>8705.6032306915695</v>
      </c>
      <c r="BM542" s="10">
        <f t="shared" si="5689"/>
        <v>13167.667844522966</v>
      </c>
      <c r="BN542" s="10">
        <f t="shared" si="5689"/>
        <v>16361.231701161028</v>
      </c>
      <c r="BO542" s="10">
        <f t="shared" si="5689"/>
        <v>9267.3397274103972</v>
      </c>
      <c r="BP542" s="10">
        <f t="shared" si="5689"/>
        <v>8705.6032306915695</v>
      </c>
      <c r="BQ542" s="10">
        <f t="shared" si="5689"/>
        <v>13167.667844522966</v>
      </c>
      <c r="BR542" s="10">
        <f t="shared" si="5689"/>
        <v>16361.231701161028</v>
      </c>
      <c r="BS542" s="10">
        <f t="shared" si="5689"/>
        <v>9267.3397274103972</v>
      </c>
      <c r="BT542" s="10">
        <f t="shared" si="5689"/>
        <v>8802.3321554770318</v>
      </c>
      <c r="BU542" s="10">
        <f t="shared" si="5689"/>
        <v>13167.667844522966</v>
      </c>
      <c r="BV542" s="10">
        <f t="shared" si="5689"/>
        <v>16361.231701161028</v>
      </c>
      <c r="BW542" s="10">
        <f t="shared" si="5689"/>
        <v>9267.3397274103972</v>
      </c>
      <c r="BX542" s="10">
        <f t="shared" si="5689"/>
        <v>8705.6032306915695</v>
      </c>
      <c r="BY542" s="10">
        <f t="shared" ref="BY542:CO542" si="5690" xml:space="preserve"> BY540 * BY528 * BY529</f>
        <v>13167.667844522966</v>
      </c>
      <c r="BZ542" s="10">
        <f t="shared" si="5690"/>
        <v>16361.231701161028</v>
      </c>
      <c r="CA542" s="10">
        <f t="shared" si="5690"/>
        <v>9267.3397274103972</v>
      </c>
      <c r="CB542" s="10">
        <f t="shared" si="5690"/>
        <v>8705.6032306915695</v>
      </c>
      <c r="CC542" s="10">
        <f t="shared" si="5690"/>
        <v>13167.667844522966</v>
      </c>
      <c r="CD542" s="10">
        <f t="shared" si="5690"/>
        <v>16361.231701161028</v>
      </c>
      <c r="CE542" s="10">
        <f t="shared" si="5690"/>
        <v>9267.3397274103972</v>
      </c>
      <c r="CF542" s="10">
        <f t="shared" si="5690"/>
        <v>8705.6032306915695</v>
      </c>
      <c r="CG542" s="10">
        <f t="shared" si="5690"/>
        <v>13167.667844522966</v>
      </c>
      <c r="CH542" s="10">
        <f t="shared" si="5690"/>
        <v>16361.231701161028</v>
      </c>
      <c r="CI542" s="10">
        <f t="shared" si="5690"/>
        <v>9267.3397274103972</v>
      </c>
      <c r="CJ542" s="10">
        <f t="shared" si="5690"/>
        <v>8802.3321554770318</v>
      </c>
      <c r="CK542" s="10">
        <f t="shared" si="5690"/>
        <v>13167.667844522966</v>
      </c>
      <c r="CL542" s="10">
        <f t="shared" si="5690"/>
        <v>16361.231701161028</v>
      </c>
      <c r="CM542" s="10">
        <f t="shared" si="5690"/>
        <v>9267.3397274103972</v>
      </c>
      <c r="CN542" s="10">
        <f t="shared" si="5690"/>
        <v>8705.6032306915695</v>
      </c>
      <c r="CO542" s="10">
        <f t="shared" si="5690"/>
        <v>13167.667844522966</v>
      </c>
    </row>
    <row r="543" spans="1:94">
      <c r="A543" s="233"/>
      <c r="B543" s="101"/>
      <c r="C543" s="17" t="s">
        <v>1224</v>
      </c>
      <c r="D543" s="69"/>
      <c r="E543" s="185">
        <f xml:space="preserve"> Предпосылки!E391</f>
        <v>2.5873423227490213</v>
      </c>
      <c r="F543" s="70"/>
      <c r="G543" s="11" t="s">
        <v>660</v>
      </c>
      <c r="H543" s="69"/>
      <c r="I543" s="69"/>
      <c r="J543" s="69"/>
      <c r="K543" s="69"/>
      <c r="L543" s="151">
        <f t="shared" ref="L543:BW543" si="5691" xml:space="preserve"> $E$543 * (Flag_Operations)</f>
        <v>0</v>
      </c>
      <c r="M543" s="151">
        <f t="shared" si="5691"/>
        <v>0</v>
      </c>
      <c r="N543" s="151">
        <f t="shared" si="5691"/>
        <v>0</v>
      </c>
      <c r="O543" s="151">
        <f t="shared" si="5691"/>
        <v>0</v>
      </c>
      <c r="P543" s="151">
        <f t="shared" si="5691"/>
        <v>0</v>
      </c>
      <c r="Q543" s="151">
        <f t="shared" si="5691"/>
        <v>0</v>
      </c>
      <c r="R543" s="151">
        <f t="shared" si="5691"/>
        <v>0</v>
      </c>
      <c r="S543" s="151">
        <f t="shared" si="5691"/>
        <v>0</v>
      </c>
      <c r="T543" s="151">
        <f t="shared" si="5691"/>
        <v>0</v>
      </c>
      <c r="U543" s="151">
        <f t="shared" si="5691"/>
        <v>0</v>
      </c>
      <c r="V543" s="151">
        <f t="shared" si="5691"/>
        <v>0</v>
      </c>
      <c r="W543" s="151">
        <f t="shared" si="5691"/>
        <v>0</v>
      </c>
      <c r="X543" s="151">
        <f t="shared" si="5691"/>
        <v>0</v>
      </c>
      <c r="Y543" s="151">
        <f t="shared" si="5691"/>
        <v>0</v>
      </c>
      <c r="Z543" s="151">
        <f t="shared" si="5691"/>
        <v>0</v>
      </c>
      <c r="AA543" s="151">
        <f t="shared" si="5691"/>
        <v>0</v>
      </c>
      <c r="AB543" s="151">
        <f t="shared" si="5691"/>
        <v>0</v>
      </c>
      <c r="AC543" s="151">
        <f t="shared" si="5691"/>
        <v>2.5873423227490213</v>
      </c>
      <c r="AD543" s="151">
        <f t="shared" si="5691"/>
        <v>2.5873423227490213</v>
      </c>
      <c r="AE543" s="151">
        <f t="shared" si="5691"/>
        <v>2.5873423227490213</v>
      </c>
      <c r="AF543" s="151">
        <f t="shared" si="5691"/>
        <v>2.5873423227490213</v>
      </c>
      <c r="AG543" s="151">
        <f t="shared" si="5691"/>
        <v>2.5873423227490213</v>
      </c>
      <c r="AH543" s="151">
        <f t="shared" si="5691"/>
        <v>2.5873423227490213</v>
      </c>
      <c r="AI543" s="151">
        <f t="shared" si="5691"/>
        <v>2.5873423227490213</v>
      </c>
      <c r="AJ543" s="151">
        <f t="shared" si="5691"/>
        <v>2.5873423227490213</v>
      </c>
      <c r="AK543" s="151">
        <f t="shared" si="5691"/>
        <v>2.5873423227490213</v>
      </c>
      <c r="AL543" s="151">
        <f t="shared" si="5691"/>
        <v>2.5873423227490213</v>
      </c>
      <c r="AM543" s="151">
        <f t="shared" si="5691"/>
        <v>2.5873423227490213</v>
      </c>
      <c r="AN543" s="151">
        <f t="shared" si="5691"/>
        <v>2.5873423227490213</v>
      </c>
      <c r="AO543" s="151">
        <f t="shared" si="5691"/>
        <v>2.5873423227490213</v>
      </c>
      <c r="AP543" s="151">
        <f t="shared" si="5691"/>
        <v>2.5873423227490213</v>
      </c>
      <c r="AQ543" s="151">
        <f t="shared" si="5691"/>
        <v>2.5873423227490213</v>
      </c>
      <c r="AR543" s="151">
        <f t="shared" si="5691"/>
        <v>2.5873423227490213</v>
      </c>
      <c r="AS543" s="151">
        <f t="shared" si="5691"/>
        <v>2.5873423227490213</v>
      </c>
      <c r="AT543" s="151">
        <f t="shared" si="5691"/>
        <v>2.5873423227490213</v>
      </c>
      <c r="AU543" s="151">
        <f t="shared" si="5691"/>
        <v>2.5873423227490213</v>
      </c>
      <c r="AV543" s="151">
        <f t="shared" si="5691"/>
        <v>2.5873423227490213</v>
      </c>
      <c r="AW543" s="151">
        <f t="shared" si="5691"/>
        <v>2.5873423227490213</v>
      </c>
      <c r="AX543" s="151">
        <f t="shared" si="5691"/>
        <v>2.5873423227490213</v>
      </c>
      <c r="AY543" s="151">
        <f t="shared" si="5691"/>
        <v>2.5873423227490213</v>
      </c>
      <c r="AZ543" s="151">
        <f t="shared" si="5691"/>
        <v>2.5873423227490213</v>
      </c>
      <c r="BA543" s="151">
        <f t="shared" si="5691"/>
        <v>2.5873423227490213</v>
      </c>
      <c r="BB543" s="151">
        <f t="shared" si="5691"/>
        <v>2.5873423227490213</v>
      </c>
      <c r="BC543" s="151">
        <f t="shared" si="5691"/>
        <v>2.5873423227490213</v>
      </c>
      <c r="BD543" s="151">
        <f t="shared" si="5691"/>
        <v>2.5873423227490213</v>
      </c>
      <c r="BE543" s="151">
        <f t="shared" si="5691"/>
        <v>2.5873423227490213</v>
      </c>
      <c r="BF543" s="151">
        <f t="shared" si="5691"/>
        <v>2.5873423227490213</v>
      </c>
      <c r="BG543" s="151">
        <f t="shared" si="5691"/>
        <v>2.5873423227490213</v>
      </c>
      <c r="BH543" s="151">
        <f t="shared" si="5691"/>
        <v>2.5873423227490213</v>
      </c>
      <c r="BI543" s="151">
        <f t="shared" si="5691"/>
        <v>2.5873423227490213</v>
      </c>
      <c r="BJ543" s="151">
        <f t="shared" si="5691"/>
        <v>2.5873423227490213</v>
      </c>
      <c r="BK543" s="151">
        <f t="shared" si="5691"/>
        <v>2.5873423227490213</v>
      </c>
      <c r="BL543" s="151">
        <f t="shared" si="5691"/>
        <v>2.5873423227490213</v>
      </c>
      <c r="BM543" s="151">
        <f t="shared" si="5691"/>
        <v>2.5873423227490213</v>
      </c>
      <c r="BN543" s="151">
        <f t="shared" si="5691"/>
        <v>2.5873423227490213</v>
      </c>
      <c r="BO543" s="151">
        <f t="shared" si="5691"/>
        <v>2.5873423227490213</v>
      </c>
      <c r="BP543" s="151">
        <f t="shared" si="5691"/>
        <v>2.5873423227490213</v>
      </c>
      <c r="BQ543" s="151">
        <f t="shared" si="5691"/>
        <v>2.5873423227490213</v>
      </c>
      <c r="BR543" s="151">
        <f t="shared" si="5691"/>
        <v>2.5873423227490213</v>
      </c>
      <c r="BS543" s="151">
        <f t="shared" si="5691"/>
        <v>2.5873423227490213</v>
      </c>
      <c r="BT543" s="151">
        <f t="shared" si="5691"/>
        <v>2.5873423227490213</v>
      </c>
      <c r="BU543" s="151">
        <f t="shared" si="5691"/>
        <v>2.5873423227490213</v>
      </c>
      <c r="BV543" s="151">
        <f t="shared" si="5691"/>
        <v>2.5873423227490213</v>
      </c>
      <c r="BW543" s="151">
        <f t="shared" si="5691"/>
        <v>2.5873423227490213</v>
      </c>
      <c r="BX543" s="151">
        <f t="shared" ref="BX543:CO543" si="5692" xml:space="preserve"> $E$543 * (Flag_Operations)</f>
        <v>2.5873423227490213</v>
      </c>
      <c r="BY543" s="151">
        <f t="shared" si="5692"/>
        <v>2.5873423227490213</v>
      </c>
      <c r="BZ543" s="151">
        <f t="shared" si="5692"/>
        <v>2.5873423227490213</v>
      </c>
      <c r="CA543" s="151">
        <f t="shared" si="5692"/>
        <v>2.5873423227490213</v>
      </c>
      <c r="CB543" s="151">
        <f t="shared" si="5692"/>
        <v>2.5873423227490213</v>
      </c>
      <c r="CC543" s="151">
        <f t="shared" si="5692"/>
        <v>2.5873423227490213</v>
      </c>
      <c r="CD543" s="151">
        <f t="shared" si="5692"/>
        <v>2.5873423227490213</v>
      </c>
      <c r="CE543" s="151">
        <f t="shared" si="5692"/>
        <v>2.5873423227490213</v>
      </c>
      <c r="CF543" s="151">
        <f t="shared" si="5692"/>
        <v>2.5873423227490213</v>
      </c>
      <c r="CG543" s="151">
        <f t="shared" si="5692"/>
        <v>2.5873423227490213</v>
      </c>
      <c r="CH543" s="151">
        <f t="shared" si="5692"/>
        <v>2.5873423227490213</v>
      </c>
      <c r="CI543" s="151">
        <f t="shared" si="5692"/>
        <v>2.5873423227490213</v>
      </c>
      <c r="CJ543" s="151">
        <f t="shared" si="5692"/>
        <v>2.5873423227490213</v>
      </c>
      <c r="CK543" s="151">
        <f t="shared" si="5692"/>
        <v>2.5873423227490213</v>
      </c>
      <c r="CL543" s="151">
        <f t="shared" si="5692"/>
        <v>2.5873423227490213</v>
      </c>
      <c r="CM543" s="151">
        <f t="shared" si="5692"/>
        <v>2.5873423227490213</v>
      </c>
      <c r="CN543" s="151">
        <f t="shared" si="5692"/>
        <v>2.5873423227490213</v>
      </c>
      <c r="CO543" s="151">
        <f t="shared" si="5692"/>
        <v>2.5873423227490213</v>
      </c>
    </row>
    <row r="544" spans="1:94">
      <c r="A544" s="233"/>
      <c r="B544" s="101"/>
      <c r="C544" s="17" t="s">
        <v>939</v>
      </c>
      <c r="D544" s="69"/>
      <c r="E544" s="62"/>
      <c r="F544" s="70"/>
      <c r="G544" s="11" t="s">
        <v>661</v>
      </c>
      <c r="H544" s="69"/>
      <c r="I544" s="69"/>
      <c r="J544" s="69"/>
      <c r="K544" s="69"/>
      <c r="L544" s="10">
        <f t="shared" ref="L544:R544" si="5693" xml:space="preserve"> L542 * L543</f>
        <v>0</v>
      </c>
      <c r="M544" s="10">
        <f t="shared" si="5693"/>
        <v>0</v>
      </c>
      <c r="N544" s="10">
        <f t="shared" si="5693"/>
        <v>0</v>
      </c>
      <c r="O544" s="10">
        <f t="shared" si="5693"/>
        <v>0</v>
      </c>
      <c r="P544" s="10">
        <f t="shared" si="5693"/>
        <v>0</v>
      </c>
      <c r="Q544" s="10">
        <f t="shared" si="5693"/>
        <v>0</v>
      </c>
      <c r="R544" s="10">
        <f t="shared" si="5693"/>
        <v>0</v>
      </c>
      <c r="S544" s="10">
        <f t="shared" ref="S544" si="5694" xml:space="preserve"> S542 * S543</f>
        <v>0</v>
      </c>
      <c r="T544" s="10">
        <f t="shared" ref="T544:CE544" si="5695" xml:space="preserve"> T542 * T543</f>
        <v>0</v>
      </c>
      <c r="U544" s="10">
        <f t="shared" si="5695"/>
        <v>0</v>
      </c>
      <c r="V544" s="10">
        <f t="shared" si="5695"/>
        <v>0</v>
      </c>
      <c r="W544" s="10">
        <f t="shared" si="5695"/>
        <v>0</v>
      </c>
      <c r="X544" s="10">
        <f t="shared" si="5695"/>
        <v>0</v>
      </c>
      <c r="Y544" s="10">
        <f t="shared" si="5695"/>
        <v>0</v>
      </c>
      <c r="Z544" s="10">
        <f t="shared" si="5695"/>
        <v>0</v>
      </c>
      <c r="AA544" s="10">
        <f t="shared" si="5695"/>
        <v>0</v>
      </c>
      <c r="AB544" s="10">
        <f t="shared" si="5695"/>
        <v>0</v>
      </c>
      <c r="AC544" s="10">
        <f t="shared" si="5695"/>
        <v>23586.413750332373</v>
      </c>
      <c r="AD544" s="10">
        <f t="shared" si="5695"/>
        <v>30392.282115796741</v>
      </c>
      <c r="AE544" s="10">
        <f t="shared" si="5695"/>
        <v>17829.631502170432</v>
      </c>
      <c r="AF544" s="10">
        <f t="shared" si="5695"/>
        <v>17326.442833714547</v>
      </c>
      <c r="AG544" s="10">
        <f t="shared" si="5695"/>
        <v>27080.697268900138</v>
      </c>
      <c r="AH544" s="10">
        <f t="shared" si="5695"/>
        <v>34734.036703767721</v>
      </c>
      <c r="AI544" s="10">
        <f t="shared" si="5695"/>
        <v>20288.891019711187</v>
      </c>
      <c r="AJ544" s="10">
        <f t="shared" si="5695"/>
        <v>19636.635211543162</v>
      </c>
      <c r="AK544" s="10">
        <f t="shared" si="5695"/>
        <v>30574.980787467906</v>
      </c>
      <c r="AL544" s="10">
        <f t="shared" si="5695"/>
        <v>39075.791291738693</v>
      </c>
      <c r="AM544" s="10">
        <f t="shared" si="5695"/>
        <v>22748.150537251942</v>
      </c>
      <c r="AN544" s="10">
        <f t="shared" si="5695"/>
        <v>22190.681229253685</v>
      </c>
      <c r="AO544" s="10">
        <f t="shared" si="5695"/>
        <v>34069.264306035649</v>
      </c>
      <c r="AP544" s="10">
        <f t="shared" si="5695"/>
        <v>42332.107232716895</v>
      </c>
      <c r="AQ544" s="10">
        <f t="shared" si="5695"/>
        <v>23977.780296022298</v>
      </c>
      <c r="AR544" s="10">
        <f t="shared" si="5695"/>
        <v>22524.375683828908</v>
      </c>
      <c r="AS544" s="10">
        <f t="shared" si="5695"/>
        <v>34069.264306035649</v>
      </c>
      <c r="AT544" s="10">
        <f t="shared" si="5695"/>
        <v>42332.107232716895</v>
      </c>
      <c r="AU544" s="10">
        <f t="shared" si="5695"/>
        <v>23977.780296022298</v>
      </c>
      <c r="AV544" s="10">
        <f t="shared" si="5695"/>
        <v>22524.375683828908</v>
      </c>
      <c r="AW544" s="10">
        <f t="shared" si="5695"/>
        <v>34069.264306035649</v>
      </c>
      <c r="AX544" s="10">
        <f t="shared" si="5695"/>
        <v>42332.107232716895</v>
      </c>
      <c r="AY544" s="10">
        <f t="shared" si="5695"/>
        <v>23977.780296022298</v>
      </c>
      <c r="AZ544" s="10">
        <f t="shared" si="5695"/>
        <v>22524.375683828908</v>
      </c>
      <c r="BA544" s="10">
        <f t="shared" si="5695"/>
        <v>34069.264306035649</v>
      </c>
      <c r="BB544" s="10">
        <f t="shared" si="5695"/>
        <v>42332.107232716895</v>
      </c>
      <c r="BC544" s="10">
        <f t="shared" si="5695"/>
        <v>23977.780296022298</v>
      </c>
      <c r="BD544" s="10">
        <f t="shared" si="5695"/>
        <v>22774.646524760345</v>
      </c>
      <c r="BE544" s="10">
        <f t="shared" si="5695"/>
        <v>34069.264306035649</v>
      </c>
      <c r="BF544" s="10">
        <f t="shared" si="5695"/>
        <v>42332.107232716895</v>
      </c>
      <c r="BG544" s="10">
        <f t="shared" si="5695"/>
        <v>23977.780296022298</v>
      </c>
      <c r="BH544" s="10">
        <f t="shared" si="5695"/>
        <v>22524.375683828908</v>
      </c>
      <c r="BI544" s="10">
        <f t="shared" si="5695"/>
        <v>34069.264306035649</v>
      </c>
      <c r="BJ544" s="10">
        <f t="shared" si="5695"/>
        <v>42332.107232716895</v>
      </c>
      <c r="BK544" s="10">
        <f t="shared" si="5695"/>
        <v>23977.780296022298</v>
      </c>
      <c r="BL544" s="10">
        <f t="shared" si="5695"/>
        <v>22524.375683828908</v>
      </c>
      <c r="BM544" s="10">
        <f t="shared" si="5695"/>
        <v>34069.264306035649</v>
      </c>
      <c r="BN544" s="10">
        <f t="shared" si="5695"/>
        <v>42332.107232716895</v>
      </c>
      <c r="BO544" s="10">
        <f t="shared" si="5695"/>
        <v>23977.780296022298</v>
      </c>
      <c r="BP544" s="10">
        <f t="shared" si="5695"/>
        <v>22524.375683828908</v>
      </c>
      <c r="BQ544" s="10">
        <f t="shared" si="5695"/>
        <v>34069.264306035649</v>
      </c>
      <c r="BR544" s="10">
        <f t="shared" si="5695"/>
        <v>42332.107232716895</v>
      </c>
      <c r="BS544" s="10">
        <f t="shared" si="5695"/>
        <v>23977.780296022298</v>
      </c>
      <c r="BT544" s="10">
        <f t="shared" si="5695"/>
        <v>22774.646524760345</v>
      </c>
      <c r="BU544" s="10">
        <f t="shared" si="5695"/>
        <v>34069.264306035649</v>
      </c>
      <c r="BV544" s="10">
        <f t="shared" si="5695"/>
        <v>42332.107232716895</v>
      </c>
      <c r="BW544" s="10">
        <f t="shared" si="5695"/>
        <v>23977.780296022298</v>
      </c>
      <c r="BX544" s="10">
        <f t="shared" si="5695"/>
        <v>22524.375683828908</v>
      </c>
      <c r="BY544" s="10">
        <f t="shared" si="5695"/>
        <v>34069.264306035649</v>
      </c>
      <c r="BZ544" s="10">
        <f t="shared" si="5695"/>
        <v>42332.107232716895</v>
      </c>
      <c r="CA544" s="10">
        <f t="shared" si="5695"/>
        <v>23977.780296022298</v>
      </c>
      <c r="CB544" s="10">
        <f t="shared" si="5695"/>
        <v>22524.375683828908</v>
      </c>
      <c r="CC544" s="10">
        <f t="shared" si="5695"/>
        <v>34069.264306035649</v>
      </c>
      <c r="CD544" s="10">
        <f t="shared" si="5695"/>
        <v>42332.107232716895</v>
      </c>
      <c r="CE544" s="10">
        <f t="shared" si="5695"/>
        <v>23977.780296022298</v>
      </c>
      <c r="CF544" s="10">
        <f t="shared" ref="CF544:CO544" si="5696" xml:space="preserve"> CF542 * CF543</f>
        <v>22524.375683828908</v>
      </c>
      <c r="CG544" s="10">
        <f t="shared" si="5696"/>
        <v>34069.264306035649</v>
      </c>
      <c r="CH544" s="10">
        <f t="shared" si="5696"/>
        <v>42332.107232716895</v>
      </c>
      <c r="CI544" s="10">
        <f t="shared" si="5696"/>
        <v>23977.780296022298</v>
      </c>
      <c r="CJ544" s="10">
        <f t="shared" si="5696"/>
        <v>22774.646524760345</v>
      </c>
      <c r="CK544" s="10">
        <f t="shared" si="5696"/>
        <v>34069.264306035649</v>
      </c>
      <c r="CL544" s="10">
        <f t="shared" si="5696"/>
        <v>42332.107232716895</v>
      </c>
      <c r="CM544" s="10">
        <f t="shared" si="5696"/>
        <v>23977.780296022298</v>
      </c>
      <c r="CN544" s="10">
        <f t="shared" si="5696"/>
        <v>22524.375683828908</v>
      </c>
      <c r="CO544" s="10">
        <f t="shared" si="5696"/>
        <v>34069.264306035649</v>
      </c>
    </row>
    <row r="545" spans="1:93">
      <c r="A545" s="233"/>
      <c r="B545" s="101"/>
      <c r="C545" s="169"/>
      <c r="D545" s="69"/>
      <c r="E545" s="62"/>
      <c r="F545" s="70"/>
      <c r="G545" s="11"/>
      <c r="H545" s="69"/>
      <c r="I545" s="69"/>
      <c r="J545" s="69"/>
      <c r="K545" s="69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  <c r="AA545" s="103"/>
      <c r="AB545" s="103"/>
      <c r="AC545" s="103"/>
      <c r="AD545" s="103"/>
      <c r="AE545" s="103"/>
      <c r="AF545" s="103"/>
      <c r="AG545" s="103"/>
      <c r="AH545" s="103"/>
      <c r="AI545" s="103"/>
      <c r="AJ545" s="103"/>
      <c r="AK545" s="103"/>
      <c r="AL545" s="103"/>
      <c r="AM545" s="103"/>
      <c r="AN545" s="103"/>
      <c r="AO545" s="103"/>
      <c r="AP545" s="103"/>
      <c r="AQ545" s="103"/>
      <c r="AR545" s="103"/>
      <c r="AS545" s="103"/>
      <c r="AT545" s="103"/>
      <c r="AU545" s="103"/>
      <c r="AV545" s="103"/>
      <c r="AW545" s="103"/>
      <c r="AX545" s="103"/>
      <c r="AY545" s="103"/>
      <c r="AZ545" s="103"/>
      <c r="BA545" s="103"/>
      <c r="BB545" s="103"/>
      <c r="BC545" s="103"/>
      <c r="BD545" s="103"/>
      <c r="BE545" s="103"/>
      <c r="BF545" s="103"/>
      <c r="BG545" s="103"/>
      <c r="BH545" s="103"/>
      <c r="BI545" s="103"/>
      <c r="BJ545" s="103"/>
      <c r="BK545" s="103"/>
      <c r="BL545" s="103"/>
      <c r="BM545" s="103"/>
      <c r="BN545" s="103"/>
      <c r="BO545" s="103"/>
      <c r="BP545" s="103"/>
      <c r="BQ545" s="103"/>
      <c r="BR545" s="103"/>
      <c r="BS545" s="103"/>
      <c r="BT545" s="103"/>
      <c r="BU545" s="103"/>
      <c r="BV545" s="103"/>
      <c r="BW545" s="103"/>
      <c r="BX545" s="103"/>
      <c r="BY545" s="103"/>
      <c r="BZ545" s="103"/>
      <c r="CA545" s="103"/>
      <c r="CB545" s="103"/>
      <c r="CC545" s="103"/>
      <c r="CD545" s="103"/>
      <c r="CE545" s="103"/>
      <c r="CF545" s="103"/>
      <c r="CG545" s="103"/>
      <c r="CH545" s="103"/>
      <c r="CI545" s="103"/>
      <c r="CJ545" s="103"/>
      <c r="CK545" s="103"/>
      <c r="CL545" s="103"/>
      <c r="CM545" s="103"/>
      <c r="CN545" s="103"/>
      <c r="CO545" s="103"/>
    </row>
    <row r="546" spans="1:93" ht="16" thickBot="1">
      <c r="A546" s="233"/>
      <c r="B546" s="101"/>
      <c r="C546" s="12" t="s">
        <v>741</v>
      </c>
      <c r="D546" s="12"/>
      <c r="E546" s="12"/>
      <c r="F546" s="12"/>
      <c r="G546" s="362"/>
      <c r="H546" s="12"/>
      <c r="I546" s="12"/>
      <c r="J546" s="69"/>
      <c r="K546" s="69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  <c r="AA546" s="103"/>
      <c r="AB546" s="103"/>
      <c r="AC546" s="103"/>
      <c r="AD546" s="103"/>
      <c r="AE546" s="103"/>
      <c r="AF546" s="103"/>
      <c r="AG546" s="103"/>
      <c r="AH546" s="103"/>
      <c r="AI546" s="103"/>
      <c r="AJ546" s="103"/>
      <c r="AK546" s="103"/>
      <c r="AL546" s="103"/>
      <c r="AM546" s="103"/>
      <c r="AN546" s="103"/>
      <c r="AO546" s="103"/>
      <c r="AP546" s="103"/>
      <c r="AQ546" s="103"/>
      <c r="AR546" s="103"/>
      <c r="AS546" s="103"/>
      <c r="AT546" s="103"/>
      <c r="AU546" s="103"/>
      <c r="AV546" s="103"/>
      <c r="AW546" s="103"/>
      <c r="AX546" s="103"/>
      <c r="AY546" s="103"/>
      <c r="AZ546" s="103"/>
      <c r="BA546" s="103"/>
      <c r="BB546" s="103"/>
      <c r="BC546" s="103"/>
      <c r="BD546" s="103"/>
      <c r="BE546" s="103"/>
      <c r="BF546" s="103"/>
      <c r="BG546" s="103"/>
      <c r="BH546" s="103"/>
      <c r="BI546" s="103"/>
      <c r="BJ546" s="103"/>
      <c r="BK546" s="103"/>
      <c r="BL546" s="103"/>
      <c r="BM546" s="103"/>
      <c r="BN546" s="103"/>
      <c r="BO546" s="103"/>
      <c r="BP546" s="103"/>
      <c r="BQ546" s="103"/>
      <c r="BR546" s="103"/>
      <c r="BS546" s="103"/>
      <c r="BT546" s="103"/>
      <c r="BU546" s="103"/>
      <c r="BV546" s="103"/>
      <c r="BW546" s="103"/>
      <c r="BX546" s="103"/>
      <c r="BY546" s="103"/>
      <c r="BZ546" s="103"/>
      <c r="CA546" s="103"/>
      <c r="CB546" s="103"/>
      <c r="CC546" s="103"/>
      <c r="CD546" s="103"/>
      <c r="CE546" s="103"/>
      <c r="CF546" s="103"/>
      <c r="CG546" s="103"/>
      <c r="CH546" s="103"/>
      <c r="CI546" s="103"/>
      <c r="CJ546" s="103"/>
      <c r="CK546" s="103"/>
      <c r="CL546" s="103"/>
      <c r="CM546" s="103"/>
      <c r="CN546" s="103"/>
      <c r="CO546" s="103"/>
    </row>
    <row r="547" spans="1:93">
      <c r="A547" s="233"/>
      <c r="B547" s="101"/>
      <c r="C547" s="169"/>
      <c r="D547" s="69"/>
      <c r="E547" s="62"/>
      <c r="F547" s="70"/>
      <c r="G547" s="11"/>
      <c r="H547" s="69"/>
      <c r="I547" s="69"/>
      <c r="J547" s="69"/>
      <c r="K547" s="69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  <c r="AA547" s="103"/>
      <c r="AB547" s="103"/>
      <c r="AC547" s="103"/>
      <c r="AD547" s="103"/>
      <c r="AE547" s="103"/>
      <c r="AF547" s="103"/>
      <c r="AG547" s="103"/>
      <c r="AH547" s="103"/>
      <c r="AI547" s="103"/>
      <c r="AJ547" s="103"/>
      <c r="AK547" s="103"/>
      <c r="AL547" s="103"/>
      <c r="AM547" s="103"/>
      <c r="AN547" s="103"/>
      <c r="AO547" s="103"/>
      <c r="AP547" s="103"/>
      <c r="AQ547" s="103"/>
      <c r="AR547" s="103"/>
      <c r="AS547" s="103"/>
      <c r="AT547" s="103"/>
      <c r="AU547" s="103"/>
      <c r="AV547" s="103"/>
      <c r="AW547" s="103"/>
      <c r="AX547" s="103"/>
      <c r="AY547" s="103"/>
      <c r="AZ547" s="103"/>
      <c r="BA547" s="103"/>
      <c r="BB547" s="103"/>
      <c r="BC547" s="103"/>
      <c r="BD547" s="103"/>
      <c r="BE547" s="103"/>
      <c r="BF547" s="103"/>
      <c r="BG547" s="103"/>
      <c r="BH547" s="103"/>
      <c r="BI547" s="103"/>
      <c r="BJ547" s="103"/>
      <c r="BK547" s="103"/>
      <c r="BL547" s="103"/>
      <c r="BM547" s="103"/>
      <c r="BN547" s="103"/>
      <c r="BO547" s="103"/>
      <c r="BP547" s="103"/>
      <c r="BQ547" s="103"/>
      <c r="BR547" s="103"/>
      <c r="BS547" s="103"/>
      <c r="BT547" s="103"/>
      <c r="BU547" s="103"/>
      <c r="BV547" s="103"/>
      <c r="BW547" s="103"/>
      <c r="BX547" s="103"/>
      <c r="BY547" s="103"/>
      <c r="BZ547" s="103"/>
      <c r="CA547" s="103"/>
      <c r="CB547" s="103"/>
      <c r="CC547" s="103"/>
      <c r="CD547" s="103"/>
      <c r="CE547" s="103"/>
      <c r="CF547" s="103"/>
      <c r="CG547" s="103"/>
      <c r="CH547" s="103"/>
      <c r="CI547" s="103"/>
      <c r="CJ547" s="103"/>
      <c r="CK547" s="103"/>
      <c r="CL547" s="103"/>
      <c r="CM547" s="103"/>
      <c r="CN547" s="103"/>
      <c r="CO547" s="103"/>
    </row>
    <row r="548" spans="1:93">
      <c r="A548" s="233"/>
      <c r="B548" s="101"/>
      <c r="C548" s="17" t="s">
        <v>663</v>
      </c>
      <c r="D548" s="69"/>
      <c r="E548" s="184">
        <f xml:space="preserve"> Предпосылки!E395</f>
        <v>10098.081</v>
      </c>
      <c r="F548" s="70"/>
      <c r="G548" s="11" t="s">
        <v>666</v>
      </c>
      <c r="H548" s="69"/>
      <c r="I548" s="69"/>
      <c r="J548" s="69"/>
      <c r="K548" s="69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  <c r="AA548" s="103"/>
      <c r="AB548" s="103"/>
      <c r="AC548" s="103"/>
      <c r="AD548" s="103"/>
      <c r="AE548" s="103"/>
      <c r="AF548" s="103"/>
      <c r="AG548" s="103"/>
      <c r="AH548" s="103"/>
      <c r="AI548" s="103"/>
      <c r="AJ548" s="103"/>
      <c r="AK548" s="103"/>
      <c r="AL548" s="103"/>
      <c r="AM548" s="103"/>
      <c r="AN548" s="103"/>
      <c r="AO548" s="103"/>
      <c r="AP548" s="103"/>
      <c r="AQ548" s="103"/>
      <c r="AR548" s="103"/>
      <c r="AS548" s="103"/>
      <c r="AT548" s="103"/>
      <c r="AU548" s="103"/>
      <c r="AV548" s="103"/>
      <c r="AW548" s="103"/>
      <c r="AX548" s="103"/>
      <c r="AY548" s="103"/>
      <c r="AZ548" s="103"/>
      <c r="BA548" s="103"/>
      <c r="BB548" s="103"/>
      <c r="BC548" s="103"/>
      <c r="BD548" s="103"/>
      <c r="BE548" s="103"/>
      <c r="BF548" s="103"/>
      <c r="BG548" s="103"/>
      <c r="BH548" s="103"/>
      <c r="BI548" s="103"/>
      <c r="BJ548" s="103"/>
      <c r="BK548" s="103"/>
      <c r="BL548" s="103"/>
      <c r="BM548" s="103"/>
      <c r="BN548" s="103"/>
      <c r="BO548" s="103"/>
      <c r="BP548" s="103"/>
      <c r="BQ548" s="103"/>
      <c r="BR548" s="103"/>
      <c r="BS548" s="103"/>
      <c r="BT548" s="103"/>
      <c r="BU548" s="103"/>
      <c r="BV548" s="103"/>
      <c r="BW548" s="103"/>
      <c r="BX548" s="103"/>
      <c r="BY548" s="103"/>
      <c r="BZ548" s="103"/>
      <c r="CA548" s="103"/>
      <c r="CB548" s="103"/>
      <c r="CC548" s="103"/>
      <c r="CD548" s="103"/>
      <c r="CE548" s="103"/>
      <c r="CF548" s="103"/>
      <c r="CG548" s="103"/>
      <c r="CH548" s="103"/>
      <c r="CI548" s="103"/>
      <c r="CJ548" s="103"/>
      <c r="CK548" s="103"/>
      <c r="CL548" s="103"/>
      <c r="CM548" s="103"/>
      <c r="CN548" s="103"/>
      <c r="CO548" s="103"/>
    </row>
    <row r="549" spans="1:93">
      <c r="A549" s="233"/>
      <c r="B549" s="101"/>
      <c r="C549" s="17"/>
      <c r="D549" s="69"/>
      <c r="E549" s="70"/>
      <c r="F549" s="70"/>
      <c r="G549" s="11"/>
      <c r="H549" s="69"/>
      <c r="I549" s="69"/>
      <c r="J549" s="69"/>
      <c r="K549" s="69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  <c r="AA549" s="103"/>
      <c r="AB549" s="103"/>
      <c r="AC549" s="103"/>
      <c r="AD549" s="103"/>
      <c r="AE549" s="103"/>
      <c r="AF549" s="103"/>
      <c r="AG549" s="103"/>
      <c r="AH549" s="103"/>
      <c r="AI549" s="103"/>
      <c r="AJ549" s="103"/>
      <c r="AK549" s="103"/>
      <c r="AL549" s="103"/>
      <c r="AM549" s="103"/>
      <c r="AN549" s="103"/>
      <c r="AO549" s="103"/>
      <c r="AP549" s="103"/>
      <c r="AQ549" s="103"/>
      <c r="AR549" s="103"/>
      <c r="AS549" s="103"/>
      <c r="AT549" s="103"/>
      <c r="AU549" s="103"/>
      <c r="AV549" s="103"/>
      <c r="AW549" s="103"/>
      <c r="AX549" s="103"/>
      <c r="AY549" s="103"/>
      <c r="AZ549" s="103"/>
      <c r="BA549" s="103"/>
      <c r="BB549" s="103"/>
      <c r="BC549" s="103"/>
      <c r="BD549" s="103"/>
      <c r="BE549" s="103"/>
      <c r="BF549" s="103"/>
      <c r="BG549" s="103"/>
      <c r="BH549" s="103"/>
      <c r="BI549" s="103"/>
      <c r="BJ549" s="103"/>
      <c r="BK549" s="103"/>
      <c r="BL549" s="103"/>
      <c r="BM549" s="103"/>
      <c r="BN549" s="103"/>
      <c r="BO549" s="103"/>
      <c r="BP549" s="103"/>
      <c r="BQ549" s="103"/>
      <c r="BR549" s="103"/>
      <c r="BS549" s="103"/>
      <c r="BT549" s="103"/>
      <c r="BU549" s="103"/>
      <c r="BV549" s="103"/>
      <c r="BW549" s="103"/>
      <c r="BX549" s="103"/>
      <c r="BY549" s="103"/>
      <c r="BZ549" s="103"/>
      <c r="CA549" s="103"/>
      <c r="CB549" s="103"/>
      <c r="CC549" s="103"/>
      <c r="CD549" s="103"/>
      <c r="CE549" s="103"/>
      <c r="CF549" s="103"/>
      <c r="CG549" s="103"/>
      <c r="CH549" s="103"/>
      <c r="CI549" s="103"/>
      <c r="CJ549" s="103"/>
      <c r="CK549" s="103"/>
      <c r="CL549" s="103"/>
      <c r="CM549" s="103"/>
      <c r="CN549" s="103"/>
      <c r="CO549" s="103"/>
    </row>
    <row r="550" spans="1:93">
      <c r="A550" s="233"/>
      <c r="B550" s="101"/>
      <c r="C550" s="17" t="s">
        <v>1259</v>
      </c>
      <c r="D550" s="69"/>
      <c r="E550" s="196">
        <f xml:space="preserve"> Предпосылки!E397</f>
        <v>1.2554580896686161</v>
      </c>
      <c r="F550" s="70"/>
      <c r="G550" s="11" t="s">
        <v>28</v>
      </c>
      <c r="H550" s="69"/>
      <c r="I550" s="69"/>
      <c r="J550" s="69"/>
      <c r="K550" s="69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  <c r="AA550" s="103"/>
      <c r="AB550" s="103"/>
      <c r="AC550" s="103"/>
      <c r="AD550" s="103"/>
      <c r="AE550" s="103"/>
      <c r="AF550" s="103"/>
      <c r="AG550" s="103"/>
      <c r="AH550" s="103"/>
      <c r="AI550" s="103"/>
      <c r="AJ550" s="103"/>
      <c r="AK550" s="103"/>
      <c r="AL550" s="103"/>
      <c r="AM550" s="103"/>
      <c r="AN550" s="103"/>
      <c r="AO550" s="103"/>
      <c r="AP550" s="103"/>
      <c r="AQ550" s="103"/>
      <c r="AR550" s="103"/>
      <c r="AS550" s="103"/>
      <c r="AT550" s="103"/>
      <c r="AU550" s="103"/>
      <c r="AV550" s="103"/>
      <c r="AW550" s="103"/>
      <c r="AX550" s="103"/>
      <c r="AY550" s="103"/>
      <c r="AZ550" s="103"/>
      <c r="BA550" s="103"/>
      <c r="BB550" s="103"/>
      <c r="BC550" s="103"/>
      <c r="BD550" s="103"/>
      <c r="BE550" s="103"/>
      <c r="BF550" s="103"/>
      <c r="BG550" s="103"/>
      <c r="BH550" s="103"/>
      <c r="BI550" s="103"/>
      <c r="BJ550" s="103"/>
      <c r="BK550" s="103"/>
      <c r="BL550" s="103"/>
      <c r="BM550" s="103"/>
      <c r="BN550" s="103"/>
      <c r="BO550" s="103"/>
      <c r="BP550" s="103"/>
      <c r="BQ550" s="103"/>
      <c r="BR550" s="103"/>
      <c r="BS550" s="103"/>
      <c r="BT550" s="103"/>
      <c r="BU550" s="103"/>
      <c r="BV550" s="103"/>
      <c r="BW550" s="103"/>
      <c r="BX550" s="103"/>
      <c r="BY550" s="103"/>
      <c r="BZ550" s="103"/>
      <c r="CA550" s="103"/>
      <c r="CB550" s="103"/>
      <c r="CC550" s="103"/>
      <c r="CD550" s="103"/>
      <c r="CE550" s="103"/>
      <c r="CF550" s="103"/>
      <c r="CG550" s="103"/>
      <c r="CH550" s="103"/>
      <c r="CI550" s="103"/>
      <c r="CJ550" s="103"/>
      <c r="CK550" s="103"/>
      <c r="CL550" s="103"/>
      <c r="CM550" s="103"/>
      <c r="CN550" s="103"/>
      <c r="CO550" s="103"/>
    </row>
    <row r="551" spans="1:93">
      <c r="A551" s="233"/>
      <c r="B551" s="101"/>
      <c r="C551" s="17" t="s">
        <v>1260</v>
      </c>
      <c r="D551" s="69"/>
      <c r="E551" s="62">
        <f xml:space="preserve"> $E$548 * (E550)</f>
        <v>12677.717481578948</v>
      </c>
      <c r="F551" s="70"/>
      <c r="G551" s="11" t="s">
        <v>666</v>
      </c>
      <c r="H551" s="69"/>
      <c r="I551" s="69"/>
      <c r="J551" s="69"/>
      <c r="K551" s="69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  <c r="Z551" s="103"/>
      <c r="AA551" s="103"/>
      <c r="AB551" s="103"/>
      <c r="AC551" s="103"/>
      <c r="AD551" s="103"/>
      <c r="AE551" s="103"/>
      <c r="AF551" s="103"/>
      <c r="AG551" s="103"/>
      <c r="AH551" s="103"/>
      <c r="AI551" s="103"/>
      <c r="AJ551" s="103"/>
      <c r="AK551" s="103"/>
      <c r="AL551" s="103"/>
      <c r="AM551" s="103"/>
      <c r="AN551" s="103"/>
      <c r="AO551" s="103"/>
      <c r="AP551" s="103"/>
      <c r="AQ551" s="103"/>
      <c r="AR551" s="103"/>
      <c r="AS551" s="103"/>
      <c r="AT551" s="103"/>
      <c r="AU551" s="103"/>
      <c r="AV551" s="103"/>
      <c r="AW551" s="103"/>
      <c r="AX551" s="103"/>
      <c r="AY551" s="103"/>
      <c r="AZ551" s="103"/>
      <c r="BA551" s="103"/>
      <c r="BB551" s="103"/>
      <c r="BC551" s="103"/>
      <c r="BD551" s="103"/>
      <c r="BE551" s="103"/>
      <c r="BF551" s="103"/>
      <c r="BG551" s="103"/>
      <c r="BH551" s="103"/>
      <c r="BI551" s="103"/>
      <c r="BJ551" s="103"/>
      <c r="BK551" s="103"/>
      <c r="BL551" s="103"/>
      <c r="BM551" s="103"/>
      <c r="BN551" s="103"/>
      <c r="BO551" s="103"/>
      <c r="BP551" s="103"/>
      <c r="BQ551" s="103"/>
      <c r="BR551" s="103"/>
      <c r="BS551" s="103"/>
      <c r="BT551" s="103"/>
      <c r="BU551" s="103"/>
      <c r="BV551" s="103"/>
      <c r="BW551" s="103"/>
      <c r="BX551" s="103"/>
      <c r="BY551" s="103"/>
      <c r="BZ551" s="103"/>
      <c r="CA551" s="103"/>
      <c r="CB551" s="103"/>
      <c r="CC551" s="103"/>
      <c r="CD551" s="103"/>
      <c r="CE551" s="103"/>
      <c r="CF551" s="103"/>
      <c r="CG551" s="103"/>
      <c r="CH551" s="103"/>
      <c r="CI551" s="103"/>
      <c r="CJ551" s="103"/>
      <c r="CK551" s="103"/>
      <c r="CL551" s="103"/>
      <c r="CM551" s="103"/>
      <c r="CN551" s="103"/>
      <c r="CO551" s="103"/>
    </row>
    <row r="552" spans="1:93">
      <c r="A552" s="233"/>
      <c r="B552" s="101"/>
      <c r="C552" s="17"/>
      <c r="D552" s="69"/>
      <c r="E552" s="62"/>
      <c r="F552" s="70"/>
      <c r="G552" s="11"/>
      <c r="H552" s="69"/>
      <c r="I552" s="69"/>
      <c r="J552" s="69"/>
      <c r="K552" s="69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  <c r="Z552" s="103"/>
      <c r="AA552" s="103"/>
      <c r="AB552" s="103"/>
      <c r="AC552" s="103"/>
      <c r="AD552" s="103"/>
      <c r="AE552" s="103"/>
      <c r="AF552" s="103"/>
      <c r="AG552" s="103"/>
      <c r="AH552" s="103"/>
      <c r="AI552" s="103"/>
      <c r="AJ552" s="103"/>
      <c r="AK552" s="103"/>
      <c r="AL552" s="103"/>
      <c r="AM552" s="103"/>
      <c r="AN552" s="103"/>
      <c r="AO552" s="103"/>
      <c r="AP552" s="103"/>
      <c r="AQ552" s="103"/>
      <c r="AR552" s="103"/>
      <c r="AS552" s="103"/>
      <c r="AT552" s="103"/>
      <c r="AU552" s="103"/>
      <c r="AV552" s="103"/>
      <c r="AW552" s="103"/>
      <c r="AX552" s="103"/>
      <c r="AY552" s="103"/>
      <c r="AZ552" s="103"/>
      <c r="BA552" s="103"/>
      <c r="BB552" s="103"/>
      <c r="BC552" s="103"/>
      <c r="BD552" s="103"/>
      <c r="BE552" s="103"/>
      <c r="BF552" s="103"/>
      <c r="BG552" s="103"/>
      <c r="BH552" s="103"/>
      <c r="BI552" s="103"/>
      <c r="BJ552" s="103"/>
      <c r="BK552" s="103"/>
      <c r="BL552" s="103"/>
      <c r="BM552" s="103"/>
      <c r="BN552" s="103"/>
      <c r="BO552" s="103"/>
      <c r="BP552" s="103"/>
      <c r="BQ552" s="103"/>
      <c r="BR552" s="103"/>
      <c r="BS552" s="103"/>
      <c r="BT552" s="103"/>
      <c r="BU552" s="103"/>
      <c r="BV552" s="103"/>
      <c r="BW552" s="103"/>
      <c r="BX552" s="103"/>
      <c r="BY552" s="103"/>
      <c r="BZ552" s="103"/>
      <c r="CA552" s="103"/>
      <c r="CB552" s="103"/>
      <c r="CC552" s="103"/>
      <c r="CD552" s="103"/>
      <c r="CE552" s="103"/>
      <c r="CF552" s="103"/>
      <c r="CG552" s="103"/>
      <c r="CH552" s="103"/>
      <c r="CI552" s="103"/>
      <c r="CJ552" s="103"/>
      <c r="CK552" s="103"/>
      <c r="CL552" s="103"/>
      <c r="CM552" s="103"/>
      <c r="CN552" s="103"/>
      <c r="CO552" s="103"/>
    </row>
    <row r="553" spans="1:93">
      <c r="A553" s="233"/>
      <c r="B553" s="101"/>
      <c r="C553" s="17" t="s">
        <v>1261</v>
      </c>
      <c r="D553" s="69"/>
      <c r="E553" s="171">
        <f xml:space="preserve"> Предпосылки!E398</f>
        <v>1.5078581871345029</v>
      </c>
      <c r="F553" s="70"/>
      <c r="G553" s="11" t="s">
        <v>28</v>
      </c>
      <c r="H553" s="69"/>
      <c r="I553" s="69"/>
      <c r="J553" s="69"/>
      <c r="K553" s="69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  <c r="AA553" s="103"/>
      <c r="AB553" s="103"/>
      <c r="AC553" s="103"/>
      <c r="AD553" s="103"/>
      <c r="AE553" s="103"/>
      <c r="AF553" s="103"/>
      <c r="AG553" s="103"/>
      <c r="AH553" s="103"/>
      <c r="AI553" s="103"/>
      <c r="AJ553" s="103"/>
      <c r="AK553" s="103"/>
      <c r="AL553" s="103"/>
      <c r="AM553" s="103"/>
      <c r="AN553" s="103"/>
      <c r="AO553" s="103"/>
      <c r="AP553" s="103"/>
      <c r="AQ553" s="103"/>
      <c r="AR553" s="103"/>
      <c r="AS553" s="103"/>
      <c r="AT553" s="103"/>
      <c r="AU553" s="103"/>
      <c r="AV553" s="103"/>
      <c r="AW553" s="103"/>
      <c r="AX553" s="103"/>
      <c r="AY553" s="103"/>
      <c r="AZ553" s="103"/>
      <c r="BA553" s="103"/>
      <c r="BB553" s="103"/>
      <c r="BC553" s="103"/>
      <c r="BD553" s="103"/>
      <c r="BE553" s="103"/>
      <c r="BF553" s="103"/>
      <c r="BG553" s="103"/>
      <c r="BH553" s="103"/>
      <c r="BI553" s="103"/>
      <c r="BJ553" s="103"/>
      <c r="BK553" s="103"/>
      <c r="BL553" s="103"/>
      <c r="BM553" s="103"/>
      <c r="BN553" s="103"/>
      <c r="BO553" s="103"/>
      <c r="BP553" s="103"/>
      <c r="BQ553" s="103"/>
      <c r="BR553" s="103"/>
      <c r="BS553" s="103"/>
      <c r="BT553" s="103"/>
      <c r="BU553" s="103"/>
      <c r="BV553" s="103"/>
      <c r="BW553" s="103"/>
      <c r="BX553" s="103"/>
      <c r="BY553" s="103"/>
      <c r="BZ553" s="103"/>
      <c r="CA553" s="103"/>
      <c r="CB553" s="103"/>
      <c r="CC553" s="103"/>
      <c r="CD553" s="103"/>
      <c r="CE553" s="103"/>
      <c r="CF553" s="103"/>
      <c r="CG553" s="103"/>
      <c r="CH553" s="103"/>
      <c r="CI553" s="103"/>
      <c r="CJ553" s="103"/>
      <c r="CK553" s="103"/>
      <c r="CL553" s="103"/>
      <c r="CM553" s="103"/>
      <c r="CN553" s="103"/>
      <c r="CO553" s="103"/>
    </row>
    <row r="554" spans="1:93">
      <c r="A554" s="233"/>
      <c r="B554" s="101"/>
      <c r="C554" s="17" t="s">
        <v>1262</v>
      </c>
      <c r="D554" s="69"/>
      <c r="E554" s="62">
        <f xml:space="preserve"> $E$548 * (E553)</f>
        <v>15226.474110197369</v>
      </c>
      <c r="F554" s="70"/>
      <c r="G554" s="11" t="s">
        <v>666</v>
      </c>
      <c r="H554" s="69"/>
      <c r="I554" s="69"/>
      <c r="J554" s="69"/>
      <c r="K554" s="69"/>
      <c r="L554" s="103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  <c r="AA554" s="103"/>
      <c r="AB554" s="103"/>
      <c r="AC554" s="103"/>
      <c r="AD554" s="103"/>
      <c r="AE554" s="103"/>
      <c r="AF554" s="103"/>
      <c r="AG554" s="103"/>
      <c r="AH554" s="103"/>
      <c r="AI554" s="103"/>
      <c r="AJ554" s="103"/>
      <c r="AK554" s="103"/>
      <c r="AL554" s="103"/>
      <c r="AM554" s="103"/>
      <c r="AN554" s="103"/>
      <c r="AO554" s="103"/>
      <c r="AP554" s="103"/>
      <c r="AQ554" s="103"/>
      <c r="AR554" s="103"/>
      <c r="AS554" s="103"/>
      <c r="AT554" s="103"/>
      <c r="AU554" s="103"/>
      <c r="AV554" s="103"/>
      <c r="AW554" s="103"/>
      <c r="AX554" s="103"/>
      <c r="AY554" s="103"/>
      <c r="AZ554" s="103"/>
      <c r="BA554" s="103"/>
      <c r="BB554" s="103"/>
      <c r="BC554" s="103"/>
      <c r="BD554" s="103"/>
      <c r="BE554" s="103"/>
      <c r="BF554" s="103"/>
      <c r="BG554" s="103"/>
      <c r="BH554" s="103"/>
      <c r="BI554" s="103"/>
      <c r="BJ554" s="103"/>
      <c r="BK554" s="103"/>
      <c r="BL554" s="103"/>
      <c r="BM554" s="103"/>
      <c r="BN554" s="103"/>
      <c r="BO554" s="103"/>
      <c r="BP554" s="103"/>
      <c r="BQ554" s="103"/>
      <c r="BR554" s="103"/>
      <c r="BS554" s="103"/>
      <c r="BT554" s="103"/>
      <c r="BU554" s="103"/>
      <c r="BV554" s="103"/>
      <c r="BW554" s="103"/>
      <c r="BX554" s="103"/>
      <c r="BY554" s="103"/>
      <c r="BZ554" s="103"/>
      <c r="CA554" s="103"/>
      <c r="CB554" s="103"/>
      <c r="CC554" s="103"/>
      <c r="CD554" s="103"/>
      <c r="CE554" s="103"/>
      <c r="CF554" s="103"/>
      <c r="CG554" s="103"/>
      <c r="CH554" s="103"/>
      <c r="CI554" s="103"/>
      <c r="CJ554" s="103"/>
      <c r="CK554" s="103"/>
      <c r="CL554" s="103"/>
      <c r="CM554" s="103"/>
      <c r="CN554" s="103"/>
      <c r="CO554" s="103"/>
    </row>
    <row r="555" spans="1:93">
      <c r="A555" s="233"/>
      <c r="B555" s="101"/>
      <c r="C555" s="17"/>
      <c r="D555" s="69"/>
      <c r="E555" s="62"/>
      <c r="F555" s="70"/>
      <c r="G555" s="11"/>
      <c r="H555" s="69"/>
      <c r="I555" s="69"/>
      <c r="J555" s="69"/>
      <c r="K555" s="69"/>
      <c r="L555" s="103"/>
      <c r="M555" s="103"/>
      <c r="N555" s="103"/>
      <c r="O555" s="103"/>
      <c r="P555" s="103"/>
      <c r="Q555" s="103"/>
      <c r="R555" s="103"/>
      <c r="S555" s="103"/>
      <c r="T555" s="103"/>
      <c r="U555" s="103"/>
      <c r="V555" s="103"/>
      <c r="W555" s="103"/>
      <c r="X555" s="103"/>
      <c r="Y555" s="103"/>
      <c r="Z555" s="103"/>
      <c r="AA555" s="103"/>
      <c r="AB555" s="103"/>
      <c r="AC555" s="103"/>
      <c r="AD555" s="103"/>
      <c r="AE555" s="103"/>
      <c r="AF555" s="103"/>
      <c r="AG555" s="103"/>
      <c r="AH555" s="103"/>
      <c r="AI555" s="103"/>
      <c r="AJ555" s="103"/>
      <c r="AK555" s="103"/>
      <c r="AL555" s="103"/>
      <c r="AM555" s="103"/>
      <c r="AN555" s="103"/>
      <c r="AO555" s="103"/>
      <c r="AP555" s="103"/>
      <c r="AQ555" s="103"/>
      <c r="AR555" s="103"/>
      <c r="AS555" s="103"/>
      <c r="AT555" s="103"/>
      <c r="AU555" s="103"/>
      <c r="AV555" s="103"/>
      <c r="AW555" s="103"/>
      <c r="AX555" s="103"/>
      <c r="AY555" s="103"/>
      <c r="AZ555" s="103"/>
      <c r="BA555" s="103"/>
      <c r="BB555" s="103"/>
      <c r="BC555" s="103"/>
      <c r="BD555" s="103"/>
      <c r="BE555" s="103"/>
      <c r="BF555" s="103"/>
      <c r="BG555" s="103"/>
      <c r="BH555" s="103"/>
      <c r="BI555" s="103"/>
      <c r="BJ555" s="103"/>
      <c r="BK555" s="103"/>
      <c r="BL555" s="103"/>
      <c r="BM555" s="103"/>
      <c r="BN555" s="103"/>
      <c r="BO555" s="103"/>
      <c r="BP555" s="103"/>
      <c r="BQ555" s="103"/>
      <c r="BR555" s="103"/>
      <c r="BS555" s="103"/>
      <c r="BT555" s="103"/>
      <c r="BU555" s="103"/>
      <c r="BV555" s="103"/>
      <c r="BW555" s="103"/>
      <c r="BX555" s="103"/>
      <c r="BY555" s="103"/>
      <c r="BZ555" s="103"/>
      <c r="CA555" s="103"/>
      <c r="CB555" s="103"/>
      <c r="CC555" s="103"/>
      <c r="CD555" s="103"/>
      <c r="CE555" s="103"/>
      <c r="CF555" s="103"/>
      <c r="CG555" s="103"/>
      <c r="CH555" s="103"/>
      <c r="CI555" s="103"/>
      <c r="CJ555" s="103"/>
      <c r="CK555" s="103"/>
      <c r="CL555" s="103"/>
      <c r="CM555" s="103"/>
      <c r="CN555" s="103"/>
      <c r="CO555" s="103"/>
    </row>
    <row r="556" spans="1:93">
      <c r="A556" s="233"/>
      <c r="B556" s="101"/>
      <c r="C556" s="17" t="s">
        <v>1358</v>
      </c>
      <c r="D556" s="69"/>
      <c r="E556" s="171">
        <f xml:space="preserve"> Предпосылки!E399</f>
        <v>2.6720272904483431</v>
      </c>
      <c r="F556" s="70"/>
      <c r="G556" s="11" t="s">
        <v>28</v>
      </c>
      <c r="H556" s="69"/>
      <c r="I556" s="69"/>
      <c r="J556" s="69"/>
      <c r="K556" s="69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  <c r="AA556" s="103"/>
      <c r="AB556" s="103"/>
      <c r="AC556" s="103"/>
      <c r="AD556" s="103"/>
      <c r="AE556" s="103"/>
      <c r="AF556" s="103"/>
      <c r="AG556" s="103"/>
      <c r="AH556" s="103"/>
      <c r="AI556" s="103"/>
      <c r="AJ556" s="103"/>
      <c r="AK556" s="103"/>
      <c r="AL556" s="103"/>
      <c r="AM556" s="103"/>
      <c r="AN556" s="103"/>
      <c r="AO556" s="103"/>
      <c r="AP556" s="103"/>
      <c r="AQ556" s="103"/>
      <c r="AR556" s="103"/>
      <c r="AS556" s="103"/>
      <c r="AT556" s="103"/>
      <c r="AU556" s="103"/>
      <c r="AV556" s="103"/>
      <c r="AW556" s="103"/>
      <c r="AX556" s="103"/>
      <c r="AY556" s="103"/>
      <c r="AZ556" s="103"/>
      <c r="BA556" s="103"/>
      <c r="BB556" s="103"/>
      <c r="BC556" s="103"/>
      <c r="BD556" s="103"/>
      <c r="BE556" s="103"/>
      <c r="BF556" s="103"/>
      <c r="BG556" s="103"/>
      <c r="BH556" s="103"/>
      <c r="BI556" s="103"/>
      <c r="BJ556" s="103"/>
      <c r="BK556" s="103"/>
      <c r="BL556" s="103"/>
      <c r="BM556" s="103"/>
      <c r="BN556" s="103"/>
      <c r="BO556" s="103"/>
      <c r="BP556" s="103"/>
      <c r="BQ556" s="103"/>
      <c r="BR556" s="103"/>
      <c r="BS556" s="103"/>
      <c r="BT556" s="103"/>
      <c r="BU556" s="103"/>
      <c r="BV556" s="103"/>
      <c r="BW556" s="103"/>
      <c r="BX556" s="103"/>
      <c r="BY556" s="103"/>
      <c r="BZ556" s="103"/>
      <c r="CA556" s="103"/>
      <c r="CB556" s="103"/>
      <c r="CC556" s="103"/>
      <c r="CD556" s="103"/>
      <c r="CE556" s="103"/>
      <c r="CF556" s="103"/>
      <c r="CG556" s="103"/>
      <c r="CH556" s="103"/>
      <c r="CI556" s="103"/>
      <c r="CJ556" s="103"/>
      <c r="CK556" s="103"/>
      <c r="CL556" s="103"/>
      <c r="CM556" s="103"/>
      <c r="CN556" s="103"/>
      <c r="CO556" s="103"/>
    </row>
    <row r="557" spans="1:93">
      <c r="A557" s="233"/>
      <c r="B557" s="101"/>
      <c r="C557" s="17" t="s">
        <v>1359</v>
      </c>
      <c r="D557" s="69"/>
      <c r="E557" s="62">
        <f xml:space="preserve"> $E$548 * (E556)</f>
        <v>26982.348013157894</v>
      </c>
      <c r="F557" s="70"/>
      <c r="G557" s="11" t="s">
        <v>666</v>
      </c>
      <c r="H557" s="69"/>
      <c r="I557" s="69"/>
      <c r="J557" s="69"/>
      <c r="K557" s="69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  <c r="AA557" s="103"/>
      <c r="AB557" s="103"/>
      <c r="AC557" s="103"/>
      <c r="AD557" s="103"/>
      <c r="AE557" s="103"/>
      <c r="AF557" s="103"/>
      <c r="AG557" s="103"/>
      <c r="AH557" s="103"/>
      <c r="AI557" s="103"/>
      <c r="AJ557" s="103"/>
      <c r="AK557" s="103"/>
      <c r="AL557" s="103"/>
      <c r="AM557" s="103"/>
      <c r="AN557" s="103"/>
      <c r="AO557" s="103"/>
      <c r="AP557" s="103"/>
      <c r="AQ557" s="103"/>
      <c r="AR557" s="103"/>
      <c r="AS557" s="103"/>
      <c r="AT557" s="103"/>
      <c r="AU557" s="103"/>
      <c r="AV557" s="103"/>
      <c r="AW557" s="103"/>
      <c r="AX557" s="103"/>
      <c r="AY557" s="103"/>
      <c r="AZ557" s="103"/>
      <c r="BA557" s="103"/>
      <c r="BB557" s="103"/>
      <c r="BC557" s="103"/>
      <c r="BD557" s="103"/>
      <c r="BE557" s="103"/>
      <c r="BF557" s="103"/>
      <c r="BG557" s="103"/>
      <c r="BH557" s="103"/>
      <c r="BI557" s="103"/>
      <c r="BJ557" s="103"/>
      <c r="BK557" s="103"/>
      <c r="BL557" s="103"/>
      <c r="BM557" s="103"/>
      <c r="BN557" s="103"/>
      <c r="BO557" s="103"/>
      <c r="BP557" s="103"/>
      <c r="BQ557" s="103"/>
      <c r="BR557" s="103"/>
      <c r="BS557" s="103"/>
      <c r="BT557" s="103"/>
      <c r="BU557" s="103"/>
      <c r="BV557" s="103"/>
      <c r="BW557" s="103"/>
      <c r="BX557" s="103"/>
      <c r="BY557" s="103"/>
      <c r="BZ557" s="103"/>
      <c r="CA557" s="103"/>
      <c r="CB557" s="103"/>
      <c r="CC557" s="103"/>
      <c r="CD557" s="103"/>
      <c r="CE557" s="103"/>
      <c r="CF557" s="103"/>
      <c r="CG557" s="103"/>
      <c r="CH557" s="103"/>
      <c r="CI557" s="103"/>
      <c r="CJ557" s="103"/>
      <c r="CK557" s="103"/>
      <c r="CL557" s="103"/>
      <c r="CM557" s="103"/>
      <c r="CN557" s="103"/>
      <c r="CO557" s="103"/>
    </row>
    <row r="558" spans="1:93">
      <c r="A558" s="233"/>
      <c r="B558" s="101"/>
      <c r="C558" s="17"/>
      <c r="D558" s="69"/>
      <c r="E558" s="62"/>
      <c r="F558" s="70"/>
      <c r="G558" s="11"/>
      <c r="H558" s="69"/>
      <c r="I558" s="69"/>
      <c r="J558" s="69"/>
      <c r="K558" s="69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  <c r="AA558" s="103"/>
      <c r="AB558" s="103"/>
      <c r="AC558" s="103"/>
      <c r="AD558" s="103"/>
      <c r="AE558" s="103"/>
      <c r="AF558" s="103"/>
      <c r="AG558" s="103"/>
      <c r="AH558" s="103"/>
      <c r="AI558" s="103"/>
      <c r="AJ558" s="103"/>
      <c r="AK558" s="103"/>
      <c r="AL558" s="103"/>
      <c r="AM558" s="103"/>
      <c r="AN558" s="103"/>
      <c r="AO558" s="103"/>
      <c r="AP558" s="103"/>
      <c r="AQ558" s="103"/>
      <c r="AR558" s="103"/>
      <c r="AS558" s="103"/>
      <c r="AT558" s="103"/>
      <c r="AU558" s="103"/>
      <c r="AV558" s="103"/>
      <c r="AW558" s="103"/>
      <c r="AX558" s="103"/>
      <c r="AY558" s="103"/>
      <c r="AZ558" s="103"/>
      <c r="BA558" s="103"/>
      <c r="BB558" s="103"/>
      <c r="BC558" s="103"/>
      <c r="BD558" s="103"/>
      <c r="BE558" s="103"/>
      <c r="BF558" s="103"/>
      <c r="BG558" s="103"/>
      <c r="BH558" s="103"/>
      <c r="BI558" s="103"/>
      <c r="BJ558" s="103"/>
      <c r="BK558" s="103"/>
      <c r="BL558" s="103"/>
      <c r="BM558" s="103"/>
      <c r="BN558" s="103"/>
      <c r="BO558" s="103"/>
      <c r="BP558" s="103"/>
      <c r="BQ558" s="103"/>
      <c r="BR558" s="103"/>
      <c r="BS558" s="103"/>
      <c r="BT558" s="103"/>
      <c r="BU558" s="103"/>
      <c r="BV558" s="103"/>
      <c r="BW558" s="103"/>
      <c r="BX558" s="103"/>
      <c r="BY558" s="103"/>
      <c r="BZ558" s="103"/>
      <c r="CA558" s="103"/>
      <c r="CB558" s="103"/>
      <c r="CC558" s="103"/>
      <c r="CD558" s="103"/>
      <c r="CE558" s="103"/>
      <c r="CF558" s="103"/>
      <c r="CG558" s="103"/>
      <c r="CH558" s="103"/>
      <c r="CI558" s="103"/>
      <c r="CJ558" s="103"/>
      <c r="CK558" s="103"/>
      <c r="CL558" s="103"/>
      <c r="CM558" s="103"/>
      <c r="CN558" s="103"/>
      <c r="CO558" s="103"/>
    </row>
    <row r="559" spans="1:93">
      <c r="A559" s="233"/>
      <c r="B559" s="101"/>
      <c r="C559" s="17" t="s">
        <v>1360</v>
      </c>
      <c r="D559" s="69"/>
      <c r="E559" s="171">
        <f xml:space="preserve"> Предпосылки!E400</f>
        <v>2.4167884990253414</v>
      </c>
      <c r="F559" s="70"/>
      <c r="G559" s="11" t="s">
        <v>28</v>
      </c>
      <c r="H559" s="69"/>
      <c r="I559" s="69"/>
      <c r="J559" s="69"/>
      <c r="K559" s="69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  <c r="AA559" s="103"/>
      <c r="AB559" s="103"/>
      <c r="AC559" s="103"/>
      <c r="AD559" s="103"/>
      <c r="AE559" s="103"/>
      <c r="AF559" s="103"/>
      <c r="AG559" s="103"/>
      <c r="AH559" s="103"/>
      <c r="AI559" s="103"/>
      <c r="AJ559" s="103"/>
      <c r="AK559" s="103"/>
      <c r="AL559" s="103"/>
      <c r="AM559" s="103"/>
      <c r="AN559" s="103"/>
      <c r="AO559" s="103"/>
      <c r="AP559" s="103"/>
      <c r="AQ559" s="103"/>
      <c r="AR559" s="103"/>
      <c r="AS559" s="103"/>
      <c r="AT559" s="103"/>
      <c r="AU559" s="103"/>
      <c r="AV559" s="103"/>
      <c r="AW559" s="103"/>
      <c r="AX559" s="103"/>
      <c r="AY559" s="103"/>
      <c r="AZ559" s="103"/>
      <c r="BA559" s="103"/>
      <c r="BB559" s="103"/>
      <c r="BC559" s="103"/>
      <c r="BD559" s="103"/>
      <c r="BE559" s="103"/>
      <c r="BF559" s="103"/>
      <c r="BG559" s="103"/>
      <c r="BH559" s="103"/>
      <c r="BI559" s="103"/>
      <c r="BJ559" s="103"/>
      <c r="BK559" s="103"/>
      <c r="BL559" s="103"/>
      <c r="BM559" s="103"/>
      <c r="BN559" s="103"/>
      <c r="BO559" s="103"/>
      <c r="BP559" s="103"/>
      <c r="BQ559" s="103"/>
      <c r="BR559" s="103"/>
      <c r="BS559" s="103"/>
      <c r="BT559" s="103"/>
      <c r="BU559" s="103"/>
      <c r="BV559" s="103"/>
      <c r="BW559" s="103"/>
      <c r="BX559" s="103"/>
      <c r="BY559" s="103"/>
      <c r="BZ559" s="103"/>
      <c r="CA559" s="103"/>
      <c r="CB559" s="103"/>
      <c r="CC559" s="103"/>
      <c r="CD559" s="103"/>
      <c r="CE559" s="103"/>
      <c r="CF559" s="103"/>
      <c r="CG559" s="103"/>
      <c r="CH559" s="103"/>
      <c r="CI559" s="103"/>
      <c r="CJ559" s="103"/>
      <c r="CK559" s="103"/>
      <c r="CL559" s="103"/>
      <c r="CM559" s="103"/>
      <c r="CN559" s="103"/>
      <c r="CO559" s="103"/>
    </row>
    <row r="560" spans="1:93">
      <c r="A560" s="233"/>
      <c r="B560" s="101"/>
      <c r="C560" s="17" t="s">
        <v>1361</v>
      </c>
      <c r="D560" s="69"/>
      <c r="E560" s="62">
        <f xml:space="preserve"> $E$548 * (E559)</f>
        <v>24404.926023026321</v>
      </c>
      <c r="F560" s="70"/>
      <c r="G560" s="11" t="s">
        <v>666</v>
      </c>
      <c r="H560" s="69"/>
      <c r="I560" s="69"/>
      <c r="J560" s="69"/>
      <c r="K560" s="69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  <c r="AA560" s="103"/>
      <c r="AB560" s="103"/>
      <c r="AC560" s="103"/>
      <c r="AD560" s="103"/>
      <c r="AE560" s="103"/>
      <c r="AF560" s="103"/>
      <c r="AG560" s="103"/>
      <c r="AH560" s="103"/>
      <c r="AI560" s="103"/>
      <c r="AJ560" s="103"/>
      <c r="AK560" s="103"/>
      <c r="AL560" s="103"/>
      <c r="AM560" s="103"/>
      <c r="AN560" s="103"/>
      <c r="AO560" s="103"/>
      <c r="AP560" s="103"/>
      <c r="AQ560" s="103"/>
      <c r="AR560" s="103"/>
      <c r="AS560" s="103"/>
      <c r="AT560" s="103"/>
      <c r="AU560" s="103"/>
      <c r="AV560" s="103"/>
      <c r="AW560" s="103"/>
      <c r="AX560" s="103"/>
      <c r="AY560" s="103"/>
      <c r="AZ560" s="103"/>
      <c r="BA560" s="103"/>
      <c r="BB560" s="103"/>
      <c r="BC560" s="103"/>
      <c r="BD560" s="103"/>
      <c r="BE560" s="103"/>
      <c r="BF560" s="103"/>
      <c r="BG560" s="103"/>
      <c r="BH560" s="103"/>
      <c r="BI560" s="103"/>
      <c r="BJ560" s="103"/>
      <c r="BK560" s="103"/>
      <c r="BL560" s="103"/>
      <c r="BM560" s="103"/>
      <c r="BN560" s="103"/>
      <c r="BO560" s="103"/>
      <c r="BP560" s="103"/>
      <c r="BQ560" s="103"/>
      <c r="BR560" s="103"/>
      <c r="BS560" s="103"/>
      <c r="BT560" s="103"/>
      <c r="BU560" s="103"/>
      <c r="BV560" s="103"/>
      <c r="BW560" s="103"/>
      <c r="BX560" s="103"/>
      <c r="BY560" s="103"/>
      <c r="BZ560" s="103"/>
      <c r="CA560" s="103"/>
      <c r="CB560" s="103"/>
      <c r="CC560" s="103"/>
      <c r="CD560" s="103"/>
      <c r="CE560" s="103"/>
      <c r="CF560" s="103"/>
      <c r="CG560" s="103"/>
      <c r="CH560" s="103"/>
      <c r="CI560" s="103"/>
      <c r="CJ560" s="103"/>
      <c r="CK560" s="103"/>
      <c r="CL560" s="103"/>
      <c r="CM560" s="103"/>
      <c r="CN560" s="103"/>
      <c r="CO560" s="103"/>
    </row>
    <row r="561" spans="1:93">
      <c r="A561" s="233"/>
      <c r="B561" s="101"/>
      <c r="C561" s="17"/>
      <c r="D561" s="69"/>
      <c r="E561" s="62"/>
      <c r="F561" s="70"/>
      <c r="G561" s="11"/>
      <c r="H561" s="69"/>
      <c r="I561" s="69"/>
      <c r="J561" s="69"/>
      <c r="K561" s="69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  <c r="AA561" s="103"/>
      <c r="AB561" s="103"/>
      <c r="AC561" s="103"/>
      <c r="AD561" s="103"/>
      <c r="AE561" s="103"/>
      <c r="AF561" s="103"/>
      <c r="AG561" s="103"/>
      <c r="AH561" s="103"/>
      <c r="AI561" s="103"/>
      <c r="AJ561" s="103"/>
      <c r="AK561" s="103"/>
      <c r="AL561" s="103"/>
      <c r="AM561" s="103"/>
      <c r="AN561" s="103"/>
      <c r="AO561" s="103"/>
      <c r="AP561" s="103"/>
      <c r="AQ561" s="103"/>
      <c r="AR561" s="103"/>
      <c r="AS561" s="103"/>
      <c r="AT561" s="103"/>
      <c r="AU561" s="103"/>
      <c r="AV561" s="103"/>
      <c r="AW561" s="103"/>
      <c r="AX561" s="103"/>
      <c r="AY561" s="103"/>
      <c r="AZ561" s="103"/>
      <c r="BA561" s="103"/>
      <c r="BB561" s="103"/>
      <c r="BC561" s="103"/>
      <c r="BD561" s="103"/>
      <c r="BE561" s="103"/>
      <c r="BF561" s="103"/>
      <c r="BG561" s="103"/>
      <c r="BH561" s="103"/>
      <c r="BI561" s="103"/>
      <c r="BJ561" s="103"/>
      <c r="BK561" s="103"/>
      <c r="BL561" s="103"/>
      <c r="BM561" s="103"/>
      <c r="BN561" s="103"/>
      <c r="BO561" s="103"/>
      <c r="BP561" s="103"/>
      <c r="BQ561" s="103"/>
      <c r="BR561" s="103"/>
      <c r="BS561" s="103"/>
      <c r="BT561" s="103"/>
      <c r="BU561" s="103"/>
      <c r="BV561" s="103"/>
      <c r="BW561" s="103"/>
      <c r="BX561" s="103"/>
      <c r="BY561" s="103"/>
      <c r="BZ561" s="103"/>
      <c r="CA561" s="103"/>
      <c r="CB561" s="103"/>
      <c r="CC561" s="103"/>
      <c r="CD561" s="103"/>
      <c r="CE561" s="103"/>
      <c r="CF561" s="103"/>
      <c r="CG561" s="103"/>
      <c r="CH561" s="103"/>
      <c r="CI561" s="103"/>
      <c r="CJ561" s="103"/>
      <c r="CK561" s="103"/>
      <c r="CL561" s="103"/>
      <c r="CM561" s="103"/>
      <c r="CN561" s="103"/>
      <c r="CO561" s="103"/>
    </row>
    <row r="562" spans="1:93">
      <c r="A562" s="233"/>
      <c r="B562" s="101"/>
      <c r="C562" s="17" t="s">
        <v>1529</v>
      </c>
      <c r="D562" s="69"/>
      <c r="E562" s="171"/>
      <c r="F562" s="70"/>
      <c r="G562" s="11" t="s">
        <v>28</v>
      </c>
      <c r="H562" s="69"/>
      <c r="I562" s="69"/>
      <c r="J562" s="69"/>
      <c r="K562" s="69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  <c r="AA562" s="103"/>
      <c r="AB562" s="103"/>
      <c r="AC562" s="103"/>
      <c r="AD562" s="103"/>
      <c r="AE562" s="103"/>
      <c r="AF562" s="103"/>
      <c r="AG562" s="103"/>
      <c r="AH562" s="103"/>
      <c r="AI562" s="103"/>
      <c r="AJ562" s="103"/>
      <c r="AK562" s="103"/>
      <c r="AL562" s="103"/>
      <c r="AM562" s="103"/>
      <c r="AN562" s="103"/>
      <c r="AO562" s="103"/>
      <c r="AP562" s="103"/>
      <c r="AQ562" s="103"/>
      <c r="AR562" s="103"/>
      <c r="AS562" s="103"/>
      <c r="AT562" s="103"/>
      <c r="AU562" s="103"/>
      <c r="AV562" s="103"/>
      <c r="AW562" s="103"/>
      <c r="AX562" s="103"/>
      <c r="AY562" s="103"/>
      <c r="AZ562" s="103"/>
      <c r="BA562" s="103"/>
      <c r="BB562" s="103"/>
      <c r="BC562" s="103"/>
      <c r="BD562" s="103"/>
      <c r="BE562" s="103"/>
      <c r="BF562" s="103"/>
      <c r="BG562" s="103"/>
      <c r="BH562" s="103"/>
      <c r="BI562" s="103"/>
      <c r="BJ562" s="103"/>
      <c r="BK562" s="103"/>
      <c r="BL562" s="103"/>
      <c r="BM562" s="103"/>
      <c r="BN562" s="103"/>
      <c r="BO562" s="103"/>
      <c r="BP562" s="103"/>
      <c r="BQ562" s="103"/>
      <c r="BR562" s="103"/>
      <c r="BS562" s="103"/>
      <c r="BT562" s="103"/>
      <c r="BU562" s="103"/>
      <c r="BV562" s="103"/>
      <c r="BW562" s="103"/>
      <c r="BX562" s="103"/>
      <c r="BY562" s="103"/>
      <c r="BZ562" s="103"/>
      <c r="CA562" s="103"/>
      <c r="CB562" s="103"/>
      <c r="CC562" s="103"/>
      <c r="CD562" s="103"/>
      <c r="CE562" s="103"/>
      <c r="CF562" s="103"/>
      <c r="CG562" s="103"/>
      <c r="CH562" s="103"/>
      <c r="CI562" s="103"/>
      <c r="CJ562" s="103"/>
      <c r="CK562" s="103"/>
      <c r="CL562" s="103"/>
      <c r="CM562" s="103"/>
      <c r="CN562" s="103"/>
      <c r="CO562" s="103"/>
    </row>
    <row r="563" spans="1:93">
      <c r="A563" s="233"/>
      <c r="B563" s="101"/>
      <c r="C563" s="17" t="s">
        <v>1530</v>
      </c>
      <c r="D563" s="69"/>
      <c r="E563" s="62"/>
      <c r="F563" s="70"/>
      <c r="G563" s="11" t="s">
        <v>666</v>
      </c>
      <c r="H563" s="69"/>
      <c r="I563" s="69"/>
      <c r="J563" s="69"/>
      <c r="K563" s="69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  <c r="AA563" s="103"/>
      <c r="AB563" s="103"/>
      <c r="AC563" s="103"/>
      <c r="AD563" s="103"/>
      <c r="AE563" s="103"/>
      <c r="AF563" s="103"/>
      <c r="AG563" s="103"/>
      <c r="AH563" s="103"/>
      <c r="AI563" s="103"/>
      <c r="AJ563" s="103"/>
      <c r="AK563" s="103"/>
      <c r="AL563" s="103"/>
      <c r="AM563" s="103"/>
      <c r="AN563" s="103"/>
      <c r="AO563" s="103"/>
      <c r="AP563" s="103"/>
      <c r="AQ563" s="103"/>
      <c r="AR563" s="103"/>
      <c r="AS563" s="103"/>
      <c r="AT563" s="103"/>
      <c r="AU563" s="103"/>
      <c r="AV563" s="103"/>
      <c r="AW563" s="103"/>
      <c r="AX563" s="103"/>
      <c r="AY563" s="103"/>
      <c r="AZ563" s="103"/>
      <c r="BA563" s="103"/>
      <c r="BB563" s="103"/>
      <c r="BC563" s="103"/>
      <c r="BD563" s="103"/>
      <c r="BE563" s="103"/>
      <c r="BF563" s="103"/>
      <c r="BG563" s="103"/>
      <c r="BH563" s="103"/>
      <c r="BI563" s="103"/>
      <c r="BJ563" s="103"/>
      <c r="BK563" s="103"/>
      <c r="BL563" s="103"/>
      <c r="BM563" s="103"/>
      <c r="BN563" s="103"/>
      <c r="BO563" s="103"/>
      <c r="BP563" s="103"/>
      <c r="BQ563" s="103"/>
      <c r="BR563" s="103"/>
      <c r="BS563" s="103"/>
      <c r="BT563" s="103"/>
      <c r="BU563" s="103"/>
      <c r="BV563" s="103"/>
      <c r="BW563" s="103"/>
      <c r="BX563" s="103"/>
      <c r="BY563" s="103"/>
      <c r="BZ563" s="103"/>
      <c r="CA563" s="103"/>
      <c r="CB563" s="103"/>
      <c r="CC563" s="103"/>
      <c r="CD563" s="103"/>
      <c r="CE563" s="103"/>
      <c r="CF563" s="103"/>
      <c r="CG563" s="103"/>
      <c r="CH563" s="103"/>
      <c r="CI563" s="103"/>
      <c r="CJ563" s="103"/>
      <c r="CK563" s="103"/>
      <c r="CL563" s="103"/>
      <c r="CM563" s="103"/>
      <c r="CN563" s="103"/>
      <c r="CO563" s="103"/>
    </row>
    <row r="564" spans="1:93">
      <c r="A564" s="233"/>
      <c r="B564" s="101"/>
      <c r="C564" s="17"/>
      <c r="D564" s="69"/>
      <c r="E564" s="62"/>
      <c r="F564" s="70"/>
      <c r="G564" s="11"/>
      <c r="H564" s="69"/>
      <c r="I564" s="69"/>
      <c r="J564" s="69"/>
      <c r="K564" s="69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  <c r="AA564" s="103"/>
      <c r="AB564" s="103"/>
      <c r="AC564" s="103"/>
      <c r="AD564" s="103"/>
      <c r="AE564" s="103"/>
      <c r="AF564" s="103"/>
      <c r="AG564" s="103"/>
      <c r="AH564" s="103"/>
      <c r="AI564" s="103"/>
      <c r="AJ564" s="103"/>
      <c r="AK564" s="103"/>
      <c r="AL564" s="103"/>
      <c r="AM564" s="103"/>
      <c r="AN564" s="103"/>
      <c r="AO564" s="103"/>
      <c r="AP564" s="103"/>
      <c r="AQ564" s="103"/>
      <c r="AR564" s="103"/>
      <c r="AS564" s="103"/>
      <c r="AT564" s="103"/>
      <c r="AU564" s="103"/>
      <c r="AV564" s="103"/>
      <c r="AW564" s="103"/>
      <c r="AX564" s="103"/>
      <c r="AY564" s="103"/>
      <c r="AZ564" s="103"/>
      <c r="BA564" s="103"/>
      <c r="BB564" s="103"/>
      <c r="BC564" s="103"/>
      <c r="BD564" s="103"/>
      <c r="BE564" s="103"/>
      <c r="BF564" s="103"/>
      <c r="BG564" s="103"/>
      <c r="BH564" s="103"/>
      <c r="BI564" s="103"/>
      <c r="BJ564" s="103"/>
      <c r="BK564" s="103"/>
      <c r="BL564" s="103"/>
      <c r="BM564" s="103"/>
      <c r="BN564" s="103"/>
      <c r="BO564" s="103"/>
      <c r="BP564" s="103"/>
      <c r="BQ564" s="103"/>
      <c r="BR564" s="103"/>
      <c r="BS564" s="103"/>
      <c r="BT564" s="103"/>
      <c r="BU564" s="103"/>
      <c r="BV564" s="103"/>
      <c r="BW564" s="103"/>
      <c r="BX564" s="103"/>
      <c r="BY564" s="103"/>
      <c r="BZ564" s="103"/>
      <c r="CA564" s="103"/>
      <c r="CB564" s="103"/>
      <c r="CC564" s="103"/>
      <c r="CD564" s="103"/>
      <c r="CE564" s="103"/>
      <c r="CF564" s="103"/>
      <c r="CG564" s="103"/>
      <c r="CH564" s="103"/>
      <c r="CI564" s="103"/>
      <c r="CJ564" s="103"/>
      <c r="CK564" s="103"/>
      <c r="CL564" s="103"/>
      <c r="CM564" s="103"/>
      <c r="CN564" s="103"/>
      <c r="CO564" s="103"/>
    </row>
    <row r="565" spans="1:93">
      <c r="A565" s="233"/>
      <c r="B565" s="101"/>
      <c r="C565" s="17" t="s">
        <v>1531</v>
      </c>
      <c r="D565" s="69"/>
      <c r="E565" s="171"/>
      <c r="F565" s="70"/>
      <c r="G565" s="11" t="s">
        <v>28</v>
      </c>
      <c r="H565" s="69"/>
      <c r="I565" s="69"/>
      <c r="J565" s="69"/>
      <c r="K565" s="69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  <c r="AA565" s="103"/>
      <c r="AB565" s="103"/>
      <c r="AC565" s="103"/>
      <c r="AD565" s="103"/>
      <c r="AE565" s="103"/>
      <c r="AF565" s="103"/>
      <c r="AG565" s="103"/>
      <c r="AH565" s="103"/>
      <c r="AI565" s="103"/>
      <c r="AJ565" s="103"/>
      <c r="AK565" s="103"/>
      <c r="AL565" s="103"/>
      <c r="AM565" s="103"/>
      <c r="AN565" s="103"/>
      <c r="AO565" s="103"/>
      <c r="AP565" s="103"/>
      <c r="AQ565" s="103"/>
      <c r="AR565" s="103"/>
      <c r="AS565" s="103"/>
      <c r="AT565" s="103"/>
      <c r="AU565" s="103"/>
      <c r="AV565" s="103"/>
      <c r="AW565" s="103"/>
      <c r="AX565" s="103"/>
      <c r="AY565" s="103"/>
      <c r="AZ565" s="103"/>
      <c r="BA565" s="103"/>
      <c r="BB565" s="103"/>
      <c r="BC565" s="103"/>
      <c r="BD565" s="103"/>
      <c r="BE565" s="103"/>
      <c r="BF565" s="103"/>
      <c r="BG565" s="103"/>
      <c r="BH565" s="103"/>
      <c r="BI565" s="103"/>
      <c r="BJ565" s="103"/>
      <c r="BK565" s="103"/>
      <c r="BL565" s="103"/>
      <c r="BM565" s="103"/>
      <c r="BN565" s="103"/>
      <c r="BO565" s="103"/>
      <c r="BP565" s="103"/>
      <c r="BQ565" s="103"/>
      <c r="BR565" s="103"/>
      <c r="BS565" s="103"/>
      <c r="BT565" s="103"/>
      <c r="BU565" s="103"/>
      <c r="BV565" s="103"/>
      <c r="BW565" s="103"/>
      <c r="BX565" s="103"/>
      <c r="BY565" s="103"/>
      <c r="BZ565" s="103"/>
      <c r="CA565" s="103"/>
      <c r="CB565" s="103"/>
      <c r="CC565" s="103"/>
      <c r="CD565" s="103"/>
      <c r="CE565" s="103"/>
      <c r="CF565" s="103"/>
      <c r="CG565" s="103"/>
      <c r="CH565" s="103"/>
      <c r="CI565" s="103"/>
      <c r="CJ565" s="103"/>
      <c r="CK565" s="103"/>
      <c r="CL565" s="103"/>
      <c r="CM565" s="103"/>
      <c r="CN565" s="103"/>
      <c r="CO565" s="103"/>
    </row>
    <row r="566" spans="1:93">
      <c r="A566" s="233"/>
      <c r="B566" s="101"/>
      <c r="C566" s="17" t="s">
        <v>1532</v>
      </c>
      <c r="D566" s="69"/>
      <c r="E566" s="62"/>
      <c r="F566" s="70"/>
      <c r="G566" s="11" t="s">
        <v>666</v>
      </c>
      <c r="H566" s="69"/>
      <c r="I566" s="69"/>
      <c r="J566" s="69"/>
      <c r="K566" s="69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  <c r="AA566" s="103"/>
      <c r="AB566" s="103"/>
      <c r="AC566" s="103"/>
      <c r="AD566" s="103"/>
      <c r="AE566" s="103"/>
      <c r="AF566" s="103"/>
      <c r="AG566" s="103"/>
      <c r="AH566" s="103"/>
      <c r="AI566" s="103"/>
      <c r="AJ566" s="103"/>
      <c r="AK566" s="103"/>
      <c r="AL566" s="103"/>
      <c r="AM566" s="103"/>
      <c r="AN566" s="103"/>
      <c r="AO566" s="103"/>
      <c r="AP566" s="103"/>
      <c r="AQ566" s="103"/>
      <c r="AR566" s="103"/>
      <c r="AS566" s="103"/>
      <c r="AT566" s="103"/>
      <c r="AU566" s="103"/>
      <c r="AV566" s="103"/>
      <c r="AW566" s="103"/>
      <c r="AX566" s="103"/>
      <c r="AY566" s="103"/>
      <c r="AZ566" s="103"/>
      <c r="BA566" s="103"/>
      <c r="BB566" s="103"/>
      <c r="BC566" s="103"/>
      <c r="BD566" s="103"/>
      <c r="BE566" s="103"/>
      <c r="BF566" s="103"/>
      <c r="BG566" s="103"/>
      <c r="BH566" s="103"/>
      <c r="BI566" s="103"/>
      <c r="BJ566" s="103"/>
      <c r="BK566" s="103"/>
      <c r="BL566" s="103"/>
      <c r="BM566" s="103"/>
      <c r="BN566" s="103"/>
      <c r="BO566" s="103"/>
      <c r="BP566" s="103"/>
      <c r="BQ566" s="103"/>
      <c r="BR566" s="103"/>
      <c r="BS566" s="103"/>
      <c r="BT566" s="103"/>
      <c r="BU566" s="103"/>
      <c r="BV566" s="103"/>
      <c r="BW566" s="103"/>
      <c r="BX566" s="103"/>
      <c r="BY566" s="103"/>
      <c r="BZ566" s="103"/>
      <c r="CA566" s="103"/>
      <c r="CB566" s="103"/>
      <c r="CC566" s="103"/>
      <c r="CD566" s="103"/>
      <c r="CE566" s="103"/>
      <c r="CF566" s="103"/>
      <c r="CG566" s="103"/>
      <c r="CH566" s="103"/>
      <c r="CI566" s="103"/>
      <c r="CJ566" s="103"/>
      <c r="CK566" s="103"/>
      <c r="CL566" s="103"/>
      <c r="CM566" s="103"/>
      <c r="CN566" s="103"/>
      <c r="CO566" s="103"/>
    </row>
    <row r="567" spans="1:93">
      <c r="A567" s="233"/>
      <c r="B567" s="101"/>
      <c r="C567" s="17"/>
      <c r="D567" s="69"/>
      <c r="E567" s="62"/>
      <c r="F567" s="70"/>
      <c r="G567" s="11"/>
      <c r="H567" s="69"/>
      <c r="I567" s="69"/>
      <c r="J567" s="69"/>
      <c r="K567" s="69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  <c r="AA567" s="103"/>
      <c r="AB567" s="103"/>
      <c r="AC567" s="103"/>
      <c r="AD567" s="103"/>
      <c r="AE567" s="103"/>
      <c r="AF567" s="103"/>
      <c r="AG567" s="103"/>
      <c r="AH567" s="103"/>
      <c r="AI567" s="103"/>
      <c r="AJ567" s="103"/>
      <c r="AK567" s="103"/>
      <c r="AL567" s="103"/>
      <c r="AM567" s="103"/>
      <c r="AN567" s="103"/>
      <c r="AO567" s="103"/>
      <c r="AP567" s="103"/>
      <c r="AQ567" s="103"/>
      <c r="AR567" s="103"/>
      <c r="AS567" s="103"/>
      <c r="AT567" s="103"/>
      <c r="AU567" s="103"/>
      <c r="AV567" s="103"/>
      <c r="AW567" s="103"/>
      <c r="AX567" s="103"/>
      <c r="AY567" s="103"/>
      <c r="AZ567" s="103"/>
      <c r="BA567" s="103"/>
      <c r="BB567" s="103"/>
      <c r="BC567" s="103"/>
      <c r="BD567" s="103"/>
      <c r="BE567" s="103"/>
      <c r="BF567" s="103"/>
      <c r="BG567" s="103"/>
      <c r="BH567" s="103"/>
      <c r="BI567" s="103"/>
      <c r="BJ567" s="103"/>
      <c r="BK567" s="103"/>
      <c r="BL567" s="103"/>
      <c r="BM567" s="103"/>
      <c r="BN567" s="103"/>
      <c r="BO567" s="103"/>
      <c r="BP567" s="103"/>
      <c r="BQ567" s="103"/>
      <c r="BR567" s="103"/>
      <c r="BS567" s="103"/>
      <c r="BT567" s="103"/>
      <c r="BU567" s="103"/>
      <c r="BV567" s="103"/>
      <c r="BW567" s="103"/>
      <c r="BX567" s="103"/>
      <c r="BY567" s="103"/>
      <c r="BZ567" s="103"/>
      <c r="CA567" s="103"/>
      <c r="CB567" s="103"/>
      <c r="CC567" s="103"/>
      <c r="CD567" s="103"/>
      <c r="CE567" s="103"/>
      <c r="CF567" s="103"/>
      <c r="CG567" s="103"/>
      <c r="CH567" s="103"/>
      <c r="CI567" s="103"/>
      <c r="CJ567" s="103"/>
      <c r="CK567" s="103"/>
      <c r="CL567" s="103"/>
      <c r="CM567" s="103"/>
      <c r="CN567" s="103"/>
      <c r="CO567" s="103"/>
    </row>
    <row r="568" spans="1:93">
      <c r="A568" s="233"/>
      <c r="B568" s="101"/>
      <c r="C568" s="17" t="s">
        <v>1533</v>
      </c>
      <c r="D568" s="69"/>
      <c r="E568" s="171"/>
      <c r="F568" s="70"/>
      <c r="G568" s="11" t="s">
        <v>28</v>
      </c>
      <c r="H568" s="69"/>
      <c r="I568" s="69"/>
      <c r="J568" s="69"/>
      <c r="K568" s="69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  <c r="AA568" s="103"/>
      <c r="AB568" s="103"/>
      <c r="AC568" s="103"/>
      <c r="AD568" s="103"/>
      <c r="AE568" s="103"/>
      <c r="AF568" s="103"/>
      <c r="AG568" s="103"/>
      <c r="AH568" s="103"/>
      <c r="AI568" s="103"/>
      <c r="AJ568" s="103"/>
      <c r="AK568" s="103"/>
      <c r="AL568" s="103"/>
      <c r="AM568" s="103"/>
      <c r="AN568" s="103"/>
      <c r="AO568" s="103"/>
      <c r="AP568" s="103"/>
      <c r="AQ568" s="103"/>
      <c r="AR568" s="103"/>
      <c r="AS568" s="103"/>
      <c r="AT568" s="103"/>
      <c r="AU568" s="103"/>
      <c r="AV568" s="103"/>
      <c r="AW568" s="103"/>
      <c r="AX568" s="103"/>
      <c r="AY568" s="103"/>
      <c r="AZ568" s="103"/>
      <c r="BA568" s="103"/>
      <c r="BB568" s="103"/>
      <c r="BC568" s="103"/>
      <c r="BD568" s="103"/>
      <c r="BE568" s="103"/>
      <c r="BF568" s="103"/>
      <c r="BG568" s="103"/>
      <c r="BH568" s="103"/>
      <c r="BI568" s="103"/>
      <c r="BJ568" s="103"/>
      <c r="BK568" s="103"/>
      <c r="BL568" s="103"/>
      <c r="BM568" s="103"/>
      <c r="BN568" s="103"/>
      <c r="BO568" s="103"/>
      <c r="BP568" s="103"/>
      <c r="BQ568" s="103"/>
      <c r="BR568" s="103"/>
      <c r="BS568" s="103"/>
      <c r="BT568" s="103"/>
      <c r="BU568" s="103"/>
      <c r="BV568" s="103"/>
      <c r="BW568" s="103"/>
      <c r="BX568" s="103"/>
      <c r="BY568" s="103"/>
      <c r="BZ568" s="103"/>
      <c r="CA568" s="103"/>
      <c r="CB568" s="103"/>
      <c r="CC568" s="103"/>
      <c r="CD568" s="103"/>
      <c r="CE568" s="103"/>
      <c r="CF568" s="103"/>
      <c r="CG568" s="103"/>
      <c r="CH568" s="103"/>
      <c r="CI568" s="103"/>
      <c r="CJ568" s="103"/>
      <c r="CK568" s="103"/>
      <c r="CL568" s="103"/>
      <c r="CM568" s="103"/>
      <c r="CN568" s="103"/>
      <c r="CO568" s="103"/>
    </row>
    <row r="569" spans="1:93">
      <c r="A569" s="233"/>
      <c r="B569" s="101"/>
      <c r="C569" s="17" t="s">
        <v>1534</v>
      </c>
      <c r="D569" s="69"/>
      <c r="E569" s="62"/>
      <c r="F569" s="70"/>
      <c r="G569" s="11" t="s">
        <v>666</v>
      </c>
      <c r="H569" s="69"/>
      <c r="I569" s="69"/>
      <c r="J569" s="69"/>
      <c r="K569" s="69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  <c r="AA569" s="103"/>
      <c r="AB569" s="103"/>
      <c r="AC569" s="103"/>
      <c r="AD569" s="103"/>
      <c r="AE569" s="103"/>
      <c r="AF569" s="103"/>
      <c r="AG569" s="103"/>
      <c r="AH569" s="103"/>
      <c r="AI569" s="103"/>
      <c r="AJ569" s="103"/>
      <c r="AK569" s="103"/>
      <c r="AL569" s="103"/>
      <c r="AM569" s="103"/>
      <c r="AN569" s="103"/>
      <c r="AO569" s="103"/>
      <c r="AP569" s="103"/>
      <c r="AQ569" s="103"/>
      <c r="AR569" s="103"/>
      <c r="AS569" s="103"/>
      <c r="AT569" s="103"/>
      <c r="AU569" s="103"/>
      <c r="AV569" s="103"/>
      <c r="AW569" s="103"/>
      <c r="AX569" s="103"/>
      <c r="AY569" s="103"/>
      <c r="AZ569" s="103"/>
      <c r="BA569" s="103"/>
      <c r="BB569" s="103"/>
      <c r="BC569" s="103"/>
      <c r="BD569" s="103"/>
      <c r="BE569" s="103"/>
      <c r="BF569" s="103"/>
      <c r="BG569" s="103"/>
      <c r="BH569" s="103"/>
      <c r="BI569" s="103"/>
      <c r="BJ569" s="103"/>
      <c r="BK569" s="103"/>
      <c r="BL569" s="103"/>
      <c r="BM569" s="103"/>
      <c r="BN569" s="103"/>
      <c r="BO569" s="103"/>
      <c r="BP569" s="103"/>
      <c r="BQ569" s="103"/>
      <c r="BR569" s="103"/>
      <c r="BS569" s="103"/>
      <c r="BT569" s="103"/>
      <c r="BU569" s="103"/>
      <c r="BV569" s="103"/>
      <c r="BW569" s="103"/>
      <c r="BX569" s="103"/>
      <c r="BY569" s="103"/>
      <c r="BZ569" s="103"/>
      <c r="CA569" s="103"/>
      <c r="CB569" s="103"/>
      <c r="CC569" s="103"/>
      <c r="CD569" s="103"/>
      <c r="CE569" s="103"/>
      <c r="CF569" s="103"/>
      <c r="CG569" s="103"/>
      <c r="CH569" s="103"/>
      <c r="CI569" s="103"/>
      <c r="CJ569" s="103"/>
      <c r="CK569" s="103"/>
      <c r="CL569" s="103"/>
      <c r="CM569" s="103"/>
      <c r="CN569" s="103"/>
      <c r="CO569" s="103"/>
    </row>
    <row r="570" spans="1:93">
      <c r="A570" s="233"/>
      <c r="B570" s="101"/>
      <c r="C570" s="17"/>
      <c r="D570" s="69"/>
      <c r="E570" s="62"/>
      <c r="F570" s="70"/>
      <c r="G570" s="11"/>
      <c r="H570" s="69"/>
      <c r="I570" s="69"/>
      <c r="J570" s="69"/>
      <c r="K570" s="69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  <c r="AA570" s="103"/>
      <c r="AB570" s="103"/>
      <c r="AC570" s="103"/>
      <c r="AD570" s="103"/>
      <c r="AE570" s="103"/>
      <c r="AF570" s="103"/>
      <c r="AG570" s="103"/>
      <c r="AH570" s="103"/>
      <c r="AI570" s="103"/>
      <c r="AJ570" s="103"/>
      <c r="AK570" s="103"/>
      <c r="AL570" s="103"/>
      <c r="AM570" s="103"/>
      <c r="AN570" s="103"/>
      <c r="AO570" s="103"/>
      <c r="AP570" s="103"/>
      <c r="AQ570" s="103"/>
      <c r="AR570" s="103"/>
      <c r="AS570" s="103"/>
      <c r="AT570" s="103"/>
      <c r="AU570" s="103"/>
      <c r="AV570" s="103"/>
      <c r="AW570" s="103"/>
      <c r="AX570" s="103"/>
      <c r="AY570" s="103"/>
      <c r="AZ570" s="103"/>
      <c r="BA570" s="103"/>
      <c r="BB570" s="103"/>
      <c r="BC570" s="103"/>
      <c r="BD570" s="103"/>
      <c r="BE570" s="103"/>
      <c r="BF570" s="103"/>
      <c r="BG570" s="103"/>
      <c r="BH570" s="103"/>
      <c r="BI570" s="103"/>
      <c r="BJ570" s="103"/>
      <c r="BK570" s="103"/>
      <c r="BL570" s="103"/>
      <c r="BM570" s="103"/>
      <c r="BN570" s="103"/>
      <c r="BO570" s="103"/>
      <c r="BP570" s="103"/>
      <c r="BQ570" s="103"/>
      <c r="BR570" s="103"/>
      <c r="BS570" s="103"/>
      <c r="BT570" s="103"/>
      <c r="BU570" s="103"/>
      <c r="BV570" s="103"/>
      <c r="BW570" s="103"/>
      <c r="BX570" s="103"/>
      <c r="BY570" s="103"/>
      <c r="BZ570" s="103"/>
      <c r="CA570" s="103"/>
      <c r="CB570" s="103"/>
      <c r="CC570" s="103"/>
      <c r="CD570" s="103"/>
      <c r="CE570" s="103"/>
      <c r="CF570" s="103"/>
      <c r="CG570" s="103"/>
      <c r="CH570" s="103"/>
      <c r="CI570" s="103"/>
      <c r="CJ570" s="103"/>
      <c r="CK570" s="103"/>
      <c r="CL570" s="103"/>
      <c r="CM570" s="103"/>
      <c r="CN570" s="103"/>
      <c r="CO570" s="103"/>
    </row>
    <row r="571" spans="1:93">
      <c r="A571" s="233"/>
      <c r="B571" s="101"/>
      <c r="C571" s="17" t="s">
        <v>1535</v>
      </c>
      <c r="D571" s="69"/>
      <c r="E571" s="171">
        <f>Предпосылки!E404</f>
        <v>0</v>
      </c>
      <c r="F571" s="70"/>
      <c r="G571" s="11" t="s">
        <v>28</v>
      </c>
      <c r="H571" s="69"/>
      <c r="I571" s="69"/>
      <c r="J571" s="69"/>
      <c r="K571" s="69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  <c r="AA571" s="103"/>
      <c r="AB571" s="103"/>
      <c r="AC571" s="103"/>
      <c r="AD571" s="103"/>
      <c r="AE571" s="103"/>
      <c r="AF571" s="103"/>
      <c r="AG571" s="103"/>
      <c r="AH571" s="103"/>
      <c r="AI571" s="103"/>
      <c r="AJ571" s="103"/>
      <c r="AK571" s="103"/>
      <c r="AL571" s="103"/>
      <c r="AM571" s="103"/>
      <c r="AN571" s="103"/>
      <c r="AO571" s="103"/>
      <c r="AP571" s="103"/>
      <c r="AQ571" s="103"/>
      <c r="AR571" s="103"/>
      <c r="AS571" s="103"/>
      <c r="AT571" s="103"/>
      <c r="AU571" s="103"/>
      <c r="AV571" s="103"/>
      <c r="AW571" s="103"/>
      <c r="AX571" s="103"/>
      <c r="AY571" s="103"/>
      <c r="AZ571" s="103"/>
      <c r="BA571" s="103"/>
      <c r="BB571" s="103"/>
      <c r="BC571" s="103"/>
      <c r="BD571" s="103"/>
      <c r="BE571" s="103"/>
      <c r="BF571" s="103"/>
      <c r="BG571" s="103"/>
      <c r="BH571" s="103"/>
      <c r="BI571" s="103"/>
      <c r="BJ571" s="103"/>
      <c r="BK571" s="103"/>
      <c r="BL571" s="103"/>
      <c r="BM571" s="103"/>
      <c r="BN571" s="103"/>
      <c r="BO571" s="103"/>
      <c r="BP571" s="103"/>
      <c r="BQ571" s="103"/>
      <c r="BR571" s="103"/>
      <c r="BS571" s="103"/>
      <c r="BT571" s="103"/>
      <c r="BU571" s="103"/>
      <c r="BV571" s="103"/>
      <c r="BW571" s="103"/>
      <c r="BX571" s="103"/>
      <c r="BY571" s="103"/>
      <c r="BZ571" s="103"/>
      <c r="CA571" s="103"/>
      <c r="CB571" s="103"/>
      <c r="CC571" s="103"/>
      <c r="CD571" s="103"/>
      <c r="CE571" s="103"/>
      <c r="CF571" s="103"/>
      <c r="CG571" s="103"/>
      <c r="CH571" s="103"/>
      <c r="CI571" s="103"/>
      <c r="CJ571" s="103"/>
      <c r="CK571" s="103"/>
      <c r="CL571" s="103"/>
      <c r="CM571" s="103"/>
      <c r="CN571" s="103"/>
      <c r="CO571" s="103"/>
    </row>
    <row r="572" spans="1:93">
      <c r="A572" s="233"/>
      <c r="B572" s="101"/>
      <c r="C572" s="17" t="s">
        <v>1536</v>
      </c>
      <c r="D572" s="69"/>
      <c r="E572" s="62">
        <f xml:space="preserve"> $E$548 * (E571)</f>
        <v>0</v>
      </c>
      <c r="F572" s="70"/>
      <c r="G572" s="11" t="s">
        <v>666</v>
      </c>
      <c r="H572" s="69"/>
      <c r="I572" s="69"/>
      <c r="J572" s="69"/>
      <c r="K572" s="69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  <c r="AA572" s="103"/>
      <c r="AB572" s="103"/>
      <c r="AC572" s="103"/>
      <c r="AD572" s="103"/>
      <c r="AE572" s="103"/>
      <c r="AF572" s="103"/>
      <c r="AG572" s="103"/>
      <c r="AH572" s="103"/>
      <c r="AI572" s="103"/>
      <c r="AJ572" s="103"/>
      <c r="AK572" s="103"/>
      <c r="AL572" s="103"/>
      <c r="AM572" s="103"/>
      <c r="AN572" s="103"/>
      <c r="AO572" s="103"/>
      <c r="AP572" s="103"/>
      <c r="AQ572" s="103"/>
      <c r="AR572" s="103"/>
      <c r="AS572" s="103"/>
      <c r="AT572" s="103"/>
      <c r="AU572" s="103"/>
      <c r="AV572" s="103"/>
      <c r="AW572" s="103"/>
      <c r="AX572" s="103"/>
      <c r="AY572" s="103"/>
      <c r="AZ572" s="103"/>
      <c r="BA572" s="103"/>
      <c r="BB572" s="103"/>
      <c r="BC572" s="103"/>
      <c r="BD572" s="103"/>
      <c r="BE572" s="103"/>
      <c r="BF572" s="103"/>
      <c r="BG572" s="103"/>
      <c r="BH572" s="103"/>
      <c r="BI572" s="103"/>
      <c r="BJ572" s="103"/>
      <c r="BK572" s="103"/>
      <c r="BL572" s="103"/>
      <c r="BM572" s="103"/>
      <c r="BN572" s="103"/>
      <c r="BO572" s="103"/>
      <c r="BP572" s="103"/>
      <c r="BQ572" s="103"/>
      <c r="BR572" s="103"/>
      <c r="BS572" s="103"/>
      <c r="BT572" s="103"/>
      <c r="BU572" s="103"/>
      <c r="BV572" s="103"/>
      <c r="BW572" s="103"/>
      <c r="BX572" s="103"/>
      <c r="BY572" s="103"/>
      <c r="BZ572" s="103"/>
      <c r="CA572" s="103"/>
      <c r="CB572" s="103"/>
      <c r="CC572" s="103"/>
      <c r="CD572" s="103"/>
      <c r="CE572" s="103"/>
      <c r="CF572" s="103"/>
      <c r="CG572" s="103"/>
      <c r="CH572" s="103"/>
      <c r="CI572" s="103"/>
      <c r="CJ572" s="103"/>
      <c r="CK572" s="103"/>
      <c r="CL572" s="103"/>
      <c r="CM572" s="103"/>
      <c r="CN572" s="103"/>
      <c r="CO572" s="103"/>
    </row>
    <row r="573" spans="1:93">
      <c r="A573" s="233"/>
      <c r="B573" s="101"/>
      <c r="C573" s="17"/>
      <c r="D573" s="69"/>
      <c r="E573" s="62"/>
      <c r="F573" s="70"/>
      <c r="G573" s="11"/>
      <c r="H573" s="69"/>
      <c r="I573" s="69"/>
      <c r="J573" s="69"/>
      <c r="K573" s="69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  <c r="AA573" s="103"/>
      <c r="AB573" s="103"/>
      <c r="AC573" s="103"/>
      <c r="AD573" s="103"/>
      <c r="AE573" s="103"/>
      <c r="AF573" s="103"/>
      <c r="AG573" s="103"/>
      <c r="AH573" s="103"/>
      <c r="AI573" s="103"/>
      <c r="AJ573" s="103"/>
      <c r="AK573" s="103"/>
      <c r="AL573" s="103"/>
      <c r="AM573" s="103"/>
      <c r="AN573" s="103"/>
      <c r="AO573" s="103"/>
      <c r="AP573" s="103"/>
      <c r="AQ573" s="103"/>
      <c r="AR573" s="103"/>
      <c r="AS573" s="103"/>
      <c r="AT573" s="103"/>
      <c r="AU573" s="103"/>
      <c r="AV573" s="103"/>
      <c r="AW573" s="103"/>
      <c r="AX573" s="103"/>
      <c r="AY573" s="103"/>
      <c r="AZ573" s="103"/>
      <c r="BA573" s="103"/>
      <c r="BB573" s="103"/>
      <c r="BC573" s="103"/>
      <c r="BD573" s="103"/>
      <c r="BE573" s="103"/>
      <c r="BF573" s="103"/>
      <c r="BG573" s="103"/>
      <c r="BH573" s="103"/>
      <c r="BI573" s="103"/>
      <c r="BJ573" s="103"/>
      <c r="BK573" s="103"/>
      <c r="BL573" s="103"/>
      <c r="BM573" s="103"/>
      <c r="BN573" s="103"/>
      <c r="BO573" s="103"/>
      <c r="BP573" s="103"/>
      <c r="BQ573" s="103"/>
      <c r="BR573" s="103"/>
      <c r="BS573" s="103"/>
      <c r="BT573" s="103"/>
      <c r="BU573" s="103"/>
      <c r="BV573" s="103"/>
      <c r="BW573" s="103"/>
      <c r="BX573" s="103"/>
      <c r="BY573" s="103"/>
      <c r="BZ573" s="103"/>
      <c r="CA573" s="103"/>
      <c r="CB573" s="103"/>
      <c r="CC573" s="103"/>
      <c r="CD573" s="103"/>
      <c r="CE573" s="103"/>
      <c r="CF573" s="103"/>
      <c r="CG573" s="103"/>
      <c r="CH573" s="103"/>
      <c r="CI573" s="103"/>
      <c r="CJ573" s="103"/>
      <c r="CK573" s="103"/>
      <c r="CL573" s="103"/>
      <c r="CM573" s="103"/>
      <c r="CN573" s="103"/>
      <c r="CO573" s="103"/>
    </row>
    <row r="574" spans="1:93">
      <c r="A574" s="233"/>
      <c r="B574" s="101"/>
      <c r="C574" s="17" t="s">
        <v>665</v>
      </c>
      <c r="D574" s="69"/>
      <c r="E574" s="62">
        <f xml:space="preserve"> (E531 * E548 + E532 * E551 + E533 * E554+E534*E557+E535*E560) / E530</f>
        <v>11590.414483651317</v>
      </c>
      <c r="F574" s="70"/>
      <c r="G574" s="11" t="s">
        <v>666</v>
      </c>
      <c r="H574" s="69"/>
      <c r="I574" s="69"/>
      <c r="J574" s="69"/>
      <c r="K574" s="69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  <c r="AA574" s="103"/>
      <c r="AB574" s="103"/>
      <c r="AC574" s="103"/>
      <c r="AD574" s="103"/>
      <c r="AE574" s="103"/>
      <c r="AF574" s="103"/>
      <c r="AG574" s="103"/>
      <c r="AH574" s="103"/>
      <c r="AI574" s="103"/>
      <c r="AJ574" s="103"/>
      <c r="AK574" s="103"/>
      <c r="AL574" s="103"/>
      <c r="AM574" s="103"/>
      <c r="AN574" s="103"/>
      <c r="AO574" s="103"/>
      <c r="AP574" s="103"/>
      <c r="AQ574" s="103"/>
      <c r="AR574" s="103"/>
      <c r="AS574" s="103"/>
      <c r="AT574" s="103"/>
      <c r="AU574" s="103"/>
      <c r="AV574" s="103"/>
      <c r="AW574" s="103"/>
      <c r="AX574" s="103"/>
      <c r="AY574" s="103"/>
      <c r="AZ574" s="103"/>
      <c r="BA574" s="103"/>
      <c r="BB574" s="103"/>
      <c r="BC574" s="103"/>
      <c r="BD574" s="103"/>
      <c r="BE574" s="103"/>
      <c r="BF574" s="103"/>
      <c r="BG574" s="103"/>
      <c r="BH574" s="103"/>
      <c r="BI574" s="103"/>
      <c r="BJ574" s="103"/>
      <c r="BK574" s="103"/>
      <c r="BL574" s="103"/>
      <c r="BM574" s="103"/>
      <c r="BN574" s="103"/>
      <c r="BO574" s="103"/>
      <c r="BP574" s="103"/>
      <c r="BQ574" s="103"/>
      <c r="BR574" s="103"/>
      <c r="BS574" s="103"/>
      <c r="BT574" s="103"/>
      <c r="BU574" s="103"/>
      <c r="BV574" s="103"/>
      <c r="BW574" s="103"/>
      <c r="BX574" s="103"/>
      <c r="BY574" s="103"/>
      <c r="BZ574" s="103"/>
      <c r="CA574" s="103"/>
      <c r="CB574" s="103"/>
      <c r="CC574" s="103"/>
      <c r="CD574" s="103"/>
      <c r="CE574" s="103"/>
      <c r="CF574" s="103"/>
      <c r="CG574" s="103"/>
      <c r="CH574" s="103"/>
      <c r="CI574" s="103"/>
      <c r="CJ574" s="103"/>
      <c r="CK574" s="103"/>
      <c r="CL574" s="103"/>
      <c r="CM574" s="103"/>
      <c r="CN574" s="103"/>
      <c r="CO574" s="103"/>
    </row>
    <row r="575" spans="1:93">
      <c r="A575" s="233"/>
      <c r="B575" s="101"/>
      <c r="C575" s="35"/>
      <c r="D575" s="69"/>
      <c r="E575" s="62"/>
      <c r="F575" s="70"/>
      <c r="G575" s="11"/>
      <c r="H575" s="69"/>
      <c r="I575" s="69"/>
      <c r="J575" s="69"/>
      <c r="K575" s="69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  <c r="AA575" s="103"/>
      <c r="AB575" s="103"/>
      <c r="AC575" s="103"/>
      <c r="AD575" s="103"/>
      <c r="AE575" s="103"/>
      <c r="AF575" s="103"/>
      <c r="AG575" s="103"/>
      <c r="AH575" s="103"/>
      <c r="AI575" s="103"/>
      <c r="AJ575" s="103"/>
      <c r="AK575" s="103"/>
      <c r="AL575" s="103"/>
      <c r="AM575" s="103"/>
      <c r="AN575" s="103"/>
      <c r="AO575" s="103"/>
      <c r="AP575" s="103"/>
      <c r="AQ575" s="103"/>
      <c r="AR575" s="103"/>
      <c r="AS575" s="103"/>
      <c r="AT575" s="103"/>
      <c r="AU575" s="103"/>
      <c r="AV575" s="103"/>
      <c r="AW575" s="103"/>
      <c r="AX575" s="103"/>
      <c r="AY575" s="103"/>
      <c r="AZ575" s="103"/>
      <c r="BA575" s="103"/>
      <c r="BB575" s="103"/>
      <c r="BC575" s="103"/>
      <c r="BD575" s="103"/>
      <c r="BE575" s="103"/>
      <c r="BF575" s="103"/>
      <c r="BG575" s="103"/>
      <c r="BH575" s="103"/>
      <c r="BI575" s="103"/>
      <c r="BJ575" s="103"/>
      <c r="BK575" s="103"/>
      <c r="BL575" s="103"/>
      <c r="BM575" s="103"/>
      <c r="BN575" s="103"/>
      <c r="BO575" s="103"/>
      <c r="BP575" s="103"/>
      <c r="BQ575" s="103"/>
      <c r="BR575" s="103"/>
      <c r="BS575" s="103"/>
      <c r="BT575" s="103"/>
      <c r="BU575" s="103"/>
      <c r="BV575" s="103"/>
      <c r="BW575" s="103"/>
      <c r="BX575" s="103"/>
      <c r="BY575" s="103"/>
      <c r="BZ575" s="103"/>
      <c r="CA575" s="103"/>
      <c r="CB575" s="103"/>
      <c r="CC575" s="103"/>
      <c r="CD575" s="103"/>
      <c r="CE575" s="103"/>
      <c r="CF575" s="103"/>
      <c r="CG575" s="103"/>
      <c r="CH575" s="103"/>
      <c r="CI575" s="103"/>
      <c r="CJ575" s="103"/>
      <c r="CK575" s="103"/>
      <c r="CL575" s="103"/>
      <c r="CM575" s="103"/>
      <c r="CN575" s="103"/>
      <c r="CO575" s="103"/>
    </row>
    <row r="576" spans="1:93">
      <c r="A576" s="233"/>
      <c r="B576" s="101"/>
      <c r="C576" s="41" t="s">
        <v>675</v>
      </c>
      <c r="D576" s="69"/>
      <c r="E576" s="62"/>
      <c r="F576" s="70"/>
      <c r="G576" s="11"/>
      <c r="H576" s="69"/>
      <c r="I576" s="69"/>
      <c r="J576" s="69"/>
      <c r="K576" s="69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  <c r="AA576" s="103"/>
      <c r="AB576" s="103"/>
      <c r="AC576" s="103"/>
      <c r="AD576" s="103"/>
      <c r="AE576" s="103"/>
      <c r="AF576" s="103"/>
      <c r="AG576" s="103"/>
      <c r="AH576" s="103"/>
      <c r="AI576" s="103"/>
      <c r="AJ576" s="103"/>
      <c r="AK576" s="103"/>
      <c r="AL576" s="103"/>
      <c r="AM576" s="103"/>
      <c r="AN576" s="103"/>
      <c r="AO576" s="103"/>
      <c r="AP576" s="103"/>
      <c r="AQ576" s="103"/>
      <c r="AR576" s="103"/>
      <c r="AS576" s="103"/>
      <c r="AT576" s="103"/>
      <c r="AU576" s="103"/>
      <c r="AV576" s="103"/>
      <c r="AW576" s="103"/>
      <c r="AX576" s="103"/>
      <c r="AY576" s="103"/>
      <c r="AZ576" s="103"/>
      <c r="BA576" s="103"/>
      <c r="BB576" s="103"/>
      <c r="BC576" s="103"/>
      <c r="BD576" s="103"/>
      <c r="BE576" s="103"/>
      <c r="BF576" s="103"/>
      <c r="BG576" s="103"/>
      <c r="BH576" s="103"/>
      <c r="BI576" s="103"/>
      <c r="BJ576" s="103"/>
      <c r="BK576" s="103"/>
      <c r="BL576" s="103"/>
      <c r="BM576" s="103"/>
      <c r="BN576" s="103"/>
      <c r="BO576" s="103"/>
      <c r="BP576" s="103"/>
      <c r="BQ576" s="103"/>
      <c r="BR576" s="103"/>
      <c r="BS576" s="103"/>
      <c r="BT576" s="103"/>
      <c r="BU576" s="103"/>
      <c r="BV576" s="103"/>
      <c r="BW576" s="103"/>
      <c r="BX576" s="103"/>
      <c r="BY576" s="103"/>
      <c r="BZ576" s="103"/>
      <c r="CA576" s="103"/>
      <c r="CB576" s="103"/>
      <c r="CC576" s="103"/>
      <c r="CD576" s="103"/>
      <c r="CE576" s="103"/>
      <c r="CF576" s="103"/>
      <c r="CG576" s="103"/>
      <c r="CH576" s="103"/>
      <c r="CI576" s="103"/>
      <c r="CJ576" s="103"/>
      <c r="CK576" s="103"/>
      <c r="CL576" s="103"/>
      <c r="CM576" s="103"/>
      <c r="CN576" s="103"/>
      <c r="CO576" s="103"/>
    </row>
    <row r="577" spans="1:93">
      <c r="A577" s="233"/>
      <c r="B577" s="101"/>
      <c r="C577" s="17" t="s">
        <v>669</v>
      </c>
      <c r="D577" s="69"/>
      <c r="E577" s="196">
        <f xml:space="preserve"> Предпосылки!E406</f>
        <v>0.52</v>
      </c>
      <c r="F577" s="70"/>
      <c r="G577" s="11" t="s">
        <v>28</v>
      </c>
      <c r="H577" s="69"/>
      <c r="I577" s="69"/>
      <c r="J577" s="69"/>
      <c r="K577" s="69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  <c r="AA577" s="103"/>
      <c r="AB577" s="103"/>
      <c r="AC577" s="103"/>
      <c r="AD577" s="103"/>
      <c r="AE577" s="103"/>
      <c r="AF577" s="103"/>
      <c r="AG577" s="103"/>
      <c r="AH577" s="103"/>
      <c r="AI577" s="103"/>
      <c r="AJ577" s="103"/>
      <c r="AK577" s="103"/>
      <c r="AL577" s="103"/>
      <c r="AM577" s="103"/>
      <c r="AN577" s="103"/>
      <c r="AO577" s="103"/>
      <c r="AP577" s="103"/>
      <c r="AQ577" s="103"/>
      <c r="AR577" s="103"/>
      <c r="AS577" s="103"/>
      <c r="AT577" s="103"/>
      <c r="AU577" s="103"/>
      <c r="AV577" s="103"/>
      <c r="AW577" s="103"/>
      <c r="AX577" s="103"/>
      <c r="AY577" s="103"/>
      <c r="AZ577" s="103"/>
      <c r="BA577" s="103"/>
      <c r="BB577" s="103"/>
      <c r="BC577" s="103"/>
      <c r="BD577" s="103"/>
      <c r="BE577" s="103"/>
      <c r="BF577" s="103"/>
      <c r="BG577" s="103"/>
      <c r="BH577" s="103"/>
      <c r="BI577" s="103"/>
      <c r="BJ577" s="103"/>
      <c r="BK577" s="103"/>
      <c r="BL577" s="103"/>
      <c r="BM577" s="103"/>
      <c r="BN577" s="103"/>
      <c r="BO577" s="103"/>
      <c r="BP577" s="103"/>
      <c r="BQ577" s="103"/>
      <c r="BR577" s="103"/>
      <c r="BS577" s="103"/>
      <c r="BT577" s="103"/>
      <c r="BU577" s="103"/>
      <c r="BV577" s="103"/>
      <c r="BW577" s="103"/>
      <c r="BX577" s="103"/>
      <c r="BY577" s="103"/>
      <c r="BZ577" s="103"/>
      <c r="CA577" s="103"/>
      <c r="CB577" s="103"/>
      <c r="CC577" s="103"/>
      <c r="CD577" s="103"/>
      <c r="CE577" s="103"/>
      <c r="CF577" s="103"/>
      <c r="CG577" s="103"/>
      <c r="CH577" s="103"/>
      <c r="CI577" s="103"/>
      <c r="CJ577" s="103"/>
      <c r="CK577" s="103"/>
      <c r="CL577" s="103"/>
      <c r="CM577" s="103"/>
      <c r="CN577" s="103"/>
      <c r="CO577" s="103"/>
    </row>
    <row r="578" spans="1:93">
      <c r="A578" s="233"/>
      <c r="B578" s="101"/>
      <c r="C578" s="17" t="s">
        <v>668</v>
      </c>
      <c r="D578" s="69"/>
      <c r="E578" s="196">
        <f xml:space="preserve"> Предпосылки!E407</f>
        <v>0</v>
      </c>
      <c r="F578" s="70"/>
      <c r="G578" s="11" t="s">
        <v>28</v>
      </c>
      <c r="H578" s="69"/>
      <c r="I578" s="69"/>
      <c r="J578" s="69"/>
      <c r="K578" s="69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  <c r="AA578" s="103"/>
      <c r="AB578" s="103"/>
      <c r="AC578" s="103"/>
      <c r="AD578" s="103"/>
      <c r="AE578" s="103"/>
      <c r="AF578" s="103"/>
      <c r="AG578" s="103"/>
      <c r="AH578" s="103"/>
      <c r="AI578" s="103"/>
      <c r="AJ578" s="103"/>
      <c r="AK578" s="103"/>
      <c r="AL578" s="103"/>
      <c r="AM578" s="103"/>
      <c r="AN578" s="103"/>
      <c r="AO578" s="103"/>
      <c r="AP578" s="103"/>
      <c r="AQ578" s="103"/>
      <c r="AR578" s="103"/>
      <c r="AS578" s="103"/>
      <c r="AT578" s="103"/>
      <c r="AU578" s="103"/>
      <c r="AV578" s="103"/>
      <c r="AW578" s="103"/>
      <c r="AX578" s="103"/>
      <c r="AY578" s="103"/>
      <c r="AZ578" s="103"/>
      <c r="BA578" s="103"/>
      <c r="BB578" s="103"/>
      <c r="BC578" s="103"/>
      <c r="BD578" s="103"/>
      <c r="BE578" s="103"/>
      <c r="BF578" s="103"/>
      <c r="BG578" s="103"/>
      <c r="BH578" s="103"/>
      <c r="BI578" s="103"/>
      <c r="BJ578" s="103"/>
      <c r="BK578" s="103"/>
      <c r="BL578" s="103"/>
      <c r="BM578" s="103"/>
      <c r="BN578" s="103"/>
      <c r="BO578" s="103"/>
      <c r="BP578" s="103"/>
      <c r="BQ578" s="103"/>
      <c r="BR578" s="103"/>
      <c r="BS578" s="103"/>
      <c r="BT578" s="103"/>
      <c r="BU578" s="103"/>
      <c r="BV578" s="103"/>
      <c r="BW578" s="103"/>
      <c r="BX578" s="103"/>
      <c r="BY578" s="103"/>
      <c r="BZ578" s="103"/>
      <c r="CA578" s="103"/>
      <c r="CB578" s="103"/>
      <c r="CC578" s="103"/>
      <c r="CD578" s="103"/>
      <c r="CE578" s="103"/>
      <c r="CF578" s="103"/>
      <c r="CG578" s="103"/>
      <c r="CH578" s="103"/>
      <c r="CI578" s="103"/>
      <c r="CJ578" s="103"/>
      <c r="CK578" s="103"/>
      <c r="CL578" s="103"/>
      <c r="CM578" s="103"/>
      <c r="CN578" s="103"/>
      <c r="CO578" s="103"/>
    </row>
    <row r="579" spans="1:93">
      <c r="A579" s="233"/>
      <c r="B579" s="101"/>
      <c r="C579" s="17" t="s">
        <v>670</v>
      </c>
      <c r="D579" s="69"/>
      <c r="E579" s="196">
        <f xml:space="preserve"> Предпосылки!E408</f>
        <v>0.48</v>
      </c>
      <c r="F579" s="70"/>
      <c r="G579" s="11" t="s">
        <v>28</v>
      </c>
      <c r="H579" s="69"/>
      <c r="I579" s="69"/>
      <c r="J579" s="69"/>
      <c r="K579" s="69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  <c r="AA579" s="103"/>
      <c r="AB579" s="103"/>
      <c r="AC579" s="103"/>
      <c r="AD579" s="103"/>
      <c r="AE579" s="103"/>
      <c r="AF579" s="103"/>
      <c r="AG579" s="103"/>
      <c r="AH579" s="103"/>
      <c r="AI579" s="103"/>
      <c r="AJ579" s="103"/>
      <c r="AK579" s="103"/>
      <c r="AL579" s="103"/>
      <c r="AM579" s="103"/>
      <c r="AN579" s="103"/>
      <c r="AO579" s="103"/>
      <c r="AP579" s="103"/>
      <c r="AQ579" s="103"/>
      <c r="AR579" s="103"/>
      <c r="AS579" s="103"/>
      <c r="AT579" s="103"/>
      <c r="AU579" s="103"/>
      <c r="AV579" s="103"/>
      <c r="AW579" s="103"/>
      <c r="AX579" s="103"/>
      <c r="AY579" s="103"/>
      <c r="AZ579" s="103"/>
      <c r="BA579" s="103"/>
      <c r="BB579" s="103"/>
      <c r="BC579" s="103"/>
      <c r="BD579" s="103"/>
      <c r="BE579" s="103"/>
      <c r="BF579" s="103"/>
      <c r="BG579" s="103"/>
      <c r="BH579" s="103"/>
      <c r="BI579" s="103"/>
      <c r="BJ579" s="103"/>
      <c r="BK579" s="103"/>
      <c r="BL579" s="103"/>
      <c r="BM579" s="103"/>
      <c r="BN579" s="103"/>
      <c r="BO579" s="103"/>
      <c r="BP579" s="103"/>
      <c r="BQ579" s="103"/>
      <c r="BR579" s="103"/>
      <c r="BS579" s="103"/>
      <c r="BT579" s="103"/>
      <c r="BU579" s="103"/>
      <c r="BV579" s="103"/>
      <c r="BW579" s="103"/>
      <c r="BX579" s="103"/>
      <c r="BY579" s="103"/>
      <c r="BZ579" s="103"/>
      <c r="CA579" s="103"/>
      <c r="CB579" s="103"/>
      <c r="CC579" s="103"/>
      <c r="CD579" s="103"/>
      <c r="CE579" s="103"/>
      <c r="CF579" s="103"/>
      <c r="CG579" s="103"/>
      <c r="CH579" s="103"/>
      <c r="CI579" s="103"/>
      <c r="CJ579" s="103"/>
      <c r="CK579" s="103"/>
      <c r="CL579" s="103"/>
      <c r="CM579" s="103"/>
      <c r="CN579" s="103"/>
      <c r="CO579" s="103"/>
    </row>
    <row r="580" spans="1:93">
      <c r="A580" s="233"/>
      <c r="B580" s="101"/>
      <c r="C580" s="35"/>
      <c r="D580" s="69"/>
      <c r="E580" s="234"/>
      <c r="F580" s="70"/>
      <c r="G580" s="11"/>
      <c r="H580" s="69"/>
      <c r="I580" s="69"/>
      <c r="J580" s="69"/>
      <c r="K580" s="69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  <c r="AA580" s="103"/>
      <c r="AB580" s="103"/>
      <c r="AC580" s="103"/>
      <c r="AD580" s="103"/>
      <c r="AE580" s="103"/>
      <c r="AF580" s="103"/>
      <c r="AG580" s="103"/>
      <c r="AH580" s="103"/>
      <c r="AI580" s="103"/>
      <c r="AJ580" s="103"/>
      <c r="AK580" s="103"/>
      <c r="AL580" s="103"/>
      <c r="AM580" s="103"/>
      <c r="AN580" s="103"/>
      <c r="AO580" s="103"/>
      <c r="AP580" s="103"/>
      <c r="AQ580" s="103"/>
      <c r="AR580" s="103"/>
      <c r="AS580" s="103"/>
      <c r="AT580" s="103"/>
      <c r="AU580" s="103"/>
      <c r="AV580" s="103"/>
      <c r="AW580" s="103"/>
      <c r="AX580" s="103"/>
      <c r="AY580" s="103"/>
      <c r="AZ580" s="103"/>
      <c r="BA580" s="103"/>
      <c r="BB580" s="103"/>
      <c r="BC580" s="103"/>
      <c r="BD580" s="103"/>
      <c r="BE580" s="103"/>
      <c r="BF580" s="103"/>
      <c r="BG580" s="103"/>
      <c r="BH580" s="103"/>
      <c r="BI580" s="103"/>
      <c r="BJ580" s="103"/>
      <c r="BK580" s="103"/>
      <c r="BL580" s="103"/>
      <c r="BM580" s="103"/>
      <c r="BN580" s="103"/>
      <c r="BO580" s="103"/>
      <c r="BP580" s="103"/>
      <c r="BQ580" s="103"/>
      <c r="BR580" s="103"/>
      <c r="BS580" s="103"/>
      <c r="BT580" s="103"/>
      <c r="BU580" s="103"/>
      <c r="BV580" s="103"/>
      <c r="BW580" s="103"/>
      <c r="BX580" s="103"/>
      <c r="BY580" s="103"/>
      <c r="BZ580" s="103"/>
      <c r="CA580" s="103"/>
      <c r="CB580" s="103"/>
      <c r="CC580" s="103"/>
      <c r="CD580" s="103"/>
      <c r="CE580" s="103"/>
      <c r="CF580" s="103"/>
      <c r="CG580" s="103"/>
      <c r="CH580" s="103"/>
      <c r="CI580" s="103"/>
      <c r="CJ580" s="103"/>
      <c r="CK580" s="103"/>
      <c r="CL580" s="103"/>
      <c r="CM580" s="103"/>
      <c r="CN580" s="103"/>
      <c r="CO580" s="103"/>
    </row>
    <row r="581" spans="1:93">
      <c r="A581" s="233"/>
      <c r="B581" s="101"/>
      <c r="C581" s="41" t="s">
        <v>667</v>
      </c>
      <c r="D581" s="69"/>
      <c r="E581" s="234"/>
      <c r="F581" s="70"/>
      <c r="G581" s="11"/>
      <c r="H581" s="69"/>
      <c r="I581" s="69"/>
      <c r="J581" s="69"/>
      <c r="K581" s="69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  <c r="AA581" s="103"/>
      <c r="AB581" s="103"/>
      <c r="AC581" s="103"/>
      <c r="AD581" s="103"/>
      <c r="AE581" s="103"/>
      <c r="AF581" s="103"/>
      <c r="AG581" s="103"/>
      <c r="AH581" s="103"/>
      <c r="AI581" s="103"/>
      <c r="AJ581" s="103"/>
      <c r="AK581" s="103"/>
      <c r="AL581" s="103"/>
      <c r="AM581" s="103"/>
      <c r="AN581" s="103"/>
      <c r="AO581" s="103"/>
      <c r="AP581" s="103"/>
      <c r="AQ581" s="103"/>
      <c r="AR581" s="103"/>
      <c r="AS581" s="103"/>
      <c r="AT581" s="103"/>
      <c r="AU581" s="103"/>
      <c r="AV581" s="103"/>
      <c r="AW581" s="103"/>
      <c r="AX581" s="103"/>
      <c r="AY581" s="103"/>
      <c r="AZ581" s="103"/>
      <c r="BA581" s="103"/>
      <c r="BB581" s="103"/>
      <c r="BC581" s="103"/>
      <c r="BD581" s="103"/>
      <c r="BE581" s="103"/>
      <c r="BF581" s="103"/>
      <c r="BG581" s="103"/>
      <c r="BH581" s="103"/>
      <c r="BI581" s="103"/>
      <c r="BJ581" s="103"/>
      <c r="BK581" s="103"/>
      <c r="BL581" s="103"/>
      <c r="BM581" s="103"/>
      <c r="BN581" s="103"/>
      <c r="BO581" s="103"/>
      <c r="BP581" s="103"/>
      <c r="BQ581" s="103"/>
      <c r="BR581" s="103"/>
      <c r="BS581" s="103"/>
      <c r="BT581" s="103"/>
      <c r="BU581" s="103"/>
      <c r="BV581" s="103"/>
      <c r="BW581" s="103"/>
      <c r="BX581" s="103"/>
      <c r="BY581" s="103"/>
      <c r="BZ581" s="103"/>
      <c r="CA581" s="103"/>
      <c r="CB581" s="103"/>
      <c r="CC581" s="103"/>
      <c r="CD581" s="103"/>
      <c r="CE581" s="103"/>
      <c r="CF581" s="103"/>
      <c r="CG581" s="103"/>
      <c r="CH581" s="103"/>
      <c r="CI581" s="103"/>
      <c r="CJ581" s="103"/>
      <c r="CK581" s="103"/>
      <c r="CL581" s="103"/>
      <c r="CM581" s="103"/>
      <c r="CN581" s="103"/>
      <c r="CO581" s="103"/>
    </row>
    <row r="582" spans="1:93">
      <c r="A582" s="233"/>
      <c r="B582" s="101"/>
      <c r="C582" s="17" t="s">
        <v>669</v>
      </c>
      <c r="D582" s="69"/>
      <c r="E582" s="196">
        <f xml:space="preserve"> Предпосылки!E412</f>
        <v>1</v>
      </c>
      <c r="F582" s="70"/>
      <c r="G582" s="11" t="s">
        <v>28</v>
      </c>
      <c r="H582" s="69"/>
      <c r="I582" s="69"/>
      <c r="J582" s="69"/>
      <c r="K582" s="69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  <c r="AA582" s="103"/>
      <c r="AB582" s="103"/>
      <c r="AC582" s="103"/>
      <c r="AD582" s="103"/>
      <c r="AE582" s="103"/>
      <c r="AF582" s="103"/>
      <c r="AG582" s="103"/>
      <c r="AH582" s="103"/>
      <c r="AI582" s="103"/>
      <c r="AJ582" s="103"/>
      <c r="AK582" s="103"/>
      <c r="AL582" s="103"/>
      <c r="AM582" s="103"/>
      <c r="AN582" s="103"/>
      <c r="AO582" s="103"/>
      <c r="AP582" s="103"/>
      <c r="AQ582" s="103"/>
      <c r="AR582" s="103"/>
      <c r="AS582" s="103"/>
      <c r="AT582" s="103"/>
      <c r="AU582" s="103"/>
      <c r="AV582" s="103"/>
      <c r="AW582" s="103"/>
      <c r="AX582" s="103"/>
      <c r="AY582" s="103"/>
      <c r="AZ582" s="103"/>
      <c r="BA582" s="103"/>
      <c r="BB582" s="103"/>
      <c r="BC582" s="103"/>
      <c r="BD582" s="103"/>
      <c r="BE582" s="103"/>
      <c r="BF582" s="103"/>
      <c r="BG582" s="103"/>
      <c r="BH582" s="103"/>
      <c r="BI582" s="103"/>
      <c r="BJ582" s="103"/>
      <c r="BK582" s="103"/>
      <c r="BL582" s="103"/>
      <c r="BM582" s="103"/>
      <c r="BN582" s="103"/>
      <c r="BO582" s="103"/>
      <c r="BP582" s="103"/>
      <c r="BQ582" s="103"/>
      <c r="BR582" s="103"/>
      <c r="BS582" s="103"/>
      <c r="BT582" s="103"/>
      <c r="BU582" s="103"/>
      <c r="BV582" s="103"/>
      <c r="BW582" s="103"/>
      <c r="BX582" s="103"/>
      <c r="BY582" s="103"/>
      <c r="BZ582" s="103"/>
      <c r="CA582" s="103"/>
      <c r="CB582" s="103"/>
      <c r="CC582" s="103"/>
      <c r="CD582" s="103"/>
      <c r="CE582" s="103"/>
      <c r="CF582" s="103"/>
      <c r="CG582" s="103"/>
      <c r="CH582" s="103"/>
      <c r="CI582" s="103"/>
      <c r="CJ582" s="103"/>
      <c r="CK582" s="103"/>
      <c r="CL582" s="103"/>
      <c r="CM582" s="103"/>
      <c r="CN582" s="103"/>
      <c r="CO582" s="103"/>
    </row>
    <row r="583" spans="1:93">
      <c r="A583" s="233"/>
      <c r="B583" s="101"/>
      <c r="C583" s="17" t="s">
        <v>668</v>
      </c>
      <c r="D583" s="69"/>
      <c r="E583" s="196">
        <f xml:space="preserve"> Предпосылки!E413</f>
        <v>0</v>
      </c>
      <c r="F583" s="70"/>
      <c r="G583" s="11" t="s">
        <v>28</v>
      </c>
      <c r="H583" s="69"/>
      <c r="I583" s="69"/>
      <c r="J583" s="69"/>
      <c r="K583" s="69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  <c r="AA583" s="103"/>
      <c r="AB583" s="103"/>
      <c r="AC583" s="103"/>
      <c r="AD583" s="103"/>
      <c r="AE583" s="103"/>
      <c r="AF583" s="103"/>
      <c r="AG583" s="103"/>
      <c r="AH583" s="103"/>
      <c r="AI583" s="103"/>
      <c r="AJ583" s="103"/>
      <c r="AK583" s="103"/>
      <c r="AL583" s="103"/>
      <c r="AM583" s="103"/>
      <c r="AN583" s="103"/>
      <c r="AO583" s="103"/>
      <c r="AP583" s="103"/>
      <c r="AQ583" s="103"/>
      <c r="AR583" s="103"/>
      <c r="AS583" s="103"/>
      <c r="AT583" s="103"/>
      <c r="AU583" s="103"/>
      <c r="AV583" s="103"/>
      <c r="AW583" s="103"/>
      <c r="AX583" s="103"/>
      <c r="AY583" s="103"/>
      <c r="AZ583" s="103"/>
      <c r="BA583" s="103"/>
      <c r="BB583" s="103"/>
      <c r="BC583" s="103"/>
      <c r="BD583" s="103"/>
      <c r="BE583" s="103"/>
      <c r="BF583" s="103"/>
      <c r="BG583" s="103"/>
      <c r="BH583" s="103"/>
      <c r="BI583" s="103"/>
      <c r="BJ583" s="103"/>
      <c r="BK583" s="103"/>
      <c r="BL583" s="103"/>
      <c r="BM583" s="103"/>
      <c r="BN583" s="103"/>
      <c r="BO583" s="103"/>
      <c r="BP583" s="103"/>
      <c r="BQ583" s="103"/>
      <c r="BR583" s="103"/>
      <c r="BS583" s="103"/>
      <c r="BT583" s="103"/>
      <c r="BU583" s="103"/>
      <c r="BV583" s="103"/>
      <c r="BW583" s="103"/>
      <c r="BX583" s="103"/>
      <c r="BY583" s="103"/>
      <c r="BZ583" s="103"/>
      <c r="CA583" s="103"/>
      <c r="CB583" s="103"/>
      <c r="CC583" s="103"/>
      <c r="CD583" s="103"/>
      <c r="CE583" s="103"/>
      <c r="CF583" s="103"/>
      <c r="CG583" s="103"/>
      <c r="CH583" s="103"/>
      <c r="CI583" s="103"/>
      <c r="CJ583" s="103"/>
      <c r="CK583" s="103"/>
      <c r="CL583" s="103"/>
      <c r="CM583" s="103"/>
      <c r="CN583" s="103"/>
      <c r="CO583" s="103"/>
    </row>
    <row r="584" spans="1:93">
      <c r="A584" s="233"/>
      <c r="B584" s="101"/>
      <c r="C584" s="17" t="s">
        <v>670</v>
      </c>
      <c r="D584" s="69"/>
      <c r="E584" s="196">
        <f xml:space="preserve"> Предпосылки!E414</f>
        <v>0.8</v>
      </c>
      <c r="F584" s="70"/>
      <c r="G584" s="11" t="s">
        <v>28</v>
      </c>
      <c r="H584" s="69"/>
      <c r="I584" s="69"/>
      <c r="J584" s="69"/>
      <c r="K584" s="69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  <c r="AA584" s="103"/>
      <c r="AB584" s="103"/>
      <c r="AC584" s="103"/>
      <c r="AD584" s="103"/>
      <c r="AE584" s="103"/>
      <c r="AF584" s="103"/>
      <c r="AG584" s="103"/>
      <c r="AH584" s="103"/>
      <c r="AI584" s="103"/>
      <c r="AJ584" s="103"/>
      <c r="AK584" s="103"/>
      <c r="AL584" s="103"/>
      <c r="AM584" s="103"/>
      <c r="AN584" s="103"/>
      <c r="AO584" s="103"/>
      <c r="AP584" s="103"/>
      <c r="AQ584" s="103"/>
      <c r="AR584" s="103"/>
      <c r="AS584" s="103"/>
      <c r="AT584" s="103"/>
      <c r="AU584" s="103"/>
      <c r="AV584" s="103"/>
      <c r="AW584" s="103"/>
      <c r="AX584" s="103"/>
      <c r="AY584" s="103"/>
      <c r="AZ584" s="103"/>
      <c r="BA584" s="103"/>
      <c r="BB584" s="103"/>
      <c r="BC584" s="103"/>
      <c r="BD584" s="103"/>
      <c r="BE584" s="103"/>
      <c r="BF584" s="103"/>
      <c r="BG584" s="103"/>
      <c r="BH584" s="103"/>
      <c r="BI584" s="103"/>
      <c r="BJ584" s="103"/>
      <c r="BK584" s="103"/>
      <c r="BL584" s="103"/>
      <c r="BM584" s="103"/>
      <c r="BN584" s="103"/>
      <c r="BO584" s="103"/>
      <c r="BP584" s="103"/>
      <c r="BQ584" s="103"/>
      <c r="BR584" s="103"/>
      <c r="BS584" s="103"/>
      <c r="BT584" s="103"/>
      <c r="BU584" s="103"/>
      <c r="BV584" s="103"/>
      <c r="BW584" s="103"/>
      <c r="BX584" s="103"/>
      <c r="BY584" s="103"/>
      <c r="BZ584" s="103"/>
      <c r="CA584" s="103"/>
      <c r="CB584" s="103"/>
      <c r="CC584" s="103"/>
      <c r="CD584" s="103"/>
      <c r="CE584" s="103"/>
      <c r="CF584" s="103"/>
      <c r="CG584" s="103"/>
      <c r="CH584" s="103"/>
      <c r="CI584" s="103"/>
      <c r="CJ584" s="103"/>
      <c r="CK584" s="103"/>
      <c r="CL584" s="103"/>
      <c r="CM584" s="103"/>
      <c r="CN584" s="103"/>
      <c r="CO584" s="103"/>
    </row>
    <row r="585" spans="1:93">
      <c r="A585" s="233"/>
      <c r="B585" s="101"/>
      <c r="C585" s="169"/>
      <c r="D585" s="69"/>
      <c r="E585" s="234"/>
      <c r="F585" s="70"/>
      <c r="G585" s="11"/>
      <c r="H585" s="69"/>
      <c r="I585" s="69"/>
      <c r="J585" s="69"/>
      <c r="K585" s="69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  <c r="AA585" s="103"/>
      <c r="AB585" s="103"/>
      <c r="AC585" s="103"/>
      <c r="AD585" s="103"/>
      <c r="AE585" s="103"/>
      <c r="AF585" s="103"/>
      <c r="AG585" s="103"/>
      <c r="AH585" s="103"/>
      <c r="AI585" s="103"/>
      <c r="AJ585" s="103"/>
      <c r="AK585" s="103"/>
      <c r="AL585" s="103"/>
      <c r="AM585" s="103"/>
      <c r="AN585" s="103"/>
      <c r="AO585" s="103"/>
      <c r="AP585" s="103"/>
      <c r="AQ585" s="103"/>
      <c r="AR585" s="103"/>
      <c r="AS585" s="103"/>
      <c r="AT585" s="103"/>
      <c r="AU585" s="103"/>
      <c r="AV585" s="103"/>
      <c r="AW585" s="103"/>
      <c r="AX585" s="103"/>
      <c r="AY585" s="103"/>
      <c r="AZ585" s="103"/>
      <c r="BA585" s="103"/>
      <c r="BB585" s="103"/>
      <c r="BC585" s="103"/>
      <c r="BD585" s="103"/>
      <c r="BE585" s="103"/>
      <c r="BF585" s="103"/>
      <c r="BG585" s="103"/>
      <c r="BH585" s="103"/>
      <c r="BI585" s="103"/>
      <c r="BJ585" s="103"/>
      <c r="BK585" s="103"/>
      <c r="BL585" s="103"/>
      <c r="BM585" s="103"/>
      <c r="BN585" s="103"/>
      <c r="BO585" s="103"/>
      <c r="BP585" s="103"/>
      <c r="BQ585" s="103"/>
      <c r="BR585" s="103"/>
      <c r="BS585" s="103"/>
      <c r="BT585" s="103"/>
      <c r="BU585" s="103"/>
      <c r="BV585" s="103"/>
      <c r="BW585" s="103"/>
      <c r="BX585" s="103"/>
      <c r="BY585" s="103"/>
      <c r="BZ585" s="103"/>
      <c r="CA585" s="103"/>
      <c r="CB585" s="103"/>
      <c r="CC585" s="103"/>
      <c r="CD585" s="103"/>
      <c r="CE585" s="103"/>
      <c r="CF585" s="103"/>
      <c r="CG585" s="103"/>
      <c r="CH585" s="103"/>
      <c r="CI585" s="103"/>
      <c r="CJ585" s="103"/>
      <c r="CK585" s="103"/>
      <c r="CL585" s="103"/>
      <c r="CM585" s="103"/>
      <c r="CN585" s="103"/>
      <c r="CO585" s="103"/>
    </row>
    <row r="586" spans="1:93">
      <c r="A586" s="233"/>
      <c r="B586" s="101"/>
      <c r="C586" s="41" t="s">
        <v>671</v>
      </c>
      <c r="D586" s="69"/>
      <c r="E586" s="234"/>
      <c r="F586" s="70"/>
      <c r="G586" s="11"/>
      <c r="H586" s="69"/>
      <c r="I586" s="69"/>
      <c r="J586" s="69"/>
      <c r="K586" s="69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  <c r="AA586" s="103"/>
      <c r="AB586" s="103"/>
      <c r="AC586" s="103"/>
      <c r="AD586" s="103"/>
      <c r="AE586" s="103"/>
      <c r="AF586" s="103"/>
      <c r="AG586" s="103"/>
      <c r="AH586" s="103"/>
      <c r="AI586" s="103"/>
      <c r="AJ586" s="103"/>
      <c r="AK586" s="103"/>
      <c r="AL586" s="103"/>
      <c r="AM586" s="103"/>
      <c r="AN586" s="103"/>
      <c r="AO586" s="103"/>
      <c r="AP586" s="103"/>
      <c r="AQ586" s="103"/>
      <c r="AR586" s="103"/>
      <c r="AS586" s="103"/>
      <c r="AT586" s="103"/>
      <c r="AU586" s="103"/>
      <c r="AV586" s="103"/>
      <c r="AW586" s="103"/>
      <c r="AX586" s="103"/>
      <c r="AY586" s="103"/>
      <c r="AZ586" s="103"/>
      <c r="BA586" s="103"/>
      <c r="BB586" s="103"/>
      <c r="BC586" s="103"/>
      <c r="BD586" s="103"/>
      <c r="BE586" s="103"/>
      <c r="BF586" s="103"/>
      <c r="BG586" s="103"/>
      <c r="BH586" s="103"/>
      <c r="BI586" s="103"/>
      <c r="BJ586" s="103"/>
      <c r="BK586" s="103"/>
      <c r="BL586" s="103"/>
      <c r="BM586" s="103"/>
      <c r="BN586" s="103"/>
      <c r="BO586" s="103"/>
      <c r="BP586" s="103"/>
      <c r="BQ586" s="103"/>
      <c r="BR586" s="103"/>
      <c r="BS586" s="103"/>
      <c r="BT586" s="103"/>
      <c r="BU586" s="103"/>
      <c r="BV586" s="103"/>
      <c r="BW586" s="103"/>
      <c r="BX586" s="103"/>
      <c r="BY586" s="103"/>
      <c r="BZ586" s="103"/>
      <c r="CA586" s="103"/>
      <c r="CB586" s="103"/>
      <c r="CC586" s="103"/>
      <c r="CD586" s="103"/>
      <c r="CE586" s="103"/>
      <c r="CF586" s="103"/>
      <c r="CG586" s="103"/>
      <c r="CH586" s="103"/>
      <c r="CI586" s="103"/>
      <c r="CJ586" s="103"/>
      <c r="CK586" s="103"/>
      <c r="CL586" s="103"/>
      <c r="CM586" s="103"/>
      <c r="CN586" s="103"/>
      <c r="CO586" s="103"/>
    </row>
    <row r="587" spans="1:93">
      <c r="A587" s="233"/>
      <c r="B587" s="101"/>
      <c r="C587" s="17" t="s">
        <v>673</v>
      </c>
      <c r="D587" s="69"/>
      <c r="E587" s="196">
        <f xml:space="preserve"> Предпосылки!E417</f>
        <v>1</v>
      </c>
      <c r="F587" s="70"/>
      <c r="G587" s="11" t="s">
        <v>28</v>
      </c>
      <c r="H587" s="69"/>
      <c r="I587" s="69"/>
      <c r="J587" s="69"/>
      <c r="K587" s="69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  <c r="AA587" s="103"/>
      <c r="AB587" s="103"/>
      <c r="AC587" s="103"/>
      <c r="AD587" s="103"/>
      <c r="AE587" s="103"/>
      <c r="AF587" s="103"/>
      <c r="AG587" s="103"/>
      <c r="AH587" s="103"/>
      <c r="AI587" s="103"/>
      <c r="AJ587" s="103"/>
      <c r="AK587" s="103"/>
      <c r="AL587" s="103"/>
      <c r="AM587" s="103"/>
      <c r="AN587" s="103"/>
      <c r="AO587" s="103"/>
      <c r="AP587" s="103"/>
      <c r="AQ587" s="103"/>
      <c r="AR587" s="103"/>
      <c r="AS587" s="103"/>
      <c r="AT587" s="103"/>
      <c r="AU587" s="103"/>
      <c r="AV587" s="103"/>
      <c r="AW587" s="103"/>
      <c r="AX587" s="103"/>
      <c r="AY587" s="103"/>
      <c r="AZ587" s="103"/>
      <c r="BA587" s="103"/>
      <c r="BB587" s="103"/>
      <c r="BC587" s="103"/>
      <c r="BD587" s="103"/>
      <c r="BE587" s="103"/>
      <c r="BF587" s="103"/>
      <c r="BG587" s="103"/>
      <c r="BH587" s="103"/>
      <c r="BI587" s="103"/>
      <c r="BJ587" s="103"/>
      <c r="BK587" s="103"/>
      <c r="BL587" s="103"/>
      <c r="BM587" s="103"/>
      <c r="BN587" s="103"/>
      <c r="BO587" s="103"/>
      <c r="BP587" s="103"/>
      <c r="BQ587" s="103"/>
      <c r="BR587" s="103"/>
      <c r="BS587" s="103"/>
      <c r="BT587" s="103"/>
      <c r="BU587" s="103"/>
      <c r="BV587" s="103"/>
      <c r="BW587" s="103"/>
      <c r="BX587" s="103"/>
      <c r="BY587" s="103"/>
      <c r="BZ587" s="103"/>
      <c r="CA587" s="103"/>
      <c r="CB587" s="103"/>
      <c r="CC587" s="103"/>
      <c r="CD587" s="103"/>
      <c r="CE587" s="103"/>
      <c r="CF587" s="103"/>
      <c r="CG587" s="103"/>
      <c r="CH587" s="103"/>
      <c r="CI587" s="103"/>
      <c r="CJ587" s="103"/>
      <c r="CK587" s="103"/>
      <c r="CL587" s="103"/>
      <c r="CM587" s="103"/>
      <c r="CN587" s="103"/>
      <c r="CO587" s="103"/>
    </row>
    <row r="588" spans="1:93">
      <c r="A588" s="233"/>
      <c r="B588" s="101"/>
      <c r="C588" s="17" t="s">
        <v>672</v>
      </c>
      <c r="D588" s="69"/>
      <c r="E588" s="196">
        <f xml:space="preserve"> Предпосылки!E418</f>
        <v>1.4</v>
      </c>
      <c r="F588" s="70"/>
      <c r="G588" s="11" t="s">
        <v>28</v>
      </c>
      <c r="H588" s="69"/>
      <c r="I588" s="69"/>
      <c r="J588" s="69"/>
      <c r="K588" s="69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  <c r="AA588" s="103"/>
      <c r="AB588" s="103"/>
      <c r="AC588" s="103"/>
      <c r="AD588" s="103"/>
      <c r="AE588" s="103"/>
      <c r="AF588" s="103"/>
      <c r="AG588" s="103"/>
      <c r="AH588" s="103"/>
      <c r="AI588" s="103"/>
      <c r="AJ588" s="103"/>
      <c r="AK588" s="103"/>
      <c r="AL588" s="103"/>
      <c r="AM588" s="103"/>
      <c r="AN588" s="103"/>
      <c r="AO588" s="103"/>
      <c r="AP588" s="103"/>
      <c r="AQ588" s="103"/>
      <c r="AR588" s="103"/>
      <c r="AS588" s="103"/>
      <c r="AT588" s="103"/>
      <c r="AU588" s="103"/>
      <c r="AV588" s="103"/>
      <c r="AW588" s="103"/>
      <c r="AX588" s="103"/>
      <c r="AY588" s="103"/>
      <c r="AZ588" s="103"/>
      <c r="BA588" s="103"/>
      <c r="BB588" s="103"/>
      <c r="BC588" s="103"/>
      <c r="BD588" s="103"/>
      <c r="BE588" s="103"/>
      <c r="BF588" s="103"/>
      <c r="BG588" s="103"/>
      <c r="BH588" s="103"/>
      <c r="BI588" s="103"/>
      <c r="BJ588" s="103"/>
      <c r="BK588" s="103"/>
      <c r="BL588" s="103"/>
      <c r="BM588" s="103"/>
      <c r="BN588" s="103"/>
      <c r="BO588" s="103"/>
      <c r="BP588" s="103"/>
      <c r="BQ588" s="103"/>
      <c r="BR588" s="103"/>
      <c r="BS588" s="103"/>
      <c r="BT588" s="103"/>
      <c r="BU588" s="103"/>
      <c r="BV588" s="103"/>
      <c r="BW588" s="103"/>
      <c r="BX588" s="103"/>
      <c r="BY588" s="103"/>
      <c r="BZ588" s="103"/>
      <c r="CA588" s="103"/>
      <c r="CB588" s="103"/>
      <c r="CC588" s="103"/>
      <c r="CD588" s="103"/>
      <c r="CE588" s="103"/>
      <c r="CF588" s="103"/>
      <c r="CG588" s="103"/>
      <c r="CH588" s="103"/>
      <c r="CI588" s="103"/>
      <c r="CJ588" s="103"/>
      <c r="CK588" s="103"/>
      <c r="CL588" s="103"/>
      <c r="CM588" s="103"/>
      <c r="CN588" s="103"/>
      <c r="CO588" s="103"/>
    </row>
    <row r="589" spans="1:93">
      <c r="A589" s="233"/>
      <c r="B589" s="101"/>
      <c r="C589" s="17" t="s">
        <v>674</v>
      </c>
      <c r="D589" s="69"/>
      <c r="E589" s="196">
        <f xml:space="preserve"> Предпосылки!E419</f>
        <v>1.8</v>
      </c>
      <c r="F589" s="70"/>
      <c r="G589" s="11" t="s">
        <v>28</v>
      </c>
      <c r="H589" s="69"/>
      <c r="I589" s="69"/>
      <c r="J589" s="69"/>
      <c r="K589" s="69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  <c r="AA589" s="103"/>
      <c r="AB589" s="103"/>
      <c r="AC589" s="103"/>
      <c r="AD589" s="103"/>
      <c r="AE589" s="103"/>
      <c r="AF589" s="103"/>
      <c r="AG589" s="103"/>
      <c r="AH589" s="103"/>
      <c r="AI589" s="103"/>
      <c r="AJ589" s="103"/>
      <c r="AK589" s="103"/>
      <c r="AL589" s="103"/>
      <c r="AM589" s="103"/>
      <c r="AN589" s="103"/>
      <c r="AO589" s="103"/>
      <c r="AP589" s="103"/>
      <c r="AQ589" s="103"/>
      <c r="AR589" s="103"/>
      <c r="AS589" s="103"/>
      <c r="AT589" s="103"/>
      <c r="AU589" s="103"/>
      <c r="AV589" s="103"/>
      <c r="AW589" s="103"/>
      <c r="AX589" s="103"/>
      <c r="AY589" s="103"/>
      <c r="AZ589" s="103"/>
      <c r="BA589" s="103"/>
      <c r="BB589" s="103"/>
      <c r="BC589" s="103"/>
      <c r="BD589" s="103"/>
      <c r="BE589" s="103"/>
      <c r="BF589" s="103"/>
      <c r="BG589" s="103"/>
      <c r="BH589" s="103"/>
      <c r="BI589" s="103"/>
      <c r="BJ589" s="103"/>
      <c r="BK589" s="103"/>
      <c r="BL589" s="103"/>
      <c r="BM589" s="103"/>
      <c r="BN589" s="103"/>
      <c r="BO589" s="103"/>
      <c r="BP589" s="103"/>
      <c r="BQ589" s="103"/>
      <c r="BR589" s="103"/>
      <c r="BS589" s="103"/>
      <c r="BT589" s="103"/>
      <c r="BU589" s="103"/>
      <c r="BV589" s="103"/>
      <c r="BW589" s="103"/>
      <c r="BX589" s="103"/>
      <c r="BY589" s="103"/>
      <c r="BZ589" s="103"/>
      <c r="CA589" s="103"/>
      <c r="CB589" s="103"/>
      <c r="CC589" s="103"/>
      <c r="CD589" s="103"/>
      <c r="CE589" s="103"/>
      <c r="CF589" s="103"/>
      <c r="CG589" s="103"/>
      <c r="CH589" s="103"/>
      <c r="CI589" s="103"/>
      <c r="CJ589" s="103"/>
      <c r="CK589" s="103"/>
      <c r="CL589" s="103"/>
      <c r="CM589" s="103"/>
      <c r="CN589" s="103"/>
      <c r="CO589" s="103"/>
    </row>
    <row r="590" spans="1:93">
      <c r="A590" s="233"/>
      <c r="B590" s="101"/>
      <c r="C590" s="169"/>
      <c r="D590" s="69"/>
      <c r="E590" s="62"/>
      <c r="F590" s="70"/>
      <c r="G590" s="11"/>
      <c r="H590" s="69"/>
      <c r="I590" s="69"/>
      <c r="J590" s="69"/>
      <c r="K590" s="69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  <c r="AA590" s="103"/>
      <c r="AB590" s="103"/>
      <c r="AC590" s="103"/>
      <c r="AD590" s="103"/>
      <c r="AE590" s="103"/>
      <c r="AF590" s="103"/>
      <c r="AG590" s="103"/>
      <c r="AH590" s="103"/>
      <c r="AI590" s="103"/>
      <c r="AJ590" s="103"/>
      <c r="AK590" s="103"/>
      <c r="AL590" s="103"/>
      <c r="AM590" s="103"/>
      <c r="AN590" s="103"/>
      <c r="AO590" s="103"/>
      <c r="AP590" s="103"/>
      <c r="AQ590" s="103"/>
      <c r="AR590" s="103"/>
      <c r="AS590" s="103"/>
      <c r="AT590" s="103"/>
      <c r="AU590" s="103"/>
      <c r="AV590" s="103"/>
      <c r="AW590" s="103"/>
      <c r="AX590" s="103"/>
      <c r="AY590" s="103"/>
      <c r="AZ590" s="103"/>
      <c r="BA590" s="103"/>
      <c r="BB590" s="103"/>
      <c r="BC590" s="103"/>
      <c r="BD590" s="103"/>
      <c r="BE590" s="103"/>
      <c r="BF590" s="103"/>
      <c r="BG590" s="103"/>
      <c r="BH590" s="103"/>
      <c r="BI590" s="103"/>
      <c r="BJ590" s="103"/>
      <c r="BK590" s="103"/>
      <c r="BL590" s="103"/>
      <c r="BM590" s="103"/>
      <c r="BN590" s="103"/>
      <c r="BO590" s="103"/>
      <c r="BP590" s="103"/>
      <c r="BQ590" s="103"/>
      <c r="BR590" s="103"/>
      <c r="BS590" s="103"/>
      <c r="BT590" s="103"/>
      <c r="BU590" s="103"/>
      <c r="BV590" s="103"/>
      <c r="BW590" s="103"/>
      <c r="BX590" s="103"/>
      <c r="BY590" s="103"/>
      <c r="BZ590" s="103"/>
      <c r="CA590" s="103"/>
      <c r="CB590" s="103"/>
      <c r="CC590" s="103"/>
      <c r="CD590" s="103"/>
      <c r="CE590" s="103"/>
      <c r="CF590" s="103"/>
      <c r="CG590" s="103"/>
      <c r="CH590" s="103"/>
      <c r="CI590" s="103"/>
      <c r="CJ590" s="103"/>
      <c r="CK590" s="103"/>
      <c r="CL590" s="103"/>
      <c r="CM590" s="103"/>
      <c r="CN590" s="103"/>
      <c r="CO590" s="103"/>
    </row>
    <row r="591" spans="1:93">
      <c r="A591" s="233"/>
      <c r="B591" s="101"/>
      <c r="C591" s="17" t="s">
        <v>653</v>
      </c>
      <c r="D591" s="69"/>
      <c r="E591" s="106">
        <f xml:space="preserve"> E522</f>
        <v>0.65</v>
      </c>
      <c r="F591" s="70"/>
      <c r="G591" s="11" t="s">
        <v>28</v>
      </c>
      <c r="H591" s="69"/>
      <c r="I591" s="69"/>
      <c r="J591" s="69"/>
      <c r="K591" s="69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  <c r="AA591" s="103"/>
      <c r="AB591" s="103"/>
      <c r="AC591" s="103"/>
      <c r="AD591" s="103"/>
      <c r="AE591" s="103"/>
      <c r="AF591" s="103"/>
      <c r="AG591" s="103"/>
      <c r="AH591" s="103"/>
      <c r="AI591" s="103"/>
      <c r="AJ591" s="103"/>
      <c r="AK591" s="103"/>
      <c r="AL591" s="103"/>
      <c r="AM591" s="103"/>
      <c r="AN591" s="103"/>
      <c r="AO591" s="103"/>
      <c r="AP591" s="103"/>
      <c r="AQ591" s="103"/>
      <c r="AR591" s="103"/>
      <c r="AS591" s="103"/>
      <c r="AT591" s="103"/>
      <c r="AU591" s="103"/>
      <c r="AV591" s="103"/>
      <c r="AW591" s="103"/>
      <c r="AX591" s="103"/>
      <c r="AY591" s="103"/>
      <c r="AZ591" s="103"/>
      <c r="BA591" s="103"/>
      <c r="BB591" s="103"/>
      <c r="BC591" s="103"/>
      <c r="BD591" s="103"/>
      <c r="BE591" s="103"/>
      <c r="BF591" s="103"/>
      <c r="BG591" s="103"/>
      <c r="BH591" s="103"/>
      <c r="BI591" s="103"/>
      <c r="BJ591" s="103"/>
      <c r="BK591" s="103"/>
      <c r="BL591" s="103"/>
      <c r="BM591" s="103"/>
      <c r="BN591" s="103"/>
      <c r="BO591" s="103"/>
      <c r="BP591" s="103"/>
      <c r="BQ591" s="103"/>
      <c r="BR591" s="103"/>
      <c r="BS591" s="103"/>
      <c r="BT591" s="103"/>
      <c r="BU591" s="103"/>
      <c r="BV591" s="103"/>
      <c r="BW591" s="103"/>
      <c r="BX591" s="103"/>
      <c r="BY591" s="103"/>
      <c r="BZ591" s="103"/>
      <c r="CA591" s="103"/>
      <c r="CB591" s="103"/>
      <c r="CC591" s="103"/>
      <c r="CD591" s="103"/>
      <c r="CE591" s="103"/>
      <c r="CF591" s="103"/>
      <c r="CG591" s="103"/>
      <c r="CH591" s="103"/>
      <c r="CI591" s="103"/>
      <c r="CJ591" s="103"/>
      <c r="CK591" s="103"/>
      <c r="CL591" s="103"/>
      <c r="CM591" s="103"/>
      <c r="CN591" s="103"/>
      <c r="CO591" s="103"/>
    </row>
    <row r="592" spans="1:93">
      <c r="A592" s="233"/>
      <c r="B592" s="101"/>
      <c r="C592" s="17" t="s">
        <v>676</v>
      </c>
      <c r="D592" s="69"/>
      <c r="E592" s="62">
        <f xml:space="preserve"> E530</f>
        <v>200</v>
      </c>
      <c r="F592" s="70"/>
      <c r="G592" s="11" t="s">
        <v>643</v>
      </c>
      <c r="H592" s="69"/>
      <c r="I592" s="69"/>
      <c r="J592" s="69"/>
      <c r="K592" s="69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  <c r="AA592" s="103"/>
      <c r="AB592" s="103"/>
      <c r="AC592" s="103"/>
      <c r="AD592" s="103"/>
      <c r="AE592" s="103"/>
      <c r="AF592" s="103"/>
      <c r="AG592" s="103"/>
      <c r="AH592" s="103"/>
      <c r="AI592" s="103"/>
      <c r="AJ592" s="103"/>
      <c r="AK592" s="103"/>
      <c r="AL592" s="103"/>
      <c r="AM592" s="103"/>
      <c r="AN592" s="103"/>
      <c r="AO592" s="103"/>
      <c r="AP592" s="103"/>
      <c r="AQ592" s="103"/>
      <c r="AR592" s="103"/>
      <c r="AS592" s="103"/>
      <c r="AT592" s="103"/>
      <c r="AU592" s="103"/>
      <c r="AV592" s="103"/>
      <c r="AW592" s="103"/>
      <c r="AX592" s="103"/>
      <c r="AY592" s="103"/>
      <c r="AZ592" s="103"/>
      <c r="BA592" s="103"/>
      <c r="BB592" s="103"/>
      <c r="BC592" s="103"/>
      <c r="BD592" s="103"/>
      <c r="BE592" s="103"/>
      <c r="BF592" s="103"/>
      <c r="BG592" s="103"/>
      <c r="BH592" s="103"/>
      <c r="BI592" s="103"/>
      <c r="BJ592" s="103"/>
      <c r="BK592" s="103"/>
      <c r="BL592" s="103"/>
      <c r="BM592" s="103"/>
      <c r="BN592" s="103"/>
      <c r="BO592" s="103"/>
      <c r="BP592" s="103"/>
      <c r="BQ592" s="103"/>
      <c r="BR592" s="103"/>
      <c r="BS592" s="103"/>
      <c r="BT592" s="103"/>
      <c r="BU592" s="103"/>
      <c r="BV592" s="103"/>
      <c r="BW592" s="103"/>
      <c r="BX592" s="103"/>
      <c r="BY592" s="103"/>
      <c r="BZ592" s="103"/>
      <c r="CA592" s="103"/>
      <c r="CB592" s="103"/>
      <c r="CC592" s="103"/>
      <c r="CD592" s="103"/>
      <c r="CE592" s="103"/>
      <c r="CF592" s="103"/>
      <c r="CG592" s="103"/>
      <c r="CH592" s="103"/>
      <c r="CI592" s="103"/>
      <c r="CJ592" s="103"/>
      <c r="CK592" s="103"/>
      <c r="CL592" s="103"/>
      <c r="CM592" s="103"/>
      <c r="CN592" s="103"/>
      <c r="CO592" s="103"/>
    </row>
    <row r="593" spans="1:93">
      <c r="A593" s="233"/>
      <c r="B593" s="101"/>
      <c r="C593" s="17" t="s">
        <v>677</v>
      </c>
      <c r="D593" s="69"/>
      <c r="E593" s="62">
        <f>Предпосылки!E422*365</f>
        <v>65.7</v>
      </c>
      <c r="F593" s="70"/>
      <c r="G593" s="11" t="s">
        <v>99</v>
      </c>
      <c r="H593" s="69"/>
      <c r="I593" s="69"/>
      <c r="J593" s="69"/>
      <c r="K593" s="69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  <c r="AA593" s="103"/>
      <c r="AB593" s="103"/>
      <c r="AC593" s="103"/>
      <c r="AD593" s="103"/>
      <c r="AE593" s="103"/>
      <c r="AF593" s="103"/>
      <c r="AG593" s="103"/>
      <c r="AH593" s="103"/>
      <c r="AI593" s="103"/>
      <c r="AJ593" s="103"/>
      <c r="AK593" s="103"/>
      <c r="AL593" s="103"/>
      <c r="AM593" s="103"/>
      <c r="AN593" s="103"/>
      <c r="AO593" s="103"/>
      <c r="AP593" s="103"/>
      <c r="AQ593" s="103"/>
      <c r="AR593" s="103"/>
      <c r="AS593" s="103"/>
      <c r="AT593" s="103"/>
      <c r="AU593" s="103"/>
      <c r="AV593" s="103"/>
      <c r="AW593" s="103"/>
      <c r="AX593" s="103"/>
      <c r="AY593" s="103"/>
      <c r="AZ593" s="103"/>
      <c r="BA593" s="103"/>
      <c r="BB593" s="103"/>
      <c r="BC593" s="103"/>
      <c r="BD593" s="103"/>
      <c r="BE593" s="103"/>
      <c r="BF593" s="103"/>
      <c r="BG593" s="103"/>
      <c r="BH593" s="103"/>
      <c r="BI593" s="103"/>
      <c r="BJ593" s="103"/>
      <c r="BK593" s="103"/>
      <c r="BL593" s="103"/>
      <c r="BM593" s="103"/>
      <c r="BN593" s="103"/>
      <c r="BO593" s="103"/>
      <c r="BP593" s="103"/>
      <c r="BQ593" s="103"/>
      <c r="BR593" s="103"/>
      <c r="BS593" s="103"/>
      <c r="BT593" s="103"/>
      <c r="BU593" s="103"/>
      <c r="BV593" s="103"/>
      <c r="BW593" s="103"/>
      <c r="BX593" s="103"/>
      <c r="BY593" s="103"/>
      <c r="BZ593" s="103"/>
      <c r="CA593" s="103"/>
      <c r="CB593" s="103"/>
      <c r="CC593" s="103"/>
      <c r="CD593" s="103"/>
      <c r="CE593" s="103"/>
      <c r="CF593" s="103"/>
      <c r="CG593" s="103"/>
      <c r="CH593" s="103"/>
      <c r="CI593" s="103"/>
      <c r="CJ593" s="103"/>
      <c r="CK593" s="103"/>
      <c r="CL593" s="103"/>
      <c r="CM593" s="103"/>
      <c r="CN593" s="103"/>
      <c r="CO593" s="103"/>
    </row>
    <row r="594" spans="1:93">
      <c r="A594" s="233"/>
      <c r="B594" s="101"/>
      <c r="C594" s="17" t="s">
        <v>678</v>
      </c>
      <c r="D594" s="69"/>
      <c r="E594" s="62">
        <f>Предпосылки!E423*365</f>
        <v>149.64999999999998</v>
      </c>
      <c r="F594" s="70"/>
      <c r="G594" s="11" t="s">
        <v>99</v>
      </c>
      <c r="H594" s="69"/>
      <c r="I594" s="69"/>
      <c r="J594" s="69"/>
      <c r="K594" s="69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  <c r="AA594" s="103"/>
      <c r="AB594" s="103"/>
      <c r="AC594" s="103"/>
      <c r="AD594" s="103"/>
      <c r="AE594" s="103"/>
      <c r="AF594" s="103"/>
      <c r="AG594" s="103"/>
      <c r="AH594" s="103"/>
      <c r="AI594" s="103"/>
      <c r="AJ594" s="103"/>
      <c r="AK594" s="103"/>
      <c r="AL594" s="103"/>
      <c r="AM594" s="103"/>
      <c r="AN594" s="103"/>
      <c r="AO594" s="103"/>
      <c r="AP594" s="103"/>
      <c r="AQ594" s="103"/>
      <c r="AR594" s="103"/>
      <c r="AS594" s="103"/>
      <c r="AT594" s="103"/>
      <c r="AU594" s="103"/>
      <c r="AV594" s="103"/>
      <c r="AW594" s="103"/>
      <c r="AX594" s="103"/>
      <c r="AY594" s="103"/>
      <c r="AZ594" s="103"/>
      <c r="BA594" s="103"/>
      <c r="BB594" s="103"/>
      <c r="BC594" s="103"/>
      <c r="BD594" s="103"/>
      <c r="BE594" s="103"/>
      <c r="BF594" s="103"/>
      <c r="BG594" s="103"/>
      <c r="BH594" s="103"/>
      <c r="BI594" s="103"/>
      <c r="BJ594" s="103"/>
      <c r="BK594" s="103"/>
      <c r="BL594" s="103"/>
      <c r="BM594" s="103"/>
      <c r="BN594" s="103"/>
      <c r="BO594" s="103"/>
      <c r="BP594" s="103"/>
      <c r="BQ594" s="103"/>
      <c r="BR594" s="103"/>
      <c r="BS594" s="103"/>
      <c r="BT594" s="103"/>
      <c r="BU594" s="103"/>
      <c r="BV594" s="103"/>
      <c r="BW594" s="103"/>
      <c r="BX594" s="103"/>
      <c r="BY594" s="103"/>
      <c r="BZ594" s="103"/>
      <c r="CA594" s="103"/>
      <c r="CB594" s="103"/>
      <c r="CC594" s="103"/>
      <c r="CD594" s="103"/>
      <c r="CE594" s="103"/>
      <c r="CF594" s="103"/>
      <c r="CG594" s="103"/>
      <c r="CH594" s="103"/>
      <c r="CI594" s="103"/>
      <c r="CJ594" s="103"/>
      <c r="CK594" s="103"/>
      <c r="CL594" s="103"/>
      <c r="CM594" s="103"/>
      <c r="CN594" s="103"/>
      <c r="CO594" s="103"/>
    </row>
    <row r="595" spans="1:93">
      <c r="A595" s="233"/>
      <c r="B595" s="101"/>
      <c r="C595" s="17" t="s">
        <v>679</v>
      </c>
      <c r="D595" s="69"/>
      <c r="E595" s="62">
        <f>Предпосылки!E424*365</f>
        <v>149.64999999999998</v>
      </c>
      <c r="F595" s="70"/>
      <c r="G595" s="11" t="s">
        <v>99</v>
      </c>
      <c r="H595" s="69"/>
      <c r="I595" s="69"/>
      <c r="J595" s="69"/>
      <c r="K595" s="69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  <c r="AA595" s="103"/>
      <c r="AB595" s="103"/>
      <c r="AC595" s="103"/>
      <c r="AD595" s="103"/>
      <c r="AE595" s="103"/>
      <c r="AF595" s="103"/>
      <c r="AG595" s="103"/>
      <c r="AH595" s="103"/>
      <c r="AI595" s="103"/>
      <c r="AJ595" s="103"/>
      <c r="AK595" s="103"/>
      <c r="AL595" s="103"/>
      <c r="AM595" s="103"/>
      <c r="AN595" s="103"/>
      <c r="AO595" s="103"/>
      <c r="AP595" s="103"/>
      <c r="AQ595" s="103"/>
      <c r="AR595" s="103"/>
      <c r="AS595" s="103"/>
      <c r="AT595" s="103"/>
      <c r="AU595" s="103"/>
      <c r="AV595" s="103"/>
      <c r="AW595" s="103"/>
      <c r="AX595" s="103"/>
      <c r="AY595" s="103"/>
      <c r="AZ595" s="103"/>
      <c r="BA595" s="103"/>
      <c r="BB595" s="103"/>
      <c r="BC595" s="103"/>
      <c r="BD595" s="103"/>
      <c r="BE595" s="103"/>
      <c r="BF595" s="103"/>
      <c r="BG595" s="103"/>
      <c r="BH595" s="103"/>
      <c r="BI595" s="103"/>
      <c r="BJ595" s="103"/>
      <c r="BK595" s="103"/>
      <c r="BL595" s="103"/>
      <c r="BM595" s="103"/>
      <c r="BN595" s="103"/>
      <c r="BO595" s="103"/>
      <c r="BP595" s="103"/>
      <c r="BQ595" s="103"/>
      <c r="BR595" s="103"/>
      <c r="BS595" s="103"/>
      <c r="BT595" s="103"/>
      <c r="BU595" s="103"/>
      <c r="BV595" s="103"/>
      <c r="BW595" s="103"/>
      <c r="BX595" s="103"/>
      <c r="BY595" s="103"/>
      <c r="BZ595" s="103"/>
      <c r="CA595" s="103"/>
      <c r="CB595" s="103"/>
      <c r="CC595" s="103"/>
      <c r="CD595" s="103"/>
      <c r="CE595" s="103"/>
      <c r="CF595" s="103"/>
      <c r="CG595" s="103"/>
      <c r="CH595" s="103"/>
      <c r="CI595" s="103"/>
      <c r="CJ595" s="103"/>
      <c r="CK595" s="103"/>
      <c r="CL595" s="103"/>
      <c r="CM595" s="103"/>
      <c r="CN595" s="103"/>
      <c r="CO595" s="103"/>
    </row>
    <row r="596" spans="1:93">
      <c r="A596" s="233"/>
      <c r="B596" s="101"/>
      <c r="C596" s="169"/>
      <c r="D596" s="69"/>
      <c r="E596" s="62"/>
      <c r="F596" s="70"/>
      <c r="G596" s="11"/>
      <c r="H596" s="69"/>
      <c r="I596" s="69"/>
      <c r="J596" s="69"/>
      <c r="K596" s="69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  <c r="AA596" s="103"/>
      <c r="AB596" s="103"/>
      <c r="AC596" s="103"/>
      <c r="AD596" s="103"/>
      <c r="AE596" s="103"/>
      <c r="AF596" s="103"/>
      <c r="AG596" s="103"/>
      <c r="AH596" s="103"/>
      <c r="AI596" s="103"/>
      <c r="AJ596" s="103"/>
      <c r="AK596" s="103"/>
      <c r="AL596" s="103"/>
      <c r="AM596" s="103"/>
      <c r="AN596" s="103"/>
      <c r="AO596" s="103"/>
      <c r="AP596" s="103"/>
      <c r="AQ596" s="103"/>
      <c r="AR596" s="103"/>
      <c r="AS596" s="103"/>
      <c r="AT596" s="103"/>
      <c r="AU596" s="103"/>
      <c r="AV596" s="103"/>
      <c r="AW596" s="103"/>
      <c r="AX596" s="103"/>
      <c r="AY596" s="103"/>
      <c r="AZ596" s="103"/>
      <c r="BA596" s="103"/>
      <c r="BB596" s="103"/>
      <c r="BC596" s="103"/>
      <c r="BD596" s="103"/>
      <c r="BE596" s="103"/>
      <c r="BF596" s="103"/>
      <c r="BG596" s="103"/>
      <c r="BH596" s="103"/>
      <c r="BI596" s="103"/>
      <c r="BJ596" s="103"/>
      <c r="BK596" s="103"/>
      <c r="BL596" s="103"/>
      <c r="BM596" s="103"/>
      <c r="BN596" s="103"/>
      <c r="BO596" s="103"/>
      <c r="BP596" s="103"/>
      <c r="BQ596" s="103"/>
      <c r="BR596" s="103"/>
      <c r="BS596" s="103"/>
      <c r="BT596" s="103"/>
      <c r="BU596" s="103"/>
      <c r="BV596" s="103"/>
      <c r="BW596" s="103"/>
      <c r="BX596" s="103"/>
      <c r="BY596" s="103"/>
      <c r="BZ596" s="103"/>
      <c r="CA596" s="103"/>
      <c r="CB596" s="103"/>
      <c r="CC596" s="103"/>
      <c r="CD596" s="103"/>
      <c r="CE596" s="103"/>
      <c r="CF596" s="103"/>
      <c r="CG596" s="103"/>
      <c r="CH596" s="103"/>
      <c r="CI596" s="103"/>
      <c r="CJ596" s="103"/>
      <c r="CK596" s="103"/>
      <c r="CL596" s="103"/>
      <c r="CM596" s="103"/>
      <c r="CN596" s="103"/>
      <c r="CO596" s="103"/>
    </row>
    <row r="597" spans="1:93">
      <c r="A597" s="233"/>
      <c r="B597" s="101"/>
      <c r="C597" s="41" t="s">
        <v>680</v>
      </c>
      <c r="D597" s="69"/>
      <c r="E597" s="62"/>
      <c r="F597" s="70"/>
      <c r="G597" s="11"/>
      <c r="H597" s="69"/>
      <c r="I597" s="69"/>
      <c r="J597" s="69"/>
      <c r="K597" s="69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  <c r="AA597" s="103"/>
      <c r="AB597" s="103"/>
      <c r="AC597" s="103"/>
      <c r="AD597" s="103"/>
      <c r="AE597" s="103"/>
      <c r="AF597" s="103"/>
      <c r="AG597" s="103"/>
      <c r="AH597" s="103"/>
      <c r="AI597" s="103"/>
      <c r="AJ597" s="103"/>
      <c r="AK597" s="103"/>
      <c r="AL597" s="103"/>
      <c r="AM597" s="103"/>
      <c r="AN597" s="103"/>
      <c r="AO597" s="103"/>
      <c r="AP597" s="103"/>
      <c r="AQ597" s="103"/>
      <c r="AR597" s="103"/>
      <c r="AS597" s="103"/>
      <c r="AT597" s="103"/>
      <c r="AU597" s="103"/>
      <c r="AV597" s="103"/>
      <c r="AW597" s="103"/>
      <c r="AX597" s="103"/>
      <c r="AY597" s="103"/>
      <c r="AZ597" s="103"/>
      <c r="BA597" s="103"/>
      <c r="BB597" s="103"/>
      <c r="BC597" s="103"/>
      <c r="BD597" s="103"/>
      <c r="BE597" s="103"/>
      <c r="BF597" s="103"/>
      <c r="BG597" s="103"/>
      <c r="BH597" s="103"/>
      <c r="BI597" s="103"/>
      <c r="BJ597" s="103"/>
      <c r="BK597" s="103"/>
      <c r="BL597" s="103"/>
      <c r="BM597" s="103"/>
      <c r="BN597" s="103"/>
      <c r="BO597" s="103"/>
      <c r="BP597" s="103"/>
      <c r="BQ597" s="103"/>
      <c r="BR597" s="103"/>
      <c r="BS597" s="103"/>
      <c r="BT597" s="103"/>
      <c r="BU597" s="103"/>
      <c r="BV597" s="103"/>
      <c r="BW597" s="103"/>
      <c r="BX597" s="103"/>
      <c r="BY597" s="103"/>
      <c r="BZ597" s="103"/>
      <c r="CA597" s="103"/>
      <c r="CB597" s="103"/>
      <c r="CC597" s="103"/>
      <c r="CD597" s="103"/>
      <c r="CE597" s="103"/>
      <c r="CF597" s="103"/>
      <c r="CG597" s="103"/>
      <c r="CH597" s="103"/>
      <c r="CI597" s="103"/>
      <c r="CJ597" s="103"/>
      <c r="CK597" s="103"/>
      <c r="CL597" s="103"/>
      <c r="CM597" s="103"/>
      <c r="CN597" s="103"/>
      <c r="CO597" s="103"/>
    </row>
    <row r="598" spans="1:93">
      <c r="A598" s="233"/>
      <c r="B598" s="101"/>
      <c r="C598" s="17" t="s">
        <v>669</v>
      </c>
      <c r="D598" s="69"/>
      <c r="E598" s="62">
        <f xml:space="preserve"> $E$591 * $E$592 * $E$593 * E577</f>
        <v>4441.32</v>
      </c>
      <c r="F598" s="70"/>
      <c r="G598" s="11" t="s">
        <v>643</v>
      </c>
      <c r="H598" s="69"/>
      <c r="I598" s="69"/>
      <c r="J598" s="69"/>
      <c r="K598" s="69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  <c r="AA598" s="103"/>
      <c r="AB598" s="103"/>
      <c r="AC598" s="103"/>
      <c r="AD598" s="103"/>
      <c r="AE598" s="103"/>
      <c r="AF598" s="103"/>
      <c r="AG598" s="103"/>
      <c r="AH598" s="103"/>
      <c r="AI598" s="103"/>
      <c r="AJ598" s="103"/>
      <c r="AK598" s="103"/>
      <c r="AL598" s="103"/>
      <c r="AM598" s="103"/>
      <c r="AN598" s="103"/>
      <c r="AO598" s="103"/>
      <c r="AP598" s="103"/>
      <c r="AQ598" s="103"/>
      <c r="AR598" s="103"/>
      <c r="AS598" s="103"/>
      <c r="AT598" s="103"/>
      <c r="AU598" s="103"/>
      <c r="AV598" s="103"/>
      <c r="AW598" s="103"/>
      <c r="AX598" s="103"/>
      <c r="AY598" s="103"/>
      <c r="AZ598" s="103"/>
      <c r="BA598" s="103"/>
      <c r="BB598" s="103"/>
      <c r="BC598" s="103"/>
      <c r="BD598" s="103"/>
      <c r="BE598" s="103"/>
      <c r="BF598" s="103"/>
      <c r="BG598" s="103"/>
      <c r="BH598" s="103"/>
      <c r="BI598" s="103"/>
      <c r="BJ598" s="103"/>
      <c r="BK598" s="103"/>
      <c r="BL598" s="103"/>
      <c r="BM598" s="103"/>
      <c r="BN598" s="103"/>
      <c r="BO598" s="103"/>
      <c r="BP598" s="103"/>
      <c r="BQ598" s="103"/>
      <c r="BR598" s="103"/>
      <c r="BS598" s="103"/>
      <c r="BT598" s="103"/>
      <c r="BU598" s="103"/>
      <c r="BV598" s="103"/>
      <c r="BW598" s="103"/>
      <c r="BX598" s="103"/>
      <c r="BY598" s="103"/>
      <c r="BZ598" s="103"/>
      <c r="CA598" s="103"/>
      <c r="CB598" s="103"/>
      <c r="CC598" s="103"/>
      <c r="CD598" s="103"/>
      <c r="CE598" s="103"/>
      <c r="CF598" s="103"/>
      <c r="CG598" s="103"/>
      <c r="CH598" s="103"/>
      <c r="CI598" s="103"/>
      <c r="CJ598" s="103"/>
      <c r="CK598" s="103"/>
      <c r="CL598" s="103"/>
      <c r="CM598" s="103"/>
      <c r="CN598" s="103"/>
      <c r="CO598" s="103"/>
    </row>
    <row r="599" spans="1:93">
      <c r="A599" s="233"/>
      <c r="B599" s="101"/>
      <c r="C599" s="17" t="s">
        <v>668</v>
      </c>
      <c r="D599" s="69"/>
      <c r="E599" s="62">
        <f t="shared" ref="E599:E600" si="5697" xml:space="preserve"> $E$591 * $E$592 * $E$593 * E578</f>
        <v>0</v>
      </c>
      <c r="F599" s="70"/>
      <c r="G599" s="11" t="s">
        <v>643</v>
      </c>
      <c r="H599" s="69"/>
      <c r="I599" s="69"/>
      <c r="J599" s="69"/>
      <c r="K599" s="69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  <c r="AA599" s="103"/>
      <c r="AB599" s="103"/>
      <c r="AC599" s="103"/>
      <c r="AD599" s="103"/>
      <c r="AE599" s="103"/>
      <c r="AF599" s="103"/>
      <c r="AG599" s="103"/>
      <c r="AH599" s="103"/>
      <c r="AI599" s="103"/>
      <c r="AJ599" s="103"/>
      <c r="AK599" s="103"/>
      <c r="AL599" s="103"/>
      <c r="AM599" s="103"/>
      <c r="AN599" s="103"/>
      <c r="AO599" s="103"/>
      <c r="AP599" s="103"/>
      <c r="AQ599" s="103"/>
      <c r="AR599" s="103"/>
      <c r="AS599" s="103"/>
      <c r="AT599" s="103"/>
      <c r="AU599" s="103"/>
      <c r="AV599" s="103"/>
      <c r="AW599" s="103"/>
      <c r="AX599" s="103"/>
      <c r="AY599" s="103"/>
      <c r="AZ599" s="103"/>
      <c r="BA599" s="103"/>
      <c r="BB599" s="103"/>
      <c r="BC599" s="103"/>
      <c r="BD599" s="103"/>
      <c r="BE599" s="103"/>
      <c r="BF599" s="103"/>
      <c r="BG599" s="103"/>
      <c r="BH599" s="103"/>
      <c r="BI599" s="103"/>
      <c r="BJ599" s="103"/>
      <c r="BK599" s="103"/>
      <c r="BL599" s="103"/>
      <c r="BM599" s="103"/>
      <c r="BN599" s="103"/>
      <c r="BO599" s="103"/>
      <c r="BP599" s="103"/>
      <c r="BQ599" s="103"/>
      <c r="BR599" s="103"/>
      <c r="BS599" s="103"/>
      <c r="BT599" s="103"/>
      <c r="BU599" s="103"/>
      <c r="BV599" s="103"/>
      <c r="BW599" s="103"/>
      <c r="BX599" s="103"/>
      <c r="BY599" s="103"/>
      <c r="BZ599" s="103"/>
      <c r="CA599" s="103"/>
      <c r="CB599" s="103"/>
      <c r="CC599" s="103"/>
      <c r="CD599" s="103"/>
      <c r="CE599" s="103"/>
      <c r="CF599" s="103"/>
      <c r="CG599" s="103"/>
      <c r="CH599" s="103"/>
      <c r="CI599" s="103"/>
      <c r="CJ599" s="103"/>
      <c r="CK599" s="103"/>
      <c r="CL599" s="103"/>
      <c r="CM599" s="103"/>
      <c r="CN599" s="103"/>
      <c r="CO599" s="103"/>
    </row>
    <row r="600" spans="1:93">
      <c r="A600" s="233"/>
      <c r="B600" s="101"/>
      <c r="C600" s="17" t="s">
        <v>670</v>
      </c>
      <c r="D600" s="69"/>
      <c r="E600" s="62">
        <f t="shared" si="5697"/>
        <v>4099.68</v>
      </c>
      <c r="F600" s="70"/>
      <c r="G600" s="11" t="s">
        <v>643</v>
      </c>
      <c r="H600" s="69"/>
      <c r="I600" s="69"/>
      <c r="J600" s="69"/>
      <c r="K600" s="69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  <c r="AA600" s="103"/>
      <c r="AB600" s="103"/>
      <c r="AC600" s="103"/>
      <c r="AD600" s="103"/>
      <c r="AE600" s="103"/>
      <c r="AF600" s="103"/>
      <c r="AG600" s="103"/>
      <c r="AH600" s="103"/>
      <c r="AI600" s="103"/>
      <c r="AJ600" s="103"/>
      <c r="AK600" s="103"/>
      <c r="AL600" s="103"/>
      <c r="AM600" s="103"/>
      <c r="AN600" s="103"/>
      <c r="AO600" s="103"/>
      <c r="AP600" s="103"/>
      <c r="AQ600" s="103"/>
      <c r="AR600" s="103"/>
      <c r="AS600" s="103"/>
      <c r="AT600" s="103"/>
      <c r="AU600" s="103"/>
      <c r="AV600" s="103"/>
      <c r="AW600" s="103"/>
      <c r="AX600" s="103"/>
      <c r="AY600" s="103"/>
      <c r="AZ600" s="103"/>
      <c r="BA600" s="103"/>
      <c r="BB600" s="103"/>
      <c r="BC600" s="103"/>
      <c r="BD600" s="103"/>
      <c r="BE600" s="103"/>
      <c r="BF600" s="103"/>
      <c r="BG600" s="103"/>
      <c r="BH600" s="103"/>
      <c r="BI600" s="103"/>
      <c r="BJ600" s="103"/>
      <c r="BK600" s="103"/>
      <c r="BL600" s="103"/>
      <c r="BM600" s="103"/>
      <c r="BN600" s="103"/>
      <c r="BO600" s="103"/>
      <c r="BP600" s="103"/>
      <c r="BQ600" s="103"/>
      <c r="BR600" s="103"/>
      <c r="BS600" s="103"/>
      <c r="BT600" s="103"/>
      <c r="BU600" s="103"/>
      <c r="BV600" s="103"/>
      <c r="BW600" s="103"/>
      <c r="BX600" s="103"/>
      <c r="BY600" s="103"/>
      <c r="BZ600" s="103"/>
      <c r="CA600" s="103"/>
      <c r="CB600" s="103"/>
      <c r="CC600" s="103"/>
      <c r="CD600" s="103"/>
      <c r="CE600" s="103"/>
      <c r="CF600" s="103"/>
      <c r="CG600" s="103"/>
      <c r="CH600" s="103"/>
      <c r="CI600" s="103"/>
      <c r="CJ600" s="103"/>
      <c r="CK600" s="103"/>
      <c r="CL600" s="103"/>
      <c r="CM600" s="103"/>
      <c r="CN600" s="103"/>
      <c r="CO600" s="103"/>
    </row>
    <row r="601" spans="1:93">
      <c r="A601" s="233"/>
      <c r="B601" s="101"/>
      <c r="C601" s="17"/>
      <c r="D601" s="69"/>
      <c r="E601" s="62"/>
      <c r="F601" s="70"/>
      <c r="G601" s="11"/>
      <c r="H601" s="69"/>
      <c r="I601" s="69"/>
      <c r="J601" s="69"/>
      <c r="K601" s="69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  <c r="AA601" s="103"/>
      <c r="AB601" s="103"/>
      <c r="AC601" s="103"/>
      <c r="AD601" s="103"/>
      <c r="AE601" s="103"/>
      <c r="AF601" s="103"/>
      <c r="AG601" s="103"/>
      <c r="AH601" s="103"/>
      <c r="AI601" s="103"/>
      <c r="AJ601" s="103"/>
      <c r="AK601" s="103"/>
      <c r="AL601" s="103"/>
      <c r="AM601" s="103"/>
      <c r="AN601" s="103"/>
      <c r="AO601" s="103"/>
      <c r="AP601" s="103"/>
      <c r="AQ601" s="103"/>
      <c r="AR601" s="103"/>
      <c r="AS601" s="103"/>
      <c r="AT601" s="103"/>
      <c r="AU601" s="103"/>
      <c r="AV601" s="103"/>
      <c r="AW601" s="103"/>
      <c r="AX601" s="103"/>
      <c r="AY601" s="103"/>
      <c r="AZ601" s="103"/>
      <c r="BA601" s="103"/>
      <c r="BB601" s="103"/>
      <c r="BC601" s="103"/>
      <c r="BD601" s="103"/>
      <c r="BE601" s="103"/>
      <c r="BF601" s="103"/>
      <c r="BG601" s="103"/>
      <c r="BH601" s="103"/>
      <c r="BI601" s="103"/>
      <c r="BJ601" s="103"/>
      <c r="BK601" s="103"/>
      <c r="BL601" s="103"/>
      <c r="BM601" s="103"/>
      <c r="BN601" s="103"/>
      <c r="BO601" s="103"/>
      <c r="BP601" s="103"/>
      <c r="BQ601" s="103"/>
      <c r="BR601" s="103"/>
      <c r="BS601" s="103"/>
      <c r="BT601" s="103"/>
      <c r="BU601" s="103"/>
      <c r="BV601" s="103"/>
      <c r="BW601" s="103"/>
      <c r="BX601" s="103"/>
      <c r="BY601" s="103"/>
      <c r="BZ601" s="103"/>
      <c r="CA601" s="103"/>
      <c r="CB601" s="103"/>
      <c r="CC601" s="103"/>
      <c r="CD601" s="103"/>
      <c r="CE601" s="103"/>
      <c r="CF601" s="103"/>
      <c r="CG601" s="103"/>
      <c r="CH601" s="103"/>
      <c r="CI601" s="103"/>
      <c r="CJ601" s="103"/>
      <c r="CK601" s="103"/>
      <c r="CL601" s="103"/>
      <c r="CM601" s="103"/>
      <c r="CN601" s="103"/>
      <c r="CO601" s="103"/>
    </row>
    <row r="602" spans="1:93">
      <c r="A602" s="233"/>
      <c r="B602" s="101"/>
      <c r="C602" s="41" t="s">
        <v>681</v>
      </c>
      <c r="D602" s="69"/>
      <c r="E602" s="62"/>
      <c r="F602" s="70"/>
      <c r="G602" s="11"/>
      <c r="H602" s="69"/>
      <c r="I602" s="69"/>
      <c r="J602" s="69"/>
      <c r="K602" s="69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  <c r="AA602" s="103"/>
      <c r="AB602" s="103"/>
      <c r="AC602" s="103"/>
      <c r="AD602" s="103"/>
      <c r="AE602" s="103"/>
      <c r="AF602" s="103"/>
      <c r="AG602" s="103"/>
      <c r="AH602" s="103"/>
      <c r="AI602" s="103"/>
      <c r="AJ602" s="103"/>
      <c r="AK602" s="103"/>
      <c r="AL602" s="103"/>
      <c r="AM602" s="103"/>
      <c r="AN602" s="103"/>
      <c r="AO602" s="103"/>
      <c r="AP602" s="103"/>
      <c r="AQ602" s="103"/>
      <c r="AR602" s="103"/>
      <c r="AS602" s="103"/>
      <c r="AT602" s="103"/>
      <c r="AU602" s="103"/>
      <c r="AV602" s="103"/>
      <c r="AW602" s="103"/>
      <c r="AX602" s="103"/>
      <c r="AY602" s="103"/>
      <c r="AZ602" s="103"/>
      <c r="BA602" s="103"/>
      <c r="BB602" s="103"/>
      <c r="BC602" s="103"/>
      <c r="BD602" s="103"/>
      <c r="BE602" s="103"/>
      <c r="BF602" s="103"/>
      <c r="BG602" s="103"/>
      <c r="BH602" s="103"/>
      <c r="BI602" s="103"/>
      <c r="BJ602" s="103"/>
      <c r="BK602" s="103"/>
      <c r="BL602" s="103"/>
      <c r="BM602" s="103"/>
      <c r="BN602" s="103"/>
      <c r="BO602" s="103"/>
      <c r="BP602" s="103"/>
      <c r="BQ602" s="103"/>
      <c r="BR602" s="103"/>
      <c r="BS602" s="103"/>
      <c r="BT602" s="103"/>
      <c r="BU602" s="103"/>
      <c r="BV602" s="103"/>
      <c r="BW602" s="103"/>
      <c r="BX602" s="103"/>
      <c r="BY602" s="103"/>
      <c r="BZ602" s="103"/>
      <c r="CA602" s="103"/>
      <c r="CB602" s="103"/>
      <c r="CC602" s="103"/>
      <c r="CD602" s="103"/>
      <c r="CE602" s="103"/>
      <c r="CF602" s="103"/>
      <c r="CG602" s="103"/>
      <c r="CH602" s="103"/>
      <c r="CI602" s="103"/>
      <c r="CJ602" s="103"/>
      <c r="CK602" s="103"/>
      <c r="CL602" s="103"/>
      <c r="CM602" s="103"/>
      <c r="CN602" s="103"/>
      <c r="CO602" s="103"/>
    </row>
    <row r="603" spans="1:93">
      <c r="A603" s="233"/>
      <c r="B603" s="101"/>
      <c r="C603" s="17" t="s">
        <v>669</v>
      </c>
      <c r="D603" s="69"/>
      <c r="E603" s="62">
        <f xml:space="preserve"> $E$591 * $E$592 * $E$594 * E577</f>
        <v>10116.339999999998</v>
      </c>
      <c r="F603" s="70"/>
      <c r="G603" s="11" t="s">
        <v>643</v>
      </c>
      <c r="H603" s="69"/>
      <c r="I603" s="69"/>
      <c r="J603" s="69"/>
      <c r="K603" s="69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  <c r="AA603" s="103"/>
      <c r="AB603" s="103"/>
      <c r="AC603" s="103"/>
      <c r="AD603" s="103"/>
      <c r="AE603" s="103"/>
      <c r="AF603" s="103"/>
      <c r="AG603" s="103"/>
      <c r="AH603" s="103"/>
      <c r="AI603" s="103"/>
      <c r="AJ603" s="103"/>
      <c r="AK603" s="103"/>
      <c r="AL603" s="103"/>
      <c r="AM603" s="103"/>
      <c r="AN603" s="103"/>
      <c r="AO603" s="103"/>
      <c r="AP603" s="103"/>
      <c r="AQ603" s="103"/>
      <c r="AR603" s="103"/>
      <c r="AS603" s="103"/>
      <c r="AT603" s="103"/>
      <c r="AU603" s="103"/>
      <c r="AV603" s="103"/>
      <c r="AW603" s="103"/>
      <c r="AX603" s="103"/>
      <c r="AY603" s="103"/>
      <c r="AZ603" s="103"/>
      <c r="BA603" s="103"/>
      <c r="BB603" s="103"/>
      <c r="BC603" s="103"/>
      <c r="BD603" s="103"/>
      <c r="BE603" s="103"/>
      <c r="BF603" s="103"/>
      <c r="BG603" s="103"/>
      <c r="BH603" s="103"/>
      <c r="BI603" s="103"/>
      <c r="BJ603" s="103"/>
      <c r="BK603" s="103"/>
      <c r="BL603" s="103"/>
      <c r="BM603" s="103"/>
      <c r="BN603" s="103"/>
      <c r="BO603" s="103"/>
      <c r="BP603" s="103"/>
      <c r="BQ603" s="103"/>
      <c r="BR603" s="103"/>
      <c r="BS603" s="103"/>
      <c r="BT603" s="103"/>
      <c r="BU603" s="103"/>
      <c r="BV603" s="103"/>
      <c r="BW603" s="103"/>
      <c r="BX603" s="103"/>
      <c r="BY603" s="103"/>
      <c r="BZ603" s="103"/>
      <c r="CA603" s="103"/>
      <c r="CB603" s="103"/>
      <c r="CC603" s="103"/>
      <c r="CD603" s="103"/>
      <c r="CE603" s="103"/>
      <c r="CF603" s="103"/>
      <c r="CG603" s="103"/>
      <c r="CH603" s="103"/>
      <c r="CI603" s="103"/>
      <c r="CJ603" s="103"/>
      <c r="CK603" s="103"/>
      <c r="CL603" s="103"/>
      <c r="CM603" s="103"/>
      <c r="CN603" s="103"/>
      <c r="CO603" s="103"/>
    </row>
    <row r="604" spans="1:93">
      <c r="A604" s="233"/>
      <c r="B604" s="101"/>
      <c r="C604" s="17" t="s">
        <v>668</v>
      </c>
      <c r="D604" s="69"/>
      <c r="E604" s="62">
        <f xml:space="preserve"> $E$591 * $E$592 * $E$594 * E578</f>
        <v>0</v>
      </c>
      <c r="F604" s="70"/>
      <c r="G604" s="11" t="s">
        <v>643</v>
      </c>
      <c r="H604" s="69"/>
      <c r="I604" s="69"/>
      <c r="J604" s="69"/>
      <c r="K604" s="69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  <c r="AA604" s="103"/>
      <c r="AB604" s="103"/>
      <c r="AC604" s="103"/>
      <c r="AD604" s="103"/>
      <c r="AE604" s="103"/>
      <c r="AF604" s="103"/>
      <c r="AG604" s="103"/>
      <c r="AH604" s="103"/>
      <c r="AI604" s="103"/>
      <c r="AJ604" s="103"/>
      <c r="AK604" s="103"/>
      <c r="AL604" s="103"/>
      <c r="AM604" s="103"/>
      <c r="AN604" s="103"/>
      <c r="AO604" s="103"/>
      <c r="AP604" s="103"/>
      <c r="AQ604" s="103"/>
      <c r="AR604" s="103"/>
      <c r="AS604" s="103"/>
      <c r="AT604" s="103"/>
      <c r="AU604" s="103"/>
      <c r="AV604" s="103"/>
      <c r="AW604" s="103"/>
      <c r="AX604" s="103"/>
      <c r="AY604" s="103"/>
      <c r="AZ604" s="103"/>
      <c r="BA604" s="103"/>
      <c r="BB604" s="103"/>
      <c r="BC604" s="103"/>
      <c r="BD604" s="103"/>
      <c r="BE604" s="103"/>
      <c r="BF604" s="103"/>
      <c r="BG604" s="103"/>
      <c r="BH604" s="103"/>
      <c r="BI604" s="103"/>
      <c r="BJ604" s="103"/>
      <c r="BK604" s="103"/>
      <c r="BL604" s="103"/>
      <c r="BM604" s="103"/>
      <c r="BN604" s="103"/>
      <c r="BO604" s="103"/>
      <c r="BP604" s="103"/>
      <c r="BQ604" s="103"/>
      <c r="BR604" s="103"/>
      <c r="BS604" s="103"/>
      <c r="BT604" s="103"/>
      <c r="BU604" s="103"/>
      <c r="BV604" s="103"/>
      <c r="BW604" s="103"/>
      <c r="BX604" s="103"/>
      <c r="BY604" s="103"/>
      <c r="BZ604" s="103"/>
      <c r="CA604" s="103"/>
      <c r="CB604" s="103"/>
      <c r="CC604" s="103"/>
      <c r="CD604" s="103"/>
      <c r="CE604" s="103"/>
      <c r="CF604" s="103"/>
      <c r="CG604" s="103"/>
      <c r="CH604" s="103"/>
      <c r="CI604" s="103"/>
      <c r="CJ604" s="103"/>
      <c r="CK604" s="103"/>
      <c r="CL604" s="103"/>
      <c r="CM604" s="103"/>
      <c r="CN604" s="103"/>
      <c r="CO604" s="103"/>
    </row>
    <row r="605" spans="1:93">
      <c r="A605" s="233"/>
      <c r="B605" s="101"/>
      <c r="C605" s="17" t="s">
        <v>670</v>
      </c>
      <c r="D605" s="69"/>
      <c r="E605" s="62">
        <f xml:space="preserve"> $E$591 * $E$592 * $E$594 * E579</f>
        <v>9338.159999999998</v>
      </c>
      <c r="F605" s="70"/>
      <c r="G605" s="11" t="s">
        <v>643</v>
      </c>
      <c r="H605" s="69"/>
      <c r="I605" s="69"/>
      <c r="J605" s="69"/>
      <c r="K605" s="69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  <c r="AA605" s="103"/>
      <c r="AB605" s="103"/>
      <c r="AC605" s="103"/>
      <c r="AD605" s="103"/>
      <c r="AE605" s="103"/>
      <c r="AF605" s="103"/>
      <c r="AG605" s="103"/>
      <c r="AH605" s="103"/>
      <c r="AI605" s="103"/>
      <c r="AJ605" s="103"/>
      <c r="AK605" s="103"/>
      <c r="AL605" s="103"/>
      <c r="AM605" s="103"/>
      <c r="AN605" s="103"/>
      <c r="AO605" s="103"/>
      <c r="AP605" s="103"/>
      <c r="AQ605" s="103"/>
      <c r="AR605" s="103"/>
      <c r="AS605" s="103"/>
      <c r="AT605" s="103"/>
      <c r="AU605" s="103"/>
      <c r="AV605" s="103"/>
      <c r="AW605" s="103"/>
      <c r="AX605" s="103"/>
      <c r="AY605" s="103"/>
      <c r="AZ605" s="103"/>
      <c r="BA605" s="103"/>
      <c r="BB605" s="103"/>
      <c r="BC605" s="103"/>
      <c r="BD605" s="103"/>
      <c r="BE605" s="103"/>
      <c r="BF605" s="103"/>
      <c r="BG605" s="103"/>
      <c r="BH605" s="103"/>
      <c r="BI605" s="103"/>
      <c r="BJ605" s="103"/>
      <c r="BK605" s="103"/>
      <c r="BL605" s="103"/>
      <c r="BM605" s="103"/>
      <c r="BN605" s="103"/>
      <c r="BO605" s="103"/>
      <c r="BP605" s="103"/>
      <c r="BQ605" s="103"/>
      <c r="BR605" s="103"/>
      <c r="BS605" s="103"/>
      <c r="BT605" s="103"/>
      <c r="BU605" s="103"/>
      <c r="BV605" s="103"/>
      <c r="BW605" s="103"/>
      <c r="BX605" s="103"/>
      <c r="BY605" s="103"/>
      <c r="BZ605" s="103"/>
      <c r="CA605" s="103"/>
      <c r="CB605" s="103"/>
      <c r="CC605" s="103"/>
      <c r="CD605" s="103"/>
      <c r="CE605" s="103"/>
      <c r="CF605" s="103"/>
      <c r="CG605" s="103"/>
      <c r="CH605" s="103"/>
      <c r="CI605" s="103"/>
      <c r="CJ605" s="103"/>
      <c r="CK605" s="103"/>
      <c r="CL605" s="103"/>
      <c r="CM605" s="103"/>
      <c r="CN605" s="103"/>
      <c r="CO605" s="103"/>
    </row>
    <row r="606" spans="1:93">
      <c r="A606" s="233"/>
      <c r="B606" s="101"/>
      <c r="C606" s="17"/>
      <c r="D606" s="69"/>
      <c r="E606" s="62"/>
      <c r="F606" s="70"/>
      <c r="G606" s="11"/>
      <c r="H606" s="69"/>
      <c r="I606" s="69"/>
      <c r="J606" s="69"/>
      <c r="K606" s="69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Z606" s="103"/>
      <c r="AA606" s="103"/>
      <c r="AB606" s="103"/>
      <c r="AC606" s="103"/>
      <c r="AD606" s="103"/>
      <c r="AE606" s="103"/>
      <c r="AF606" s="103"/>
      <c r="AG606" s="103"/>
      <c r="AH606" s="103"/>
      <c r="AI606" s="103"/>
      <c r="AJ606" s="103"/>
      <c r="AK606" s="103"/>
      <c r="AL606" s="103"/>
      <c r="AM606" s="103"/>
      <c r="AN606" s="103"/>
      <c r="AO606" s="103"/>
      <c r="AP606" s="103"/>
      <c r="AQ606" s="103"/>
      <c r="AR606" s="103"/>
      <c r="AS606" s="103"/>
      <c r="AT606" s="103"/>
      <c r="AU606" s="103"/>
      <c r="AV606" s="103"/>
      <c r="AW606" s="103"/>
      <c r="AX606" s="103"/>
      <c r="AY606" s="103"/>
      <c r="AZ606" s="103"/>
      <c r="BA606" s="103"/>
      <c r="BB606" s="103"/>
      <c r="BC606" s="103"/>
      <c r="BD606" s="103"/>
      <c r="BE606" s="103"/>
      <c r="BF606" s="103"/>
      <c r="BG606" s="103"/>
      <c r="BH606" s="103"/>
      <c r="BI606" s="103"/>
      <c r="BJ606" s="103"/>
      <c r="BK606" s="103"/>
      <c r="BL606" s="103"/>
      <c r="BM606" s="103"/>
      <c r="BN606" s="103"/>
      <c r="BO606" s="103"/>
      <c r="BP606" s="103"/>
      <c r="BQ606" s="103"/>
      <c r="BR606" s="103"/>
      <c r="BS606" s="103"/>
      <c r="BT606" s="103"/>
      <c r="BU606" s="103"/>
      <c r="BV606" s="103"/>
      <c r="BW606" s="103"/>
      <c r="BX606" s="103"/>
      <c r="BY606" s="103"/>
      <c r="BZ606" s="103"/>
      <c r="CA606" s="103"/>
      <c r="CB606" s="103"/>
      <c r="CC606" s="103"/>
      <c r="CD606" s="103"/>
      <c r="CE606" s="103"/>
      <c r="CF606" s="103"/>
      <c r="CG606" s="103"/>
      <c r="CH606" s="103"/>
      <c r="CI606" s="103"/>
      <c r="CJ606" s="103"/>
      <c r="CK606" s="103"/>
      <c r="CL606" s="103"/>
      <c r="CM606" s="103"/>
      <c r="CN606" s="103"/>
      <c r="CO606" s="103"/>
    </row>
    <row r="607" spans="1:93">
      <c r="A607" s="233"/>
      <c r="B607" s="101"/>
      <c r="C607" s="41" t="s">
        <v>682</v>
      </c>
      <c r="D607" s="69"/>
      <c r="E607" s="62"/>
      <c r="F607" s="70"/>
      <c r="G607" s="11"/>
      <c r="H607" s="69"/>
      <c r="I607" s="69"/>
      <c r="J607" s="69"/>
      <c r="K607" s="69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  <c r="AA607" s="103"/>
      <c r="AB607" s="103"/>
      <c r="AC607" s="103"/>
      <c r="AD607" s="103"/>
      <c r="AE607" s="103"/>
      <c r="AF607" s="103"/>
      <c r="AG607" s="103"/>
      <c r="AH607" s="103"/>
      <c r="AI607" s="103"/>
      <c r="AJ607" s="103"/>
      <c r="AK607" s="103"/>
      <c r="AL607" s="103"/>
      <c r="AM607" s="103"/>
      <c r="AN607" s="103"/>
      <c r="AO607" s="103"/>
      <c r="AP607" s="103"/>
      <c r="AQ607" s="103"/>
      <c r="AR607" s="103"/>
      <c r="AS607" s="103"/>
      <c r="AT607" s="103"/>
      <c r="AU607" s="103"/>
      <c r="AV607" s="103"/>
      <c r="AW607" s="103"/>
      <c r="AX607" s="103"/>
      <c r="AY607" s="103"/>
      <c r="AZ607" s="103"/>
      <c r="BA607" s="103"/>
      <c r="BB607" s="103"/>
      <c r="BC607" s="103"/>
      <c r="BD607" s="103"/>
      <c r="BE607" s="103"/>
      <c r="BF607" s="103"/>
      <c r="BG607" s="103"/>
      <c r="BH607" s="103"/>
      <c r="BI607" s="103"/>
      <c r="BJ607" s="103"/>
      <c r="BK607" s="103"/>
      <c r="BL607" s="103"/>
      <c r="BM607" s="103"/>
      <c r="BN607" s="103"/>
      <c r="BO607" s="103"/>
      <c r="BP607" s="103"/>
      <c r="BQ607" s="103"/>
      <c r="BR607" s="103"/>
      <c r="BS607" s="103"/>
      <c r="BT607" s="103"/>
      <c r="BU607" s="103"/>
      <c r="BV607" s="103"/>
      <c r="BW607" s="103"/>
      <c r="BX607" s="103"/>
      <c r="BY607" s="103"/>
      <c r="BZ607" s="103"/>
      <c r="CA607" s="103"/>
      <c r="CB607" s="103"/>
      <c r="CC607" s="103"/>
      <c r="CD607" s="103"/>
      <c r="CE607" s="103"/>
      <c r="CF607" s="103"/>
      <c r="CG607" s="103"/>
      <c r="CH607" s="103"/>
      <c r="CI607" s="103"/>
      <c r="CJ607" s="103"/>
      <c r="CK607" s="103"/>
      <c r="CL607" s="103"/>
      <c r="CM607" s="103"/>
      <c r="CN607" s="103"/>
      <c r="CO607" s="103"/>
    </row>
    <row r="608" spans="1:93">
      <c r="A608" s="233"/>
      <c r="B608" s="101"/>
      <c r="C608" s="17" t="s">
        <v>669</v>
      </c>
      <c r="D608" s="69"/>
      <c r="E608" s="62">
        <f xml:space="preserve"> $E$591 * $E$592 * $E$595 * E577</f>
        <v>10116.339999999998</v>
      </c>
      <c r="F608" s="70"/>
      <c r="G608" s="11" t="s">
        <v>643</v>
      </c>
      <c r="H608" s="69"/>
      <c r="I608" s="69"/>
      <c r="J608" s="69"/>
      <c r="K608" s="69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  <c r="AA608" s="103"/>
      <c r="AB608" s="103"/>
      <c r="AC608" s="103"/>
      <c r="AD608" s="103"/>
      <c r="AE608" s="103"/>
      <c r="AF608" s="103"/>
      <c r="AG608" s="103"/>
      <c r="AH608" s="103"/>
      <c r="AI608" s="103"/>
      <c r="AJ608" s="103"/>
      <c r="AK608" s="103"/>
      <c r="AL608" s="103"/>
      <c r="AM608" s="103"/>
      <c r="AN608" s="103"/>
      <c r="AO608" s="103"/>
      <c r="AP608" s="103"/>
      <c r="AQ608" s="103"/>
      <c r="AR608" s="103"/>
      <c r="AS608" s="103"/>
      <c r="AT608" s="103"/>
      <c r="AU608" s="103"/>
      <c r="AV608" s="103"/>
      <c r="AW608" s="103"/>
      <c r="AX608" s="103"/>
      <c r="AY608" s="103"/>
      <c r="AZ608" s="103"/>
      <c r="BA608" s="103"/>
      <c r="BB608" s="103"/>
      <c r="BC608" s="103"/>
      <c r="BD608" s="103"/>
      <c r="BE608" s="103"/>
      <c r="BF608" s="103"/>
      <c r="BG608" s="103"/>
      <c r="BH608" s="103"/>
      <c r="BI608" s="103"/>
      <c r="BJ608" s="103"/>
      <c r="BK608" s="103"/>
      <c r="BL608" s="103"/>
      <c r="BM608" s="103"/>
      <c r="BN608" s="103"/>
      <c r="BO608" s="103"/>
      <c r="BP608" s="103"/>
      <c r="BQ608" s="103"/>
      <c r="BR608" s="103"/>
      <c r="BS608" s="103"/>
      <c r="BT608" s="103"/>
      <c r="BU608" s="103"/>
      <c r="BV608" s="103"/>
      <c r="BW608" s="103"/>
      <c r="BX608" s="103"/>
      <c r="BY608" s="103"/>
      <c r="BZ608" s="103"/>
      <c r="CA608" s="103"/>
      <c r="CB608" s="103"/>
      <c r="CC608" s="103"/>
      <c r="CD608" s="103"/>
      <c r="CE608" s="103"/>
      <c r="CF608" s="103"/>
      <c r="CG608" s="103"/>
      <c r="CH608" s="103"/>
      <c r="CI608" s="103"/>
      <c r="CJ608" s="103"/>
      <c r="CK608" s="103"/>
      <c r="CL608" s="103"/>
      <c r="CM608" s="103"/>
      <c r="CN608" s="103"/>
      <c r="CO608" s="103"/>
    </row>
    <row r="609" spans="1:93">
      <c r="A609" s="233"/>
      <c r="B609" s="101"/>
      <c r="C609" s="17" t="s">
        <v>668</v>
      </c>
      <c r="D609" s="69"/>
      <c r="E609" s="62">
        <f xml:space="preserve"> $E$591 * $E$592 * $E$595 * E578</f>
        <v>0</v>
      </c>
      <c r="F609" s="70"/>
      <c r="G609" s="11" t="s">
        <v>643</v>
      </c>
      <c r="H609" s="69"/>
      <c r="I609" s="69"/>
      <c r="J609" s="69"/>
      <c r="K609" s="69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  <c r="Z609" s="103"/>
      <c r="AA609" s="103"/>
      <c r="AB609" s="103"/>
      <c r="AC609" s="103"/>
      <c r="AD609" s="103"/>
      <c r="AE609" s="103"/>
      <c r="AF609" s="103"/>
      <c r="AG609" s="103"/>
      <c r="AH609" s="103"/>
      <c r="AI609" s="103"/>
      <c r="AJ609" s="103"/>
      <c r="AK609" s="103"/>
      <c r="AL609" s="103"/>
      <c r="AM609" s="103"/>
      <c r="AN609" s="103"/>
      <c r="AO609" s="103"/>
      <c r="AP609" s="103"/>
      <c r="AQ609" s="103"/>
      <c r="AR609" s="103"/>
      <c r="AS609" s="103"/>
      <c r="AT609" s="103"/>
      <c r="AU609" s="103"/>
      <c r="AV609" s="103"/>
      <c r="AW609" s="103"/>
      <c r="AX609" s="103"/>
      <c r="AY609" s="103"/>
      <c r="AZ609" s="103"/>
      <c r="BA609" s="103"/>
      <c r="BB609" s="103"/>
      <c r="BC609" s="103"/>
      <c r="BD609" s="103"/>
      <c r="BE609" s="103"/>
      <c r="BF609" s="103"/>
      <c r="BG609" s="103"/>
      <c r="BH609" s="103"/>
      <c r="BI609" s="103"/>
      <c r="BJ609" s="103"/>
      <c r="BK609" s="103"/>
      <c r="BL609" s="103"/>
      <c r="BM609" s="103"/>
      <c r="BN609" s="103"/>
      <c r="BO609" s="103"/>
      <c r="BP609" s="103"/>
      <c r="BQ609" s="103"/>
      <c r="BR609" s="103"/>
      <c r="BS609" s="103"/>
      <c r="BT609" s="103"/>
      <c r="BU609" s="103"/>
      <c r="BV609" s="103"/>
      <c r="BW609" s="103"/>
      <c r="BX609" s="103"/>
      <c r="BY609" s="103"/>
      <c r="BZ609" s="103"/>
      <c r="CA609" s="103"/>
      <c r="CB609" s="103"/>
      <c r="CC609" s="103"/>
      <c r="CD609" s="103"/>
      <c r="CE609" s="103"/>
      <c r="CF609" s="103"/>
      <c r="CG609" s="103"/>
      <c r="CH609" s="103"/>
      <c r="CI609" s="103"/>
      <c r="CJ609" s="103"/>
      <c r="CK609" s="103"/>
      <c r="CL609" s="103"/>
      <c r="CM609" s="103"/>
      <c r="CN609" s="103"/>
      <c r="CO609" s="103"/>
    </row>
    <row r="610" spans="1:93">
      <c r="A610" s="233"/>
      <c r="B610" s="101"/>
      <c r="C610" s="17" t="s">
        <v>670</v>
      </c>
      <c r="D610" s="69"/>
      <c r="E610" s="62">
        <f xml:space="preserve"> $E$591 * $E$592 * $E$595 * E579</f>
        <v>9338.159999999998</v>
      </c>
      <c r="F610" s="70"/>
      <c r="G610" s="11" t="s">
        <v>643</v>
      </c>
      <c r="H610" s="69"/>
      <c r="I610" s="69"/>
      <c r="J610" s="69"/>
      <c r="K610" s="69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  <c r="AA610" s="103"/>
      <c r="AB610" s="103"/>
      <c r="AC610" s="103"/>
      <c r="AD610" s="103"/>
      <c r="AE610" s="103"/>
      <c r="AF610" s="103"/>
      <c r="AG610" s="103"/>
      <c r="AH610" s="103"/>
      <c r="AI610" s="103"/>
      <c r="AJ610" s="103"/>
      <c r="AK610" s="103"/>
      <c r="AL610" s="103"/>
      <c r="AM610" s="103"/>
      <c r="AN610" s="103"/>
      <c r="AO610" s="103"/>
      <c r="AP610" s="103"/>
      <c r="AQ610" s="103"/>
      <c r="AR610" s="103"/>
      <c r="AS610" s="103"/>
      <c r="AT610" s="103"/>
      <c r="AU610" s="103"/>
      <c r="AV610" s="103"/>
      <c r="AW610" s="103"/>
      <c r="AX610" s="103"/>
      <c r="AY610" s="103"/>
      <c r="AZ610" s="103"/>
      <c r="BA610" s="103"/>
      <c r="BB610" s="103"/>
      <c r="BC610" s="103"/>
      <c r="BD610" s="103"/>
      <c r="BE610" s="103"/>
      <c r="BF610" s="103"/>
      <c r="BG610" s="103"/>
      <c r="BH610" s="103"/>
      <c r="BI610" s="103"/>
      <c r="BJ610" s="103"/>
      <c r="BK610" s="103"/>
      <c r="BL610" s="103"/>
      <c r="BM610" s="103"/>
      <c r="BN610" s="103"/>
      <c r="BO610" s="103"/>
      <c r="BP610" s="103"/>
      <c r="BQ610" s="103"/>
      <c r="BR610" s="103"/>
      <c r="BS610" s="103"/>
      <c r="BT610" s="103"/>
      <c r="BU610" s="103"/>
      <c r="BV610" s="103"/>
      <c r="BW610" s="103"/>
      <c r="BX610" s="103"/>
      <c r="BY610" s="103"/>
      <c r="BZ610" s="103"/>
      <c r="CA610" s="103"/>
      <c r="CB610" s="103"/>
      <c r="CC610" s="103"/>
      <c r="CD610" s="103"/>
      <c r="CE610" s="103"/>
      <c r="CF610" s="103"/>
      <c r="CG610" s="103"/>
      <c r="CH610" s="103"/>
      <c r="CI610" s="103"/>
      <c r="CJ610" s="103"/>
      <c r="CK610" s="103"/>
      <c r="CL610" s="103"/>
      <c r="CM610" s="103"/>
      <c r="CN610" s="103"/>
      <c r="CO610" s="103"/>
    </row>
    <row r="611" spans="1:93">
      <c r="A611" s="233"/>
      <c r="B611" s="101"/>
      <c r="C611" s="169"/>
      <c r="D611" s="69"/>
      <c r="E611" s="62"/>
      <c r="F611" s="70"/>
      <c r="G611" s="11"/>
      <c r="H611" s="69"/>
      <c r="I611" s="69"/>
      <c r="J611" s="69"/>
      <c r="K611" s="69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  <c r="AA611" s="103"/>
      <c r="AB611" s="103"/>
      <c r="AC611" s="103"/>
      <c r="AD611" s="103"/>
      <c r="AE611" s="103"/>
      <c r="AF611" s="103"/>
      <c r="AG611" s="103"/>
      <c r="AH611" s="103"/>
      <c r="AI611" s="103"/>
      <c r="AJ611" s="103"/>
      <c r="AK611" s="103"/>
      <c r="AL611" s="103"/>
      <c r="AM611" s="103"/>
      <c r="AN611" s="103"/>
      <c r="AO611" s="103"/>
      <c r="AP611" s="103"/>
      <c r="AQ611" s="103"/>
      <c r="AR611" s="103"/>
      <c r="AS611" s="103"/>
      <c r="AT611" s="103"/>
      <c r="AU611" s="103"/>
      <c r="AV611" s="103"/>
      <c r="AW611" s="103"/>
      <c r="AX611" s="103"/>
      <c r="AY611" s="103"/>
      <c r="AZ611" s="103"/>
      <c r="BA611" s="103"/>
      <c r="BB611" s="103"/>
      <c r="BC611" s="103"/>
      <c r="BD611" s="103"/>
      <c r="BE611" s="103"/>
      <c r="BF611" s="103"/>
      <c r="BG611" s="103"/>
      <c r="BH611" s="103"/>
      <c r="BI611" s="103"/>
      <c r="BJ611" s="103"/>
      <c r="BK611" s="103"/>
      <c r="BL611" s="103"/>
      <c r="BM611" s="103"/>
      <c r="BN611" s="103"/>
      <c r="BO611" s="103"/>
      <c r="BP611" s="103"/>
      <c r="BQ611" s="103"/>
      <c r="BR611" s="103"/>
      <c r="BS611" s="103"/>
      <c r="BT611" s="103"/>
      <c r="BU611" s="103"/>
      <c r="BV611" s="103"/>
      <c r="BW611" s="103"/>
      <c r="BX611" s="103"/>
      <c r="BY611" s="103"/>
      <c r="BZ611" s="103"/>
      <c r="CA611" s="103"/>
      <c r="CB611" s="103"/>
      <c r="CC611" s="103"/>
      <c r="CD611" s="103"/>
      <c r="CE611" s="103"/>
      <c r="CF611" s="103"/>
      <c r="CG611" s="103"/>
      <c r="CH611" s="103"/>
      <c r="CI611" s="103"/>
      <c r="CJ611" s="103"/>
      <c r="CK611" s="103"/>
      <c r="CL611" s="103"/>
      <c r="CM611" s="103"/>
      <c r="CN611" s="103"/>
      <c r="CO611" s="103"/>
    </row>
    <row r="612" spans="1:93">
      <c r="A612" s="233"/>
      <c r="B612" s="101"/>
      <c r="C612" s="41" t="s">
        <v>683</v>
      </c>
      <c r="D612" s="69"/>
      <c r="E612" s="62"/>
      <c r="F612" s="70"/>
      <c r="G612" s="11"/>
      <c r="H612" s="69"/>
      <c r="I612" s="69"/>
      <c r="J612" s="69"/>
      <c r="K612" s="69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  <c r="Z612" s="103"/>
      <c r="AA612" s="103"/>
      <c r="AB612" s="103"/>
      <c r="AC612" s="103"/>
      <c r="AD612" s="103"/>
      <c r="AE612" s="103"/>
      <c r="AF612" s="103"/>
      <c r="AG612" s="103"/>
      <c r="AH612" s="103"/>
      <c r="AI612" s="103"/>
      <c r="AJ612" s="103"/>
      <c r="AK612" s="103"/>
      <c r="AL612" s="103"/>
      <c r="AM612" s="103"/>
      <c r="AN612" s="103"/>
      <c r="AO612" s="103"/>
      <c r="AP612" s="103"/>
      <c r="AQ612" s="103"/>
      <c r="AR612" s="103"/>
      <c r="AS612" s="103"/>
      <c r="AT612" s="103"/>
      <c r="AU612" s="103"/>
      <c r="AV612" s="103"/>
      <c r="AW612" s="103"/>
      <c r="AX612" s="103"/>
      <c r="AY612" s="103"/>
      <c r="AZ612" s="103"/>
      <c r="BA612" s="103"/>
      <c r="BB612" s="103"/>
      <c r="BC612" s="103"/>
      <c r="BD612" s="103"/>
      <c r="BE612" s="103"/>
      <c r="BF612" s="103"/>
      <c r="BG612" s="103"/>
      <c r="BH612" s="103"/>
      <c r="BI612" s="103"/>
      <c r="BJ612" s="103"/>
      <c r="BK612" s="103"/>
      <c r="BL612" s="103"/>
      <c r="BM612" s="103"/>
      <c r="BN612" s="103"/>
      <c r="BO612" s="103"/>
      <c r="BP612" s="103"/>
      <c r="BQ612" s="103"/>
      <c r="BR612" s="103"/>
      <c r="BS612" s="103"/>
      <c r="BT612" s="103"/>
      <c r="BU612" s="103"/>
      <c r="BV612" s="103"/>
      <c r="BW612" s="103"/>
      <c r="BX612" s="103"/>
      <c r="BY612" s="103"/>
      <c r="BZ612" s="103"/>
      <c r="CA612" s="103"/>
      <c r="CB612" s="103"/>
      <c r="CC612" s="103"/>
      <c r="CD612" s="103"/>
      <c r="CE612" s="103"/>
      <c r="CF612" s="103"/>
      <c r="CG612" s="103"/>
      <c r="CH612" s="103"/>
      <c r="CI612" s="103"/>
      <c r="CJ612" s="103"/>
      <c r="CK612" s="103"/>
      <c r="CL612" s="103"/>
      <c r="CM612" s="103"/>
      <c r="CN612" s="103"/>
      <c r="CO612" s="103"/>
    </row>
    <row r="613" spans="1:93">
      <c r="A613" s="233"/>
      <c r="B613" s="101"/>
      <c r="C613" s="17" t="s">
        <v>669</v>
      </c>
      <c r="D613" s="69"/>
      <c r="E613" s="62">
        <f xml:space="preserve"> $E$574 * E582 * $E$587</f>
        <v>11590.414483651317</v>
      </c>
      <c r="F613" s="70"/>
      <c r="G613" s="11" t="s">
        <v>666</v>
      </c>
      <c r="H613" s="69"/>
      <c r="I613" s="69"/>
      <c r="J613" s="69"/>
      <c r="K613" s="69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  <c r="AA613" s="103"/>
      <c r="AB613" s="103"/>
      <c r="AC613" s="103"/>
      <c r="AD613" s="103"/>
      <c r="AE613" s="103"/>
      <c r="AF613" s="103"/>
      <c r="AG613" s="103"/>
      <c r="AH613" s="103"/>
      <c r="AI613" s="103"/>
      <c r="AJ613" s="103"/>
      <c r="AK613" s="103"/>
      <c r="AL613" s="103"/>
      <c r="AM613" s="103"/>
      <c r="AN613" s="103"/>
      <c r="AO613" s="103"/>
      <c r="AP613" s="103"/>
      <c r="AQ613" s="103"/>
      <c r="AR613" s="103"/>
      <c r="AS613" s="103"/>
      <c r="AT613" s="103"/>
      <c r="AU613" s="103"/>
      <c r="AV613" s="103"/>
      <c r="AW613" s="103"/>
      <c r="AX613" s="103"/>
      <c r="AY613" s="103"/>
      <c r="AZ613" s="103"/>
      <c r="BA613" s="103"/>
      <c r="BB613" s="103"/>
      <c r="BC613" s="103"/>
      <c r="BD613" s="103"/>
      <c r="BE613" s="103"/>
      <c r="BF613" s="103"/>
      <c r="BG613" s="103"/>
      <c r="BH613" s="103"/>
      <c r="BI613" s="103"/>
      <c r="BJ613" s="103"/>
      <c r="BK613" s="103"/>
      <c r="BL613" s="103"/>
      <c r="BM613" s="103"/>
      <c r="BN613" s="103"/>
      <c r="BO613" s="103"/>
      <c r="BP613" s="103"/>
      <c r="BQ613" s="103"/>
      <c r="BR613" s="103"/>
      <c r="BS613" s="103"/>
      <c r="BT613" s="103"/>
      <c r="BU613" s="103"/>
      <c r="BV613" s="103"/>
      <c r="BW613" s="103"/>
      <c r="BX613" s="103"/>
      <c r="BY613" s="103"/>
      <c r="BZ613" s="103"/>
      <c r="CA613" s="103"/>
      <c r="CB613" s="103"/>
      <c r="CC613" s="103"/>
      <c r="CD613" s="103"/>
      <c r="CE613" s="103"/>
      <c r="CF613" s="103"/>
      <c r="CG613" s="103"/>
      <c r="CH613" s="103"/>
      <c r="CI613" s="103"/>
      <c r="CJ613" s="103"/>
      <c r="CK613" s="103"/>
      <c r="CL613" s="103"/>
      <c r="CM613" s="103"/>
      <c r="CN613" s="103"/>
      <c r="CO613" s="103"/>
    </row>
    <row r="614" spans="1:93">
      <c r="A614" s="233"/>
      <c r="B614" s="101"/>
      <c r="C614" s="17" t="s">
        <v>668</v>
      </c>
      <c r="D614" s="69"/>
      <c r="E614" s="62">
        <f xml:space="preserve"> $E$574 * E583 * $E$587</f>
        <v>0</v>
      </c>
      <c r="F614" s="70"/>
      <c r="G614" s="11" t="s">
        <v>666</v>
      </c>
      <c r="H614" s="69"/>
      <c r="I614" s="69"/>
      <c r="J614" s="69"/>
      <c r="K614" s="69"/>
      <c r="L614" s="103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  <c r="AA614" s="103"/>
      <c r="AB614" s="103"/>
      <c r="AC614" s="103"/>
      <c r="AD614" s="103"/>
      <c r="AE614" s="103"/>
      <c r="AF614" s="103"/>
      <c r="AG614" s="103"/>
      <c r="AH614" s="103"/>
      <c r="AI614" s="103"/>
      <c r="AJ614" s="103"/>
      <c r="AK614" s="103"/>
      <c r="AL614" s="103"/>
      <c r="AM614" s="103"/>
      <c r="AN614" s="103"/>
      <c r="AO614" s="103"/>
      <c r="AP614" s="103"/>
      <c r="AQ614" s="103"/>
      <c r="AR614" s="103"/>
      <c r="AS614" s="103"/>
      <c r="AT614" s="103"/>
      <c r="AU614" s="103"/>
      <c r="AV614" s="103"/>
      <c r="AW614" s="103"/>
      <c r="AX614" s="103"/>
      <c r="AY614" s="103"/>
      <c r="AZ614" s="103"/>
      <c r="BA614" s="103"/>
      <c r="BB614" s="103"/>
      <c r="BC614" s="103"/>
      <c r="BD614" s="103"/>
      <c r="BE614" s="103"/>
      <c r="BF614" s="103"/>
      <c r="BG614" s="103"/>
      <c r="BH614" s="103"/>
      <c r="BI614" s="103"/>
      <c r="BJ614" s="103"/>
      <c r="BK614" s="103"/>
      <c r="BL614" s="103"/>
      <c r="BM614" s="103"/>
      <c r="BN614" s="103"/>
      <c r="BO614" s="103"/>
      <c r="BP614" s="103"/>
      <c r="BQ614" s="103"/>
      <c r="BR614" s="103"/>
      <c r="BS614" s="103"/>
      <c r="BT614" s="103"/>
      <c r="BU614" s="103"/>
      <c r="BV614" s="103"/>
      <c r="BW614" s="103"/>
      <c r="BX614" s="103"/>
      <c r="BY614" s="103"/>
      <c r="BZ614" s="103"/>
      <c r="CA614" s="103"/>
      <c r="CB614" s="103"/>
      <c r="CC614" s="103"/>
      <c r="CD614" s="103"/>
      <c r="CE614" s="103"/>
      <c r="CF614" s="103"/>
      <c r="CG614" s="103"/>
      <c r="CH614" s="103"/>
      <c r="CI614" s="103"/>
      <c r="CJ614" s="103"/>
      <c r="CK614" s="103"/>
      <c r="CL614" s="103"/>
      <c r="CM614" s="103"/>
      <c r="CN614" s="103"/>
      <c r="CO614" s="103"/>
    </row>
    <row r="615" spans="1:93">
      <c r="A615" s="233"/>
      <c r="B615" s="101"/>
      <c r="C615" s="17" t="s">
        <v>670</v>
      </c>
      <c r="D615" s="69"/>
      <c r="E615" s="62">
        <f xml:space="preserve"> $E$574 * E584 * $E$587</f>
        <v>9272.3315869210546</v>
      </c>
      <c r="F615" s="70"/>
      <c r="G615" s="11" t="s">
        <v>666</v>
      </c>
      <c r="H615" s="69"/>
      <c r="I615" s="69"/>
      <c r="J615" s="69"/>
      <c r="K615" s="69"/>
      <c r="L615" s="103"/>
      <c r="M615" s="103"/>
      <c r="N615" s="103"/>
      <c r="O615" s="103"/>
      <c r="P615" s="103"/>
      <c r="Q615" s="103"/>
      <c r="R615" s="103"/>
      <c r="S615" s="103"/>
      <c r="T615" s="103"/>
      <c r="U615" s="103"/>
      <c r="V615" s="103"/>
      <c r="W615" s="103"/>
      <c r="X615" s="103"/>
      <c r="Y615" s="103"/>
      <c r="Z615" s="103"/>
      <c r="AA615" s="103"/>
      <c r="AB615" s="103"/>
      <c r="AC615" s="103"/>
      <c r="AD615" s="103"/>
      <c r="AE615" s="103"/>
      <c r="AF615" s="103"/>
      <c r="AG615" s="103"/>
      <c r="AH615" s="103"/>
      <c r="AI615" s="103"/>
      <c r="AJ615" s="103"/>
      <c r="AK615" s="103"/>
      <c r="AL615" s="103"/>
      <c r="AM615" s="103"/>
      <c r="AN615" s="103"/>
      <c r="AO615" s="103"/>
      <c r="AP615" s="103"/>
      <c r="AQ615" s="103"/>
      <c r="AR615" s="103"/>
      <c r="AS615" s="103"/>
      <c r="AT615" s="103"/>
      <c r="AU615" s="103"/>
      <c r="AV615" s="103"/>
      <c r="AW615" s="103"/>
      <c r="AX615" s="103"/>
      <c r="AY615" s="103"/>
      <c r="AZ615" s="103"/>
      <c r="BA615" s="103"/>
      <c r="BB615" s="103"/>
      <c r="BC615" s="103"/>
      <c r="BD615" s="103"/>
      <c r="BE615" s="103"/>
      <c r="BF615" s="103"/>
      <c r="BG615" s="103"/>
      <c r="BH615" s="103"/>
      <c r="BI615" s="103"/>
      <c r="BJ615" s="103"/>
      <c r="BK615" s="103"/>
      <c r="BL615" s="103"/>
      <c r="BM615" s="103"/>
      <c r="BN615" s="103"/>
      <c r="BO615" s="103"/>
      <c r="BP615" s="103"/>
      <c r="BQ615" s="103"/>
      <c r="BR615" s="103"/>
      <c r="BS615" s="103"/>
      <c r="BT615" s="103"/>
      <c r="BU615" s="103"/>
      <c r="BV615" s="103"/>
      <c r="BW615" s="103"/>
      <c r="BX615" s="103"/>
      <c r="BY615" s="103"/>
      <c r="BZ615" s="103"/>
      <c r="CA615" s="103"/>
      <c r="CB615" s="103"/>
      <c r="CC615" s="103"/>
      <c r="CD615" s="103"/>
      <c r="CE615" s="103"/>
      <c r="CF615" s="103"/>
      <c r="CG615" s="103"/>
      <c r="CH615" s="103"/>
      <c r="CI615" s="103"/>
      <c r="CJ615" s="103"/>
      <c r="CK615" s="103"/>
      <c r="CL615" s="103"/>
      <c r="CM615" s="103"/>
      <c r="CN615" s="103"/>
      <c r="CO615" s="103"/>
    </row>
    <row r="616" spans="1:93">
      <c r="A616" s="233"/>
      <c r="B616" s="101"/>
      <c r="C616" s="17"/>
      <c r="D616" s="69"/>
      <c r="E616" s="62"/>
      <c r="F616" s="70"/>
      <c r="G616" s="11"/>
      <c r="H616" s="69"/>
      <c r="I616" s="69"/>
      <c r="J616" s="69"/>
      <c r="K616" s="69"/>
      <c r="L616" s="103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  <c r="AA616" s="103"/>
      <c r="AB616" s="103"/>
      <c r="AC616" s="103"/>
      <c r="AD616" s="103"/>
      <c r="AE616" s="103"/>
      <c r="AF616" s="103"/>
      <c r="AG616" s="103"/>
      <c r="AH616" s="103"/>
      <c r="AI616" s="103"/>
      <c r="AJ616" s="103"/>
      <c r="AK616" s="103"/>
      <c r="AL616" s="103"/>
      <c r="AM616" s="103"/>
      <c r="AN616" s="103"/>
      <c r="AO616" s="103"/>
      <c r="AP616" s="103"/>
      <c r="AQ616" s="103"/>
      <c r="AR616" s="103"/>
      <c r="AS616" s="103"/>
      <c r="AT616" s="103"/>
      <c r="AU616" s="103"/>
      <c r="AV616" s="103"/>
      <c r="AW616" s="103"/>
      <c r="AX616" s="103"/>
      <c r="AY616" s="103"/>
      <c r="AZ616" s="103"/>
      <c r="BA616" s="103"/>
      <c r="BB616" s="103"/>
      <c r="BC616" s="103"/>
      <c r="BD616" s="103"/>
      <c r="BE616" s="103"/>
      <c r="BF616" s="103"/>
      <c r="BG616" s="103"/>
      <c r="BH616" s="103"/>
      <c r="BI616" s="103"/>
      <c r="BJ616" s="103"/>
      <c r="BK616" s="103"/>
      <c r="BL616" s="103"/>
      <c r="BM616" s="103"/>
      <c r="BN616" s="103"/>
      <c r="BO616" s="103"/>
      <c r="BP616" s="103"/>
      <c r="BQ616" s="103"/>
      <c r="BR616" s="103"/>
      <c r="BS616" s="103"/>
      <c r="BT616" s="103"/>
      <c r="BU616" s="103"/>
      <c r="BV616" s="103"/>
      <c r="BW616" s="103"/>
      <c r="BX616" s="103"/>
      <c r="BY616" s="103"/>
      <c r="BZ616" s="103"/>
      <c r="CA616" s="103"/>
      <c r="CB616" s="103"/>
      <c r="CC616" s="103"/>
      <c r="CD616" s="103"/>
      <c r="CE616" s="103"/>
      <c r="CF616" s="103"/>
      <c r="CG616" s="103"/>
      <c r="CH616" s="103"/>
      <c r="CI616" s="103"/>
      <c r="CJ616" s="103"/>
      <c r="CK616" s="103"/>
      <c r="CL616" s="103"/>
      <c r="CM616" s="103"/>
      <c r="CN616" s="103"/>
      <c r="CO616" s="103"/>
    </row>
    <row r="617" spans="1:93">
      <c r="A617" s="233"/>
      <c r="B617" s="101"/>
      <c r="C617" s="41" t="s">
        <v>684</v>
      </c>
      <c r="D617" s="69"/>
      <c r="E617" s="62"/>
      <c r="F617" s="70"/>
      <c r="G617" s="11"/>
      <c r="H617" s="69"/>
      <c r="I617" s="69"/>
      <c r="J617" s="69"/>
      <c r="K617" s="69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  <c r="AK617" s="103"/>
      <c r="AL617" s="103"/>
      <c r="AM617" s="103"/>
      <c r="AN617" s="103"/>
      <c r="AO617" s="103"/>
      <c r="AP617" s="103"/>
      <c r="AQ617" s="103"/>
      <c r="AR617" s="103"/>
      <c r="AS617" s="103"/>
      <c r="AT617" s="103"/>
      <c r="AU617" s="103"/>
      <c r="AV617" s="103"/>
      <c r="AW617" s="103"/>
      <c r="AX617" s="103"/>
      <c r="AY617" s="103"/>
      <c r="AZ617" s="103"/>
      <c r="BA617" s="103"/>
      <c r="BB617" s="103"/>
      <c r="BC617" s="103"/>
      <c r="BD617" s="103"/>
      <c r="BE617" s="103"/>
      <c r="BF617" s="103"/>
      <c r="BG617" s="103"/>
      <c r="BH617" s="103"/>
      <c r="BI617" s="103"/>
      <c r="BJ617" s="103"/>
      <c r="BK617" s="103"/>
      <c r="BL617" s="103"/>
      <c r="BM617" s="103"/>
      <c r="BN617" s="103"/>
      <c r="BO617" s="103"/>
      <c r="BP617" s="103"/>
      <c r="BQ617" s="103"/>
      <c r="BR617" s="103"/>
      <c r="BS617" s="103"/>
      <c r="BT617" s="103"/>
      <c r="BU617" s="103"/>
      <c r="BV617" s="103"/>
      <c r="BW617" s="103"/>
      <c r="BX617" s="103"/>
      <c r="BY617" s="103"/>
      <c r="BZ617" s="103"/>
      <c r="CA617" s="103"/>
      <c r="CB617" s="103"/>
      <c r="CC617" s="103"/>
      <c r="CD617" s="103"/>
      <c r="CE617" s="103"/>
      <c r="CF617" s="103"/>
      <c r="CG617" s="103"/>
      <c r="CH617" s="103"/>
      <c r="CI617" s="103"/>
      <c r="CJ617" s="103"/>
      <c r="CK617" s="103"/>
      <c r="CL617" s="103"/>
      <c r="CM617" s="103"/>
      <c r="CN617" s="103"/>
      <c r="CO617" s="103"/>
    </row>
    <row r="618" spans="1:93">
      <c r="A618" s="233"/>
      <c r="B618" s="101"/>
      <c r="C618" s="17" t="s">
        <v>669</v>
      </c>
      <c r="D618" s="69"/>
      <c r="E618" s="62">
        <f xml:space="preserve"> $E$574 * E582 * $E$588</f>
        <v>16226.580277111843</v>
      </c>
      <c r="F618" s="70"/>
      <c r="G618" s="11" t="s">
        <v>666</v>
      </c>
      <c r="H618" s="69"/>
      <c r="I618" s="69"/>
      <c r="J618" s="69"/>
      <c r="K618" s="69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  <c r="Z618" s="103"/>
      <c r="AA618" s="103"/>
      <c r="AB618" s="103"/>
      <c r="AC618" s="103"/>
      <c r="AD618" s="103"/>
      <c r="AE618" s="103"/>
      <c r="AF618" s="103"/>
      <c r="AG618" s="103"/>
      <c r="AH618" s="103"/>
      <c r="AI618" s="103"/>
      <c r="AJ618" s="103"/>
      <c r="AK618" s="103"/>
      <c r="AL618" s="103"/>
      <c r="AM618" s="103"/>
      <c r="AN618" s="103"/>
      <c r="AO618" s="103"/>
      <c r="AP618" s="103"/>
      <c r="AQ618" s="103"/>
      <c r="AR618" s="103"/>
      <c r="AS618" s="103"/>
      <c r="AT618" s="103"/>
      <c r="AU618" s="103"/>
      <c r="AV618" s="103"/>
      <c r="AW618" s="103"/>
      <c r="AX618" s="103"/>
      <c r="AY618" s="103"/>
      <c r="AZ618" s="103"/>
      <c r="BA618" s="103"/>
      <c r="BB618" s="103"/>
      <c r="BC618" s="103"/>
      <c r="BD618" s="103"/>
      <c r="BE618" s="103"/>
      <c r="BF618" s="103"/>
      <c r="BG618" s="103"/>
      <c r="BH618" s="103"/>
      <c r="BI618" s="103"/>
      <c r="BJ618" s="103"/>
      <c r="BK618" s="103"/>
      <c r="BL618" s="103"/>
      <c r="BM618" s="103"/>
      <c r="BN618" s="103"/>
      <c r="BO618" s="103"/>
      <c r="BP618" s="103"/>
      <c r="BQ618" s="103"/>
      <c r="BR618" s="103"/>
      <c r="BS618" s="103"/>
      <c r="BT618" s="103"/>
      <c r="BU618" s="103"/>
      <c r="BV618" s="103"/>
      <c r="BW618" s="103"/>
      <c r="BX618" s="103"/>
      <c r="BY618" s="103"/>
      <c r="BZ618" s="103"/>
      <c r="CA618" s="103"/>
      <c r="CB618" s="103"/>
      <c r="CC618" s="103"/>
      <c r="CD618" s="103"/>
      <c r="CE618" s="103"/>
      <c r="CF618" s="103"/>
      <c r="CG618" s="103"/>
      <c r="CH618" s="103"/>
      <c r="CI618" s="103"/>
      <c r="CJ618" s="103"/>
      <c r="CK618" s="103"/>
      <c r="CL618" s="103"/>
      <c r="CM618" s="103"/>
      <c r="CN618" s="103"/>
      <c r="CO618" s="103"/>
    </row>
    <row r="619" spans="1:93">
      <c r="A619" s="233"/>
      <c r="B619" s="101"/>
      <c r="C619" s="17" t="s">
        <v>668</v>
      </c>
      <c r="D619" s="69"/>
      <c r="E619" s="62">
        <f xml:space="preserve"> $E$574 * E583 * $E$588</f>
        <v>0</v>
      </c>
      <c r="F619" s="70"/>
      <c r="G619" s="11" t="s">
        <v>666</v>
      </c>
      <c r="H619" s="69"/>
      <c r="I619" s="69"/>
      <c r="J619" s="69"/>
      <c r="K619" s="69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  <c r="AA619" s="103"/>
      <c r="AB619" s="103"/>
      <c r="AC619" s="103"/>
      <c r="AD619" s="103"/>
      <c r="AE619" s="103"/>
      <c r="AF619" s="103"/>
      <c r="AG619" s="103"/>
      <c r="AH619" s="103"/>
      <c r="AI619" s="103"/>
      <c r="AJ619" s="103"/>
      <c r="AK619" s="103"/>
      <c r="AL619" s="103"/>
      <c r="AM619" s="103"/>
      <c r="AN619" s="103"/>
      <c r="AO619" s="103"/>
      <c r="AP619" s="103"/>
      <c r="AQ619" s="103"/>
      <c r="AR619" s="103"/>
      <c r="AS619" s="103"/>
      <c r="AT619" s="103"/>
      <c r="AU619" s="103"/>
      <c r="AV619" s="103"/>
      <c r="AW619" s="103"/>
      <c r="AX619" s="103"/>
      <c r="AY619" s="103"/>
      <c r="AZ619" s="103"/>
      <c r="BA619" s="103"/>
      <c r="BB619" s="103"/>
      <c r="BC619" s="103"/>
      <c r="BD619" s="103"/>
      <c r="BE619" s="103"/>
      <c r="BF619" s="103"/>
      <c r="BG619" s="103"/>
      <c r="BH619" s="103"/>
      <c r="BI619" s="103"/>
      <c r="BJ619" s="103"/>
      <c r="BK619" s="103"/>
      <c r="BL619" s="103"/>
      <c r="BM619" s="103"/>
      <c r="BN619" s="103"/>
      <c r="BO619" s="103"/>
      <c r="BP619" s="103"/>
      <c r="BQ619" s="103"/>
      <c r="BR619" s="103"/>
      <c r="BS619" s="103"/>
      <c r="BT619" s="103"/>
      <c r="BU619" s="103"/>
      <c r="BV619" s="103"/>
      <c r="BW619" s="103"/>
      <c r="BX619" s="103"/>
      <c r="BY619" s="103"/>
      <c r="BZ619" s="103"/>
      <c r="CA619" s="103"/>
      <c r="CB619" s="103"/>
      <c r="CC619" s="103"/>
      <c r="CD619" s="103"/>
      <c r="CE619" s="103"/>
      <c r="CF619" s="103"/>
      <c r="CG619" s="103"/>
      <c r="CH619" s="103"/>
      <c r="CI619" s="103"/>
      <c r="CJ619" s="103"/>
      <c r="CK619" s="103"/>
      <c r="CL619" s="103"/>
      <c r="CM619" s="103"/>
      <c r="CN619" s="103"/>
      <c r="CO619" s="103"/>
    </row>
    <row r="620" spans="1:93">
      <c r="A620" s="233"/>
      <c r="B620" s="101"/>
      <c r="C620" s="17" t="s">
        <v>670</v>
      </c>
      <c r="D620" s="69"/>
      <c r="E620" s="62">
        <f xml:space="preserve"> $E$574 * E584 * $E$588</f>
        <v>12981.264221689476</v>
      </c>
      <c r="F620" s="70"/>
      <c r="G620" s="11" t="s">
        <v>666</v>
      </c>
      <c r="H620" s="69"/>
      <c r="I620" s="69"/>
      <c r="J620" s="69"/>
      <c r="K620" s="69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  <c r="AA620" s="103"/>
      <c r="AB620" s="103"/>
      <c r="AC620" s="103"/>
      <c r="AD620" s="103"/>
      <c r="AE620" s="103"/>
      <c r="AF620" s="103"/>
      <c r="AG620" s="103"/>
      <c r="AH620" s="103"/>
      <c r="AI620" s="103"/>
      <c r="AJ620" s="103"/>
      <c r="AK620" s="103"/>
      <c r="AL620" s="103"/>
      <c r="AM620" s="103"/>
      <c r="AN620" s="103"/>
      <c r="AO620" s="103"/>
      <c r="AP620" s="103"/>
      <c r="AQ620" s="103"/>
      <c r="AR620" s="103"/>
      <c r="AS620" s="103"/>
      <c r="AT620" s="103"/>
      <c r="AU620" s="103"/>
      <c r="AV620" s="103"/>
      <c r="AW620" s="103"/>
      <c r="AX620" s="103"/>
      <c r="AY620" s="103"/>
      <c r="AZ620" s="103"/>
      <c r="BA620" s="103"/>
      <c r="BB620" s="103"/>
      <c r="BC620" s="103"/>
      <c r="BD620" s="103"/>
      <c r="BE620" s="103"/>
      <c r="BF620" s="103"/>
      <c r="BG620" s="103"/>
      <c r="BH620" s="103"/>
      <c r="BI620" s="103"/>
      <c r="BJ620" s="103"/>
      <c r="BK620" s="103"/>
      <c r="BL620" s="103"/>
      <c r="BM620" s="103"/>
      <c r="BN620" s="103"/>
      <c r="BO620" s="103"/>
      <c r="BP620" s="103"/>
      <c r="BQ620" s="103"/>
      <c r="BR620" s="103"/>
      <c r="BS620" s="103"/>
      <c r="BT620" s="103"/>
      <c r="BU620" s="103"/>
      <c r="BV620" s="103"/>
      <c r="BW620" s="103"/>
      <c r="BX620" s="103"/>
      <c r="BY620" s="103"/>
      <c r="BZ620" s="103"/>
      <c r="CA620" s="103"/>
      <c r="CB620" s="103"/>
      <c r="CC620" s="103"/>
      <c r="CD620" s="103"/>
      <c r="CE620" s="103"/>
      <c r="CF620" s="103"/>
      <c r="CG620" s="103"/>
      <c r="CH620" s="103"/>
      <c r="CI620" s="103"/>
      <c r="CJ620" s="103"/>
      <c r="CK620" s="103"/>
      <c r="CL620" s="103"/>
      <c r="CM620" s="103"/>
      <c r="CN620" s="103"/>
      <c r="CO620" s="103"/>
    </row>
    <row r="621" spans="1:93">
      <c r="A621" s="233"/>
      <c r="B621" s="101"/>
      <c r="C621" s="17"/>
      <c r="D621" s="69"/>
      <c r="E621" s="62"/>
      <c r="F621" s="70"/>
      <c r="G621" s="11"/>
      <c r="H621" s="69"/>
      <c r="I621" s="69"/>
      <c r="J621" s="69"/>
      <c r="K621" s="69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  <c r="AA621" s="103"/>
      <c r="AB621" s="103"/>
      <c r="AC621" s="103"/>
      <c r="AD621" s="103"/>
      <c r="AE621" s="103"/>
      <c r="AF621" s="103"/>
      <c r="AG621" s="103"/>
      <c r="AH621" s="103"/>
      <c r="AI621" s="103"/>
      <c r="AJ621" s="103"/>
      <c r="AK621" s="103"/>
      <c r="AL621" s="103"/>
      <c r="AM621" s="103"/>
      <c r="AN621" s="103"/>
      <c r="AO621" s="103"/>
      <c r="AP621" s="103"/>
      <c r="AQ621" s="103"/>
      <c r="AR621" s="103"/>
      <c r="AS621" s="103"/>
      <c r="AT621" s="103"/>
      <c r="AU621" s="103"/>
      <c r="AV621" s="103"/>
      <c r="AW621" s="103"/>
      <c r="AX621" s="103"/>
      <c r="AY621" s="103"/>
      <c r="AZ621" s="103"/>
      <c r="BA621" s="103"/>
      <c r="BB621" s="103"/>
      <c r="BC621" s="103"/>
      <c r="BD621" s="103"/>
      <c r="BE621" s="103"/>
      <c r="BF621" s="103"/>
      <c r="BG621" s="103"/>
      <c r="BH621" s="103"/>
      <c r="BI621" s="103"/>
      <c r="BJ621" s="103"/>
      <c r="BK621" s="103"/>
      <c r="BL621" s="103"/>
      <c r="BM621" s="103"/>
      <c r="BN621" s="103"/>
      <c r="BO621" s="103"/>
      <c r="BP621" s="103"/>
      <c r="BQ621" s="103"/>
      <c r="BR621" s="103"/>
      <c r="BS621" s="103"/>
      <c r="BT621" s="103"/>
      <c r="BU621" s="103"/>
      <c r="BV621" s="103"/>
      <c r="BW621" s="103"/>
      <c r="BX621" s="103"/>
      <c r="BY621" s="103"/>
      <c r="BZ621" s="103"/>
      <c r="CA621" s="103"/>
      <c r="CB621" s="103"/>
      <c r="CC621" s="103"/>
      <c r="CD621" s="103"/>
      <c r="CE621" s="103"/>
      <c r="CF621" s="103"/>
      <c r="CG621" s="103"/>
      <c r="CH621" s="103"/>
      <c r="CI621" s="103"/>
      <c r="CJ621" s="103"/>
      <c r="CK621" s="103"/>
      <c r="CL621" s="103"/>
      <c r="CM621" s="103"/>
      <c r="CN621" s="103"/>
      <c r="CO621" s="103"/>
    </row>
    <row r="622" spans="1:93">
      <c r="A622" s="233"/>
      <c r="B622" s="101"/>
      <c r="C622" s="41" t="s">
        <v>685</v>
      </c>
      <c r="D622" s="69"/>
      <c r="E622" s="62"/>
      <c r="F622" s="70"/>
      <c r="G622" s="11"/>
      <c r="H622" s="69"/>
      <c r="I622" s="69"/>
      <c r="J622" s="69"/>
      <c r="K622" s="69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  <c r="AA622" s="103"/>
      <c r="AB622" s="103"/>
      <c r="AC622" s="103"/>
      <c r="AD622" s="103"/>
      <c r="AE622" s="103"/>
      <c r="AF622" s="103"/>
      <c r="AG622" s="103"/>
      <c r="AH622" s="103"/>
      <c r="AI622" s="103"/>
      <c r="AJ622" s="103"/>
      <c r="AK622" s="103"/>
      <c r="AL622" s="103"/>
      <c r="AM622" s="103"/>
      <c r="AN622" s="103"/>
      <c r="AO622" s="103"/>
      <c r="AP622" s="103"/>
      <c r="AQ622" s="103"/>
      <c r="AR622" s="103"/>
      <c r="AS622" s="103"/>
      <c r="AT622" s="103"/>
      <c r="AU622" s="103"/>
      <c r="AV622" s="103"/>
      <c r="AW622" s="103"/>
      <c r="AX622" s="103"/>
      <c r="AY622" s="103"/>
      <c r="AZ622" s="103"/>
      <c r="BA622" s="103"/>
      <c r="BB622" s="103"/>
      <c r="BC622" s="103"/>
      <c r="BD622" s="103"/>
      <c r="BE622" s="103"/>
      <c r="BF622" s="103"/>
      <c r="BG622" s="103"/>
      <c r="BH622" s="103"/>
      <c r="BI622" s="103"/>
      <c r="BJ622" s="103"/>
      <c r="BK622" s="103"/>
      <c r="BL622" s="103"/>
      <c r="BM622" s="103"/>
      <c r="BN622" s="103"/>
      <c r="BO622" s="103"/>
      <c r="BP622" s="103"/>
      <c r="BQ622" s="103"/>
      <c r="BR622" s="103"/>
      <c r="BS622" s="103"/>
      <c r="BT622" s="103"/>
      <c r="BU622" s="103"/>
      <c r="BV622" s="103"/>
      <c r="BW622" s="103"/>
      <c r="BX622" s="103"/>
      <c r="BY622" s="103"/>
      <c r="BZ622" s="103"/>
      <c r="CA622" s="103"/>
      <c r="CB622" s="103"/>
      <c r="CC622" s="103"/>
      <c r="CD622" s="103"/>
      <c r="CE622" s="103"/>
      <c r="CF622" s="103"/>
      <c r="CG622" s="103"/>
      <c r="CH622" s="103"/>
      <c r="CI622" s="103"/>
      <c r="CJ622" s="103"/>
      <c r="CK622" s="103"/>
      <c r="CL622" s="103"/>
      <c r="CM622" s="103"/>
      <c r="CN622" s="103"/>
      <c r="CO622" s="103"/>
    </row>
    <row r="623" spans="1:93">
      <c r="A623" s="233"/>
      <c r="B623" s="101"/>
      <c r="C623" s="17" t="s">
        <v>669</v>
      </c>
      <c r="D623" s="69"/>
      <c r="E623" s="62">
        <f xml:space="preserve"> $E$574 * E582 * $E$589</f>
        <v>20862.746070572372</v>
      </c>
      <c r="F623" s="70"/>
      <c r="G623" s="11" t="s">
        <v>666</v>
      </c>
      <c r="H623" s="69"/>
      <c r="I623" s="69"/>
      <c r="J623" s="69"/>
      <c r="K623" s="69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  <c r="AA623" s="103"/>
      <c r="AB623" s="103"/>
      <c r="AC623" s="103"/>
      <c r="AD623" s="103"/>
      <c r="AE623" s="103"/>
      <c r="AF623" s="103"/>
      <c r="AG623" s="103"/>
      <c r="AH623" s="103"/>
      <c r="AI623" s="103"/>
      <c r="AJ623" s="103"/>
      <c r="AK623" s="103"/>
      <c r="AL623" s="103"/>
      <c r="AM623" s="103"/>
      <c r="AN623" s="103"/>
      <c r="AO623" s="103"/>
      <c r="AP623" s="103"/>
      <c r="AQ623" s="103"/>
      <c r="AR623" s="103"/>
      <c r="AS623" s="103"/>
      <c r="AT623" s="103"/>
      <c r="AU623" s="103"/>
      <c r="AV623" s="103"/>
      <c r="AW623" s="103"/>
      <c r="AX623" s="103"/>
      <c r="AY623" s="103"/>
      <c r="AZ623" s="103"/>
      <c r="BA623" s="103"/>
      <c r="BB623" s="103"/>
      <c r="BC623" s="103"/>
      <c r="BD623" s="103"/>
      <c r="BE623" s="103"/>
      <c r="BF623" s="103"/>
      <c r="BG623" s="103"/>
      <c r="BH623" s="103"/>
      <c r="BI623" s="103"/>
      <c r="BJ623" s="103"/>
      <c r="BK623" s="103"/>
      <c r="BL623" s="103"/>
      <c r="BM623" s="103"/>
      <c r="BN623" s="103"/>
      <c r="BO623" s="103"/>
      <c r="BP623" s="103"/>
      <c r="BQ623" s="103"/>
      <c r="BR623" s="103"/>
      <c r="BS623" s="103"/>
      <c r="BT623" s="103"/>
      <c r="BU623" s="103"/>
      <c r="BV623" s="103"/>
      <c r="BW623" s="103"/>
      <c r="BX623" s="103"/>
      <c r="BY623" s="103"/>
      <c r="BZ623" s="103"/>
      <c r="CA623" s="103"/>
      <c r="CB623" s="103"/>
      <c r="CC623" s="103"/>
      <c r="CD623" s="103"/>
      <c r="CE623" s="103"/>
      <c r="CF623" s="103"/>
      <c r="CG623" s="103"/>
      <c r="CH623" s="103"/>
      <c r="CI623" s="103"/>
      <c r="CJ623" s="103"/>
      <c r="CK623" s="103"/>
      <c r="CL623" s="103"/>
      <c r="CM623" s="103"/>
      <c r="CN623" s="103"/>
      <c r="CO623" s="103"/>
    </row>
    <row r="624" spans="1:93">
      <c r="A624" s="233"/>
      <c r="B624" s="101"/>
      <c r="C624" s="17" t="s">
        <v>668</v>
      </c>
      <c r="D624" s="69"/>
      <c r="E624" s="62">
        <f xml:space="preserve"> $E$574 * E583 * $E$589</f>
        <v>0</v>
      </c>
      <c r="F624" s="70"/>
      <c r="G624" s="11" t="s">
        <v>666</v>
      </c>
      <c r="H624" s="69"/>
      <c r="I624" s="69"/>
      <c r="J624" s="69"/>
      <c r="K624" s="69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  <c r="Z624" s="103"/>
      <c r="AA624" s="103"/>
      <c r="AB624" s="103"/>
      <c r="AC624" s="103"/>
      <c r="AD624" s="103"/>
      <c r="AE624" s="103"/>
      <c r="AF624" s="103"/>
      <c r="AG624" s="103"/>
      <c r="AH624" s="103"/>
      <c r="AI624" s="103"/>
      <c r="AJ624" s="103"/>
      <c r="AK624" s="103"/>
      <c r="AL624" s="103"/>
      <c r="AM624" s="103"/>
      <c r="AN624" s="103"/>
      <c r="AO624" s="103"/>
      <c r="AP624" s="103"/>
      <c r="AQ624" s="103"/>
      <c r="AR624" s="103"/>
      <c r="AS624" s="103"/>
      <c r="AT624" s="103"/>
      <c r="AU624" s="103"/>
      <c r="AV624" s="103"/>
      <c r="AW624" s="103"/>
      <c r="AX624" s="103"/>
      <c r="AY624" s="103"/>
      <c r="AZ624" s="103"/>
      <c r="BA624" s="103"/>
      <c r="BB624" s="103"/>
      <c r="BC624" s="103"/>
      <c r="BD624" s="103"/>
      <c r="BE624" s="103"/>
      <c r="BF624" s="103"/>
      <c r="BG624" s="103"/>
      <c r="BH624" s="103"/>
      <c r="BI624" s="103"/>
      <c r="BJ624" s="103"/>
      <c r="BK624" s="103"/>
      <c r="BL624" s="103"/>
      <c r="BM624" s="103"/>
      <c r="BN624" s="103"/>
      <c r="BO624" s="103"/>
      <c r="BP624" s="103"/>
      <c r="BQ624" s="103"/>
      <c r="BR624" s="103"/>
      <c r="BS624" s="103"/>
      <c r="BT624" s="103"/>
      <c r="BU624" s="103"/>
      <c r="BV624" s="103"/>
      <c r="BW624" s="103"/>
      <c r="BX624" s="103"/>
      <c r="BY624" s="103"/>
      <c r="BZ624" s="103"/>
      <c r="CA624" s="103"/>
      <c r="CB624" s="103"/>
      <c r="CC624" s="103"/>
      <c r="CD624" s="103"/>
      <c r="CE624" s="103"/>
      <c r="CF624" s="103"/>
      <c r="CG624" s="103"/>
      <c r="CH624" s="103"/>
      <c r="CI624" s="103"/>
      <c r="CJ624" s="103"/>
      <c r="CK624" s="103"/>
      <c r="CL624" s="103"/>
      <c r="CM624" s="103"/>
      <c r="CN624" s="103"/>
      <c r="CO624" s="103"/>
    </row>
    <row r="625" spans="1:93">
      <c r="A625" s="233"/>
      <c r="B625" s="101"/>
      <c r="C625" s="17" t="s">
        <v>670</v>
      </c>
      <c r="D625" s="69"/>
      <c r="E625" s="62">
        <f xml:space="preserve"> $E$574 * E584 * $E$589</f>
        <v>16690.1968564579</v>
      </c>
      <c r="F625" s="70"/>
      <c r="G625" s="11" t="s">
        <v>666</v>
      </c>
      <c r="H625" s="69"/>
      <c r="I625" s="69"/>
      <c r="J625" s="69"/>
      <c r="K625" s="69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  <c r="AA625" s="103"/>
      <c r="AB625" s="103"/>
      <c r="AC625" s="103"/>
      <c r="AD625" s="103"/>
      <c r="AE625" s="103"/>
      <c r="AF625" s="103"/>
      <c r="AG625" s="103"/>
      <c r="AH625" s="103"/>
      <c r="AI625" s="103"/>
      <c r="AJ625" s="103"/>
      <c r="AK625" s="103"/>
      <c r="AL625" s="103"/>
      <c r="AM625" s="103"/>
      <c r="AN625" s="103"/>
      <c r="AO625" s="103"/>
      <c r="AP625" s="103"/>
      <c r="AQ625" s="103"/>
      <c r="AR625" s="103"/>
      <c r="AS625" s="103"/>
      <c r="AT625" s="103"/>
      <c r="AU625" s="103"/>
      <c r="AV625" s="103"/>
      <c r="AW625" s="103"/>
      <c r="AX625" s="103"/>
      <c r="AY625" s="103"/>
      <c r="AZ625" s="103"/>
      <c r="BA625" s="103"/>
      <c r="BB625" s="103"/>
      <c r="BC625" s="103"/>
      <c r="BD625" s="103"/>
      <c r="BE625" s="103"/>
      <c r="BF625" s="103"/>
      <c r="BG625" s="103"/>
      <c r="BH625" s="103"/>
      <c r="BI625" s="103"/>
      <c r="BJ625" s="103"/>
      <c r="BK625" s="103"/>
      <c r="BL625" s="103"/>
      <c r="BM625" s="103"/>
      <c r="BN625" s="103"/>
      <c r="BO625" s="103"/>
      <c r="BP625" s="103"/>
      <c r="BQ625" s="103"/>
      <c r="BR625" s="103"/>
      <c r="BS625" s="103"/>
      <c r="BT625" s="103"/>
      <c r="BU625" s="103"/>
      <c r="BV625" s="103"/>
      <c r="BW625" s="103"/>
      <c r="BX625" s="103"/>
      <c r="BY625" s="103"/>
      <c r="BZ625" s="103"/>
      <c r="CA625" s="103"/>
      <c r="CB625" s="103"/>
      <c r="CC625" s="103"/>
      <c r="CD625" s="103"/>
      <c r="CE625" s="103"/>
      <c r="CF625" s="103"/>
      <c r="CG625" s="103"/>
      <c r="CH625" s="103"/>
      <c r="CI625" s="103"/>
      <c r="CJ625" s="103"/>
      <c r="CK625" s="103"/>
      <c r="CL625" s="103"/>
      <c r="CM625" s="103"/>
      <c r="CN625" s="103"/>
      <c r="CO625" s="103"/>
    </row>
    <row r="626" spans="1:93">
      <c r="A626" s="233"/>
      <c r="B626" s="101"/>
      <c r="C626" s="169"/>
      <c r="D626" s="69"/>
      <c r="E626" s="62"/>
      <c r="F626" s="70"/>
      <c r="G626" s="11"/>
      <c r="H626" s="69"/>
      <c r="I626" s="69"/>
      <c r="J626" s="69"/>
      <c r="K626" s="69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  <c r="Z626" s="103"/>
      <c r="AA626" s="103"/>
      <c r="AB626" s="103"/>
      <c r="AC626" s="103"/>
      <c r="AD626" s="103"/>
      <c r="AE626" s="103"/>
      <c r="AF626" s="103"/>
      <c r="AG626" s="103"/>
      <c r="AH626" s="103"/>
      <c r="AI626" s="103"/>
      <c r="AJ626" s="103"/>
      <c r="AK626" s="103"/>
      <c r="AL626" s="103"/>
      <c r="AM626" s="103"/>
      <c r="AN626" s="103"/>
      <c r="AO626" s="103"/>
      <c r="AP626" s="103"/>
      <c r="AQ626" s="103"/>
      <c r="AR626" s="103"/>
      <c r="AS626" s="103"/>
      <c r="AT626" s="103"/>
      <c r="AU626" s="103"/>
      <c r="AV626" s="103"/>
      <c r="AW626" s="103"/>
      <c r="AX626" s="103"/>
      <c r="AY626" s="103"/>
      <c r="AZ626" s="103"/>
      <c r="BA626" s="103"/>
      <c r="BB626" s="103"/>
      <c r="BC626" s="103"/>
      <c r="BD626" s="103"/>
      <c r="BE626" s="103"/>
      <c r="BF626" s="103"/>
      <c r="BG626" s="103"/>
      <c r="BH626" s="103"/>
      <c r="BI626" s="103"/>
      <c r="BJ626" s="103"/>
      <c r="BK626" s="103"/>
      <c r="BL626" s="103"/>
      <c r="BM626" s="103"/>
      <c r="BN626" s="103"/>
      <c r="BO626" s="103"/>
      <c r="BP626" s="103"/>
      <c r="BQ626" s="103"/>
      <c r="BR626" s="103"/>
      <c r="BS626" s="103"/>
      <c r="BT626" s="103"/>
      <c r="BU626" s="103"/>
      <c r="BV626" s="103"/>
      <c r="BW626" s="103"/>
      <c r="BX626" s="103"/>
      <c r="BY626" s="103"/>
      <c r="BZ626" s="103"/>
      <c r="CA626" s="103"/>
      <c r="CB626" s="103"/>
      <c r="CC626" s="103"/>
      <c r="CD626" s="103"/>
      <c r="CE626" s="103"/>
      <c r="CF626" s="103"/>
      <c r="CG626" s="103"/>
      <c r="CH626" s="103"/>
      <c r="CI626" s="103"/>
      <c r="CJ626" s="103"/>
      <c r="CK626" s="103"/>
      <c r="CL626" s="103"/>
      <c r="CM626" s="103"/>
      <c r="CN626" s="103"/>
      <c r="CO626" s="103"/>
    </row>
    <row r="627" spans="1:93">
      <c r="A627" s="233"/>
      <c r="B627" s="101"/>
      <c r="C627" s="17" t="s">
        <v>940</v>
      </c>
      <c r="D627" s="69"/>
      <c r="E627" s="62">
        <f xml:space="preserve"> SUMPRODUCT(E598:E610,E613:E625) / 1000</f>
        <v>741775.418700443</v>
      </c>
      <c r="F627" s="70"/>
      <c r="G627" s="11" t="str">
        <f>Monetary_Unit</f>
        <v>тыс. руб.</v>
      </c>
      <c r="H627" s="69"/>
      <c r="I627" s="69"/>
      <c r="J627" s="69"/>
      <c r="K627" s="69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  <c r="Z627" s="103"/>
      <c r="AA627" s="103"/>
      <c r="AB627" s="103"/>
      <c r="AC627" s="103"/>
      <c r="AD627" s="103"/>
      <c r="AE627" s="103"/>
      <c r="AF627" s="103"/>
      <c r="AG627" s="103"/>
      <c r="AH627" s="103"/>
      <c r="AI627" s="103"/>
      <c r="AJ627" s="103"/>
      <c r="AK627" s="103"/>
      <c r="AL627" s="103"/>
      <c r="AM627" s="103"/>
      <c r="AN627" s="103"/>
      <c r="AO627" s="103"/>
      <c r="AP627" s="103"/>
      <c r="AQ627" s="103"/>
      <c r="AR627" s="103"/>
      <c r="AS627" s="103"/>
      <c r="AT627" s="103"/>
      <c r="AU627" s="103"/>
      <c r="AV627" s="103"/>
      <c r="AW627" s="103"/>
      <c r="AX627" s="103"/>
      <c r="AY627" s="103"/>
      <c r="AZ627" s="103"/>
      <c r="BA627" s="103"/>
      <c r="BB627" s="103"/>
      <c r="BC627" s="103"/>
      <c r="BD627" s="103"/>
      <c r="BE627" s="103"/>
      <c r="BF627" s="103"/>
      <c r="BG627" s="103"/>
      <c r="BH627" s="103"/>
      <c r="BI627" s="103"/>
      <c r="BJ627" s="103"/>
      <c r="BK627" s="103"/>
      <c r="BL627" s="103"/>
      <c r="BM627" s="103"/>
      <c r="BN627" s="103"/>
      <c r="BO627" s="103"/>
      <c r="BP627" s="103"/>
      <c r="BQ627" s="103"/>
      <c r="BR627" s="103"/>
      <c r="BS627" s="103"/>
      <c r="BT627" s="103"/>
      <c r="BU627" s="103"/>
      <c r="BV627" s="103"/>
      <c r="BW627" s="103"/>
      <c r="BX627" s="103"/>
      <c r="BY627" s="103"/>
      <c r="BZ627" s="103"/>
      <c r="CA627" s="103"/>
      <c r="CB627" s="103"/>
      <c r="CC627" s="103"/>
      <c r="CD627" s="103"/>
      <c r="CE627" s="103"/>
      <c r="CF627" s="103"/>
      <c r="CG627" s="103"/>
      <c r="CH627" s="103"/>
      <c r="CI627" s="103"/>
      <c r="CJ627" s="103"/>
      <c r="CK627" s="103"/>
      <c r="CL627" s="103"/>
      <c r="CM627" s="103"/>
      <c r="CN627" s="103"/>
      <c r="CO627" s="103"/>
    </row>
    <row r="628" spans="1:93">
      <c r="A628" s="233"/>
      <c r="B628" s="101"/>
      <c r="C628" s="17" t="s">
        <v>941</v>
      </c>
      <c r="D628" s="69"/>
      <c r="E628" s="62">
        <f>SUM(E598:E610)</f>
        <v>47449.999999999985</v>
      </c>
      <c r="F628" s="70"/>
      <c r="G628" s="11" t="s">
        <v>643</v>
      </c>
      <c r="H628" s="69"/>
      <c r="I628" s="69"/>
      <c r="J628" s="69"/>
      <c r="K628" s="69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  <c r="AA628" s="103"/>
      <c r="AB628" s="103"/>
      <c r="AC628" s="103"/>
      <c r="AD628" s="103"/>
      <c r="AE628" s="103"/>
      <c r="AF628" s="103"/>
      <c r="AG628" s="103"/>
      <c r="AH628" s="103"/>
      <c r="AI628" s="103"/>
      <c r="AJ628" s="103"/>
      <c r="AK628" s="103"/>
      <c r="AL628" s="103"/>
      <c r="AM628" s="103"/>
      <c r="AN628" s="103"/>
      <c r="AO628" s="103"/>
      <c r="AP628" s="103"/>
      <c r="AQ628" s="103"/>
      <c r="AR628" s="103"/>
      <c r="AS628" s="103"/>
      <c r="AT628" s="103"/>
      <c r="AU628" s="103"/>
      <c r="AV628" s="103"/>
      <c r="AW628" s="103"/>
      <c r="AX628" s="103"/>
      <c r="AY628" s="103"/>
      <c r="AZ628" s="103"/>
      <c r="BA628" s="103"/>
      <c r="BB628" s="103"/>
      <c r="BC628" s="103"/>
      <c r="BD628" s="103"/>
      <c r="BE628" s="103"/>
      <c r="BF628" s="103"/>
      <c r="BG628" s="103"/>
      <c r="BH628" s="103"/>
      <c r="BI628" s="103"/>
      <c r="BJ628" s="103"/>
      <c r="BK628" s="103"/>
      <c r="BL628" s="103"/>
      <c r="BM628" s="103"/>
      <c r="BN628" s="103"/>
      <c r="BO628" s="103"/>
      <c r="BP628" s="103"/>
      <c r="BQ628" s="103"/>
      <c r="BR628" s="103"/>
      <c r="BS628" s="103"/>
      <c r="BT628" s="103"/>
      <c r="BU628" s="103"/>
      <c r="BV628" s="103"/>
      <c r="BW628" s="103"/>
      <c r="BX628" s="103"/>
      <c r="BY628" s="103"/>
      <c r="BZ628" s="103"/>
      <c r="CA628" s="103"/>
      <c r="CB628" s="103"/>
      <c r="CC628" s="103"/>
      <c r="CD628" s="103"/>
      <c r="CE628" s="103"/>
      <c r="CF628" s="103"/>
      <c r="CG628" s="103"/>
      <c r="CH628" s="103"/>
      <c r="CI628" s="103"/>
      <c r="CJ628" s="103"/>
      <c r="CK628" s="103"/>
      <c r="CL628" s="103"/>
      <c r="CM628" s="103"/>
      <c r="CN628" s="103"/>
      <c r="CO628" s="103"/>
    </row>
    <row r="629" spans="1:93">
      <c r="A629" s="233"/>
      <c r="B629" s="101"/>
      <c r="C629" s="17"/>
      <c r="D629" s="69"/>
      <c r="E629" s="62"/>
      <c r="F629" s="70"/>
      <c r="G629" s="11"/>
      <c r="H629" s="69"/>
      <c r="I629" s="69"/>
      <c r="J629" s="69"/>
      <c r="K629" s="69"/>
      <c r="L629" s="103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  <c r="AA629" s="103"/>
      <c r="AB629" s="103"/>
      <c r="AC629" s="103"/>
      <c r="AD629" s="103"/>
      <c r="AE629" s="103"/>
      <c r="AF629" s="103"/>
      <c r="AG629" s="103"/>
      <c r="AH629" s="103"/>
      <c r="AI629" s="103"/>
      <c r="AJ629" s="103"/>
      <c r="AK629" s="103"/>
      <c r="AL629" s="103"/>
      <c r="AM629" s="103"/>
      <c r="AN629" s="103"/>
      <c r="AO629" s="103"/>
      <c r="AP629" s="103"/>
      <c r="AQ629" s="103"/>
      <c r="AR629" s="103"/>
      <c r="AS629" s="103"/>
      <c r="AT629" s="103"/>
      <c r="AU629" s="103"/>
      <c r="AV629" s="103"/>
      <c r="AW629" s="103"/>
      <c r="AX629" s="103"/>
      <c r="AY629" s="103"/>
      <c r="AZ629" s="103"/>
      <c r="BA629" s="103"/>
      <c r="BB629" s="103"/>
      <c r="BC629" s="103"/>
      <c r="BD629" s="103"/>
      <c r="BE629" s="103"/>
      <c r="BF629" s="103"/>
      <c r="BG629" s="103"/>
      <c r="BH629" s="103"/>
      <c r="BI629" s="103"/>
      <c r="BJ629" s="103"/>
      <c r="BK629" s="103"/>
      <c r="BL629" s="103"/>
      <c r="BM629" s="103"/>
      <c r="BN629" s="103"/>
      <c r="BO629" s="103"/>
      <c r="BP629" s="103"/>
      <c r="BQ629" s="103"/>
      <c r="BR629" s="103"/>
      <c r="BS629" s="103"/>
      <c r="BT629" s="103"/>
      <c r="BU629" s="103"/>
      <c r="BV629" s="103"/>
      <c r="BW629" s="103"/>
      <c r="BX629" s="103"/>
      <c r="BY629" s="103"/>
      <c r="BZ629" s="103"/>
      <c r="CA629" s="103"/>
      <c r="CB629" s="103"/>
      <c r="CC629" s="103"/>
      <c r="CD629" s="103"/>
      <c r="CE629" s="103"/>
      <c r="CF629" s="103"/>
      <c r="CG629" s="103"/>
      <c r="CH629" s="103"/>
      <c r="CI629" s="103"/>
      <c r="CJ629" s="103"/>
      <c r="CK629" s="103"/>
      <c r="CL629" s="103"/>
      <c r="CM629" s="103"/>
      <c r="CN629" s="103"/>
      <c r="CO629" s="103"/>
    </row>
    <row r="630" spans="1:93">
      <c r="A630" s="233"/>
      <c r="B630" s="101"/>
      <c r="C630" s="17" t="s">
        <v>688</v>
      </c>
      <c r="D630" s="69"/>
      <c r="E630" s="62">
        <f xml:space="preserve"> E627 / E628 * 1000</f>
        <v>15632.78016228542</v>
      </c>
      <c r="F630" s="70"/>
      <c r="G630" s="11" t="s">
        <v>666</v>
      </c>
      <c r="H630" s="69"/>
      <c r="I630" s="69"/>
      <c r="J630" s="69"/>
      <c r="K630" s="69"/>
      <c r="L630" s="103"/>
      <c r="M630" s="103"/>
      <c r="N630" s="103"/>
      <c r="O630" s="103"/>
      <c r="P630" s="103"/>
      <c r="Q630" s="103"/>
      <c r="R630" s="103"/>
      <c r="S630" s="103"/>
      <c r="T630" s="103"/>
      <c r="U630" s="103"/>
      <c r="V630" s="103"/>
      <c r="W630" s="103"/>
      <c r="X630" s="103"/>
      <c r="Y630" s="103"/>
      <c r="Z630" s="103"/>
      <c r="AA630" s="103"/>
      <c r="AB630" s="103"/>
      <c r="AC630" s="103"/>
      <c r="AD630" s="103"/>
      <c r="AE630" s="103"/>
      <c r="AF630" s="103"/>
      <c r="AG630" s="103"/>
      <c r="AH630" s="103"/>
      <c r="AI630" s="103"/>
      <c r="AJ630" s="103"/>
      <c r="AK630" s="103"/>
      <c r="AL630" s="103"/>
      <c r="AM630" s="103"/>
      <c r="AN630" s="103"/>
      <c r="AO630" s="103"/>
      <c r="AP630" s="103"/>
      <c r="AQ630" s="103"/>
      <c r="AR630" s="103"/>
      <c r="AS630" s="103"/>
      <c r="AT630" s="103"/>
      <c r="AU630" s="103"/>
      <c r="AV630" s="103"/>
      <c r="AW630" s="103"/>
      <c r="AX630" s="103"/>
      <c r="AY630" s="103"/>
      <c r="AZ630" s="103"/>
      <c r="BA630" s="103"/>
      <c r="BB630" s="103"/>
      <c r="BC630" s="103"/>
      <c r="BD630" s="103"/>
      <c r="BE630" s="103"/>
      <c r="BF630" s="103"/>
      <c r="BG630" s="103"/>
      <c r="BH630" s="103"/>
      <c r="BI630" s="103"/>
      <c r="BJ630" s="103"/>
      <c r="BK630" s="103"/>
      <c r="BL630" s="103"/>
      <c r="BM630" s="103"/>
      <c r="BN630" s="103"/>
      <c r="BO630" s="103"/>
      <c r="BP630" s="103"/>
      <c r="BQ630" s="103"/>
      <c r="BR630" s="103"/>
      <c r="BS630" s="103"/>
      <c r="BT630" s="103"/>
      <c r="BU630" s="103"/>
      <c r="BV630" s="103"/>
      <c r="BW630" s="103"/>
      <c r="BX630" s="103"/>
      <c r="BY630" s="103"/>
      <c r="BZ630" s="103"/>
      <c r="CA630" s="103"/>
      <c r="CB630" s="103"/>
      <c r="CC630" s="103"/>
      <c r="CD630" s="103"/>
      <c r="CE630" s="103"/>
      <c r="CF630" s="103"/>
      <c r="CG630" s="103"/>
      <c r="CH630" s="103"/>
      <c r="CI630" s="103"/>
      <c r="CJ630" s="103"/>
      <c r="CK630" s="103"/>
      <c r="CL630" s="103"/>
      <c r="CM630" s="103"/>
      <c r="CN630" s="103"/>
      <c r="CO630" s="103"/>
    </row>
    <row r="631" spans="1:93">
      <c r="A631" s="233"/>
      <c r="B631" s="101"/>
      <c r="C631" s="169"/>
      <c r="D631" s="69"/>
      <c r="E631" s="62"/>
      <c r="F631" s="70"/>
      <c r="G631" s="11"/>
      <c r="H631" s="69"/>
      <c r="I631" s="69"/>
      <c r="J631" s="69"/>
      <c r="K631" s="69"/>
      <c r="L631" s="103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  <c r="AA631" s="103"/>
      <c r="AB631" s="103"/>
      <c r="AC631" s="103"/>
      <c r="AD631" s="103"/>
      <c r="AE631" s="103"/>
      <c r="AF631" s="103"/>
      <c r="AG631" s="103"/>
      <c r="AH631" s="103"/>
      <c r="AI631" s="103"/>
      <c r="AJ631" s="103"/>
      <c r="AK631" s="103"/>
      <c r="AL631" s="103"/>
      <c r="AM631" s="103"/>
      <c r="AN631" s="103"/>
      <c r="AO631" s="103"/>
      <c r="AP631" s="103"/>
      <c r="AQ631" s="103"/>
      <c r="AR631" s="103"/>
      <c r="AS631" s="103"/>
      <c r="AT631" s="103"/>
      <c r="AU631" s="103"/>
      <c r="AV631" s="103"/>
      <c r="AW631" s="103"/>
      <c r="AX631" s="103"/>
      <c r="AY631" s="103"/>
      <c r="AZ631" s="103"/>
      <c r="BA631" s="103"/>
      <c r="BB631" s="103"/>
      <c r="BC631" s="103"/>
      <c r="BD631" s="103"/>
      <c r="BE631" s="103"/>
      <c r="BF631" s="103"/>
      <c r="BG631" s="103"/>
      <c r="BH631" s="103"/>
      <c r="BI631" s="103"/>
      <c r="BJ631" s="103"/>
      <c r="BK631" s="103"/>
      <c r="BL631" s="103"/>
      <c r="BM631" s="103"/>
      <c r="BN631" s="103"/>
      <c r="BO631" s="103"/>
      <c r="BP631" s="103"/>
      <c r="BQ631" s="103"/>
      <c r="BR631" s="103"/>
      <c r="BS631" s="103"/>
      <c r="BT631" s="103"/>
      <c r="BU631" s="103"/>
      <c r="BV631" s="103"/>
      <c r="BW631" s="103"/>
      <c r="BX631" s="103"/>
      <c r="BY631" s="103"/>
      <c r="BZ631" s="103"/>
      <c r="CA631" s="103"/>
      <c r="CB631" s="103"/>
      <c r="CC631" s="103"/>
      <c r="CD631" s="103"/>
      <c r="CE631" s="103"/>
      <c r="CF631" s="103"/>
      <c r="CG631" s="103"/>
      <c r="CH631" s="103"/>
      <c r="CI631" s="103"/>
      <c r="CJ631" s="103"/>
      <c r="CK631" s="103"/>
      <c r="CL631" s="103"/>
      <c r="CM631" s="103"/>
      <c r="CN631" s="103"/>
      <c r="CO631" s="103"/>
    </row>
    <row r="632" spans="1:93" ht="16" thickBot="1">
      <c r="A632" s="233"/>
      <c r="B632" s="101"/>
      <c r="C632" s="12" t="s">
        <v>742</v>
      </c>
      <c r="D632" s="12"/>
      <c r="E632" s="12"/>
      <c r="F632" s="12"/>
      <c r="G632" s="362"/>
      <c r="H632" s="12"/>
      <c r="I632" s="12"/>
      <c r="J632" s="69"/>
      <c r="K632" s="69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  <c r="AA632" s="103"/>
      <c r="AB632" s="103"/>
      <c r="AC632" s="103"/>
      <c r="AD632" s="103"/>
      <c r="AE632" s="103"/>
      <c r="AF632" s="103"/>
      <c r="AG632" s="103"/>
      <c r="AH632" s="103"/>
      <c r="AI632" s="103"/>
      <c r="AJ632" s="103"/>
      <c r="AK632" s="103"/>
      <c r="AL632" s="103"/>
      <c r="AM632" s="103"/>
      <c r="AN632" s="103"/>
      <c r="AO632" s="103"/>
      <c r="AP632" s="103"/>
      <c r="AQ632" s="103"/>
      <c r="AR632" s="103"/>
      <c r="AS632" s="103"/>
      <c r="AT632" s="103"/>
      <c r="AU632" s="103"/>
      <c r="AV632" s="103"/>
      <c r="AW632" s="103"/>
      <c r="AX632" s="103"/>
      <c r="AY632" s="103"/>
      <c r="AZ632" s="103"/>
      <c r="BA632" s="103"/>
      <c r="BB632" s="103"/>
      <c r="BC632" s="103"/>
      <c r="BD632" s="103"/>
      <c r="BE632" s="103"/>
      <c r="BF632" s="103"/>
      <c r="BG632" s="103"/>
      <c r="BH632" s="103"/>
      <c r="BI632" s="103"/>
      <c r="BJ632" s="103"/>
      <c r="BK632" s="103"/>
      <c r="BL632" s="103"/>
      <c r="BM632" s="103"/>
      <c r="BN632" s="103"/>
      <c r="BO632" s="103"/>
      <c r="BP632" s="103"/>
      <c r="BQ632" s="103"/>
      <c r="BR632" s="103"/>
      <c r="BS632" s="103"/>
      <c r="BT632" s="103"/>
      <c r="BU632" s="103"/>
      <c r="BV632" s="103"/>
      <c r="BW632" s="103"/>
      <c r="BX632" s="103"/>
      <c r="BY632" s="103"/>
      <c r="BZ632" s="103"/>
      <c r="CA632" s="103"/>
      <c r="CB632" s="103"/>
      <c r="CC632" s="103"/>
      <c r="CD632" s="103"/>
      <c r="CE632" s="103"/>
      <c r="CF632" s="103"/>
      <c r="CG632" s="103"/>
      <c r="CH632" s="103"/>
      <c r="CI632" s="103"/>
      <c r="CJ632" s="103"/>
      <c r="CK632" s="103"/>
      <c r="CL632" s="103"/>
      <c r="CM632" s="103"/>
      <c r="CN632" s="103"/>
      <c r="CO632" s="103"/>
    </row>
    <row r="633" spans="1:93">
      <c r="A633" s="233"/>
      <c r="B633" s="101"/>
      <c r="C633" s="169"/>
      <c r="D633" s="69"/>
      <c r="E633" s="62"/>
      <c r="F633" s="70"/>
      <c r="G633" s="11"/>
      <c r="H633" s="69"/>
      <c r="I633" s="69"/>
      <c r="J633" s="69"/>
      <c r="K633" s="69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  <c r="Z633" s="103"/>
      <c r="AA633" s="103"/>
      <c r="AB633" s="103"/>
      <c r="AC633" s="103"/>
      <c r="AD633" s="103"/>
      <c r="AE633" s="103"/>
      <c r="AF633" s="103"/>
      <c r="AG633" s="103"/>
      <c r="AH633" s="103"/>
      <c r="AI633" s="103"/>
      <c r="AJ633" s="103"/>
      <c r="AK633" s="103"/>
      <c r="AL633" s="103"/>
      <c r="AM633" s="103"/>
      <c r="AN633" s="103"/>
      <c r="AO633" s="103"/>
      <c r="AP633" s="103"/>
      <c r="AQ633" s="103"/>
      <c r="AR633" s="103"/>
      <c r="AS633" s="103"/>
      <c r="AT633" s="103"/>
      <c r="AU633" s="103"/>
      <c r="AV633" s="103"/>
      <c r="AW633" s="103"/>
      <c r="AX633" s="103"/>
      <c r="AY633" s="103"/>
      <c r="AZ633" s="103"/>
      <c r="BA633" s="103"/>
      <c r="BB633" s="103"/>
      <c r="BC633" s="103"/>
      <c r="BD633" s="103"/>
      <c r="BE633" s="103"/>
      <c r="BF633" s="103"/>
      <c r="BG633" s="103"/>
      <c r="BH633" s="103"/>
      <c r="BI633" s="103"/>
      <c r="BJ633" s="103"/>
      <c r="BK633" s="103"/>
      <c r="BL633" s="103"/>
      <c r="BM633" s="103"/>
      <c r="BN633" s="103"/>
      <c r="BO633" s="103"/>
      <c r="BP633" s="103"/>
      <c r="BQ633" s="103"/>
      <c r="BR633" s="103"/>
      <c r="BS633" s="103"/>
      <c r="BT633" s="103"/>
      <c r="BU633" s="103"/>
      <c r="BV633" s="103"/>
      <c r="BW633" s="103"/>
      <c r="BX633" s="103"/>
      <c r="BY633" s="103"/>
      <c r="BZ633" s="103"/>
      <c r="CA633" s="103"/>
      <c r="CB633" s="103"/>
      <c r="CC633" s="103"/>
      <c r="CD633" s="103"/>
      <c r="CE633" s="103"/>
      <c r="CF633" s="103"/>
      <c r="CG633" s="103"/>
      <c r="CH633" s="103"/>
      <c r="CI633" s="103"/>
      <c r="CJ633" s="103"/>
      <c r="CK633" s="103"/>
      <c r="CL633" s="103"/>
      <c r="CM633" s="103"/>
      <c r="CN633" s="103"/>
      <c r="CO633" s="103"/>
    </row>
    <row r="634" spans="1:93">
      <c r="A634" s="233"/>
      <c r="B634" s="13"/>
      <c r="C634" s="41" t="s">
        <v>691</v>
      </c>
      <c r="D634" s="10"/>
      <c r="E634" s="62"/>
      <c r="F634" s="11"/>
      <c r="G634" s="11"/>
      <c r="H634" s="10"/>
      <c r="I634" s="10"/>
      <c r="J634" s="10"/>
      <c r="K634" s="10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78"/>
      <c r="AG634" s="78"/>
      <c r="AH634" s="78"/>
      <c r="AI634" s="78"/>
      <c r="AJ634" s="78"/>
      <c r="AK634" s="78"/>
      <c r="AL634" s="78"/>
      <c r="AM634" s="78"/>
      <c r="AN634" s="78"/>
      <c r="AO634" s="78"/>
      <c r="AP634" s="78"/>
      <c r="AQ634" s="78"/>
      <c r="AR634" s="78"/>
      <c r="AS634" s="78"/>
      <c r="AT634" s="78"/>
      <c r="AU634" s="78"/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/>
      <c r="BG634" s="78"/>
      <c r="BH634" s="78"/>
      <c r="BI634" s="78"/>
      <c r="BJ634" s="78"/>
      <c r="BK634" s="78"/>
      <c r="BL634" s="78"/>
      <c r="BM634" s="78"/>
      <c r="BN634" s="78"/>
      <c r="BO634" s="78"/>
      <c r="BP634" s="78"/>
      <c r="BQ634" s="78"/>
      <c r="BR634" s="78"/>
      <c r="BS634" s="78"/>
      <c r="BT634" s="78"/>
      <c r="BU634" s="78"/>
      <c r="BV634" s="78"/>
      <c r="BW634" s="78"/>
      <c r="BX634" s="78"/>
      <c r="BY634" s="78"/>
      <c r="BZ634" s="78"/>
      <c r="CA634" s="78"/>
      <c r="CB634" s="78"/>
      <c r="CC634" s="78"/>
      <c r="CD634" s="78"/>
      <c r="CE634" s="78"/>
      <c r="CF634" s="78"/>
      <c r="CG634" s="78"/>
      <c r="CH634" s="78"/>
      <c r="CI634" s="78"/>
      <c r="CJ634" s="78"/>
      <c r="CK634" s="78"/>
      <c r="CL634" s="78"/>
      <c r="CM634" s="78"/>
      <c r="CN634" s="78"/>
      <c r="CO634" s="78"/>
    </row>
    <row r="635" spans="1:93">
      <c r="A635" s="233"/>
      <c r="B635" s="13"/>
      <c r="C635" s="21" t="s">
        <v>617</v>
      </c>
      <c r="D635" s="10"/>
      <c r="E635" s="62">
        <f xml:space="preserve"> $E$530</f>
        <v>200</v>
      </c>
      <c r="F635" s="11"/>
      <c r="G635" s="11" t="s">
        <v>686</v>
      </c>
      <c r="H635" s="10"/>
      <c r="I635" s="10"/>
      <c r="J635" s="10"/>
      <c r="K635" s="10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78"/>
      <c r="AG635" s="78"/>
      <c r="AH635" s="78"/>
      <c r="AI635" s="78"/>
      <c r="AJ635" s="78"/>
      <c r="AK635" s="78"/>
      <c r="AL635" s="78"/>
      <c r="AM635" s="78"/>
      <c r="AN635" s="78"/>
      <c r="AO635" s="78"/>
      <c r="AP635" s="78"/>
      <c r="AQ635" s="78"/>
      <c r="AR635" s="78"/>
      <c r="AS635" s="78"/>
      <c r="AT635" s="78"/>
      <c r="AU635" s="78"/>
      <c r="AV635" s="78"/>
      <c r="AW635" s="78"/>
      <c r="AX635" s="78"/>
      <c r="AY635" s="78"/>
      <c r="AZ635" s="78"/>
      <c r="BA635" s="78"/>
      <c r="BB635" s="78"/>
      <c r="BC635" s="78"/>
      <c r="BD635" s="78"/>
      <c r="BE635" s="78"/>
      <c r="BF635" s="78"/>
      <c r="BG635" s="78"/>
      <c r="BH635" s="78"/>
      <c r="BI635" s="78"/>
      <c r="BJ635" s="78"/>
      <c r="BK635" s="78"/>
      <c r="BL635" s="78"/>
      <c r="BM635" s="78"/>
      <c r="BN635" s="78"/>
      <c r="BO635" s="78"/>
      <c r="BP635" s="78"/>
      <c r="BQ635" s="78"/>
      <c r="BR635" s="78"/>
      <c r="BS635" s="78"/>
      <c r="BT635" s="78"/>
      <c r="BU635" s="78"/>
      <c r="BV635" s="78"/>
      <c r="BW635" s="78"/>
      <c r="BX635" s="78"/>
      <c r="BY635" s="78"/>
      <c r="BZ635" s="78"/>
      <c r="CA635" s="78"/>
      <c r="CB635" s="78"/>
      <c r="CC635" s="78"/>
      <c r="CD635" s="78"/>
      <c r="CE635" s="78"/>
      <c r="CF635" s="78"/>
      <c r="CG635" s="78"/>
      <c r="CH635" s="78"/>
      <c r="CI635" s="78"/>
      <c r="CJ635" s="78"/>
      <c r="CK635" s="78"/>
      <c r="CL635" s="78"/>
      <c r="CM635" s="78"/>
      <c r="CN635" s="78"/>
      <c r="CO635" s="78"/>
    </row>
    <row r="636" spans="1:93">
      <c r="A636" s="233"/>
      <c r="B636" s="13"/>
      <c r="C636" s="21" t="s">
        <v>653</v>
      </c>
      <c r="D636" s="10"/>
      <c r="E636" s="106">
        <f xml:space="preserve"> $E$522</f>
        <v>0.65</v>
      </c>
      <c r="F636" s="11"/>
      <c r="G636" s="11" t="s">
        <v>28</v>
      </c>
      <c r="H636" s="10"/>
      <c r="I636" s="10"/>
      <c r="J636" s="10"/>
      <c r="K636" s="10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78"/>
      <c r="AG636" s="78"/>
      <c r="AH636" s="78"/>
      <c r="AI636" s="78"/>
      <c r="AJ636" s="78"/>
      <c r="AK636" s="78"/>
      <c r="AL636" s="78"/>
      <c r="AM636" s="78"/>
      <c r="AN636" s="78"/>
      <c r="AO636" s="78"/>
      <c r="AP636" s="78"/>
      <c r="AQ636" s="78"/>
      <c r="AR636" s="78"/>
      <c r="AS636" s="78"/>
      <c r="AT636" s="78"/>
      <c r="AU636" s="78"/>
      <c r="AV636" s="78"/>
      <c r="AW636" s="78"/>
      <c r="AX636" s="78"/>
      <c r="AY636" s="78"/>
      <c r="AZ636" s="78"/>
      <c r="BA636" s="78"/>
      <c r="BB636" s="78"/>
      <c r="BC636" s="78"/>
      <c r="BD636" s="78"/>
      <c r="BE636" s="78"/>
      <c r="BF636" s="78"/>
      <c r="BG636" s="78"/>
      <c r="BH636" s="78"/>
      <c r="BI636" s="78"/>
      <c r="BJ636" s="78"/>
      <c r="BK636" s="78"/>
      <c r="BL636" s="78"/>
      <c r="BM636" s="78"/>
      <c r="BN636" s="78"/>
      <c r="BO636" s="78"/>
      <c r="BP636" s="78"/>
      <c r="BQ636" s="78"/>
      <c r="BR636" s="78"/>
      <c r="BS636" s="78"/>
      <c r="BT636" s="78"/>
      <c r="BU636" s="78"/>
      <c r="BV636" s="78"/>
      <c r="BW636" s="78"/>
      <c r="BX636" s="78"/>
      <c r="BY636" s="78"/>
      <c r="BZ636" s="78"/>
      <c r="CA636" s="78"/>
      <c r="CB636" s="78"/>
      <c r="CC636" s="78"/>
      <c r="CD636" s="78"/>
      <c r="CE636" s="78"/>
      <c r="CF636" s="78"/>
      <c r="CG636" s="78"/>
      <c r="CH636" s="78"/>
      <c r="CI636" s="78"/>
      <c r="CJ636" s="78"/>
      <c r="CK636" s="78"/>
      <c r="CL636" s="78"/>
      <c r="CM636" s="78"/>
      <c r="CN636" s="78"/>
      <c r="CO636" s="78"/>
    </row>
    <row r="637" spans="1:93">
      <c r="A637" s="233"/>
      <c r="B637" s="13"/>
      <c r="C637" s="21" t="s">
        <v>786</v>
      </c>
      <c r="D637" s="10"/>
      <c r="E637" s="62">
        <f xml:space="preserve"> E635 * E636 * E543</f>
        <v>336.35450195737275</v>
      </c>
      <c r="F637" s="11"/>
      <c r="G637" s="11" t="s">
        <v>692</v>
      </c>
      <c r="H637" s="10"/>
      <c r="I637" s="10"/>
      <c r="J637" s="10"/>
      <c r="K637" s="10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F637" s="78"/>
      <c r="AG637" s="78"/>
      <c r="AH637" s="78"/>
      <c r="AI637" s="78"/>
      <c r="AJ637" s="78"/>
      <c r="AK637" s="78"/>
      <c r="AL637" s="78"/>
      <c r="AM637" s="78"/>
      <c r="AN637" s="78"/>
      <c r="AO637" s="78"/>
      <c r="AP637" s="78"/>
      <c r="AQ637" s="78"/>
      <c r="AR637" s="78"/>
      <c r="AS637" s="78"/>
      <c r="AT637" s="78"/>
      <c r="AU637" s="78"/>
      <c r="AV637" s="78"/>
      <c r="AW637" s="78"/>
      <c r="AX637" s="78"/>
      <c r="AY637" s="78"/>
      <c r="AZ637" s="78"/>
      <c r="BA637" s="78"/>
      <c r="BB637" s="78"/>
      <c r="BC637" s="78"/>
      <c r="BD637" s="78"/>
      <c r="BE637" s="78"/>
      <c r="BF637" s="78"/>
      <c r="BG637" s="78"/>
      <c r="BH637" s="78"/>
      <c r="BI637" s="78"/>
      <c r="BJ637" s="78"/>
      <c r="BK637" s="78"/>
      <c r="BL637" s="78"/>
      <c r="BM637" s="78"/>
      <c r="BN637" s="78"/>
      <c r="BO637" s="78"/>
      <c r="BP637" s="78"/>
      <c r="BQ637" s="78"/>
      <c r="BR637" s="78"/>
      <c r="BS637" s="78"/>
      <c r="BT637" s="78"/>
      <c r="BU637" s="78"/>
      <c r="BV637" s="78"/>
      <c r="BW637" s="78"/>
      <c r="BX637" s="78"/>
      <c r="BY637" s="78"/>
      <c r="BZ637" s="78"/>
      <c r="CA637" s="78"/>
      <c r="CB637" s="78"/>
      <c r="CC637" s="78"/>
      <c r="CD637" s="78"/>
      <c r="CE637" s="78"/>
      <c r="CF637" s="78"/>
      <c r="CG637" s="78"/>
      <c r="CH637" s="78"/>
      <c r="CI637" s="78"/>
      <c r="CJ637" s="78"/>
      <c r="CK637" s="78"/>
      <c r="CL637" s="78"/>
      <c r="CM637" s="78"/>
      <c r="CN637" s="78"/>
      <c r="CO637" s="78"/>
    </row>
    <row r="638" spans="1:93">
      <c r="A638" s="233"/>
      <c r="B638" s="13"/>
      <c r="C638" s="21" t="s">
        <v>690</v>
      </c>
      <c r="D638" s="10"/>
      <c r="E638" s="184"/>
      <c r="F638" s="11"/>
      <c r="G638" s="11" t="s">
        <v>689</v>
      </c>
      <c r="H638" s="10"/>
      <c r="I638" s="10"/>
      <c r="J638" s="10"/>
      <c r="K638" s="10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F638" s="78"/>
      <c r="AG638" s="78"/>
      <c r="AH638" s="78"/>
      <c r="AI638" s="78"/>
      <c r="AJ638" s="78"/>
      <c r="AK638" s="78"/>
      <c r="AL638" s="78"/>
      <c r="AM638" s="78"/>
      <c r="AN638" s="78"/>
      <c r="AO638" s="78"/>
      <c r="AP638" s="78"/>
      <c r="AQ638" s="78"/>
      <c r="AR638" s="78"/>
      <c r="AS638" s="78"/>
      <c r="AT638" s="78"/>
      <c r="AU638" s="78"/>
      <c r="AV638" s="78"/>
      <c r="AW638" s="78"/>
      <c r="AX638" s="78"/>
      <c r="AY638" s="78"/>
      <c r="AZ638" s="78"/>
      <c r="BA638" s="78"/>
      <c r="BB638" s="78"/>
      <c r="BC638" s="78"/>
      <c r="BD638" s="78"/>
      <c r="BE638" s="78"/>
      <c r="BF638" s="78"/>
      <c r="BG638" s="78"/>
      <c r="BH638" s="78"/>
      <c r="BI638" s="78"/>
      <c r="BJ638" s="78"/>
      <c r="BK638" s="78"/>
      <c r="BL638" s="78"/>
      <c r="BM638" s="78"/>
      <c r="BN638" s="78"/>
      <c r="BO638" s="78"/>
      <c r="BP638" s="78"/>
      <c r="BQ638" s="78"/>
      <c r="BR638" s="78"/>
      <c r="BS638" s="78"/>
      <c r="BT638" s="78"/>
      <c r="BU638" s="78"/>
      <c r="BV638" s="78"/>
      <c r="BW638" s="78"/>
      <c r="BX638" s="78"/>
      <c r="BY638" s="78"/>
      <c r="BZ638" s="78"/>
      <c r="CA638" s="78"/>
      <c r="CB638" s="78"/>
      <c r="CC638" s="78"/>
      <c r="CD638" s="78"/>
      <c r="CE638" s="78"/>
      <c r="CF638" s="78"/>
      <c r="CG638" s="78"/>
      <c r="CH638" s="78"/>
      <c r="CI638" s="78"/>
      <c r="CJ638" s="78"/>
      <c r="CK638" s="78"/>
      <c r="CL638" s="78"/>
      <c r="CM638" s="78"/>
      <c r="CN638" s="78"/>
      <c r="CO638" s="78"/>
    </row>
    <row r="639" spans="1:93">
      <c r="A639" s="233"/>
      <c r="B639" s="101"/>
      <c r="C639" s="169"/>
      <c r="D639" s="69"/>
      <c r="E639" s="62"/>
      <c r="F639" s="70"/>
      <c r="G639" s="11"/>
      <c r="H639" s="69"/>
      <c r="I639" s="69"/>
      <c r="J639" s="69"/>
      <c r="K639" s="69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  <c r="Z639" s="103"/>
      <c r="AA639" s="103"/>
      <c r="AB639" s="103"/>
      <c r="AC639" s="103"/>
      <c r="AD639" s="103"/>
      <c r="AE639" s="103"/>
      <c r="AF639" s="103"/>
      <c r="AG639" s="103"/>
      <c r="AH639" s="103"/>
      <c r="AI639" s="103"/>
      <c r="AJ639" s="103"/>
      <c r="AK639" s="103"/>
      <c r="AL639" s="103"/>
      <c r="AM639" s="103"/>
      <c r="AN639" s="103"/>
      <c r="AO639" s="103"/>
      <c r="AP639" s="103"/>
      <c r="AQ639" s="103"/>
      <c r="AR639" s="103"/>
      <c r="AS639" s="103"/>
      <c r="AT639" s="103"/>
      <c r="AU639" s="103"/>
      <c r="AV639" s="103"/>
      <c r="AW639" s="103"/>
      <c r="AX639" s="103"/>
      <c r="AY639" s="103"/>
      <c r="AZ639" s="103"/>
      <c r="BA639" s="103"/>
      <c r="BB639" s="103"/>
      <c r="BC639" s="103"/>
      <c r="BD639" s="103"/>
      <c r="BE639" s="103"/>
      <c r="BF639" s="103"/>
      <c r="BG639" s="103"/>
      <c r="BH639" s="103"/>
      <c r="BI639" s="103"/>
      <c r="BJ639" s="103"/>
      <c r="BK639" s="103"/>
      <c r="BL639" s="103"/>
      <c r="BM639" s="103"/>
      <c r="BN639" s="103"/>
      <c r="BO639" s="103"/>
      <c r="BP639" s="103"/>
      <c r="BQ639" s="103"/>
      <c r="BR639" s="103"/>
      <c r="BS639" s="103"/>
      <c r="BT639" s="103"/>
      <c r="BU639" s="103"/>
      <c r="BV639" s="103"/>
      <c r="BW639" s="103"/>
      <c r="BX639" s="103"/>
      <c r="BY639" s="103"/>
      <c r="BZ639" s="103"/>
      <c r="CA639" s="103"/>
      <c r="CB639" s="103"/>
      <c r="CC639" s="103"/>
      <c r="CD639" s="103"/>
      <c r="CE639" s="103"/>
      <c r="CF639" s="103"/>
      <c r="CG639" s="103"/>
      <c r="CH639" s="103"/>
      <c r="CI639" s="103"/>
      <c r="CJ639" s="103"/>
      <c r="CK639" s="103"/>
      <c r="CL639" s="103"/>
      <c r="CM639" s="103"/>
      <c r="CN639" s="103"/>
      <c r="CO639" s="103"/>
    </row>
    <row r="640" spans="1:93">
      <c r="A640" s="233"/>
      <c r="B640" s="101"/>
      <c r="C640" s="21" t="s">
        <v>1367</v>
      </c>
      <c r="D640" s="69"/>
      <c r="E640" s="196">
        <f xml:space="preserve"> Предпосылки!E428</f>
        <v>1</v>
      </c>
      <c r="F640" s="70"/>
      <c r="G640" s="11" t="s">
        <v>28</v>
      </c>
      <c r="H640" s="69"/>
      <c r="I640" s="69"/>
      <c r="J640" s="69"/>
      <c r="K640" s="69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  <c r="AA640" s="103"/>
      <c r="AB640" s="103"/>
      <c r="AC640" s="103"/>
      <c r="AD640" s="103"/>
      <c r="AE640" s="103"/>
      <c r="AF640" s="103"/>
      <c r="AG640" s="103"/>
      <c r="AH640" s="103"/>
      <c r="AI640" s="103"/>
      <c r="AJ640" s="103"/>
      <c r="AK640" s="103"/>
      <c r="AL640" s="103"/>
      <c r="AM640" s="103"/>
      <c r="AN640" s="103"/>
      <c r="AO640" s="103"/>
      <c r="AP640" s="103"/>
      <c r="AQ640" s="103"/>
      <c r="AR640" s="103"/>
      <c r="AS640" s="103"/>
      <c r="AT640" s="103"/>
      <c r="AU640" s="103"/>
      <c r="AV640" s="103"/>
      <c r="AW640" s="103"/>
      <c r="AX640" s="103"/>
      <c r="AY640" s="103"/>
      <c r="AZ640" s="103"/>
      <c r="BA640" s="103"/>
      <c r="BB640" s="103"/>
      <c r="BC640" s="103"/>
      <c r="BD640" s="103"/>
      <c r="BE640" s="103"/>
      <c r="BF640" s="103"/>
      <c r="BG640" s="103"/>
      <c r="BH640" s="103"/>
      <c r="BI640" s="103"/>
      <c r="BJ640" s="103"/>
      <c r="BK640" s="103"/>
      <c r="BL640" s="103"/>
      <c r="BM640" s="103"/>
      <c r="BN640" s="103"/>
      <c r="BO640" s="103"/>
      <c r="BP640" s="103"/>
      <c r="BQ640" s="103"/>
      <c r="BR640" s="103"/>
      <c r="BS640" s="103"/>
      <c r="BT640" s="103"/>
      <c r="BU640" s="103"/>
      <c r="BV640" s="103"/>
      <c r="BW640" s="103"/>
      <c r="BX640" s="103"/>
      <c r="BY640" s="103"/>
      <c r="BZ640" s="103"/>
      <c r="CA640" s="103"/>
      <c r="CB640" s="103"/>
      <c r="CC640" s="103"/>
      <c r="CD640" s="103"/>
      <c r="CE640" s="103"/>
      <c r="CF640" s="103"/>
      <c r="CG640" s="103"/>
      <c r="CH640" s="103"/>
      <c r="CI640" s="103"/>
      <c r="CJ640" s="103"/>
      <c r="CK640" s="103"/>
      <c r="CL640" s="103"/>
      <c r="CM640" s="103"/>
      <c r="CN640" s="103"/>
      <c r="CO640" s="103"/>
    </row>
    <row r="641" spans="1:93">
      <c r="A641" s="233"/>
      <c r="B641" s="101"/>
      <c r="C641" s="21" t="s">
        <v>790</v>
      </c>
      <c r="D641" s="69"/>
      <c r="E641" s="196">
        <f xml:space="preserve"> Предпосылки!E429</f>
        <v>0</v>
      </c>
      <c r="F641" s="70"/>
      <c r="G641" s="11" t="s">
        <v>28</v>
      </c>
      <c r="H641" s="69"/>
      <c r="I641" s="69"/>
      <c r="J641" s="69"/>
      <c r="K641" s="69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  <c r="AA641" s="103"/>
      <c r="AB641" s="103"/>
      <c r="AC641" s="103"/>
      <c r="AD641" s="103"/>
      <c r="AE641" s="103"/>
      <c r="AF641" s="103"/>
      <c r="AG641" s="103"/>
      <c r="AH641" s="103"/>
      <c r="AI641" s="103"/>
      <c r="AJ641" s="103"/>
      <c r="AK641" s="103"/>
      <c r="AL641" s="103"/>
      <c r="AM641" s="103"/>
      <c r="AN641" s="103"/>
      <c r="AO641" s="103"/>
      <c r="AP641" s="103"/>
      <c r="AQ641" s="103"/>
      <c r="AR641" s="103"/>
      <c r="AS641" s="103"/>
      <c r="AT641" s="103"/>
      <c r="AU641" s="103"/>
      <c r="AV641" s="103"/>
      <c r="AW641" s="103"/>
      <c r="AX641" s="103"/>
      <c r="AY641" s="103"/>
      <c r="AZ641" s="103"/>
      <c r="BA641" s="103"/>
      <c r="BB641" s="103"/>
      <c r="BC641" s="103"/>
      <c r="BD641" s="103"/>
      <c r="BE641" s="103"/>
      <c r="BF641" s="103"/>
      <c r="BG641" s="103"/>
      <c r="BH641" s="103"/>
      <c r="BI641" s="103"/>
      <c r="BJ641" s="103"/>
      <c r="BK641" s="103"/>
      <c r="BL641" s="103"/>
      <c r="BM641" s="103"/>
      <c r="BN641" s="103"/>
      <c r="BO641" s="103"/>
      <c r="BP641" s="103"/>
      <c r="BQ641" s="103"/>
      <c r="BR641" s="103"/>
      <c r="BS641" s="103"/>
      <c r="BT641" s="103"/>
      <c r="BU641" s="103"/>
      <c r="BV641" s="103"/>
      <c r="BW641" s="103"/>
      <c r="BX641" s="103"/>
      <c r="BY641" s="103"/>
      <c r="BZ641" s="103"/>
      <c r="CA641" s="103"/>
      <c r="CB641" s="103"/>
      <c r="CC641" s="103"/>
      <c r="CD641" s="103"/>
      <c r="CE641" s="103"/>
      <c r="CF641" s="103"/>
      <c r="CG641" s="103"/>
      <c r="CH641" s="103"/>
      <c r="CI641" s="103"/>
      <c r="CJ641" s="103"/>
      <c r="CK641" s="103"/>
      <c r="CL641" s="103"/>
      <c r="CM641" s="103"/>
      <c r="CN641" s="103"/>
      <c r="CO641" s="103"/>
    </row>
    <row r="642" spans="1:93">
      <c r="A642" s="233"/>
      <c r="B642" s="101"/>
      <c r="C642" s="21" t="s">
        <v>791</v>
      </c>
      <c r="D642" s="69"/>
      <c r="E642" s="196">
        <f xml:space="preserve"> Предпосылки!E430</f>
        <v>0</v>
      </c>
      <c r="F642" s="70"/>
      <c r="G642" s="11" t="s">
        <v>28</v>
      </c>
      <c r="H642" s="69"/>
      <c r="I642" s="69"/>
      <c r="J642" s="69"/>
      <c r="K642" s="69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  <c r="Z642" s="103"/>
      <c r="AA642" s="103"/>
      <c r="AB642" s="103"/>
      <c r="AC642" s="103"/>
      <c r="AD642" s="103"/>
      <c r="AE642" s="103"/>
      <c r="AF642" s="103"/>
      <c r="AG642" s="103"/>
      <c r="AH642" s="103"/>
      <c r="AI642" s="103"/>
      <c r="AJ642" s="103"/>
      <c r="AK642" s="103"/>
      <c r="AL642" s="103"/>
      <c r="AM642" s="103"/>
      <c r="AN642" s="103"/>
      <c r="AO642" s="103"/>
      <c r="AP642" s="103"/>
      <c r="AQ642" s="103"/>
      <c r="AR642" s="103"/>
      <c r="AS642" s="103"/>
      <c r="AT642" s="103"/>
      <c r="AU642" s="103"/>
      <c r="AV642" s="103"/>
      <c r="AW642" s="103"/>
      <c r="AX642" s="103"/>
      <c r="AY642" s="103"/>
      <c r="AZ642" s="103"/>
      <c r="BA642" s="103"/>
      <c r="BB642" s="103"/>
      <c r="BC642" s="103"/>
      <c r="BD642" s="103"/>
      <c r="BE642" s="103"/>
      <c r="BF642" s="103"/>
      <c r="BG642" s="103"/>
      <c r="BH642" s="103"/>
      <c r="BI642" s="103"/>
      <c r="BJ642" s="103"/>
      <c r="BK642" s="103"/>
      <c r="BL642" s="103"/>
      <c r="BM642" s="103"/>
      <c r="BN642" s="103"/>
      <c r="BO642" s="103"/>
      <c r="BP642" s="103"/>
      <c r="BQ642" s="103"/>
      <c r="BR642" s="103"/>
      <c r="BS642" s="103"/>
      <c r="BT642" s="103"/>
      <c r="BU642" s="103"/>
      <c r="BV642" s="103"/>
      <c r="BW642" s="103"/>
      <c r="BX642" s="103"/>
      <c r="BY642" s="103"/>
      <c r="BZ642" s="103"/>
      <c r="CA642" s="103"/>
      <c r="CB642" s="103"/>
      <c r="CC642" s="103"/>
      <c r="CD642" s="103"/>
      <c r="CE642" s="103"/>
      <c r="CF642" s="103"/>
      <c r="CG642" s="103"/>
      <c r="CH642" s="103"/>
      <c r="CI642" s="103"/>
      <c r="CJ642" s="103"/>
      <c r="CK642" s="103"/>
      <c r="CL642" s="103"/>
      <c r="CM642" s="103"/>
      <c r="CN642" s="103"/>
      <c r="CO642" s="103"/>
    </row>
    <row r="643" spans="1:93">
      <c r="A643" s="233"/>
      <c r="B643" s="101"/>
      <c r="C643" s="21" t="s">
        <v>792</v>
      </c>
      <c r="D643" s="69"/>
      <c r="E643" s="196">
        <f xml:space="preserve"> Предпосылки!E431</f>
        <v>0.2</v>
      </c>
      <c r="F643" s="70"/>
      <c r="G643" s="11"/>
      <c r="H643" s="69"/>
      <c r="I643" s="69"/>
      <c r="J643" s="69"/>
      <c r="K643" s="69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  <c r="Z643" s="103"/>
      <c r="AA643" s="103"/>
      <c r="AB643" s="103"/>
      <c r="AC643" s="103"/>
      <c r="AD643" s="103"/>
      <c r="AE643" s="103"/>
      <c r="AF643" s="103"/>
      <c r="AG643" s="103"/>
      <c r="AH643" s="103"/>
      <c r="AI643" s="103"/>
      <c r="AJ643" s="103"/>
      <c r="AK643" s="103"/>
      <c r="AL643" s="103"/>
      <c r="AM643" s="103"/>
      <c r="AN643" s="103"/>
      <c r="AO643" s="103"/>
      <c r="AP643" s="103"/>
      <c r="AQ643" s="103"/>
      <c r="AR643" s="103"/>
      <c r="AS643" s="103"/>
      <c r="AT643" s="103"/>
      <c r="AU643" s="103"/>
      <c r="AV643" s="103"/>
      <c r="AW643" s="103"/>
      <c r="AX643" s="103"/>
      <c r="AY643" s="103"/>
      <c r="AZ643" s="103"/>
      <c r="BA643" s="103"/>
      <c r="BB643" s="103"/>
      <c r="BC643" s="103"/>
      <c r="BD643" s="103"/>
      <c r="BE643" s="103"/>
      <c r="BF643" s="103"/>
      <c r="BG643" s="103"/>
      <c r="BH643" s="103"/>
      <c r="BI643" s="103"/>
      <c r="BJ643" s="103"/>
      <c r="BK643" s="103"/>
      <c r="BL643" s="103"/>
      <c r="BM643" s="103"/>
      <c r="BN643" s="103"/>
      <c r="BO643" s="103"/>
      <c r="BP643" s="103"/>
      <c r="BQ643" s="103"/>
      <c r="BR643" s="103"/>
      <c r="BS643" s="103"/>
      <c r="BT643" s="103"/>
      <c r="BU643" s="103"/>
      <c r="BV643" s="103"/>
      <c r="BW643" s="103"/>
      <c r="BX643" s="103"/>
      <c r="BY643" s="103"/>
      <c r="BZ643" s="103"/>
      <c r="CA643" s="103"/>
      <c r="CB643" s="103"/>
      <c r="CC643" s="103"/>
      <c r="CD643" s="103"/>
      <c r="CE643" s="103"/>
      <c r="CF643" s="103"/>
      <c r="CG643" s="103"/>
      <c r="CH643" s="103"/>
      <c r="CI643" s="103"/>
      <c r="CJ643" s="103"/>
      <c r="CK643" s="103"/>
      <c r="CL643" s="103"/>
      <c r="CM643" s="103"/>
      <c r="CN643" s="103"/>
      <c r="CO643" s="103"/>
    </row>
    <row r="644" spans="1:93">
      <c r="A644" s="233"/>
      <c r="B644" s="101"/>
      <c r="C644" s="21"/>
      <c r="D644" s="69"/>
      <c r="E644" s="62"/>
      <c r="F644" s="70"/>
      <c r="G644" s="11"/>
      <c r="H644" s="69"/>
      <c r="I644" s="69"/>
      <c r="J644" s="69"/>
      <c r="K644" s="69"/>
      <c r="L644" s="103"/>
      <c r="M644" s="103"/>
      <c r="N644" s="103"/>
      <c r="O644" s="103"/>
      <c r="P644" s="103"/>
      <c r="Q644" s="103"/>
      <c r="R644" s="103"/>
      <c r="S644" s="103"/>
      <c r="T644" s="103"/>
      <c r="U644" s="103"/>
      <c r="V644" s="103"/>
      <c r="W644" s="103"/>
      <c r="X644" s="103"/>
      <c r="Y644" s="103"/>
      <c r="Z644" s="103"/>
      <c r="AA644" s="103"/>
      <c r="AB644" s="103"/>
      <c r="AC644" s="103"/>
      <c r="AD644" s="103"/>
      <c r="AE644" s="103"/>
      <c r="AF644" s="103"/>
      <c r="AG644" s="103"/>
      <c r="AH644" s="103"/>
      <c r="AI644" s="103"/>
      <c r="AJ644" s="103"/>
      <c r="AK644" s="103"/>
      <c r="AL644" s="103"/>
      <c r="AM644" s="103"/>
      <c r="AN644" s="103"/>
      <c r="AO644" s="103"/>
      <c r="AP644" s="103"/>
      <c r="AQ644" s="103"/>
      <c r="AR644" s="103"/>
      <c r="AS644" s="103"/>
      <c r="AT644" s="103"/>
      <c r="AU644" s="103"/>
      <c r="AV644" s="103"/>
      <c r="AW644" s="103"/>
      <c r="AX644" s="103"/>
      <c r="AY644" s="103"/>
      <c r="AZ644" s="103"/>
      <c r="BA644" s="103"/>
      <c r="BB644" s="103"/>
      <c r="BC644" s="103"/>
      <c r="BD644" s="103"/>
      <c r="BE644" s="103"/>
      <c r="BF644" s="103"/>
      <c r="BG644" s="103"/>
      <c r="BH644" s="103"/>
      <c r="BI644" s="103"/>
      <c r="BJ644" s="103"/>
      <c r="BK644" s="103"/>
      <c r="BL644" s="103"/>
      <c r="BM644" s="103"/>
      <c r="BN644" s="103"/>
      <c r="BO644" s="103"/>
      <c r="BP644" s="103"/>
      <c r="BQ644" s="103"/>
      <c r="BR644" s="103"/>
      <c r="BS644" s="103"/>
      <c r="BT644" s="103"/>
      <c r="BU644" s="103"/>
      <c r="BV644" s="103"/>
      <c r="BW644" s="103"/>
      <c r="BX644" s="103"/>
      <c r="BY644" s="103"/>
      <c r="BZ644" s="103"/>
      <c r="CA644" s="103"/>
      <c r="CB644" s="103"/>
      <c r="CC644" s="103"/>
      <c r="CD644" s="103"/>
      <c r="CE644" s="103"/>
      <c r="CF644" s="103"/>
      <c r="CG644" s="103"/>
      <c r="CH644" s="103"/>
      <c r="CI644" s="103"/>
      <c r="CJ644" s="103"/>
      <c r="CK644" s="103"/>
      <c r="CL644" s="103"/>
      <c r="CM644" s="103"/>
      <c r="CN644" s="103"/>
      <c r="CO644" s="103"/>
    </row>
    <row r="645" spans="1:93">
      <c r="A645" s="233"/>
      <c r="B645" s="101"/>
      <c r="C645" s="21" t="s">
        <v>693</v>
      </c>
      <c r="D645" s="69"/>
      <c r="E645" s="184">
        <f xml:space="preserve"> Предпосылки!E433</f>
        <v>0</v>
      </c>
      <c r="F645" s="11"/>
      <c r="G645" s="11" t="s">
        <v>692</v>
      </c>
      <c r="H645" s="69"/>
      <c r="I645" s="69"/>
      <c r="J645" s="69"/>
      <c r="K645" s="69"/>
      <c r="L645" s="103"/>
      <c r="M645" s="103"/>
      <c r="N645" s="103"/>
      <c r="O645" s="103"/>
      <c r="P645" s="103"/>
      <c r="Q645" s="103"/>
      <c r="R645" s="103"/>
      <c r="S645" s="103"/>
      <c r="T645" s="103"/>
      <c r="U645" s="103"/>
      <c r="V645" s="103"/>
      <c r="W645" s="103"/>
      <c r="X645" s="103"/>
      <c r="Y645" s="103"/>
      <c r="Z645" s="103"/>
      <c r="AA645" s="103"/>
      <c r="AB645" s="103"/>
      <c r="AC645" s="103"/>
      <c r="AD645" s="103"/>
      <c r="AE645" s="103"/>
      <c r="AF645" s="103"/>
      <c r="AG645" s="103"/>
      <c r="AH645" s="103"/>
      <c r="AI645" s="103"/>
      <c r="AJ645" s="103"/>
      <c r="AK645" s="103"/>
      <c r="AL645" s="103"/>
      <c r="AM645" s="103"/>
      <c r="AN645" s="103"/>
      <c r="AO645" s="103"/>
      <c r="AP645" s="103"/>
      <c r="AQ645" s="103"/>
      <c r="AR645" s="103"/>
      <c r="AS645" s="103"/>
      <c r="AT645" s="103"/>
      <c r="AU645" s="103"/>
      <c r="AV645" s="103"/>
      <c r="AW645" s="103"/>
      <c r="AX645" s="103"/>
      <c r="AY645" s="103"/>
      <c r="AZ645" s="103"/>
      <c r="BA645" s="103"/>
      <c r="BB645" s="103"/>
      <c r="BC645" s="103"/>
      <c r="BD645" s="103"/>
      <c r="BE645" s="103"/>
      <c r="BF645" s="103"/>
      <c r="BG645" s="103"/>
      <c r="BH645" s="103"/>
      <c r="BI645" s="103"/>
      <c r="BJ645" s="103"/>
      <c r="BK645" s="103"/>
      <c r="BL645" s="103"/>
      <c r="BM645" s="103"/>
      <c r="BN645" s="103"/>
      <c r="BO645" s="103"/>
      <c r="BP645" s="103"/>
      <c r="BQ645" s="103"/>
      <c r="BR645" s="103"/>
      <c r="BS645" s="103"/>
      <c r="BT645" s="103"/>
      <c r="BU645" s="103"/>
      <c r="BV645" s="103"/>
      <c r="BW645" s="103"/>
      <c r="BX645" s="103"/>
      <c r="BY645" s="103"/>
      <c r="BZ645" s="103"/>
      <c r="CA645" s="103"/>
      <c r="CB645" s="103"/>
      <c r="CC645" s="103"/>
      <c r="CD645" s="103"/>
      <c r="CE645" s="103"/>
      <c r="CF645" s="103"/>
      <c r="CG645" s="103"/>
      <c r="CH645" s="103"/>
      <c r="CI645" s="103"/>
      <c r="CJ645" s="103"/>
      <c r="CK645" s="103"/>
      <c r="CL645" s="103"/>
      <c r="CM645" s="103"/>
      <c r="CN645" s="103"/>
      <c r="CO645" s="103"/>
    </row>
    <row r="646" spans="1:93">
      <c r="A646" s="233"/>
      <c r="B646" s="101"/>
      <c r="C646" s="21" t="s">
        <v>694</v>
      </c>
      <c r="D646" s="69"/>
      <c r="E646" s="184">
        <f xml:space="preserve"> Предпосылки!E434</f>
        <v>50</v>
      </c>
      <c r="F646" s="11"/>
      <c r="G646" s="11" t="s">
        <v>692</v>
      </c>
      <c r="H646" s="69"/>
      <c r="I646" s="69"/>
      <c r="J646" s="69"/>
      <c r="K646" s="69"/>
      <c r="L646" s="103"/>
      <c r="M646" s="103"/>
      <c r="N646" s="103"/>
      <c r="O646" s="103"/>
      <c r="P646" s="103"/>
      <c r="Q646" s="103"/>
      <c r="R646" s="103"/>
      <c r="S646" s="103"/>
      <c r="T646" s="103"/>
      <c r="U646" s="103"/>
      <c r="V646" s="103"/>
      <c r="W646" s="103"/>
      <c r="X646" s="103"/>
      <c r="Y646" s="103"/>
      <c r="Z646" s="103"/>
      <c r="AA646" s="103"/>
      <c r="AB646" s="103"/>
      <c r="AC646" s="103"/>
      <c r="AD646" s="103"/>
      <c r="AE646" s="103"/>
      <c r="AF646" s="103"/>
      <c r="AG646" s="103"/>
      <c r="AH646" s="103"/>
      <c r="AI646" s="103"/>
      <c r="AJ646" s="103"/>
      <c r="AK646" s="103"/>
      <c r="AL646" s="103"/>
      <c r="AM646" s="103"/>
      <c r="AN646" s="103"/>
      <c r="AO646" s="103"/>
      <c r="AP646" s="103"/>
      <c r="AQ646" s="103"/>
      <c r="AR646" s="103"/>
      <c r="AS646" s="103"/>
      <c r="AT646" s="103"/>
      <c r="AU646" s="103"/>
      <c r="AV646" s="103"/>
      <c r="AW646" s="103"/>
      <c r="AX646" s="103"/>
      <c r="AY646" s="103"/>
      <c r="AZ646" s="103"/>
      <c r="BA646" s="103"/>
      <c r="BB646" s="103"/>
      <c r="BC646" s="103"/>
      <c r="BD646" s="103"/>
      <c r="BE646" s="103"/>
      <c r="BF646" s="103"/>
      <c r="BG646" s="103"/>
      <c r="BH646" s="103"/>
      <c r="BI646" s="103"/>
      <c r="BJ646" s="103"/>
      <c r="BK646" s="103"/>
      <c r="BL646" s="103"/>
      <c r="BM646" s="103"/>
      <c r="BN646" s="103"/>
      <c r="BO646" s="103"/>
      <c r="BP646" s="103"/>
      <c r="BQ646" s="103"/>
      <c r="BR646" s="103"/>
      <c r="BS646" s="103"/>
      <c r="BT646" s="103"/>
      <c r="BU646" s="103"/>
      <c r="BV646" s="103"/>
      <c r="BW646" s="103"/>
      <c r="BX646" s="103"/>
      <c r="BY646" s="103"/>
      <c r="BZ646" s="103"/>
      <c r="CA646" s="103"/>
      <c r="CB646" s="103"/>
      <c r="CC646" s="103"/>
      <c r="CD646" s="103"/>
      <c r="CE646" s="103"/>
      <c r="CF646" s="103"/>
      <c r="CG646" s="103"/>
      <c r="CH646" s="103"/>
      <c r="CI646" s="103"/>
      <c r="CJ646" s="103"/>
      <c r="CK646" s="103"/>
      <c r="CL646" s="103"/>
      <c r="CM646" s="103"/>
      <c r="CN646" s="103"/>
      <c r="CO646" s="103"/>
    </row>
    <row r="647" spans="1:93">
      <c r="A647" s="233"/>
      <c r="B647" s="101"/>
      <c r="C647" s="21" t="s">
        <v>695</v>
      </c>
      <c r="D647" s="69"/>
      <c r="E647" s="184">
        <f xml:space="preserve"> Предпосылки!E435</f>
        <v>80</v>
      </c>
      <c r="F647" s="11"/>
      <c r="G647" s="11" t="s">
        <v>692</v>
      </c>
      <c r="H647" s="69"/>
      <c r="I647" s="69"/>
      <c r="J647" s="69"/>
      <c r="K647" s="69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  <c r="Z647" s="103"/>
      <c r="AA647" s="103"/>
      <c r="AB647" s="103"/>
      <c r="AC647" s="103"/>
      <c r="AD647" s="103"/>
      <c r="AE647" s="103"/>
      <c r="AF647" s="103"/>
      <c r="AG647" s="103"/>
      <c r="AH647" s="103"/>
      <c r="AI647" s="103"/>
      <c r="AJ647" s="103"/>
      <c r="AK647" s="103"/>
      <c r="AL647" s="103"/>
      <c r="AM647" s="103"/>
      <c r="AN647" s="103"/>
      <c r="AO647" s="103"/>
      <c r="AP647" s="103"/>
      <c r="AQ647" s="103"/>
      <c r="AR647" s="103"/>
      <c r="AS647" s="103"/>
      <c r="AT647" s="103"/>
      <c r="AU647" s="103"/>
      <c r="AV647" s="103"/>
      <c r="AW647" s="103"/>
      <c r="AX647" s="103"/>
      <c r="AY647" s="103"/>
      <c r="AZ647" s="103"/>
      <c r="BA647" s="103"/>
      <c r="BB647" s="103"/>
      <c r="BC647" s="103"/>
      <c r="BD647" s="103"/>
      <c r="BE647" s="103"/>
      <c r="BF647" s="103"/>
      <c r="BG647" s="103"/>
      <c r="BH647" s="103"/>
      <c r="BI647" s="103"/>
      <c r="BJ647" s="103"/>
      <c r="BK647" s="103"/>
      <c r="BL647" s="103"/>
      <c r="BM647" s="103"/>
      <c r="BN647" s="103"/>
      <c r="BO647" s="103"/>
      <c r="BP647" s="103"/>
      <c r="BQ647" s="103"/>
      <c r="BR647" s="103"/>
      <c r="BS647" s="103"/>
      <c r="BT647" s="103"/>
      <c r="BU647" s="103"/>
      <c r="BV647" s="103"/>
      <c r="BW647" s="103"/>
      <c r="BX647" s="103"/>
      <c r="BY647" s="103"/>
      <c r="BZ647" s="103"/>
      <c r="CA647" s="103"/>
      <c r="CB647" s="103"/>
      <c r="CC647" s="103"/>
      <c r="CD647" s="103"/>
      <c r="CE647" s="103"/>
      <c r="CF647" s="103"/>
      <c r="CG647" s="103"/>
      <c r="CH647" s="103"/>
      <c r="CI647" s="103"/>
      <c r="CJ647" s="103"/>
      <c r="CK647" s="103"/>
      <c r="CL647" s="103"/>
      <c r="CM647" s="103"/>
      <c r="CN647" s="103"/>
      <c r="CO647" s="103"/>
    </row>
    <row r="648" spans="1:93">
      <c r="A648" s="233"/>
      <c r="B648" s="101"/>
      <c r="C648" s="21" t="s">
        <v>699</v>
      </c>
      <c r="D648" s="69"/>
      <c r="E648" s="184">
        <f xml:space="preserve"> Предпосылки!E436</f>
        <v>0</v>
      </c>
      <c r="F648" s="11"/>
      <c r="G648" s="11" t="s">
        <v>692</v>
      </c>
      <c r="H648" s="69"/>
      <c r="I648" s="69"/>
      <c r="J648" s="69"/>
      <c r="K648" s="69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  <c r="Z648" s="103"/>
      <c r="AA648" s="103"/>
      <c r="AB648" s="103"/>
      <c r="AC648" s="103"/>
      <c r="AD648" s="103"/>
      <c r="AE648" s="103"/>
      <c r="AF648" s="103"/>
      <c r="AG648" s="103"/>
      <c r="AH648" s="103"/>
      <c r="AI648" s="103"/>
      <c r="AJ648" s="103"/>
      <c r="AK648" s="103"/>
      <c r="AL648" s="103"/>
      <c r="AM648" s="103"/>
      <c r="AN648" s="103"/>
      <c r="AO648" s="103"/>
      <c r="AP648" s="103"/>
      <c r="AQ648" s="103"/>
      <c r="AR648" s="103"/>
      <c r="AS648" s="103"/>
      <c r="AT648" s="103"/>
      <c r="AU648" s="103"/>
      <c r="AV648" s="103"/>
      <c r="AW648" s="103"/>
      <c r="AX648" s="103"/>
      <c r="AY648" s="103"/>
      <c r="AZ648" s="103"/>
      <c r="BA648" s="103"/>
      <c r="BB648" s="103"/>
      <c r="BC648" s="103"/>
      <c r="BD648" s="103"/>
      <c r="BE648" s="103"/>
      <c r="BF648" s="103"/>
      <c r="BG648" s="103"/>
      <c r="BH648" s="103"/>
      <c r="BI648" s="103"/>
      <c r="BJ648" s="103"/>
      <c r="BK648" s="103"/>
      <c r="BL648" s="103"/>
      <c r="BM648" s="103"/>
      <c r="BN648" s="103"/>
      <c r="BO648" s="103"/>
      <c r="BP648" s="103"/>
      <c r="BQ648" s="103"/>
      <c r="BR648" s="103"/>
      <c r="BS648" s="103"/>
      <c r="BT648" s="103"/>
      <c r="BU648" s="103"/>
      <c r="BV648" s="103"/>
      <c r="BW648" s="103"/>
      <c r="BX648" s="103"/>
      <c r="BY648" s="103"/>
      <c r="BZ648" s="103"/>
      <c r="CA648" s="103"/>
      <c r="CB648" s="103"/>
      <c r="CC648" s="103"/>
      <c r="CD648" s="103"/>
      <c r="CE648" s="103"/>
      <c r="CF648" s="103"/>
      <c r="CG648" s="103"/>
      <c r="CH648" s="103"/>
      <c r="CI648" s="103"/>
      <c r="CJ648" s="103"/>
      <c r="CK648" s="103"/>
      <c r="CL648" s="103"/>
      <c r="CM648" s="103"/>
      <c r="CN648" s="103"/>
      <c r="CO648" s="103"/>
    </row>
    <row r="649" spans="1:93">
      <c r="A649" s="233"/>
      <c r="B649" s="101"/>
      <c r="C649" s="21"/>
      <c r="D649" s="69"/>
      <c r="E649" s="62"/>
      <c r="F649" s="70"/>
      <c r="G649" s="11"/>
      <c r="H649" s="69"/>
      <c r="I649" s="69"/>
      <c r="J649" s="69"/>
      <c r="K649" s="69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  <c r="Z649" s="103"/>
      <c r="AA649" s="103"/>
      <c r="AB649" s="103"/>
      <c r="AC649" s="103"/>
      <c r="AD649" s="103"/>
      <c r="AE649" s="103"/>
      <c r="AF649" s="103"/>
      <c r="AG649" s="103"/>
      <c r="AH649" s="103"/>
      <c r="AI649" s="103"/>
      <c r="AJ649" s="103"/>
      <c r="AK649" s="103"/>
      <c r="AL649" s="103"/>
      <c r="AM649" s="103"/>
      <c r="AN649" s="103"/>
      <c r="AO649" s="103"/>
      <c r="AP649" s="103"/>
      <c r="AQ649" s="103"/>
      <c r="AR649" s="103"/>
      <c r="AS649" s="103"/>
      <c r="AT649" s="103"/>
      <c r="AU649" s="103"/>
      <c r="AV649" s="103"/>
      <c r="AW649" s="103"/>
      <c r="AX649" s="103"/>
      <c r="AY649" s="103"/>
      <c r="AZ649" s="103"/>
      <c r="BA649" s="103"/>
      <c r="BB649" s="103"/>
      <c r="BC649" s="103"/>
      <c r="BD649" s="103"/>
      <c r="BE649" s="103"/>
      <c r="BF649" s="103"/>
      <c r="BG649" s="103"/>
      <c r="BH649" s="103"/>
      <c r="BI649" s="103"/>
      <c r="BJ649" s="103"/>
      <c r="BK649" s="103"/>
      <c r="BL649" s="103"/>
      <c r="BM649" s="103"/>
      <c r="BN649" s="103"/>
      <c r="BO649" s="103"/>
      <c r="BP649" s="103"/>
      <c r="BQ649" s="103"/>
      <c r="BR649" s="103"/>
      <c r="BS649" s="103"/>
      <c r="BT649" s="103"/>
      <c r="BU649" s="103"/>
      <c r="BV649" s="103"/>
      <c r="BW649" s="103"/>
      <c r="BX649" s="103"/>
      <c r="BY649" s="103"/>
      <c r="BZ649" s="103"/>
      <c r="CA649" s="103"/>
      <c r="CB649" s="103"/>
      <c r="CC649" s="103"/>
      <c r="CD649" s="103"/>
      <c r="CE649" s="103"/>
      <c r="CF649" s="103"/>
      <c r="CG649" s="103"/>
      <c r="CH649" s="103"/>
      <c r="CI649" s="103"/>
      <c r="CJ649" s="103"/>
      <c r="CK649" s="103"/>
      <c r="CL649" s="103"/>
      <c r="CM649" s="103"/>
      <c r="CN649" s="103"/>
      <c r="CO649" s="103"/>
    </row>
    <row r="650" spans="1:93">
      <c r="A650" s="233"/>
      <c r="B650" s="101"/>
      <c r="C650" s="21" t="s">
        <v>1368</v>
      </c>
      <c r="D650" s="69"/>
      <c r="E650" s="184">
        <f xml:space="preserve"> Предпосылки!E438</f>
        <v>6796.0894500000013</v>
      </c>
      <c r="F650" s="11"/>
      <c r="G650" s="11" t="s">
        <v>666</v>
      </c>
      <c r="H650" s="69"/>
      <c r="I650" s="69"/>
      <c r="J650" s="69"/>
      <c r="K650" s="69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Z650" s="103"/>
      <c r="AA650" s="103"/>
      <c r="AB650" s="103"/>
      <c r="AC650" s="103"/>
      <c r="AD650" s="103"/>
      <c r="AE650" s="103"/>
      <c r="AF650" s="103"/>
      <c r="AG650" s="103"/>
      <c r="AH650" s="103"/>
      <c r="AI650" s="103"/>
      <c r="AJ650" s="103"/>
      <c r="AK650" s="103"/>
      <c r="AL650" s="103"/>
      <c r="AM650" s="103"/>
      <c r="AN650" s="103"/>
      <c r="AO650" s="103"/>
      <c r="AP650" s="103"/>
      <c r="AQ650" s="103"/>
      <c r="AR650" s="103"/>
      <c r="AS650" s="103"/>
      <c r="AT650" s="103"/>
      <c r="AU650" s="103"/>
      <c r="AV650" s="103"/>
      <c r="AW650" s="103"/>
      <c r="AX650" s="103"/>
      <c r="AY650" s="103"/>
      <c r="AZ650" s="103"/>
      <c r="BA650" s="103"/>
      <c r="BB650" s="103"/>
      <c r="BC650" s="103"/>
      <c r="BD650" s="103"/>
      <c r="BE650" s="103"/>
      <c r="BF650" s="103"/>
      <c r="BG650" s="103"/>
      <c r="BH650" s="103"/>
      <c r="BI650" s="103"/>
      <c r="BJ650" s="103"/>
      <c r="BK650" s="103"/>
      <c r="BL650" s="103"/>
      <c r="BM650" s="103"/>
      <c r="BN650" s="103"/>
      <c r="BO650" s="103"/>
      <c r="BP650" s="103"/>
      <c r="BQ650" s="103"/>
      <c r="BR650" s="103"/>
      <c r="BS650" s="103"/>
      <c r="BT650" s="103"/>
      <c r="BU650" s="103"/>
      <c r="BV650" s="103"/>
      <c r="BW650" s="103"/>
      <c r="BX650" s="103"/>
      <c r="BY650" s="103"/>
      <c r="BZ650" s="103"/>
      <c r="CA650" s="103"/>
      <c r="CB650" s="103"/>
      <c r="CC650" s="103"/>
      <c r="CD650" s="103"/>
      <c r="CE650" s="103"/>
      <c r="CF650" s="103"/>
      <c r="CG650" s="103"/>
      <c r="CH650" s="103"/>
      <c r="CI650" s="103"/>
      <c r="CJ650" s="103"/>
      <c r="CK650" s="103"/>
      <c r="CL650" s="103"/>
      <c r="CM650" s="103"/>
      <c r="CN650" s="103"/>
      <c r="CO650" s="103"/>
    </row>
    <row r="651" spans="1:93">
      <c r="A651" s="233"/>
      <c r="B651" s="101"/>
      <c r="C651" s="21" t="s">
        <v>696</v>
      </c>
      <c r="D651" s="69"/>
      <c r="E651" s="184">
        <f xml:space="preserve"> Предпосылки!E439</f>
        <v>2500</v>
      </c>
      <c r="F651" s="11"/>
      <c r="G651" s="11" t="s">
        <v>666</v>
      </c>
      <c r="H651" s="69"/>
      <c r="I651" s="69"/>
      <c r="J651" s="69"/>
      <c r="K651" s="69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Z651" s="103"/>
      <c r="AA651" s="103"/>
      <c r="AB651" s="103"/>
      <c r="AC651" s="103"/>
      <c r="AD651" s="103"/>
      <c r="AE651" s="103"/>
      <c r="AF651" s="103"/>
      <c r="AG651" s="103"/>
      <c r="AH651" s="103"/>
      <c r="AI651" s="103"/>
      <c r="AJ651" s="103"/>
      <c r="AK651" s="103"/>
      <c r="AL651" s="103"/>
      <c r="AM651" s="103"/>
      <c r="AN651" s="103"/>
      <c r="AO651" s="103"/>
      <c r="AP651" s="103"/>
      <c r="AQ651" s="103"/>
      <c r="AR651" s="103"/>
      <c r="AS651" s="103"/>
      <c r="AT651" s="103"/>
      <c r="AU651" s="103"/>
      <c r="AV651" s="103"/>
      <c r="AW651" s="103"/>
      <c r="AX651" s="103"/>
      <c r="AY651" s="103"/>
      <c r="AZ651" s="103"/>
      <c r="BA651" s="103"/>
      <c r="BB651" s="103"/>
      <c r="BC651" s="103"/>
      <c r="BD651" s="103"/>
      <c r="BE651" s="103"/>
      <c r="BF651" s="103"/>
      <c r="BG651" s="103"/>
      <c r="BH651" s="103"/>
      <c r="BI651" s="103"/>
      <c r="BJ651" s="103"/>
      <c r="BK651" s="103"/>
      <c r="BL651" s="103"/>
      <c r="BM651" s="103"/>
      <c r="BN651" s="103"/>
      <c r="BO651" s="103"/>
      <c r="BP651" s="103"/>
      <c r="BQ651" s="103"/>
      <c r="BR651" s="103"/>
      <c r="BS651" s="103"/>
      <c r="BT651" s="103"/>
      <c r="BU651" s="103"/>
      <c r="BV651" s="103"/>
      <c r="BW651" s="103"/>
      <c r="BX651" s="103"/>
      <c r="BY651" s="103"/>
      <c r="BZ651" s="103"/>
      <c r="CA651" s="103"/>
      <c r="CB651" s="103"/>
      <c r="CC651" s="103"/>
      <c r="CD651" s="103"/>
      <c r="CE651" s="103"/>
      <c r="CF651" s="103"/>
      <c r="CG651" s="103"/>
      <c r="CH651" s="103"/>
      <c r="CI651" s="103"/>
      <c r="CJ651" s="103"/>
      <c r="CK651" s="103"/>
      <c r="CL651" s="103"/>
      <c r="CM651" s="103"/>
      <c r="CN651" s="103"/>
      <c r="CO651" s="103"/>
    </row>
    <row r="652" spans="1:93">
      <c r="A652" s="233"/>
      <c r="B652" s="101"/>
      <c r="C652" s="21" t="s">
        <v>697</v>
      </c>
      <c r="D652" s="69"/>
      <c r="E652" s="184">
        <f xml:space="preserve"> Предпосылки!E440</f>
        <v>2500</v>
      </c>
      <c r="F652" s="11"/>
      <c r="G652" s="11" t="s">
        <v>666</v>
      </c>
      <c r="H652" s="69"/>
      <c r="I652" s="69"/>
      <c r="J652" s="69"/>
      <c r="K652" s="69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Z652" s="103"/>
      <c r="AA652" s="103"/>
      <c r="AB652" s="103"/>
      <c r="AC652" s="103"/>
      <c r="AD652" s="103"/>
      <c r="AE652" s="103"/>
      <c r="AF652" s="103"/>
      <c r="AG652" s="103"/>
      <c r="AH652" s="103"/>
      <c r="AI652" s="103"/>
      <c r="AJ652" s="103"/>
      <c r="AK652" s="103"/>
      <c r="AL652" s="103"/>
      <c r="AM652" s="103"/>
      <c r="AN652" s="103"/>
      <c r="AO652" s="103"/>
      <c r="AP652" s="103"/>
      <c r="AQ652" s="103"/>
      <c r="AR652" s="103"/>
      <c r="AS652" s="103"/>
      <c r="AT652" s="103"/>
      <c r="AU652" s="103"/>
      <c r="AV652" s="103"/>
      <c r="AW652" s="103"/>
      <c r="AX652" s="103"/>
      <c r="AY652" s="103"/>
      <c r="AZ652" s="103"/>
      <c r="BA652" s="103"/>
      <c r="BB652" s="103"/>
      <c r="BC652" s="103"/>
      <c r="BD652" s="103"/>
      <c r="BE652" s="103"/>
      <c r="BF652" s="103"/>
      <c r="BG652" s="103"/>
      <c r="BH652" s="103"/>
      <c r="BI652" s="103"/>
      <c r="BJ652" s="103"/>
      <c r="BK652" s="103"/>
      <c r="BL652" s="103"/>
      <c r="BM652" s="103"/>
      <c r="BN652" s="103"/>
      <c r="BO652" s="103"/>
      <c r="BP652" s="103"/>
      <c r="BQ652" s="103"/>
      <c r="BR652" s="103"/>
      <c r="BS652" s="103"/>
      <c r="BT652" s="103"/>
      <c r="BU652" s="103"/>
      <c r="BV652" s="103"/>
      <c r="BW652" s="103"/>
      <c r="BX652" s="103"/>
      <c r="BY652" s="103"/>
      <c r="BZ652" s="103"/>
      <c r="CA652" s="103"/>
      <c r="CB652" s="103"/>
      <c r="CC652" s="103"/>
      <c r="CD652" s="103"/>
      <c r="CE652" s="103"/>
      <c r="CF652" s="103"/>
      <c r="CG652" s="103"/>
      <c r="CH652" s="103"/>
      <c r="CI652" s="103"/>
      <c r="CJ652" s="103"/>
      <c r="CK652" s="103"/>
      <c r="CL652" s="103"/>
      <c r="CM652" s="103"/>
      <c r="CN652" s="103"/>
      <c r="CO652" s="103"/>
    </row>
    <row r="653" spans="1:93">
      <c r="A653" s="233"/>
      <c r="B653" s="101"/>
      <c r="C653" s="21" t="s">
        <v>698</v>
      </c>
      <c r="D653" s="69"/>
      <c r="E653" s="184">
        <f xml:space="preserve"> Предпосылки!E441</f>
        <v>1200</v>
      </c>
      <c r="F653" s="11"/>
      <c r="G653" s="11" t="s">
        <v>666</v>
      </c>
      <c r="H653" s="69"/>
      <c r="I653" s="69"/>
      <c r="J653" s="69"/>
      <c r="K653" s="69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  <c r="Z653" s="103"/>
      <c r="AA653" s="103"/>
      <c r="AB653" s="103"/>
      <c r="AC653" s="103"/>
      <c r="AD653" s="103"/>
      <c r="AE653" s="103"/>
      <c r="AF653" s="103"/>
      <c r="AG653" s="103"/>
      <c r="AH653" s="103"/>
      <c r="AI653" s="103"/>
      <c r="AJ653" s="103"/>
      <c r="AK653" s="103"/>
      <c r="AL653" s="103"/>
      <c r="AM653" s="103"/>
      <c r="AN653" s="103"/>
      <c r="AO653" s="103"/>
      <c r="AP653" s="103"/>
      <c r="AQ653" s="103"/>
      <c r="AR653" s="103"/>
      <c r="AS653" s="103"/>
      <c r="AT653" s="103"/>
      <c r="AU653" s="103"/>
      <c r="AV653" s="103"/>
      <c r="AW653" s="103"/>
      <c r="AX653" s="103"/>
      <c r="AY653" s="103"/>
      <c r="AZ653" s="103"/>
      <c r="BA653" s="103"/>
      <c r="BB653" s="103"/>
      <c r="BC653" s="103"/>
      <c r="BD653" s="103"/>
      <c r="BE653" s="103"/>
      <c r="BF653" s="103"/>
      <c r="BG653" s="103"/>
      <c r="BH653" s="103"/>
      <c r="BI653" s="103"/>
      <c r="BJ653" s="103"/>
      <c r="BK653" s="103"/>
      <c r="BL653" s="103"/>
      <c r="BM653" s="103"/>
      <c r="BN653" s="103"/>
      <c r="BO653" s="103"/>
      <c r="BP653" s="103"/>
      <c r="BQ653" s="103"/>
      <c r="BR653" s="103"/>
      <c r="BS653" s="103"/>
      <c r="BT653" s="103"/>
      <c r="BU653" s="103"/>
      <c r="BV653" s="103"/>
      <c r="BW653" s="103"/>
      <c r="BX653" s="103"/>
      <c r="BY653" s="103"/>
      <c r="BZ653" s="103"/>
      <c r="CA653" s="103"/>
      <c r="CB653" s="103"/>
      <c r="CC653" s="103"/>
      <c r="CD653" s="103"/>
      <c r="CE653" s="103"/>
      <c r="CF653" s="103"/>
      <c r="CG653" s="103"/>
      <c r="CH653" s="103"/>
      <c r="CI653" s="103"/>
      <c r="CJ653" s="103"/>
      <c r="CK653" s="103"/>
      <c r="CL653" s="103"/>
      <c r="CM653" s="103"/>
      <c r="CN653" s="103"/>
      <c r="CO653" s="103"/>
    </row>
    <row r="654" spans="1:93">
      <c r="A654" s="233"/>
      <c r="B654" s="101"/>
      <c r="C654" s="169"/>
      <c r="D654" s="69"/>
      <c r="E654" s="62"/>
      <c r="F654" s="70"/>
      <c r="G654" s="11"/>
      <c r="H654" s="69"/>
      <c r="I654" s="69"/>
      <c r="J654" s="69"/>
      <c r="K654" s="69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  <c r="Z654" s="103"/>
      <c r="AA654" s="103"/>
      <c r="AB654" s="103"/>
      <c r="AC654" s="103"/>
      <c r="AD654" s="103"/>
      <c r="AE654" s="103"/>
      <c r="AF654" s="103"/>
      <c r="AG654" s="103"/>
      <c r="AH654" s="103"/>
      <c r="AI654" s="103"/>
      <c r="AJ654" s="103"/>
      <c r="AK654" s="103"/>
      <c r="AL654" s="103"/>
      <c r="AM654" s="103"/>
      <c r="AN654" s="103"/>
      <c r="AO654" s="103"/>
      <c r="AP654" s="103"/>
      <c r="AQ654" s="103"/>
      <c r="AR654" s="103"/>
      <c r="AS654" s="103"/>
      <c r="AT654" s="103"/>
      <c r="AU654" s="103"/>
      <c r="AV654" s="103"/>
      <c r="AW654" s="103"/>
      <c r="AX654" s="103"/>
      <c r="AY654" s="103"/>
      <c r="AZ654" s="103"/>
      <c r="BA654" s="103"/>
      <c r="BB654" s="103"/>
      <c r="BC654" s="103"/>
      <c r="BD654" s="103"/>
      <c r="BE654" s="103"/>
      <c r="BF654" s="103"/>
      <c r="BG654" s="103"/>
      <c r="BH654" s="103"/>
      <c r="BI654" s="103"/>
      <c r="BJ654" s="103"/>
      <c r="BK654" s="103"/>
      <c r="BL654" s="103"/>
      <c r="BM654" s="103"/>
      <c r="BN654" s="103"/>
      <c r="BO654" s="103"/>
      <c r="BP654" s="103"/>
      <c r="BQ654" s="103"/>
      <c r="BR654" s="103"/>
      <c r="BS654" s="103"/>
      <c r="BT654" s="103"/>
      <c r="BU654" s="103"/>
      <c r="BV654" s="103"/>
      <c r="BW654" s="103"/>
      <c r="BX654" s="103"/>
      <c r="BY654" s="103"/>
      <c r="BZ654" s="103"/>
      <c r="CA654" s="103"/>
      <c r="CB654" s="103"/>
      <c r="CC654" s="103"/>
      <c r="CD654" s="103"/>
      <c r="CE654" s="103"/>
      <c r="CF654" s="103"/>
      <c r="CG654" s="103"/>
      <c r="CH654" s="103"/>
      <c r="CI654" s="103"/>
      <c r="CJ654" s="103"/>
      <c r="CK654" s="103"/>
      <c r="CL654" s="103"/>
      <c r="CM654" s="103"/>
      <c r="CN654" s="103"/>
      <c r="CO654" s="103"/>
    </row>
    <row r="655" spans="1:93" ht="16" thickBot="1">
      <c r="A655" s="233"/>
      <c r="B655" s="101"/>
      <c r="C655" s="12" t="s">
        <v>1196</v>
      </c>
      <c r="D655" s="12"/>
      <c r="E655" s="12"/>
      <c r="F655" s="12"/>
      <c r="G655" s="362"/>
      <c r="H655" s="12"/>
      <c r="I655" s="12"/>
      <c r="J655" s="69"/>
      <c r="K655" s="69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  <c r="Z655" s="103"/>
      <c r="AA655" s="103"/>
      <c r="AB655" s="103"/>
      <c r="AC655" s="103"/>
      <c r="AD655" s="103"/>
      <c r="AE655" s="103"/>
      <c r="AF655" s="103"/>
      <c r="AG655" s="103"/>
      <c r="AH655" s="103"/>
      <c r="AI655" s="103"/>
      <c r="AJ655" s="103"/>
      <c r="AK655" s="103"/>
      <c r="AL655" s="103"/>
      <c r="AM655" s="103"/>
      <c r="AN655" s="103"/>
      <c r="AO655" s="103"/>
      <c r="AP655" s="103"/>
      <c r="AQ655" s="103"/>
      <c r="AR655" s="103"/>
      <c r="AS655" s="103"/>
      <c r="AT655" s="103"/>
      <c r="AU655" s="103"/>
      <c r="AV655" s="103"/>
      <c r="AW655" s="103"/>
      <c r="AX655" s="103"/>
      <c r="AY655" s="103"/>
      <c r="AZ655" s="103"/>
      <c r="BA655" s="103"/>
      <c r="BB655" s="103"/>
      <c r="BC655" s="103"/>
      <c r="BD655" s="103"/>
      <c r="BE655" s="103"/>
      <c r="BF655" s="103"/>
      <c r="BG655" s="103"/>
      <c r="BH655" s="103"/>
      <c r="BI655" s="103"/>
      <c r="BJ655" s="103"/>
      <c r="BK655" s="103"/>
      <c r="BL655" s="103"/>
      <c r="BM655" s="103"/>
      <c r="BN655" s="103"/>
      <c r="BO655" s="103"/>
      <c r="BP655" s="103"/>
      <c r="BQ655" s="103"/>
      <c r="BR655" s="103"/>
      <c r="BS655" s="103"/>
      <c r="BT655" s="103"/>
      <c r="BU655" s="103"/>
      <c r="BV655" s="103"/>
      <c r="BW655" s="103"/>
      <c r="BX655" s="103"/>
      <c r="BY655" s="103"/>
      <c r="BZ655" s="103"/>
      <c r="CA655" s="103"/>
      <c r="CB655" s="103"/>
      <c r="CC655" s="103"/>
      <c r="CD655" s="103"/>
      <c r="CE655" s="103"/>
      <c r="CF655" s="103"/>
      <c r="CG655" s="103"/>
      <c r="CH655" s="103"/>
      <c r="CI655" s="103"/>
      <c r="CJ655" s="103"/>
      <c r="CK655" s="103"/>
      <c r="CL655" s="103"/>
      <c r="CM655" s="103"/>
      <c r="CN655" s="103"/>
      <c r="CO655" s="103"/>
    </row>
    <row r="656" spans="1:93">
      <c r="A656" s="233"/>
      <c r="B656" s="101"/>
      <c r="C656" s="169"/>
      <c r="D656" s="69"/>
      <c r="E656" s="62"/>
      <c r="F656" s="70"/>
      <c r="G656" s="11"/>
      <c r="H656" s="69"/>
      <c r="I656" s="69"/>
      <c r="J656" s="69"/>
      <c r="K656" s="69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  <c r="Z656" s="103"/>
      <c r="AA656" s="103"/>
      <c r="AB656" s="103"/>
      <c r="AC656" s="103"/>
      <c r="AD656" s="103"/>
      <c r="AE656" s="103"/>
      <c r="AF656" s="103"/>
      <c r="AG656" s="103"/>
      <c r="AH656" s="103"/>
      <c r="AI656" s="103"/>
      <c r="AJ656" s="103"/>
      <c r="AK656" s="103"/>
      <c r="AL656" s="103"/>
      <c r="AM656" s="103"/>
      <c r="AN656" s="103"/>
      <c r="AO656" s="103"/>
      <c r="AP656" s="103"/>
      <c r="AQ656" s="103"/>
      <c r="AR656" s="103"/>
      <c r="AS656" s="103"/>
      <c r="AT656" s="103"/>
      <c r="AU656" s="103"/>
      <c r="AV656" s="103"/>
      <c r="AW656" s="103"/>
      <c r="AX656" s="103"/>
      <c r="AY656" s="103"/>
      <c r="AZ656" s="103"/>
      <c r="BA656" s="103"/>
      <c r="BB656" s="103"/>
      <c r="BC656" s="103"/>
      <c r="BD656" s="103"/>
      <c r="BE656" s="103"/>
      <c r="BF656" s="103"/>
      <c r="BG656" s="103"/>
      <c r="BH656" s="103"/>
      <c r="BI656" s="103"/>
      <c r="BJ656" s="103"/>
      <c r="BK656" s="103"/>
      <c r="BL656" s="103"/>
      <c r="BM656" s="103"/>
      <c r="BN656" s="103"/>
      <c r="BO656" s="103"/>
      <c r="BP656" s="103"/>
      <c r="BQ656" s="103"/>
      <c r="BR656" s="103"/>
      <c r="BS656" s="103"/>
      <c r="BT656" s="103"/>
      <c r="BU656" s="103"/>
      <c r="BV656" s="103"/>
      <c r="BW656" s="103"/>
      <c r="BX656" s="103"/>
      <c r="BY656" s="103"/>
      <c r="BZ656" s="103"/>
      <c r="CA656" s="103"/>
      <c r="CB656" s="103"/>
      <c r="CC656" s="103"/>
      <c r="CD656" s="103"/>
      <c r="CE656" s="103"/>
      <c r="CF656" s="103"/>
      <c r="CG656" s="103"/>
      <c r="CH656" s="103"/>
      <c r="CI656" s="103"/>
      <c r="CJ656" s="103"/>
      <c r="CK656" s="103"/>
      <c r="CL656" s="103"/>
      <c r="CM656" s="103"/>
      <c r="CN656" s="103"/>
      <c r="CO656" s="103"/>
    </row>
    <row r="657" spans="1:93">
      <c r="A657" s="233"/>
      <c r="B657" s="101"/>
      <c r="C657" s="21" t="s">
        <v>1197</v>
      </c>
      <c r="D657" s="69"/>
      <c r="E657" s="196">
        <f xml:space="preserve"> Предпосылки!E445</f>
        <v>0.14000000000000001</v>
      </c>
      <c r="F657" s="70"/>
      <c r="G657" s="11" t="s">
        <v>28</v>
      </c>
      <c r="H657" s="69"/>
      <c r="I657" s="69"/>
      <c r="J657" s="69"/>
      <c r="K657" s="69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  <c r="Z657" s="103"/>
      <c r="AA657" s="103"/>
      <c r="AB657" s="103"/>
      <c r="AC657" s="103"/>
      <c r="AD657" s="103"/>
      <c r="AE657" s="103"/>
      <c r="AF657" s="103"/>
      <c r="AG657" s="103"/>
      <c r="AH657" s="103"/>
      <c r="AI657" s="103"/>
      <c r="AJ657" s="103"/>
      <c r="AK657" s="103"/>
      <c r="AL657" s="103"/>
      <c r="AM657" s="103"/>
      <c r="AN657" s="103"/>
      <c r="AO657" s="103"/>
      <c r="AP657" s="103"/>
      <c r="AQ657" s="103"/>
      <c r="AR657" s="103"/>
      <c r="AS657" s="103"/>
      <c r="AT657" s="103"/>
      <c r="AU657" s="103"/>
      <c r="AV657" s="103"/>
      <c r="AW657" s="103"/>
      <c r="AX657" s="103"/>
      <c r="AY657" s="103"/>
      <c r="AZ657" s="103"/>
      <c r="BA657" s="103"/>
      <c r="BB657" s="103"/>
      <c r="BC657" s="103"/>
      <c r="BD657" s="103"/>
      <c r="BE657" s="103"/>
      <c r="BF657" s="103"/>
      <c r="BG657" s="103"/>
      <c r="BH657" s="103"/>
      <c r="BI657" s="103"/>
      <c r="BJ657" s="103"/>
      <c r="BK657" s="103"/>
      <c r="BL657" s="103"/>
      <c r="BM657" s="103"/>
      <c r="BN657" s="103"/>
      <c r="BO657" s="103"/>
      <c r="BP657" s="103"/>
      <c r="BQ657" s="103"/>
      <c r="BR657" s="103"/>
      <c r="BS657" s="103"/>
      <c r="BT657" s="103"/>
      <c r="BU657" s="103"/>
      <c r="BV657" s="103"/>
      <c r="BW657" s="103"/>
      <c r="BX657" s="103"/>
      <c r="BY657" s="103"/>
      <c r="BZ657" s="103"/>
      <c r="CA657" s="103"/>
      <c r="CB657" s="103"/>
      <c r="CC657" s="103"/>
      <c r="CD657" s="103"/>
      <c r="CE657" s="103"/>
      <c r="CF657" s="103"/>
      <c r="CG657" s="103"/>
      <c r="CH657" s="103"/>
      <c r="CI657" s="103"/>
      <c r="CJ657" s="103"/>
      <c r="CK657" s="103"/>
      <c r="CL657" s="103"/>
      <c r="CM657" s="103"/>
      <c r="CN657" s="103"/>
      <c r="CO657" s="103"/>
    </row>
    <row r="658" spans="1:93">
      <c r="A658" s="233"/>
      <c r="B658" s="101"/>
      <c r="C658" s="169"/>
      <c r="D658" s="69"/>
      <c r="E658" s="62"/>
      <c r="F658" s="70"/>
      <c r="G658" s="11"/>
      <c r="H658" s="69"/>
      <c r="I658" s="69"/>
      <c r="J658" s="69"/>
      <c r="K658" s="69"/>
      <c r="L658" s="103"/>
      <c r="M658" s="103"/>
      <c r="N658" s="103"/>
      <c r="O658" s="103"/>
      <c r="P658" s="103"/>
      <c r="Q658" s="103"/>
      <c r="R658" s="103"/>
      <c r="S658" s="103"/>
      <c r="T658" s="103"/>
      <c r="U658" s="103"/>
      <c r="V658" s="103"/>
      <c r="W658" s="103"/>
      <c r="X658" s="103"/>
      <c r="Y658" s="103"/>
      <c r="Z658" s="103"/>
      <c r="AA658" s="103"/>
      <c r="AB658" s="103"/>
      <c r="AC658" s="103"/>
      <c r="AD658" s="103"/>
      <c r="AE658" s="103"/>
      <c r="AF658" s="103"/>
      <c r="AG658" s="103"/>
      <c r="AH658" s="103"/>
      <c r="AI658" s="103"/>
      <c r="AJ658" s="103"/>
      <c r="AK658" s="103"/>
      <c r="AL658" s="103"/>
      <c r="AM658" s="103"/>
      <c r="AN658" s="103"/>
      <c r="AO658" s="103"/>
      <c r="AP658" s="103"/>
      <c r="AQ658" s="103"/>
      <c r="AR658" s="103"/>
      <c r="AS658" s="103"/>
      <c r="AT658" s="103"/>
      <c r="AU658" s="103"/>
      <c r="AV658" s="103"/>
      <c r="AW658" s="103"/>
      <c r="AX658" s="103"/>
      <c r="AY658" s="103"/>
      <c r="AZ658" s="103"/>
      <c r="BA658" s="103"/>
      <c r="BB658" s="103"/>
      <c r="BC658" s="103"/>
      <c r="BD658" s="103"/>
      <c r="BE658" s="103"/>
      <c r="BF658" s="103"/>
      <c r="BG658" s="103"/>
      <c r="BH658" s="103"/>
      <c r="BI658" s="103"/>
      <c r="BJ658" s="103"/>
      <c r="BK658" s="103"/>
      <c r="BL658" s="103"/>
      <c r="BM658" s="103"/>
      <c r="BN658" s="103"/>
      <c r="BO658" s="103"/>
      <c r="BP658" s="103"/>
      <c r="BQ658" s="103"/>
      <c r="BR658" s="103"/>
      <c r="BS658" s="103"/>
      <c r="BT658" s="103"/>
      <c r="BU658" s="103"/>
      <c r="BV658" s="103"/>
      <c r="BW658" s="103"/>
      <c r="BX658" s="103"/>
      <c r="BY658" s="103"/>
      <c r="BZ658" s="103"/>
      <c r="CA658" s="103"/>
      <c r="CB658" s="103"/>
      <c r="CC658" s="103"/>
      <c r="CD658" s="103"/>
      <c r="CE658" s="103"/>
      <c r="CF658" s="103"/>
      <c r="CG658" s="103"/>
      <c r="CH658" s="103"/>
      <c r="CI658" s="103"/>
      <c r="CJ658" s="103"/>
      <c r="CK658" s="103"/>
      <c r="CL658" s="103"/>
      <c r="CM658" s="103"/>
      <c r="CN658" s="103"/>
      <c r="CO658" s="103"/>
    </row>
    <row r="659" spans="1:93" ht="16" thickBot="1">
      <c r="A659" s="233"/>
      <c r="B659" s="101"/>
      <c r="C659" s="12" t="s">
        <v>883</v>
      </c>
      <c r="D659" s="12"/>
      <c r="E659" s="12"/>
      <c r="F659" s="12"/>
      <c r="G659" s="362"/>
      <c r="H659" s="12"/>
      <c r="I659" s="12"/>
      <c r="J659" s="69"/>
      <c r="K659" s="69"/>
      <c r="L659" s="103"/>
      <c r="M659" s="103"/>
      <c r="N659" s="103"/>
      <c r="O659" s="103"/>
      <c r="P659" s="103"/>
      <c r="Q659" s="103"/>
      <c r="R659" s="103"/>
      <c r="S659" s="103"/>
      <c r="T659" s="103"/>
      <c r="U659" s="103"/>
      <c r="V659" s="103"/>
      <c r="W659" s="103"/>
      <c r="X659" s="103"/>
      <c r="Y659" s="103"/>
      <c r="Z659" s="103"/>
      <c r="AA659" s="103"/>
      <c r="AB659" s="103"/>
      <c r="AC659" s="103"/>
      <c r="AD659" s="103"/>
      <c r="AE659" s="103"/>
      <c r="AF659" s="103"/>
      <c r="AG659" s="103"/>
      <c r="AH659" s="103"/>
      <c r="AI659" s="103"/>
      <c r="AJ659" s="103"/>
      <c r="AK659" s="103"/>
      <c r="AL659" s="103"/>
      <c r="AM659" s="103"/>
      <c r="AN659" s="103"/>
      <c r="AO659" s="103"/>
      <c r="AP659" s="103"/>
      <c r="AQ659" s="103"/>
      <c r="AR659" s="103"/>
      <c r="AS659" s="103"/>
      <c r="AT659" s="103"/>
      <c r="AU659" s="103"/>
      <c r="AV659" s="103"/>
      <c r="AW659" s="103"/>
      <c r="AX659" s="103"/>
      <c r="AY659" s="103"/>
      <c r="AZ659" s="103"/>
      <c r="BA659" s="103"/>
      <c r="BB659" s="103"/>
      <c r="BC659" s="103"/>
      <c r="BD659" s="103"/>
      <c r="BE659" s="103"/>
      <c r="BF659" s="103"/>
      <c r="BG659" s="103"/>
      <c r="BH659" s="103"/>
      <c r="BI659" s="103"/>
      <c r="BJ659" s="103"/>
      <c r="BK659" s="103"/>
      <c r="BL659" s="103"/>
      <c r="BM659" s="103"/>
      <c r="BN659" s="103"/>
      <c r="BO659" s="103"/>
      <c r="BP659" s="103"/>
      <c r="BQ659" s="103"/>
      <c r="BR659" s="103"/>
      <c r="BS659" s="103"/>
      <c r="BT659" s="103"/>
      <c r="BU659" s="103"/>
      <c r="BV659" s="103"/>
      <c r="BW659" s="103"/>
      <c r="BX659" s="103"/>
      <c r="BY659" s="103"/>
      <c r="BZ659" s="103"/>
      <c r="CA659" s="103"/>
      <c r="CB659" s="103"/>
      <c r="CC659" s="103"/>
      <c r="CD659" s="103"/>
      <c r="CE659" s="103"/>
      <c r="CF659" s="103"/>
      <c r="CG659" s="103"/>
      <c r="CH659" s="103"/>
      <c r="CI659" s="103"/>
      <c r="CJ659" s="103"/>
      <c r="CK659" s="103"/>
      <c r="CL659" s="103"/>
      <c r="CM659" s="103"/>
      <c r="CN659" s="103"/>
      <c r="CO659" s="103"/>
    </row>
    <row r="660" spans="1:93">
      <c r="A660" s="233"/>
      <c r="B660" s="101"/>
      <c r="C660" s="169"/>
      <c r="D660" s="69"/>
      <c r="E660" s="62"/>
      <c r="F660" s="70"/>
      <c r="G660" s="11"/>
      <c r="H660" s="69"/>
      <c r="I660" s="69"/>
      <c r="J660" s="69"/>
      <c r="K660" s="69"/>
      <c r="L660" s="103"/>
      <c r="M660" s="103"/>
      <c r="N660" s="103"/>
      <c r="O660" s="103"/>
      <c r="P660" s="103"/>
      <c r="Q660" s="103"/>
      <c r="R660" s="103"/>
      <c r="S660" s="103"/>
      <c r="T660" s="103"/>
      <c r="U660" s="103"/>
      <c r="V660" s="103"/>
      <c r="W660" s="103"/>
      <c r="X660" s="103"/>
      <c r="Y660" s="103"/>
      <c r="Z660" s="103"/>
      <c r="AA660" s="103"/>
      <c r="AB660" s="103"/>
      <c r="AC660" s="103"/>
      <c r="AD660" s="103"/>
      <c r="AE660" s="103"/>
      <c r="AF660" s="103"/>
      <c r="AG660" s="103"/>
      <c r="AH660" s="103"/>
      <c r="AI660" s="103"/>
      <c r="AJ660" s="103"/>
      <c r="AK660" s="103"/>
      <c r="AL660" s="103"/>
      <c r="AM660" s="103"/>
      <c r="AN660" s="103"/>
      <c r="AO660" s="103"/>
      <c r="AP660" s="103"/>
      <c r="AQ660" s="103"/>
      <c r="AR660" s="103"/>
      <c r="AS660" s="103"/>
      <c r="AT660" s="103"/>
      <c r="AU660" s="103"/>
      <c r="AV660" s="103"/>
      <c r="AW660" s="103"/>
      <c r="AX660" s="103"/>
      <c r="AY660" s="103"/>
      <c r="AZ660" s="103"/>
      <c r="BA660" s="103"/>
      <c r="BB660" s="103"/>
      <c r="BC660" s="103"/>
      <c r="BD660" s="103"/>
      <c r="BE660" s="103"/>
      <c r="BF660" s="103"/>
      <c r="BG660" s="103"/>
      <c r="BH660" s="103"/>
      <c r="BI660" s="103"/>
      <c r="BJ660" s="103"/>
      <c r="BK660" s="103"/>
      <c r="BL660" s="103"/>
      <c r="BM660" s="103"/>
      <c r="BN660" s="103"/>
      <c r="BO660" s="103"/>
      <c r="BP660" s="103"/>
      <c r="BQ660" s="103"/>
      <c r="BR660" s="103"/>
      <c r="BS660" s="103"/>
      <c r="BT660" s="103"/>
      <c r="BU660" s="103"/>
      <c r="BV660" s="103"/>
      <c r="BW660" s="103"/>
      <c r="BX660" s="103"/>
      <c r="BY660" s="103"/>
      <c r="BZ660" s="103"/>
      <c r="CA660" s="103"/>
      <c r="CB660" s="103"/>
      <c r="CC660" s="103"/>
      <c r="CD660" s="103"/>
      <c r="CE660" s="103"/>
      <c r="CF660" s="103"/>
      <c r="CG660" s="103"/>
      <c r="CH660" s="103"/>
      <c r="CI660" s="103"/>
      <c r="CJ660" s="103"/>
      <c r="CK660" s="103"/>
      <c r="CL660" s="103"/>
      <c r="CM660" s="103"/>
      <c r="CN660" s="103"/>
      <c r="CO660" s="103"/>
    </row>
    <row r="661" spans="1:93">
      <c r="A661" s="233"/>
      <c r="B661" s="101"/>
      <c r="C661" s="17" t="s">
        <v>688</v>
      </c>
      <c r="D661" s="69"/>
      <c r="E661" s="62">
        <f xml:space="preserve"> E630</f>
        <v>15632.78016228542</v>
      </c>
      <c r="F661" s="70"/>
      <c r="G661" s="11" t="s">
        <v>666</v>
      </c>
      <c r="H661" s="69"/>
      <c r="I661" s="69"/>
      <c r="J661" s="69"/>
      <c r="K661" s="69"/>
      <c r="L661" s="103"/>
      <c r="M661" s="103"/>
      <c r="N661" s="103"/>
      <c r="O661" s="103"/>
      <c r="P661" s="103"/>
      <c r="Q661" s="103"/>
      <c r="R661" s="103"/>
      <c r="S661" s="103"/>
      <c r="T661" s="103"/>
      <c r="U661" s="103"/>
      <c r="V661" s="103"/>
      <c r="W661" s="103"/>
      <c r="X661" s="103"/>
      <c r="Y661" s="103"/>
      <c r="Z661" s="103"/>
      <c r="AA661" s="103"/>
      <c r="AB661" s="103"/>
      <c r="AC661" s="103"/>
      <c r="AD661" s="103"/>
      <c r="AE661" s="103"/>
      <c r="AF661" s="103"/>
      <c r="AG661" s="103"/>
      <c r="AH661" s="103"/>
      <c r="AI661" s="103"/>
      <c r="AJ661" s="103"/>
      <c r="AK661" s="103"/>
      <c r="AL661" s="103"/>
      <c r="AM661" s="103"/>
      <c r="AN661" s="103"/>
      <c r="AO661" s="103"/>
      <c r="AP661" s="103"/>
      <c r="AQ661" s="103"/>
      <c r="AR661" s="103"/>
      <c r="AS661" s="103"/>
      <c r="AT661" s="103"/>
      <c r="AU661" s="103"/>
      <c r="AV661" s="103"/>
      <c r="AW661" s="103"/>
      <c r="AX661" s="103"/>
      <c r="AY661" s="103"/>
      <c r="AZ661" s="103"/>
      <c r="BA661" s="103"/>
      <c r="BB661" s="103"/>
      <c r="BC661" s="103"/>
      <c r="BD661" s="103"/>
      <c r="BE661" s="103"/>
      <c r="BF661" s="103"/>
      <c r="BG661" s="103"/>
      <c r="BH661" s="103"/>
      <c r="BI661" s="103"/>
      <c r="BJ661" s="103"/>
      <c r="BK661" s="103"/>
      <c r="BL661" s="103"/>
      <c r="BM661" s="103"/>
      <c r="BN661" s="103"/>
      <c r="BO661" s="103"/>
      <c r="BP661" s="103"/>
      <c r="BQ661" s="103"/>
      <c r="BR661" s="103"/>
      <c r="BS661" s="103"/>
      <c r="BT661" s="103"/>
      <c r="BU661" s="103"/>
      <c r="BV661" s="103"/>
      <c r="BW661" s="103"/>
      <c r="BX661" s="103"/>
      <c r="BY661" s="103"/>
      <c r="BZ661" s="103"/>
      <c r="CA661" s="103"/>
      <c r="CB661" s="103"/>
      <c r="CC661" s="103"/>
      <c r="CD661" s="103"/>
      <c r="CE661" s="103"/>
      <c r="CF661" s="103"/>
      <c r="CG661" s="103"/>
      <c r="CH661" s="103"/>
      <c r="CI661" s="103"/>
      <c r="CJ661" s="103"/>
      <c r="CK661" s="103"/>
      <c r="CL661" s="103"/>
      <c r="CM661" s="103"/>
      <c r="CN661" s="103"/>
      <c r="CO661" s="103"/>
    </row>
    <row r="662" spans="1:93">
      <c r="A662" s="233"/>
      <c r="B662" s="101"/>
      <c r="C662" s="17" t="s">
        <v>676</v>
      </c>
      <c r="D662" s="69"/>
      <c r="E662" s="62">
        <f xml:space="preserve"> E592</f>
        <v>200</v>
      </c>
      <c r="F662" s="70"/>
      <c r="G662" s="11" t="s">
        <v>643</v>
      </c>
      <c r="H662" s="69"/>
      <c r="I662" s="69"/>
      <c r="J662" s="69"/>
      <c r="K662" s="69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  <c r="Z662" s="103"/>
      <c r="AA662" s="103"/>
      <c r="AB662" s="103"/>
      <c r="AC662" s="103"/>
      <c r="AD662" s="103"/>
      <c r="AE662" s="103"/>
      <c r="AF662" s="103"/>
      <c r="AG662" s="103"/>
      <c r="AH662" s="103"/>
      <c r="AI662" s="103"/>
      <c r="AJ662" s="103"/>
      <c r="AK662" s="103"/>
      <c r="AL662" s="103"/>
      <c r="AM662" s="103"/>
      <c r="AN662" s="103"/>
      <c r="AO662" s="103"/>
      <c r="AP662" s="103"/>
      <c r="AQ662" s="103"/>
      <c r="AR662" s="103"/>
      <c r="AS662" s="103"/>
      <c r="AT662" s="103"/>
      <c r="AU662" s="103"/>
      <c r="AV662" s="103"/>
      <c r="AW662" s="103"/>
      <c r="AX662" s="103"/>
      <c r="AY662" s="103"/>
      <c r="AZ662" s="103"/>
      <c r="BA662" s="103"/>
      <c r="BB662" s="103"/>
      <c r="BC662" s="103"/>
      <c r="BD662" s="103"/>
      <c r="BE662" s="103"/>
      <c r="BF662" s="103"/>
      <c r="BG662" s="103"/>
      <c r="BH662" s="103"/>
      <c r="BI662" s="103"/>
      <c r="BJ662" s="103"/>
      <c r="BK662" s="103"/>
      <c r="BL662" s="103"/>
      <c r="BM662" s="103"/>
      <c r="BN662" s="103"/>
      <c r="BO662" s="103"/>
      <c r="BP662" s="103"/>
      <c r="BQ662" s="103"/>
      <c r="BR662" s="103"/>
      <c r="BS662" s="103"/>
      <c r="BT662" s="103"/>
      <c r="BU662" s="103"/>
      <c r="BV662" s="103"/>
      <c r="BW662" s="103"/>
      <c r="BX662" s="103"/>
      <c r="BY662" s="103"/>
      <c r="BZ662" s="103"/>
      <c r="CA662" s="103"/>
      <c r="CB662" s="103"/>
      <c r="CC662" s="103"/>
      <c r="CD662" s="103"/>
      <c r="CE662" s="103"/>
      <c r="CF662" s="103"/>
      <c r="CG662" s="103"/>
      <c r="CH662" s="103"/>
      <c r="CI662" s="103"/>
      <c r="CJ662" s="103"/>
      <c r="CK662" s="103"/>
      <c r="CL662" s="103"/>
      <c r="CM662" s="103"/>
      <c r="CN662" s="103"/>
      <c r="CO662" s="103"/>
    </row>
    <row r="663" spans="1:93">
      <c r="A663" s="233"/>
      <c r="B663" s="101"/>
      <c r="C663" s="17" t="s">
        <v>653</v>
      </c>
      <c r="D663" s="69"/>
      <c r="E663" s="106">
        <f xml:space="preserve"> E522</f>
        <v>0.65</v>
      </c>
      <c r="F663" s="70"/>
      <c r="G663" s="11" t="s">
        <v>28</v>
      </c>
      <c r="H663" s="69"/>
      <c r="I663" s="69"/>
      <c r="J663" s="69"/>
      <c r="K663" s="69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  <c r="Z663" s="103"/>
      <c r="AA663" s="103"/>
      <c r="AB663" s="103"/>
      <c r="AC663" s="103"/>
      <c r="AD663" s="103"/>
      <c r="AE663" s="103"/>
      <c r="AF663" s="103"/>
      <c r="AG663" s="103"/>
      <c r="AH663" s="103"/>
      <c r="AI663" s="103"/>
      <c r="AJ663" s="103"/>
      <c r="AK663" s="103"/>
      <c r="AL663" s="103"/>
      <c r="AM663" s="103"/>
      <c r="AN663" s="103"/>
      <c r="AO663" s="103"/>
      <c r="AP663" s="103"/>
      <c r="AQ663" s="103"/>
      <c r="AR663" s="103"/>
      <c r="AS663" s="103"/>
      <c r="AT663" s="103"/>
      <c r="AU663" s="103"/>
      <c r="AV663" s="103"/>
      <c r="AW663" s="103"/>
      <c r="AX663" s="103"/>
      <c r="AY663" s="103"/>
      <c r="AZ663" s="103"/>
      <c r="BA663" s="103"/>
      <c r="BB663" s="103"/>
      <c r="BC663" s="103"/>
      <c r="BD663" s="103"/>
      <c r="BE663" s="103"/>
      <c r="BF663" s="103"/>
      <c r="BG663" s="103"/>
      <c r="BH663" s="103"/>
      <c r="BI663" s="103"/>
      <c r="BJ663" s="103"/>
      <c r="BK663" s="103"/>
      <c r="BL663" s="103"/>
      <c r="BM663" s="103"/>
      <c r="BN663" s="103"/>
      <c r="BO663" s="103"/>
      <c r="BP663" s="103"/>
      <c r="BQ663" s="103"/>
      <c r="BR663" s="103"/>
      <c r="BS663" s="103"/>
      <c r="BT663" s="103"/>
      <c r="BU663" s="103"/>
      <c r="BV663" s="103"/>
      <c r="BW663" s="103"/>
      <c r="BX663" s="103"/>
      <c r="BY663" s="103"/>
      <c r="BZ663" s="103"/>
      <c r="CA663" s="103"/>
      <c r="CB663" s="103"/>
      <c r="CC663" s="103"/>
      <c r="CD663" s="103"/>
      <c r="CE663" s="103"/>
      <c r="CF663" s="103"/>
      <c r="CG663" s="103"/>
      <c r="CH663" s="103"/>
      <c r="CI663" s="103"/>
      <c r="CJ663" s="103"/>
      <c r="CK663" s="103"/>
      <c r="CL663" s="103"/>
      <c r="CM663" s="103"/>
      <c r="CN663" s="103"/>
      <c r="CO663" s="103"/>
    </row>
    <row r="664" spans="1:93">
      <c r="A664" s="233"/>
      <c r="B664" s="101"/>
      <c r="C664" s="249" t="s">
        <v>702</v>
      </c>
      <c r="D664" s="235"/>
      <c r="E664" s="236">
        <f xml:space="preserve"> E661 * E662 * E663</f>
        <v>2032261.4210971047</v>
      </c>
      <c r="F664" s="237"/>
      <c r="G664" s="230" t="s">
        <v>666</v>
      </c>
      <c r="H664" s="69"/>
      <c r="I664" s="69"/>
      <c r="J664" s="69"/>
      <c r="K664" s="69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  <c r="Z664" s="103"/>
      <c r="AA664" s="103"/>
      <c r="AB664" s="103"/>
      <c r="AC664" s="103"/>
      <c r="AD664" s="103"/>
      <c r="AE664" s="103"/>
      <c r="AF664" s="103"/>
      <c r="AG664" s="103"/>
      <c r="AH664" s="103"/>
      <c r="AI664" s="103"/>
      <c r="AJ664" s="103"/>
      <c r="AK664" s="103"/>
      <c r="AL664" s="103"/>
      <c r="AM664" s="103"/>
      <c r="AN664" s="103"/>
      <c r="AO664" s="103"/>
      <c r="AP664" s="103"/>
      <c r="AQ664" s="103"/>
      <c r="AR664" s="103"/>
      <c r="AS664" s="103"/>
      <c r="AT664" s="103"/>
      <c r="AU664" s="103"/>
      <c r="AV664" s="103"/>
      <c r="AW664" s="103"/>
      <c r="AX664" s="103"/>
      <c r="AY664" s="103"/>
      <c r="AZ664" s="103"/>
      <c r="BA664" s="103"/>
      <c r="BB664" s="103"/>
      <c r="BC664" s="103"/>
      <c r="BD664" s="103"/>
      <c r="BE664" s="103"/>
      <c r="BF664" s="103"/>
      <c r="BG664" s="103"/>
      <c r="BH664" s="103"/>
      <c r="BI664" s="103"/>
      <c r="BJ664" s="103"/>
      <c r="BK664" s="103"/>
      <c r="BL664" s="103"/>
      <c r="BM664" s="103"/>
      <c r="BN664" s="103"/>
      <c r="BO664" s="103"/>
      <c r="BP664" s="103"/>
      <c r="BQ664" s="103"/>
      <c r="BR664" s="103"/>
      <c r="BS664" s="103"/>
      <c r="BT664" s="103"/>
      <c r="BU664" s="103"/>
      <c r="BV664" s="103"/>
      <c r="BW664" s="103"/>
      <c r="BX664" s="103"/>
      <c r="BY664" s="103"/>
      <c r="BZ664" s="103"/>
      <c r="CA664" s="103"/>
      <c r="CB664" s="103"/>
      <c r="CC664" s="103"/>
      <c r="CD664" s="103"/>
      <c r="CE664" s="103"/>
      <c r="CF664" s="103"/>
      <c r="CG664" s="103"/>
      <c r="CH664" s="103"/>
      <c r="CI664" s="103"/>
      <c r="CJ664" s="103"/>
      <c r="CK664" s="103"/>
      <c r="CL664" s="103"/>
      <c r="CM664" s="103"/>
      <c r="CN664" s="103"/>
      <c r="CO664" s="103"/>
    </row>
    <row r="665" spans="1:93">
      <c r="A665" s="233"/>
      <c r="B665" s="101"/>
      <c r="C665" s="169"/>
      <c r="D665" s="69"/>
      <c r="E665" s="106"/>
      <c r="F665" s="70"/>
      <c r="G665" s="11"/>
      <c r="H665" s="69"/>
      <c r="I665" s="69"/>
      <c r="J665" s="69"/>
      <c r="K665" s="69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Z665" s="103"/>
      <c r="AA665" s="103"/>
      <c r="AB665" s="103"/>
      <c r="AC665" s="103"/>
      <c r="AD665" s="103"/>
      <c r="AE665" s="103"/>
      <c r="AF665" s="103"/>
      <c r="AG665" s="103"/>
      <c r="AH665" s="103"/>
      <c r="AI665" s="103"/>
      <c r="AJ665" s="103"/>
      <c r="AK665" s="103"/>
      <c r="AL665" s="103"/>
      <c r="AM665" s="103"/>
      <c r="AN665" s="103"/>
      <c r="AO665" s="103"/>
      <c r="AP665" s="103"/>
      <c r="AQ665" s="103"/>
      <c r="AR665" s="103"/>
      <c r="AS665" s="103"/>
      <c r="AT665" s="103"/>
      <c r="AU665" s="103"/>
      <c r="AV665" s="103"/>
      <c r="AW665" s="103"/>
      <c r="AX665" s="103"/>
      <c r="AY665" s="103"/>
      <c r="AZ665" s="103"/>
      <c r="BA665" s="103"/>
      <c r="BB665" s="103"/>
      <c r="BC665" s="103"/>
      <c r="BD665" s="103"/>
      <c r="BE665" s="103"/>
      <c r="BF665" s="103"/>
      <c r="BG665" s="103"/>
      <c r="BH665" s="103"/>
      <c r="BI665" s="103"/>
      <c r="BJ665" s="103"/>
      <c r="BK665" s="103"/>
      <c r="BL665" s="103"/>
      <c r="BM665" s="103"/>
      <c r="BN665" s="103"/>
      <c r="BO665" s="103"/>
      <c r="BP665" s="103"/>
      <c r="BQ665" s="103"/>
      <c r="BR665" s="103"/>
      <c r="BS665" s="103"/>
      <c r="BT665" s="103"/>
      <c r="BU665" s="103"/>
      <c r="BV665" s="103"/>
      <c r="BW665" s="103"/>
      <c r="BX665" s="103"/>
      <c r="BY665" s="103"/>
      <c r="BZ665" s="103"/>
      <c r="CA665" s="103"/>
      <c r="CB665" s="103"/>
      <c r="CC665" s="103"/>
      <c r="CD665" s="103"/>
      <c r="CE665" s="103"/>
      <c r="CF665" s="103"/>
      <c r="CG665" s="103"/>
      <c r="CH665" s="103"/>
      <c r="CI665" s="103"/>
      <c r="CJ665" s="103"/>
      <c r="CK665" s="103"/>
      <c r="CL665" s="103"/>
      <c r="CM665" s="103"/>
      <c r="CN665" s="103"/>
      <c r="CO665" s="103"/>
    </row>
    <row r="666" spans="1:93">
      <c r="A666" s="233"/>
      <c r="B666" s="101"/>
      <c r="C666" s="17" t="s">
        <v>703</v>
      </c>
      <c r="D666" s="69"/>
      <c r="E666" s="62">
        <f xml:space="preserve"> E650 * ($E$637 * E640 + E645)</f>
        <v>2285895.2822125056</v>
      </c>
      <c r="F666" s="511">
        <f>E666*100/$E$670/100</f>
        <v>0.84926363089873003</v>
      </c>
      <c r="G666" s="11" t="s">
        <v>666</v>
      </c>
      <c r="H666" s="69"/>
      <c r="I666" s="69"/>
      <c r="J666" s="69"/>
      <c r="K666" s="69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Z666" s="103"/>
      <c r="AA666" s="103"/>
      <c r="AB666" s="103"/>
      <c r="AC666" s="103"/>
      <c r="AD666" s="103"/>
      <c r="AE666" s="103"/>
      <c r="AF666" s="103"/>
      <c r="AG666" s="103"/>
      <c r="AH666" s="103"/>
      <c r="AI666" s="103"/>
      <c r="AJ666" s="103"/>
      <c r="AK666" s="103"/>
      <c r="AL666" s="103"/>
      <c r="AM666" s="103"/>
      <c r="AN666" s="103"/>
      <c r="AO666" s="103"/>
      <c r="AP666" s="103"/>
      <c r="AQ666" s="103"/>
      <c r="AR666" s="103"/>
      <c r="AS666" s="103"/>
      <c r="AT666" s="103"/>
      <c r="AU666" s="103"/>
      <c r="AV666" s="103"/>
      <c r="AW666" s="103"/>
      <c r="AX666" s="103"/>
      <c r="AY666" s="103"/>
      <c r="AZ666" s="103"/>
      <c r="BA666" s="103"/>
      <c r="BB666" s="103"/>
      <c r="BC666" s="103"/>
      <c r="BD666" s="103"/>
      <c r="BE666" s="103"/>
      <c r="BF666" s="103"/>
      <c r="BG666" s="103"/>
      <c r="BH666" s="103"/>
      <c r="BI666" s="103"/>
      <c r="BJ666" s="103"/>
      <c r="BK666" s="103"/>
      <c r="BL666" s="103"/>
      <c r="BM666" s="103"/>
      <c r="BN666" s="103"/>
      <c r="BO666" s="103"/>
      <c r="BP666" s="103"/>
      <c r="BQ666" s="103"/>
      <c r="BR666" s="103"/>
      <c r="BS666" s="103"/>
      <c r="BT666" s="103"/>
      <c r="BU666" s="103"/>
      <c r="BV666" s="103"/>
      <c r="BW666" s="103"/>
      <c r="BX666" s="103"/>
      <c r="BY666" s="103"/>
      <c r="BZ666" s="103"/>
      <c r="CA666" s="103"/>
      <c r="CB666" s="103"/>
      <c r="CC666" s="103"/>
      <c r="CD666" s="103"/>
      <c r="CE666" s="103"/>
      <c r="CF666" s="103"/>
      <c r="CG666" s="103"/>
      <c r="CH666" s="103"/>
      <c r="CI666" s="103"/>
      <c r="CJ666" s="103"/>
      <c r="CK666" s="103"/>
      <c r="CL666" s="103"/>
      <c r="CM666" s="103"/>
      <c r="CN666" s="103"/>
      <c r="CO666" s="103"/>
    </row>
    <row r="667" spans="1:93">
      <c r="A667" s="233"/>
      <c r="B667" s="101"/>
      <c r="C667" s="17" t="s">
        <v>704</v>
      </c>
      <c r="D667" s="69"/>
      <c r="E667" s="62">
        <f xml:space="preserve"> E651 * ($E$637 * E641 + E646)</f>
        <v>125000</v>
      </c>
      <c r="F667" s="511">
        <f t="shared" ref="F667:F669" si="5698">E667*100/$E$670/100</f>
        <v>4.6440427384578854E-2</v>
      </c>
      <c r="G667" s="11" t="s">
        <v>666</v>
      </c>
      <c r="H667" s="69"/>
      <c r="I667" s="69"/>
      <c r="J667" s="69"/>
      <c r="K667" s="69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Z667" s="103"/>
      <c r="AA667" s="103"/>
      <c r="AB667" s="103"/>
      <c r="AC667" s="103"/>
      <c r="AD667" s="103"/>
      <c r="AE667" s="103"/>
      <c r="AF667" s="103"/>
      <c r="AG667" s="103"/>
      <c r="AH667" s="103"/>
      <c r="AI667" s="103"/>
      <c r="AJ667" s="103"/>
      <c r="AK667" s="103"/>
      <c r="AL667" s="103"/>
      <c r="AM667" s="103"/>
      <c r="AN667" s="103"/>
      <c r="AO667" s="103"/>
      <c r="AP667" s="103"/>
      <c r="AQ667" s="103"/>
      <c r="AR667" s="103"/>
      <c r="AS667" s="103"/>
      <c r="AT667" s="103"/>
      <c r="AU667" s="103"/>
      <c r="AV667" s="103"/>
      <c r="AW667" s="103"/>
      <c r="AX667" s="103"/>
      <c r="AY667" s="103"/>
      <c r="AZ667" s="103"/>
      <c r="BA667" s="103"/>
      <c r="BB667" s="103"/>
      <c r="BC667" s="103"/>
      <c r="BD667" s="103"/>
      <c r="BE667" s="103"/>
      <c r="BF667" s="103"/>
      <c r="BG667" s="103"/>
      <c r="BH667" s="103"/>
      <c r="BI667" s="103"/>
      <c r="BJ667" s="103"/>
      <c r="BK667" s="103"/>
      <c r="BL667" s="103"/>
      <c r="BM667" s="103"/>
      <c r="BN667" s="103"/>
      <c r="BO667" s="103"/>
      <c r="BP667" s="103"/>
      <c r="BQ667" s="103"/>
      <c r="BR667" s="103"/>
      <c r="BS667" s="103"/>
      <c r="BT667" s="103"/>
      <c r="BU667" s="103"/>
      <c r="BV667" s="103"/>
      <c r="BW667" s="103"/>
      <c r="BX667" s="103"/>
      <c r="BY667" s="103"/>
      <c r="BZ667" s="103"/>
      <c r="CA667" s="103"/>
      <c r="CB667" s="103"/>
      <c r="CC667" s="103"/>
      <c r="CD667" s="103"/>
      <c r="CE667" s="103"/>
      <c r="CF667" s="103"/>
      <c r="CG667" s="103"/>
      <c r="CH667" s="103"/>
      <c r="CI667" s="103"/>
      <c r="CJ667" s="103"/>
      <c r="CK667" s="103"/>
      <c r="CL667" s="103"/>
      <c r="CM667" s="103"/>
      <c r="CN667" s="103"/>
      <c r="CO667" s="103"/>
    </row>
    <row r="668" spans="1:93">
      <c r="A668" s="233"/>
      <c r="B668" s="101"/>
      <c r="C668" s="17" t="s">
        <v>705</v>
      </c>
      <c r="D668" s="69"/>
      <c r="E668" s="62">
        <f xml:space="preserve"> E652 * ($E$637 * E642 + E647)</f>
        <v>200000</v>
      </c>
      <c r="F668" s="511">
        <f t="shared" si="5698"/>
        <v>7.4304683815326178E-2</v>
      </c>
      <c r="G668" s="11" t="s">
        <v>666</v>
      </c>
      <c r="H668" s="69"/>
      <c r="I668" s="69"/>
      <c r="J668" s="69"/>
      <c r="K668" s="69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  <c r="Z668" s="103"/>
      <c r="AA668" s="103"/>
      <c r="AB668" s="103"/>
      <c r="AC668" s="103"/>
      <c r="AD668" s="103"/>
      <c r="AE668" s="103"/>
      <c r="AF668" s="103"/>
      <c r="AG668" s="103"/>
      <c r="AH668" s="103"/>
      <c r="AI668" s="103"/>
      <c r="AJ668" s="103"/>
      <c r="AK668" s="103"/>
      <c r="AL668" s="103"/>
      <c r="AM668" s="103"/>
      <c r="AN668" s="103"/>
      <c r="AO668" s="103"/>
      <c r="AP668" s="103"/>
      <c r="AQ668" s="103"/>
      <c r="AR668" s="103"/>
      <c r="AS668" s="103"/>
      <c r="AT668" s="103"/>
      <c r="AU668" s="103"/>
      <c r="AV668" s="103"/>
      <c r="AW668" s="103"/>
      <c r="AX668" s="103"/>
      <c r="AY668" s="103"/>
      <c r="AZ668" s="103"/>
      <c r="BA668" s="103"/>
      <c r="BB668" s="103"/>
      <c r="BC668" s="103"/>
      <c r="BD668" s="103"/>
      <c r="BE668" s="103"/>
      <c r="BF668" s="103"/>
      <c r="BG668" s="103"/>
      <c r="BH668" s="103"/>
      <c r="BI668" s="103"/>
      <c r="BJ668" s="103"/>
      <c r="BK668" s="103"/>
      <c r="BL668" s="103"/>
      <c r="BM668" s="103"/>
      <c r="BN668" s="103"/>
      <c r="BO668" s="103"/>
      <c r="BP668" s="103"/>
      <c r="BQ668" s="103"/>
      <c r="BR668" s="103"/>
      <c r="BS668" s="103"/>
      <c r="BT668" s="103"/>
      <c r="BU668" s="103"/>
      <c r="BV668" s="103"/>
      <c r="BW668" s="103"/>
      <c r="BX668" s="103"/>
      <c r="BY668" s="103"/>
      <c r="BZ668" s="103"/>
      <c r="CA668" s="103"/>
      <c r="CB668" s="103"/>
      <c r="CC668" s="103"/>
      <c r="CD668" s="103"/>
      <c r="CE668" s="103"/>
      <c r="CF668" s="103"/>
      <c r="CG668" s="103"/>
      <c r="CH668" s="103"/>
      <c r="CI668" s="103"/>
      <c r="CJ668" s="103"/>
      <c r="CK668" s="103"/>
      <c r="CL668" s="103"/>
      <c r="CM668" s="103"/>
      <c r="CN668" s="103"/>
      <c r="CO668" s="103"/>
    </row>
    <row r="669" spans="1:93">
      <c r="A669" s="233"/>
      <c r="B669" s="101"/>
      <c r="C669" s="17" t="s">
        <v>706</v>
      </c>
      <c r="D669" s="69"/>
      <c r="E669" s="62">
        <f xml:space="preserve"> E653 * ($E$637 * E643 + E648)</f>
        <v>80725.080469769469</v>
      </c>
      <c r="F669" s="511">
        <f t="shared" si="5698"/>
        <v>2.999125790136491E-2</v>
      </c>
      <c r="G669" s="11" t="s">
        <v>666</v>
      </c>
      <c r="H669" s="69"/>
      <c r="I669" s="69"/>
      <c r="J669" s="69"/>
      <c r="K669" s="69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  <c r="Z669" s="103"/>
      <c r="AA669" s="103"/>
      <c r="AB669" s="103"/>
      <c r="AC669" s="103"/>
      <c r="AD669" s="103"/>
      <c r="AE669" s="103"/>
      <c r="AF669" s="103"/>
      <c r="AG669" s="103"/>
      <c r="AH669" s="103"/>
      <c r="AI669" s="103"/>
      <c r="AJ669" s="103"/>
      <c r="AK669" s="103"/>
      <c r="AL669" s="103"/>
      <c r="AM669" s="103"/>
      <c r="AN669" s="103"/>
      <c r="AO669" s="103"/>
      <c r="AP669" s="103"/>
      <c r="AQ669" s="103"/>
      <c r="AR669" s="103"/>
      <c r="AS669" s="103"/>
      <c r="AT669" s="103"/>
      <c r="AU669" s="103"/>
      <c r="AV669" s="103"/>
      <c r="AW669" s="103"/>
      <c r="AX669" s="103"/>
      <c r="AY669" s="103"/>
      <c r="AZ669" s="103"/>
      <c r="BA669" s="103"/>
      <c r="BB669" s="103"/>
      <c r="BC669" s="103"/>
      <c r="BD669" s="103"/>
      <c r="BE669" s="103"/>
      <c r="BF669" s="103"/>
      <c r="BG669" s="103"/>
      <c r="BH669" s="103"/>
      <c r="BI669" s="103"/>
      <c r="BJ669" s="103"/>
      <c r="BK669" s="103"/>
      <c r="BL669" s="103"/>
      <c r="BM669" s="103"/>
      <c r="BN669" s="103"/>
      <c r="BO669" s="103"/>
      <c r="BP669" s="103"/>
      <c r="BQ669" s="103"/>
      <c r="BR669" s="103"/>
      <c r="BS669" s="103"/>
      <c r="BT669" s="103"/>
      <c r="BU669" s="103"/>
      <c r="BV669" s="103"/>
      <c r="BW669" s="103"/>
      <c r="BX669" s="103"/>
      <c r="BY669" s="103"/>
      <c r="BZ669" s="103"/>
      <c r="CA669" s="103"/>
      <c r="CB669" s="103"/>
      <c r="CC669" s="103"/>
      <c r="CD669" s="103"/>
      <c r="CE669" s="103"/>
      <c r="CF669" s="103"/>
      <c r="CG669" s="103"/>
      <c r="CH669" s="103"/>
      <c r="CI669" s="103"/>
      <c r="CJ669" s="103"/>
      <c r="CK669" s="103"/>
      <c r="CL669" s="103"/>
      <c r="CM669" s="103"/>
      <c r="CN669" s="103"/>
      <c r="CO669" s="103"/>
    </row>
    <row r="670" spans="1:93">
      <c r="A670" s="233"/>
      <c r="B670" s="101"/>
      <c r="C670" s="249" t="s">
        <v>707</v>
      </c>
      <c r="D670" s="235"/>
      <c r="E670" s="236">
        <f>SUM(E666:E669)</f>
        <v>2691620.362682275</v>
      </c>
      <c r="F670" s="237"/>
      <c r="G670" s="230" t="s">
        <v>666</v>
      </c>
      <c r="H670" s="69"/>
      <c r="I670" s="69"/>
      <c r="J670" s="69"/>
      <c r="K670" s="69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  <c r="Z670" s="103"/>
      <c r="AA670" s="103"/>
      <c r="AB670" s="103"/>
      <c r="AC670" s="103"/>
      <c r="AD670" s="103"/>
      <c r="AE670" s="103"/>
      <c r="AF670" s="103"/>
      <c r="AG670" s="103"/>
      <c r="AH670" s="103"/>
      <c r="AI670" s="103"/>
      <c r="AJ670" s="103"/>
      <c r="AK670" s="103"/>
      <c r="AL670" s="103"/>
      <c r="AM670" s="103"/>
      <c r="AN670" s="103"/>
      <c r="AO670" s="103"/>
      <c r="AP670" s="103"/>
      <c r="AQ670" s="103"/>
      <c r="AR670" s="103"/>
      <c r="AS670" s="103"/>
      <c r="AT670" s="103"/>
      <c r="AU670" s="103"/>
      <c r="AV670" s="103"/>
      <c r="AW670" s="103"/>
      <c r="AX670" s="103"/>
      <c r="AY670" s="103"/>
      <c r="AZ670" s="103"/>
      <c r="BA670" s="103"/>
      <c r="BB670" s="103"/>
      <c r="BC670" s="103"/>
      <c r="BD670" s="103"/>
      <c r="BE670" s="103"/>
      <c r="BF670" s="103"/>
      <c r="BG670" s="103"/>
      <c r="BH670" s="103"/>
      <c r="BI670" s="103"/>
      <c r="BJ670" s="103"/>
      <c r="BK670" s="103"/>
      <c r="BL670" s="103"/>
      <c r="BM670" s="103"/>
      <c r="BN670" s="103"/>
      <c r="BO670" s="103"/>
      <c r="BP670" s="103"/>
      <c r="BQ670" s="103"/>
      <c r="BR670" s="103"/>
      <c r="BS670" s="103"/>
      <c r="BT670" s="103"/>
      <c r="BU670" s="103"/>
      <c r="BV670" s="103"/>
      <c r="BW670" s="103"/>
      <c r="BX670" s="103"/>
      <c r="BY670" s="103"/>
      <c r="BZ670" s="103"/>
      <c r="CA670" s="103"/>
      <c r="CB670" s="103"/>
      <c r="CC670" s="103"/>
      <c r="CD670" s="103"/>
      <c r="CE670" s="103"/>
      <c r="CF670" s="103"/>
      <c r="CG670" s="103"/>
      <c r="CH670" s="103"/>
      <c r="CI670" s="103"/>
      <c r="CJ670" s="103"/>
      <c r="CK670" s="103"/>
      <c r="CL670" s="103"/>
      <c r="CM670" s="103"/>
      <c r="CN670" s="103"/>
      <c r="CO670" s="103"/>
    </row>
    <row r="671" spans="1:93">
      <c r="A671" s="233"/>
      <c r="B671" s="101"/>
      <c r="C671" s="169"/>
      <c r="D671" s="69"/>
      <c r="E671" s="62"/>
      <c r="F671" s="70"/>
      <c r="G671" s="11"/>
      <c r="H671" s="69"/>
      <c r="I671" s="69"/>
      <c r="J671" s="69"/>
      <c r="K671" s="69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  <c r="Z671" s="103"/>
      <c r="AA671" s="103"/>
      <c r="AB671" s="103"/>
      <c r="AC671" s="103"/>
      <c r="AD671" s="103"/>
      <c r="AE671" s="103"/>
      <c r="AF671" s="103"/>
      <c r="AG671" s="103"/>
      <c r="AH671" s="103"/>
      <c r="AI671" s="103"/>
      <c r="AJ671" s="103"/>
      <c r="AK671" s="103"/>
      <c r="AL671" s="103"/>
      <c r="AM671" s="103"/>
      <c r="AN671" s="103"/>
      <c r="AO671" s="103"/>
      <c r="AP671" s="103"/>
      <c r="AQ671" s="103"/>
      <c r="AR671" s="103"/>
      <c r="AS671" s="103"/>
      <c r="AT671" s="103"/>
      <c r="AU671" s="103"/>
      <c r="AV671" s="103"/>
      <c r="AW671" s="103"/>
      <c r="AX671" s="103"/>
      <c r="AY671" s="103"/>
      <c r="AZ671" s="103"/>
      <c r="BA671" s="103"/>
      <c r="BB671" s="103"/>
      <c r="BC671" s="103"/>
      <c r="BD671" s="103"/>
      <c r="BE671" s="103"/>
      <c r="BF671" s="103"/>
      <c r="BG671" s="103"/>
      <c r="BH671" s="103"/>
      <c r="BI671" s="103"/>
      <c r="BJ671" s="103"/>
      <c r="BK671" s="103"/>
      <c r="BL671" s="103"/>
      <c r="BM671" s="103"/>
      <c r="BN671" s="103"/>
      <c r="BO671" s="103"/>
      <c r="BP671" s="103"/>
      <c r="BQ671" s="103"/>
      <c r="BR671" s="103"/>
      <c r="BS671" s="103"/>
      <c r="BT671" s="103"/>
      <c r="BU671" s="103"/>
      <c r="BV671" s="103"/>
      <c r="BW671" s="103"/>
      <c r="BX671" s="103"/>
      <c r="BY671" s="103"/>
      <c r="BZ671" s="103"/>
      <c r="CA671" s="103"/>
      <c r="CB671" s="103"/>
      <c r="CC671" s="103"/>
      <c r="CD671" s="103"/>
      <c r="CE671" s="103"/>
      <c r="CF671" s="103"/>
      <c r="CG671" s="103"/>
      <c r="CH671" s="103"/>
      <c r="CI671" s="103"/>
      <c r="CJ671" s="103"/>
      <c r="CK671" s="103"/>
      <c r="CL671" s="103"/>
      <c r="CM671" s="103"/>
      <c r="CN671" s="103"/>
      <c r="CO671" s="103"/>
    </row>
    <row r="672" spans="1:93">
      <c r="A672" s="233"/>
      <c r="B672" s="101"/>
      <c r="C672" s="41" t="s">
        <v>710</v>
      </c>
      <c r="D672" s="69"/>
      <c r="E672" s="62"/>
      <c r="F672" s="70"/>
      <c r="G672" s="11"/>
      <c r="H672" s="69"/>
      <c r="I672" s="69"/>
      <c r="J672" s="69"/>
      <c r="K672" s="69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  <c r="Z672" s="103"/>
      <c r="AA672" s="103"/>
      <c r="AB672" s="103"/>
      <c r="AC672" s="103"/>
      <c r="AD672" s="103"/>
      <c r="AE672" s="103"/>
      <c r="AF672" s="103"/>
      <c r="AG672" s="103"/>
      <c r="AH672" s="103"/>
      <c r="AI672" s="103"/>
      <c r="AJ672" s="103"/>
      <c r="AK672" s="103"/>
      <c r="AL672" s="103"/>
      <c r="AM672" s="103"/>
      <c r="AN672" s="103"/>
      <c r="AO672" s="103"/>
      <c r="AP672" s="103"/>
      <c r="AQ672" s="103"/>
      <c r="AR672" s="103"/>
      <c r="AS672" s="103"/>
      <c r="AT672" s="103"/>
      <c r="AU672" s="103"/>
      <c r="AV672" s="103"/>
      <c r="AW672" s="103"/>
      <c r="AX672" s="103"/>
      <c r="AY672" s="103"/>
      <c r="AZ672" s="103"/>
      <c r="BA672" s="103"/>
      <c r="BB672" s="103"/>
      <c r="BC672" s="103"/>
      <c r="BD672" s="103"/>
      <c r="BE672" s="103"/>
      <c r="BF672" s="103"/>
      <c r="BG672" s="103"/>
      <c r="BH672" s="103"/>
      <c r="BI672" s="103"/>
      <c r="BJ672" s="103"/>
      <c r="BK672" s="103"/>
      <c r="BL672" s="103"/>
      <c r="BM672" s="103"/>
      <c r="BN672" s="103"/>
      <c r="BO672" s="103"/>
      <c r="BP672" s="103"/>
      <c r="BQ672" s="103"/>
      <c r="BR672" s="103"/>
      <c r="BS672" s="103"/>
      <c r="BT672" s="103"/>
      <c r="BU672" s="103"/>
      <c r="BV672" s="103"/>
      <c r="BW672" s="103"/>
      <c r="BX672" s="103"/>
      <c r="BY672" s="103"/>
      <c r="BZ672" s="103"/>
      <c r="CA672" s="103"/>
      <c r="CB672" s="103"/>
      <c r="CC672" s="103"/>
      <c r="CD672" s="103"/>
      <c r="CE672" s="103"/>
      <c r="CF672" s="103"/>
      <c r="CG672" s="103"/>
      <c r="CH672" s="103"/>
      <c r="CI672" s="103"/>
      <c r="CJ672" s="103"/>
      <c r="CK672" s="103"/>
      <c r="CL672" s="103"/>
      <c r="CM672" s="103"/>
      <c r="CN672" s="103"/>
      <c r="CO672" s="103"/>
    </row>
    <row r="673" spans="1:93">
      <c r="A673" s="233"/>
      <c r="B673" s="101"/>
      <c r="C673" s="17" t="s">
        <v>708</v>
      </c>
      <c r="D673" s="69"/>
      <c r="E673" s="62">
        <f xml:space="preserve"> E664</f>
        <v>2032261.4210971047</v>
      </c>
      <c r="F673" s="70"/>
      <c r="G673" s="238" t="s">
        <v>666</v>
      </c>
      <c r="H673" s="69"/>
      <c r="I673" s="69"/>
      <c r="J673" s="69"/>
      <c r="K673" s="69"/>
      <c r="L673" s="103"/>
      <c r="M673" s="103"/>
      <c r="N673" s="103"/>
      <c r="O673" s="103"/>
      <c r="P673" s="103"/>
      <c r="Q673" s="103"/>
      <c r="R673" s="103"/>
      <c r="S673" s="103"/>
      <c r="T673" s="103"/>
      <c r="U673" s="103"/>
      <c r="V673" s="103"/>
      <c r="W673" s="103"/>
      <c r="X673" s="103"/>
      <c r="Y673" s="103"/>
      <c r="Z673" s="103"/>
      <c r="AA673" s="103"/>
      <c r="AB673" s="103"/>
      <c r="AC673" s="103"/>
      <c r="AD673" s="103"/>
      <c r="AE673" s="103"/>
      <c r="AF673" s="103"/>
      <c r="AG673" s="103"/>
      <c r="AH673" s="103"/>
      <c r="AI673" s="103"/>
      <c r="AJ673" s="103"/>
      <c r="AK673" s="103"/>
      <c r="AL673" s="103"/>
      <c r="AM673" s="103"/>
      <c r="AN673" s="103"/>
      <c r="AO673" s="103"/>
      <c r="AP673" s="103"/>
      <c r="AQ673" s="103"/>
      <c r="AR673" s="103"/>
      <c r="AS673" s="103"/>
      <c r="AT673" s="103"/>
      <c r="AU673" s="103"/>
      <c r="AV673" s="103"/>
      <c r="AW673" s="103"/>
      <c r="AX673" s="103"/>
      <c r="AY673" s="103"/>
      <c r="AZ673" s="103"/>
      <c r="BA673" s="103"/>
      <c r="BB673" s="103"/>
      <c r="BC673" s="103"/>
      <c r="BD673" s="103"/>
      <c r="BE673" s="103"/>
      <c r="BF673" s="103"/>
      <c r="BG673" s="103"/>
      <c r="BH673" s="103"/>
      <c r="BI673" s="103"/>
      <c r="BJ673" s="103"/>
      <c r="BK673" s="103"/>
      <c r="BL673" s="103"/>
      <c r="BM673" s="103"/>
      <c r="BN673" s="103"/>
      <c r="BO673" s="103"/>
      <c r="BP673" s="103"/>
      <c r="BQ673" s="103"/>
      <c r="BR673" s="103"/>
      <c r="BS673" s="103"/>
      <c r="BT673" s="103"/>
      <c r="BU673" s="103"/>
      <c r="BV673" s="103"/>
      <c r="BW673" s="103"/>
      <c r="BX673" s="103"/>
      <c r="BY673" s="103"/>
      <c r="BZ673" s="103"/>
      <c r="CA673" s="103"/>
      <c r="CB673" s="103"/>
      <c r="CC673" s="103"/>
      <c r="CD673" s="103"/>
      <c r="CE673" s="103"/>
      <c r="CF673" s="103"/>
      <c r="CG673" s="103"/>
      <c r="CH673" s="103"/>
      <c r="CI673" s="103"/>
      <c r="CJ673" s="103"/>
      <c r="CK673" s="103"/>
      <c r="CL673" s="103"/>
      <c r="CM673" s="103"/>
      <c r="CN673" s="103"/>
      <c r="CO673" s="103"/>
    </row>
    <row r="674" spans="1:93">
      <c r="A674" s="233"/>
      <c r="B674" s="101"/>
      <c r="C674" s="17" t="s">
        <v>709</v>
      </c>
      <c r="D674" s="69"/>
      <c r="E674" s="62">
        <f xml:space="preserve"> E670</f>
        <v>2691620.362682275</v>
      </c>
      <c r="F674" s="70"/>
      <c r="G674" s="238" t="s">
        <v>666</v>
      </c>
      <c r="H674" s="69"/>
      <c r="I674" s="69"/>
      <c r="J674" s="69"/>
      <c r="K674" s="69"/>
      <c r="L674" s="103"/>
      <c r="M674" s="103"/>
      <c r="N674" s="103"/>
      <c r="O674" s="103"/>
      <c r="P674" s="103"/>
      <c r="Q674" s="103"/>
      <c r="R674" s="103"/>
      <c r="S674" s="103"/>
      <c r="T674" s="103"/>
      <c r="U674" s="103"/>
      <c r="V674" s="103"/>
      <c r="W674" s="103"/>
      <c r="X674" s="103"/>
      <c r="Y674" s="103"/>
      <c r="Z674" s="103"/>
      <c r="AA674" s="103"/>
      <c r="AB674" s="103"/>
      <c r="AC674" s="103"/>
      <c r="AD674" s="103"/>
      <c r="AE674" s="103"/>
      <c r="AF674" s="103"/>
      <c r="AG674" s="103"/>
      <c r="AH674" s="103"/>
      <c r="AI674" s="103"/>
      <c r="AJ674" s="103"/>
      <c r="AK674" s="103"/>
      <c r="AL674" s="103"/>
      <c r="AM674" s="103"/>
      <c r="AN674" s="103"/>
      <c r="AO674" s="103"/>
      <c r="AP674" s="103"/>
      <c r="AQ674" s="103"/>
      <c r="AR674" s="103"/>
      <c r="AS674" s="103"/>
      <c r="AT674" s="103"/>
      <c r="AU674" s="103"/>
      <c r="AV674" s="103"/>
      <c r="AW674" s="103"/>
      <c r="AX674" s="103"/>
      <c r="AY674" s="103"/>
      <c r="AZ674" s="103"/>
      <c r="BA674" s="103"/>
      <c r="BB674" s="103"/>
      <c r="BC674" s="103"/>
      <c r="BD674" s="103"/>
      <c r="BE674" s="103"/>
      <c r="BF674" s="103"/>
      <c r="BG674" s="103"/>
      <c r="BH674" s="103"/>
      <c r="BI674" s="103"/>
      <c r="BJ674" s="103"/>
      <c r="BK674" s="103"/>
      <c r="BL674" s="103"/>
      <c r="BM674" s="103"/>
      <c r="BN674" s="103"/>
      <c r="BO674" s="103"/>
      <c r="BP674" s="103"/>
      <c r="BQ674" s="103"/>
      <c r="BR674" s="103"/>
      <c r="BS674" s="103"/>
      <c r="BT674" s="103"/>
      <c r="BU674" s="103"/>
      <c r="BV674" s="103"/>
      <c r="BW674" s="103"/>
      <c r="BX674" s="103"/>
      <c r="BY674" s="103"/>
      <c r="BZ674" s="103"/>
      <c r="CA674" s="103"/>
      <c r="CB674" s="103"/>
      <c r="CC674" s="103"/>
      <c r="CD674" s="103"/>
      <c r="CE674" s="103"/>
      <c r="CF674" s="103"/>
      <c r="CG674" s="103"/>
      <c r="CH674" s="103"/>
      <c r="CI674" s="103"/>
      <c r="CJ674" s="103"/>
      <c r="CK674" s="103"/>
      <c r="CL674" s="103"/>
      <c r="CM674" s="103"/>
      <c r="CN674" s="103"/>
      <c r="CO674" s="103"/>
    </row>
    <row r="675" spans="1:93">
      <c r="A675" s="233"/>
      <c r="B675" s="101"/>
      <c r="C675" s="17" t="s">
        <v>787</v>
      </c>
      <c r="D675" s="69"/>
      <c r="E675" s="62">
        <f xml:space="preserve"> (E673 + E674) * E657</f>
        <v>661343.44972911326</v>
      </c>
      <c r="F675" s="70"/>
      <c r="G675" s="238" t="s">
        <v>666</v>
      </c>
      <c r="H675" s="69"/>
      <c r="I675" s="69"/>
      <c r="J675" s="69"/>
      <c r="K675" s="69"/>
      <c r="L675" s="103"/>
      <c r="M675" s="103"/>
      <c r="N675" s="103"/>
      <c r="O675" s="103"/>
      <c r="P675" s="103"/>
      <c r="Q675" s="103"/>
      <c r="R675" s="103"/>
      <c r="S675" s="103"/>
      <c r="T675" s="103"/>
      <c r="U675" s="103"/>
      <c r="V675" s="103"/>
      <c r="W675" s="103"/>
      <c r="X675" s="103"/>
      <c r="Y675" s="103"/>
      <c r="Z675" s="103"/>
      <c r="AA675" s="103"/>
      <c r="AB675" s="103"/>
      <c r="AC675" s="103"/>
      <c r="AD675" s="103"/>
      <c r="AE675" s="103"/>
      <c r="AF675" s="103"/>
      <c r="AG675" s="103"/>
      <c r="AH675" s="103"/>
      <c r="AI675" s="103"/>
      <c r="AJ675" s="103"/>
      <c r="AK675" s="103"/>
      <c r="AL675" s="103"/>
      <c r="AM675" s="103"/>
      <c r="AN675" s="103"/>
      <c r="AO675" s="103"/>
      <c r="AP675" s="103"/>
      <c r="AQ675" s="103"/>
      <c r="AR675" s="103"/>
      <c r="AS675" s="103"/>
      <c r="AT675" s="103"/>
      <c r="AU675" s="103"/>
      <c r="AV675" s="103"/>
      <c r="AW675" s="103"/>
      <c r="AX675" s="103"/>
      <c r="AY675" s="103"/>
      <c r="AZ675" s="103"/>
      <c r="BA675" s="103"/>
      <c r="BB675" s="103"/>
      <c r="BC675" s="103"/>
      <c r="BD675" s="103"/>
      <c r="BE675" s="103"/>
      <c r="BF675" s="103"/>
      <c r="BG675" s="103"/>
      <c r="BH675" s="103"/>
      <c r="BI675" s="103"/>
      <c r="BJ675" s="103"/>
      <c r="BK675" s="103"/>
      <c r="BL675" s="103"/>
      <c r="BM675" s="103"/>
      <c r="BN675" s="103"/>
      <c r="BO675" s="103"/>
      <c r="BP675" s="103"/>
      <c r="BQ675" s="103"/>
      <c r="BR675" s="103"/>
      <c r="BS675" s="103"/>
      <c r="BT675" s="103"/>
      <c r="BU675" s="103"/>
      <c r="BV675" s="103"/>
      <c r="BW675" s="103"/>
      <c r="BX675" s="103"/>
      <c r="BY675" s="103"/>
      <c r="BZ675" s="103"/>
      <c r="CA675" s="103"/>
      <c r="CB675" s="103"/>
      <c r="CC675" s="103"/>
      <c r="CD675" s="103"/>
      <c r="CE675" s="103"/>
      <c r="CF675" s="103"/>
      <c r="CG675" s="103"/>
      <c r="CH675" s="103"/>
      <c r="CI675" s="103"/>
      <c r="CJ675" s="103"/>
      <c r="CK675" s="103"/>
      <c r="CL675" s="103"/>
      <c r="CM675" s="103"/>
      <c r="CN675" s="103"/>
      <c r="CO675" s="103"/>
    </row>
    <row r="676" spans="1:93">
      <c r="A676" s="233"/>
      <c r="B676" s="101"/>
      <c r="C676" s="249" t="s">
        <v>20</v>
      </c>
      <c r="D676" s="235"/>
      <c r="E676" s="236">
        <f>SUM(E673:E675)</f>
        <v>5385225.2335084928</v>
      </c>
      <c r="F676" s="237"/>
      <c r="G676" s="230" t="s">
        <v>666</v>
      </c>
      <c r="H676" s="69"/>
      <c r="I676" s="69"/>
      <c r="J676" s="69"/>
      <c r="K676" s="69"/>
      <c r="L676" s="103"/>
      <c r="M676" s="103"/>
      <c r="N676" s="103"/>
      <c r="O676" s="103"/>
      <c r="P676" s="103"/>
      <c r="Q676" s="103"/>
      <c r="R676" s="103"/>
      <c r="S676" s="103"/>
      <c r="T676" s="103"/>
      <c r="U676" s="103"/>
      <c r="V676" s="103"/>
      <c r="W676" s="103"/>
      <c r="X676" s="103"/>
      <c r="Y676" s="103"/>
      <c r="Z676" s="103"/>
      <c r="AA676" s="103"/>
      <c r="AB676" s="103"/>
      <c r="AC676" s="103"/>
      <c r="AD676" s="103"/>
      <c r="AE676" s="103"/>
      <c r="AF676" s="103"/>
      <c r="AG676" s="103"/>
      <c r="AH676" s="103"/>
      <c r="AI676" s="103"/>
      <c r="AJ676" s="103"/>
      <c r="AK676" s="103"/>
      <c r="AL676" s="103"/>
      <c r="AM676" s="103"/>
      <c r="AN676" s="103"/>
      <c r="AO676" s="103"/>
      <c r="AP676" s="103"/>
      <c r="AQ676" s="103"/>
      <c r="AR676" s="103"/>
      <c r="AS676" s="103"/>
      <c r="AT676" s="103"/>
      <c r="AU676" s="103"/>
      <c r="AV676" s="103"/>
      <c r="AW676" s="103"/>
      <c r="AX676" s="103"/>
      <c r="AY676" s="103"/>
      <c r="AZ676" s="103"/>
      <c r="BA676" s="103"/>
      <c r="BB676" s="103"/>
      <c r="BC676" s="103"/>
      <c r="BD676" s="103"/>
      <c r="BE676" s="103"/>
      <c r="BF676" s="103"/>
      <c r="BG676" s="103"/>
      <c r="BH676" s="103"/>
      <c r="BI676" s="103"/>
      <c r="BJ676" s="103"/>
      <c r="BK676" s="103"/>
      <c r="BL676" s="103"/>
      <c r="BM676" s="103"/>
      <c r="BN676" s="103"/>
      <c r="BO676" s="103"/>
      <c r="BP676" s="103"/>
      <c r="BQ676" s="103"/>
      <c r="BR676" s="103"/>
      <c r="BS676" s="103"/>
      <c r="BT676" s="103"/>
      <c r="BU676" s="103"/>
      <c r="BV676" s="103"/>
      <c r="BW676" s="103"/>
      <c r="BX676" s="103"/>
      <c r="BY676" s="103"/>
      <c r="BZ676" s="103"/>
      <c r="CA676" s="103"/>
      <c r="CB676" s="103"/>
      <c r="CC676" s="103"/>
      <c r="CD676" s="103"/>
      <c r="CE676" s="103"/>
      <c r="CF676" s="103"/>
      <c r="CG676" s="103"/>
      <c r="CH676" s="103"/>
      <c r="CI676" s="103"/>
      <c r="CJ676" s="103"/>
      <c r="CK676" s="103"/>
      <c r="CL676" s="103"/>
      <c r="CM676" s="103"/>
      <c r="CN676" s="103"/>
      <c r="CO676" s="103"/>
    </row>
    <row r="677" spans="1:93">
      <c r="A677" s="233"/>
      <c r="B677" s="101"/>
      <c r="C677" s="169"/>
      <c r="D677" s="69"/>
      <c r="E677" s="62"/>
      <c r="F677" s="513"/>
      <c r="G677" s="11"/>
      <c r="H677" s="69"/>
      <c r="I677" s="69"/>
      <c r="J677" s="69"/>
      <c r="K677" s="69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  <c r="Z677" s="103"/>
      <c r="AA677" s="103"/>
      <c r="AB677" s="103"/>
      <c r="AC677" s="103"/>
      <c r="AD677" s="103"/>
      <c r="AE677" s="103"/>
      <c r="AF677" s="103"/>
      <c r="AG677" s="103"/>
      <c r="AH677" s="103"/>
      <c r="AI677" s="103"/>
      <c r="AJ677" s="103"/>
      <c r="AK677" s="103"/>
      <c r="AL677" s="103"/>
      <c r="AM677" s="103"/>
      <c r="AN677" s="103"/>
      <c r="AO677" s="103"/>
      <c r="AP677" s="103"/>
      <c r="AQ677" s="103"/>
      <c r="AR677" s="103"/>
      <c r="AS677" s="103"/>
      <c r="AT677" s="103"/>
      <c r="AU677" s="103"/>
      <c r="AV677" s="103"/>
      <c r="AW677" s="103"/>
      <c r="AX677" s="103"/>
      <c r="AY677" s="103"/>
      <c r="AZ677" s="103"/>
      <c r="BA677" s="103"/>
      <c r="BB677" s="103"/>
      <c r="BC677" s="103"/>
      <c r="BD677" s="103"/>
      <c r="BE677" s="103"/>
      <c r="BF677" s="103"/>
      <c r="BG677" s="103"/>
      <c r="BH677" s="103"/>
      <c r="BI677" s="103"/>
      <c r="BJ677" s="103"/>
      <c r="BK677" s="103"/>
      <c r="BL677" s="103"/>
      <c r="BM677" s="103"/>
      <c r="BN677" s="103"/>
      <c r="BO677" s="103"/>
      <c r="BP677" s="103"/>
      <c r="BQ677" s="103"/>
      <c r="BR677" s="103"/>
      <c r="BS677" s="103"/>
      <c r="BT677" s="103"/>
      <c r="BU677" s="103"/>
      <c r="BV677" s="103"/>
      <c r="BW677" s="103"/>
      <c r="BX677" s="103"/>
      <c r="BY677" s="103"/>
      <c r="BZ677" s="103"/>
      <c r="CA677" s="103"/>
      <c r="CB677" s="103"/>
      <c r="CC677" s="103"/>
      <c r="CD677" s="103"/>
      <c r="CE677" s="103"/>
      <c r="CF677" s="103"/>
      <c r="CG677" s="103"/>
      <c r="CH677" s="103"/>
      <c r="CI677" s="103"/>
      <c r="CJ677" s="103"/>
      <c r="CK677" s="103"/>
      <c r="CL677" s="103"/>
      <c r="CM677" s="103"/>
      <c r="CN677" s="103"/>
      <c r="CO677" s="103"/>
    </row>
    <row r="678" spans="1:93">
      <c r="A678" s="233"/>
      <c r="B678" s="101"/>
      <c r="C678" s="41" t="s">
        <v>582</v>
      </c>
      <c r="D678" s="69"/>
      <c r="E678" s="62"/>
      <c r="F678" s="70"/>
      <c r="G678" s="11"/>
      <c r="H678" s="69"/>
      <c r="I678" s="69"/>
      <c r="J678" s="69"/>
      <c r="K678" s="69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  <c r="Z678" s="103"/>
      <c r="AA678" s="103"/>
      <c r="AB678" s="103"/>
      <c r="AC678" s="103"/>
      <c r="AD678" s="103"/>
      <c r="AE678" s="103"/>
      <c r="AF678" s="103"/>
      <c r="AG678" s="103"/>
      <c r="AH678" s="103"/>
      <c r="AI678" s="103"/>
      <c r="AJ678" s="103"/>
      <c r="AK678" s="103"/>
      <c r="AL678" s="103"/>
      <c r="AM678" s="103"/>
      <c r="AN678" s="103"/>
      <c r="AO678" s="103"/>
      <c r="AP678" s="103"/>
      <c r="AQ678" s="103"/>
      <c r="AR678" s="103"/>
      <c r="AS678" s="103"/>
      <c r="AT678" s="103"/>
      <c r="AU678" s="103"/>
      <c r="AV678" s="103"/>
      <c r="AW678" s="103"/>
      <c r="AX678" s="103"/>
      <c r="AY678" s="103"/>
      <c r="AZ678" s="103"/>
      <c r="BA678" s="103"/>
      <c r="BB678" s="103"/>
      <c r="BC678" s="103"/>
      <c r="BD678" s="103"/>
      <c r="BE678" s="103"/>
      <c r="BF678" s="103"/>
      <c r="BG678" s="103"/>
      <c r="BH678" s="103"/>
      <c r="BI678" s="103"/>
      <c r="BJ678" s="103"/>
      <c r="BK678" s="103"/>
      <c r="BL678" s="103"/>
      <c r="BM678" s="103"/>
      <c r="BN678" s="103"/>
      <c r="BO678" s="103"/>
      <c r="BP678" s="103"/>
      <c r="BQ678" s="103"/>
      <c r="BR678" s="103"/>
      <c r="BS678" s="103"/>
      <c r="BT678" s="103"/>
      <c r="BU678" s="103"/>
      <c r="BV678" s="103"/>
      <c r="BW678" s="103"/>
      <c r="BX678" s="103"/>
      <c r="BY678" s="103"/>
      <c r="BZ678" s="103"/>
      <c r="CA678" s="103"/>
      <c r="CB678" s="103"/>
      <c r="CC678" s="103"/>
      <c r="CD678" s="103"/>
      <c r="CE678" s="103"/>
      <c r="CF678" s="103"/>
      <c r="CG678" s="103"/>
      <c r="CH678" s="103"/>
      <c r="CI678" s="103"/>
      <c r="CJ678" s="103"/>
      <c r="CK678" s="103"/>
      <c r="CL678" s="103"/>
      <c r="CM678" s="103"/>
      <c r="CN678" s="103"/>
      <c r="CO678" s="103"/>
    </row>
    <row r="679" spans="1:93">
      <c r="A679" s="233"/>
      <c r="B679" s="101"/>
      <c r="C679" s="17" t="s">
        <v>708</v>
      </c>
      <c r="D679" s="69"/>
      <c r="E679" s="106">
        <f xml:space="preserve"> E673 / $E$676</f>
        <v>0.37737723734408773</v>
      </c>
      <c r="F679" s="70"/>
      <c r="G679" s="11" t="s">
        <v>28</v>
      </c>
      <c r="H679" s="69"/>
      <c r="I679" s="69"/>
      <c r="J679" s="69"/>
      <c r="K679" s="69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  <c r="Z679" s="103"/>
      <c r="AA679" s="103"/>
      <c r="AB679" s="103"/>
      <c r="AC679" s="103"/>
      <c r="AD679" s="103"/>
      <c r="AE679" s="103"/>
      <c r="AF679" s="103"/>
      <c r="AG679" s="103"/>
      <c r="AH679" s="103"/>
      <c r="AI679" s="103"/>
      <c r="AJ679" s="103"/>
      <c r="AK679" s="103"/>
      <c r="AL679" s="103"/>
      <c r="AM679" s="103"/>
      <c r="AN679" s="103"/>
      <c r="AO679" s="103"/>
      <c r="AP679" s="103"/>
      <c r="AQ679" s="103"/>
      <c r="AR679" s="103"/>
      <c r="AS679" s="103"/>
      <c r="AT679" s="103"/>
      <c r="AU679" s="103"/>
      <c r="AV679" s="103"/>
      <c r="AW679" s="103"/>
      <c r="AX679" s="103"/>
      <c r="AY679" s="103"/>
      <c r="AZ679" s="103"/>
      <c r="BA679" s="103"/>
      <c r="BB679" s="103"/>
      <c r="BC679" s="103"/>
      <c r="BD679" s="103"/>
      <c r="BE679" s="103"/>
      <c r="BF679" s="103"/>
      <c r="BG679" s="103"/>
      <c r="BH679" s="103"/>
      <c r="BI679" s="103"/>
      <c r="BJ679" s="103"/>
      <c r="BK679" s="103"/>
      <c r="BL679" s="103"/>
      <c r="BM679" s="103"/>
      <c r="BN679" s="103"/>
      <c r="BO679" s="103"/>
      <c r="BP679" s="103"/>
      <c r="BQ679" s="103"/>
      <c r="BR679" s="103"/>
      <c r="BS679" s="103"/>
      <c r="BT679" s="103"/>
      <c r="BU679" s="103"/>
      <c r="BV679" s="103"/>
      <c r="BW679" s="103"/>
      <c r="BX679" s="103"/>
      <c r="BY679" s="103"/>
      <c r="BZ679" s="103"/>
      <c r="CA679" s="103"/>
      <c r="CB679" s="103"/>
      <c r="CC679" s="103"/>
      <c r="CD679" s="103"/>
      <c r="CE679" s="103"/>
      <c r="CF679" s="103"/>
      <c r="CG679" s="103"/>
      <c r="CH679" s="103"/>
      <c r="CI679" s="103"/>
      <c r="CJ679" s="103"/>
      <c r="CK679" s="103"/>
      <c r="CL679" s="103"/>
      <c r="CM679" s="103"/>
      <c r="CN679" s="103"/>
      <c r="CO679" s="103"/>
    </row>
    <row r="680" spans="1:93">
      <c r="A680" s="233"/>
      <c r="B680" s="101"/>
      <c r="C680" s="17" t="s">
        <v>709</v>
      </c>
      <c r="D680" s="69"/>
      <c r="E680" s="106">
        <f t="shared" ref="E680:E681" si="5699" xml:space="preserve"> E674 / $E$676</f>
        <v>0.49981574511205262</v>
      </c>
      <c r="F680" s="70"/>
      <c r="G680" s="11" t="s">
        <v>28</v>
      </c>
      <c r="H680" s="69"/>
      <c r="I680" s="69"/>
      <c r="J680" s="69"/>
      <c r="K680" s="69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Z680" s="103"/>
      <c r="AA680" s="103"/>
      <c r="AB680" s="103"/>
      <c r="AC680" s="103"/>
      <c r="AD680" s="103"/>
      <c r="AE680" s="103"/>
      <c r="AF680" s="103"/>
      <c r="AG680" s="103"/>
      <c r="AH680" s="103"/>
      <c r="AI680" s="103"/>
      <c r="AJ680" s="103"/>
      <c r="AK680" s="103"/>
      <c r="AL680" s="103"/>
      <c r="AM680" s="103"/>
      <c r="AN680" s="103"/>
      <c r="AO680" s="103"/>
      <c r="AP680" s="103"/>
      <c r="AQ680" s="103"/>
      <c r="AR680" s="103"/>
      <c r="AS680" s="103"/>
      <c r="AT680" s="103"/>
      <c r="AU680" s="103"/>
      <c r="AV680" s="103"/>
      <c r="AW680" s="103"/>
      <c r="AX680" s="103"/>
      <c r="AY680" s="103"/>
      <c r="AZ680" s="103"/>
      <c r="BA680" s="103"/>
      <c r="BB680" s="103"/>
      <c r="BC680" s="103"/>
      <c r="BD680" s="103"/>
      <c r="BE680" s="103"/>
      <c r="BF680" s="103"/>
      <c r="BG680" s="103"/>
      <c r="BH680" s="103"/>
      <c r="BI680" s="103"/>
      <c r="BJ680" s="103"/>
      <c r="BK680" s="103"/>
      <c r="BL680" s="103"/>
      <c r="BM680" s="103"/>
      <c r="BN680" s="103"/>
      <c r="BO680" s="103"/>
      <c r="BP680" s="103"/>
      <c r="BQ680" s="103"/>
      <c r="BR680" s="103"/>
      <c r="BS680" s="103"/>
      <c r="BT680" s="103"/>
      <c r="BU680" s="103"/>
      <c r="BV680" s="103"/>
      <c r="BW680" s="103"/>
      <c r="BX680" s="103"/>
      <c r="BY680" s="103"/>
      <c r="BZ680" s="103"/>
      <c r="CA680" s="103"/>
      <c r="CB680" s="103"/>
      <c r="CC680" s="103"/>
      <c r="CD680" s="103"/>
      <c r="CE680" s="103"/>
      <c r="CF680" s="103"/>
      <c r="CG680" s="103"/>
      <c r="CH680" s="103"/>
      <c r="CI680" s="103"/>
      <c r="CJ680" s="103"/>
      <c r="CK680" s="103"/>
      <c r="CL680" s="103"/>
      <c r="CM680" s="103"/>
      <c r="CN680" s="103"/>
      <c r="CO680" s="103"/>
    </row>
    <row r="681" spans="1:93">
      <c r="A681" s="233"/>
      <c r="B681" s="101"/>
      <c r="C681" s="17" t="s">
        <v>787</v>
      </c>
      <c r="D681" s="69"/>
      <c r="E681" s="106">
        <f t="shared" si="5699"/>
        <v>0.12280701754385967</v>
      </c>
      <c r="F681" s="70"/>
      <c r="G681" s="11" t="s">
        <v>28</v>
      </c>
      <c r="H681" s="69"/>
      <c r="I681" s="69"/>
      <c r="J681" s="69"/>
      <c r="K681" s="69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Z681" s="103"/>
      <c r="AA681" s="103"/>
      <c r="AB681" s="103"/>
      <c r="AC681" s="103"/>
      <c r="AD681" s="103"/>
      <c r="AE681" s="103"/>
      <c r="AF681" s="103"/>
      <c r="AG681" s="103"/>
      <c r="AH681" s="103"/>
      <c r="AI681" s="103"/>
      <c r="AJ681" s="103"/>
      <c r="AK681" s="103"/>
      <c r="AL681" s="103"/>
      <c r="AM681" s="103"/>
      <c r="AN681" s="103"/>
      <c r="AO681" s="103"/>
      <c r="AP681" s="103"/>
      <c r="AQ681" s="103"/>
      <c r="AR681" s="103"/>
      <c r="AS681" s="103"/>
      <c r="AT681" s="103"/>
      <c r="AU681" s="103"/>
      <c r="AV681" s="103"/>
      <c r="AW681" s="103"/>
      <c r="AX681" s="103"/>
      <c r="AY681" s="103"/>
      <c r="AZ681" s="103"/>
      <c r="BA681" s="103"/>
      <c r="BB681" s="103"/>
      <c r="BC681" s="103"/>
      <c r="BD681" s="103"/>
      <c r="BE681" s="103"/>
      <c r="BF681" s="103"/>
      <c r="BG681" s="103"/>
      <c r="BH681" s="103"/>
      <c r="BI681" s="103"/>
      <c r="BJ681" s="103"/>
      <c r="BK681" s="103"/>
      <c r="BL681" s="103"/>
      <c r="BM681" s="103"/>
      <c r="BN681" s="103"/>
      <c r="BO681" s="103"/>
      <c r="BP681" s="103"/>
      <c r="BQ681" s="103"/>
      <c r="BR681" s="103"/>
      <c r="BS681" s="103"/>
      <c r="BT681" s="103"/>
      <c r="BU681" s="103"/>
      <c r="BV681" s="103"/>
      <c r="BW681" s="103"/>
      <c r="BX681" s="103"/>
      <c r="BY681" s="103"/>
      <c r="BZ681" s="103"/>
      <c r="CA681" s="103"/>
      <c r="CB681" s="103"/>
      <c r="CC681" s="103"/>
      <c r="CD681" s="103"/>
      <c r="CE681" s="103"/>
      <c r="CF681" s="103"/>
      <c r="CG681" s="103"/>
      <c r="CH681" s="103"/>
      <c r="CI681" s="103"/>
      <c r="CJ681" s="103"/>
      <c r="CK681" s="103"/>
      <c r="CL681" s="103"/>
      <c r="CM681" s="103"/>
      <c r="CN681" s="103"/>
      <c r="CO681" s="103"/>
    </row>
    <row r="682" spans="1:93">
      <c r="A682" s="233"/>
      <c r="B682" s="101"/>
      <c r="C682" s="249" t="s">
        <v>20</v>
      </c>
      <c r="D682" s="235"/>
      <c r="E682" s="239">
        <f>SUM(E679:E681)</f>
        <v>1</v>
      </c>
      <c r="F682" s="237"/>
      <c r="G682" s="230" t="s">
        <v>28</v>
      </c>
      <c r="H682" s="69"/>
      <c r="I682" s="69"/>
      <c r="J682" s="69"/>
      <c r="K682" s="69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Z682" s="103"/>
      <c r="AA682" s="103"/>
      <c r="AB682" s="103"/>
      <c r="AC682" s="103"/>
      <c r="AD682" s="103"/>
      <c r="AE682" s="103"/>
      <c r="AF682" s="103"/>
      <c r="AG682" s="103"/>
      <c r="AH682" s="103"/>
      <c r="AI682" s="103"/>
      <c r="AJ682" s="103"/>
      <c r="AK682" s="103"/>
      <c r="AL682" s="103"/>
      <c r="AM682" s="103"/>
      <c r="AN682" s="103"/>
      <c r="AO682" s="103"/>
      <c r="AP682" s="103"/>
      <c r="AQ682" s="103"/>
      <c r="AR682" s="103"/>
      <c r="AS682" s="103"/>
      <c r="AT682" s="103"/>
      <c r="AU682" s="103"/>
      <c r="AV682" s="103"/>
      <c r="AW682" s="103"/>
      <c r="AX682" s="103"/>
      <c r="AY682" s="103"/>
      <c r="AZ682" s="103"/>
      <c r="BA682" s="103"/>
      <c r="BB682" s="103"/>
      <c r="BC682" s="103"/>
      <c r="BD682" s="103"/>
      <c r="BE682" s="103"/>
      <c r="BF682" s="103"/>
      <c r="BG682" s="103"/>
      <c r="BH682" s="103"/>
      <c r="BI682" s="103"/>
      <c r="BJ682" s="103"/>
      <c r="BK682" s="103"/>
      <c r="BL682" s="103"/>
      <c r="BM682" s="103"/>
      <c r="BN682" s="103"/>
      <c r="BO682" s="103"/>
      <c r="BP682" s="103"/>
      <c r="BQ682" s="103"/>
      <c r="BR682" s="103"/>
      <c r="BS682" s="103"/>
      <c r="BT682" s="103"/>
      <c r="BU682" s="103"/>
      <c r="BV682" s="103"/>
      <c r="BW682" s="103"/>
      <c r="BX682" s="103"/>
      <c r="BY682" s="103"/>
      <c r="BZ682" s="103"/>
      <c r="CA682" s="103"/>
      <c r="CB682" s="103"/>
      <c r="CC682" s="103"/>
      <c r="CD682" s="103"/>
      <c r="CE682" s="103"/>
      <c r="CF682" s="103"/>
      <c r="CG682" s="103"/>
      <c r="CH682" s="103"/>
      <c r="CI682" s="103"/>
      <c r="CJ682" s="103"/>
      <c r="CK682" s="103"/>
      <c r="CL682" s="103"/>
      <c r="CM682" s="103"/>
      <c r="CN682" s="103"/>
      <c r="CO682" s="103"/>
    </row>
    <row r="683" spans="1:93">
      <c r="A683" s="233"/>
      <c r="B683" s="101"/>
      <c r="C683" s="169"/>
      <c r="D683" s="69"/>
      <c r="E683" s="62"/>
      <c r="F683" s="70"/>
      <c r="G683" s="11"/>
      <c r="H683" s="69"/>
      <c r="I683" s="69"/>
      <c r="J683" s="69"/>
      <c r="K683" s="69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  <c r="Z683" s="103"/>
      <c r="AA683" s="103"/>
      <c r="AB683" s="103"/>
      <c r="AC683" s="103"/>
      <c r="AD683" s="103"/>
      <c r="AE683" s="103"/>
      <c r="AF683" s="103"/>
      <c r="AG683" s="103"/>
      <c r="AH683" s="103"/>
      <c r="AI683" s="103"/>
      <c r="AJ683" s="103"/>
      <c r="AK683" s="103"/>
      <c r="AL683" s="103"/>
      <c r="AM683" s="103"/>
      <c r="AN683" s="103"/>
      <c r="AO683" s="103"/>
      <c r="AP683" s="103"/>
      <c r="AQ683" s="103"/>
      <c r="AR683" s="103"/>
      <c r="AS683" s="103"/>
      <c r="AT683" s="103"/>
      <c r="AU683" s="103"/>
      <c r="AV683" s="103"/>
      <c r="AW683" s="103"/>
      <c r="AX683" s="103"/>
      <c r="AY683" s="103"/>
      <c r="AZ683" s="103"/>
      <c r="BA683" s="103"/>
      <c r="BB683" s="103"/>
      <c r="BC683" s="103"/>
      <c r="BD683" s="103"/>
      <c r="BE683" s="103"/>
      <c r="BF683" s="103"/>
      <c r="BG683" s="103"/>
      <c r="BH683" s="103"/>
      <c r="BI683" s="103"/>
      <c r="BJ683" s="103"/>
      <c r="BK683" s="103"/>
      <c r="BL683" s="103"/>
      <c r="BM683" s="103"/>
      <c r="BN683" s="103"/>
      <c r="BO683" s="103"/>
      <c r="BP683" s="103"/>
      <c r="BQ683" s="103"/>
      <c r="BR683" s="103"/>
      <c r="BS683" s="103"/>
      <c r="BT683" s="103"/>
      <c r="BU683" s="103"/>
      <c r="BV683" s="103"/>
      <c r="BW683" s="103"/>
      <c r="BX683" s="103"/>
      <c r="BY683" s="103"/>
      <c r="BZ683" s="103"/>
      <c r="CA683" s="103"/>
      <c r="CB683" s="103"/>
      <c r="CC683" s="103"/>
      <c r="CD683" s="103"/>
      <c r="CE683" s="103"/>
      <c r="CF683" s="103"/>
      <c r="CG683" s="103"/>
      <c r="CH683" s="103"/>
      <c r="CI683" s="103"/>
      <c r="CJ683" s="103"/>
      <c r="CK683" s="103"/>
      <c r="CL683" s="103"/>
      <c r="CM683" s="103"/>
      <c r="CN683" s="103"/>
      <c r="CO683" s="103"/>
    </row>
    <row r="684" spans="1:93" ht="16" thickBot="1">
      <c r="A684" s="233"/>
      <c r="B684" s="10"/>
      <c r="C684" s="12" t="s">
        <v>884</v>
      </c>
      <c r="D684" s="12"/>
      <c r="E684" s="12"/>
      <c r="F684" s="12"/>
      <c r="G684" s="362"/>
      <c r="H684" s="12"/>
      <c r="I684" s="12"/>
      <c r="J684" s="69"/>
      <c r="K684" s="69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  <c r="Z684" s="103"/>
      <c r="AA684" s="103"/>
      <c r="AB684" s="103"/>
      <c r="AC684" s="103"/>
      <c r="AD684" s="103"/>
      <c r="AE684" s="103"/>
      <c r="AF684" s="103"/>
      <c r="AG684" s="103"/>
      <c r="AH684" s="103"/>
      <c r="AI684" s="103"/>
      <c r="AJ684" s="103"/>
      <c r="AK684" s="103"/>
      <c r="AL684" s="103"/>
      <c r="AM684" s="103"/>
      <c r="AN684" s="103"/>
      <c r="AO684" s="103"/>
      <c r="AP684" s="103"/>
      <c r="AQ684" s="103"/>
      <c r="AR684" s="103"/>
      <c r="AS684" s="103"/>
      <c r="AT684" s="103"/>
      <c r="AU684" s="103"/>
      <c r="AV684" s="103"/>
      <c r="AW684" s="103"/>
      <c r="AX684" s="103"/>
      <c r="AY684" s="103"/>
      <c r="AZ684" s="103"/>
      <c r="BA684" s="103"/>
      <c r="BB684" s="103"/>
      <c r="BC684" s="103"/>
      <c r="BD684" s="103"/>
      <c r="BE684" s="103"/>
      <c r="BF684" s="103"/>
      <c r="BG684" s="103"/>
      <c r="BH684" s="103"/>
      <c r="BI684" s="103"/>
      <c r="BJ684" s="103"/>
      <c r="BK684" s="103"/>
      <c r="BL684" s="103"/>
      <c r="BM684" s="103"/>
      <c r="BN684" s="103"/>
      <c r="BO684" s="103"/>
      <c r="BP684" s="103"/>
      <c r="BQ684" s="103"/>
      <c r="BR684" s="103"/>
      <c r="BS684" s="103"/>
      <c r="BT684" s="103"/>
      <c r="BU684" s="103"/>
      <c r="BV684" s="103"/>
      <c r="BW684" s="103"/>
      <c r="BX684" s="103"/>
      <c r="BY684" s="103"/>
      <c r="BZ684" s="103"/>
      <c r="CA684" s="103"/>
      <c r="CB684" s="103"/>
      <c r="CC684" s="103"/>
      <c r="CD684" s="103"/>
      <c r="CE684" s="103"/>
      <c r="CF684" s="103"/>
      <c r="CG684" s="103"/>
      <c r="CH684" s="103"/>
      <c r="CI684" s="103"/>
      <c r="CJ684" s="103"/>
      <c r="CK684" s="103"/>
      <c r="CL684" s="103"/>
      <c r="CM684" s="103"/>
      <c r="CN684" s="103"/>
      <c r="CO684" s="103"/>
    </row>
    <row r="685" spans="1:93">
      <c r="A685" s="233"/>
      <c r="B685" s="101"/>
      <c r="C685" s="169"/>
      <c r="D685" s="69"/>
      <c r="E685" s="62"/>
      <c r="F685" s="70"/>
      <c r="G685" s="11"/>
      <c r="H685" s="69"/>
      <c r="I685" s="69"/>
      <c r="J685" s="69"/>
      <c r="K685" s="69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  <c r="Z685" s="103"/>
      <c r="AA685" s="103"/>
      <c r="AB685" s="103"/>
      <c r="AC685" s="103"/>
      <c r="AD685" s="103"/>
      <c r="AE685" s="103"/>
      <c r="AF685" s="103"/>
      <c r="AG685" s="103"/>
      <c r="AH685" s="103"/>
      <c r="AI685" s="103"/>
      <c r="AJ685" s="103"/>
      <c r="AK685" s="103"/>
      <c r="AL685" s="103"/>
      <c r="AM685" s="103"/>
      <c r="AN685" s="103"/>
      <c r="AO685" s="103"/>
      <c r="AP685" s="103"/>
      <c r="AQ685" s="103"/>
      <c r="AR685" s="103"/>
      <c r="AS685" s="103"/>
      <c r="AT685" s="103"/>
      <c r="AU685" s="103"/>
      <c r="AV685" s="103"/>
      <c r="AW685" s="103"/>
      <c r="AX685" s="103"/>
      <c r="AY685" s="103"/>
      <c r="AZ685" s="103"/>
      <c r="BA685" s="103"/>
      <c r="BB685" s="103"/>
      <c r="BC685" s="103"/>
      <c r="BD685" s="103"/>
      <c r="BE685" s="103"/>
      <c r="BF685" s="103"/>
      <c r="BG685" s="103"/>
      <c r="BH685" s="103"/>
      <c r="BI685" s="103"/>
      <c r="BJ685" s="103"/>
      <c r="BK685" s="103"/>
      <c r="BL685" s="103"/>
      <c r="BM685" s="103"/>
      <c r="BN685" s="103"/>
      <c r="BO685" s="103"/>
      <c r="BP685" s="103"/>
      <c r="BQ685" s="103"/>
      <c r="BR685" s="103"/>
      <c r="BS685" s="103"/>
      <c r="BT685" s="103"/>
      <c r="BU685" s="103"/>
      <c r="BV685" s="103"/>
      <c r="BW685" s="103"/>
      <c r="BX685" s="103"/>
      <c r="BY685" s="103"/>
      <c r="BZ685" s="103"/>
      <c r="CA685" s="103"/>
      <c r="CB685" s="103"/>
      <c r="CC685" s="103"/>
      <c r="CD685" s="103"/>
      <c r="CE685" s="103"/>
      <c r="CF685" s="103"/>
      <c r="CG685" s="103"/>
      <c r="CH685" s="103"/>
      <c r="CI685" s="103"/>
      <c r="CJ685" s="103"/>
      <c r="CK685" s="103"/>
      <c r="CL685" s="103"/>
      <c r="CM685" s="103"/>
      <c r="CN685" s="103"/>
      <c r="CO685" s="103"/>
    </row>
    <row r="686" spans="1:93">
      <c r="A686" s="233"/>
      <c r="B686" s="101"/>
      <c r="C686" s="41" t="s">
        <v>701</v>
      </c>
      <c r="D686" s="69"/>
      <c r="E686" s="62"/>
      <c r="F686" s="70"/>
      <c r="G686" s="11"/>
      <c r="H686" s="69"/>
      <c r="I686" s="69"/>
      <c r="J686" s="69"/>
      <c r="K686" s="69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  <c r="Z686" s="103"/>
      <c r="AA686" s="103"/>
      <c r="AB686" s="103"/>
      <c r="AC686" s="103"/>
      <c r="AD686" s="103"/>
      <c r="AE686" s="103"/>
      <c r="AF686" s="103"/>
      <c r="AG686" s="103"/>
      <c r="AH686" s="103"/>
      <c r="AI686" s="103"/>
      <c r="AJ686" s="103"/>
      <c r="AK686" s="103"/>
      <c r="AL686" s="103"/>
      <c r="AM686" s="103"/>
      <c r="AN686" s="103"/>
      <c r="AO686" s="103"/>
      <c r="AP686" s="103"/>
      <c r="AQ686" s="103"/>
      <c r="AR686" s="103"/>
      <c r="AS686" s="103"/>
      <c r="AT686" s="103"/>
      <c r="AU686" s="103"/>
      <c r="AV686" s="103"/>
      <c r="AW686" s="103"/>
      <c r="AX686" s="103"/>
      <c r="AY686" s="103"/>
      <c r="AZ686" s="103"/>
      <c r="BA686" s="103"/>
      <c r="BB686" s="103"/>
      <c r="BC686" s="103"/>
      <c r="BD686" s="103"/>
      <c r="BE686" s="103"/>
      <c r="BF686" s="103"/>
      <c r="BG686" s="103"/>
      <c r="BH686" s="103"/>
      <c r="BI686" s="103"/>
      <c r="BJ686" s="103"/>
      <c r="BK686" s="103"/>
      <c r="BL686" s="103"/>
      <c r="BM686" s="103"/>
      <c r="BN686" s="103"/>
      <c r="BO686" s="103"/>
      <c r="BP686" s="103"/>
      <c r="BQ686" s="103"/>
      <c r="BR686" s="103"/>
      <c r="BS686" s="103"/>
      <c r="BT686" s="103"/>
      <c r="BU686" s="103"/>
      <c r="BV686" s="103"/>
      <c r="BW686" s="103"/>
      <c r="BX686" s="103"/>
      <c r="BY686" s="103"/>
      <c r="BZ686" s="103"/>
      <c r="CA686" s="103"/>
      <c r="CB686" s="103"/>
      <c r="CC686" s="103"/>
      <c r="CD686" s="103"/>
      <c r="CE686" s="103"/>
      <c r="CF686" s="103"/>
      <c r="CG686" s="103"/>
      <c r="CH686" s="103"/>
      <c r="CI686" s="103"/>
      <c r="CJ686" s="103"/>
      <c r="CK686" s="103"/>
      <c r="CL686" s="103"/>
      <c r="CM686" s="103"/>
      <c r="CN686" s="103"/>
      <c r="CO686" s="103"/>
    </row>
    <row r="687" spans="1:93">
      <c r="A687" s="233"/>
      <c r="B687" s="101"/>
      <c r="C687" s="17" t="s">
        <v>712</v>
      </c>
      <c r="D687" s="69"/>
      <c r="E687" s="241">
        <f xml:space="preserve"> E679</f>
        <v>0.37737723734408773</v>
      </c>
      <c r="F687" s="70"/>
      <c r="G687" s="11" t="s">
        <v>28</v>
      </c>
      <c r="H687" s="69"/>
      <c r="I687" s="69"/>
      <c r="J687" s="69"/>
      <c r="K687" s="69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  <c r="BB687" s="10"/>
      <c r="BC687" s="10"/>
      <c r="BD687" s="10"/>
      <c r="BE687" s="10"/>
      <c r="BF687" s="10"/>
      <c r="BG687" s="10"/>
      <c r="BH687" s="10"/>
      <c r="BI687" s="10"/>
      <c r="BJ687" s="10"/>
      <c r="BK687" s="10"/>
      <c r="BL687" s="10"/>
      <c r="BM687" s="10"/>
      <c r="BN687" s="10"/>
      <c r="BO687" s="10"/>
      <c r="BP687" s="10"/>
      <c r="BQ687" s="10"/>
      <c r="BR687" s="10"/>
      <c r="BS687" s="10"/>
      <c r="BT687" s="10"/>
      <c r="BU687" s="10"/>
      <c r="BV687" s="10"/>
      <c r="BW687" s="10"/>
      <c r="BX687" s="10"/>
      <c r="BY687" s="10"/>
      <c r="BZ687" s="10"/>
      <c r="CA687" s="10"/>
      <c r="CB687" s="10"/>
      <c r="CC687" s="10"/>
      <c r="CD687" s="10"/>
      <c r="CE687" s="10"/>
      <c r="CF687" s="10"/>
      <c r="CG687" s="10"/>
      <c r="CH687" s="10"/>
      <c r="CI687" s="10"/>
      <c r="CJ687" s="10"/>
      <c r="CK687" s="10"/>
      <c r="CL687" s="10"/>
      <c r="CM687" s="10"/>
      <c r="CN687" s="10"/>
      <c r="CO687" s="10"/>
    </row>
    <row r="688" spans="1:93">
      <c r="A688" s="233"/>
      <c r="B688" s="101"/>
      <c r="C688" s="405" t="s">
        <v>1136</v>
      </c>
      <c r="D688" s="69"/>
      <c r="E688" s="242"/>
      <c r="F688" s="70"/>
      <c r="G688" s="11" t="s">
        <v>28</v>
      </c>
      <c r="H688" s="69"/>
      <c r="I688" s="69"/>
      <c r="J688" s="69"/>
      <c r="K688" s="69"/>
      <c r="L688" s="451">
        <f t="shared" ref="L688:AQ688" si="5700">VAT_Rate_Periods-VAT_Rate_Zero_Periods</f>
        <v>0</v>
      </c>
      <c r="M688" s="451">
        <f t="shared" si="5700"/>
        <v>0</v>
      </c>
      <c r="N688" s="451">
        <f t="shared" si="5700"/>
        <v>0</v>
      </c>
      <c r="O688" s="451">
        <f t="shared" si="5700"/>
        <v>0</v>
      </c>
      <c r="P688" s="451">
        <f t="shared" si="5700"/>
        <v>0</v>
      </c>
      <c r="Q688" s="451">
        <f t="shared" si="5700"/>
        <v>0</v>
      </c>
      <c r="R688" s="451">
        <f t="shared" si="5700"/>
        <v>0</v>
      </c>
      <c r="S688" s="451">
        <f t="shared" si="5700"/>
        <v>0</v>
      </c>
      <c r="T688" s="451">
        <f t="shared" si="5700"/>
        <v>0</v>
      </c>
      <c r="U688" s="451">
        <f t="shared" si="5700"/>
        <v>0</v>
      </c>
      <c r="V688" s="451">
        <f t="shared" si="5700"/>
        <v>0</v>
      </c>
      <c r="W688" s="451">
        <f t="shared" si="5700"/>
        <v>0</v>
      </c>
      <c r="X688" s="451">
        <f t="shared" si="5700"/>
        <v>0</v>
      </c>
      <c r="Y688" s="451">
        <f t="shared" si="5700"/>
        <v>0</v>
      </c>
      <c r="Z688" s="451">
        <f t="shared" si="5700"/>
        <v>0</v>
      </c>
      <c r="AA688" s="451">
        <f t="shared" si="5700"/>
        <v>0</v>
      </c>
      <c r="AB688" s="451">
        <f t="shared" si="5700"/>
        <v>0</v>
      </c>
      <c r="AC688" s="451">
        <f t="shared" si="5700"/>
        <v>0.2</v>
      </c>
      <c r="AD688" s="451">
        <f t="shared" si="5700"/>
        <v>0.2</v>
      </c>
      <c r="AE688" s="451">
        <f t="shared" si="5700"/>
        <v>0.2</v>
      </c>
      <c r="AF688" s="451">
        <f t="shared" si="5700"/>
        <v>0.2</v>
      </c>
      <c r="AG688" s="451">
        <f t="shared" si="5700"/>
        <v>0.2</v>
      </c>
      <c r="AH688" s="451">
        <f t="shared" si="5700"/>
        <v>0.2</v>
      </c>
      <c r="AI688" s="451">
        <f t="shared" si="5700"/>
        <v>0.2</v>
      </c>
      <c r="AJ688" s="451">
        <f t="shared" si="5700"/>
        <v>0.2</v>
      </c>
      <c r="AK688" s="451">
        <f t="shared" si="5700"/>
        <v>0.2</v>
      </c>
      <c r="AL688" s="451">
        <f t="shared" si="5700"/>
        <v>0.2</v>
      </c>
      <c r="AM688" s="451">
        <f t="shared" si="5700"/>
        <v>0.2</v>
      </c>
      <c r="AN688" s="451">
        <f t="shared" si="5700"/>
        <v>0.2</v>
      </c>
      <c r="AO688" s="451">
        <f t="shared" si="5700"/>
        <v>0.2</v>
      </c>
      <c r="AP688" s="451">
        <f t="shared" si="5700"/>
        <v>0.2</v>
      </c>
      <c r="AQ688" s="451">
        <f t="shared" si="5700"/>
        <v>0.2</v>
      </c>
      <c r="AR688" s="451">
        <f t="shared" ref="AR688:BW688" si="5701">VAT_Rate_Periods-VAT_Rate_Zero_Periods</f>
        <v>0.2</v>
      </c>
      <c r="AS688" s="451">
        <f t="shared" si="5701"/>
        <v>0.2</v>
      </c>
      <c r="AT688" s="451">
        <f t="shared" si="5701"/>
        <v>0.2</v>
      </c>
      <c r="AU688" s="451">
        <f t="shared" si="5701"/>
        <v>0.2</v>
      </c>
      <c r="AV688" s="451">
        <f t="shared" si="5701"/>
        <v>0.2</v>
      </c>
      <c r="AW688" s="451">
        <f t="shared" si="5701"/>
        <v>0</v>
      </c>
      <c r="AX688" s="451">
        <f t="shared" si="5701"/>
        <v>0</v>
      </c>
      <c r="AY688" s="451">
        <f t="shared" si="5701"/>
        <v>0</v>
      </c>
      <c r="AZ688" s="451">
        <f t="shared" si="5701"/>
        <v>0</v>
      </c>
      <c r="BA688" s="451">
        <f t="shared" si="5701"/>
        <v>0</v>
      </c>
      <c r="BB688" s="451">
        <f t="shared" si="5701"/>
        <v>0</v>
      </c>
      <c r="BC688" s="451">
        <f t="shared" si="5701"/>
        <v>0</v>
      </c>
      <c r="BD688" s="451">
        <f t="shared" si="5701"/>
        <v>0</v>
      </c>
      <c r="BE688" s="451">
        <f t="shared" si="5701"/>
        <v>0</v>
      </c>
      <c r="BF688" s="451">
        <f t="shared" si="5701"/>
        <v>0</v>
      </c>
      <c r="BG688" s="451">
        <f t="shared" si="5701"/>
        <v>0</v>
      </c>
      <c r="BH688" s="451">
        <f t="shared" si="5701"/>
        <v>0</v>
      </c>
      <c r="BI688" s="451">
        <f t="shared" si="5701"/>
        <v>0</v>
      </c>
      <c r="BJ688" s="451">
        <f t="shared" si="5701"/>
        <v>0</v>
      </c>
      <c r="BK688" s="451">
        <f t="shared" si="5701"/>
        <v>0</v>
      </c>
      <c r="BL688" s="451">
        <f t="shared" si="5701"/>
        <v>0</v>
      </c>
      <c r="BM688" s="451">
        <f t="shared" si="5701"/>
        <v>0</v>
      </c>
      <c r="BN688" s="451">
        <f t="shared" si="5701"/>
        <v>0</v>
      </c>
      <c r="BO688" s="451">
        <f t="shared" si="5701"/>
        <v>0</v>
      </c>
      <c r="BP688" s="451">
        <f t="shared" si="5701"/>
        <v>0</v>
      </c>
      <c r="BQ688" s="451">
        <f t="shared" si="5701"/>
        <v>0</v>
      </c>
      <c r="BR688" s="451">
        <f t="shared" si="5701"/>
        <v>0</v>
      </c>
      <c r="BS688" s="451">
        <f t="shared" si="5701"/>
        <v>0</v>
      </c>
      <c r="BT688" s="451">
        <f t="shared" si="5701"/>
        <v>0</v>
      </c>
      <c r="BU688" s="451">
        <f t="shared" si="5701"/>
        <v>0</v>
      </c>
      <c r="BV688" s="451">
        <f t="shared" si="5701"/>
        <v>0</v>
      </c>
      <c r="BW688" s="451">
        <f t="shared" si="5701"/>
        <v>0</v>
      </c>
      <c r="BX688" s="451">
        <f t="shared" ref="BX688:CO688" si="5702">VAT_Rate_Periods-VAT_Rate_Zero_Periods</f>
        <v>0</v>
      </c>
      <c r="BY688" s="451">
        <f t="shared" si="5702"/>
        <v>0</v>
      </c>
      <c r="BZ688" s="451">
        <f t="shared" si="5702"/>
        <v>0</v>
      </c>
      <c r="CA688" s="451">
        <f t="shared" si="5702"/>
        <v>0</v>
      </c>
      <c r="CB688" s="451">
        <f t="shared" si="5702"/>
        <v>0</v>
      </c>
      <c r="CC688" s="451">
        <f t="shared" si="5702"/>
        <v>0</v>
      </c>
      <c r="CD688" s="451">
        <f t="shared" si="5702"/>
        <v>0</v>
      </c>
      <c r="CE688" s="451">
        <f t="shared" si="5702"/>
        <v>0</v>
      </c>
      <c r="CF688" s="451">
        <f t="shared" si="5702"/>
        <v>0</v>
      </c>
      <c r="CG688" s="451">
        <f t="shared" si="5702"/>
        <v>0</v>
      </c>
      <c r="CH688" s="451">
        <f t="shared" si="5702"/>
        <v>0</v>
      </c>
      <c r="CI688" s="451">
        <f t="shared" si="5702"/>
        <v>0</v>
      </c>
      <c r="CJ688" s="451">
        <f t="shared" si="5702"/>
        <v>0</v>
      </c>
      <c r="CK688" s="451">
        <f t="shared" si="5702"/>
        <v>0</v>
      </c>
      <c r="CL688" s="451">
        <f t="shared" si="5702"/>
        <v>0</v>
      </c>
      <c r="CM688" s="451">
        <f t="shared" si="5702"/>
        <v>0</v>
      </c>
      <c r="CN688" s="451">
        <f t="shared" si="5702"/>
        <v>0</v>
      </c>
      <c r="CO688" s="451">
        <f t="shared" si="5702"/>
        <v>0</v>
      </c>
    </row>
    <row r="689" spans="1:94">
      <c r="A689" s="233"/>
      <c r="B689" s="101"/>
      <c r="C689" s="17" t="s">
        <v>715</v>
      </c>
      <c r="D689" s="69"/>
      <c r="E689" s="62"/>
      <c r="F689" s="70"/>
      <c r="G689" s="11" t="s">
        <v>666</v>
      </c>
      <c r="H689" s="69"/>
      <c r="I689" s="69"/>
      <c r="J689" s="69"/>
      <c r="K689" s="69"/>
      <c r="L689" s="10">
        <f t="shared" ref="L689:AQ689" ca="1" si="5703" xml:space="preserve"> $E$630 * (Flag_Operations) * CPI_Accumulated_From_Date</f>
        <v>0</v>
      </c>
      <c r="M689" s="10">
        <f t="shared" ca="1" si="5703"/>
        <v>0</v>
      </c>
      <c r="N689" s="10">
        <f t="shared" ca="1" si="5703"/>
        <v>0</v>
      </c>
      <c r="O689" s="10">
        <f t="shared" ca="1" si="5703"/>
        <v>0</v>
      </c>
      <c r="P689" s="10">
        <f t="shared" ca="1" si="5703"/>
        <v>0</v>
      </c>
      <c r="Q689" s="10">
        <f t="shared" ca="1" si="5703"/>
        <v>0</v>
      </c>
      <c r="R689" s="10">
        <f t="shared" ca="1" si="5703"/>
        <v>0</v>
      </c>
      <c r="S689" s="10">
        <f t="shared" ca="1" si="5703"/>
        <v>0</v>
      </c>
      <c r="T689" s="10">
        <f t="shared" ca="1" si="5703"/>
        <v>0</v>
      </c>
      <c r="U689" s="10">
        <f t="shared" ca="1" si="5703"/>
        <v>0</v>
      </c>
      <c r="V689" s="10">
        <f t="shared" ca="1" si="5703"/>
        <v>0</v>
      </c>
      <c r="W689" s="10">
        <f t="shared" ca="1" si="5703"/>
        <v>0</v>
      </c>
      <c r="X689" s="10">
        <f t="shared" ca="1" si="5703"/>
        <v>0</v>
      </c>
      <c r="Y689" s="10">
        <f t="shared" ca="1" si="5703"/>
        <v>0</v>
      </c>
      <c r="Z689" s="10">
        <f t="shared" ca="1" si="5703"/>
        <v>0</v>
      </c>
      <c r="AA689" s="10">
        <f t="shared" ca="1" si="5703"/>
        <v>0</v>
      </c>
      <c r="AB689" s="10">
        <f t="shared" ca="1" si="5703"/>
        <v>0</v>
      </c>
      <c r="AC689" s="10">
        <f t="shared" ca="1" si="5703"/>
        <v>18973.112238398237</v>
      </c>
      <c r="AD689" s="10">
        <f t="shared" ca="1" si="5703"/>
        <v>19160.062026782391</v>
      </c>
      <c r="AE689" s="10">
        <f t="shared" ca="1" si="5703"/>
        <v>19348.853907435736</v>
      </c>
      <c r="AF689" s="10">
        <f t="shared" ca="1" si="5703"/>
        <v>19539.506031242305</v>
      </c>
      <c r="AG689" s="10">
        <f t="shared" ca="1" si="5703"/>
        <v>19732.036727934166</v>
      </c>
      <c r="AH689" s="10">
        <f t="shared" ca="1" si="5703"/>
        <v>19926.464507853689</v>
      </c>
      <c r="AI689" s="10">
        <f t="shared" ca="1" si="5703"/>
        <v>20122.808063733166</v>
      </c>
      <c r="AJ689" s="10">
        <f t="shared" ca="1" si="5703"/>
        <v>20321.086272491997</v>
      </c>
      <c r="AK689" s="10">
        <f t="shared" ca="1" si="5703"/>
        <v>20521.318197051532</v>
      </c>
      <c r="AL689" s="10">
        <f t="shared" ca="1" si="5703"/>
        <v>20723.523088167833</v>
      </c>
      <c r="AM689" s="10">
        <f t="shared" ca="1" si="5703"/>
        <v>20927.72038628249</v>
      </c>
      <c r="AN689" s="10">
        <f t="shared" ca="1" si="5703"/>
        <v>21133.929723391673</v>
      </c>
      <c r="AO689" s="10">
        <f t="shared" ca="1" si="5703"/>
        <v>21342.170924933591</v>
      </c>
      <c r="AP689" s="10">
        <f t="shared" ca="1" si="5703"/>
        <v>21552.464011694545</v>
      </c>
      <c r="AQ689" s="10">
        <f t="shared" ca="1" si="5703"/>
        <v>21764.829201733792</v>
      </c>
      <c r="AR689" s="10">
        <f t="shared" ref="AR689:BW689" ca="1" si="5704" xml:space="preserve"> $E$630 * (Flag_Operations) * CPI_Accumulated_From_Date</f>
        <v>21979.286912327341</v>
      </c>
      <c r="AS689" s="10">
        <f t="shared" ca="1" si="5704"/>
        <v>22195.857761930933</v>
      </c>
      <c r="AT689" s="10">
        <f t="shared" ca="1" si="5704"/>
        <v>22414.562572162326</v>
      </c>
      <c r="AU689" s="10">
        <f t="shared" ca="1" si="5704"/>
        <v>22635.422369803142</v>
      </c>
      <c r="AV689" s="10">
        <f t="shared" ca="1" si="5704"/>
        <v>22858.458388820432</v>
      </c>
      <c r="AW689" s="10">
        <f t="shared" ca="1" si="5704"/>
        <v>23083.692072408168</v>
      </c>
      <c r="AX689" s="10">
        <f t="shared" ca="1" si="5704"/>
        <v>23311.145075048815</v>
      </c>
      <c r="AY689" s="10">
        <f t="shared" ca="1" si="5704"/>
        <v>23540.839264595263</v>
      </c>
      <c r="AZ689" s="10">
        <f t="shared" ca="1" si="5704"/>
        <v>23772.796724373246</v>
      </c>
      <c r="BA689" s="10">
        <f t="shared" ca="1" si="5704"/>
        <v>24007.039755304486</v>
      </c>
      <c r="BB689" s="10">
        <f t="shared" ca="1" si="5704"/>
        <v>24243.59087805076</v>
      </c>
      <c r="BC689" s="10">
        <f t="shared" ca="1" si="5704"/>
        <v>24482.472835179065</v>
      </c>
      <c r="BD689" s="10">
        <f t="shared" ca="1" si="5704"/>
        <v>24723.708593348172</v>
      </c>
      <c r="BE689" s="10">
        <f t="shared" ca="1" si="5704"/>
        <v>24967.321345516666</v>
      </c>
      <c r="BF689" s="10">
        <f t="shared" ca="1" si="5704"/>
        <v>25213.334513172787</v>
      </c>
      <c r="BG689" s="10">
        <f t="shared" ca="1" si="5704"/>
        <v>25461.771748586227</v>
      </c>
      <c r="BH689" s="10">
        <f t="shared" ca="1" si="5704"/>
        <v>25712.656937082094</v>
      </c>
      <c r="BI689" s="10">
        <f t="shared" ca="1" si="5704"/>
        <v>25966.014199337325</v>
      </c>
      <c r="BJ689" s="10">
        <f t="shared" ca="1" si="5704"/>
        <v>26221.867893699695</v>
      </c>
      <c r="BK689" s="10">
        <f t="shared" ca="1" si="5704"/>
        <v>26480.242618529672</v>
      </c>
      <c r="BL689" s="10">
        <f t="shared" ca="1" si="5704"/>
        <v>26741.163214565375</v>
      </c>
      <c r="BM689" s="10">
        <f t="shared" ca="1" si="5704"/>
        <v>27004.654767310818</v>
      </c>
      <c r="BN689" s="10">
        <f t="shared" ca="1" si="5704"/>
        <v>27270.74260944768</v>
      </c>
      <c r="BO689" s="10">
        <f t="shared" ca="1" si="5704"/>
        <v>27539.452323270856</v>
      </c>
      <c r="BP689" s="10">
        <f t="shared" ca="1" si="5704"/>
        <v>27810.809743147987</v>
      </c>
      <c r="BQ689" s="10">
        <f t="shared" ca="1" si="5704"/>
        <v>28084.840958003246</v>
      </c>
      <c r="BR689" s="10">
        <f t="shared" ca="1" si="5704"/>
        <v>28361.572313825582</v>
      </c>
      <c r="BS689" s="10">
        <f t="shared" ca="1" si="5704"/>
        <v>28641.030416201684</v>
      </c>
      <c r="BT689" s="10">
        <f t="shared" ca="1" si="5704"/>
        <v>28923.2421328739</v>
      </c>
      <c r="BU689" s="10">
        <f t="shared" ca="1" si="5704"/>
        <v>29208.234596323367</v>
      </c>
      <c r="BV689" s="10">
        <f t="shared" ca="1" si="5704"/>
        <v>29496.035206378598</v>
      </c>
      <c r="BW689" s="10">
        <f t="shared" ca="1" si="5704"/>
        <v>29786.671632849742</v>
      </c>
      <c r="BX689" s="10">
        <f t="shared" ref="BX689:CO689" ca="1" si="5705" xml:space="preserve"> $E$630 * (Flag_Operations) * CPI_Accumulated_From_Date</f>
        <v>30080.17181818885</v>
      </c>
      <c r="BY689" s="10">
        <f t="shared" ca="1" si="5705"/>
        <v>30376.563980176299</v>
      </c>
      <c r="BZ689" s="10">
        <f t="shared" ca="1" si="5705"/>
        <v>30675.87661463374</v>
      </c>
      <c r="CA689" s="10">
        <f t="shared" ca="1" si="5705"/>
        <v>30978.138498163731</v>
      </c>
      <c r="CB689" s="10">
        <f t="shared" ca="1" si="5705"/>
        <v>31283.378690916405</v>
      </c>
      <c r="CC689" s="10">
        <f t="shared" ca="1" si="5705"/>
        <v>31591.626539383349</v>
      </c>
      <c r="CD689" s="10">
        <f t="shared" ca="1" si="5705"/>
        <v>31902.911679219087</v>
      </c>
      <c r="CE689" s="10">
        <f t="shared" ca="1" si="5705"/>
        <v>32217.264038090281</v>
      </c>
      <c r="CF689" s="10">
        <f t="shared" ca="1" si="5705"/>
        <v>32534.713838553056</v>
      </c>
      <c r="CG689" s="10">
        <f t="shared" ca="1" si="5705"/>
        <v>32855.291600958684</v>
      </c>
      <c r="CH689" s="10">
        <f t="shared" ca="1" si="5705"/>
        <v>33179.028146387849</v>
      </c>
      <c r="CI689" s="10">
        <f t="shared" ca="1" si="5705"/>
        <v>33505.954599613891</v>
      </c>
      <c r="CJ689" s="10">
        <f t="shared" ca="1" si="5705"/>
        <v>33836.102392095177</v>
      </c>
      <c r="CK689" s="10">
        <f t="shared" ca="1" si="5705"/>
        <v>34169.503264997031</v>
      </c>
      <c r="CL689" s="10">
        <f t="shared" ca="1" si="5705"/>
        <v>34506.189272243362</v>
      </c>
      <c r="CM689" s="10">
        <f t="shared" ca="1" si="5705"/>
        <v>34846.192783598439</v>
      </c>
      <c r="CN689" s="10">
        <f t="shared" ca="1" si="5705"/>
        <v>35189.546487778978</v>
      </c>
      <c r="CO689" s="10">
        <f t="shared" ca="1" si="5705"/>
        <v>35536.283395596904</v>
      </c>
    </row>
    <row r="690" spans="1:94" ht="15" thickBot="1">
      <c r="A690" s="233"/>
      <c r="B690" s="101"/>
      <c r="C690" s="17" t="s">
        <v>659</v>
      </c>
      <c r="D690" s="69"/>
      <c r="E690" s="62"/>
      <c r="F690" s="70"/>
      <c r="G690" s="11" t="s">
        <v>686</v>
      </c>
      <c r="H690" s="69"/>
      <c r="I690" s="69"/>
      <c r="J690" s="69"/>
      <c r="K690" s="69"/>
      <c r="L690" s="10">
        <f t="shared" ref="L690:AQ690" si="5706" xml:space="preserve"> L542</f>
        <v>0</v>
      </c>
      <c r="M690" s="10">
        <f t="shared" si="5706"/>
        <v>0</v>
      </c>
      <c r="N690" s="10">
        <f t="shared" si="5706"/>
        <v>0</v>
      </c>
      <c r="O690" s="10">
        <f t="shared" si="5706"/>
        <v>0</v>
      </c>
      <c r="P690" s="10">
        <f t="shared" si="5706"/>
        <v>0</v>
      </c>
      <c r="Q690" s="10">
        <f t="shared" si="5706"/>
        <v>0</v>
      </c>
      <c r="R690" s="10">
        <f t="shared" si="5706"/>
        <v>0</v>
      </c>
      <c r="S690" s="10">
        <f t="shared" si="5706"/>
        <v>0</v>
      </c>
      <c r="T690" s="10">
        <f t="shared" si="5706"/>
        <v>0</v>
      </c>
      <c r="U690" s="10">
        <f t="shared" si="5706"/>
        <v>0</v>
      </c>
      <c r="V690" s="10">
        <f t="shared" si="5706"/>
        <v>0</v>
      </c>
      <c r="W690" s="10">
        <f t="shared" si="5706"/>
        <v>0</v>
      </c>
      <c r="X690" s="10">
        <f t="shared" si="5706"/>
        <v>0</v>
      </c>
      <c r="Y690" s="10">
        <f t="shared" si="5706"/>
        <v>0</v>
      </c>
      <c r="Z690" s="10">
        <f t="shared" si="5706"/>
        <v>0</v>
      </c>
      <c r="AA690" s="10">
        <f t="shared" si="5706"/>
        <v>0</v>
      </c>
      <c r="AB690" s="10">
        <f t="shared" si="5706"/>
        <v>0</v>
      </c>
      <c r="AC690" s="10">
        <f t="shared" si="5706"/>
        <v>9116.0777385158999</v>
      </c>
      <c r="AD690" s="10">
        <f t="shared" si="5706"/>
        <v>11746.52532391048</v>
      </c>
      <c r="AE690" s="10">
        <f t="shared" si="5706"/>
        <v>6891.098771664143</v>
      </c>
      <c r="AF690" s="10">
        <f t="shared" si="5706"/>
        <v>6696.6178697627465</v>
      </c>
      <c r="AG690" s="10">
        <f t="shared" si="5706"/>
        <v>10466.607773851591</v>
      </c>
      <c r="AH690" s="10">
        <f t="shared" si="5706"/>
        <v>13424.600370183411</v>
      </c>
      <c r="AI690" s="10">
        <f t="shared" si="5706"/>
        <v>7841.5951539626476</v>
      </c>
      <c r="AJ690" s="10">
        <f t="shared" si="5706"/>
        <v>7589.5002523977819</v>
      </c>
      <c r="AK690" s="10">
        <f t="shared" si="5706"/>
        <v>11817.137809187283</v>
      </c>
      <c r="AL690" s="10">
        <f t="shared" si="5706"/>
        <v>15102.675416456341</v>
      </c>
      <c r="AM690" s="10">
        <f t="shared" si="5706"/>
        <v>8792.0915362611522</v>
      </c>
      <c r="AN690" s="10">
        <f t="shared" si="5706"/>
        <v>8576.6313309776269</v>
      </c>
      <c r="AO690" s="10">
        <f t="shared" si="5706"/>
        <v>13167.667844522966</v>
      </c>
      <c r="AP690" s="10">
        <f t="shared" si="5706"/>
        <v>16361.231701161028</v>
      </c>
      <c r="AQ690" s="10">
        <f t="shared" si="5706"/>
        <v>9267.3397274103972</v>
      </c>
      <c r="AR690" s="10">
        <f t="shared" ref="AR690:BW690" si="5707" xml:space="preserve"> AR542</f>
        <v>8705.6032306915695</v>
      </c>
      <c r="AS690" s="10">
        <f t="shared" si="5707"/>
        <v>13167.667844522966</v>
      </c>
      <c r="AT690" s="10">
        <f t="shared" si="5707"/>
        <v>16361.231701161028</v>
      </c>
      <c r="AU690" s="10">
        <f t="shared" si="5707"/>
        <v>9267.3397274103972</v>
      </c>
      <c r="AV690" s="10">
        <f t="shared" si="5707"/>
        <v>8705.6032306915695</v>
      </c>
      <c r="AW690" s="10">
        <f t="shared" si="5707"/>
        <v>13167.667844522966</v>
      </c>
      <c r="AX690" s="10">
        <f t="shared" si="5707"/>
        <v>16361.231701161028</v>
      </c>
      <c r="AY690" s="10">
        <f t="shared" si="5707"/>
        <v>9267.3397274103972</v>
      </c>
      <c r="AZ690" s="10">
        <f t="shared" si="5707"/>
        <v>8705.6032306915695</v>
      </c>
      <c r="BA690" s="10">
        <f t="shared" si="5707"/>
        <v>13167.667844522966</v>
      </c>
      <c r="BB690" s="10">
        <f t="shared" si="5707"/>
        <v>16361.231701161028</v>
      </c>
      <c r="BC690" s="10">
        <f t="shared" si="5707"/>
        <v>9267.3397274103972</v>
      </c>
      <c r="BD690" s="10">
        <f t="shared" si="5707"/>
        <v>8802.3321554770318</v>
      </c>
      <c r="BE690" s="10">
        <f t="shared" si="5707"/>
        <v>13167.667844522966</v>
      </c>
      <c r="BF690" s="10">
        <f t="shared" si="5707"/>
        <v>16361.231701161028</v>
      </c>
      <c r="BG690" s="10">
        <f t="shared" si="5707"/>
        <v>9267.3397274103972</v>
      </c>
      <c r="BH690" s="10">
        <f t="shared" si="5707"/>
        <v>8705.6032306915695</v>
      </c>
      <c r="BI690" s="10">
        <f t="shared" si="5707"/>
        <v>13167.667844522966</v>
      </c>
      <c r="BJ690" s="10">
        <f t="shared" si="5707"/>
        <v>16361.231701161028</v>
      </c>
      <c r="BK690" s="10">
        <f t="shared" si="5707"/>
        <v>9267.3397274103972</v>
      </c>
      <c r="BL690" s="10">
        <f t="shared" si="5707"/>
        <v>8705.6032306915695</v>
      </c>
      <c r="BM690" s="10">
        <f t="shared" si="5707"/>
        <v>13167.667844522966</v>
      </c>
      <c r="BN690" s="10">
        <f t="shared" si="5707"/>
        <v>16361.231701161028</v>
      </c>
      <c r="BO690" s="10">
        <f t="shared" si="5707"/>
        <v>9267.3397274103972</v>
      </c>
      <c r="BP690" s="10">
        <f t="shared" si="5707"/>
        <v>8705.6032306915695</v>
      </c>
      <c r="BQ690" s="10">
        <f t="shared" si="5707"/>
        <v>13167.667844522966</v>
      </c>
      <c r="BR690" s="10">
        <f t="shared" si="5707"/>
        <v>16361.231701161028</v>
      </c>
      <c r="BS690" s="10">
        <f t="shared" si="5707"/>
        <v>9267.3397274103972</v>
      </c>
      <c r="BT690" s="10">
        <f t="shared" si="5707"/>
        <v>8802.3321554770318</v>
      </c>
      <c r="BU690" s="10">
        <f t="shared" si="5707"/>
        <v>13167.667844522966</v>
      </c>
      <c r="BV690" s="10">
        <f t="shared" si="5707"/>
        <v>16361.231701161028</v>
      </c>
      <c r="BW690" s="10">
        <f t="shared" si="5707"/>
        <v>9267.3397274103972</v>
      </c>
      <c r="BX690" s="10">
        <f t="shared" ref="BX690:CO690" si="5708" xml:space="preserve"> BX542</f>
        <v>8705.6032306915695</v>
      </c>
      <c r="BY690" s="10">
        <f t="shared" si="5708"/>
        <v>13167.667844522966</v>
      </c>
      <c r="BZ690" s="10">
        <f t="shared" si="5708"/>
        <v>16361.231701161028</v>
      </c>
      <c r="CA690" s="10">
        <f t="shared" si="5708"/>
        <v>9267.3397274103972</v>
      </c>
      <c r="CB690" s="10">
        <f t="shared" si="5708"/>
        <v>8705.6032306915695</v>
      </c>
      <c r="CC690" s="10">
        <f t="shared" si="5708"/>
        <v>13167.667844522966</v>
      </c>
      <c r="CD690" s="10">
        <f t="shared" si="5708"/>
        <v>16361.231701161028</v>
      </c>
      <c r="CE690" s="10">
        <f t="shared" si="5708"/>
        <v>9267.3397274103972</v>
      </c>
      <c r="CF690" s="10">
        <f t="shared" si="5708"/>
        <v>8705.6032306915695</v>
      </c>
      <c r="CG690" s="10">
        <f t="shared" si="5708"/>
        <v>13167.667844522966</v>
      </c>
      <c r="CH690" s="10">
        <f t="shared" si="5708"/>
        <v>16361.231701161028</v>
      </c>
      <c r="CI690" s="10">
        <f t="shared" si="5708"/>
        <v>9267.3397274103972</v>
      </c>
      <c r="CJ690" s="10">
        <f t="shared" si="5708"/>
        <v>8802.3321554770318</v>
      </c>
      <c r="CK690" s="10">
        <f t="shared" si="5708"/>
        <v>13167.667844522966</v>
      </c>
      <c r="CL690" s="10">
        <f t="shared" si="5708"/>
        <v>16361.231701161028</v>
      </c>
      <c r="CM690" s="10">
        <f t="shared" si="5708"/>
        <v>9267.3397274103972</v>
      </c>
      <c r="CN690" s="10">
        <f t="shared" si="5708"/>
        <v>8705.6032306915695</v>
      </c>
      <c r="CO690" s="10">
        <f t="shared" si="5708"/>
        <v>13167.667844522966</v>
      </c>
    </row>
    <row r="691" spans="1:94" ht="15" thickTop="1">
      <c r="A691" s="233"/>
      <c r="B691" s="101"/>
      <c r="C691" s="49" t="s">
        <v>687</v>
      </c>
      <c r="D691" s="49"/>
      <c r="E691" s="136"/>
      <c r="F691" s="49"/>
      <c r="G691" s="159" t="str">
        <f>Monetary_Unit</f>
        <v>тыс. руб.</v>
      </c>
      <c r="H691" s="49"/>
      <c r="I691" s="23">
        <f ca="1">SUM(L691:CO691)</f>
        <v>19916110.400683798</v>
      </c>
      <c r="J691" s="49"/>
      <c r="K691" s="49"/>
      <c r="L691" s="49">
        <f t="shared" ref="L691:AQ691" ca="1" si="5709" xml:space="preserve"> L689 * L690 / Thousand</f>
        <v>0</v>
      </c>
      <c r="M691" s="49">
        <f t="shared" ca="1" si="5709"/>
        <v>0</v>
      </c>
      <c r="N691" s="49">
        <f t="shared" ca="1" si="5709"/>
        <v>0</v>
      </c>
      <c r="O691" s="49">
        <f t="shared" ca="1" si="5709"/>
        <v>0</v>
      </c>
      <c r="P691" s="49">
        <f t="shared" ca="1" si="5709"/>
        <v>0</v>
      </c>
      <c r="Q691" s="49">
        <f t="shared" ca="1" si="5709"/>
        <v>0</v>
      </c>
      <c r="R691" s="49">
        <f t="shared" ca="1" si="5709"/>
        <v>0</v>
      </c>
      <c r="S691" s="49">
        <f t="shared" ca="1" si="5709"/>
        <v>0</v>
      </c>
      <c r="T691" s="49">
        <f t="shared" ca="1" si="5709"/>
        <v>0</v>
      </c>
      <c r="U691" s="49">
        <f t="shared" ca="1" si="5709"/>
        <v>0</v>
      </c>
      <c r="V691" s="49">
        <f t="shared" ca="1" si="5709"/>
        <v>0</v>
      </c>
      <c r="W691" s="49">
        <f t="shared" ca="1" si="5709"/>
        <v>0</v>
      </c>
      <c r="X691" s="49">
        <f t="shared" ca="1" si="5709"/>
        <v>0</v>
      </c>
      <c r="Y691" s="49">
        <f t="shared" ca="1" si="5709"/>
        <v>0</v>
      </c>
      <c r="Z691" s="49">
        <f t="shared" ca="1" si="5709"/>
        <v>0</v>
      </c>
      <c r="AA691" s="49">
        <f t="shared" ca="1" si="5709"/>
        <v>0</v>
      </c>
      <c r="AB691" s="49">
        <f t="shared" ca="1" si="5709"/>
        <v>0</v>
      </c>
      <c r="AC691" s="49">
        <f t="shared" ca="1" si="5709"/>
        <v>172960.36610682574</v>
      </c>
      <c r="AD691" s="49">
        <f t="shared" ca="1" si="5709"/>
        <v>225064.15380529492</v>
      </c>
      <c r="AE691" s="49">
        <f t="shared" ca="1" si="5709"/>
        <v>133334.86339463937</v>
      </c>
      <c r="AF691" s="49">
        <f t="shared" ca="1" si="5709"/>
        <v>130848.60525515418</v>
      </c>
      <c r="AG691" s="49">
        <f t="shared" ca="1" si="5709"/>
        <v>206527.48901052083</v>
      </c>
      <c r="AH691" s="49">
        <f t="shared" ca="1" si="5709"/>
        <v>267504.82280857925</v>
      </c>
      <c r="AI691" s="49">
        <f t="shared" ca="1" si="5709"/>
        <v>157794.91419669046</v>
      </c>
      <c r="AJ691" s="49">
        <f t="shared" ca="1" si="5709"/>
        <v>154226.88939407511</v>
      </c>
      <c r="AK691" s="49">
        <f t="shared" ca="1" si="5709"/>
        <v>242503.24516074068</v>
      </c>
      <c r="AL691" s="49">
        <f t="shared" ca="1" si="5709"/>
        <v>312980.6426860377</v>
      </c>
      <c r="AM691" s="49">
        <f t="shared" ca="1" si="5709"/>
        <v>183998.43328147425</v>
      </c>
      <c r="AN691" s="49">
        <f t="shared" ca="1" si="5709"/>
        <v>181257.92381232034</v>
      </c>
      <c r="AO691" s="49">
        <f t="shared" ca="1" si="5709"/>
        <v>281026.61782056099</v>
      </c>
      <c r="AP691" s="49">
        <f t="shared" ca="1" si="5709"/>
        <v>352624.85742626898</v>
      </c>
      <c r="AQ691" s="49">
        <f t="shared" ca="1" si="5709"/>
        <v>201702.06632152948</v>
      </c>
      <c r="AR691" s="49">
        <f t="shared" ref="AR691:BW691" ca="1" si="5710" xml:space="preserve"> AR689 * AR690 / Thousand</f>
        <v>191342.95115225384</v>
      </c>
      <c r="AS691" s="49">
        <f t="shared" ca="1" si="5710"/>
        <v>292267.68253338343</v>
      </c>
      <c r="AT691" s="49">
        <f t="shared" ca="1" si="5710"/>
        <v>366729.85172331973</v>
      </c>
      <c r="AU691" s="49">
        <f t="shared" ca="1" si="5710"/>
        <v>209770.14897439064</v>
      </c>
      <c r="AV691" s="49">
        <f t="shared" ca="1" si="5710"/>
        <v>198996.66919834397</v>
      </c>
      <c r="AW691" s="49">
        <f t="shared" ca="1" si="5710"/>
        <v>303958.38983471878</v>
      </c>
      <c r="AX691" s="49">
        <f t="shared" ca="1" si="5710"/>
        <v>381399.04579225241</v>
      </c>
      <c r="AY691" s="49">
        <f t="shared" ca="1" si="5710"/>
        <v>218160.95493336624</v>
      </c>
      <c r="AZ691" s="49">
        <f t="shared" ca="1" si="5710"/>
        <v>206956.53596627768</v>
      </c>
      <c r="BA691" s="49">
        <f t="shared" ca="1" si="5710"/>
        <v>316116.72542810737</v>
      </c>
      <c r="BB691" s="49">
        <f t="shared" ca="1" si="5710"/>
        <v>396655.00762394245</v>
      </c>
      <c r="BC691" s="49">
        <f t="shared" ca="1" si="5710"/>
        <v>226887.39313070083</v>
      </c>
      <c r="BD691" s="49">
        <f t="shared" ca="1" si="5710"/>
        <v>217626.29515387243</v>
      </c>
      <c r="BE691" s="49">
        <f t="shared" ca="1" si="5710"/>
        <v>328761.39444523165</v>
      </c>
      <c r="BF691" s="49">
        <f t="shared" ca="1" si="5710"/>
        <v>412521.20792890008</v>
      </c>
      <c r="BG691" s="49">
        <f t="shared" ca="1" si="5710"/>
        <v>235962.88885592885</v>
      </c>
      <c r="BH691" s="49">
        <f t="shared" ca="1" si="5710"/>
        <v>223844.18930112588</v>
      </c>
      <c r="BI691" s="49">
        <f t="shared" ca="1" si="5710"/>
        <v>341911.85022304091</v>
      </c>
      <c r="BJ691" s="49">
        <f t="shared" ca="1" si="5710"/>
        <v>429022.05624605605</v>
      </c>
      <c r="BK691" s="49">
        <f t="shared" ca="1" si="5710"/>
        <v>245401.40441016597</v>
      </c>
      <c r="BL691" s="49">
        <f t="shared" ca="1" si="5710"/>
        <v>232797.95687317089</v>
      </c>
      <c r="BM691" s="49">
        <f t="shared" ca="1" si="5710"/>
        <v>355588.3242319625</v>
      </c>
      <c r="BN691" s="49">
        <f t="shared" ca="1" si="5710"/>
        <v>446182.93849589821</v>
      </c>
      <c r="BO691" s="49">
        <f t="shared" ca="1" si="5710"/>
        <v>255217.46058657256</v>
      </c>
      <c r="BP691" s="49">
        <f t="shared" ca="1" si="5710"/>
        <v>242109.87514809769</v>
      </c>
      <c r="BQ691" s="49">
        <f t="shared" ca="1" si="5710"/>
        <v>369811.8572012409</v>
      </c>
      <c r="BR691" s="49">
        <f t="shared" ca="1" si="5710"/>
        <v>464030.25603573408</v>
      </c>
      <c r="BS691" s="49">
        <f t="shared" ca="1" si="5710"/>
        <v>265426.15901003539</v>
      </c>
      <c r="BT691" s="49">
        <f t="shared" ca="1" si="5710"/>
        <v>254591.98426684403</v>
      </c>
      <c r="BU691" s="49">
        <f t="shared" ca="1" si="5710"/>
        <v>384604.33148929046</v>
      </c>
      <c r="BV691" s="49">
        <f t="shared" ca="1" si="5710"/>
        <v>482591.46627716324</v>
      </c>
      <c r="BW691" s="49">
        <f t="shared" ca="1" si="5710"/>
        <v>276043.20537043671</v>
      </c>
      <c r="BX691" s="49">
        <f t="shared" ref="BX691:CO691" ca="1" si="5711" xml:space="preserve"> BX689 * BX690 / Thousand</f>
        <v>261866.04096018238</v>
      </c>
      <c r="BY691" s="49">
        <f t="shared" ca="1" si="5711"/>
        <v>399988.504748862</v>
      </c>
      <c r="BZ691" s="49">
        <f t="shared" ca="1" si="5711"/>
        <v>501895.1249282498</v>
      </c>
      <c r="CA691" s="49">
        <f t="shared" ca="1" si="5711"/>
        <v>287084.93358525418</v>
      </c>
      <c r="CB691" s="49">
        <f t="shared" ca="1" si="5711"/>
        <v>272340.68259858969</v>
      </c>
      <c r="CC691" s="49">
        <f t="shared" ca="1" si="5711"/>
        <v>415988.04493881651</v>
      </c>
      <c r="CD691" s="49">
        <f t="shared" ca="1" si="5711"/>
        <v>521970.92992537975</v>
      </c>
      <c r="CE691" s="49">
        <f t="shared" ca="1" si="5711"/>
        <v>298568.33092866436</v>
      </c>
      <c r="CF691" s="49">
        <f t="shared" ca="1" si="5711"/>
        <v>283234.30990253319</v>
      </c>
      <c r="CG691" s="49">
        <f t="shared" ca="1" si="5711"/>
        <v>432627.56673636916</v>
      </c>
      <c r="CH691" s="49">
        <f t="shared" ca="1" si="5711"/>
        <v>542849.76712239487</v>
      </c>
      <c r="CI691" s="49">
        <f t="shared" ca="1" si="5711"/>
        <v>310511.06416581094</v>
      </c>
      <c r="CJ691" s="49">
        <f t="shared" ca="1" si="5711"/>
        <v>297836.61210195266</v>
      </c>
      <c r="CK691" s="49">
        <f t="shared" ca="1" si="5711"/>
        <v>449932.66940582386</v>
      </c>
      <c r="CL691" s="49">
        <f t="shared" ca="1" si="5711"/>
        <v>564563.75780729065</v>
      </c>
      <c r="CM691" s="49">
        <f t="shared" ca="1" si="5711"/>
        <v>322931.50673244335</v>
      </c>
      <c r="CN691" s="49">
        <f t="shared" ca="1" si="5711"/>
        <v>306346.22959057987</v>
      </c>
      <c r="CO691" s="49">
        <f t="shared" ca="1" si="5711"/>
        <v>467929.97618205677</v>
      </c>
    </row>
    <row r="692" spans="1:94">
      <c r="A692" s="233"/>
      <c r="B692" s="233"/>
      <c r="C692" s="17" t="s">
        <v>1178</v>
      </c>
      <c r="D692" s="69"/>
      <c r="E692" s="62"/>
      <c r="F692" s="70"/>
      <c r="G692" s="11"/>
      <c r="H692" s="69"/>
      <c r="I692" s="23">
        <f ca="1">SUM(L692:CO692)</f>
        <v>892692.63881248073</v>
      </c>
      <c r="J692" s="69"/>
      <c r="K692" s="69"/>
      <c r="L692" s="10">
        <f ca="1">L691*L688</f>
        <v>0</v>
      </c>
      <c r="M692" s="10">
        <f t="shared" ref="M692:BX692" ca="1" si="5712">M691*M688</f>
        <v>0</v>
      </c>
      <c r="N692" s="10">
        <f t="shared" ca="1" si="5712"/>
        <v>0</v>
      </c>
      <c r="O692" s="10">
        <f t="shared" ca="1" si="5712"/>
        <v>0</v>
      </c>
      <c r="P692" s="10">
        <f t="shared" ca="1" si="5712"/>
        <v>0</v>
      </c>
      <c r="Q692" s="10">
        <f t="shared" ca="1" si="5712"/>
        <v>0</v>
      </c>
      <c r="R692" s="10">
        <f t="shared" ca="1" si="5712"/>
        <v>0</v>
      </c>
      <c r="S692" s="10">
        <f t="shared" ca="1" si="5712"/>
        <v>0</v>
      </c>
      <c r="T692" s="10">
        <f t="shared" ca="1" si="5712"/>
        <v>0</v>
      </c>
      <c r="U692" s="10">
        <f t="shared" ca="1" si="5712"/>
        <v>0</v>
      </c>
      <c r="V692" s="10">
        <f t="shared" ca="1" si="5712"/>
        <v>0</v>
      </c>
      <c r="W692" s="10">
        <f t="shared" ca="1" si="5712"/>
        <v>0</v>
      </c>
      <c r="X692" s="10">
        <f t="shared" ca="1" si="5712"/>
        <v>0</v>
      </c>
      <c r="Y692" s="10">
        <f t="shared" ca="1" si="5712"/>
        <v>0</v>
      </c>
      <c r="Z692" s="10">
        <f t="shared" ca="1" si="5712"/>
        <v>0</v>
      </c>
      <c r="AA692" s="10">
        <f t="shared" ca="1" si="5712"/>
        <v>0</v>
      </c>
      <c r="AB692" s="10">
        <f t="shared" ca="1" si="5712"/>
        <v>0</v>
      </c>
      <c r="AC692" s="10">
        <f t="shared" ca="1" si="5712"/>
        <v>34592.07322136515</v>
      </c>
      <c r="AD692" s="10">
        <f t="shared" ca="1" si="5712"/>
        <v>45012.830761058984</v>
      </c>
      <c r="AE692" s="10">
        <f t="shared" ca="1" si="5712"/>
        <v>26666.972678927876</v>
      </c>
      <c r="AF692" s="10">
        <f t="shared" ca="1" si="5712"/>
        <v>26169.721051030836</v>
      </c>
      <c r="AG692" s="10">
        <f t="shared" ca="1" si="5712"/>
        <v>41305.497802104168</v>
      </c>
      <c r="AH692" s="10">
        <f t="shared" ca="1" si="5712"/>
        <v>53500.964561715853</v>
      </c>
      <c r="AI692" s="10">
        <f t="shared" ca="1" si="5712"/>
        <v>31558.982839338092</v>
      </c>
      <c r="AJ692" s="10">
        <f t="shared" ca="1" si="5712"/>
        <v>30845.377878815023</v>
      </c>
      <c r="AK692" s="10">
        <f t="shared" ca="1" si="5712"/>
        <v>48500.64903214814</v>
      </c>
      <c r="AL692" s="10">
        <f t="shared" ca="1" si="5712"/>
        <v>62596.128537207544</v>
      </c>
      <c r="AM692" s="10">
        <f t="shared" ca="1" si="5712"/>
        <v>36799.686656294849</v>
      </c>
      <c r="AN692" s="10">
        <f t="shared" ca="1" si="5712"/>
        <v>36251.584762464066</v>
      </c>
      <c r="AO692" s="10">
        <f t="shared" ca="1" si="5712"/>
        <v>56205.323564112201</v>
      </c>
      <c r="AP692" s="10">
        <f t="shared" ca="1" si="5712"/>
        <v>70524.971485253802</v>
      </c>
      <c r="AQ692" s="10">
        <f t="shared" ca="1" si="5712"/>
        <v>40340.413264305898</v>
      </c>
      <c r="AR692" s="10">
        <f t="shared" ca="1" si="5712"/>
        <v>38268.590230450769</v>
      </c>
      <c r="AS692" s="10">
        <f t="shared" ca="1" si="5712"/>
        <v>58453.53650667669</v>
      </c>
      <c r="AT692" s="10">
        <f t="shared" ca="1" si="5712"/>
        <v>73345.970344663947</v>
      </c>
      <c r="AU692" s="10">
        <f t="shared" ca="1" si="5712"/>
        <v>41954.02979487813</v>
      </c>
      <c r="AV692" s="10">
        <f t="shared" ca="1" si="5712"/>
        <v>39799.333839668798</v>
      </c>
      <c r="AW692" s="10">
        <f t="shared" ca="1" si="5712"/>
        <v>0</v>
      </c>
      <c r="AX692" s="10">
        <f t="shared" ca="1" si="5712"/>
        <v>0</v>
      </c>
      <c r="AY692" s="10">
        <f t="shared" ca="1" si="5712"/>
        <v>0</v>
      </c>
      <c r="AZ692" s="10">
        <f t="shared" ca="1" si="5712"/>
        <v>0</v>
      </c>
      <c r="BA692" s="10">
        <f t="shared" ca="1" si="5712"/>
        <v>0</v>
      </c>
      <c r="BB692" s="10">
        <f t="shared" ca="1" si="5712"/>
        <v>0</v>
      </c>
      <c r="BC692" s="10">
        <f t="shared" ca="1" si="5712"/>
        <v>0</v>
      </c>
      <c r="BD692" s="10">
        <f t="shared" ca="1" si="5712"/>
        <v>0</v>
      </c>
      <c r="BE692" s="10">
        <f t="shared" ca="1" si="5712"/>
        <v>0</v>
      </c>
      <c r="BF692" s="10">
        <f t="shared" ca="1" si="5712"/>
        <v>0</v>
      </c>
      <c r="BG692" s="10">
        <f t="shared" ca="1" si="5712"/>
        <v>0</v>
      </c>
      <c r="BH692" s="10">
        <f t="shared" ca="1" si="5712"/>
        <v>0</v>
      </c>
      <c r="BI692" s="10">
        <f t="shared" ca="1" si="5712"/>
        <v>0</v>
      </c>
      <c r="BJ692" s="10">
        <f t="shared" ca="1" si="5712"/>
        <v>0</v>
      </c>
      <c r="BK692" s="10">
        <f t="shared" ca="1" si="5712"/>
        <v>0</v>
      </c>
      <c r="BL692" s="10">
        <f t="shared" ca="1" si="5712"/>
        <v>0</v>
      </c>
      <c r="BM692" s="10">
        <f t="shared" ca="1" si="5712"/>
        <v>0</v>
      </c>
      <c r="BN692" s="10">
        <f t="shared" ca="1" si="5712"/>
        <v>0</v>
      </c>
      <c r="BO692" s="10">
        <f t="shared" ca="1" si="5712"/>
        <v>0</v>
      </c>
      <c r="BP692" s="10">
        <f t="shared" ca="1" si="5712"/>
        <v>0</v>
      </c>
      <c r="BQ692" s="10">
        <f t="shared" ca="1" si="5712"/>
        <v>0</v>
      </c>
      <c r="BR692" s="10">
        <f t="shared" ca="1" si="5712"/>
        <v>0</v>
      </c>
      <c r="BS692" s="10">
        <f t="shared" ca="1" si="5712"/>
        <v>0</v>
      </c>
      <c r="BT692" s="10">
        <f t="shared" ca="1" si="5712"/>
        <v>0</v>
      </c>
      <c r="BU692" s="10">
        <f t="shared" ca="1" si="5712"/>
        <v>0</v>
      </c>
      <c r="BV692" s="10">
        <f t="shared" ca="1" si="5712"/>
        <v>0</v>
      </c>
      <c r="BW692" s="10">
        <f t="shared" ca="1" si="5712"/>
        <v>0</v>
      </c>
      <c r="BX692" s="10">
        <f t="shared" ca="1" si="5712"/>
        <v>0</v>
      </c>
      <c r="BY692" s="10">
        <f t="shared" ref="BY692:CO692" ca="1" si="5713">BY691*BY688</f>
        <v>0</v>
      </c>
      <c r="BZ692" s="10">
        <f t="shared" ca="1" si="5713"/>
        <v>0</v>
      </c>
      <c r="CA692" s="10">
        <f t="shared" ca="1" si="5713"/>
        <v>0</v>
      </c>
      <c r="CB692" s="10">
        <f t="shared" ca="1" si="5713"/>
        <v>0</v>
      </c>
      <c r="CC692" s="10">
        <f t="shared" ca="1" si="5713"/>
        <v>0</v>
      </c>
      <c r="CD692" s="10">
        <f t="shared" ca="1" si="5713"/>
        <v>0</v>
      </c>
      <c r="CE692" s="10">
        <f t="shared" ca="1" si="5713"/>
        <v>0</v>
      </c>
      <c r="CF692" s="10">
        <f t="shared" ca="1" si="5713"/>
        <v>0</v>
      </c>
      <c r="CG692" s="10">
        <f t="shared" ca="1" si="5713"/>
        <v>0</v>
      </c>
      <c r="CH692" s="10">
        <f t="shared" ca="1" si="5713"/>
        <v>0</v>
      </c>
      <c r="CI692" s="10">
        <f t="shared" ca="1" si="5713"/>
        <v>0</v>
      </c>
      <c r="CJ692" s="10">
        <f t="shared" ca="1" si="5713"/>
        <v>0</v>
      </c>
      <c r="CK692" s="10">
        <f t="shared" ca="1" si="5713"/>
        <v>0</v>
      </c>
      <c r="CL692" s="10">
        <f t="shared" ca="1" si="5713"/>
        <v>0</v>
      </c>
      <c r="CM692" s="10">
        <f t="shared" ca="1" si="5713"/>
        <v>0</v>
      </c>
      <c r="CN692" s="10">
        <f t="shared" ca="1" si="5713"/>
        <v>0</v>
      </c>
      <c r="CO692" s="10">
        <f t="shared" ca="1" si="5713"/>
        <v>0</v>
      </c>
    </row>
    <row r="693" spans="1:94">
      <c r="A693" s="233"/>
      <c r="B693" s="233"/>
      <c r="C693" s="372"/>
      <c r="D693" s="69"/>
      <c r="E693" s="62"/>
      <c r="F693" s="70"/>
      <c r="G693" s="11"/>
      <c r="H693" s="69"/>
      <c r="I693" s="69"/>
      <c r="J693" s="69"/>
      <c r="K693" s="69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  <c r="BB693" s="10"/>
      <c r="BC693" s="10"/>
      <c r="BD693" s="10"/>
      <c r="BE693" s="10"/>
      <c r="BF693" s="10"/>
      <c r="BG693" s="10"/>
      <c r="BH693" s="10"/>
      <c r="BI693" s="10"/>
      <c r="BJ693" s="10"/>
      <c r="BK693" s="10"/>
      <c r="BL693" s="10"/>
      <c r="BM693" s="10"/>
      <c r="BN693" s="10"/>
      <c r="BO693" s="10"/>
      <c r="BP693" s="10"/>
      <c r="BQ693" s="10"/>
      <c r="BR693" s="10"/>
      <c r="BS693" s="10"/>
      <c r="BT693" s="10"/>
      <c r="BU693" s="10"/>
      <c r="BV693" s="10"/>
      <c r="BW693" s="10"/>
      <c r="BX693" s="10"/>
      <c r="BY693" s="10"/>
      <c r="BZ693" s="10"/>
      <c r="CA693" s="10"/>
      <c r="CB693" s="10"/>
      <c r="CC693" s="10"/>
      <c r="CD693" s="10"/>
      <c r="CE693" s="10"/>
      <c r="CF693" s="10"/>
      <c r="CG693" s="10"/>
      <c r="CH693" s="10"/>
      <c r="CI693" s="10"/>
      <c r="CJ693" s="10"/>
      <c r="CK693" s="10"/>
      <c r="CL693" s="10"/>
      <c r="CM693" s="10"/>
      <c r="CN693" s="10"/>
      <c r="CO693" s="10"/>
    </row>
    <row r="694" spans="1:94">
      <c r="A694" s="233"/>
      <c r="B694" s="233"/>
      <c r="C694" s="41" t="s">
        <v>743</v>
      </c>
      <c r="D694" s="69"/>
      <c r="E694" s="62"/>
      <c r="F694" s="70"/>
      <c r="G694" s="11"/>
      <c r="H694" s="69"/>
      <c r="I694" s="69"/>
      <c r="J694" s="69"/>
      <c r="K694" s="69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  <c r="Z694" s="103"/>
      <c r="AA694" s="103"/>
      <c r="AB694" s="103"/>
      <c r="AC694" s="103"/>
      <c r="AD694" s="103"/>
      <c r="AE694" s="103"/>
      <c r="AF694" s="103"/>
      <c r="AG694" s="103"/>
      <c r="AH694" s="103"/>
      <c r="AI694" s="103"/>
      <c r="AJ694" s="103"/>
      <c r="AK694" s="103"/>
      <c r="AL694" s="103"/>
      <c r="AM694" s="103"/>
      <c r="AN694" s="103"/>
      <c r="AO694" s="103"/>
      <c r="AP694" s="103"/>
      <c r="AQ694" s="103"/>
      <c r="AR694" s="103"/>
      <c r="AS694" s="103"/>
      <c r="AT694" s="103"/>
      <c r="AU694" s="103"/>
      <c r="AV694" s="103"/>
      <c r="AW694" s="103"/>
      <c r="AX694" s="103"/>
      <c r="AY694" s="103"/>
      <c r="AZ694" s="103"/>
      <c r="BA694" s="103"/>
      <c r="BB694" s="103"/>
      <c r="BC694" s="103"/>
      <c r="BD694" s="103"/>
      <c r="BE694" s="103"/>
      <c r="BF694" s="103"/>
      <c r="BG694" s="103"/>
      <c r="BH694" s="103"/>
      <c r="BI694" s="103"/>
      <c r="BJ694" s="103"/>
      <c r="BK694" s="103"/>
      <c r="BL694" s="103"/>
      <c r="BM694" s="103"/>
      <c r="BN694" s="103"/>
      <c r="BO694" s="103"/>
      <c r="BP694" s="103"/>
      <c r="BQ694" s="103"/>
      <c r="BR694" s="103"/>
      <c r="BS694" s="103"/>
      <c r="BT694" s="103"/>
      <c r="BU694" s="103"/>
      <c r="BV694" s="103"/>
      <c r="BW694" s="103"/>
      <c r="BX694" s="103"/>
      <c r="BY694" s="103"/>
      <c r="BZ694" s="103"/>
      <c r="CA694" s="103"/>
      <c r="CB694" s="103"/>
      <c r="CC694" s="103"/>
      <c r="CD694" s="103"/>
      <c r="CE694" s="103"/>
      <c r="CF694" s="103"/>
      <c r="CG694" s="103"/>
      <c r="CH694" s="103"/>
      <c r="CI694" s="103"/>
      <c r="CJ694" s="103"/>
      <c r="CK694" s="103"/>
      <c r="CL694" s="103"/>
      <c r="CM694" s="103"/>
      <c r="CN694" s="103"/>
      <c r="CO694" s="103"/>
    </row>
    <row r="695" spans="1:94" ht="15" thickBot="1">
      <c r="C695" s="169" t="s">
        <v>711</v>
      </c>
      <c r="D695" s="133"/>
      <c r="E695" s="241">
        <f xml:space="preserve"> $E$680</f>
        <v>0.49981574511205262</v>
      </c>
      <c r="G695" s="207" t="s">
        <v>28</v>
      </c>
    </row>
    <row r="696" spans="1:94" ht="15" thickTop="1">
      <c r="A696" s="233"/>
      <c r="B696" s="101"/>
      <c r="C696" s="49" t="s">
        <v>713</v>
      </c>
      <c r="D696" s="49"/>
      <c r="E696" s="136"/>
      <c r="F696" s="49"/>
      <c r="G696" s="159" t="str">
        <f>Monetary_Unit</f>
        <v>тыс. руб.</v>
      </c>
      <c r="H696" s="49"/>
      <c r="I696" s="23">
        <f ca="1">SUM(L696:CO696)</f>
        <v>26377811.310795601</v>
      </c>
      <c r="J696" s="49"/>
      <c r="K696" s="49"/>
      <c r="L696" s="49">
        <f t="shared" ref="L696:R696" ca="1" si="5714" xml:space="preserve"> L691 / $E$687 * $E$695</f>
        <v>0</v>
      </c>
      <c r="M696" s="49">
        <f t="shared" ca="1" si="5714"/>
        <v>0</v>
      </c>
      <c r="N696" s="49">
        <f t="shared" ca="1" si="5714"/>
        <v>0</v>
      </c>
      <c r="O696" s="49">
        <f t="shared" ca="1" si="5714"/>
        <v>0</v>
      </c>
      <c r="P696" s="49">
        <f t="shared" ca="1" si="5714"/>
        <v>0</v>
      </c>
      <c r="Q696" s="49">
        <f t="shared" ca="1" si="5714"/>
        <v>0</v>
      </c>
      <c r="R696" s="49">
        <f t="shared" ca="1" si="5714"/>
        <v>0</v>
      </c>
      <c r="S696" s="49">
        <f t="shared" ref="S696" ca="1" si="5715" xml:space="preserve"> S691 / $E$687 * $E$695</f>
        <v>0</v>
      </c>
      <c r="T696" s="49">
        <f t="shared" ref="T696:CE696" ca="1" si="5716" xml:space="preserve"> T691 / $E$687 * $E$695</f>
        <v>0</v>
      </c>
      <c r="U696" s="49">
        <f t="shared" ca="1" si="5716"/>
        <v>0</v>
      </c>
      <c r="V696" s="49">
        <f t="shared" ca="1" si="5716"/>
        <v>0</v>
      </c>
      <c r="W696" s="49">
        <f t="shared" ca="1" si="5716"/>
        <v>0</v>
      </c>
      <c r="X696" s="49">
        <f t="shared" ca="1" si="5716"/>
        <v>0</v>
      </c>
      <c r="Y696" s="49">
        <f t="shared" ca="1" si="5716"/>
        <v>0</v>
      </c>
      <c r="Z696" s="49">
        <f t="shared" ca="1" si="5716"/>
        <v>0</v>
      </c>
      <c r="AA696" s="49">
        <f t="shared" ca="1" si="5716"/>
        <v>0</v>
      </c>
      <c r="AB696" s="49">
        <f t="shared" ca="1" si="5716"/>
        <v>0</v>
      </c>
      <c r="AC696" s="49">
        <f t="shared" ca="1" si="5716"/>
        <v>229076.65250014549</v>
      </c>
      <c r="AD696" s="49">
        <f t="shared" ca="1" si="5716"/>
        <v>298085.30192201177</v>
      </c>
      <c r="AE696" s="49">
        <f t="shared" ca="1" si="5716"/>
        <v>176594.81680990025</v>
      </c>
      <c r="AF696" s="49">
        <f t="shared" ca="1" si="5716"/>
        <v>173301.90234247403</v>
      </c>
      <c r="AG696" s="49">
        <f t="shared" ca="1" si="5716"/>
        <v>273534.49172609969</v>
      </c>
      <c r="AH696" s="49">
        <f t="shared" ca="1" si="5716"/>
        <v>354295.67314159137</v>
      </c>
      <c r="AI696" s="49">
        <f t="shared" ca="1" si="5716"/>
        <v>208990.83147985439</v>
      </c>
      <c r="AJ696" s="49">
        <f t="shared" ca="1" si="5716"/>
        <v>204265.17556099611</v>
      </c>
      <c r="AK696" s="49">
        <f t="shared" ca="1" si="5716"/>
        <v>321182.43544613011</v>
      </c>
      <c r="AL696" s="49">
        <f t="shared" ca="1" si="5716"/>
        <v>414525.93757566187</v>
      </c>
      <c r="AM696" s="49">
        <f t="shared" ca="1" si="5716"/>
        <v>243695.97561650907</v>
      </c>
      <c r="AN696" s="49">
        <f t="shared" ca="1" si="5716"/>
        <v>240066.31901095476</v>
      </c>
      <c r="AO696" s="49">
        <f t="shared" ca="1" si="5716"/>
        <v>372204.55947700073</v>
      </c>
      <c r="AP696" s="49">
        <f t="shared" ca="1" si="5716"/>
        <v>467032.55633524543</v>
      </c>
      <c r="AQ696" s="49">
        <f t="shared" ca="1" si="5716"/>
        <v>267143.48029744864</v>
      </c>
      <c r="AR696" s="49">
        <f t="shared" ca="1" si="5716"/>
        <v>253423.39239953403</v>
      </c>
      <c r="AS696" s="49">
        <f t="shared" ca="1" si="5716"/>
        <v>387092.74185608077</v>
      </c>
      <c r="AT696" s="49">
        <f t="shared" ca="1" si="5716"/>
        <v>485713.8585886553</v>
      </c>
      <c r="AU696" s="49">
        <f t="shared" ca="1" si="5716"/>
        <v>277829.21950934659</v>
      </c>
      <c r="AV696" s="49">
        <f t="shared" ca="1" si="5716"/>
        <v>263560.32809551538</v>
      </c>
      <c r="AW696" s="49">
        <f t="shared" ca="1" si="5716"/>
        <v>402576.45153032406</v>
      </c>
      <c r="AX696" s="49">
        <f t="shared" ca="1" si="5716"/>
        <v>505142.41293220135</v>
      </c>
      <c r="AY696" s="49">
        <f t="shared" ca="1" si="5716"/>
        <v>288942.38828972046</v>
      </c>
      <c r="AZ696" s="49">
        <f t="shared" ca="1" si="5716"/>
        <v>274102.74121933593</v>
      </c>
      <c r="BA696" s="49">
        <f t="shared" ca="1" si="5716"/>
        <v>418679.50959153683</v>
      </c>
      <c r="BB696" s="49">
        <f t="shared" ca="1" si="5716"/>
        <v>525348.10944948927</v>
      </c>
      <c r="BC696" s="49">
        <f t="shared" ca="1" si="5716"/>
        <v>300500.08382130921</v>
      </c>
      <c r="BD696" s="49">
        <f t="shared" ca="1" si="5716"/>
        <v>288234.26032219944</v>
      </c>
      <c r="BE696" s="49">
        <f t="shared" ca="1" si="5716"/>
        <v>435426.68997519824</v>
      </c>
      <c r="BF696" s="49">
        <f t="shared" ca="1" si="5716"/>
        <v>546362.03382746875</v>
      </c>
      <c r="BG696" s="49">
        <f t="shared" ca="1" si="5716"/>
        <v>312520.08717416151</v>
      </c>
      <c r="BH696" s="49">
        <f t="shared" ca="1" si="5716"/>
        <v>296469.52490283368</v>
      </c>
      <c r="BI696" s="49">
        <f t="shared" ca="1" si="5716"/>
        <v>452843.75757420622</v>
      </c>
      <c r="BJ696" s="49">
        <f t="shared" ca="1" si="5716"/>
        <v>568216.51518056751</v>
      </c>
      <c r="BK696" s="49">
        <f t="shared" ca="1" si="5716"/>
        <v>325020.89066112792</v>
      </c>
      <c r="BL696" s="49">
        <f t="shared" ca="1" si="5716"/>
        <v>308328.305898947</v>
      </c>
      <c r="BM696" s="49">
        <f t="shared" ca="1" si="5716"/>
        <v>470957.50787717436</v>
      </c>
      <c r="BN696" s="49">
        <f t="shared" ca="1" si="5716"/>
        <v>590945.1757877901</v>
      </c>
      <c r="BO696" s="49">
        <f t="shared" ca="1" si="5716"/>
        <v>338021.72628757299</v>
      </c>
      <c r="BP696" s="49">
        <f t="shared" ca="1" si="5716"/>
        <v>320661.43813490483</v>
      </c>
      <c r="BQ696" s="49">
        <f t="shared" ca="1" si="5716"/>
        <v>489795.8081922612</v>
      </c>
      <c r="BR696" s="49">
        <f t="shared" ca="1" si="5716"/>
        <v>614582.98281930166</v>
      </c>
      <c r="BS696" s="49">
        <f t="shared" ca="1" si="5716"/>
        <v>351542.59533907578</v>
      </c>
      <c r="BT696" s="49">
        <f t="shared" ca="1" si="5716"/>
        <v>337193.31672319322</v>
      </c>
      <c r="BU696" s="49">
        <f t="shared" ca="1" si="5716"/>
        <v>509387.64051995153</v>
      </c>
      <c r="BV696" s="49">
        <f t="shared" ca="1" si="5716"/>
        <v>639166.30213207344</v>
      </c>
      <c r="BW696" s="49">
        <f t="shared" ca="1" si="5716"/>
        <v>365604.2991526387</v>
      </c>
      <c r="BX696" s="49">
        <f t="shared" ca="1" si="5716"/>
        <v>346827.41148671292</v>
      </c>
      <c r="BY696" s="49">
        <f t="shared" ca="1" si="5716"/>
        <v>529763.14614074945</v>
      </c>
      <c r="BZ696" s="49">
        <f t="shared" ca="1" si="5716"/>
        <v>664732.9542173564</v>
      </c>
      <c r="CA696" s="49">
        <f t="shared" ca="1" si="5716"/>
        <v>380228.47111874429</v>
      </c>
      <c r="CB696" s="49">
        <f t="shared" ca="1" si="5716"/>
        <v>360700.50794618146</v>
      </c>
      <c r="CC696" s="49">
        <f t="shared" ca="1" si="5716"/>
        <v>550953.67198637954</v>
      </c>
      <c r="CD696" s="49">
        <f t="shared" ca="1" si="5716"/>
        <v>691322.27238605067</v>
      </c>
      <c r="CE696" s="49">
        <f t="shared" ca="1" si="5716"/>
        <v>395437.60996349406</v>
      </c>
      <c r="CF696" s="49">
        <f t="shared" ref="CF696:CO696" ca="1" si="5717" xml:space="preserve"> CF691 / $E$687 * $E$695</f>
        <v>375128.52826402866</v>
      </c>
      <c r="CG696" s="49">
        <f t="shared" ca="1" si="5717"/>
        <v>572991.81886583474</v>
      </c>
      <c r="CH696" s="49">
        <f t="shared" ca="1" si="5717"/>
        <v>718975.16328149254</v>
      </c>
      <c r="CI696" s="49">
        <f t="shared" ca="1" si="5717"/>
        <v>411255.11436203384</v>
      </c>
      <c r="CJ696" s="49">
        <f t="shared" ca="1" si="5717"/>
        <v>394468.4879434185</v>
      </c>
      <c r="CK696" s="49">
        <f t="shared" ca="1" si="5717"/>
        <v>595911.49162046798</v>
      </c>
      <c r="CL696" s="49">
        <f t="shared" ca="1" si="5717"/>
        <v>747734.16981275217</v>
      </c>
      <c r="CM696" s="49">
        <f t="shared" ca="1" si="5717"/>
        <v>427705.31893651513</v>
      </c>
      <c r="CN696" s="49">
        <f t="shared" ca="1" si="5717"/>
        <v>405739.0161703733</v>
      </c>
      <c r="CO696" s="49">
        <f t="shared" ca="1" si="5717"/>
        <v>619747.95128528669</v>
      </c>
    </row>
    <row r="697" spans="1:94">
      <c r="A697" s="233"/>
      <c r="B697" s="233"/>
      <c r="C697" s="17" t="s">
        <v>1178</v>
      </c>
      <c r="D697" s="69"/>
      <c r="E697" s="62"/>
      <c r="F697" s="70"/>
      <c r="G697" s="11"/>
      <c r="H697" s="69"/>
      <c r="I697" s="23">
        <f ca="1">SUM(L697:CO697)</f>
        <v>1182323.1299382313</v>
      </c>
      <c r="J697" s="69"/>
      <c r="K697" s="69"/>
      <c r="L697" s="10">
        <f ca="1">L696*L688</f>
        <v>0</v>
      </c>
      <c r="M697" s="10">
        <f t="shared" ref="M697:BX697" ca="1" si="5718">M696*M688</f>
        <v>0</v>
      </c>
      <c r="N697" s="10">
        <f t="shared" ca="1" si="5718"/>
        <v>0</v>
      </c>
      <c r="O697" s="10">
        <f t="shared" ca="1" si="5718"/>
        <v>0</v>
      </c>
      <c r="P697" s="10">
        <f t="shared" ca="1" si="5718"/>
        <v>0</v>
      </c>
      <c r="Q697" s="10">
        <f t="shared" ca="1" si="5718"/>
        <v>0</v>
      </c>
      <c r="R697" s="10">
        <f t="shared" ca="1" si="5718"/>
        <v>0</v>
      </c>
      <c r="S697" s="10">
        <f t="shared" ca="1" si="5718"/>
        <v>0</v>
      </c>
      <c r="T697" s="10">
        <f t="shared" ca="1" si="5718"/>
        <v>0</v>
      </c>
      <c r="U697" s="10">
        <f t="shared" ca="1" si="5718"/>
        <v>0</v>
      </c>
      <c r="V697" s="10">
        <f t="shared" ca="1" si="5718"/>
        <v>0</v>
      </c>
      <c r="W697" s="10">
        <f t="shared" ca="1" si="5718"/>
        <v>0</v>
      </c>
      <c r="X697" s="10">
        <f t="shared" ca="1" si="5718"/>
        <v>0</v>
      </c>
      <c r="Y697" s="10">
        <f t="shared" ca="1" si="5718"/>
        <v>0</v>
      </c>
      <c r="Z697" s="10">
        <f t="shared" ca="1" si="5718"/>
        <v>0</v>
      </c>
      <c r="AA697" s="10">
        <f t="shared" ca="1" si="5718"/>
        <v>0</v>
      </c>
      <c r="AB697" s="10">
        <f t="shared" ca="1" si="5718"/>
        <v>0</v>
      </c>
      <c r="AC697" s="10">
        <f t="shared" ca="1" si="5718"/>
        <v>45815.3305000291</v>
      </c>
      <c r="AD697" s="10">
        <f t="shared" ca="1" si="5718"/>
        <v>59617.060384402357</v>
      </c>
      <c r="AE697" s="10">
        <f t="shared" ca="1" si="5718"/>
        <v>35318.963361980052</v>
      </c>
      <c r="AF697" s="10">
        <f t="shared" ca="1" si="5718"/>
        <v>34660.380468494805</v>
      </c>
      <c r="AG697" s="10">
        <f t="shared" ca="1" si="5718"/>
        <v>54706.898345219939</v>
      </c>
      <c r="AH697" s="10">
        <f t="shared" ca="1" si="5718"/>
        <v>70859.134628318279</v>
      </c>
      <c r="AI697" s="10">
        <f t="shared" ca="1" si="5718"/>
        <v>41798.166295970877</v>
      </c>
      <c r="AJ697" s="10">
        <f t="shared" ca="1" si="5718"/>
        <v>40853.035112199228</v>
      </c>
      <c r="AK697" s="10">
        <f t="shared" ca="1" si="5718"/>
        <v>64236.487089226022</v>
      </c>
      <c r="AL697" s="10">
        <f t="shared" ca="1" si="5718"/>
        <v>82905.187515132377</v>
      </c>
      <c r="AM697" s="10">
        <f t="shared" ca="1" si="5718"/>
        <v>48739.195123301819</v>
      </c>
      <c r="AN697" s="10">
        <f t="shared" ca="1" si="5718"/>
        <v>48013.263802190952</v>
      </c>
      <c r="AO697" s="10">
        <f t="shared" ca="1" si="5718"/>
        <v>74440.911895400146</v>
      </c>
      <c r="AP697" s="10">
        <f t="shared" ca="1" si="5718"/>
        <v>93406.511267049093</v>
      </c>
      <c r="AQ697" s="10">
        <f t="shared" ca="1" si="5718"/>
        <v>53428.696059489732</v>
      </c>
      <c r="AR697" s="10">
        <f t="shared" ca="1" si="5718"/>
        <v>50684.678479906812</v>
      </c>
      <c r="AS697" s="10">
        <f t="shared" ca="1" si="5718"/>
        <v>77418.548371216151</v>
      </c>
      <c r="AT697" s="10">
        <f t="shared" ca="1" si="5718"/>
        <v>97142.77171773107</v>
      </c>
      <c r="AU697" s="10">
        <f t="shared" ca="1" si="5718"/>
        <v>55565.843901869317</v>
      </c>
      <c r="AV697" s="10">
        <f t="shared" ca="1" si="5718"/>
        <v>52712.065619103079</v>
      </c>
      <c r="AW697" s="10">
        <f t="shared" ca="1" si="5718"/>
        <v>0</v>
      </c>
      <c r="AX697" s="10">
        <f t="shared" ca="1" si="5718"/>
        <v>0</v>
      </c>
      <c r="AY697" s="10">
        <f t="shared" ca="1" si="5718"/>
        <v>0</v>
      </c>
      <c r="AZ697" s="10">
        <f t="shared" ca="1" si="5718"/>
        <v>0</v>
      </c>
      <c r="BA697" s="10">
        <f t="shared" ca="1" si="5718"/>
        <v>0</v>
      </c>
      <c r="BB697" s="10">
        <f t="shared" ca="1" si="5718"/>
        <v>0</v>
      </c>
      <c r="BC697" s="10">
        <f t="shared" ca="1" si="5718"/>
        <v>0</v>
      </c>
      <c r="BD697" s="10">
        <f t="shared" ca="1" si="5718"/>
        <v>0</v>
      </c>
      <c r="BE697" s="10">
        <f t="shared" ca="1" si="5718"/>
        <v>0</v>
      </c>
      <c r="BF697" s="10">
        <f t="shared" ca="1" si="5718"/>
        <v>0</v>
      </c>
      <c r="BG697" s="10">
        <f t="shared" ca="1" si="5718"/>
        <v>0</v>
      </c>
      <c r="BH697" s="10">
        <f t="shared" ca="1" si="5718"/>
        <v>0</v>
      </c>
      <c r="BI697" s="10">
        <f t="shared" ca="1" si="5718"/>
        <v>0</v>
      </c>
      <c r="BJ697" s="10">
        <f t="shared" ca="1" si="5718"/>
        <v>0</v>
      </c>
      <c r="BK697" s="10">
        <f t="shared" ca="1" si="5718"/>
        <v>0</v>
      </c>
      <c r="BL697" s="10">
        <f t="shared" ca="1" si="5718"/>
        <v>0</v>
      </c>
      <c r="BM697" s="10">
        <f t="shared" ca="1" si="5718"/>
        <v>0</v>
      </c>
      <c r="BN697" s="10">
        <f t="shared" ca="1" si="5718"/>
        <v>0</v>
      </c>
      <c r="BO697" s="10">
        <f t="shared" ca="1" si="5718"/>
        <v>0</v>
      </c>
      <c r="BP697" s="10">
        <f t="shared" ca="1" si="5718"/>
        <v>0</v>
      </c>
      <c r="BQ697" s="10">
        <f t="shared" ca="1" si="5718"/>
        <v>0</v>
      </c>
      <c r="BR697" s="10">
        <f t="shared" ca="1" si="5718"/>
        <v>0</v>
      </c>
      <c r="BS697" s="10">
        <f t="shared" ca="1" si="5718"/>
        <v>0</v>
      </c>
      <c r="BT697" s="10">
        <f t="shared" ca="1" si="5718"/>
        <v>0</v>
      </c>
      <c r="BU697" s="10">
        <f t="shared" ca="1" si="5718"/>
        <v>0</v>
      </c>
      <c r="BV697" s="10">
        <f t="shared" ca="1" si="5718"/>
        <v>0</v>
      </c>
      <c r="BW697" s="10">
        <f t="shared" ca="1" si="5718"/>
        <v>0</v>
      </c>
      <c r="BX697" s="10">
        <f t="shared" ca="1" si="5718"/>
        <v>0</v>
      </c>
      <c r="BY697" s="10">
        <f t="shared" ref="BY697:CO697" ca="1" si="5719">BY696*BY688</f>
        <v>0</v>
      </c>
      <c r="BZ697" s="10">
        <f t="shared" ca="1" si="5719"/>
        <v>0</v>
      </c>
      <c r="CA697" s="10">
        <f t="shared" ca="1" si="5719"/>
        <v>0</v>
      </c>
      <c r="CB697" s="10">
        <f t="shared" ca="1" si="5719"/>
        <v>0</v>
      </c>
      <c r="CC697" s="10">
        <f t="shared" ca="1" si="5719"/>
        <v>0</v>
      </c>
      <c r="CD697" s="10">
        <f t="shared" ca="1" si="5719"/>
        <v>0</v>
      </c>
      <c r="CE697" s="10">
        <f t="shared" ca="1" si="5719"/>
        <v>0</v>
      </c>
      <c r="CF697" s="10">
        <f t="shared" ca="1" si="5719"/>
        <v>0</v>
      </c>
      <c r="CG697" s="10">
        <f t="shared" ca="1" si="5719"/>
        <v>0</v>
      </c>
      <c r="CH697" s="10">
        <f t="shared" ca="1" si="5719"/>
        <v>0</v>
      </c>
      <c r="CI697" s="10">
        <f t="shared" ca="1" si="5719"/>
        <v>0</v>
      </c>
      <c r="CJ697" s="10">
        <f t="shared" ca="1" si="5719"/>
        <v>0</v>
      </c>
      <c r="CK697" s="10">
        <f t="shared" ca="1" si="5719"/>
        <v>0</v>
      </c>
      <c r="CL697" s="10">
        <f t="shared" ca="1" si="5719"/>
        <v>0</v>
      </c>
      <c r="CM697" s="10">
        <f t="shared" ca="1" si="5719"/>
        <v>0</v>
      </c>
      <c r="CN697" s="10">
        <f t="shared" ca="1" si="5719"/>
        <v>0</v>
      </c>
      <c r="CO697" s="10">
        <f t="shared" ca="1" si="5719"/>
        <v>0</v>
      </c>
    </row>
    <row r="698" spans="1:94">
      <c r="A698" s="233"/>
      <c r="B698" s="233"/>
      <c r="C698" s="41" t="s">
        <v>744</v>
      </c>
      <c r="D698" s="69"/>
      <c r="E698" s="62"/>
      <c r="F698" s="70"/>
      <c r="G698" s="11"/>
      <c r="H698" s="69"/>
      <c r="I698" s="69"/>
      <c r="J698" s="69"/>
      <c r="K698" s="69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  <c r="Z698" s="103"/>
      <c r="AA698" s="103"/>
      <c r="AB698" s="103"/>
      <c r="AC698" s="103"/>
      <c r="AD698" s="103"/>
      <c r="AE698" s="103"/>
      <c r="AF698" s="103"/>
      <c r="AG698" s="103"/>
      <c r="AH698" s="103"/>
      <c r="AI698" s="103"/>
      <c r="AJ698" s="103"/>
      <c r="AK698" s="103"/>
      <c r="AL698" s="103"/>
      <c r="AM698" s="103"/>
      <c r="AN698" s="103"/>
      <c r="AO698" s="103"/>
      <c r="AP698" s="103"/>
      <c r="AQ698" s="103"/>
      <c r="AR698" s="103"/>
      <c r="AS698" s="103"/>
      <c r="AT698" s="103"/>
      <c r="AU698" s="103"/>
      <c r="AV698" s="103"/>
      <c r="AW698" s="103"/>
      <c r="AX698" s="103"/>
      <c r="AY698" s="103"/>
      <c r="AZ698" s="103"/>
      <c r="BA698" s="103"/>
      <c r="BB698" s="103"/>
      <c r="BC698" s="103"/>
      <c r="BD698" s="103"/>
      <c r="BE698" s="103"/>
      <c r="BF698" s="103"/>
      <c r="BG698" s="103"/>
      <c r="BH698" s="103"/>
      <c r="BI698" s="103"/>
      <c r="BJ698" s="103"/>
      <c r="BK698" s="103"/>
      <c r="BL698" s="103"/>
      <c r="BM698" s="103"/>
      <c r="BN698" s="103"/>
      <c r="BO698" s="103"/>
      <c r="BP698" s="103"/>
      <c r="BQ698" s="103"/>
      <c r="BR698" s="103"/>
      <c r="BS698" s="103"/>
      <c r="BT698" s="103"/>
      <c r="BU698" s="103"/>
      <c r="BV698" s="103"/>
      <c r="BW698" s="103"/>
      <c r="BX698" s="103"/>
      <c r="BY698" s="103"/>
      <c r="BZ698" s="103"/>
      <c r="CA698" s="103"/>
      <c r="CB698" s="103"/>
      <c r="CC698" s="103"/>
      <c r="CD698" s="103"/>
      <c r="CE698" s="103"/>
      <c r="CF698" s="103"/>
      <c r="CG698" s="103"/>
      <c r="CH698" s="103"/>
      <c r="CI698" s="103"/>
      <c r="CJ698" s="103"/>
      <c r="CK698" s="103"/>
      <c r="CL698" s="103"/>
      <c r="CM698" s="103"/>
      <c r="CN698" s="103"/>
      <c r="CO698" s="103"/>
    </row>
    <row r="699" spans="1:94" ht="15" thickBot="1">
      <c r="C699" s="169" t="s">
        <v>885</v>
      </c>
      <c r="D699" s="133"/>
      <c r="E699" s="241">
        <f xml:space="preserve"> $E$681</f>
        <v>0.12280701754385967</v>
      </c>
      <c r="G699" s="207" t="s">
        <v>28</v>
      </c>
    </row>
    <row r="700" spans="1:94" ht="15" thickTop="1">
      <c r="A700" s="233"/>
      <c r="B700" s="101"/>
      <c r="C700" s="49" t="s">
        <v>714</v>
      </c>
      <c r="D700" s="49"/>
      <c r="E700" s="136"/>
      <c r="F700" s="49"/>
      <c r="G700" s="159" t="str">
        <f>Monetary_Unit</f>
        <v>тыс. руб.</v>
      </c>
      <c r="H700" s="49"/>
      <c r="I700" s="23">
        <f ca="1">SUM(L700:CO700)</f>
        <v>6481149.039607116</v>
      </c>
      <c r="J700" s="49"/>
      <c r="K700" s="49"/>
      <c r="L700" s="49">
        <f t="shared" ref="L700:R700" ca="1" si="5720" xml:space="preserve"> L691 / $E$687 * $E$699</f>
        <v>0</v>
      </c>
      <c r="M700" s="49">
        <f t="shared" ca="1" si="5720"/>
        <v>0</v>
      </c>
      <c r="N700" s="49">
        <f t="shared" ca="1" si="5720"/>
        <v>0</v>
      </c>
      <c r="O700" s="49">
        <f t="shared" ca="1" si="5720"/>
        <v>0</v>
      </c>
      <c r="P700" s="49">
        <f t="shared" ca="1" si="5720"/>
        <v>0</v>
      </c>
      <c r="Q700" s="49">
        <f t="shared" ca="1" si="5720"/>
        <v>0</v>
      </c>
      <c r="R700" s="49">
        <f t="shared" ca="1" si="5720"/>
        <v>0</v>
      </c>
      <c r="S700" s="49">
        <f t="shared" ref="S700" ca="1" si="5721" xml:space="preserve"> S691 / $E$687 * $E$699</f>
        <v>0</v>
      </c>
      <c r="T700" s="49">
        <f t="shared" ref="T700:CE700" ca="1" si="5722" xml:space="preserve"> T691 / $E$687 * $E$699</f>
        <v>0</v>
      </c>
      <c r="U700" s="49">
        <f t="shared" ca="1" si="5722"/>
        <v>0</v>
      </c>
      <c r="V700" s="49">
        <f t="shared" ca="1" si="5722"/>
        <v>0</v>
      </c>
      <c r="W700" s="49">
        <f t="shared" ca="1" si="5722"/>
        <v>0</v>
      </c>
      <c r="X700" s="49">
        <f t="shared" ca="1" si="5722"/>
        <v>0</v>
      </c>
      <c r="Y700" s="49">
        <f t="shared" ca="1" si="5722"/>
        <v>0</v>
      </c>
      <c r="Z700" s="49">
        <f t="shared" ca="1" si="5722"/>
        <v>0</v>
      </c>
      <c r="AA700" s="49">
        <f t="shared" ca="1" si="5722"/>
        <v>0</v>
      </c>
      <c r="AB700" s="49">
        <f t="shared" ca="1" si="5722"/>
        <v>0</v>
      </c>
      <c r="AC700" s="49">
        <f t="shared" ca="1" si="5722"/>
        <v>56285.182604975984</v>
      </c>
      <c r="AD700" s="49">
        <f t="shared" ca="1" si="5722"/>
        <v>73240.923801822952</v>
      </c>
      <c r="AE700" s="49">
        <f t="shared" ca="1" si="5722"/>
        <v>43390.155228635551</v>
      </c>
      <c r="AF700" s="49">
        <f t="shared" ca="1" si="5722"/>
        <v>42581.071063667958</v>
      </c>
      <c r="AG700" s="49">
        <f t="shared" ca="1" si="5722"/>
        <v>67208.677303126882</v>
      </c>
      <c r="AH700" s="49">
        <f t="shared" ca="1" si="5722"/>
        <v>87052.069433023891</v>
      </c>
      <c r="AI700" s="49">
        <f t="shared" ca="1" si="5722"/>
        <v>51350.004394716292</v>
      </c>
      <c r="AJ700" s="49">
        <f t="shared" ca="1" si="5722"/>
        <v>50188.889093709979</v>
      </c>
      <c r="AK700" s="49">
        <f t="shared" ca="1" si="5722"/>
        <v>78915.995284961915</v>
      </c>
      <c r="AL700" s="49">
        <f t="shared" ca="1" si="5722"/>
        <v>101850.92123663795</v>
      </c>
      <c r="AM700" s="49">
        <f t="shared" ca="1" si="5722"/>
        <v>59877.217245717671</v>
      </c>
      <c r="AN700" s="49">
        <f t="shared" ca="1" si="5722"/>
        <v>58985.393995258521</v>
      </c>
      <c r="AO700" s="49">
        <f t="shared" ca="1" si="5722"/>
        <v>91452.364821658659</v>
      </c>
      <c r="AP700" s="49">
        <f t="shared" ca="1" si="5722"/>
        <v>114752.03792661204</v>
      </c>
      <c r="AQ700" s="49">
        <f t="shared" ca="1" si="5722"/>
        <v>65638.376526656954</v>
      </c>
      <c r="AR700" s="49">
        <f t="shared" ca="1" si="5722"/>
        <v>62267.288097250312</v>
      </c>
      <c r="AS700" s="49">
        <f t="shared" ca="1" si="5722"/>
        <v>95110.459414525001</v>
      </c>
      <c r="AT700" s="49">
        <f t="shared" ca="1" si="5722"/>
        <v>119342.11944367652</v>
      </c>
      <c r="AU700" s="49">
        <f t="shared" ca="1" si="5722"/>
        <v>68263.911587723225</v>
      </c>
      <c r="AV700" s="49">
        <f t="shared" ca="1" si="5722"/>
        <v>64757.979621140323</v>
      </c>
      <c r="AW700" s="49">
        <f t="shared" ca="1" si="5722"/>
        <v>98914.877791106017</v>
      </c>
      <c r="AX700" s="49">
        <f t="shared" ca="1" si="5722"/>
        <v>124115.80422142355</v>
      </c>
      <c r="AY700" s="49">
        <f t="shared" ca="1" si="5722"/>
        <v>70994.46805123215</v>
      </c>
      <c r="AZ700" s="49">
        <f t="shared" ca="1" si="5722"/>
        <v>67348.298805985905</v>
      </c>
      <c r="BA700" s="49">
        <f t="shared" ca="1" si="5722"/>
        <v>102871.4729027502</v>
      </c>
      <c r="BB700" s="49">
        <f t="shared" ca="1" si="5722"/>
        <v>129080.43639028046</v>
      </c>
      <c r="BC700" s="49">
        <f t="shared" ca="1" si="5722"/>
        <v>73834.246773281411</v>
      </c>
      <c r="BD700" s="49">
        <f t="shared" ca="1" si="5722"/>
        <v>70820.477766650074</v>
      </c>
      <c r="BE700" s="49">
        <f t="shared" ca="1" si="5722"/>
        <v>106986.3318188602</v>
      </c>
      <c r="BF700" s="49">
        <f t="shared" ca="1" si="5722"/>
        <v>134243.65384589165</v>
      </c>
      <c r="BG700" s="49">
        <f t="shared" ca="1" si="5722"/>
        <v>76787.616644212656</v>
      </c>
      <c r="BH700" s="49">
        <f t="shared" ca="1" si="5722"/>
        <v>72843.919988554349</v>
      </c>
      <c r="BI700" s="49">
        <f t="shared" ca="1" si="5722"/>
        <v>111265.78509161461</v>
      </c>
      <c r="BJ700" s="49">
        <f t="shared" ca="1" si="5722"/>
        <v>139613.39999972732</v>
      </c>
      <c r="BK700" s="49">
        <f t="shared" ca="1" si="5722"/>
        <v>79859.121309981158</v>
      </c>
      <c r="BL700" s="49">
        <f t="shared" ca="1" si="5722"/>
        <v>75757.67678809652</v>
      </c>
      <c r="BM700" s="49">
        <f t="shared" ca="1" si="5722"/>
        <v>115716.41649527918</v>
      </c>
      <c r="BN700" s="49">
        <f t="shared" ca="1" si="5722"/>
        <v>145197.9359997164</v>
      </c>
      <c r="BO700" s="49">
        <f t="shared" ca="1" si="5722"/>
        <v>83053.486162380388</v>
      </c>
      <c r="BP700" s="49">
        <f t="shared" ca="1" si="5722"/>
        <v>78787.983859620363</v>
      </c>
      <c r="BQ700" s="49">
        <f t="shared" ca="1" si="5722"/>
        <v>120345.07315509031</v>
      </c>
      <c r="BR700" s="49">
        <f t="shared" ca="1" si="5722"/>
        <v>151005.85343970504</v>
      </c>
      <c r="BS700" s="49">
        <f t="shared" ca="1" si="5722"/>
        <v>86375.625608875576</v>
      </c>
      <c r="BT700" s="49">
        <f t="shared" ca="1" si="5722"/>
        <v>82849.942138605227</v>
      </c>
      <c r="BU700" s="49">
        <f t="shared" ca="1" si="5722"/>
        <v>125158.8760812939</v>
      </c>
      <c r="BV700" s="49">
        <f t="shared" ca="1" si="5722"/>
        <v>157046.08757729316</v>
      </c>
      <c r="BW700" s="49">
        <f t="shared" ca="1" si="5722"/>
        <v>89830.650633230573</v>
      </c>
      <c r="BX700" s="49">
        <f t="shared" ca="1" si="5722"/>
        <v>85217.083342565355</v>
      </c>
      <c r="BY700" s="49">
        <f t="shared" ca="1" si="5722"/>
        <v>130165.23112454562</v>
      </c>
      <c r="BZ700" s="49">
        <f t="shared" ca="1" si="5722"/>
        <v>163327.93108038488</v>
      </c>
      <c r="CA700" s="49">
        <f t="shared" ca="1" si="5722"/>
        <v>93423.876658559806</v>
      </c>
      <c r="CB700" s="49">
        <f t="shared" ca="1" si="5722"/>
        <v>88625.766676267973</v>
      </c>
      <c r="CC700" s="49">
        <f t="shared" ca="1" si="5722"/>
        <v>135371.84036952749</v>
      </c>
      <c r="CD700" s="49">
        <f t="shared" ca="1" si="5722"/>
        <v>169861.04832360029</v>
      </c>
      <c r="CE700" s="49">
        <f t="shared" ca="1" si="5722"/>
        <v>97160.831724902193</v>
      </c>
      <c r="CF700" s="49">
        <f t="shared" ref="CF700:CO700" ca="1" si="5723" xml:space="preserve"> CF691 / $E$687 * $E$699</f>
        <v>92170.797343318671</v>
      </c>
      <c r="CG700" s="49">
        <f t="shared" ca="1" si="5723"/>
        <v>140786.71398430856</v>
      </c>
      <c r="CH700" s="49">
        <f t="shared" ca="1" si="5723"/>
        <v>176655.49025654429</v>
      </c>
      <c r="CI700" s="49">
        <f t="shared" ca="1" si="5723"/>
        <v>101047.26499389829</v>
      </c>
      <c r="CJ700" s="49">
        <f t="shared" ca="1" si="5723"/>
        <v>96922.714006351976</v>
      </c>
      <c r="CK700" s="49">
        <f t="shared" ca="1" si="5723"/>
        <v>146418.18254368089</v>
      </c>
      <c r="CL700" s="49">
        <f t="shared" ca="1" si="5723"/>
        <v>183721.70986680602</v>
      </c>
      <c r="CM700" s="49">
        <f t="shared" ca="1" si="5723"/>
        <v>105089.1555936542</v>
      </c>
      <c r="CN700" s="49">
        <f t="shared" ca="1" si="5723"/>
        <v>99691.934406533474</v>
      </c>
      <c r="CO700" s="49">
        <f t="shared" ca="1" si="5723"/>
        <v>152274.9098454281</v>
      </c>
    </row>
    <row r="701" spans="1:94">
      <c r="B701" s="13"/>
      <c r="C701" s="21"/>
      <c r="D701" s="10"/>
      <c r="E701" s="62"/>
      <c r="F701" s="11"/>
      <c r="G701" s="11"/>
      <c r="H701" s="10"/>
      <c r="I701" s="10"/>
      <c r="J701" s="10"/>
      <c r="K701" s="10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  <c r="AA701" s="78"/>
      <c r="AB701" s="78"/>
      <c r="AC701" s="78"/>
      <c r="AD701" s="78"/>
      <c r="AE701" s="78"/>
      <c r="AF701" s="78"/>
      <c r="AG701" s="78"/>
      <c r="AH701" s="78"/>
      <c r="AI701" s="78"/>
      <c r="AJ701" s="78"/>
      <c r="AK701" s="78"/>
      <c r="AL701" s="78"/>
      <c r="AM701" s="78"/>
      <c r="AN701" s="78"/>
      <c r="AO701" s="78"/>
      <c r="AP701" s="78"/>
      <c r="AQ701" s="78"/>
      <c r="AR701" s="78"/>
      <c r="AS701" s="78"/>
      <c r="AT701" s="78"/>
      <c r="AU701" s="78"/>
      <c r="AV701" s="78"/>
      <c r="AW701" s="78"/>
      <c r="AX701" s="78"/>
      <c r="AY701" s="78"/>
      <c r="AZ701" s="78"/>
      <c r="BA701" s="78"/>
      <c r="BB701" s="78"/>
      <c r="BC701" s="78"/>
      <c r="BD701" s="78"/>
      <c r="BE701" s="78"/>
      <c r="BF701" s="78"/>
      <c r="BG701" s="78"/>
      <c r="BH701" s="78"/>
      <c r="BI701" s="78"/>
      <c r="BJ701" s="78"/>
      <c r="BK701" s="78"/>
      <c r="BL701" s="78"/>
      <c r="BM701" s="78"/>
      <c r="BN701" s="78"/>
      <c r="BO701" s="78"/>
      <c r="BP701" s="78"/>
      <c r="BQ701" s="78"/>
      <c r="BR701" s="78"/>
      <c r="BS701" s="78"/>
      <c r="BT701" s="78"/>
      <c r="BU701" s="78"/>
      <c r="BV701" s="78"/>
      <c r="BW701" s="78"/>
      <c r="BX701" s="78"/>
      <c r="BY701" s="78"/>
      <c r="BZ701" s="78"/>
      <c r="CA701" s="78"/>
      <c r="CB701" s="78"/>
      <c r="CC701" s="78"/>
      <c r="CD701" s="78"/>
      <c r="CE701" s="78"/>
      <c r="CF701" s="78"/>
      <c r="CG701" s="78"/>
      <c r="CH701" s="78"/>
      <c r="CI701" s="78"/>
      <c r="CJ701" s="78"/>
      <c r="CK701" s="78"/>
      <c r="CL701" s="78"/>
      <c r="CM701" s="78"/>
      <c r="CN701" s="78"/>
      <c r="CO701" s="78"/>
    </row>
    <row r="702" spans="1:94" ht="16" thickBot="1">
      <c r="B702" s="10"/>
      <c r="C702" s="26" t="s">
        <v>886</v>
      </c>
      <c r="D702" s="26"/>
      <c r="E702" s="26"/>
      <c r="F702" s="26"/>
      <c r="G702" s="26"/>
      <c r="H702" s="26"/>
      <c r="I702" s="26"/>
      <c r="J702" s="69"/>
      <c r="K702" s="69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  <c r="Z702" s="103"/>
      <c r="AA702" s="103"/>
      <c r="AB702" s="103"/>
      <c r="AC702" s="103"/>
      <c r="AD702" s="103"/>
      <c r="AE702" s="103"/>
      <c r="AF702" s="103"/>
      <c r="AG702" s="103"/>
      <c r="AH702" s="103"/>
      <c r="AI702" s="103"/>
      <c r="AJ702" s="103"/>
      <c r="AK702" s="103"/>
      <c r="AL702" s="103"/>
      <c r="AM702" s="103"/>
      <c r="AN702" s="103"/>
      <c r="AO702" s="103"/>
      <c r="AP702" s="103"/>
      <c r="AQ702" s="103"/>
      <c r="AR702" s="103"/>
      <c r="AS702" s="103"/>
      <c r="AT702" s="103"/>
      <c r="AU702" s="103"/>
      <c r="AV702" s="103"/>
      <c r="AW702" s="103"/>
      <c r="AX702" s="103"/>
      <c r="AY702" s="103"/>
      <c r="AZ702" s="103"/>
      <c r="BA702" s="103"/>
      <c r="BB702" s="103"/>
      <c r="BC702" s="103"/>
      <c r="BD702" s="103"/>
      <c r="BE702" s="103"/>
      <c r="BF702" s="103"/>
      <c r="BG702" s="103"/>
      <c r="BH702" s="103"/>
      <c r="BI702" s="103"/>
      <c r="BJ702" s="103"/>
      <c r="BK702" s="103"/>
      <c r="BL702" s="103"/>
      <c r="BM702" s="103"/>
      <c r="BN702" s="103"/>
      <c r="BO702" s="103"/>
      <c r="BP702" s="103"/>
      <c r="BQ702" s="103"/>
      <c r="BR702" s="103"/>
      <c r="BS702" s="103"/>
      <c r="BT702" s="103"/>
      <c r="BU702" s="103"/>
      <c r="BV702" s="103"/>
      <c r="BW702" s="103"/>
      <c r="BX702" s="103"/>
      <c r="BY702" s="103"/>
      <c r="BZ702" s="103"/>
      <c r="CA702" s="103"/>
      <c r="CB702" s="103"/>
      <c r="CC702" s="103"/>
      <c r="CD702" s="103"/>
      <c r="CE702" s="103"/>
      <c r="CF702" s="103"/>
      <c r="CG702" s="103"/>
      <c r="CH702" s="103"/>
      <c r="CI702" s="103"/>
      <c r="CJ702" s="103"/>
      <c r="CK702" s="103"/>
      <c r="CL702" s="103"/>
      <c r="CM702" s="103"/>
      <c r="CN702" s="103"/>
      <c r="CO702" s="103"/>
    </row>
    <row r="703" spans="1:94" ht="15" thickTop="1">
      <c r="B703" s="13"/>
      <c r="C703" s="21"/>
      <c r="D703" s="10"/>
      <c r="E703" s="62"/>
      <c r="F703" s="11"/>
      <c r="G703" s="11"/>
      <c r="H703" s="10"/>
      <c r="I703" s="10"/>
      <c r="J703" s="10"/>
      <c r="K703" s="10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  <c r="AA703" s="78"/>
      <c r="AB703" s="78"/>
      <c r="AC703" s="78"/>
      <c r="AD703" s="78"/>
      <c r="AE703" s="78"/>
      <c r="AF703" s="78"/>
      <c r="AG703" s="78"/>
      <c r="AH703" s="78"/>
      <c r="AI703" s="78"/>
      <c r="AJ703" s="78"/>
      <c r="AK703" s="78"/>
      <c r="AL703" s="78"/>
      <c r="AM703" s="78"/>
      <c r="AN703" s="78"/>
      <c r="AO703" s="78"/>
      <c r="AP703" s="78"/>
      <c r="AQ703" s="78"/>
      <c r="AR703" s="78"/>
      <c r="AS703" s="78"/>
      <c r="AT703" s="78"/>
      <c r="AU703" s="78"/>
      <c r="AV703" s="78"/>
      <c r="AW703" s="78"/>
      <c r="AX703" s="78"/>
      <c r="AY703" s="78"/>
      <c r="AZ703" s="78"/>
      <c r="BA703" s="78"/>
      <c r="BB703" s="78"/>
      <c r="BC703" s="78"/>
      <c r="BD703" s="78"/>
      <c r="BE703" s="78"/>
      <c r="BF703" s="78"/>
      <c r="BG703" s="78"/>
      <c r="BH703" s="78"/>
      <c r="BI703" s="78"/>
      <c r="BJ703" s="78"/>
      <c r="BK703" s="78"/>
      <c r="BL703" s="78"/>
      <c r="BM703" s="78"/>
      <c r="BN703" s="78"/>
      <c r="BO703" s="78"/>
      <c r="BP703" s="78"/>
      <c r="BQ703" s="78"/>
      <c r="BR703" s="78"/>
      <c r="BS703" s="78"/>
      <c r="BT703" s="78"/>
      <c r="BU703" s="78"/>
      <c r="BV703" s="78"/>
      <c r="BW703" s="78"/>
      <c r="BX703" s="78"/>
      <c r="BY703" s="78"/>
      <c r="BZ703" s="78"/>
      <c r="CA703" s="78"/>
      <c r="CB703" s="78"/>
      <c r="CC703" s="78"/>
      <c r="CD703" s="78"/>
      <c r="CE703" s="78"/>
      <c r="CF703" s="78"/>
      <c r="CG703" s="78"/>
      <c r="CH703" s="78"/>
      <c r="CI703" s="78"/>
      <c r="CJ703" s="78"/>
      <c r="CK703" s="78"/>
      <c r="CL703" s="78"/>
      <c r="CM703" s="78"/>
      <c r="CN703" s="78"/>
      <c r="CO703" s="78"/>
    </row>
    <row r="704" spans="1:94">
      <c r="B704" s="10"/>
      <c r="C704" s="17" t="s">
        <v>701</v>
      </c>
      <c r="D704" s="69"/>
      <c r="E704" s="62"/>
      <c r="F704" s="70"/>
      <c r="G704" s="11" t="str">
        <f>Monetary_Unit</f>
        <v>тыс. руб.</v>
      </c>
      <c r="H704" s="69"/>
      <c r="I704" s="23">
        <f ca="1">SUM(L704:CO704)</f>
        <v>20808803.03949628</v>
      </c>
      <c r="J704" s="69"/>
      <c r="K704" s="69"/>
      <c r="L704" s="10">
        <f ca="1" xml:space="preserve"> (L691 + L692) * $I$514</f>
        <v>0</v>
      </c>
      <c r="M704" s="10">
        <f t="shared" ref="M704:BX704" ca="1" si="5724" xml:space="preserve"> (M691 + M692) * $I$514</f>
        <v>0</v>
      </c>
      <c r="N704" s="10">
        <f t="shared" ca="1" si="5724"/>
        <v>0</v>
      </c>
      <c r="O704" s="10">
        <f t="shared" ca="1" si="5724"/>
        <v>0</v>
      </c>
      <c r="P704" s="10">
        <f t="shared" ca="1" si="5724"/>
        <v>0</v>
      </c>
      <c r="Q704" s="10">
        <f t="shared" ca="1" si="5724"/>
        <v>0</v>
      </c>
      <c r="R704" s="10">
        <f t="shared" ca="1" si="5724"/>
        <v>0</v>
      </c>
      <c r="S704" s="10">
        <f t="shared" ca="1" si="5724"/>
        <v>0</v>
      </c>
      <c r="T704" s="10">
        <f t="shared" ca="1" si="5724"/>
        <v>0</v>
      </c>
      <c r="U704" s="10">
        <f t="shared" ca="1" si="5724"/>
        <v>0</v>
      </c>
      <c r="V704" s="10">
        <f t="shared" ca="1" si="5724"/>
        <v>0</v>
      </c>
      <c r="W704" s="10">
        <f t="shared" ca="1" si="5724"/>
        <v>0</v>
      </c>
      <c r="X704" s="10">
        <f t="shared" ca="1" si="5724"/>
        <v>0</v>
      </c>
      <c r="Y704" s="10">
        <f t="shared" ca="1" si="5724"/>
        <v>0</v>
      </c>
      <c r="Z704" s="10">
        <f t="shared" ca="1" si="5724"/>
        <v>0</v>
      </c>
      <c r="AA704" s="10">
        <f t="shared" ca="1" si="5724"/>
        <v>0</v>
      </c>
      <c r="AB704" s="10">
        <f t="shared" ca="1" si="5724"/>
        <v>0</v>
      </c>
      <c r="AC704" s="10">
        <f t="shared" ca="1" si="5724"/>
        <v>207552.43932819087</v>
      </c>
      <c r="AD704" s="10">
        <f t="shared" ca="1" si="5724"/>
        <v>270076.9845663539</v>
      </c>
      <c r="AE704" s="10">
        <f t="shared" ca="1" si="5724"/>
        <v>160001.83607356725</v>
      </c>
      <c r="AF704" s="10">
        <f t="shared" ca="1" si="5724"/>
        <v>157018.32630618502</v>
      </c>
      <c r="AG704" s="10">
        <f t="shared" ca="1" si="5724"/>
        <v>247832.98681262499</v>
      </c>
      <c r="AH704" s="10">
        <f t="shared" ca="1" si="5724"/>
        <v>321005.78737029509</v>
      </c>
      <c r="AI704" s="10">
        <f t="shared" ca="1" si="5724"/>
        <v>189353.89703602856</v>
      </c>
      <c r="AJ704" s="10">
        <f t="shared" ca="1" si="5724"/>
        <v>185072.26727289014</v>
      </c>
      <c r="AK704" s="10">
        <f t="shared" ca="1" si="5724"/>
        <v>291003.89419288881</v>
      </c>
      <c r="AL704" s="10">
        <f t="shared" ca="1" si="5724"/>
        <v>375576.77122324525</v>
      </c>
      <c r="AM704" s="10">
        <f t="shared" ca="1" si="5724"/>
        <v>220798.11993776911</v>
      </c>
      <c r="AN704" s="10">
        <f t="shared" ca="1" si="5724"/>
        <v>217509.50857478441</v>
      </c>
      <c r="AO704" s="10">
        <f t="shared" ca="1" si="5724"/>
        <v>337231.94138467318</v>
      </c>
      <c r="AP704" s="10">
        <f t="shared" ca="1" si="5724"/>
        <v>423149.82891152275</v>
      </c>
      <c r="AQ704" s="10">
        <f t="shared" ca="1" si="5724"/>
        <v>242042.47958583536</v>
      </c>
      <c r="AR704" s="10">
        <f t="shared" ca="1" si="5724"/>
        <v>229611.5413827046</v>
      </c>
      <c r="AS704" s="10">
        <f t="shared" ca="1" si="5724"/>
        <v>350721.21904006012</v>
      </c>
      <c r="AT704" s="10">
        <f t="shared" ca="1" si="5724"/>
        <v>440075.82206798368</v>
      </c>
      <c r="AU704" s="10">
        <f t="shared" ca="1" si="5724"/>
        <v>251724.17876926876</v>
      </c>
      <c r="AV704" s="10">
        <f t="shared" ca="1" si="5724"/>
        <v>238796.00303801277</v>
      </c>
      <c r="AW704" s="10">
        <f t="shared" ca="1" si="5724"/>
        <v>303958.38983471878</v>
      </c>
      <c r="AX704" s="10">
        <f t="shared" ca="1" si="5724"/>
        <v>381399.04579225241</v>
      </c>
      <c r="AY704" s="10">
        <f t="shared" ca="1" si="5724"/>
        <v>218160.95493336624</v>
      </c>
      <c r="AZ704" s="10">
        <f t="shared" ca="1" si="5724"/>
        <v>206956.53596627768</v>
      </c>
      <c r="BA704" s="10">
        <f t="shared" ca="1" si="5724"/>
        <v>316116.72542810737</v>
      </c>
      <c r="BB704" s="10">
        <f t="shared" ca="1" si="5724"/>
        <v>396655.00762394245</v>
      </c>
      <c r="BC704" s="10">
        <f t="shared" ca="1" si="5724"/>
        <v>226887.39313070083</v>
      </c>
      <c r="BD704" s="10">
        <f t="shared" ca="1" si="5724"/>
        <v>217626.29515387243</v>
      </c>
      <c r="BE704" s="10">
        <f t="shared" ca="1" si="5724"/>
        <v>328761.39444523165</v>
      </c>
      <c r="BF704" s="10">
        <f t="shared" ca="1" si="5724"/>
        <v>412521.20792890008</v>
      </c>
      <c r="BG704" s="10">
        <f t="shared" ca="1" si="5724"/>
        <v>235962.88885592885</v>
      </c>
      <c r="BH704" s="10">
        <f t="shared" ca="1" si="5724"/>
        <v>223844.18930112588</v>
      </c>
      <c r="BI704" s="10">
        <f t="shared" ca="1" si="5724"/>
        <v>341911.85022304091</v>
      </c>
      <c r="BJ704" s="10">
        <f t="shared" ca="1" si="5724"/>
        <v>429022.05624605605</v>
      </c>
      <c r="BK704" s="10">
        <f t="shared" ca="1" si="5724"/>
        <v>245401.40441016597</v>
      </c>
      <c r="BL704" s="10">
        <f t="shared" ca="1" si="5724"/>
        <v>232797.95687317089</v>
      </c>
      <c r="BM704" s="10">
        <f t="shared" ca="1" si="5724"/>
        <v>355588.3242319625</v>
      </c>
      <c r="BN704" s="10">
        <f t="shared" ca="1" si="5724"/>
        <v>446182.93849589821</v>
      </c>
      <c r="BO704" s="10">
        <f t="shared" ca="1" si="5724"/>
        <v>255217.46058657256</v>
      </c>
      <c r="BP704" s="10">
        <f t="shared" ca="1" si="5724"/>
        <v>242109.87514809769</v>
      </c>
      <c r="BQ704" s="10">
        <f t="shared" ca="1" si="5724"/>
        <v>369811.8572012409</v>
      </c>
      <c r="BR704" s="10">
        <f t="shared" ca="1" si="5724"/>
        <v>464030.25603573408</v>
      </c>
      <c r="BS704" s="10">
        <f t="shared" ca="1" si="5724"/>
        <v>265426.15901003539</v>
      </c>
      <c r="BT704" s="10">
        <f t="shared" ca="1" si="5724"/>
        <v>254591.98426684403</v>
      </c>
      <c r="BU704" s="10">
        <f t="shared" ca="1" si="5724"/>
        <v>384604.33148929046</v>
      </c>
      <c r="BV704" s="10">
        <f t="shared" ca="1" si="5724"/>
        <v>482591.46627716324</v>
      </c>
      <c r="BW704" s="10">
        <f t="shared" ca="1" si="5724"/>
        <v>276043.20537043671</v>
      </c>
      <c r="BX704" s="10">
        <f t="shared" ca="1" si="5724"/>
        <v>261866.04096018238</v>
      </c>
      <c r="BY704" s="10">
        <f t="shared" ref="BY704:CO704" ca="1" si="5725" xml:space="preserve"> (BY691 + BY692) * $I$514</f>
        <v>399988.504748862</v>
      </c>
      <c r="BZ704" s="10">
        <f t="shared" ca="1" si="5725"/>
        <v>501895.1249282498</v>
      </c>
      <c r="CA704" s="10">
        <f t="shared" ca="1" si="5725"/>
        <v>287084.93358525418</v>
      </c>
      <c r="CB704" s="10">
        <f t="shared" ca="1" si="5725"/>
        <v>272340.68259858969</v>
      </c>
      <c r="CC704" s="10">
        <f t="shared" ca="1" si="5725"/>
        <v>415988.04493881651</v>
      </c>
      <c r="CD704" s="10">
        <f t="shared" ca="1" si="5725"/>
        <v>521970.92992537975</v>
      </c>
      <c r="CE704" s="10">
        <f t="shared" ca="1" si="5725"/>
        <v>298568.33092866436</v>
      </c>
      <c r="CF704" s="10">
        <f t="shared" ca="1" si="5725"/>
        <v>283234.30990253319</v>
      </c>
      <c r="CG704" s="10">
        <f t="shared" ca="1" si="5725"/>
        <v>432627.56673636916</v>
      </c>
      <c r="CH704" s="10">
        <f t="shared" ca="1" si="5725"/>
        <v>542849.76712239487</v>
      </c>
      <c r="CI704" s="10">
        <f t="shared" ca="1" si="5725"/>
        <v>310511.06416581094</v>
      </c>
      <c r="CJ704" s="10">
        <f t="shared" ca="1" si="5725"/>
        <v>297836.61210195266</v>
      </c>
      <c r="CK704" s="10">
        <f t="shared" ca="1" si="5725"/>
        <v>449932.66940582386</v>
      </c>
      <c r="CL704" s="10">
        <f t="shared" ca="1" si="5725"/>
        <v>564563.75780729065</v>
      </c>
      <c r="CM704" s="10">
        <f t="shared" ca="1" si="5725"/>
        <v>322931.50673244335</v>
      </c>
      <c r="CN704" s="10">
        <f t="shared" ca="1" si="5725"/>
        <v>306346.22959057987</v>
      </c>
      <c r="CO704" s="10">
        <f t="shared" ca="1" si="5725"/>
        <v>467929.97618205677</v>
      </c>
      <c r="CP704" s="10"/>
    </row>
    <row r="705" spans="1:94">
      <c r="B705" s="10"/>
      <c r="C705" s="17" t="s">
        <v>743</v>
      </c>
      <c r="D705" s="69"/>
      <c r="E705" s="62"/>
      <c r="F705" s="70"/>
      <c r="G705" s="11" t="str">
        <f>Monetary_Unit</f>
        <v>тыс. руб.</v>
      </c>
      <c r="H705" s="69"/>
      <c r="I705" s="23">
        <f ca="1">SUM(L705:CO705)</f>
        <v>27560134.440733831</v>
      </c>
      <c r="J705" s="69"/>
      <c r="K705" s="69"/>
      <c r="L705" s="10">
        <f ca="1">(L696+L697)* $I$514</f>
        <v>0</v>
      </c>
      <c r="M705" s="10">
        <f t="shared" ref="M705:BX705" ca="1" si="5726">(M696+M697)* $I$514</f>
        <v>0</v>
      </c>
      <c r="N705" s="10">
        <f t="shared" ca="1" si="5726"/>
        <v>0</v>
      </c>
      <c r="O705" s="10">
        <f t="shared" ca="1" si="5726"/>
        <v>0</v>
      </c>
      <c r="P705" s="10">
        <f t="shared" ca="1" si="5726"/>
        <v>0</v>
      </c>
      <c r="Q705" s="10">
        <f t="shared" ca="1" si="5726"/>
        <v>0</v>
      </c>
      <c r="R705" s="10">
        <f t="shared" ca="1" si="5726"/>
        <v>0</v>
      </c>
      <c r="S705" s="10">
        <f t="shared" ca="1" si="5726"/>
        <v>0</v>
      </c>
      <c r="T705" s="10">
        <f t="shared" ca="1" si="5726"/>
        <v>0</v>
      </c>
      <c r="U705" s="10">
        <f t="shared" ca="1" si="5726"/>
        <v>0</v>
      </c>
      <c r="V705" s="10">
        <f t="shared" ca="1" si="5726"/>
        <v>0</v>
      </c>
      <c r="W705" s="10">
        <f t="shared" ca="1" si="5726"/>
        <v>0</v>
      </c>
      <c r="X705" s="10">
        <f t="shared" ca="1" si="5726"/>
        <v>0</v>
      </c>
      <c r="Y705" s="10">
        <f t="shared" ca="1" si="5726"/>
        <v>0</v>
      </c>
      <c r="Z705" s="10">
        <f t="shared" ca="1" si="5726"/>
        <v>0</v>
      </c>
      <c r="AA705" s="10">
        <f t="shared" ca="1" si="5726"/>
        <v>0</v>
      </c>
      <c r="AB705" s="10">
        <f t="shared" ca="1" si="5726"/>
        <v>0</v>
      </c>
      <c r="AC705" s="10">
        <f t="shared" ca="1" si="5726"/>
        <v>274891.98300017457</v>
      </c>
      <c r="AD705" s="10">
        <f t="shared" ca="1" si="5726"/>
        <v>357702.36230641411</v>
      </c>
      <c r="AE705" s="10">
        <f t="shared" ca="1" si="5726"/>
        <v>211913.78017188029</v>
      </c>
      <c r="AF705" s="10">
        <f t="shared" ca="1" si="5726"/>
        <v>207962.28281096884</v>
      </c>
      <c r="AG705" s="10">
        <f t="shared" ca="1" si="5726"/>
        <v>328241.39007131965</v>
      </c>
      <c r="AH705" s="10">
        <f t="shared" ca="1" si="5726"/>
        <v>425154.80776990962</v>
      </c>
      <c r="AI705" s="10">
        <f t="shared" ca="1" si="5726"/>
        <v>250788.99777582526</v>
      </c>
      <c r="AJ705" s="10">
        <f t="shared" ca="1" si="5726"/>
        <v>245118.21067319534</v>
      </c>
      <c r="AK705" s="10">
        <f t="shared" ca="1" si="5726"/>
        <v>385418.92253535613</v>
      </c>
      <c r="AL705" s="10">
        <f t="shared" ca="1" si="5726"/>
        <v>497431.12509079423</v>
      </c>
      <c r="AM705" s="10">
        <f t="shared" ca="1" si="5726"/>
        <v>292435.17073981091</v>
      </c>
      <c r="AN705" s="10">
        <f t="shared" ca="1" si="5726"/>
        <v>288079.58281314571</v>
      </c>
      <c r="AO705" s="10">
        <f t="shared" ca="1" si="5726"/>
        <v>446645.47137240088</v>
      </c>
      <c r="AP705" s="10">
        <f t="shared" ca="1" si="5726"/>
        <v>560439.0676022945</v>
      </c>
      <c r="AQ705" s="10">
        <f t="shared" ca="1" si="5726"/>
        <v>320572.17635693838</v>
      </c>
      <c r="AR705" s="10">
        <f t="shared" ca="1" si="5726"/>
        <v>304108.07087944087</v>
      </c>
      <c r="AS705" s="10">
        <f t="shared" ca="1" si="5726"/>
        <v>464511.29022729694</v>
      </c>
      <c r="AT705" s="10">
        <f t="shared" ca="1" si="5726"/>
        <v>582856.63030638639</v>
      </c>
      <c r="AU705" s="10">
        <f t="shared" ca="1" si="5726"/>
        <v>333395.0634112159</v>
      </c>
      <c r="AV705" s="10">
        <f t="shared" ca="1" si="5726"/>
        <v>316272.39371461846</v>
      </c>
      <c r="AW705" s="10">
        <f t="shared" ca="1" si="5726"/>
        <v>402576.45153032406</v>
      </c>
      <c r="AX705" s="10">
        <f t="shared" ca="1" si="5726"/>
        <v>505142.41293220135</v>
      </c>
      <c r="AY705" s="10">
        <f t="shared" ca="1" si="5726"/>
        <v>288942.38828972046</v>
      </c>
      <c r="AZ705" s="10">
        <f t="shared" ca="1" si="5726"/>
        <v>274102.74121933593</v>
      </c>
      <c r="BA705" s="10">
        <f t="shared" ca="1" si="5726"/>
        <v>418679.50959153683</v>
      </c>
      <c r="BB705" s="10">
        <f t="shared" ca="1" si="5726"/>
        <v>525348.10944948927</v>
      </c>
      <c r="BC705" s="10">
        <f t="shared" ca="1" si="5726"/>
        <v>300500.08382130921</v>
      </c>
      <c r="BD705" s="10">
        <f t="shared" ca="1" si="5726"/>
        <v>288234.26032219944</v>
      </c>
      <c r="BE705" s="10">
        <f t="shared" ca="1" si="5726"/>
        <v>435426.68997519824</v>
      </c>
      <c r="BF705" s="10">
        <f t="shared" ca="1" si="5726"/>
        <v>546362.03382746875</v>
      </c>
      <c r="BG705" s="10">
        <f t="shared" ca="1" si="5726"/>
        <v>312520.08717416151</v>
      </c>
      <c r="BH705" s="10">
        <f t="shared" ca="1" si="5726"/>
        <v>296469.52490283368</v>
      </c>
      <c r="BI705" s="10">
        <f t="shared" ca="1" si="5726"/>
        <v>452843.75757420622</v>
      </c>
      <c r="BJ705" s="10">
        <f t="shared" ca="1" si="5726"/>
        <v>568216.51518056751</v>
      </c>
      <c r="BK705" s="10">
        <f t="shared" ca="1" si="5726"/>
        <v>325020.89066112792</v>
      </c>
      <c r="BL705" s="10">
        <f t="shared" ca="1" si="5726"/>
        <v>308328.305898947</v>
      </c>
      <c r="BM705" s="10">
        <f t="shared" ca="1" si="5726"/>
        <v>470957.50787717436</v>
      </c>
      <c r="BN705" s="10">
        <f t="shared" ca="1" si="5726"/>
        <v>590945.1757877901</v>
      </c>
      <c r="BO705" s="10">
        <f t="shared" ca="1" si="5726"/>
        <v>338021.72628757299</v>
      </c>
      <c r="BP705" s="10">
        <f t="shared" ca="1" si="5726"/>
        <v>320661.43813490483</v>
      </c>
      <c r="BQ705" s="10">
        <f t="shared" ca="1" si="5726"/>
        <v>489795.8081922612</v>
      </c>
      <c r="BR705" s="10">
        <f t="shared" ca="1" si="5726"/>
        <v>614582.98281930166</v>
      </c>
      <c r="BS705" s="10">
        <f t="shared" ca="1" si="5726"/>
        <v>351542.59533907578</v>
      </c>
      <c r="BT705" s="10">
        <f t="shared" ca="1" si="5726"/>
        <v>337193.31672319322</v>
      </c>
      <c r="BU705" s="10">
        <f t="shared" ca="1" si="5726"/>
        <v>509387.64051995153</v>
      </c>
      <c r="BV705" s="10">
        <f t="shared" ca="1" si="5726"/>
        <v>639166.30213207344</v>
      </c>
      <c r="BW705" s="10">
        <f t="shared" ca="1" si="5726"/>
        <v>365604.2991526387</v>
      </c>
      <c r="BX705" s="10">
        <f t="shared" ca="1" si="5726"/>
        <v>346827.41148671292</v>
      </c>
      <c r="BY705" s="10">
        <f t="shared" ref="BY705:CO705" ca="1" si="5727">(BY696+BY697)* $I$514</f>
        <v>529763.14614074945</v>
      </c>
      <c r="BZ705" s="10">
        <f t="shared" ca="1" si="5727"/>
        <v>664732.9542173564</v>
      </c>
      <c r="CA705" s="10">
        <f t="shared" ca="1" si="5727"/>
        <v>380228.47111874429</v>
      </c>
      <c r="CB705" s="10">
        <f t="shared" ca="1" si="5727"/>
        <v>360700.50794618146</v>
      </c>
      <c r="CC705" s="10">
        <f t="shared" ca="1" si="5727"/>
        <v>550953.67198637954</v>
      </c>
      <c r="CD705" s="10">
        <f t="shared" ca="1" si="5727"/>
        <v>691322.27238605067</v>
      </c>
      <c r="CE705" s="10">
        <f t="shared" ca="1" si="5727"/>
        <v>395437.60996349406</v>
      </c>
      <c r="CF705" s="10">
        <f t="shared" ca="1" si="5727"/>
        <v>375128.52826402866</v>
      </c>
      <c r="CG705" s="10">
        <f t="shared" ca="1" si="5727"/>
        <v>572991.81886583474</v>
      </c>
      <c r="CH705" s="10">
        <f t="shared" ca="1" si="5727"/>
        <v>718975.16328149254</v>
      </c>
      <c r="CI705" s="10">
        <f t="shared" ca="1" si="5727"/>
        <v>411255.11436203384</v>
      </c>
      <c r="CJ705" s="10">
        <f t="shared" ca="1" si="5727"/>
        <v>394468.4879434185</v>
      </c>
      <c r="CK705" s="10">
        <f t="shared" ca="1" si="5727"/>
        <v>595911.49162046798</v>
      </c>
      <c r="CL705" s="10">
        <f t="shared" ca="1" si="5727"/>
        <v>747734.16981275217</v>
      </c>
      <c r="CM705" s="10">
        <f t="shared" ca="1" si="5727"/>
        <v>427705.31893651513</v>
      </c>
      <c r="CN705" s="10">
        <f t="shared" ca="1" si="5727"/>
        <v>405739.0161703733</v>
      </c>
      <c r="CO705" s="10">
        <f t="shared" ca="1" si="5727"/>
        <v>619747.95128528669</v>
      </c>
      <c r="CP705" s="10"/>
    </row>
    <row r="706" spans="1:94" ht="15" thickBot="1">
      <c r="B706" s="10"/>
      <c r="C706" s="17" t="s">
        <v>744</v>
      </c>
      <c r="D706" s="69"/>
      <c r="E706" s="62"/>
      <c r="F706" s="70"/>
      <c r="G706" s="11" t="str">
        <f>Monetary_Unit</f>
        <v>тыс. руб.</v>
      </c>
      <c r="H706" s="69"/>
      <c r="I706" s="23">
        <f ca="1">SUM(L706:CO706)</f>
        <v>6481149.039607116</v>
      </c>
      <c r="J706" s="69"/>
      <c r="K706" s="69"/>
      <c r="L706" s="10">
        <f ca="1">L700 * $I$514</f>
        <v>0</v>
      </c>
      <c r="M706" s="10">
        <f t="shared" ref="M706:BX706" ca="1" si="5728">M700 * $I$514</f>
        <v>0</v>
      </c>
      <c r="N706" s="10">
        <f t="shared" ca="1" si="5728"/>
        <v>0</v>
      </c>
      <c r="O706" s="10">
        <f t="shared" ca="1" si="5728"/>
        <v>0</v>
      </c>
      <c r="P706" s="10">
        <f t="shared" ca="1" si="5728"/>
        <v>0</v>
      </c>
      <c r="Q706" s="10">
        <f t="shared" ca="1" si="5728"/>
        <v>0</v>
      </c>
      <c r="R706" s="10">
        <f t="shared" ca="1" si="5728"/>
        <v>0</v>
      </c>
      <c r="S706" s="10">
        <f t="shared" ca="1" si="5728"/>
        <v>0</v>
      </c>
      <c r="T706" s="10">
        <f t="shared" ca="1" si="5728"/>
        <v>0</v>
      </c>
      <c r="U706" s="10">
        <f t="shared" ca="1" si="5728"/>
        <v>0</v>
      </c>
      <c r="V706" s="10">
        <f t="shared" ca="1" si="5728"/>
        <v>0</v>
      </c>
      <c r="W706" s="10">
        <f t="shared" ca="1" si="5728"/>
        <v>0</v>
      </c>
      <c r="X706" s="10">
        <f t="shared" ca="1" si="5728"/>
        <v>0</v>
      </c>
      <c r="Y706" s="10">
        <f t="shared" ca="1" si="5728"/>
        <v>0</v>
      </c>
      <c r="Z706" s="10">
        <f t="shared" ca="1" si="5728"/>
        <v>0</v>
      </c>
      <c r="AA706" s="10">
        <f t="shared" ca="1" si="5728"/>
        <v>0</v>
      </c>
      <c r="AB706" s="10">
        <f t="shared" ca="1" si="5728"/>
        <v>0</v>
      </c>
      <c r="AC706" s="10">
        <f t="shared" ca="1" si="5728"/>
        <v>56285.182604975984</v>
      </c>
      <c r="AD706" s="10">
        <f t="shared" ca="1" si="5728"/>
        <v>73240.923801822952</v>
      </c>
      <c r="AE706" s="10">
        <f t="shared" ca="1" si="5728"/>
        <v>43390.155228635551</v>
      </c>
      <c r="AF706" s="10">
        <f t="shared" ca="1" si="5728"/>
        <v>42581.071063667958</v>
      </c>
      <c r="AG706" s="10">
        <f t="shared" ca="1" si="5728"/>
        <v>67208.677303126882</v>
      </c>
      <c r="AH706" s="10">
        <f t="shared" ca="1" si="5728"/>
        <v>87052.069433023891</v>
      </c>
      <c r="AI706" s="10">
        <f t="shared" ca="1" si="5728"/>
        <v>51350.004394716292</v>
      </c>
      <c r="AJ706" s="10">
        <f t="shared" ca="1" si="5728"/>
        <v>50188.889093709979</v>
      </c>
      <c r="AK706" s="10">
        <f t="shared" ca="1" si="5728"/>
        <v>78915.995284961915</v>
      </c>
      <c r="AL706" s="10">
        <f t="shared" ca="1" si="5728"/>
        <v>101850.92123663795</v>
      </c>
      <c r="AM706" s="10">
        <f t="shared" ca="1" si="5728"/>
        <v>59877.217245717671</v>
      </c>
      <c r="AN706" s="10">
        <f t="shared" ca="1" si="5728"/>
        <v>58985.393995258521</v>
      </c>
      <c r="AO706" s="10">
        <f t="shared" ca="1" si="5728"/>
        <v>91452.364821658659</v>
      </c>
      <c r="AP706" s="10">
        <f t="shared" ca="1" si="5728"/>
        <v>114752.03792661204</v>
      </c>
      <c r="AQ706" s="10">
        <f t="shared" ca="1" si="5728"/>
        <v>65638.376526656954</v>
      </c>
      <c r="AR706" s="10">
        <f t="shared" ca="1" si="5728"/>
        <v>62267.288097250312</v>
      </c>
      <c r="AS706" s="10">
        <f t="shared" ca="1" si="5728"/>
        <v>95110.459414525001</v>
      </c>
      <c r="AT706" s="10">
        <f t="shared" ca="1" si="5728"/>
        <v>119342.11944367652</v>
      </c>
      <c r="AU706" s="10">
        <f t="shared" ca="1" si="5728"/>
        <v>68263.911587723225</v>
      </c>
      <c r="AV706" s="10">
        <f t="shared" ca="1" si="5728"/>
        <v>64757.979621140323</v>
      </c>
      <c r="AW706" s="10">
        <f t="shared" ca="1" si="5728"/>
        <v>98914.877791106017</v>
      </c>
      <c r="AX706" s="10">
        <f t="shared" ca="1" si="5728"/>
        <v>124115.80422142355</v>
      </c>
      <c r="AY706" s="10">
        <f t="shared" ca="1" si="5728"/>
        <v>70994.46805123215</v>
      </c>
      <c r="AZ706" s="10">
        <f t="shared" ca="1" si="5728"/>
        <v>67348.298805985905</v>
      </c>
      <c r="BA706" s="10">
        <f t="shared" ca="1" si="5728"/>
        <v>102871.4729027502</v>
      </c>
      <c r="BB706" s="10">
        <f t="shared" ca="1" si="5728"/>
        <v>129080.43639028046</v>
      </c>
      <c r="BC706" s="10">
        <f t="shared" ca="1" si="5728"/>
        <v>73834.246773281411</v>
      </c>
      <c r="BD706" s="10">
        <f t="shared" ca="1" si="5728"/>
        <v>70820.477766650074</v>
      </c>
      <c r="BE706" s="10">
        <f t="shared" ca="1" si="5728"/>
        <v>106986.3318188602</v>
      </c>
      <c r="BF706" s="10">
        <f t="shared" ca="1" si="5728"/>
        <v>134243.65384589165</v>
      </c>
      <c r="BG706" s="10">
        <f t="shared" ca="1" si="5728"/>
        <v>76787.616644212656</v>
      </c>
      <c r="BH706" s="10">
        <f t="shared" ca="1" si="5728"/>
        <v>72843.919988554349</v>
      </c>
      <c r="BI706" s="10">
        <f t="shared" ca="1" si="5728"/>
        <v>111265.78509161461</v>
      </c>
      <c r="BJ706" s="10">
        <f t="shared" ca="1" si="5728"/>
        <v>139613.39999972732</v>
      </c>
      <c r="BK706" s="10">
        <f t="shared" ca="1" si="5728"/>
        <v>79859.121309981158</v>
      </c>
      <c r="BL706" s="10">
        <f t="shared" ca="1" si="5728"/>
        <v>75757.67678809652</v>
      </c>
      <c r="BM706" s="10">
        <f t="shared" ca="1" si="5728"/>
        <v>115716.41649527918</v>
      </c>
      <c r="BN706" s="10">
        <f t="shared" ca="1" si="5728"/>
        <v>145197.9359997164</v>
      </c>
      <c r="BO706" s="10">
        <f t="shared" ca="1" si="5728"/>
        <v>83053.486162380388</v>
      </c>
      <c r="BP706" s="10">
        <f t="shared" ca="1" si="5728"/>
        <v>78787.983859620363</v>
      </c>
      <c r="BQ706" s="10">
        <f t="shared" ca="1" si="5728"/>
        <v>120345.07315509031</v>
      </c>
      <c r="BR706" s="10">
        <f t="shared" ca="1" si="5728"/>
        <v>151005.85343970504</v>
      </c>
      <c r="BS706" s="10">
        <f t="shared" ca="1" si="5728"/>
        <v>86375.625608875576</v>
      </c>
      <c r="BT706" s="10">
        <f t="shared" ca="1" si="5728"/>
        <v>82849.942138605227</v>
      </c>
      <c r="BU706" s="10">
        <f t="shared" ca="1" si="5728"/>
        <v>125158.8760812939</v>
      </c>
      <c r="BV706" s="10">
        <f t="shared" ca="1" si="5728"/>
        <v>157046.08757729316</v>
      </c>
      <c r="BW706" s="10">
        <f t="shared" ca="1" si="5728"/>
        <v>89830.650633230573</v>
      </c>
      <c r="BX706" s="10">
        <f t="shared" ca="1" si="5728"/>
        <v>85217.083342565355</v>
      </c>
      <c r="BY706" s="10">
        <f t="shared" ref="BY706:CO706" ca="1" si="5729">BY700 * $I$514</f>
        <v>130165.23112454562</v>
      </c>
      <c r="BZ706" s="10">
        <f t="shared" ca="1" si="5729"/>
        <v>163327.93108038488</v>
      </c>
      <c r="CA706" s="10">
        <f t="shared" ca="1" si="5729"/>
        <v>93423.876658559806</v>
      </c>
      <c r="CB706" s="10">
        <f t="shared" ca="1" si="5729"/>
        <v>88625.766676267973</v>
      </c>
      <c r="CC706" s="10">
        <f t="shared" ca="1" si="5729"/>
        <v>135371.84036952749</v>
      </c>
      <c r="CD706" s="10">
        <f t="shared" ca="1" si="5729"/>
        <v>169861.04832360029</v>
      </c>
      <c r="CE706" s="10">
        <f t="shared" ca="1" si="5729"/>
        <v>97160.831724902193</v>
      </c>
      <c r="CF706" s="10">
        <f t="shared" ca="1" si="5729"/>
        <v>92170.797343318671</v>
      </c>
      <c r="CG706" s="10">
        <f t="shared" ca="1" si="5729"/>
        <v>140786.71398430856</v>
      </c>
      <c r="CH706" s="10">
        <f t="shared" ca="1" si="5729"/>
        <v>176655.49025654429</v>
      </c>
      <c r="CI706" s="10">
        <f t="shared" ca="1" si="5729"/>
        <v>101047.26499389829</v>
      </c>
      <c r="CJ706" s="10">
        <f t="shared" ca="1" si="5729"/>
        <v>96922.714006351976</v>
      </c>
      <c r="CK706" s="10">
        <f t="shared" ca="1" si="5729"/>
        <v>146418.18254368089</v>
      </c>
      <c r="CL706" s="10">
        <f t="shared" ca="1" si="5729"/>
        <v>183721.70986680602</v>
      </c>
      <c r="CM706" s="10">
        <f t="shared" ca="1" si="5729"/>
        <v>105089.1555936542</v>
      </c>
      <c r="CN706" s="10">
        <f t="shared" ca="1" si="5729"/>
        <v>99691.934406533474</v>
      </c>
      <c r="CO706" s="10">
        <f t="shared" ca="1" si="5729"/>
        <v>152274.9098454281</v>
      </c>
      <c r="CP706" s="10"/>
    </row>
    <row r="707" spans="1:94" ht="15" thickTop="1">
      <c r="B707" s="101"/>
      <c r="C707" s="49" t="str">
        <f>"Итого: выручка " &amp; C35 &amp; " в прогнозных ценах без НДС"</f>
        <v>Итого: выручка Объект размещения (отель) в прогнозных ценах без НДС</v>
      </c>
      <c r="D707" s="49"/>
      <c r="E707" s="136"/>
      <c r="F707" s="49"/>
      <c r="G707" s="159" t="str">
        <f xml:space="preserve"> Monetary_Unit</f>
        <v>тыс. руб.</v>
      </c>
      <c r="H707" s="49"/>
      <c r="I707" s="23">
        <f ca="1">SUM(L707:CO707)</f>
        <v>54850086.519837193</v>
      </c>
      <c r="J707" s="49"/>
      <c r="K707" s="49"/>
      <c r="L707" s="49">
        <f t="shared" ref="L707:R707" ca="1" si="5730" xml:space="preserve"> SUM(L704:L706)</f>
        <v>0</v>
      </c>
      <c r="M707" s="49">
        <f t="shared" ca="1" si="5730"/>
        <v>0</v>
      </c>
      <c r="N707" s="49">
        <f t="shared" ca="1" si="5730"/>
        <v>0</v>
      </c>
      <c r="O707" s="49">
        <f t="shared" ca="1" si="5730"/>
        <v>0</v>
      </c>
      <c r="P707" s="49">
        <f t="shared" ca="1" si="5730"/>
        <v>0</v>
      </c>
      <c r="Q707" s="49">
        <f t="shared" ca="1" si="5730"/>
        <v>0</v>
      </c>
      <c r="R707" s="49">
        <f t="shared" ca="1" si="5730"/>
        <v>0</v>
      </c>
      <c r="S707" s="49">
        <f t="shared" ref="S707" ca="1" si="5731" xml:space="preserve"> SUM(S704:S706)</f>
        <v>0</v>
      </c>
      <c r="T707" s="49">
        <f t="shared" ref="T707:CE707" ca="1" si="5732" xml:space="preserve"> SUM(T704:T706)</f>
        <v>0</v>
      </c>
      <c r="U707" s="49">
        <f t="shared" ca="1" si="5732"/>
        <v>0</v>
      </c>
      <c r="V707" s="49">
        <f t="shared" ca="1" si="5732"/>
        <v>0</v>
      </c>
      <c r="W707" s="49">
        <f t="shared" ca="1" si="5732"/>
        <v>0</v>
      </c>
      <c r="X707" s="49">
        <f t="shared" ca="1" si="5732"/>
        <v>0</v>
      </c>
      <c r="Y707" s="49">
        <f t="shared" ca="1" si="5732"/>
        <v>0</v>
      </c>
      <c r="Z707" s="49">
        <f t="shared" ca="1" si="5732"/>
        <v>0</v>
      </c>
      <c r="AA707" s="49">
        <f t="shared" ca="1" si="5732"/>
        <v>0</v>
      </c>
      <c r="AB707" s="49">
        <f t="shared" ca="1" si="5732"/>
        <v>0</v>
      </c>
      <c r="AC707" s="49">
        <f t="shared" ca="1" si="5732"/>
        <v>538729.60493334138</v>
      </c>
      <c r="AD707" s="49">
        <f t="shared" ca="1" si="5732"/>
        <v>701020.27067459095</v>
      </c>
      <c r="AE707" s="49">
        <f t="shared" ca="1" si="5732"/>
        <v>415305.77147408307</v>
      </c>
      <c r="AF707" s="49">
        <f t="shared" ca="1" si="5732"/>
        <v>407561.6801808218</v>
      </c>
      <c r="AG707" s="49">
        <f t="shared" ca="1" si="5732"/>
        <v>643283.05418707151</v>
      </c>
      <c r="AH707" s="49">
        <f t="shared" ca="1" si="5732"/>
        <v>833212.66457322869</v>
      </c>
      <c r="AI707" s="49">
        <f t="shared" ca="1" si="5732"/>
        <v>491492.89920657012</v>
      </c>
      <c r="AJ707" s="49">
        <f t="shared" ca="1" si="5732"/>
        <v>480379.3670397955</v>
      </c>
      <c r="AK707" s="49">
        <f t="shared" ca="1" si="5732"/>
        <v>755338.81201320689</v>
      </c>
      <c r="AL707" s="49">
        <f t="shared" ca="1" si="5732"/>
        <v>974858.81755067746</v>
      </c>
      <c r="AM707" s="49">
        <f t="shared" ca="1" si="5732"/>
        <v>573110.5079232977</v>
      </c>
      <c r="AN707" s="49">
        <f t="shared" ca="1" si="5732"/>
        <v>564574.48538318858</v>
      </c>
      <c r="AO707" s="49">
        <f t="shared" ca="1" si="5732"/>
        <v>875329.7775787327</v>
      </c>
      <c r="AP707" s="49">
        <f t="shared" ca="1" si="5732"/>
        <v>1098340.9344404293</v>
      </c>
      <c r="AQ707" s="49">
        <f t="shared" ca="1" si="5732"/>
        <v>628253.03246943059</v>
      </c>
      <c r="AR707" s="49">
        <f t="shared" ca="1" si="5732"/>
        <v>595986.90035939578</v>
      </c>
      <c r="AS707" s="49">
        <f t="shared" ca="1" si="5732"/>
        <v>910342.96868188202</v>
      </c>
      <c r="AT707" s="49">
        <f t="shared" ca="1" si="5732"/>
        <v>1142274.5718180465</v>
      </c>
      <c r="AU707" s="49">
        <f t="shared" ca="1" si="5732"/>
        <v>653383.15376820788</v>
      </c>
      <c r="AV707" s="49">
        <f t="shared" ca="1" si="5732"/>
        <v>619826.37637377158</v>
      </c>
      <c r="AW707" s="49">
        <f t="shared" ca="1" si="5732"/>
        <v>805449.71915614884</v>
      </c>
      <c r="AX707" s="49">
        <f t="shared" ca="1" si="5732"/>
        <v>1010657.2629458774</v>
      </c>
      <c r="AY707" s="49">
        <f t="shared" ca="1" si="5732"/>
        <v>578097.81127431884</v>
      </c>
      <c r="AZ707" s="49">
        <f t="shared" ca="1" si="5732"/>
        <v>548407.57599159959</v>
      </c>
      <c r="BA707" s="49">
        <f t="shared" ca="1" si="5732"/>
        <v>837667.7079223945</v>
      </c>
      <c r="BB707" s="49">
        <f t="shared" ca="1" si="5732"/>
        <v>1051083.5534637121</v>
      </c>
      <c r="BC707" s="49">
        <f t="shared" ca="1" si="5732"/>
        <v>601221.72372529143</v>
      </c>
      <c r="BD707" s="49">
        <f t="shared" ca="1" si="5732"/>
        <v>576681.03324272193</v>
      </c>
      <c r="BE707" s="49">
        <f t="shared" ca="1" si="5732"/>
        <v>871174.41623929003</v>
      </c>
      <c r="BF707" s="49">
        <f t="shared" ca="1" si="5732"/>
        <v>1093126.8956022605</v>
      </c>
      <c r="BG707" s="49">
        <f t="shared" ca="1" si="5732"/>
        <v>625270.59267430298</v>
      </c>
      <c r="BH707" s="49">
        <f t="shared" ca="1" si="5732"/>
        <v>593157.63419251388</v>
      </c>
      <c r="BI707" s="49">
        <f t="shared" ca="1" si="5732"/>
        <v>906021.39288886171</v>
      </c>
      <c r="BJ707" s="49">
        <f t="shared" ca="1" si="5732"/>
        <v>1136851.9714263508</v>
      </c>
      <c r="BK707" s="49">
        <f t="shared" ca="1" si="5732"/>
        <v>650281.41638127505</v>
      </c>
      <c r="BL707" s="49">
        <f t="shared" ca="1" si="5732"/>
        <v>616883.93956021441</v>
      </c>
      <c r="BM707" s="49">
        <f t="shared" ca="1" si="5732"/>
        <v>942262.24860441603</v>
      </c>
      <c r="BN707" s="49">
        <f t="shared" ca="1" si="5732"/>
        <v>1182326.0502834048</v>
      </c>
      <c r="BO707" s="49">
        <f t="shared" ca="1" si="5732"/>
        <v>676292.67303652596</v>
      </c>
      <c r="BP707" s="49">
        <f t="shared" ca="1" si="5732"/>
        <v>641559.29714262288</v>
      </c>
      <c r="BQ707" s="49">
        <f t="shared" ca="1" si="5732"/>
        <v>979952.73854859243</v>
      </c>
      <c r="BR707" s="49">
        <f t="shared" ca="1" si="5732"/>
        <v>1229619.0922947407</v>
      </c>
      <c r="BS707" s="49">
        <f t="shared" ca="1" si="5732"/>
        <v>703344.37995798665</v>
      </c>
      <c r="BT707" s="49">
        <f t="shared" ca="1" si="5732"/>
        <v>674635.24312864244</v>
      </c>
      <c r="BU707" s="49">
        <f t="shared" ca="1" si="5732"/>
        <v>1019150.848090536</v>
      </c>
      <c r="BV707" s="49">
        <f t="shared" ca="1" si="5732"/>
        <v>1278803.85598653</v>
      </c>
      <c r="BW707" s="49">
        <f t="shared" ca="1" si="5732"/>
        <v>731478.15515630599</v>
      </c>
      <c r="BX707" s="49">
        <f t="shared" ca="1" si="5732"/>
        <v>693910.53578946064</v>
      </c>
      <c r="BY707" s="49">
        <f t="shared" ca="1" si="5732"/>
        <v>1059916.882014157</v>
      </c>
      <c r="BZ707" s="49">
        <f t="shared" ca="1" si="5732"/>
        <v>1329956.010225991</v>
      </c>
      <c r="CA707" s="49">
        <f t="shared" ca="1" si="5732"/>
        <v>760737.28136255825</v>
      </c>
      <c r="CB707" s="49">
        <f t="shared" ca="1" si="5732"/>
        <v>721666.95722103911</v>
      </c>
      <c r="CC707" s="49">
        <f t="shared" ca="1" si="5732"/>
        <v>1102313.5572947236</v>
      </c>
      <c r="CD707" s="49">
        <f t="shared" ca="1" si="5732"/>
        <v>1383154.2506350307</v>
      </c>
      <c r="CE707" s="49">
        <f t="shared" ca="1" si="5732"/>
        <v>791166.77261706057</v>
      </c>
      <c r="CF707" s="49">
        <f t="shared" ref="CF707:CO707" ca="1" si="5733" xml:space="preserve"> SUM(CF704:CF706)</f>
        <v>750533.63550988061</v>
      </c>
      <c r="CG707" s="49">
        <f t="shared" ca="1" si="5733"/>
        <v>1146406.0995865124</v>
      </c>
      <c r="CH707" s="49">
        <f t="shared" ca="1" si="5733"/>
        <v>1438480.4206604315</v>
      </c>
      <c r="CI707" s="49">
        <f t="shared" ca="1" si="5733"/>
        <v>822813.44352174317</v>
      </c>
      <c r="CJ707" s="49">
        <f t="shared" ca="1" si="5733"/>
        <v>789227.81405172311</v>
      </c>
      <c r="CK707" s="49">
        <f t="shared" ca="1" si="5733"/>
        <v>1192262.3435699726</v>
      </c>
      <c r="CL707" s="49">
        <f t="shared" ca="1" si="5733"/>
        <v>1496019.6374868487</v>
      </c>
      <c r="CM707" s="49">
        <f t="shared" ca="1" si="5733"/>
        <v>855725.98126261262</v>
      </c>
      <c r="CN707" s="49">
        <f t="shared" ca="1" si="5733"/>
        <v>811777.18016748666</v>
      </c>
      <c r="CO707" s="49">
        <f t="shared" ca="1" si="5733"/>
        <v>1239952.8373127715</v>
      </c>
    </row>
    <row r="708" spans="1:94">
      <c r="B708" s="13"/>
      <c r="C708" s="21"/>
      <c r="D708" s="10"/>
      <c r="E708" s="62"/>
      <c r="F708" s="11"/>
      <c r="G708" s="11"/>
      <c r="H708" s="10"/>
      <c r="I708" s="10"/>
      <c r="J708" s="10"/>
      <c r="K708" s="10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  <c r="AA708" s="78"/>
      <c r="AB708" s="78"/>
      <c r="AC708" s="78"/>
      <c r="AD708" s="78"/>
      <c r="AE708" s="78"/>
      <c r="AF708" s="78"/>
      <c r="AG708" s="78"/>
      <c r="AH708" s="78"/>
      <c r="AI708" s="78"/>
      <c r="AJ708" s="78"/>
      <c r="AK708" s="78"/>
      <c r="AL708" s="78"/>
      <c r="AM708" s="78"/>
      <c r="AN708" s="78"/>
      <c r="AO708" s="78"/>
      <c r="AP708" s="78"/>
      <c r="AQ708" s="78"/>
      <c r="AR708" s="78"/>
      <c r="AS708" s="78"/>
      <c r="AT708" s="78"/>
      <c r="AU708" s="78"/>
      <c r="AV708" s="78"/>
      <c r="AW708" s="78"/>
      <c r="AX708" s="78"/>
      <c r="AY708" s="78"/>
      <c r="AZ708" s="78"/>
      <c r="BA708" s="78"/>
      <c r="BB708" s="78"/>
      <c r="BC708" s="78"/>
      <c r="BD708" s="78"/>
      <c r="BE708" s="78"/>
      <c r="BF708" s="78"/>
      <c r="BG708" s="78"/>
      <c r="BH708" s="78"/>
      <c r="BI708" s="78"/>
      <c r="BJ708" s="78"/>
      <c r="BK708" s="78"/>
      <c r="BL708" s="78"/>
      <c r="BM708" s="78"/>
      <c r="BN708" s="78"/>
      <c r="BO708" s="78"/>
      <c r="BP708" s="78"/>
      <c r="BQ708" s="78"/>
      <c r="BR708" s="78"/>
      <c r="BS708" s="78"/>
      <c r="BT708" s="78"/>
      <c r="BU708" s="78"/>
      <c r="BV708" s="78"/>
      <c r="BW708" s="78"/>
      <c r="BX708" s="78"/>
      <c r="BY708" s="78"/>
      <c r="BZ708" s="78"/>
      <c r="CA708" s="78"/>
      <c r="CB708" s="78"/>
      <c r="CC708" s="78"/>
      <c r="CD708" s="78"/>
      <c r="CE708" s="78"/>
      <c r="CF708" s="78"/>
      <c r="CG708" s="78"/>
      <c r="CH708" s="78"/>
      <c r="CI708" s="78"/>
      <c r="CJ708" s="78"/>
      <c r="CK708" s="78"/>
      <c r="CL708" s="78"/>
      <c r="CM708" s="78"/>
      <c r="CN708" s="78"/>
      <c r="CO708" s="78"/>
    </row>
    <row r="709" spans="1:94" ht="15" customHeight="1">
      <c r="A709" s="10"/>
      <c r="B709" s="3"/>
      <c r="C709" s="384" t="str">
        <f>C510</f>
        <v>Сегмент 2: Развлекательный комплекс</v>
      </c>
      <c r="D709" s="273"/>
      <c r="E709" s="273"/>
      <c r="F709" s="273"/>
      <c r="G709" s="274"/>
      <c r="H709" s="273"/>
      <c r="I709" s="273"/>
      <c r="J709" s="273"/>
      <c r="K709" s="273"/>
      <c r="L709" s="273"/>
      <c r="M709" s="273"/>
      <c r="N709" s="273"/>
      <c r="O709" s="273"/>
      <c r="P709" s="273"/>
      <c r="Q709" s="273"/>
      <c r="R709" s="273"/>
      <c r="S709" s="273"/>
      <c r="T709" s="273"/>
      <c r="U709" s="273"/>
      <c r="V709" s="273"/>
      <c r="W709" s="273"/>
      <c r="X709" s="273"/>
      <c r="Y709" s="273"/>
      <c r="Z709" s="273"/>
      <c r="AA709" s="273"/>
      <c r="AB709" s="273"/>
      <c r="AC709" s="273"/>
      <c r="AD709" s="273"/>
      <c r="AE709" s="273"/>
      <c r="AF709" s="273"/>
      <c r="AG709" s="273"/>
      <c r="AH709" s="273"/>
      <c r="AI709" s="273"/>
      <c r="AJ709" s="273"/>
      <c r="AK709" s="273"/>
      <c r="AL709" s="273"/>
      <c r="AM709" s="273"/>
      <c r="AN709" s="273"/>
      <c r="AO709" s="273"/>
      <c r="AP709" s="273"/>
      <c r="AQ709" s="273"/>
      <c r="AR709" s="273"/>
      <c r="AS709" s="273"/>
      <c r="AT709" s="273"/>
      <c r="AU709" s="273"/>
      <c r="AV709" s="273"/>
      <c r="AW709" s="273"/>
      <c r="AX709" s="273"/>
      <c r="AY709" s="273"/>
      <c r="AZ709" s="273"/>
      <c r="BA709" s="273"/>
      <c r="BB709" s="273"/>
      <c r="BC709" s="273"/>
      <c r="BD709" s="273"/>
      <c r="BE709" s="273"/>
      <c r="BF709" s="273"/>
      <c r="BG709" s="273"/>
      <c r="BH709" s="273"/>
      <c r="BI709" s="273"/>
      <c r="BJ709" s="273"/>
      <c r="BK709" s="273"/>
      <c r="BL709" s="273"/>
      <c r="BM709" s="273"/>
      <c r="BN709" s="273"/>
      <c r="BO709" s="273"/>
      <c r="BP709" s="273"/>
      <c r="BQ709" s="273"/>
      <c r="BR709" s="273"/>
      <c r="BS709" s="273"/>
      <c r="BT709" s="273"/>
      <c r="BU709" s="273"/>
      <c r="BV709" s="273"/>
      <c r="BW709" s="273"/>
      <c r="BX709" s="273"/>
      <c r="BY709" s="273"/>
      <c r="BZ709" s="273"/>
      <c r="CA709" s="273"/>
      <c r="CB709" s="273"/>
      <c r="CC709" s="273"/>
      <c r="CD709" s="273"/>
      <c r="CE709" s="273"/>
      <c r="CF709" s="273"/>
      <c r="CG709" s="273"/>
      <c r="CH709" s="273"/>
      <c r="CI709" s="273"/>
      <c r="CJ709" s="273"/>
      <c r="CK709" s="273"/>
      <c r="CL709" s="273"/>
      <c r="CM709" s="273"/>
      <c r="CN709" s="273"/>
      <c r="CO709" s="273"/>
    </row>
    <row r="710" spans="1:94">
      <c r="B710" s="13"/>
      <c r="C710" s="21"/>
      <c r="D710" s="10"/>
      <c r="E710" s="62"/>
      <c r="F710" s="11"/>
      <c r="G710" s="11"/>
      <c r="H710" s="10"/>
      <c r="I710" s="10"/>
      <c r="J710" s="10"/>
      <c r="K710" s="10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  <c r="AA710" s="78"/>
      <c r="AB710" s="78"/>
      <c r="AC710" s="78"/>
      <c r="AD710" s="78"/>
      <c r="AE710" s="78"/>
      <c r="AF710" s="78"/>
      <c r="AG710" s="78"/>
      <c r="AH710" s="78"/>
      <c r="AI710" s="78"/>
      <c r="AJ710" s="78"/>
      <c r="AK710" s="78"/>
      <c r="AL710" s="78"/>
      <c r="AM710" s="78"/>
      <c r="AN710" s="78"/>
      <c r="AO710" s="78"/>
      <c r="AP710" s="78"/>
      <c r="AQ710" s="78"/>
      <c r="AR710" s="78"/>
      <c r="AS710" s="78"/>
      <c r="AT710" s="78"/>
      <c r="AU710" s="78"/>
      <c r="AV710" s="78"/>
      <c r="AW710" s="78"/>
      <c r="AX710" s="78"/>
      <c r="AY710" s="78"/>
      <c r="AZ710" s="78"/>
      <c r="BA710" s="78"/>
      <c r="BB710" s="78"/>
      <c r="BC710" s="78"/>
      <c r="BD710" s="78"/>
      <c r="BE710" s="78"/>
      <c r="BF710" s="78"/>
      <c r="BG710" s="78"/>
      <c r="BH710" s="78"/>
      <c r="BI710" s="78"/>
      <c r="BJ710" s="78"/>
      <c r="BK710" s="78"/>
      <c r="BL710" s="78"/>
      <c r="BM710" s="78"/>
      <c r="BN710" s="78"/>
      <c r="BO710" s="78"/>
      <c r="BP710" s="78"/>
      <c r="BQ710" s="78"/>
      <c r="BR710" s="78"/>
      <c r="BS710" s="78"/>
      <c r="BT710" s="78"/>
      <c r="BU710" s="78"/>
      <c r="BV710" s="78"/>
      <c r="BW710" s="78"/>
      <c r="BX710" s="78"/>
      <c r="BY710" s="78"/>
      <c r="BZ710" s="78"/>
      <c r="CA710" s="78"/>
      <c r="CB710" s="78"/>
      <c r="CC710" s="78"/>
      <c r="CD710" s="78"/>
      <c r="CE710" s="78"/>
      <c r="CF710" s="78"/>
      <c r="CG710" s="78"/>
      <c r="CH710" s="78"/>
      <c r="CI710" s="78"/>
      <c r="CJ710" s="78"/>
      <c r="CK710" s="78"/>
      <c r="CL710" s="78"/>
      <c r="CM710" s="78"/>
      <c r="CN710" s="78"/>
      <c r="CO710" s="78"/>
    </row>
    <row r="711" spans="1:94" ht="16" hidden="1" thickBot="1">
      <c r="B711" s="13"/>
      <c r="C711" s="12" t="s">
        <v>878</v>
      </c>
      <c r="D711" s="12"/>
      <c r="E711" s="12"/>
      <c r="F711" s="12"/>
      <c r="G711" s="362"/>
      <c r="H711" s="12"/>
      <c r="I711" s="12"/>
      <c r="J711" s="10"/>
      <c r="K711" s="10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/>
      <c r="AE711" s="78"/>
      <c r="AF711" s="78"/>
      <c r="AG711" s="78"/>
      <c r="AH711" s="78"/>
      <c r="AI711" s="78"/>
      <c r="AJ711" s="78"/>
      <c r="AK711" s="78"/>
      <c r="AL711" s="78"/>
      <c r="AM711" s="78"/>
      <c r="AN711" s="78"/>
      <c r="AO711" s="78"/>
      <c r="AP711" s="78"/>
      <c r="AQ711" s="78"/>
      <c r="AR711" s="78"/>
      <c r="AS711" s="78"/>
      <c r="AT711" s="78"/>
      <c r="AU711" s="78"/>
      <c r="AV711" s="78"/>
      <c r="AW711" s="78"/>
      <c r="AX711" s="78"/>
      <c r="AY711" s="78"/>
      <c r="AZ711" s="78"/>
      <c r="BA711" s="78"/>
      <c r="BB711" s="78"/>
      <c r="BC711" s="78"/>
      <c r="BD711" s="78"/>
      <c r="BE711" s="78"/>
      <c r="BF711" s="78"/>
      <c r="BG711" s="78"/>
      <c r="BH711" s="78"/>
      <c r="BI711" s="78"/>
      <c r="BJ711" s="78"/>
      <c r="BK711" s="78"/>
      <c r="BL711" s="78"/>
      <c r="BM711" s="78"/>
      <c r="BN711" s="78"/>
      <c r="BO711" s="78"/>
      <c r="BP711" s="78"/>
      <c r="BQ711" s="78"/>
      <c r="BR711" s="78"/>
      <c r="BS711" s="78"/>
      <c r="BT711" s="78"/>
      <c r="BU711" s="78"/>
      <c r="BV711" s="78"/>
      <c r="BW711" s="78"/>
      <c r="BX711" s="78"/>
      <c r="BY711" s="78"/>
      <c r="BZ711" s="78"/>
      <c r="CA711" s="78"/>
      <c r="CB711" s="78"/>
      <c r="CC711" s="78"/>
      <c r="CD711" s="78"/>
      <c r="CE711" s="78"/>
      <c r="CF711" s="78"/>
      <c r="CG711" s="78"/>
      <c r="CH711" s="78"/>
      <c r="CI711" s="78"/>
      <c r="CJ711" s="78"/>
      <c r="CK711" s="78"/>
      <c r="CL711" s="78"/>
      <c r="CM711" s="78"/>
      <c r="CN711" s="78"/>
      <c r="CO711" s="78"/>
    </row>
    <row r="712" spans="1:94" s="141" customFormat="1" ht="12.5" hidden="1">
      <c r="B712" s="10"/>
      <c r="C712" s="21"/>
      <c r="D712" s="10"/>
      <c r="E712" s="62"/>
      <c r="F712" s="11"/>
      <c r="G712" s="11"/>
      <c r="H712" s="10"/>
      <c r="I712" s="10"/>
      <c r="J712" s="10"/>
      <c r="K712" s="10"/>
      <c r="L712" s="170"/>
      <c r="M712" s="170"/>
      <c r="N712" s="170"/>
      <c r="O712" s="170"/>
      <c r="P712" s="170"/>
      <c r="Q712" s="170"/>
      <c r="R712" s="170"/>
      <c r="S712" s="170"/>
      <c r="T712" s="170"/>
      <c r="U712" s="170"/>
      <c r="V712" s="170"/>
      <c r="W712" s="170"/>
      <c r="X712" s="170"/>
      <c r="Y712" s="170"/>
      <c r="Z712" s="170"/>
      <c r="AA712" s="170"/>
      <c r="AB712" s="170"/>
      <c r="AC712" s="170"/>
      <c r="AD712" s="170"/>
      <c r="AE712" s="170"/>
      <c r="AF712" s="170"/>
      <c r="AG712" s="170"/>
      <c r="AH712" s="170"/>
      <c r="AI712" s="170"/>
      <c r="AJ712" s="170"/>
      <c r="AK712" s="170"/>
      <c r="AL712" s="170"/>
      <c r="AM712" s="170"/>
      <c r="AN712" s="170"/>
      <c r="AO712" s="170"/>
      <c r="AP712" s="170"/>
      <c r="AQ712" s="170"/>
      <c r="AR712" s="170"/>
      <c r="AS712" s="170"/>
      <c r="AT712" s="170"/>
      <c r="AU712" s="170"/>
      <c r="AV712" s="170"/>
      <c r="AW712" s="170"/>
      <c r="AX712" s="170"/>
      <c r="AY712" s="170"/>
      <c r="AZ712" s="170"/>
      <c r="BA712" s="170"/>
      <c r="BB712" s="170"/>
      <c r="BC712" s="170"/>
      <c r="BD712" s="170"/>
      <c r="BE712" s="170"/>
      <c r="BF712" s="170"/>
      <c r="BG712" s="170"/>
      <c r="BH712" s="170"/>
      <c r="BI712" s="170"/>
      <c r="BJ712" s="170"/>
      <c r="BK712" s="170"/>
      <c r="BL712" s="170"/>
      <c r="BM712" s="170"/>
      <c r="BN712" s="170"/>
      <c r="BO712" s="170"/>
      <c r="BP712" s="170"/>
      <c r="BQ712" s="170"/>
      <c r="BR712" s="170"/>
      <c r="BS712" s="170"/>
      <c r="BT712" s="170"/>
      <c r="BU712" s="170"/>
      <c r="BV712" s="170"/>
      <c r="BW712" s="170"/>
      <c r="BX712" s="170"/>
      <c r="BY712" s="170"/>
      <c r="BZ712" s="170"/>
      <c r="CA712" s="170"/>
      <c r="CB712" s="170"/>
      <c r="CC712" s="170"/>
      <c r="CD712" s="170"/>
      <c r="CE712" s="170"/>
      <c r="CF712" s="170"/>
      <c r="CG712" s="170"/>
      <c r="CH712" s="170"/>
      <c r="CI712" s="170"/>
      <c r="CJ712" s="170"/>
      <c r="CK712" s="170"/>
      <c r="CL712" s="170"/>
      <c r="CM712" s="170"/>
      <c r="CN712" s="170"/>
      <c r="CO712" s="170"/>
    </row>
    <row r="713" spans="1:94" s="141" customFormat="1" ht="12.5" hidden="1">
      <c r="B713" s="10"/>
      <c r="C713" s="17" t="str">
        <f xml:space="preserve"> "Флаг - период эксплуатации " &amp; C36</f>
        <v>Флаг - период эксплуатации Развлекательный комплекс</v>
      </c>
      <c r="D713" s="10"/>
      <c r="E713" s="62"/>
      <c r="F713" s="11"/>
      <c r="G713" s="11"/>
      <c r="H713" s="10"/>
      <c r="I713" s="10"/>
      <c r="J713" s="10"/>
      <c r="K713" s="10"/>
      <c r="L713" s="10">
        <f t="shared" ref="L713:AQ713" si="5734" xml:space="preserve"> L50</f>
        <v>0</v>
      </c>
      <c r="M713" s="10">
        <f t="shared" si="5734"/>
        <v>0</v>
      </c>
      <c r="N713" s="10">
        <f t="shared" si="5734"/>
        <v>0</v>
      </c>
      <c r="O713" s="10">
        <f t="shared" si="5734"/>
        <v>0</v>
      </c>
      <c r="P713" s="10">
        <f t="shared" si="5734"/>
        <v>0</v>
      </c>
      <c r="Q713" s="10">
        <f t="shared" si="5734"/>
        <v>0</v>
      </c>
      <c r="R713" s="10">
        <f t="shared" si="5734"/>
        <v>0</v>
      </c>
      <c r="S713" s="10">
        <f t="shared" si="5734"/>
        <v>0</v>
      </c>
      <c r="T713" s="10">
        <f t="shared" si="5734"/>
        <v>0</v>
      </c>
      <c r="U713" s="10">
        <f t="shared" si="5734"/>
        <v>0</v>
      </c>
      <c r="V713" s="10">
        <f t="shared" si="5734"/>
        <v>0</v>
      </c>
      <c r="W713" s="10">
        <f t="shared" si="5734"/>
        <v>0</v>
      </c>
      <c r="X713" s="10">
        <f t="shared" si="5734"/>
        <v>0</v>
      </c>
      <c r="Y713" s="10">
        <f t="shared" si="5734"/>
        <v>0</v>
      </c>
      <c r="Z713" s="10">
        <f t="shared" si="5734"/>
        <v>0</v>
      </c>
      <c r="AA713" s="10">
        <f t="shared" si="5734"/>
        <v>0</v>
      </c>
      <c r="AB713" s="10">
        <f t="shared" si="5734"/>
        <v>1</v>
      </c>
      <c r="AC713" s="10">
        <f t="shared" si="5734"/>
        <v>1</v>
      </c>
      <c r="AD713" s="10">
        <f t="shared" si="5734"/>
        <v>1</v>
      </c>
      <c r="AE713" s="10">
        <f t="shared" si="5734"/>
        <v>1</v>
      </c>
      <c r="AF713" s="10">
        <f t="shared" si="5734"/>
        <v>1</v>
      </c>
      <c r="AG713" s="10">
        <f t="shared" si="5734"/>
        <v>1</v>
      </c>
      <c r="AH713" s="10">
        <f t="shared" si="5734"/>
        <v>1</v>
      </c>
      <c r="AI713" s="10">
        <f t="shared" si="5734"/>
        <v>1</v>
      </c>
      <c r="AJ713" s="10">
        <f t="shared" si="5734"/>
        <v>1</v>
      </c>
      <c r="AK713" s="10">
        <f t="shared" si="5734"/>
        <v>1</v>
      </c>
      <c r="AL713" s="10">
        <f t="shared" si="5734"/>
        <v>1</v>
      </c>
      <c r="AM713" s="10">
        <f t="shared" si="5734"/>
        <v>1</v>
      </c>
      <c r="AN713" s="10">
        <f t="shared" si="5734"/>
        <v>1</v>
      </c>
      <c r="AO713" s="10">
        <f t="shared" si="5734"/>
        <v>1</v>
      </c>
      <c r="AP713" s="10">
        <f t="shared" si="5734"/>
        <v>1</v>
      </c>
      <c r="AQ713" s="10">
        <f t="shared" si="5734"/>
        <v>1</v>
      </c>
      <c r="AR713" s="10">
        <f t="shared" ref="AR713:BW713" si="5735" xml:space="preserve"> AR50</f>
        <v>1</v>
      </c>
      <c r="AS713" s="10">
        <f t="shared" si="5735"/>
        <v>1</v>
      </c>
      <c r="AT713" s="10">
        <f t="shared" si="5735"/>
        <v>1</v>
      </c>
      <c r="AU713" s="10">
        <f t="shared" si="5735"/>
        <v>1</v>
      </c>
      <c r="AV713" s="10">
        <f t="shared" si="5735"/>
        <v>1</v>
      </c>
      <c r="AW713" s="10">
        <f t="shared" si="5735"/>
        <v>1</v>
      </c>
      <c r="AX713" s="10">
        <f t="shared" si="5735"/>
        <v>1</v>
      </c>
      <c r="AY713" s="10">
        <f t="shared" si="5735"/>
        <v>1</v>
      </c>
      <c r="AZ713" s="10">
        <f t="shared" si="5735"/>
        <v>1</v>
      </c>
      <c r="BA713" s="10">
        <f t="shared" si="5735"/>
        <v>1</v>
      </c>
      <c r="BB713" s="10">
        <f t="shared" si="5735"/>
        <v>1</v>
      </c>
      <c r="BC713" s="10">
        <f t="shared" si="5735"/>
        <v>1</v>
      </c>
      <c r="BD713" s="10">
        <f t="shared" si="5735"/>
        <v>1</v>
      </c>
      <c r="BE713" s="10">
        <f t="shared" si="5735"/>
        <v>1</v>
      </c>
      <c r="BF713" s="10">
        <f t="shared" si="5735"/>
        <v>1</v>
      </c>
      <c r="BG713" s="10">
        <f t="shared" si="5735"/>
        <v>1</v>
      </c>
      <c r="BH713" s="10">
        <f t="shared" si="5735"/>
        <v>1</v>
      </c>
      <c r="BI713" s="10">
        <f t="shared" si="5735"/>
        <v>1</v>
      </c>
      <c r="BJ713" s="10">
        <f t="shared" si="5735"/>
        <v>1</v>
      </c>
      <c r="BK713" s="10">
        <f t="shared" si="5735"/>
        <v>1</v>
      </c>
      <c r="BL713" s="10">
        <f t="shared" si="5735"/>
        <v>1</v>
      </c>
      <c r="BM713" s="10">
        <f t="shared" si="5735"/>
        <v>1</v>
      </c>
      <c r="BN713" s="10">
        <f t="shared" si="5735"/>
        <v>1</v>
      </c>
      <c r="BO713" s="10">
        <f t="shared" si="5735"/>
        <v>1</v>
      </c>
      <c r="BP713" s="10">
        <f t="shared" si="5735"/>
        <v>1</v>
      </c>
      <c r="BQ713" s="10">
        <f t="shared" si="5735"/>
        <v>1</v>
      </c>
      <c r="BR713" s="10">
        <f t="shared" si="5735"/>
        <v>1</v>
      </c>
      <c r="BS713" s="10">
        <f t="shared" si="5735"/>
        <v>1</v>
      </c>
      <c r="BT713" s="10">
        <f t="shared" si="5735"/>
        <v>1</v>
      </c>
      <c r="BU713" s="10">
        <f t="shared" si="5735"/>
        <v>1</v>
      </c>
      <c r="BV713" s="10">
        <f t="shared" si="5735"/>
        <v>1</v>
      </c>
      <c r="BW713" s="10">
        <f t="shared" si="5735"/>
        <v>1</v>
      </c>
      <c r="BX713" s="10">
        <f t="shared" ref="BX713:CO713" si="5736" xml:space="preserve"> BX50</f>
        <v>1</v>
      </c>
      <c r="BY713" s="10">
        <f t="shared" si="5736"/>
        <v>1</v>
      </c>
      <c r="BZ713" s="10">
        <f t="shared" si="5736"/>
        <v>1</v>
      </c>
      <c r="CA713" s="10">
        <f t="shared" si="5736"/>
        <v>1</v>
      </c>
      <c r="CB713" s="10">
        <f t="shared" si="5736"/>
        <v>1</v>
      </c>
      <c r="CC713" s="10">
        <f t="shared" si="5736"/>
        <v>1</v>
      </c>
      <c r="CD713" s="10">
        <f t="shared" si="5736"/>
        <v>1</v>
      </c>
      <c r="CE713" s="10">
        <f t="shared" si="5736"/>
        <v>1</v>
      </c>
      <c r="CF713" s="10">
        <f t="shared" si="5736"/>
        <v>1</v>
      </c>
      <c r="CG713" s="10">
        <f t="shared" si="5736"/>
        <v>1</v>
      </c>
      <c r="CH713" s="10">
        <f t="shared" si="5736"/>
        <v>1</v>
      </c>
      <c r="CI713" s="10">
        <f t="shared" si="5736"/>
        <v>1</v>
      </c>
      <c r="CJ713" s="10">
        <f t="shared" si="5736"/>
        <v>1</v>
      </c>
      <c r="CK713" s="10">
        <f t="shared" si="5736"/>
        <v>1</v>
      </c>
      <c r="CL713" s="10">
        <f t="shared" si="5736"/>
        <v>1</v>
      </c>
      <c r="CM713" s="10">
        <f t="shared" si="5736"/>
        <v>1</v>
      </c>
      <c r="CN713" s="10">
        <f t="shared" si="5736"/>
        <v>1</v>
      </c>
      <c r="CO713" s="10">
        <f t="shared" si="5736"/>
        <v>1</v>
      </c>
    </row>
    <row r="714" spans="1:94" s="141" customFormat="1" ht="12.5" hidden="1">
      <c r="B714" s="10"/>
      <c r="C714" s="17" t="s">
        <v>879</v>
      </c>
      <c r="D714" s="10"/>
      <c r="E714" s="62"/>
      <c r="F714" s="11"/>
      <c r="G714" s="11"/>
      <c r="H714" s="10"/>
      <c r="I714" s="10"/>
      <c r="J714" s="10"/>
      <c r="K714" s="10"/>
      <c r="L714" s="10">
        <f>INT(SUM($K$713:L713) / 4 +0.75)</f>
        <v>0</v>
      </c>
      <c r="M714" s="10">
        <f>INT(SUM($K$713:M713) / 4 +0.75)</f>
        <v>0</v>
      </c>
      <c r="N714" s="10">
        <f>INT(SUM($K$713:N713) / 4 +0.75)</f>
        <v>0</v>
      </c>
      <c r="O714" s="10">
        <f>INT(SUM($K$713:O713) / 4 +0.75)</f>
        <v>0</v>
      </c>
      <c r="P714" s="10">
        <f>INT(SUM($K$713:P713) / 4 +0.75)</f>
        <v>0</v>
      </c>
      <c r="Q714" s="10">
        <f>INT(SUM($K$713:Q713) / 4 +0.75)</f>
        <v>0</v>
      </c>
      <c r="R714" s="10">
        <f>INT(SUM($K$713:R713) / 4 +0.75)</f>
        <v>0</v>
      </c>
      <c r="S714" s="10">
        <f>INT(SUM($K$713:S713) / 4 +0.75)</f>
        <v>0</v>
      </c>
      <c r="T714" s="10">
        <f>INT(SUM($K$713:T713) / 4 +0.75)</f>
        <v>0</v>
      </c>
      <c r="U714" s="10">
        <f>INT(SUM($K$713:U713) / 4 +0.75)</f>
        <v>0</v>
      </c>
      <c r="V714" s="10">
        <f>INT(SUM($K$713:V713) / 4 +0.75)</f>
        <v>0</v>
      </c>
      <c r="W714" s="10">
        <f>INT(SUM($K$713:W713) / 4 +0.75)</f>
        <v>0</v>
      </c>
      <c r="X714" s="10">
        <f>INT(SUM($K$713:X713) / 4 +0.75)</f>
        <v>0</v>
      </c>
      <c r="Y714" s="10">
        <f>INT(SUM($K$713:Y713) / 4 +0.75)</f>
        <v>0</v>
      </c>
      <c r="Z714" s="10">
        <f>INT(SUM($K$713:Z713) / 4 +0.75)</f>
        <v>0</v>
      </c>
      <c r="AA714" s="10">
        <f>INT(SUM($K$713:AA713) / 4 +0.75)</f>
        <v>0</v>
      </c>
      <c r="AB714" s="10">
        <f>INT(SUM($K$713:AB713) / 4 +0.75)</f>
        <v>1</v>
      </c>
      <c r="AC714" s="10">
        <f>INT(SUM($K$713:AC713) / 4 +0.75)</f>
        <v>1</v>
      </c>
      <c r="AD714" s="10">
        <f>INT(SUM($K$713:AD713) / 4 +0.75)</f>
        <v>1</v>
      </c>
      <c r="AE714" s="10">
        <f>INT(SUM($K$713:AE713) / 4 +0.75)</f>
        <v>1</v>
      </c>
      <c r="AF714" s="10">
        <f>INT(SUM($K$713:AF713) / 4 +0.75)</f>
        <v>2</v>
      </c>
      <c r="AG714" s="10">
        <f>INT(SUM($K$713:AG713) / 4 +0.75)</f>
        <v>2</v>
      </c>
      <c r="AH714" s="10">
        <f>INT(SUM($K$713:AH713) / 4 +0.75)</f>
        <v>2</v>
      </c>
      <c r="AI714" s="10">
        <f>INT(SUM($K$713:AI713) / 4 +0.75)</f>
        <v>2</v>
      </c>
      <c r="AJ714" s="10">
        <f>INT(SUM($K$713:AJ713) / 4 +0.75)</f>
        <v>3</v>
      </c>
      <c r="AK714" s="10">
        <f>INT(SUM($K$713:AK713) / 4 +0.75)</f>
        <v>3</v>
      </c>
      <c r="AL714" s="10">
        <f>INT(SUM($K$713:AL713) / 4 +0.75)</f>
        <v>3</v>
      </c>
      <c r="AM714" s="10">
        <f>INT(SUM($K$713:AM713) / 4 +0.75)</f>
        <v>3</v>
      </c>
      <c r="AN714" s="10">
        <f>INT(SUM($K$713:AN713) / 4 +0.75)</f>
        <v>4</v>
      </c>
      <c r="AO714" s="10">
        <f>INT(SUM($K$713:AO713) / 4 +0.75)</f>
        <v>4</v>
      </c>
      <c r="AP714" s="10">
        <f>INT(SUM($K$713:AP713) / 4 +0.75)</f>
        <v>4</v>
      </c>
      <c r="AQ714" s="10">
        <f>INT(SUM($K$713:AQ713) / 4 +0.75)</f>
        <v>4</v>
      </c>
      <c r="AR714" s="10">
        <f>INT(SUM($K$713:AR713) / 4 +0.75)</f>
        <v>5</v>
      </c>
      <c r="AS714" s="10">
        <f>INT(SUM($K$713:AS713) / 4 +0.75)</f>
        <v>5</v>
      </c>
      <c r="AT714" s="10">
        <f>INT(SUM($K$713:AT713) / 4 +0.75)</f>
        <v>5</v>
      </c>
      <c r="AU714" s="10">
        <f>INT(SUM($K$713:AU713) / 4 +0.75)</f>
        <v>5</v>
      </c>
      <c r="AV714" s="10">
        <f>INT(SUM($K$713:AV713) / 4 +0.75)</f>
        <v>6</v>
      </c>
      <c r="AW714" s="10">
        <f>INT(SUM($K$713:AW713) / 4 +0.75)</f>
        <v>6</v>
      </c>
      <c r="AX714" s="10">
        <f>INT(SUM($K$713:AX713) / 4 +0.75)</f>
        <v>6</v>
      </c>
      <c r="AY714" s="10">
        <f>INT(SUM($K$713:AY713) / 4 +0.75)</f>
        <v>6</v>
      </c>
      <c r="AZ714" s="10">
        <f>INT(SUM($K$713:AZ713) / 4 +0.75)</f>
        <v>7</v>
      </c>
      <c r="BA714" s="10">
        <f>INT(SUM($K$713:BA713) / 4 +0.75)</f>
        <v>7</v>
      </c>
      <c r="BB714" s="10">
        <f>INT(SUM($K$713:BB713) / 4 +0.75)</f>
        <v>7</v>
      </c>
      <c r="BC714" s="10">
        <f>INT(SUM($K$713:BC713) / 4 +0.75)</f>
        <v>7</v>
      </c>
      <c r="BD714" s="10">
        <f>INT(SUM($K$713:BD713) / 4 +0.75)</f>
        <v>8</v>
      </c>
      <c r="BE714" s="10">
        <f>INT(SUM($K$713:BE713) / 4 +0.75)</f>
        <v>8</v>
      </c>
      <c r="BF714" s="10">
        <f>INT(SUM($K$713:BF713) / 4 +0.75)</f>
        <v>8</v>
      </c>
      <c r="BG714" s="10">
        <f>INT(SUM($K$713:BG713) / 4 +0.75)</f>
        <v>8</v>
      </c>
      <c r="BH714" s="10">
        <f>INT(SUM($K$713:BH713) / 4 +0.75)</f>
        <v>9</v>
      </c>
      <c r="BI714" s="10">
        <f>INT(SUM($K$713:BI713) / 4 +0.75)</f>
        <v>9</v>
      </c>
      <c r="BJ714" s="10">
        <f>INT(SUM($K$713:BJ713) / 4 +0.75)</f>
        <v>9</v>
      </c>
      <c r="BK714" s="10">
        <f>INT(SUM($K$713:BK713) / 4 +0.75)</f>
        <v>9</v>
      </c>
      <c r="BL714" s="10">
        <f>INT(SUM($K$713:BL713) / 4 +0.75)</f>
        <v>10</v>
      </c>
      <c r="BM714" s="10">
        <f>INT(SUM($K$713:BM713) / 4 +0.75)</f>
        <v>10</v>
      </c>
      <c r="BN714" s="10">
        <f>INT(SUM($K$713:BN713) / 4 +0.75)</f>
        <v>10</v>
      </c>
      <c r="BO714" s="10">
        <f>INT(SUM($K$713:BO713) / 4 +0.75)</f>
        <v>10</v>
      </c>
      <c r="BP714" s="10">
        <f>INT(SUM($K$713:BP713) / 4 +0.75)</f>
        <v>11</v>
      </c>
      <c r="BQ714" s="10">
        <f>INT(SUM($K$713:BQ713) / 4 +0.75)</f>
        <v>11</v>
      </c>
      <c r="BR714" s="10">
        <f>INT(SUM($K$713:BR713) / 4 +0.75)</f>
        <v>11</v>
      </c>
      <c r="BS714" s="10">
        <f>INT(SUM($K$713:BS713) / 4 +0.75)</f>
        <v>11</v>
      </c>
      <c r="BT714" s="10">
        <f>INT(SUM($K$713:BT713) / 4 +0.75)</f>
        <v>12</v>
      </c>
      <c r="BU714" s="10">
        <f>INT(SUM($K$713:BU713) / 4 +0.75)</f>
        <v>12</v>
      </c>
      <c r="BV714" s="10">
        <f>INT(SUM($K$713:BV713) / 4 +0.75)</f>
        <v>12</v>
      </c>
      <c r="BW714" s="10">
        <f>INT(SUM($K$713:BW713) / 4 +0.75)</f>
        <v>12</v>
      </c>
      <c r="BX714" s="10">
        <f>INT(SUM($K$713:BX713) / 4 +0.75)</f>
        <v>13</v>
      </c>
      <c r="BY714" s="10">
        <f>INT(SUM($K$713:BY713) / 4 +0.75)</f>
        <v>13</v>
      </c>
      <c r="BZ714" s="10">
        <f>INT(SUM($K$713:BZ713) / 4 +0.75)</f>
        <v>13</v>
      </c>
      <c r="CA714" s="10">
        <f>INT(SUM($K$713:CA713) / 4 +0.75)</f>
        <v>13</v>
      </c>
      <c r="CB714" s="10">
        <f>INT(SUM($K$713:CB713) / 4 +0.75)</f>
        <v>14</v>
      </c>
      <c r="CC714" s="10">
        <f>INT(SUM($K$713:CC713) / 4 +0.75)</f>
        <v>14</v>
      </c>
      <c r="CD714" s="10">
        <f>INT(SUM($K$713:CD713) / 4 +0.75)</f>
        <v>14</v>
      </c>
      <c r="CE714" s="10">
        <f>INT(SUM($K$713:CE713) / 4 +0.75)</f>
        <v>14</v>
      </c>
      <c r="CF714" s="10">
        <f>INT(SUM($K$713:CF713) / 4 +0.75)</f>
        <v>15</v>
      </c>
      <c r="CG714" s="10">
        <f>INT(SUM($K$713:CG713) / 4 +0.75)</f>
        <v>15</v>
      </c>
      <c r="CH714" s="10">
        <f>INT(SUM($K$713:CH713) / 4 +0.75)</f>
        <v>15</v>
      </c>
      <c r="CI714" s="10">
        <f>INT(SUM($K$713:CI713) / 4 +0.75)</f>
        <v>15</v>
      </c>
      <c r="CJ714" s="10">
        <f>INT(SUM($K$713:CJ713) / 4 +0.75)</f>
        <v>16</v>
      </c>
      <c r="CK714" s="10">
        <f>INT(SUM($K$713:CK713) / 4 +0.75)</f>
        <v>16</v>
      </c>
      <c r="CL714" s="10">
        <f>INT(SUM($K$713:CL713) / 4 +0.75)</f>
        <v>16</v>
      </c>
      <c r="CM714" s="10">
        <f>INT(SUM($K$713:CM713) / 4 +0.75)</f>
        <v>16</v>
      </c>
      <c r="CN714" s="10">
        <f>INT(SUM($K$713:CN713) / 4 +0.75)</f>
        <v>17</v>
      </c>
      <c r="CO714" s="10">
        <f>INT(SUM($K$713:CO713) / 4 +0.75)</f>
        <v>17</v>
      </c>
    </row>
    <row r="715" spans="1:94" s="141" customFormat="1" ht="12.5" hidden="1">
      <c r="B715" s="10"/>
      <c r="C715" s="21"/>
      <c r="D715" s="10"/>
      <c r="E715" s="62"/>
      <c r="F715" s="11"/>
      <c r="G715" s="11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  <c r="BB715" s="10"/>
      <c r="BC715" s="10"/>
      <c r="BD715" s="10"/>
      <c r="BE715" s="10"/>
      <c r="BF715" s="10"/>
      <c r="BG715" s="10"/>
      <c r="BH715" s="10"/>
      <c r="BI715" s="10"/>
      <c r="BJ715" s="10"/>
      <c r="BK715" s="10"/>
      <c r="BL715" s="10"/>
      <c r="BM715" s="10"/>
      <c r="BN715" s="10"/>
      <c r="BO715" s="10"/>
      <c r="BP715" s="10"/>
      <c r="BQ715" s="10"/>
      <c r="BR715" s="10"/>
      <c r="BS715" s="10"/>
      <c r="BT715" s="10"/>
      <c r="BU715" s="10"/>
      <c r="BV715" s="10"/>
      <c r="BW715" s="10"/>
      <c r="BX715" s="10"/>
      <c r="BY715" s="10"/>
      <c r="BZ715" s="10"/>
      <c r="CA715" s="10"/>
      <c r="CB715" s="10"/>
      <c r="CC715" s="10"/>
      <c r="CD715" s="10"/>
      <c r="CE715" s="10"/>
      <c r="CF715" s="10"/>
      <c r="CG715" s="10"/>
      <c r="CH715" s="10"/>
      <c r="CI715" s="10"/>
      <c r="CJ715" s="10"/>
      <c r="CK715" s="10"/>
      <c r="CL715" s="10"/>
      <c r="CM715" s="10"/>
      <c r="CN715" s="10"/>
      <c r="CO715" s="10"/>
    </row>
    <row r="716" spans="1:94" s="141" customFormat="1" ht="13" hidden="1">
      <c r="B716" s="10"/>
      <c r="C716" s="35"/>
      <c r="D716" s="10"/>
      <c r="E716" s="62"/>
      <c r="F716" s="11"/>
      <c r="G716" s="11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  <c r="BB716" s="10"/>
      <c r="BC716" s="10"/>
      <c r="BD716" s="10"/>
      <c r="BE716" s="10"/>
      <c r="BF716" s="10"/>
      <c r="BG716" s="10"/>
      <c r="BH716" s="10"/>
      <c r="BI716" s="10"/>
      <c r="BJ716" s="10"/>
      <c r="BK716" s="10"/>
      <c r="BL716" s="10"/>
      <c r="BM716" s="10"/>
      <c r="BN716" s="10"/>
      <c r="BO716" s="10"/>
      <c r="BP716" s="10"/>
      <c r="BQ716" s="10"/>
      <c r="BR716" s="10"/>
      <c r="BS716" s="10"/>
      <c r="BT716" s="10"/>
      <c r="BU716" s="10"/>
      <c r="BV716" s="10"/>
      <c r="BW716" s="10"/>
      <c r="BX716" s="10"/>
      <c r="BY716" s="10"/>
      <c r="BZ716" s="10"/>
      <c r="CA716" s="10"/>
      <c r="CB716" s="10"/>
      <c r="CC716" s="10"/>
      <c r="CD716" s="10"/>
      <c r="CE716" s="10"/>
      <c r="CF716" s="10"/>
      <c r="CG716" s="10"/>
      <c r="CH716" s="10"/>
      <c r="CI716" s="10"/>
      <c r="CJ716" s="10"/>
      <c r="CK716" s="10"/>
      <c r="CL716" s="10"/>
      <c r="CM716" s="10"/>
      <c r="CN716" s="10"/>
      <c r="CO716" s="10"/>
    </row>
    <row r="717" spans="1:94" s="141" customFormat="1" ht="12.5" hidden="1">
      <c r="B717" s="10"/>
      <c r="C717" s="17"/>
      <c r="D717" s="10"/>
      <c r="E717" s="62"/>
      <c r="F717" s="11"/>
      <c r="G717" s="11"/>
      <c r="H717" s="10"/>
      <c r="I717" s="10"/>
      <c r="J717" s="10"/>
      <c r="K717" s="10"/>
      <c r="L717" s="10">
        <f>SUMIF(Предпосылки!$L$451:$U$451,L$714,Предпосылки!$L$452:$U$452) / Periods_in_Year</f>
        <v>0</v>
      </c>
      <c r="M717" s="10">
        <f>SUMIF(Предпосылки!$L$451:$U$451,M$714,Предпосылки!$L$452:$U$452) / Periods_in_Year</f>
        <v>0</v>
      </c>
      <c r="N717" s="10">
        <f>SUMIF(Предпосылки!$L$451:$U$451,N$714,Предпосылки!$L$452:$U$452) / Periods_in_Year</f>
        <v>0</v>
      </c>
      <c r="O717" s="10">
        <f>SUMIF(Предпосылки!$L$451:$U$451,O$714,Предпосылки!$L$452:$U$452) / Periods_in_Year</f>
        <v>0</v>
      </c>
      <c r="P717" s="10">
        <f>SUMIF(Предпосылки!$L$451:$U$451,P$714,Предпосылки!$L$452:$U$452) / Periods_in_Year</f>
        <v>0</v>
      </c>
      <c r="Q717" s="10">
        <f>SUMIF(Предпосылки!$L$451:$U$451,Q$714,Предпосылки!$L$452:$U$452) / Periods_in_Year</f>
        <v>0</v>
      </c>
      <c r="R717" s="10">
        <f>SUMIF(Предпосылки!$L$451:$U$451,R$714,Предпосылки!$L$452:$U$452) / Periods_in_Year</f>
        <v>0</v>
      </c>
      <c r="S717" s="10">
        <f>SUMIF(Предпосылки!$L$451:$U$451,S$714,Предпосылки!$L$452:$U$452) / Periods_in_Year</f>
        <v>0</v>
      </c>
      <c r="T717" s="10">
        <f>SUMIF(Предпосылки!$L$451:$U$451,T$714,Предпосылки!$L$452:$U$452) / Periods_in_Year</f>
        <v>0</v>
      </c>
      <c r="U717" s="10">
        <f>SUMIF(Предпосылки!$L$451:$U$451,U$714,Предпосылки!$L$452:$U$452) / Periods_in_Year</f>
        <v>0</v>
      </c>
      <c r="V717" s="10">
        <f>SUMIF(Предпосылки!$L$451:$U$451,V$714,Предпосылки!$L$452:$U$452) / Periods_in_Year</f>
        <v>0</v>
      </c>
      <c r="W717" s="10">
        <f>SUMIF(Предпосылки!$L$451:$U$451,W$714,Предпосылки!$L$452:$U$452) / Periods_in_Year</f>
        <v>0</v>
      </c>
      <c r="X717" s="10">
        <f>SUMIF(Предпосылки!$L$451:$U$451,X$714,Предпосылки!$L$452:$U$452) / Periods_in_Year</f>
        <v>0</v>
      </c>
      <c r="Y717" s="10">
        <f>SUMIF(Предпосылки!$L$451:$U$451,Y$714,Предпосылки!$L$452:$U$452) / Periods_in_Year</f>
        <v>0</v>
      </c>
      <c r="Z717" s="10">
        <f>SUMIF(Предпосылки!$L$451:$U$451,Z$714,Предпосылки!$L$452:$U$452) / Periods_in_Year</f>
        <v>0</v>
      </c>
      <c r="AA717" s="10">
        <f>SUMIF(Предпосылки!$L$451:$U$451,AA$714,Предпосылки!$L$452:$U$452) / Periods_in_Year</f>
        <v>0</v>
      </c>
      <c r="AB717" s="10">
        <f>SUMIF(Предпосылки!$L$451:$U$451,AB$714,Предпосылки!$L$452:$U$452) / Periods_in_Year</f>
        <v>0</v>
      </c>
      <c r="AC717" s="10">
        <f>SUMIF(Предпосылки!$L$451:$U$451,AC$714,Предпосылки!$L$452:$U$452) / Periods_in_Year</f>
        <v>0</v>
      </c>
      <c r="AD717" s="10">
        <f>SUMIF(Предпосылки!$L$451:$U$451,AD$714,Предпосылки!$L$452:$U$452) / Periods_in_Year</f>
        <v>0</v>
      </c>
      <c r="AE717" s="10">
        <f>SUMIF(Предпосылки!$L$451:$U$451,AE$714,Предпосылки!$L$452:$U$452) / Periods_in_Year</f>
        <v>0</v>
      </c>
      <c r="AF717" s="10">
        <f>SUMIF(Предпосылки!$L$451:$U$451,AF$714,Предпосылки!$L$452:$U$452) / Periods_in_Year</f>
        <v>0</v>
      </c>
      <c r="AG717" s="10">
        <f>SUMIF(Предпосылки!$L$451:$U$451,AG$714,Предпосылки!$L$452:$U$452) / Periods_in_Year</f>
        <v>0</v>
      </c>
      <c r="AH717" s="10">
        <f>SUMIF(Предпосылки!$L$451:$U$451,AH$714,Предпосылки!$L$452:$U$452) / Periods_in_Year</f>
        <v>0</v>
      </c>
      <c r="AI717" s="10">
        <f>SUMIF(Предпосылки!$L$451:$U$451,AI$714,Предпосылки!$L$452:$U$452) / Periods_in_Year</f>
        <v>0</v>
      </c>
      <c r="AJ717" s="10">
        <f>SUMIF(Предпосылки!$L$451:$U$451,AJ$714,Предпосылки!$L$452:$U$452) / Periods_in_Year</f>
        <v>0</v>
      </c>
      <c r="AK717" s="10">
        <f>SUMIF(Предпосылки!$L$451:$U$451,AK$714,Предпосылки!$L$452:$U$452) / Periods_in_Year</f>
        <v>0</v>
      </c>
      <c r="AL717" s="10">
        <f>SUMIF(Предпосылки!$L$451:$U$451,AL$714,Предпосылки!$L$452:$U$452) / Periods_in_Year</f>
        <v>0</v>
      </c>
      <c r="AM717" s="10">
        <f>SUMIF(Предпосылки!$L$451:$U$451,AM$714,Предпосылки!$L$452:$U$452) / Periods_in_Year</f>
        <v>0</v>
      </c>
      <c r="AN717" s="10">
        <f>SUMIF(Предпосылки!$L$451:$U$451,AN$714,Предпосылки!$L$452:$U$452) / Periods_in_Year</f>
        <v>0</v>
      </c>
      <c r="AO717" s="10">
        <f>SUMIF(Предпосылки!$L$451:$U$451,AO$714,Предпосылки!$L$452:$U$452) / Periods_in_Year</f>
        <v>0</v>
      </c>
      <c r="AP717" s="10">
        <f>SUMIF(Предпосылки!$L$451:$U$451,AP$714,Предпосылки!$L$452:$U$452) / Periods_in_Year</f>
        <v>0</v>
      </c>
      <c r="AQ717" s="10">
        <f>SUMIF(Предпосылки!$L$451:$U$451,AQ$714,Предпосылки!$L$452:$U$452) / Periods_in_Year</f>
        <v>0</v>
      </c>
      <c r="AR717" s="10">
        <f>SUMIF(Предпосылки!$L$451:$U$451,AR$714,Предпосылки!$L$452:$U$452) / Periods_in_Year</f>
        <v>0</v>
      </c>
      <c r="AS717" s="10">
        <f>SUMIF(Предпосылки!$L$451:$U$451,AS$714,Предпосылки!$L$452:$U$452) / Periods_in_Year</f>
        <v>0</v>
      </c>
      <c r="AT717" s="10">
        <f>SUMIF(Предпосылки!$L$451:$U$451,AT$714,Предпосылки!$L$452:$U$452) / Periods_in_Year</f>
        <v>0</v>
      </c>
      <c r="AU717" s="10">
        <f>SUMIF(Предпосылки!$L$451:$U$451,AU$714,Предпосылки!$L$452:$U$452) / Periods_in_Year</f>
        <v>0</v>
      </c>
      <c r="AV717" s="10">
        <f>SUMIF(Предпосылки!$L$451:$U$451,AV$714,Предпосылки!$L$452:$U$452) / Periods_in_Year</f>
        <v>0</v>
      </c>
      <c r="AW717" s="10">
        <f>SUMIF(Предпосылки!$L$451:$U$451,AW$714,Предпосылки!$L$452:$U$452) / Periods_in_Year</f>
        <v>0</v>
      </c>
      <c r="AX717" s="10">
        <f>SUMIF(Предпосылки!$L$451:$U$451,AX$714,Предпосылки!$L$452:$U$452) / Periods_in_Year</f>
        <v>0</v>
      </c>
      <c r="AY717" s="10">
        <f>SUMIF(Предпосылки!$L$451:$U$451,AY$714,Предпосылки!$L$452:$U$452) / Periods_in_Year</f>
        <v>0</v>
      </c>
      <c r="AZ717" s="10">
        <f>SUMIF(Предпосылки!$L$451:$U$451,AZ$714,Предпосылки!$L$452:$U$452) / Periods_in_Year</f>
        <v>0</v>
      </c>
      <c r="BA717" s="10">
        <f>SUMIF(Предпосылки!$L$451:$U$451,BA$714,Предпосылки!$L$452:$U$452) / Periods_in_Year</f>
        <v>0</v>
      </c>
      <c r="BB717" s="10">
        <f>SUMIF(Предпосылки!$L$451:$U$451,BB$714,Предпосылки!$L$452:$U$452) / Periods_in_Year</f>
        <v>0</v>
      </c>
      <c r="BC717" s="10">
        <f>SUMIF(Предпосылки!$L$451:$U$451,BC$714,Предпосылки!$L$452:$U$452) / Periods_in_Year</f>
        <v>0</v>
      </c>
      <c r="BD717" s="10">
        <f>SUMIF(Предпосылки!$L$451:$U$451,BD$714,Предпосылки!$L$452:$U$452) / Periods_in_Year</f>
        <v>0</v>
      </c>
      <c r="BE717" s="10">
        <f>SUMIF(Предпосылки!$L$451:$U$451,BE$714,Предпосылки!$L$452:$U$452) / Periods_in_Year</f>
        <v>0</v>
      </c>
      <c r="BF717" s="10">
        <f>SUMIF(Предпосылки!$L$451:$U$451,BF$714,Предпосылки!$L$452:$U$452) / Periods_in_Year</f>
        <v>0</v>
      </c>
      <c r="BG717" s="10">
        <f>SUMIF(Предпосылки!$L$451:$U$451,BG$714,Предпосылки!$L$452:$U$452) / Periods_in_Year</f>
        <v>0</v>
      </c>
      <c r="BH717" s="10">
        <f>SUMIF(Предпосылки!$L$451:$U$451,BH$714,Предпосылки!$L$452:$U$452) / Periods_in_Year</f>
        <v>0</v>
      </c>
      <c r="BI717" s="10">
        <f>SUMIF(Предпосылки!$L$451:$U$451,BI$714,Предпосылки!$L$452:$U$452) / Periods_in_Year</f>
        <v>0</v>
      </c>
      <c r="BJ717" s="10">
        <f>SUMIF(Предпосылки!$L$451:$U$451,BJ$714,Предпосылки!$L$452:$U$452) / Periods_in_Year</f>
        <v>0</v>
      </c>
      <c r="BK717" s="10">
        <f>SUMIF(Предпосылки!$L$451:$U$451,BK$714,Предпосылки!$L$452:$U$452) / Periods_in_Year</f>
        <v>0</v>
      </c>
      <c r="BL717" s="10">
        <f>SUMIF(Предпосылки!$L$451:$U$451,BL$714,Предпосылки!$L$452:$U$452) / Periods_in_Year</f>
        <v>0</v>
      </c>
      <c r="BM717" s="10">
        <f>SUMIF(Предпосылки!$L$451:$U$451,BM$714,Предпосылки!$L$452:$U$452) / Periods_in_Year</f>
        <v>0</v>
      </c>
      <c r="BN717" s="10">
        <f>SUMIF(Предпосылки!$L$451:$U$451,BN$714,Предпосылки!$L$452:$U$452) / Periods_in_Year</f>
        <v>0</v>
      </c>
      <c r="BO717" s="10">
        <f>SUMIF(Предпосылки!$L$451:$U$451,BO$714,Предпосылки!$L$452:$U$452) / Periods_in_Year</f>
        <v>0</v>
      </c>
      <c r="BP717" s="10">
        <f>SUMIF(Предпосылки!$L$451:$U$451,BP$714,Предпосылки!$L$452:$U$452) / Periods_in_Year</f>
        <v>0</v>
      </c>
      <c r="BQ717" s="10">
        <f>SUMIF(Предпосылки!$L$451:$U$451,BQ$714,Предпосылки!$L$452:$U$452) / Periods_in_Year</f>
        <v>0</v>
      </c>
      <c r="BR717" s="10">
        <f>SUMIF(Предпосылки!$L$451:$U$451,BR$714,Предпосылки!$L$452:$U$452) / Periods_in_Year</f>
        <v>0</v>
      </c>
      <c r="BS717" s="10">
        <f>SUMIF(Предпосылки!$L$451:$U$451,BS$714,Предпосылки!$L$452:$U$452) / Periods_in_Year</f>
        <v>0</v>
      </c>
      <c r="BT717" s="10">
        <f>SUMIF(Предпосылки!$L$451:$U$451,BT$714,Предпосылки!$L$452:$U$452) / Periods_in_Year</f>
        <v>0</v>
      </c>
      <c r="BU717" s="10">
        <f>SUMIF(Предпосылки!$L$451:$U$451,BU$714,Предпосылки!$L$452:$U$452) / Periods_in_Year</f>
        <v>0</v>
      </c>
      <c r="BV717" s="10">
        <f>SUMIF(Предпосылки!$L$451:$U$451,BV$714,Предпосылки!$L$452:$U$452) / Periods_in_Year</f>
        <v>0</v>
      </c>
      <c r="BW717" s="10">
        <f>SUMIF(Предпосылки!$L$451:$U$451,BW$714,Предпосылки!$L$452:$U$452) / Periods_in_Year</f>
        <v>0</v>
      </c>
      <c r="BX717" s="10">
        <f>SUMIF(Предпосылки!$L$451:$U$451,BX$714,Предпосылки!$L$452:$U$452) / Periods_in_Year</f>
        <v>0</v>
      </c>
      <c r="BY717" s="10">
        <f>SUMIF(Предпосылки!$L$451:$U$451,BY$714,Предпосылки!$L$452:$U$452) / Periods_in_Year</f>
        <v>0</v>
      </c>
      <c r="BZ717" s="10">
        <f>SUMIF(Предпосылки!$L$451:$U$451,BZ$714,Предпосылки!$L$452:$U$452) / Periods_in_Year</f>
        <v>0</v>
      </c>
      <c r="CA717" s="10">
        <f>SUMIF(Предпосылки!$L$451:$U$451,CA$714,Предпосылки!$L$452:$U$452) / Periods_in_Year</f>
        <v>0</v>
      </c>
      <c r="CB717" s="10">
        <f>SUMIF(Предпосылки!$L$451:$U$451,CB$714,Предпосылки!$L$452:$U$452) / Periods_in_Year</f>
        <v>0</v>
      </c>
      <c r="CC717" s="10">
        <f>SUMIF(Предпосылки!$L$451:$U$451,CC$714,Предпосылки!$L$452:$U$452) / Periods_in_Year</f>
        <v>0</v>
      </c>
      <c r="CD717" s="10">
        <f>SUMIF(Предпосылки!$L$451:$U$451,CD$714,Предпосылки!$L$452:$U$452) / Periods_in_Year</f>
        <v>0</v>
      </c>
      <c r="CE717" s="10">
        <f>SUMIF(Предпосылки!$L$451:$U$451,CE$714,Предпосылки!$L$452:$U$452) / Periods_in_Year</f>
        <v>0</v>
      </c>
      <c r="CF717" s="10">
        <f>SUMIF(Предпосылки!$L$451:$U$451,CF$714,Предпосылки!$L$452:$U$452) / Periods_in_Year</f>
        <v>0</v>
      </c>
      <c r="CG717" s="10">
        <f>SUMIF(Предпосылки!$L$451:$U$451,CG$714,Предпосылки!$L$452:$U$452) / Periods_in_Year</f>
        <v>0</v>
      </c>
      <c r="CH717" s="10">
        <f>SUMIF(Предпосылки!$L$451:$U$451,CH$714,Предпосылки!$L$452:$U$452) / Periods_in_Year</f>
        <v>0</v>
      </c>
      <c r="CI717" s="10">
        <f>SUMIF(Предпосылки!$L$451:$U$451,CI$714,Предпосылки!$L$452:$U$452) / Periods_in_Year</f>
        <v>0</v>
      </c>
      <c r="CJ717" s="10">
        <f>SUMIF(Предпосылки!$L$451:$U$451,CJ$714,Предпосылки!$L$452:$U$452) / Periods_in_Year</f>
        <v>0</v>
      </c>
      <c r="CK717" s="10">
        <f>SUMIF(Предпосылки!$L$451:$U$451,CK$714,Предпосылки!$L$452:$U$452) / Periods_in_Year</f>
        <v>0</v>
      </c>
      <c r="CL717" s="10">
        <f>SUMIF(Предпосылки!$L$451:$U$451,CL$714,Предпосылки!$L$452:$U$452) / Periods_in_Year</f>
        <v>0</v>
      </c>
      <c r="CM717" s="10">
        <f>SUMIF(Предпосылки!$L$451:$U$451,CM$714,Предпосылки!$L$452:$U$452) / Periods_in_Year</f>
        <v>0</v>
      </c>
      <c r="CN717" s="10">
        <f>SUMIF(Предпосылки!$L$451:$U$451,CN$714,Предпосылки!$L$452:$U$452) / Periods_in_Year</f>
        <v>0</v>
      </c>
      <c r="CO717" s="10">
        <f>SUMIF(Предпосылки!$L$451:$U$451,CO$714,Предпосылки!$L$452:$U$452) / Periods_in_Year</f>
        <v>0</v>
      </c>
    </row>
    <row r="718" spans="1:94" s="141" customFormat="1" ht="12.5" hidden="1">
      <c r="B718" s="10"/>
      <c r="C718" s="17"/>
      <c r="D718" s="10"/>
      <c r="E718" s="62"/>
      <c r="F718" s="11"/>
      <c r="G718" s="11"/>
      <c r="H718" s="10"/>
      <c r="I718" s="10"/>
      <c r="J718" s="10"/>
      <c r="K718" s="10"/>
      <c r="L718" s="10">
        <f>SUMIF(Предпосылки!$L$451:$U$451,L$714,Предпосылки!$L$453:$U$453) / Periods_in_Year</f>
        <v>0</v>
      </c>
      <c r="M718" s="10">
        <f>SUMIF(Предпосылки!$L$451:$U$451,M$714,Предпосылки!$L$453:$U$453) / Periods_in_Year</f>
        <v>0</v>
      </c>
      <c r="N718" s="10">
        <f>SUMIF(Предпосылки!$L$451:$U$451,N$714,Предпосылки!$L$453:$U$453) / Periods_in_Year</f>
        <v>0</v>
      </c>
      <c r="O718" s="10">
        <f>SUMIF(Предпосылки!$L$451:$U$451,O$714,Предпосылки!$L$453:$U$453) / Periods_in_Year</f>
        <v>0</v>
      </c>
      <c r="P718" s="10">
        <f>SUMIF(Предпосылки!$L$451:$U$451,P$714,Предпосылки!$L$453:$U$453) / Periods_in_Year</f>
        <v>0</v>
      </c>
      <c r="Q718" s="10">
        <f>SUMIF(Предпосылки!$L$451:$U$451,Q$714,Предпосылки!$L$453:$U$453) / Periods_in_Year</f>
        <v>0</v>
      </c>
      <c r="R718" s="10">
        <f>SUMIF(Предпосылки!$L$451:$U$451,R$714,Предпосылки!$L$453:$U$453) / Periods_in_Year</f>
        <v>0</v>
      </c>
      <c r="S718" s="10">
        <f>SUMIF(Предпосылки!$L$451:$U$451,S$714,Предпосылки!$L$453:$U$453) / Periods_in_Year</f>
        <v>0</v>
      </c>
      <c r="T718" s="10">
        <f>SUMIF(Предпосылки!$L$451:$U$451,T$714,Предпосылки!$L$453:$U$453) / Periods_in_Year</f>
        <v>0</v>
      </c>
      <c r="U718" s="10">
        <f>SUMIF(Предпосылки!$L$451:$U$451,U$714,Предпосылки!$L$453:$U$453) / Periods_in_Year</f>
        <v>0</v>
      </c>
      <c r="V718" s="10">
        <f>SUMIF(Предпосылки!$L$451:$U$451,V$714,Предпосылки!$L$453:$U$453) / Periods_in_Year</f>
        <v>0</v>
      </c>
      <c r="W718" s="10">
        <f>SUMIF(Предпосылки!$L$451:$U$451,W$714,Предпосылки!$L$453:$U$453) / Periods_in_Year</f>
        <v>0</v>
      </c>
      <c r="X718" s="10">
        <f>SUMIF(Предпосылки!$L$451:$U$451,X$714,Предпосылки!$L$453:$U$453) / Periods_in_Year</f>
        <v>0</v>
      </c>
      <c r="Y718" s="10">
        <f>SUMIF(Предпосылки!$L$451:$U$451,Y$714,Предпосылки!$L$453:$U$453) / Periods_in_Year</f>
        <v>0</v>
      </c>
      <c r="Z718" s="10">
        <f>SUMIF(Предпосылки!$L$451:$U$451,Z$714,Предпосылки!$L$453:$U$453) / Periods_in_Year</f>
        <v>0</v>
      </c>
      <c r="AA718" s="10">
        <f>SUMIF(Предпосылки!$L$451:$U$451,AA$714,Предпосылки!$L$453:$U$453) / Periods_in_Year</f>
        <v>0</v>
      </c>
      <c r="AB718" s="10">
        <f>SUMIF(Предпосылки!$L$451:$U$451,AB$714,Предпосылки!$L$453:$U$453) / Periods_in_Year</f>
        <v>0</v>
      </c>
      <c r="AC718" s="10">
        <f>SUMIF(Предпосылки!$L$451:$U$451,AC$714,Предпосылки!$L$453:$U$453) / Periods_in_Year</f>
        <v>0</v>
      </c>
      <c r="AD718" s="10">
        <f>SUMIF(Предпосылки!$L$451:$U$451,AD$714,Предпосылки!$L$453:$U$453) / Periods_in_Year</f>
        <v>0</v>
      </c>
      <c r="AE718" s="10">
        <f>SUMIF(Предпосылки!$L$451:$U$451,AE$714,Предпосылки!$L$453:$U$453) / Periods_in_Year</f>
        <v>0</v>
      </c>
      <c r="AF718" s="10">
        <f>SUMIF(Предпосылки!$L$451:$U$451,AF$714,Предпосылки!$L$453:$U$453) / Periods_in_Year</f>
        <v>0</v>
      </c>
      <c r="AG718" s="10">
        <f>SUMIF(Предпосылки!$L$451:$U$451,AG$714,Предпосылки!$L$453:$U$453) / Periods_in_Year</f>
        <v>0</v>
      </c>
      <c r="AH718" s="10">
        <f>SUMIF(Предпосылки!$L$451:$U$451,AH$714,Предпосылки!$L$453:$U$453) / Periods_in_Year</f>
        <v>0</v>
      </c>
      <c r="AI718" s="10">
        <f>SUMIF(Предпосылки!$L$451:$U$451,AI$714,Предпосылки!$L$453:$U$453) / Periods_in_Year</f>
        <v>0</v>
      </c>
      <c r="AJ718" s="10">
        <f>SUMIF(Предпосылки!$L$451:$U$451,AJ$714,Предпосылки!$L$453:$U$453) / Periods_in_Year</f>
        <v>0</v>
      </c>
      <c r="AK718" s="10">
        <f>SUMIF(Предпосылки!$L$451:$U$451,AK$714,Предпосылки!$L$453:$U$453) / Periods_in_Year</f>
        <v>0</v>
      </c>
      <c r="AL718" s="10">
        <f>SUMIF(Предпосылки!$L$451:$U$451,AL$714,Предпосылки!$L$453:$U$453) / Periods_in_Year</f>
        <v>0</v>
      </c>
      <c r="AM718" s="10">
        <f>SUMIF(Предпосылки!$L$451:$U$451,AM$714,Предпосылки!$L$453:$U$453) / Periods_in_Year</f>
        <v>0</v>
      </c>
      <c r="AN718" s="10">
        <f>SUMIF(Предпосылки!$L$451:$U$451,AN$714,Предпосылки!$L$453:$U$453) / Periods_in_Year</f>
        <v>0</v>
      </c>
      <c r="AO718" s="10">
        <f>SUMIF(Предпосылки!$L$451:$U$451,AO$714,Предпосылки!$L$453:$U$453) / Periods_in_Year</f>
        <v>0</v>
      </c>
      <c r="AP718" s="10">
        <f>SUMIF(Предпосылки!$L$451:$U$451,AP$714,Предпосылки!$L$453:$U$453) / Periods_in_Year</f>
        <v>0</v>
      </c>
      <c r="AQ718" s="10">
        <f>SUMIF(Предпосылки!$L$451:$U$451,AQ$714,Предпосылки!$L$453:$U$453) / Periods_in_Year</f>
        <v>0</v>
      </c>
      <c r="AR718" s="10">
        <f>SUMIF(Предпосылки!$L$451:$U$451,AR$714,Предпосылки!$L$453:$U$453) / Periods_in_Year</f>
        <v>0</v>
      </c>
      <c r="AS718" s="10">
        <f>SUMIF(Предпосылки!$L$451:$U$451,AS$714,Предпосылки!$L$453:$U$453) / Periods_in_Year</f>
        <v>0</v>
      </c>
      <c r="AT718" s="10">
        <f>SUMIF(Предпосылки!$L$451:$U$451,AT$714,Предпосылки!$L$453:$U$453) / Periods_in_Year</f>
        <v>0</v>
      </c>
      <c r="AU718" s="10">
        <f>SUMIF(Предпосылки!$L$451:$U$451,AU$714,Предпосылки!$L$453:$U$453) / Periods_in_Year</f>
        <v>0</v>
      </c>
      <c r="AV718" s="10">
        <f>SUMIF(Предпосылки!$L$451:$U$451,AV$714,Предпосылки!$L$453:$U$453) / Periods_in_Year</f>
        <v>0</v>
      </c>
      <c r="AW718" s="10">
        <f>SUMIF(Предпосылки!$L$451:$U$451,AW$714,Предпосылки!$L$453:$U$453) / Periods_in_Year</f>
        <v>0</v>
      </c>
      <c r="AX718" s="10">
        <f>SUMIF(Предпосылки!$L$451:$U$451,AX$714,Предпосылки!$L$453:$U$453) / Periods_in_Year</f>
        <v>0</v>
      </c>
      <c r="AY718" s="10">
        <f>SUMIF(Предпосылки!$L$451:$U$451,AY$714,Предпосылки!$L$453:$U$453) / Periods_in_Year</f>
        <v>0</v>
      </c>
      <c r="AZ718" s="10">
        <f>SUMIF(Предпосылки!$L$451:$U$451,AZ$714,Предпосылки!$L$453:$U$453) / Periods_in_Year</f>
        <v>0</v>
      </c>
      <c r="BA718" s="10">
        <f>SUMIF(Предпосылки!$L$451:$U$451,BA$714,Предпосылки!$L$453:$U$453) / Periods_in_Year</f>
        <v>0</v>
      </c>
      <c r="BB718" s="10">
        <f>SUMIF(Предпосылки!$L$451:$U$451,BB$714,Предпосылки!$L$453:$U$453) / Periods_in_Year</f>
        <v>0</v>
      </c>
      <c r="BC718" s="10">
        <f>SUMIF(Предпосылки!$L$451:$U$451,BC$714,Предпосылки!$L$453:$U$453) / Periods_in_Year</f>
        <v>0</v>
      </c>
      <c r="BD718" s="10">
        <f>SUMIF(Предпосылки!$L$451:$U$451,BD$714,Предпосылки!$L$453:$U$453) / Periods_in_Year</f>
        <v>0</v>
      </c>
      <c r="BE718" s="10">
        <f>SUMIF(Предпосылки!$L$451:$U$451,BE$714,Предпосылки!$L$453:$U$453) / Periods_in_Year</f>
        <v>0</v>
      </c>
      <c r="BF718" s="10">
        <f>SUMIF(Предпосылки!$L$451:$U$451,BF$714,Предпосылки!$L$453:$U$453) / Periods_in_Year</f>
        <v>0</v>
      </c>
      <c r="BG718" s="10">
        <f>SUMIF(Предпосылки!$L$451:$U$451,BG$714,Предпосылки!$L$453:$U$453) / Periods_in_Year</f>
        <v>0</v>
      </c>
      <c r="BH718" s="10">
        <f>SUMIF(Предпосылки!$L$451:$U$451,BH$714,Предпосылки!$L$453:$U$453) / Periods_in_Year</f>
        <v>0</v>
      </c>
      <c r="BI718" s="10">
        <f>SUMIF(Предпосылки!$L$451:$U$451,BI$714,Предпосылки!$L$453:$U$453) / Periods_in_Year</f>
        <v>0</v>
      </c>
      <c r="BJ718" s="10">
        <f>SUMIF(Предпосылки!$L$451:$U$451,BJ$714,Предпосылки!$L$453:$U$453) / Periods_in_Year</f>
        <v>0</v>
      </c>
      <c r="BK718" s="10">
        <f>SUMIF(Предпосылки!$L$451:$U$451,BK$714,Предпосылки!$L$453:$U$453) / Periods_in_Year</f>
        <v>0</v>
      </c>
      <c r="BL718" s="10">
        <f>SUMIF(Предпосылки!$L$451:$U$451,BL$714,Предпосылки!$L$453:$U$453) / Periods_in_Year</f>
        <v>0</v>
      </c>
      <c r="BM718" s="10">
        <f>SUMIF(Предпосылки!$L$451:$U$451,BM$714,Предпосылки!$L$453:$U$453) / Periods_in_Year</f>
        <v>0</v>
      </c>
      <c r="BN718" s="10">
        <f>SUMIF(Предпосылки!$L$451:$U$451,BN$714,Предпосылки!$L$453:$U$453) / Periods_in_Year</f>
        <v>0</v>
      </c>
      <c r="BO718" s="10">
        <f>SUMIF(Предпосылки!$L$451:$U$451,BO$714,Предпосылки!$L$453:$U$453) / Periods_in_Year</f>
        <v>0</v>
      </c>
      <c r="BP718" s="10">
        <f>SUMIF(Предпосылки!$L$451:$U$451,BP$714,Предпосылки!$L$453:$U$453) / Periods_in_Year</f>
        <v>0</v>
      </c>
      <c r="BQ718" s="10">
        <f>SUMIF(Предпосылки!$L$451:$U$451,BQ$714,Предпосылки!$L$453:$U$453) / Periods_in_Year</f>
        <v>0</v>
      </c>
      <c r="BR718" s="10">
        <f>SUMIF(Предпосылки!$L$451:$U$451,BR$714,Предпосылки!$L$453:$U$453) / Periods_in_Year</f>
        <v>0</v>
      </c>
      <c r="BS718" s="10">
        <f>SUMIF(Предпосылки!$L$451:$U$451,BS$714,Предпосылки!$L$453:$U$453) / Periods_in_Year</f>
        <v>0</v>
      </c>
      <c r="BT718" s="10">
        <f>SUMIF(Предпосылки!$L$451:$U$451,BT$714,Предпосылки!$L$453:$U$453) / Periods_in_Year</f>
        <v>0</v>
      </c>
      <c r="BU718" s="10">
        <f>SUMIF(Предпосылки!$L$451:$U$451,BU$714,Предпосылки!$L$453:$U$453) / Periods_in_Year</f>
        <v>0</v>
      </c>
      <c r="BV718" s="10">
        <f>SUMIF(Предпосылки!$L$451:$U$451,BV$714,Предпосылки!$L$453:$U$453) / Periods_in_Year</f>
        <v>0</v>
      </c>
      <c r="BW718" s="10">
        <f>SUMIF(Предпосылки!$L$451:$U$451,BW$714,Предпосылки!$L$453:$U$453) / Periods_in_Year</f>
        <v>0</v>
      </c>
      <c r="BX718" s="10">
        <f>SUMIF(Предпосылки!$L$451:$U$451,BX$714,Предпосылки!$L$453:$U$453) / Periods_in_Year</f>
        <v>0</v>
      </c>
      <c r="BY718" s="10">
        <f>SUMIF(Предпосылки!$L$451:$U$451,BY$714,Предпосылки!$L$453:$U$453) / Periods_in_Year</f>
        <v>0</v>
      </c>
      <c r="BZ718" s="10">
        <f>SUMIF(Предпосылки!$L$451:$U$451,BZ$714,Предпосылки!$L$453:$U$453) / Periods_in_Year</f>
        <v>0</v>
      </c>
      <c r="CA718" s="10">
        <f>SUMIF(Предпосылки!$L$451:$U$451,CA$714,Предпосылки!$L$453:$U$453) / Periods_in_Year</f>
        <v>0</v>
      </c>
      <c r="CB718" s="10">
        <f>SUMIF(Предпосылки!$L$451:$U$451,CB$714,Предпосылки!$L$453:$U$453) / Periods_in_Year</f>
        <v>0</v>
      </c>
      <c r="CC718" s="10">
        <f>SUMIF(Предпосылки!$L$451:$U$451,CC$714,Предпосылки!$L$453:$U$453) / Periods_in_Year</f>
        <v>0</v>
      </c>
      <c r="CD718" s="10">
        <f>SUMIF(Предпосылки!$L$451:$U$451,CD$714,Предпосылки!$L$453:$U$453) / Periods_in_Year</f>
        <v>0</v>
      </c>
      <c r="CE718" s="10">
        <f>SUMIF(Предпосылки!$L$451:$U$451,CE$714,Предпосылки!$L$453:$U$453) / Periods_in_Year</f>
        <v>0</v>
      </c>
      <c r="CF718" s="10">
        <f>SUMIF(Предпосылки!$L$451:$U$451,CF$714,Предпосылки!$L$453:$U$453) / Periods_in_Year</f>
        <v>0</v>
      </c>
      <c r="CG718" s="10">
        <f>SUMIF(Предпосылки!$L$451:$U$451,CG$714,Предпосылки!$L$453:$U$453) / Periods_in_Year</f>
        <v>0</v>
      </c>
      <c r="CH718" s="10">
        <f>SUMIF(Предпосылки!$L$451:$U$451,CH$714,Предпосылки!$L$453:$U$453) / Periods_in_Year</f>
        <v>0</v>
      </c>
      <c r="CI718" s="10">
        <f>SUMIF(Предпосылки!$L$451:$U$451,CI$714,Предпосылки!$L$453:$U$453) / Periods_in_Year</f>
        <v>0</v>
      </c>
      <c r="CJ718" s="10">
        <f>SUMIF(Предпосылки!$L$451:$U$451,CJ$714,Предпосылки!$L$453:$U$453) / Periods_in_Year</f>
        <v>0</v>
      </c>
      <c r="CK718" s="10">
        <f>SUMIF(Предпосылки!$L$451:$U$451,CK$714,Предпосылки!$L$453:$U$453) / Periods_in_Year</f>
        <v>0</v>
      </c>
      <c r="CL718" s="10">
        <f>SUMIF(Предпосылки!$L$451:$U$451,CL$714,Предпосылки!$L$453:$U$453) / Periods_in_Year</f>
        <v>0</v>
      </c>
      <c r="CM718" s="10">
        <f>SUMIF(Предпосылки!$L$451:$U$451,CM$714,Предпосылки!$L$453:$U$453) / Periods_in_Year</f>
        <v>0</v>
      </c>
      <c r="CN718" s="10">
        <f>SUMIF(Предпосылки!$L$451:$U$451,CN$714,Предпосылки!$L$453:$U$453) / Periods_in_Year</f>
        <v>0</v>
      </c>
      <c r="CO718" s="10">
        <f>SUMIF(Предпосылки!$L$451:$U$451,CO$714,Предпосылки!$L$453:$U$453) / Periods_in_Year</f>
        <v>0</v>
      </c>
    </row>
    <row r="719" spans="1:94" s="141" customFormat="1" ht="12.5" hidden="1">
      <c r="B719" s="10"/>
      <c r="C719" s="10"/>
      <c r="D719" s="10"/>
      <c r="E719" s="62"/>
      <c r="F719" s="11"/>
      <c r="G719" s="11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  <c r="BB719" s="10"/>
      <c r="BC719" s="10"/>
      <c r="BD719" s="10"/>
      <c r="BE719" s="10"/>
      <c r="BF719" s="10"/>
      <c r="BG719" s="10"/>
      <c r="BH719" s="10"/>
      <c r="BI719" s="10"/>
      <c r="BJ719" s="10"/>
      <c r="BK719" s="10"/>
      <c r="BL719" s="10"/>
      <c r="BM719" s="10"/>
      <c r="BN719" s="10"/>
      <c r="BO719" s="10"/>
      <c r="BP719" s="10"/>
      <c r="BQ719" s="10"/>
      <c r="BR719" s="10"/>
      <c r="BS719" s="10"/>
      <c r="BT719" s="10"/>
      <c r="BU719" s="10"/>
      <c r="BV719" s="10"/>
      <c r="BW719" s="10"/>
      <c r="BX719" s="10"/>
      <c r="BY719" s="10"/>
      <c r="BZ719" s="10"/>
      <c r="CA719" s="10"/>
      <c r="CB719" s="10"/>
      <c r="CC719" s="10"/>
      <c r="CD719" s="10"/>
      <c r="CE719" s="10"/>
      <c r="CF719" s="10"/>
      <c r="CG719" s="10"/>
      <c r="CH719" s="10"/>
      <c r="CI719" s="10"/>
      <c r="CJ719" s="10"/>
      <c r="CK719" s="10"/>
      <c r="CL719" s="10"/>
      <c r="CM719" s="10"/>
      <c r="CN719" s="10"/>
      <c r="CO719" s="10"/>
    </row>
    <row r="720" spans="1:94" s="141" customFormat="1" ht="13" hidden="1">
      <c r="B720" s="10"/>
      <c r="C720" s="35"/>
      <c r="D720" s="10"/>
      <c r="E720" s="62"/>
      <c r="F720" s="11"/>
      <c r="G720" s="11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  <c r="BB720" s="10"/>
      <c r="BC720" s="10"/>
      <c r="BD720" s="10"/>
      <c r="BE720" s="10"/>
      <c r="BF720" s="10"/>
      <c r="BG720" s="10"/>
      <c r="BH720" s="10"/>
      <c r="BI720" s="10"/>
      <c r="BJ720" s="10"/>
      <c r="BK720" s="10"/>
      <c r="BL720" s="10"/>
      <c r="BM720" s="10"/>
      <c r="BN720" s="10"/>
      <c r="BO720" s="10"/>
      <c r="BP720" s="10"/>
      <c r="BQ720" s="10"/>
      <c r="BR720" s="10"/>
      <c r="BS720" s="10"/>
      <c r="BT720" s="10"/>
      <c r="BU720" s="10"/>
      <c r="BV720" s="10"/>
      <c r="BW720" s="10"/>
      <c r="BX720" s="10"/>
      <c r="BY720" s="10"/>
      <c r="BZ720" s="10"/>
      <c r="CA720" s="10"/>
      <c r="CB720" s="10"/>
      <c r="CC720" s="10"/>
      <c r="CD720" s="10"/>
      <c r="CE720" s="10"/>
      <c r="CF720" s="10"/>
      <c r="CG720" s="10"/>
      <c r="CH720" s="10"/>
      <c r="CI720" s="10"/>
      <c r="CJ720" s="10"/>
      <c r="CK720" s="10"/>
      <c r="CL720" s="10"/>
      <c r="CM720" s="10"/>
      <c r="CN720" s="10"/>
      <c r="CO720" s="10"/>
    </row>
    <row r="721" spans="1:93" s="141" customFormat="1" ht="12.5" hidden="1">
      <c r="B721" s="10"/>
      <c r="C721" s="17"/>
      <c r="D721" s="10"/>
      <c r="E721" s="62"/>
      <c r="F721" s="11"/>
      <c r="G721" s="11"/>
      <c r="H721" s="10"/>
      <c r="I721" s="10"/>
      <c r="J721" s="10"/>
      <c r="K721" s="10"/>
      <c r="L721" s="10">
        <f>SUMIF(Предпосылки!$L$451:$U$451,L$714,Предпосылки!$L$456:$U$456) / Periods_in_Year</f>
        <v>0</v>
      </c>
      <c r="M721" s="10">
        <f>SUMIF(Предпосылки!$L$451:$U$451,M$714,Предпосылки!$L$456:$U$456) / Periods_in_Year</f>
        <v>0</v>
      </c>
      <c r="N721" s="10">
        <f>SUMIF(Предпосылки!$L$451:$U$451,N$714,Предпосылки!$L$456:$U$456) / Periods_in_Year</f>
        <v>0</v>
      </c>
      <c r="O721" s="10">
        <f>SUMIF(Предпосылки!$L$451:$U$451,O$714,Предпосылки!$L$456:$U$456) / Periods_in_Year</f>
        <v>0</v>
      </c>
      <c r="P721" s="10">
        <f>SUMIF(Предпосылки!$L$451:$U$451,P$714,Предпосылки!$L$456:$U$456) / Periods_in_Year</f>
        <v>0</v>
      </c>
      <c r="Q721" s="10">
        <f>SUMIF(Предпосылки!$L$451:$U$451,Q$714,Предпосылки!$L$456:$U$456) / Periods_in_Year</f>
        <v>0</v>
      </c>
      <c r="R721" s="10">
        <f>SUMIF(Предпосылки!$L$451:$U$451,R$714,Предпосылки!$L$456:$U$456) / Periods_in_Year</f>
        <v>0</v>
      </c>
      <c r="S721" s="10">
        <f>SUMIF(Предпосылки!$L$451:$U$451,S$714,Предпосылки!$L$456:$U$456) / Periods_in_Year</f>
        <v>0</v>
      </c>
      <c r="T721" s="10">
        <f>SUMIF(Предпосылки!$L$451:$U$451,T$714,Предпосылки!$L$456:$U$456) / Periods_in_Year</f>
        <v>0</v>
      </c>
      <c r="U721" s="10">
        <f>SUMIF(Предпосылки!$L$451:$U$451,U$714,Предпосылки!$L$456:$U$456) / Periods_in_Year</f>
        <v>0</v>
      </c>
      <c r="V721" s="10">
        <f>SUMIF(Предпосылки!$L$451:$U$451,V$714,Предпосылки!$L$456:$U$456) / Periods_in_Year</f>
        <v>0</v>
      </c>
      <c r="W721" s="10">
        <f>SUMIF(Предпосылки!$L$451:$U$451,W$714,Предпосылки!$L$456:$U$456) / Periods_in_Year</f>
        <v>0</v>
      </c>
      <c r="X721" s="10">
        <f>SUMIF(Предпосылки!$L$451:$U$451,X$714,Предпосылки!$L$456:$U$456) / Periods_in_Year</f>
        <v>0</v>
      </c>
      <c r="Y721" s="10">
        <f>SUMIF(Предпосылки!$L$451:$U$451,Y$714,Предпосылки!$L$456:$U$456) / Periods_in_Year</f>
        <v>0</v>
      </c>
      <c r="Z721" s="10">
        <f>SUMIF(Предпосылки!$L$451:$U$451,Z$714,Предпосылки!$L$456:$U$456) / Periods_in_Year</f>
        <v>0</v>
      </c>
      <c r="AA721" s="10">
        <f>SUMIF(Предпосылки!$L$451:$U$451,AA$714,Предпосылки!$L$456:$U$456) / Periods_in_Year</f>
        <v>0</v>
      </c>
      <c r="AB721" s="10">
        <f>SUMIF(Предпосылки!$L$451:$U$451,AB$714,Предпосылки!$L$456:$U$456) / Periods_in_Year</f>
        <v>0</v>
      </c>
      <c r="AC721" s="10">
        <f>SUMIF(Предпосылки!$L$451:$U$451,AC$714,Предпосылки!$L$456:$U$456) / Periods_in_Year</f>
        <v>0</v>
      </c>
      <c r="AD721" s="10">
        <f>SUMIF(Предпосылки!$L$451:$U$451,AD$714,Предпосылки!$L$456:$U$456) / Periods_in_Year</f>
        <v>0</v>
      </c>
      <c r="AE721" s="10">
        <f>SUMIF(Предпосылки!$L$451:$U$451,AE$714,Предпосылки!$L$456:$U$456) / Periods_in_Year</f>
        <v>0</v>
      </c>
      <c r="AF721" s="10">
        <f>SUMIF(Предпосылки!$L$451:$U$451,AF$714,Предпосылки!$L$456:$U$456) / Periods_in_Year</f>
        <v>0</v>
      </c>
      <c r="AG721" s="10">
        <f>SUMIF(Предпосылки!$L$451:$U$451,AG$714,Предпосылки!$L$456:$U$456) / Periods_in_Year</f>
        <v>0</v>
      </c>
      <c r="AH721" s="10">
        <f>SUMIF(Предпосылки!$L$451:$U$451,AH$714,Предпосылки!$L$456:$U$456) / Periods_in_Year</f>
        <v>0</v>
      </c>
      <c r="AI721" s="10">
        <f>SUMIF(Предпосылки!$L$451:$U$451,AI$714,Предпосылки!$L$456:$U$456) / Periods_in_Year</f>
        <v>0</v>
      </c>
      <c r="AJ721" s="10">
        <f>SUMIF(Предпосылки!$L$451:$U$451,AJ$714,Предпосылки!$L$456:$U$456) / Periods_in_Year</f>
        <v>0</v>
      </c>
      <c r="AK721" s="10">
        <f>SUMIF(Предпосылки!$L$451:$U$451,AK$714,Предпосылки!$L$456:$U$456) / Periods_in_Year</f>
        <v>0</v>
      </c>
      <c r="AL721" s="10">
        <f>SUMIF(Предпосылки!$L$451:$U$451,AL$714,Предпосылки!$L$456:$U$456) / Periods_in_Year</f>
        <v>0</v>
      </c>
      <c r="AM721" s="10">
        <f>SUMIF(Предпосылки!$L$451:$U$451,AM$714,Предпосылки!$L$456:$U$456) / Periods_in_Year</f>
        <v>0</v>
      </c>
      <c r="AN721" s="10">
        <f>SUMIF(Предпосылки!$L$451:$U$451,AN$714,Предпосылки!$L$456:$U$456) / Periods_in_Year</f>
        <v>0</v>
      </c>
      <c r="AO721" s="10">
        <f>SUMIF(Предпосылки!$L$451:$U$451,AO$714,Предпосылки!$L$456:$U$456) / Periods_in_Year</f>
        <v>0</v>
      </c>
      <c r="AP721" s="10">
        <f>SUMIF(Предпосылки!$L$451:$U$451,AP$714,Предпосылки!$L$456:$U$456) / Periods_in_Year</f>
        <v>0</v>
      </c>
      <c r="AQ721" s="10">
        <f>SUMIF(Предпосылки!$L$451:$U$451,AQ$714,Предпосылки!$L$456:$U$456) / Periods_in_Year</f>
        <v>0</v>
      </c>
      <c r="AR721" s="10">
        <f>SUMIF(Предпосылки!$L$451:$U$451,AR$714,Предпосылки!$L$456:$U$456) / Periods_in_Year</f>
        <v>0</v>
      </c>
      <c r="AS721" s="10">
        <f>SUMIF(Предпосылки!$L$451:$U$451,AS$714,Предпосылки!$L$456:$U$456) / Periods_in_Year</f>
        <v>0</v>
      </c>
      <c r="AT721" s="10">
        <f>SUMIF(Предпосылки!$L$451:$U$451,AT$714,Предпосылки!$L$456:$U$456) / Periods_in_Year</f>
        <v>0</v>
      </c>
      <c r="AU721" s="10">
        <f>SUMIF(Предпосылки!$L$451:$U$451,AU$714,Предпосылки!$L$456:$U$456) / Periods_in_Year</f>
        <v>0</v>
      </c>
      <c r="AV721" s="10">
        <f>SUMIF(Предпосылки!$L$451:$U$451,AV$714,Предпосылки!$L$456:$U$456) / Periods_in_Year</f>
        <v>0</v>
      </c>
      <c r="AW721" s="10">
        <f>SUMIF(Предпосылки!$L$451:$U$451,AW$714,Предпосылки!$L$456:$U$456) / Periods_in_Year</f>
        <v>0</v>
      </c>
      <c r="AX721" s="10">
        <f>SUMIF(Предпосылки!$L$451:$U$451,AX$714,Предпосылки!$L$456:$U$456) / Periods_in_Year</f>
        <v>0</v>
      </c>
      <c r="AY721" s="10">
        <f>SUMIF(Предпосылки!$L$451:$U$451,AY$714,Предпосылки!$L$456:$U$456) / Periods_in_Year</f>
        <v>0</v>
      </c>
      <c r="AZ721" s="10">
        <f>SUMIF(Предпосылки!$L$451:$U$451,AZ$714,Предпосылки!$L$456:$U$456) / Periods_in_Year</f>
        <v>0</v>
      </c>
      <c r="BA721" s="10">
        <f>SUMIF(Предпосылки!$L$451:$U$451,BA$714,Предпосылки!$L$456:$U$456) / Periods_in_Year</f>
        <v>0</v>
      </c>
      <c r="BB721" s="10">
        <f>SUMIF(Предпосылки!$L$451:$U$451,BB$714,Предпосылки!$L$456:$U$456) / Periods_in_Year</f>
        <v>0</v>
      </c>
      <c r="BC721" s="10">
        <f>SUMIF(Предпосылки!$L$451:$U$451,BC$714,Предпосылки!$L$456:$U$456) / Periods_in_Year</f>
        <v>0</v>
      </c>
      <c r="BD721" s="10">
        <f>SUMIF(Предпосылки!$L$451:$U$451,BD$714,Предпосылки!$L$456:$U$456) / Periods_in_Year</f>
        <v>0</v>
      </c>
      <c r="BE721" s="10">
        <f>SUMIF(Предпосылки!$L$451:$U$451,BE$714,Предпосылки!$L$456:$U$456) / Periods_in_Year</f>
        <v>0</v>
      </c>
      <c r="BF721" s="10">
        <f>SUMIF(Предпосылки!$L$451:$U$451,BF$714,Предпосылки!$L$456:$U$456) / Periods_in_Year</f>
        <v>0</v>
      </c>
      <c r="BG721" s="10">
        <f>SUMIF(Предпосылки!$L$451:$U$451,BG$714,Предпосылки!$L$456:$U$456) / Periods_in_Year</f>
        <v>0</v>
      </c>
      <c r="BH721" s="10">
        <f>SUMIF(Предпосылки!$L$451:$U$451,BH$714,Предпосылки!$L$456:$U$456) / Periods_in_Year</f>
        <v>0</v>
      </c>
      <c r="BI721" s="10">
        <f>SUMIF(Предпосылки!$L$451:$U$451,BI$714,Предпосылки!$L$456:$U$456) / Periods_in_Year</f>
        <v>0</v>
      </c>
      <c r="BJ721" s="10">
        <f>SUMIF(Предпосылки!$L$451:$U$451,BJ$714,Предпосылки!$L$456:$U$456) / Periods_in_Year</f>
        <v>0</v>
      </c>
      <c r="BK721" s="10">
        <f>SUMIF(Предпосылки!$L$451:$U$451,BK$714,Предпосылки!$L$456:$U$456) / Periods_in_Year</f>
        <v>0</v>
      </c>
      <c r="BL721" s="10">
        <f>SUMIF(Предпосылки!$L$451:$U$451,BL$714,Предпосылки!$L$456:$U$456) / Periods_in_Year</f>
        <v>0</v>
      </c>
      <c r="BM721" s="10">
        <f>SUMIF(Предпосылки!$L$451:$U$451,BM$714,Предпосылки!$L$456:$U$456) / Periods_in_Year</f>
        <v>0</v>
      </c>
      <c r="BN721" s="10">
        <f>SUMIF(Предпосылки!$L$451:$U$451,BN$714,Предпосылки!$L$456:$U$456) / Periods_in_Year</f>
        <v>0</v>
      </c>
      <c r="BO721" s="10">
        <f>SUMIF(Предпосылки!$L$451:$U$451,BO$714,Предпосылки!$L$456:$U$456) / Periods_in_Year</f>
        <v>0</v>
      </c>
      <c r="BP721" s="10">
        <f>SUMIF(Предпосылки!$L$451:$U$451,BP$714,Предпосылки!$L$456:$U$456) / Periods_in_Year</f>
        <v>0</v>
      </c>
      <c r="BQ721" s="10">
        <f>SUMIF(Предпосылки!$L$451:$U$451,BQ$714,Предпосылки!$L$456:$U$456) / Periods_in_Year</f>
        <v>0</v>
      </c>
      <c r="BR721" s="10">
        <f>SUMIF(Предпосылки!$L$451:$U$451,BR$714,Предпосылки!$L$456:$U$456) / Periods_in_Year</f>
        <v>0</v>
      </c>
      <c r="BS721" s="10">
        <f>SUMIF(Предпосылки!$L$451:$U$451,BS$714,Предпосылки!$L$456:$U$456) / Periods_in_Year</f>
        <v>0</v>
      </c>
      <c r="BT721" s="10">
        <f>SUMIF(Предпосылки!$L$451:$U$451,BT$714,Предпосылки!$L$456:$U$456) / Periods_in_Year</f>
        <v>0</v>
      </c>
      <c r="BU721" s="10">
        <f>SUMIF(Предпосылки!$L$451:$U$451,BU$714,Предпосылки!$L$456:$U$456) / Periods_in_Year</f>
        <v>0</v>
      </c>
      <c r="BV721" s="10">
        <f>SUMIF(Предпосылки!$L$451:$U$451,BV$714,Предпосылки!$L$456:$U$456) / Periods_in_Year</f>
        <v>0</v>
      </c>
      <c r="BW721" s="10">
        <f>SUMIF(Предпосылки!$L$451:$U$451,BW$714,Предпосылки!$L$456:$U$456) / Periods_in_Year</f>
        <v>0</v>
      </c>
      <c r="BX721" s="10">
        <f>SUMIF(Предпосылки!$L$451:$U$451,BX$714,Предпосылки!$L$456:$U$456) / Periods_in_Year</f>
        <v>0</v>
      </c>
      <c r="BY721" s="10">
        <f>SUMIF(Предпосылки!$L$451:$U$451,BY$714,Предпосылки!$L$456:$U$456) / Periods_in_Year</f>
        <v>0</v>
      </c>
      <c r="BZ721" s="10">
        <f>SUMIF(Предпосылки!$L$451:$U$451,BZ$714,Предпосылки!$L$456:$U$456) / Periods_in_Year</f>
        <v>0</v>
      </c>
      <c r="CA721" s="10">
        <f>SUMIF(Предпосылки!$L$451:$U$451,CA$714,Предпосылки!$L$456:$U$456) / Periods_in_Year</f>
        <v>0</v>
      </c>
      <c r="CB721" s="10">
        <f>SUMIF(Предпосылки!$L$451:$U$451,CB$714,Предпосылки!$L$456:$U$456) / Periods_in_Year</f>
        <v>0</v>
      </c>
      <c r="CC721" s="10">
        <f>SUMIF(Предпосылки!$L$451:$U$451,CC$714,Предпосылки!$L$456:$U$456) / Periods_in_Year</f>
        <v>0</v>
      </c>
      <c r="CD721" s="10">
        <f>SUMIF(Предпосылки!$L$451:$U$451,CD$714,Предпосылки!$L$456:$U$456) / Periods_in_Year</f>
        <v>0</v>
      </c>
      <c r="CE721" s="10">
        <f>SUMIF(Предпосылки!$L$451:$U$451,CE$714,Предпосылки!$L$456:$U$456) / Periods_in_Year</f>
        <v>0</v>
      </c>
      <c r="CF721" s="10">
        <f>SUMIF(Предпосылки!$L$451:$U$451,CF$714,Предпосылки!$L$456:$U$456) / Periods_in_Year</f>
        <v>0</v>
      </c>
      <c r="CG721" s="10">
        <f>SUMIF(Предпосылки!$L$451:$U$451,CG$714,Предпосылки!$L$456:$U$456) / Periods_in_Year</f>
        <v>0</v>
      </c>
      <c r="CH721" s="10">
        <f>SUMIF(Предпосылки!$L$451:$U$451,CH$714,Предпосылки!$L$456:$U$456) / Periods_in_Year</f>
        <v>0</v>
      </c>
      <c r="CI721" s="10">
        <f>SUMIF(Предпосылки!$L$451:$U$451,CI$714,Предпосылки!$L$456:$U$456) / Periods_in_Year</f>
        <v>0</v>
      </c>
      <c r="CJ721" s="10">
        <f>SUMIF(Предпосылки!$L$451:$U$451,CJ$714,Предпосылки!$L$456:$U$456) / Periods_in_Year</f>
        <v>0</v>
      </c>
      <c r="CK721" s="10">
        <f>SUMIF(Предпосылки!$L$451:$U$451,CK$714,Предпосылки!$L$456:$U$456) / Periods_in_Year</f>
        <v>0</v>
      </c>
      <c r="CL721" s="10">
        <f>SUMIF(Предпосылки!$L$451:$U$451,CL$714,Предпосылки!$L$456:$U$456) / Periods_in_Year</f>
        <v>0</v>
      </c>
      <c r="CM721" s="10">
        <f>SUMIF(Предпосылки!$L$451:$U$451,CM$714,Предпосылки!$L$456:$U$456) / Periods_in_Year</f>
        <v>0</v>
      </c>
      <c r="CN721" s="10">
        <f>SUMIF(Предпосылки!$L$451:$U$451,CN$714,Предпосылки!$L$456:$U$456) / Periods_in_Year</f>
        <v>0</v>
      </c>
      <c r="CO721" s="10">
        <f>SUMIF(Предпосылки!$L$451:$U$451,CO$714,Предпосылки!$L$456:$U$456) / Periods_in_Year</f>
        <v>0</v>
      </c>
    </row>
    <row r="722" spans="1:93" s="141" customFormat="1" ht="12.5" hidden="1">
      <c r="B722" s="10"/>
      <c r="C722" s="17"/>
      <c r="D722" s="10"/>
      <c r="E722" s="62"/>
      <c r="F722" s="11"/>
      <c r="G722" s="11"/>
      <c r="H722" s="10"/>
      <c r="I722" s="10"/>
      <c r="J722" s="10"/>
      <c r="K722" s="10"/>
      <c r="L722" s="10">
        <f>SUMIF(Предпосылки!$L$451:$U$451,L$714,Предпосылки!$L$457:$U$457) / Periods_in_Year</f>
        <v>0</v>
      </c>
      <c r="M722" s="10">
        <f>SUMIF(Предпосылки!$L$451:$U$451,M$714,Предпосылки!$L$457:$U$457) / Periods_in_Year</f>
        <v>0</v>
      </c>
      <c r="N722" s="10">
        <f>SUMIF(Предпосылки!$L$451:$U$451,N$714,Предпосылки!$L$457:$U$457) / Periods_in_Year</f>
        <v>0</v>
      </c>
      <c r="O722" s="10">
        <f>SUMIF(Предпосылки!$L$451:$U$451,O$714,Предпосылки!$L$457:$U$457) / Periods_in_Year</f>
        <v>0</v>
      </c>
      <c r="P722" s="10">
        <f>SUMIF(Предпосылки!$L$451:$U$451,P$714,Предпосылки!$L$457:$U$457) / Periods_in_Year</f>
        <v>0</v>
      </c>
      <c r="Q722" s="10">
        <f>SUMIF(Предпосылки!$L$451:$U$451,Q$714,Предпосылки!$L$457:$U$457) / Periods_in_Year</f>
        <v>0</v>
      </c>
      <c r="R722" s="10">
        <f>SUMIF(Предпосылки!$L$451:$U$451,R$714,Предпосылки!$L$457:$U$457) / Periods_in_Year</f>
        <v>0</v>
      </c>
      <c r="S722" s="10">
        <f>SUMIF(Предпосылки!$L$451:$U$451,S$714,Предпосылки!$L$457:$U$457) / Periods_in_Year</f>
        <v>0</v>
      </c>
      <c r="T722" s="10">
        <f>SUMIF(Предпосылки!$L$451:$U$451,T$714,Предпосылки!$L$457:$U$457) / Periods_in_Year</f>
        <v>0</v>
      </c>
      <c r="U722" s="10">
        <f>SUMIF(Предпосылки!$L$451:$U$451,U$714,Предпосылки!$L$457:$U$457) / Periods_in_Year</f>
        <v>0</v>
      </c>
      <c r="V722" s="10">
        <f>SUMIF(Предпосылки!$L$451:$U$451,V$714,Предпосылки!$L$457:$U$457) / Periods_in_Year</f>
        <v>0</v>
      </c>
      <c r="W722" s="10">
        <f>SUMIF(Предпосылки!$L$451:$U$451,W$714,Предпосылки!$L$457:$U$457) / Periods_in_Year</f>
        <v>0</v>
      </c>
      <c r="X722" s="10">
        <f>SUMIF(Предпосылки!$L$451:$U$451,X$714,Предпосылки!$L$457:$U$457) / Periods_in_Year</f>
        <v>0</v>
      </c>
      <c r="Y722" s="10">
        <f>SUMIF(Предпосылки!$L$451:$U$451,Y$714,Предпосылки!$L$457:$U$457) / Periods_in_Year</f>
        <v>0</v>
      </c>
      <c r="Z722" s="10">
        <f>SUMIF(Предпосылки!$L$451:$U$451,Z$714,Предпосылки!$L$457:$U$457) / Periods_in_Year</f>
        <v>0</v>
      </c>
      <c r="AA722" s="10">
        <f>SUMIF(Предпосылки!$L$451:$U$451,AA$714,Предпосылки!$L$457:$U$457) / Periods_in_Year</f>
        <v>0</v>
      </c>
      <c r="AB722" s="10">
        <f>SUMIF(Предпосылки!$L$451:$U$451,AB$714,Предпосылки!$L$457:$U$457) / Periods_in_Year</f>
        <v>0</v>
      </c>
      <c r="AC722" s="10">
        <f>SUMIF(Предпосылки!$L$451:$U$451,AC$714,Предпосылки!$L$457:$U$457) / Periods_in_Year</f>
        <v>0</v>
      </c>
      <c r="AD722" s="10">
        <f>SUMIF(Предпосылки!$L$451:$U$451,AD$714,Предпосылки!$L$457:$U$457) / Periods_in_Year</f>
        <v>0</v>
      </c>
      <c r="AE722" s="10">
        <f>SUMIF(Предпосылки!$L$451:$U$451,AE$714,Предпосылки!$L$457:$U$457) / Periods_in_Year</f>
        <v>0</v>
      </c>
      <c r="AF722" s="10">
        <f>SUMIF(Предпосылки!$L$451:$U$451,AF$714,Предпосылки!$L$457:$U$457) / Periods_in_Year</f>
        <v>0</v>
      </c>
      <c r="AG722" s="10">
        <f>SUMIF(Предпосылки!$L$451:$U$451,AG$714,Предпосылки!$L$457:$U$457) / Periods_in_Year</f>
        <v>0</v>
      </c>
      <c r="AH722" s="10">
        <f>SUMIF(Предпосылки!$L$451:$U$451,AH$714,Предпосылки!$L$457:$U$457) / Periods_in_Year</f>
        <v>0</v>
      </c>
      <c r="AI722" s="10">
        <f>SUMIF(Предпосылки!$L$451:$U$451,AI$714,Предпосылки!$L$457:$U$457) / Periods_in_Year</f>
        <v>0</v>
      </c>
      <c r="AJ722" s="10">
        <f>SUMIF(Предпосылки!$L$451:$U$451,AJ$714,Предпосылки!$L$457:$U$457) / Periods_in_Year</f>
        <v>0</v>
      </c>
      <c r="AK722" s="10">
        <f>SUMIF(Предпосылки!$L$451:$U$451,AK$714,Предпосылки!$L$457:$U$457) / Periods_in_Year</f>
        <v>0</v>
      </c>
      <c r="AL722" s="10">
        <f>SUMIF(Предпосылки!$L$451:$U$451,AL$714,Предпосылки!$L$457:$U$457) / Periods_in_Year</f>
        <v>0</v>
      </c>
      <c r="AM722" s="10">
        <f>SUMIF(Предпосылки!$L$451:$U$451,AM$714,Предпосылки!$L$457:$U$457) / Periods_in_Year</f>
        <v>0</v>
      </c>
      <c r="AN722" s="10">
        <f>SUMIF(Предпосылки!$L$451:$U$451,AN$714,Предпосылки!$L$457:$U$457) / Periods_in_Year</f>
        <v>0</v>
      </c>
      <c r="AO722" s="10">
        <f>SUMIF(Предпосылки!$L$451:$U$451,AO$714,Предпосылки!$L$457:$U$457) / Periods_in_Year</f>
        <v>0</v>
      </c>
      <c r="AP722" s="10">
        <f>SUMIF(Предпосылки!$L$451:$U$451,AP$714,Предпосылки!$L$457:$U$457) / Periods_in_Year</f>
        <v>0</v>
      </c>
      <c r="AQ722" s="10">
        <f>SUMIF(Предпосылки!$L$451:$U$451,AQ$714,Предпосылки!$L$457:$U$457) / Periods_in_Year</f>
        <v>0</v>
      </c>
      <c r="AR722" s="10">
        <f>SUMIF(Предпосылки!$L$451:$U$451,AR$714,Предпосылки!$L$457:$U$457) / Periods_in_Year</f>
        <v>0</v>
      </c>
      <c r="AS722" s="10">
        <f>SUMIF(Предпосылки!$L$451:$U$451,AS$714,Предпосылки!$L$457:$U$457) / Periods_in_Year</f>
        <v>0</v>
      </c>
      <c r="AT722" s="10">
        <f>SUMIF(Предпосылки!$L$451:$U$451,AT$714,Предпосылки!$L$457:$U$457) / Periods_in_Year</f>
        <v>0</v>
      </c>
      <c r="AU722" s="10">
        <f>SUMIF(Предпосылки!$L$451:$U$451,AU$714,Предпосылки!$L$457:$U$457) / Periods_in_Year</f>
        <v>0</v>
      </c>
      <c r="AV722" s="10">
        <f>SUMIF(Предпосылки!$L$451:$U$451,AV$714,Предпосылки!$L$457:$U$457) / Periods_in_Year</f>
        <v>0</v>
      </c>
      <c r="AW722" s="10">
        <f>SUMIF(Предпосылки!$L$451:$U$451,AW$714,Предпосылки!$L$457:$U$457) / Periods_in_Year</f>
        <v>0</v>
      </c>
      <c r="AX722" s="10">
        <f>SUMIF(Предпосылки!$L$451:$U$451,AX$714,Предпосылки!$L$457:$U$457) / Periods_in_Year</f>
        <v>0</v>
      </c>
      <c r="AY722" s="10">
        <f>SUMIF(Предпосылки!$L$451:$U$451,AY$714,Предпосылки!$L$457:$U$457) / Periods_in_Year</f>
        <v>0</v>
      </c>
      <c r="AZ722" s="10">
        <f>SUMIF(Предпосылки!$L$451:$U$451,AZ$714,Предпосылки!$L$457:$U$457) / Periods_in_Year</f>
        <v>0</v>
      </c>
      <c r="BA722" s="10">
        <f>SUMIF(Предпосылки!$L$451:$U$451,BA$714,Предпосылки!$L$457:$U$457) / Periods_in_Year</f>
        <v>0</v>
      </c>
      <c r="BB722" s="10">
        <f>SUMIF(Предпосылки!$L$451:$U$451,BB$714,Предпосылки!$L$457:$U$457) / Periods_in_Year</f>
        <v>0</v>
      </c>
      <c r="BC722" s="10">
        <f>SUMIF(Предпосылки!$L$451:$U$451,BC$714,Предпосылки!$L$457:$U$457) / Periods_in_Year</f>
        <v>0</v>
      </c>
      <c r="BD722" s="10">
        <f>SUMIF(Предпосылки!$L$451:$U$451,BD$714,Предпосылки!$L$457:$U$457) / Periods_in_Year</f>
        <v>0</v>
      </c>
      <c r="BE722" s="10">
        <f>SUMIF(Предпосылки!$L$451:$U$451,BE$714,Предпосылки!$L$457:$U$457) / Periods_in_Year</f>
        <v>0</v>
      </c>
      <c r="BF722" s="10">
        <f>SUMIF(Предпосылки!$L$451:$U$451,BF$714,Предпосылки!$L$457:$U$457) / Periods_in_Year</f>
        <v>0</v>
      </c>
      <c r="BG722" s="10">
        <f>SUMIF(Предпосылки!$L$451:$U$451,BG$714,Предпосылки!$L$457:$U$457) / Periods_in_Year</f>
        <v>0</v>
      </c>
      <c r="BH722" s="10">
        <f>SUMIF(Предпосылки!$L$451:$U$451,BH$714,Предпосылки!$L$457:$U$457) / Periods_in_Year</f>
        <v>0</v>
      </c>
      <c r="BI722" s="10">
        <f>SUMIF(Предпосылки!$L$451:$U$451,BI$714,Предпосылки!$L$457:$U$457) / Periods_in_Year</f>
        <v>0</v>
      </c>
      <c r="BJ722" s="10">
        <f>SUMIF(Предпосылки!$L$451:$U$451,BJ$714,Предпосылки!$L$457:$U$457) / Periods_in_Year</f>
        <v>0</v>
      </c>
      <c r="BK722" s="10">
        <f>SUMIF(Предпосылки!$L$451:$U$451,BK$714,Предпосылки!$L$457:$U$457) / Periods_in_Year</f>
        <v>0</v>
      </c>
      <c r="BL722" s="10">
        <f>SUMIF(Предпосылки!$L$451:$U$451,BL$714,Предпосылки!$L$457:$U$457) / Periods_in_Year</f>
        <v>0</v>
      </c>
      <c r="BM722" s="10">
        <f>SUMIF(Предпосылки!$L$451:$U$451,BM$714,Предпосылки!$L$457:$U$457) / Periods_in_Year</f>
        <v>0</v>
      </c>
      <c r="BN722" s="10">
        <f>SUMIF(Предпосылки!$L$451:$U$451,BN$714,Предпосылки!$L$457:$U$457) / Periods_in_Year</f>
        <v>0</v>
      </c>
      <c r="BO722" s="10">
        <f>SUMIF(Предпосылки!$L$451:$U$451,BO$714,Предпосылки!$L$457:$U$457) / Periods_in_Year</f>
        <v>0</v>
      </c>
      <c r="BP722" s="10">
        <f>SUMIF(Предпосылки!$L$451:$U$451,BP$714,Предпосылки!$L$457:$U$457) / Periods_in_Year</f>
        <v>0</v>
      </c>
      <c r="BQ722" s="10">
        <f>SUMIF(Предпосылки!$L$451:$U$451,BQ$714,Предпосылки!$L$457:$U$457) / Periods_in_Year</f>
        <v>0</v>
      </c>
      <c r="BR722" s="10">
        <f>SUMIF(Предпосылки!$L$451:$U$451,BR$714,Предпосылки!$L$457:$U$457) / Periods_in_Year</f>
        <v>0</v>
      </c>
      <c r="BS722" s="10">
        <f>SUMIF(Предпосылки!$L$451:$U$451,BS$714,Предпосылки!$L$457:$U$457) / Periods_in_Year</f>
        <v>0</v>
      </c>
      <c r="BT722" s="10">
        <f>SUMIF(Предпосылки!$L$451:$U$451,BT$714,Предпосылки!$L$457:$U$457) / Periods_in_Year</f>
        <v>0</v>
      </c>
      <c r="BU722" s="10">
        <f>SUMIF(Предпосылки!$L$451:$U$451,BU$714,Предпосылки!$L$457:$U$457) / Periods_in_Year</f>
        <v>0</v>
      </c>
      <c r="BV722" s="10">
        <f>SUMIF(Предпосылки!$L$451:$U$451,BV$714,Предпосылки!$L$457:$U$457) / Periods_in_Year</f>
        <v>0</v>
      </c>
      <c r="BW722" s="10">
        <f>SUMIF(Предпосылки!$L$451:$U$451,BW$714,Предпосылки!$L$457:$U$457) / Periods_in_Year</f>
        <v>0</v>
      </c>
      <c r="BX722" s="10">
        <f>SUMIF(Предпосылки!$L$451:$U$451,BX$714,Предпосылки!$L$457:$U$457) / Periods_in_Year</f>
        <v>0</v>
      </c>
      <c r="BY722" s="10">
        <f>SUMIF(Предпосылки!$L$451:$U$451,BY$714,Предпосылки!$L$457:$U$457) / Periods_in_Year</f>
        <v>0</v>
      </c>
      <c r="BZ722" s="10">
        <f>SUMIF(Предпосылки!$L$451:$U$451,BZ$714,Предпосылки!$L$457:$U$457) / Periods_in_Year</f>
        <v>0</v>
      </c>
      <c r="CA722" s="10">
        <f>SUMIF(Предпосылки!$L$451:$U$451,CA$714,Предпосылки!$L$457:$U$457) / Periods_in_Year</f>
        <v>0</v>
      </c>
      <c r="CB722" s="10">
        <f>SUMIF(Предпосылки!$L$451:$U$451,CB$714,Предпосылки!$L$457:$U$457) / Periods_in_Year</f>
        <v>0</v>
      </c>
      <c r="CC722" s="10">
        <f>SUMIF(Предпосылки!$L$451:$U$451,CC$714,Предпосылки!$L$457:$U$457) / Periods_in_Year</f>
        <v>0</v>
      </c>
      <c r="CD722" s="10">
        <f>SUMIF(Предпосылки!$L$451:$U$451,CD$714,Предпосылки!$L$457:$U$457) / Periods_in_Year</f>
        <v>0</v>
      </c>
      <c r="CE722" s="10">
        <f>SUMIF(Предпосылки!$L$451:$U$451,CE$714,Предпосылки!$L$457:$U$457) / Periods_in_Year</f>
        <v>0</v>
      </c>
      <c r="CF722" s="10">
        <f>SUMIF(Предпосылки!$L$451:$U$451,CF$714,Предпосылки!$L$457:$U$457) / Periods_in_Year</f>
        <v>0</v>
      </c>
      <c r="CG722" s="10">
        <f>SUMIF(Предпосылки!$L$451:$U$451,CG$714,Предпосылки!$L$457:$U$457) / Periods_in_Year</f>
        <v>0</v>
      </c>
      <c r="CH722" s="10">
        <f>SUMIF(Предпосылки!$L$451:$U$451,CH$714,Предпосылки!$L$457:$U$457) / Periods_in_Year</f>
        <v>0</v>
      </c>
      <c r="CI722" s="10">
        <f>SUMIF(Предпосылки!$L$451:$U$451,CI$714,Предпосылки!$L$457:$U$457) / Periods_in_Year</f>
        <v>0</v>
      </c>
      <c r="CJ722" s="10">
        <f>SUMIF(Предпосылки!$L$451:$U$451,CJ$714,Предпосылки!$L$457:$U$457) / Periods_in_Year</f>
        <v>0</v>
      </c>
      <c r="CK722" s="10">
        <f>SUMIF(Предпосылки!$L$451:$U$451,CK$714,Предпосылки!$L$457:$U$457) / Periods_in_Year</f>
        <v>0</v>
      </c>
      <c r="CL722" s="10">
        <f>SUMIF(Предпосылки!$L$451:$U$451,CL$714,Предпосылки!$L$457:$U$457) / Periods_in_Year</f>
        <v>0</v>
      </c>
      <c r="CM722" s="10">
        <f>SUMIF(Предпосылки!$L$451:$U$451,CM$714,Предпосылки!$L$457:$U$457) / Periods_in_Year</f>
        <v>0</v>
      </c>
      <c r="CN722" s="10">
        <f>SUMIF(Предпосылки!$L$451:$U$451,CN$714,Предпосылки!$L$457:$U$457) / Periods_in_Year</f>
        <v>0</v>
      </c>
      <c r="CO722" s="10">
        <f>SUMIF(Предпосылки!$L$451:$U$451,CO$714,Предпосылки!$L$457:$U$457) / Periods_in_Year</f>
        <v>0</v>
      </c>
    </row>
    <row r="723" spans="1:93" s="141" customFormat="1" ht="12.5" hidden="1">
      <c r="B723" s="10"/>
      <c r="C723" s="21"/>
      <c r="D723" s="10"/>
      <c r="E723" s="62"/>
      <c r="F723" s="11"/>
      <c r="G723" s="11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  <c r="BB723" s="10"/>
      <c r="BC723" s="10"/>
      <c r="BD723" s="10"/>
      <c r="BE723" s="10"/>
      <c r="BF723" s="10"/>
      <c r="BG723" s="10"/>
      <c r="BH723" s="10"/>
      <c r="BI723" s="10"/>
      <c r="BJ723" s="10"/>
      <c r="BK723" s="10"/>
      <c r="BL723" s="10"/>
      <c r="BM723" s="10"/>
      <c r="BN723" s="10"/>
      <c r="BO723" s="10"/>
      <c r="BP723" s="10"/>
      <c r="BQ723" s="10"/>
      <c r="BR723" s="10"/>
      <c r="BS723" s="10"/>
      <c r="BT723" s="10"/>
      <c r="BU723" s="10"/>
      <c r="BV723" s="10"/>
      <c r="BW723" s="10"/>
      <c r="BX723" s="10"/>
      <c r="BY723" s="10"/>
      <c r="BZ723" s="10"/>
      <c r="CA723" s="10"/>
      <c r="CB723" s="10"/>
      <c r="CC723" s="10"/>
      <c r="CD723" s="10"/>
      <c r="CE723" s="10"/>
      <c r="CF723" s="10"/>
      <c r="CG723" s="10"/>
      <c r="CH723" s="10"/>
      <c r="CI723" s="10"/>
      <c r="CJ723" s="10"/>
      <c r="CK723" s="10"/>
      <c r="CL723" s="10"/>
      <c r="CM723" s="10"/>
      <c r="CN723" s="10"/>
      <c r="CO723" s="10"/>
    </row>
    <row r="724" spans="1:93" ht="16" hidden="1" thickBot="1">
      <c r="B724" s="13"/>
      <c r="C724" s="12"/>
      <c r="D724" s="12"/>
      <c r="E724" s="12"/>
      <c r="F724" s="12"/>
      <c r="G724" s="362"/>
      <c r="H724" s="12"/>
      <c r="I724" s="12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  <c r="BB724" s="10"/>
      <c r="BC724" s="10"/>
      <c r="BD724" s="10"/>
      <c r="BE724" s="10"/>
      <c r="BF724" s="10"/>
      <c r="BG724" s="10"/>
      <c r="BH724" s="10"/>
      <c r="BI724" s="10"/>
      <c r="BJ724" s="10"/>
      <c r="BK724" s="10"/>
      <c r="BL724" s="10"/>
      <c r="BM724" s="10"/>
      <c r="BN724" s="10"/>
      <c r="BO724" s="10"/>
      <c r="BP724" s="10"/>
      <c r="BQ724" s="10"/>
      <c r="BR724" s="10"/>
      <c r="BS724" s="10"/>
      <c r="BT724" s="10"/>
      <c r="BU724" s="10"/>
      <c r="BV724" s="10"/>
      <c r="BW724" s="10"/>
      <c r="BX724" s="10"/>
      <c r="BY724" s="10"/>
      <c r="BZ724" s="10"/>
      <c r="CA724" s="10"/>
      <c r="CB724" s="10"/>
      <c r="CC724" s="10"/>
      <c r="CD724" s="10"/>
      <c r="CE724" s="10"/>
      <c r="CF724" s="10"/>
      <c r="CG724" s="10"/>
      <c r="CH724" s="10"/>
      <c r="CI724" s="10"/>
      <c r="CJ724" s="10"/>
      <c r="CK724" s="10"/>
      <c r="CL724" s="10"/>
      <c r="CM724" s="10"/>
      <c r="CN724" s="10"/>
      <c r="CO724" s="10"/>
    </row>
    <row r="725" spans="1:93" s="141" customFormat="1" ht="12.5" hidden="1">
      <c r="B725" s="10"/>
      <c r="C725" s="21"/>
      <c r="D725" s="10"/>
      <c r="E725" s="62"/>
      <c r="F725" s="11"/>
      <c r="G725" s="11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  <c r="BB725" s="10"/>
      <c r="BC725" s="10"/>
      <c r="BD725" s="10"/>
      <c r="BE725" s="10"/>
      <c r="BF725" s="10"/>
      <c r="BG725" s="10"/>
      <c r="BH725" s="10"/>
      <c r="BI725" s="10"/>
      <c r="BJ725" s="10"/>
      <c r="BK725" s="10"/>
      <c r="BL725" s="10"/>
      <c r="BM725" s="10"/>
      <c r="BN725" s="10"/>
      <c r="BO725" s="10"/>
      <c r="BP725" s="10"/>
      <c r="BQ725" s="10"/>
      <c r="BR725" s="10"/>
      <c r="BS725" s="10"/>
      <c r="BT725" s="10"/>
      <c r="BU725" s="10"/>
      <c r="BV725" s="10"/>
      <c r="BW725" s="10"/>
      <c r="BX725" s="10"/>
      <c r="BY725" s="10"/>
      <c r="BZ725" s="10"/>
      <c r="CA725" s="10"/>
      <c r="CB725" s="10"/>
      <c r="CC725" s="10"/>
      <c r="CD725" s="10"/>
      <c r="CE725" s="10"/>
      <c r="CF725" s="10"/>
      <c r="CG725" s="10"/>
      <c r="CH725" s="10"/>
      <c r="CI725" s="10"/>
      <c r="CJ725" s="10"/>
      <c r="CK725" s="10"/>
      <c r="CL725" s="10"/>
      <c r="CM725" s="10"/>
      <c r="CN725" s="10"/>
      <c r="CO725" s="10"/>
    </row>
    <row r="726" spans="1:93" s="141" customFormat="1" ht="13" hidden="1">
      <c r="B726" s="10"/>
      <c r="C726" s="21"/>
      <c r="D726" s="10"/>
      <c r="E726" s="184"/>
      <c r="F726" s="11"/>
      <c r="G726" s="11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  <c r="BB726" s="10"/>
      <c r="BC726" s="10"/>
      <c r="BD726" s="10"/>
      <c r="BE726" s="10"/>
      <c r="BF726" s="10"/>
      <c r="BG726" s="10"/>
      <c r="BH726" s="10"/>
      <c r="BI726" s="10"/>
      <c r="BJ726" s="10"/>
      <c r="BK726" s="10"/>
      <c r="BL726" s="10"/>
      <c r="BM726" s="10"/>
      <c r="BN726" s="10"/>
      <c r="BO726" s="10"/>
      <c r="BP726" s="10"/>
      <c r="BQ726" s="10"/>
      <c r="BR726" s="10"/>
      <c r="BS726" s="10"/>
      <c r="BT726" s="10"/>
      <c r="BU726" s="10"/>
      <c r="BV726" s="10"/>
      <c r="BW726" s="10"/>
      <c r="BX726" s="10"/>
      <c r="BY726" s="10"/>
      <c r="BZ726" s="10"/>
      <c r="CA726" s="10"/>
      <c r="CB726" s="10"/>
      <c r="CC726" s="10"/>
      <c r="CD726" s="10"/>
      <c r="CE726" s="10"/>
      <c r="CF726" s="10"/>
      <c r="CG726" s="10"/>
      <c r="CH726" s="10"/>
      <c r="CI726" s="10"/>
      <c r="CJ726" s="10"/>
      <c r="CK726" s="10"/>
      <c r="CL726" s="10"/>
      <c r="CM726" s="10"/>
      <c r="CN726" s="10"/>
      <c r="CO726" s="10"/>
    </row>
    <row r="727" spans="1:93" s="141" customFormat="1" ht="13" hidden="1">
      <c r="B727" s="10"/>
      <c r="C727" s="21"/>
      <c r="D727" s="10"/>
      <c r="E727" s="184"/>
      <c r="F727" s="11"/>
      <c r="G727" s="11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  <c r="BB727" s="10"/>
      <c r="BC727" s="10"/>
      <c r="BD727" s="10"/>
      <c r="BE727" s="10"/>
      <c r="BF727" s="10"/>
      <c r="BG727" s="10"/>
      <c r="BH727" s="10"/>
      <c r="BI727" s="10"/>
      <c r="BJ727" s="10"/>
      <c r="BK727" s="10"/>
      <c r="BL727" s="10"/>
      <c r="BM727" s="10"/>
      <c r="BN727" s="10"/>
      <c r="BO727" s="10"/>
      <c r="BP727" s="10"/>
      <c r="BQ727" s="10"/>
      <c r="BR727" s="10"/>
      <c r="BS727" s="10"/>
      <c r="BT727" s="10"/>
      <c r="BU727" s="10"/>
      <c r="BV727" s="10"/>
      <c r="BW727" s="10"/>
      <c r="BX727" s="10"/>
      <c r="BY727" s="10"/>
      <c r="BZ727" s="10"/>
      <c r="CA727" s="10"/>
      <c r="CB727" s="10"/>
      <c r="CC727" s="10"/>
      <c r="CD727" s="10"/>
      <c r="CE727" s="10"/>
      <c r="CF727" s="10"/>
      <c r="CG727" s="10"/>
      <c r="CH727" s="10"/>
      <c r="CI727" s="10"/>
      <c r="CJ727" s="10"/>
      <c r="CK727" s="10"/>
      <c r="CL727" s="10"/>
      <c r="CM727" s="10"/>
      <c r="CN727" s="10"/>
      <c r="CO727" s="10"/>
    </row>
    <row r="728" spans="1:93" s="141" customFormat="1" ht="12.5" hidden="1">
      <c r="B728" s="10"/>
      <c r="C728" s="21"/>
      <c r="D728" s="10"/>
      <c r="E728" s="62"/>
      <c r="F728" s="11"/>
      <c r="G728" s="11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  <c r="BB728" s="10"/>
      <c r="BC728" s="10"/>
      <c r="BD728" s="10"/>
      <c r="BE728" s="10"/>
      <c r="BF728" s="10"/>
      <c r="BG728" s="10"/>
      <c r="BH728" s="10"/>
      <c r="BI728" s="10"/>
      <c r="BJ728" s="10"/>
      <c r="BK728" s="10"/>
      <c r="BL728" s="10"/>
      <c r="BM728" s="10"/>
      <c r="BN728" s="10"/>
      <c r="BO728" s="10"/>
      <c r="BP728" s="10"/>
      <c r="BQ728" s="10"/>
      <c r="BR728" s="10"/>
      <c r="BS728" s="10"/>
      <c r="BT728" s="10"/>
      <c r="BU728" s="10"/>
      <c r="BV728" s="10"/>
      <c r="BW728" s="10"/>
      <c r="BX728" s="10"/>
      <c r="BY728" s="10"/>
      <c r="BZ728" s="10"/>
      <c r="CA728" s="10"/>
      <c r="CB728" s="10"/>
      <c r="CC728" s="10"/>
      <c r="CD728" s="10"/>
      <c r="CE728" s="10"/>
      <c r="CF728" s="10"/>
      <c r="CG728" s="10"/>
      <c r="CH728" s="10"/>
      <c r="CI728" s="10"/>
      <c r="CJ728" s="10"/>
      <c r="CK728" s="10"/>
      <c r="CL728" s="10"/>
      <c r="CM728" s="10"/>
      <c r="CN728" s="10"/>
      <c r="CO728" s="10"/>
    </row>
    <row r="729" spans="1:93" ht="16" hidden="1" thickBot="1">
      <c r="A729" s="233"/>
      <c r="B729" s="10"/>
      <c r="C729" s="12"/>
      <c r="D729" s="12"/>
      <c r="E729" s="12"/>
      <c r="F729" s="12"/>
      <c r="G729" s="362"/>
      <c r="H729" s="12"/>
      <c r="I729" s="12"/>
      <c r="J729" s="69"/>
      <c r="K729" s="69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  <c r="BB729" s="10"/>
      <c r="BC729" s="10"/>
      <c r="BD729" s="10"/>
      <c r="BE729" s="10"/>
      <c r="BF729" s="10"/>
      <c r="BG729" s="10"/>
      <c r="BH729" s="10"/>
      <c r="BI729" s="10"/>
      <c r="BJ729" s="10"/>
      <c r="BK729" s="10"/>
      <c r="BL729" s="10"/>
      <c r="BM729" s="10"/>
      <c r="BN729" s="10"/>
      <c r="BO729" s="10"/>
      <c r="BP729" s="10"/>
      <c r="BQ729" s="10"/>
      <c r="BR729" s="10"/>
      <c r="BS729" s="10"/>
      <c r="BT729" s="10"/>
      <c r="BU729" s="10"/>
      <c r="BV729" s="10"/>
      <c r="BW729" s="10"/>
      <c r="BX729" s="10"/>
      <c r="BY729" s="10"/>
      <c r="BZ729" s="10"/>
      <c r="CA729" s="10"/>
      <c r="CB729" s="10"/>
      <c r="CC729" s="10"/>
      <c r="CD729" s="10"/>
      <c r="CE729" s="10"/>
      <c r="CF729" s="10"/>
      <c r="CG729" s="10"/>
      <c r="CH729" s="10"/>
      <c r="CI729" s="10"/>
      <c r="CJ729" s="10"/>
      <c r="CK729" s="10"/>
      <c r="CL729" s="10"/>
      <c r="CM729" s="10"/>
      <c r="CN729" s="10"/>
      <c r="CO729" s="10"/>
    </row>
    <row r="730" spans="1:93" s="141" customFormat="1" ht="12.5" hidden="1">
      <c r="B730" s="10"/>
      <c r="C730" s="21"/>
      <c r="D730" s="10"/>
      <c r="E730" s="62"/>
      <c r="F730" s="11"/>
      <c r="G730" s="11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  <c r="BB730" s="10"/>
      <c r="BC730" s="10"/>
      <c r="BD730" s="10"/>
      <c r="BE730" s="10"/>
      <c r="BF730" s="10"/>
      <c r="BG730" s="10"/>
      <c r="BH730" s="10"/>
      <c r="BI730" s="10"/>
      <c r="BJ730" s="10"/>
      <c r="BK730" s="10"/>
      <c r="BL730" s="10"/>
      <c r="BM730" s="10"/>
      <c r="BN730" s="10"/>
      <c r="BO730" s="10"/>
      <c r="BP730" s="10"/>
      <c r="BQ730" s="10"/>
      <c r="BR730" s="10"/>
      <c r="BS730" s="10"/>
      <c r="BT730" s="10"/>
      <c r="BU730" s="10"/>
      <c r="BV730" s="10"/>
      <c r="BW730" s="10"/>
      <c r="BX730" s="10"/>
      <c r="BY730" s="10"/>
      <c r="BZ730" s="10"/>
      <c r="CA730" s="10"/>
      <c r="CB730" s="10"/>
      <c r="CC730" s="10"/>
      <c r="CD730" s="10"/>
      <c r="CE730" s="10"/>
      <c r="CF730" s="10"/>
      <c r="CG730" s="10"/>
      <c r="CH730" s="10"/>
      <c r="CI730" s="10"/>
      <c r="CJ730" s="10"/>
      <c r="CK730" s="10"/>
      <c r="CL730" s="10"/>
      <c r="CM730" s="10"/>
      <c r="CN730" s="10"/>
      <c r="CO730" s="10"/>
    </row>
    <row r="731" spans="1:93" s="141" customFormat="1" ht="12.5" hidden="1">
      <c r="B731" s="10"/>
      <c r="C731" s="21"/>
      <c r="D731" s="10"/>
      <c r="E731" s="62"/>
      <c r="F731" s="11"/>
      <c r="G731" s="11"/>
      <c r="H731" s="10"/>
      <c r="I731" s="10"/>
      <c r="J731" s="10"/>
      <c r="K731" s="10"/>
      <c r="L731" s="10">
        <f t="shared" ref="L731:BX731" si="5737" xml:space="preserve"> $E$726 * L$713</f>
        <v>0</v>
      </c>
      <c r="M731" s="10">
        <f t="shared" si="5737"/>
        <v>0</v>
      </c>
      <c r="N731" s="10">
        <f t="shared" si="5737"/>
        <v>0</v>
      </c>
      <c r="O731" s="10">
        <f t="shared" si="5737"/>
        <v>0</v>
      </c>
      <c r="P731" s="10">
        <f t="shared" si="5737"/>
        <v>0</v>
      </c>
      <c r="Q731" s="10">
        <f t="shared" si="5737"/>
        <v>0</v>
      </c>
      <c r="R731" s="10">
        <f t="shared" si="5737"/>
        <v>0</v>
      </c>
      <c r="S731" s="10">
        <f t="shared" si="5737"/>
        <v>0</v>
      </c>
      <c r="T731" s="10">
        <f t="shared" si="5737"/>
        <v>0</v>
      </c>
      <c r="U731" s="10">
        <f t="shared" si="5737"/>
        <v>0</v>
      </c>
      <c r="V731" s="10">
        <f t="shared" si="5737"/>
        <v>0</v>
      </c>
      <c r="W731" s="10">
        <f t="shared" si="5737"/>
        <v>0</v>
      </c>
      <c r="X731" s="10">
        <f t="shared" si="5737"/>
        <v>0</v>
      </c>
      <c r="Y731" s="10">
        <f t="shared" si="5737"/>
        <v>0</v>
      </c>
      <c r="Z731" s="10">
        <f t="shared" si="5737"/>
        <v>0</v>
      </c>
      <c r="AA731" s="10">
        <f t="shared" si="5737"/>
        <v>0</v>
      </c>
      <c r="AB731" s="10">
        <f t="shared" si="5737"/>
        <v>0</v>
      </c>
      <c r="AC731" s="10">
        <f t="shared" si="5737"/>
        <v>0</v>
      </c>
      <c r="AD731" s="10">
        <f t="shared" si="5737"/>
        <v>0</v>
      </c>
      <c r="AE731" s="10">
        <f t="shared" si="5737"/>
        <v>0</v>
      </c>
      <c r="AF731" s="10">
        <f t="shared" si="5737"/>
        <v>0</v>
      </c>
      <c r="AG731" s="10">
        <f t="shared" si="5737"/>
        <v>0</v>
      </c>
      <c r="AH731" s="10">
        <f t="shared" si="5737"/>
        <v>0</v>
      </c>
      <c r="AI731" s="10">
        <f t="shared" si="5737"/>
        <v>0</v>
      </c>
      <c r="AJ731" s="10">
        <f t="shared" si="5737"/>
        <v>0</v>
      </c>
      <c r="AK731" s="10">
        <f t="shared" si="5737"/>
        <v>0</v>
      </c>
      <c r="AL731" s="10">
        <f t="shared" si="5737"/>
        <v>0</v>
      </c>
      <c r="AM731" s="10">
        <f t="shared" si="5737"/>
        <v>0</v>
      </c>
      <c r="AN731" s="10">
        <f t="shared" si="5737"/>
        <v>0</v>
      </c>
      <c r="AO731" s="10">
        <f t="shared" si="5737"/>
        <v>0</v>
      </c>
      <c r="AP731" s="10">
        <f t="shared" si="5737"/>
        <v>0</v>
      </c>
      <c r="AQ731" s="10">
        <f t="shared" si="5737"/>
        <v>0</v>
      </c>
      <c r="AR731" s="10">
        <f t="shared" si="5737"/>
        <v>0</v>
      </c>
      <c r="AS731" s="10">
        <f t="shared" si="5737"/>
        <v>0</v>
      </c>
      <c r="AT731" s="10">
        <f t="shared" si="5737"/>
        <v>0</v>
      </c>
      <c r="AU731" s="10">
        <f t="shared" si="5737"/>
        <v>0</v>
      </c>
      <c r="AV731" s="10">
        <f t="shared" si="5737"/>
        <v>0</v>
      </c>
      <c r="AW731" s="10">
        <f t="shared" si="5737"/>
        <v>0</v>
      </c>
      <c r="AX731" s="10">
        <f t="shared" si="5737"/>
        <v>0</v>
      </c>
      <c r="AY731" s="10">
        <f t="shared" si="5737"/>
        <v>0</v>
      </c>
      <c r="AZ731" s="10">
        <f t="shared" si="5737"/>
        <v>0</v>
      </c>
      <c r="BA731" s="10">
        <f t="shared" si="5737"/>
        <v>0</v>
      </c>
      <c r="BB731" s="10">
        <f t="shared" si="5737"/>
        <v>0</v>
      </c>
      <c r="BC731" s="10">
        <f t="shared" si="5737"/>
        <v>0</v>
      </c>
      <c r="BD731" s="10">
        <f t="shared" si="5737"/>
        <v>0</v>
      </c>
      <c r="BE731" s="10">
        <f t="shared" si="5737"/>
        <v>0</v>
      </c>
      <c r="BF731" s="10">
        <f t="shared" si="5737"/>
        <v>0</v>
      </c>
      <c r="BG731" s="10">
        <f t="shared" si="5737"/>
        <v>0</v>
      </c>
      <c r="BH731" s="10">
        <f t="shared" si="5737"/>
        <v>0</v>
      </c>
      <c r="BI731" s="10">
        <f t="shared" si="5737"/>
        <v>0</v>
      </c>
      <c r="BJ731" s="10">
        <f t="shared" si="5737"/>
        <v>0</v>
      </c>
      <c r="BK731" s="10">
        <f t="shared" si="5737"/>
        <v>0</v>
      </c>
      <c r="BL731" s="10">
        <f t="shared" si="5737"/>
        <v>0</v>
      </c>
      <c r="BM731" s="10">
        <f t="shared" si="5737"/>
        <v>0</v>
      </c>
      <c r="BN731" s="10">
        <f t="shared" si="5737"/>
        <v>0</v>
      </c>
      <c r="BO731" s="10">
        <f t="shared" si="5737"/>
        <v>0</v>
      </c>
      <c r="BP731" s="10">
        <f t="shared" si="5737"/>
        <v>0</v>
      </c>
      <c r="BQ731" s="10">
        <f t="shared" si="5737"/>
        <v>0</v>
      </c>
      <c r="BR731" s="10">
        <f t="shared" si="5737"/>
        <v>0</v>
      </c>
      <c r="BS731" s="10">
        <f t="shared" si="5737"/>
        <v>0</v>
      </c>
      <c r="BT731" s="10">
        <f t="shared" si="5737"/>
        <v>0</v>
      </c>
      <c r="BU731" s="10">
        <f t="shared" si="5737"/>
        <v>0</v>
      </c>
      <c r="BV731" s="10">
        <f t="shared" si="5737"/>
        <v>0</v>
      </c>
      <c r="BW731" s="10">
        <f t="shared" si="5737"/>
        <v>0</v>
      </c>
      <c r="BX731" s="10">
        <f t="shared" si="5737"/>
        <v>0</v>
      </c>
      <c r="BY731" s="10">
        <f t="shared" ref="BY731:CO731" si="5738" xml:space="preserve"> $E$726 * BY$713</f>
        <v>0</v>
      </c>
      <c r="BZ731" s="10">
        <f t="shared" si="5738"/>
        <v>0</v>
      </c>
      <c r="CA731" s="10">
        <f t="shared" si="5738"/>
        <v>0</v>
      </c>
      <c r="CB731" s="10">
        <f t="shared" si="5738"/>
        <v>0</v>
      </c>
      <c r="CC731" s="10">
        <f t="shared" si="5738"/>
        <v>0</v>
      </c>
      <c r="CD731" s="10">
        <f t="shared" si="5738"/>
        <v>0</v>
      </c>
      <c r="CE731" s="10">
        <f t="shared" si="5738"/>
        <v>0</v>
      </c>
      <c r="CF731" s="10">
        <f t="shared" si="5738"/>
        <v>0</v>
      </c>
      <c r="CG731" s="10">
        <f t="shared" si="5738"/>
        <v>0</v>
      </c>
      <c r="CH731" s="10">
        <f t="shared" si="5738"/>
        <v>0</v>
      </c>
      <c r="CI731" s="10">
        <f t="shared" si="5738"/>
        <v>0</v>
      </c>
      <c r="CJ731" s="10">
        <f t="shared" si="5738"/>
        <v>0</v>
      </c>
      <c r="CK731" s="10">
        <f t="shared" si="5738"/>
        <v>0</v>
      </c>
      <c r="CL731" s="10">
        <f t="shared" si="5738"/>
        <v>0</v>
      </c>
      <c r="CM731" s="10">
        <f t="shared" si="5738"/>
        <v>0</v>
      </c>
      <c r="CN731" s="10">
        <f t="shared" si="5738"/>
        <v>0</v>
      </c>
      <c r="CO731" s="10">
        <f t="shared" si="5738"/>
        <v>0</v>
      </c>
    </row>
    <row r="732" spans="1:93" s="141" customFormat="1" ht="12.5" hidden="1">
      <c r="B732" s="10"/>
      <c r="C732" s="21"/>
      <c r="D732" s="10"/>
      <c r="E732" s="62"/>
      <c r="F732" s="11"/>
      <c r="G732" s="11"/>
      <c r="H732" s="10"/>
      <c r="I732" s="10"/>
      <c r="J732" s="10"/>
      <c r="K732" s="10"/>
      <c r="L732" s="10">
        <f t="shared" ref="L732:BX732" si="5739" xml:space="preserve"> $E$727 * L$713</f>
        <v>0</v>
      </c>
      <c r="M732" s="10">
        <f t="shared" si="5739"/>
        <v>0</v>
      </c>
      <c r="N732" s="10">
        <f t="shared" si="5739"/>
        <v>0</v>
      </c>
      <c r="O732" s="10">
        <f t="shared" si="5739"/>
        <v>0</v>
      </c>
      <c r="P732" s="10">
        <f t="shared" si="5739"/>
        <v>0</v>
      </c>
      <c r="Q732" s="10">
        <f t="shared" si="5739"/>
        <v>0</v>
      </c>
      <c r="R732" s="10">
        <f t="shared" si="5739"/>
        <v>0</v>
      </c>
      <c r="S732" s="10">
        <f t="shared" si="5739"/>
        <v>0</v>
      </c>
      <c r="T732" s="10">
        <f t="shared" si="5739"/>
        <v>0</v>
      </c>
      <c r="U732" s="10">
        <f t="shared" si="5739"/>
        <v>0</v>
      </c>
      <c r="V732" s="10">
        <f t="shared" si="5739"/>
        <v>0</v>
      </c>
      <c r="W732" s="10">
        <f t="shared" si="5739"/>
        <v>0</v>
      </c>
      <c r="X732" s="10">
        <f t="shared" si="5739"/>
        <v>0</v>
      </c>
      <c r="Y732" s="10">
        <f t="shared" si="5739"/>
        <v>0</v>
      </c>
      <c r="Z732" s="10">
        <f t="shared" si="5739"/>
        <v>0</v>
      </c>
      <c r="AA732" s="10">
        <f t="shared" si="5739"/>
        <v>0</v>
      </c>
      <c r="AB732" s="10">
        <f t="shared" si="5739"/>
        <v>0</v>
      </c>
      <c r="AC732" s="10">
        <f t="shared" si="5739"/>
        <v>0</v>
      </c>
      <c r="AD732" s="10">
        <f t="shared" si="5739"/>
        <v>0</v>
      </c>
      <c r="AE732" s="10">
        <f t="shared" si="5739"/>
        <v>0</v>
      </c>
      <c r="AF732" s="10">
        <f t="shared" si="5739"/>
        <v>0</v>
      </c>
      <c r="AG732" s="10">
        <f t="shared" si="5739"/>
        <v>0</v>
      </c>
      <c r="AH732" s="10">
        <f t="shared" si="5739"/>
        <v>0</v>
      </c>
      <c r="AI732" s="10">
        <f t="shared" si="5739"/>
        <v>0</v>
      </c>
      <c r="AJ732" s="10">
        <f t="shared" si="5739"/>
        <v>0</v>
      </c>
      <c r="AK732" s="10">
        <f t="shared" si="5739"/>
        <v>0</v>
      </c>
      <c r="AL732" s="10">
        <f t="shared" si="5739"/>
        <v>0</v>
      </c>
      <c r="AM732" s="10">
        <f t="shared" si="5739"/>
        <v>0</v>
      </c>
      <c r="AN732" s="10">
        <f t="shared" si="5739"/>
        <v>0</v>
      </c>
      <c r="AO732" s="10">
        <f t="shared" si="5739"/>
        <v>0</v>
      </c>
      <c r="AP732" s="10">
        <f t="shared" si="5739"/>
        <v>0</v>
      </c>
      <c r="AQ732" s="10">
        <f t="shared" si="5739"/>
        <v>0</v>
      </c>
      <c r="AR732" s="10">
        <f t="shared" si="5739"/>
        <v>0</v>
      </c>
      <c r="AS732" s="10">
        <f t="shared" si="5739"/>
        <v>0</v>
      </c>
      <c r="AT732" s="10">
        <f t="shared" si="5739"/>
        <v>0</v>
      </c>
      <c r="AU732" s="10">
        <f t="shared" si="5739"/>
        <v>0</v>
      </c>
      <c r="AV732" s="10">
        <f t="shared" si="5739"/>
        <v>0</v>
      </c>
      <c r="AW732" s="10">
        <f t="shared" si="5739"/>
        <v>0</v>
      </c>
      <c r="AX732" s="10">
        <f t="shared" si="5739"/>
        <v>0</v>
      </c>
      <c r="AY732" s="10">
        <f t="shared" si="5739"/>
        <v>0</v>
      </c>
      <c r="AZ732" s="10">
        <f t="shared" si="5739"/>
        <v>0</v>
      </c>
      <c r="BA732" s="10">
        <f t="shared" si="5739"/>
        <v>0</v>
      </c>
      <c r="BB732" s="10">
        <f t="shared" si="5739"/>
        <v>0</v>
      </c>
      <c r="BC732" s="10">
        <f t="shared" si="5739"/>
        <v>0</v>
      </c>
      <c r="BD732" s="10">
        <f t="shared" si="5739"/>
        <v>0</v>
      </c>
      <c r="BE732" s="10">
        <f t="shared" si="5739"/>
        <v>0</v>
      </c>
      <c r="BF732" s="10">
        <f t="shared" si="5739"/>
        <v>0</v>
      </c>
      <c r="BG732" s="10">
        <f t="shared" si="5739"/>
        <v>0</v>
      </c>
      <c r="BH732" s="10">
        <f t="shared" si="5739"/>
        <v>0</v>
      </c>
      <c r="BI732" s="10">
        <f t="shared" si="5739"/>
        <v>0</v>
      </c>
      <c r="BJ732" s="10">
        <f t="shared" si="5739"/>
        <v>0</v>
      </c>
      <c r="BK732" s="10">
        <f t="shared" si="5739"/>
        <v>0</v>
      </c>
      <c r="BL732" s="10">
        <f t="shared" si="5739"/>
        <v>0</v>
      </c>
      <c r="BM732" s="10">
        <f t="shared" si="5739"/>
        <v>0</v>
      </c>
      <c r="BN732" s="10">
        <f t="shared" si="5739"/>
        <v>0</v>
      </c>
      <c r="BO732" s="10">
        <f t="shared" si="5739"/>
        <v>0</v>
      </c>
      <c r="BP732" s="10">
        <f t="shared" si="5739"/>
        <v>0</v>
      </c>
      <c r="BQ732" s="10">
        <f t="shared" si="5739"/>
        <v>0</v>
      </c>
      <c r="BR732" s="10">
        <f t="shared" si="5739"/>
        <v>0</v>
      </c>
      <c r="BS732" s="10">
        <f t="shared" si="5739"/>
        <v>0</v>
      </c>
      <c r="BT732" s="10">
        <f t="shared" si="5739"/>
        <v>0</v>
      </c>
      <c r="BU732" s="10">
        <f t="shared" si="5739"/>
        <v>0</v>
      </c>
      <c r="BV732" s="10">
        <f t="shared" si="5739"/>
        <v>0</v>
      </c>
      <c r="BW732" s="10">
        <f t="shared" si="5739"/>
        <v>0</v>
      </c>
      <c r="BX732" s="10">
        <f t="shared" si="5739"/>
        <v>0</v>
      </c>
      <c r="BY732" s="10">
        <f t="shared" ref="BY732:CO732" si="5740" xml:space="preserve"> $E$727 * BY$713</f>
        <v>0</v>
      </c>
      <c r="BZ732" s="10">
        <f t="shared" si="5740"/>
        <v>0</v>
      </c>
      <c r="CA732" s="10">
        <f t="shared" si="5740"/>
        <v>0</v>
      </c>
      <c r="CB732" s="10">
        <f t="shared" si="5740"/>
        <v>0</v>
      </c>
      <c r="CC732" s="10">
        <f t="shared" si="5740"/>
        <v>0</v>
      </c>
      <c r="CD732" s="10">
        <f t="shared" si="5740"/>
        <v>0</v>
      </c>
      <c r="CE732" s="10">
        <f t="shared" si="5740"/>
        <v>0</v>
      </c>
      <c r="CF732" s="10">
        <f t="shared" si="5740"/>
        <v>0</v>
      </c>
      <c r="CG732" s="10">
        <f t="shared" si="5740"/>
        <v>0</v>
      </c>
      <c r="CH732" s="10">
        <f t="shared" si="5740"/>
        <v>0</v>
      </c>
      <c r="CI732" s="10">
        <f t="shared" si="5740"/>
        <v>0</v>
      </c>
      <c r="CJ732" s="10">
        <f t="shared" si="5740"/>
        <v>0</v>
      </c>
      <c r="CK732" s="10">
        <f t="shared" si="5740"/>
        <v>0</v>
      </c>
      <c r="CL732" s="10">
        <f t="shared" si="5740"/>
        <v>0</v>
      </c>
      <c r="CM732" s="10">
        <f t="shared" si="5740"/>
        <v>0</v>
      </c>
      <c r="CN732" s="10">
        <f t="shared" si="5740"/>
        <v>0</v>
      </c>
      <c r="CO732" s="10">
        <f t="shared" si="5740"/>
        <v>0</v>
      </c>
    </row>
    <row r="733" spans="1:93" s="141" customFormat="1" ht="12.5" hidden="1">
      <c r="B733" s="10"/>
      <c r="C733" s="21"/>
      <c r="D733" s="10"/>
      <c r="E733" s="62"/>
      <c r="F733" s="11"/>
      <c r="G733" s="11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  <c r="BB733" s="10"/>
      <c r="BC733" s="10"/>
      <c r="BD733" s="10"/>
      <c r="BE733" s="10"/>
      <c r="BF733" s="10"/>
      <c r="BG733" s="10"/>
      <c r="BH733" s="10"/>
      <c r="BI733" s="10"/>
      <c r="BJ733" s="10"/>
      <c r="BK733" s="10"/>
      <c r="BL733" s="10"/>
      <c r="BM733" s="10"/>
      <c r="BN733" s="10"/>
      <c r="BO733" s="10"/>
      <c r="BP733" s="10"/>
      <c r="BQ733" s="10"/>
      <c r="BR733" s="10"/>
      <c r="BS733" s="10"/>
      <c r="BT733" s="10"/>
      <c r="BU733" s="10"/>
      <c r="BV733" s="10"/>
      <c r="BW733" s="10"/>
      <c r="BX733" s="10"/>
      <c r="BY733" s="10"/>
      <c r="BZ733" s="10"/>
      <c r="CA733" s="10"/>
      <c r="CB733" s="10"/>
      <c r="CC733" s="10"/>
      <c r="CD733" s="10"/>
      <c r="CE733" s="10"/>
      <c r="CF733" s="10"/>
      <c r="CG733" s="10"/>
      <c r="CH733" s="10"/>
      <c r="CI733" s="10"/>
      <c r="CJ733" s="10"/>
      <c r="CK733" s="10"/>
      <c r="CL733" s="10"/>
      <c r="CM733" s="10"/>
      <c r="CN733" s="10"/>
      <c r="CO733" s="10"/>
    </row>
    <row r="734" spans="1:93" s="141" customFormat="1" ht="13" hidden="1">
      <c r="B734" s="10"/>
      <c r="C734" s="21"/>
      <c r="D734" s="10"/>
      <c r="E734" s="232"/>
      <c r="F734" s="11"/>
      <c r="G734" s="11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  <c r="BB734" s="10"/>
      <c r="BC734" s="10"/>
      <c r="BD734" s="10"/>
      <c r="BE734" s="10"/>
      <c r="BF734" s="10"/>
      <c r="BG734" s="10"/>
      <c r="BH734" s="10"/>
      <c r="BI734" s="10"/>
      <c r="BJ734" s="10"/>
      <c r="BK734" s="10"/>
      <c r="BL734" s="10"/>
      <c r="BM734" s="10"/>
      <c r="BN734" s="10"/>
      <c r="BO734" s="10"/>
      <c r="BP734" s="10"/>
      <c r="BQ734" s="10"/>
      <c r="BR734" s="10"/>
      <c r="BS734" s="10"/>
      <c r="BT734" s="10"/>
      <c r="BU734" s="10"/>
      <c r="BV734" s="10"/>
      <c r="BW734" s="10"/>
      <c r="BX734" s="10"/>
      <c r="BY734" s="10"/>
      <c r="BZ734" s="10"/>
      <c r="CA734" s="10"/>
      <c r="CB734" s="10"/>
      <c r="CC734" s="10"/>
      <c r="CD734" s="10"/>
      <c r="CE734" s="10"/>
      <c r="CF734" s="10"/>
      <c r="CG734" s="10"/>
      <c r="CH734" s="10"/>
      <c r="CI734" s="10"/>
      <c r="CJ734" s="10"/>
      <c r="CK734" s="10"/>
      <c r="CL734" s="10"/>
      <c r="CM734" s="10"/>
      <c r="CN734" s="10"/>
      <c r="CO734" s="10"/>
    </row>
    <row r="735" spans="1:93" s="141" customFormat="1" ht="12.5" hidden="1">
      <c r="B735" s="10"/>
      <c r="C735" s="21"/>
      <c r="D735" s="10"/>
      <c r="E735" s="62"/>
      <c r="F735" s="11"/>
      <c r="G735" s="11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  <c r="BB735" s="10"/>
      <c r="BC735" s="10"/>
      <c r="BD735" s="10"/>
      <c r="BE735" s="10"/>
      <c r="BF735" s="10"/>
      <c r="BG735" s="10"/>
      <c r="BH735" s="10"/>
      <c r="BI735" s="10"/>
      <c r="BJ735" s="10"/>
      <c r="BK735" s="10"/>
      <c r="BL735" s="10"/>
      <c r="BM735" s="10"/>
      <c r="BN735" s="10"/>
      <c r="BO735" s="10"/>
      <c r="BP735" s="10"/>
      <c r="BQ735" s="10"/>
      <c r="BR735" s="10"/>
      <c r="BS735" s="10"/>
      <c r="BT735" s="10"/>
      <c r="BU735" s="10"/>
      <c r="BV735" s="10"/>
      <c r="BW735" s="10"/>
      <c r="BX735" s="10"/>
      <c r="BY735" s="10"/>
      <c r="BZ735" s="10"/>
      <c r="CA735" s="10"/>
      <c r="CB735" s="10"/>
      <c r="CC735" s="10"/>
      <c r="CD735" s="10"/>
      <c r="CE735" s="10"/>
      <c r="CF735" s="10"/>
      <c r="CG735" s="10"/>
      <c r="CH735" s="10"/>
      <c r="CI735" s="10"/>
      <c r="CJ735" s="10"/>
      <c r="CK735" s="10"/>
      <c r="CL735" s="10"/>
      <c r="CM735" s="10"/>
      <c r="CN735" s="10"/>
      <c r="CO735" s="10"/>
    </row>
    <row r="736" spans="1:93" s="141" customFormat="1" ht="12.5" hidden="1">
      <c r="B736" s="10"/>
      <c r="C736" s="21"/>
      <c r="D736" s="10"/>
      <c r="E736" s="62"/>
      <c r="F736" s="11"/>
      <c r="G736" s="11"/>
      <c r="H736" s="10"/>
      <c r="I736" s="23">
        <f>SUM(L736:CO736)</f>
        <v>0</v>
      </c>
      <c r="J736" s="10"/>
      <c r="K736" s="10"/>
      <c r="L736" s="10">
        <f t="shared" ref="L736:AQ736" si="5741" xml:space="preserve"> SUM(L717:L718) * L731 / Thousand</f>
        <v>0</v>
      </c>
      <c r="M736" s="10">
        <f t="shared" si="5741"/>
        <v>0</v>
      </c>
      <c r="N736" s="10">
        <f t="shared" si="5741"/>
        <v>0</v>
      </c>
      <c r="O736" s="10">
        <f t="shared" si="5741"/>
        <v>0</v>
      </c>
      <c r="P736" s="10">
        <f t="shared" si="5741"/>
        <v>0</v>
      </c>
      <c r="Q736" s="10">
        <f t="shared" si="5741"/>
        <v>0</v>
      </c>
      <c r="R736" s="10">
        <f t="shared" si="5741"/>
        <v>0</v>
      </c>
      <c r="S736" s="10">
        <f t="shared" si="5741"/>
        <v>0</v>
      </c>
      <c r="T736" s="10">
        <f t="shared" si="5741"/>
        <v>0</v>
      </c>
      <c r="U736" s="10">
        <f t="shared" si="5741"/>
        <v>0</v>
      </c>
      <c r="V736" s="10">
        <f t="shared" si="5741"/>
        <v>0</v>
      </c>
      <c r="W736" s="10">
        <f t="shared" si="5741"/>
        <v>0</v>
      </c>
      <c r="X736" s="10">
        <f t="shared" si="5741"/>
        <v>0</v>
      </c>
      <c r="Y736" s="10">
        <f t="shared" si="5741"/>
        <v>0</v>
      </c>
      <c r="Z736" s="10">
        <f t="shared" si="5741"/>
        <v>0</v>
      </c>
      <c r="AA736" s="10">
        <f t="shared" si="5741"/>
        <v>0</v>
      </c>
      <c r="AB736" s="10">
        <f t="shared" si="5741"/>
        <v>0</v>
      </c>
      <c r="AC736" s="10">
        <f t="shared" si="5741"/>
        <v>0</v>
      </c>
      <c r="AD736" s="10">
        <f t="shared" si="5741"/>
        <v>0</v>
      </c>
      <c r="AE736" s="10">
        <f t="shared" si="5741"/>
        <v>0</v>
      </c>
      <c r="AF736" s="10">
        <f t="shared" si="5741"/>
        <v>0</v>
      </c>
      <c r="AG736" s="10">
        <f t="shared" si="5741"/>
        <v>0</v>
      </c>
      <c r="AH736" s="10">
        <f t="shared" si="5741"/>
        <v>0</v>
      </c>
      <c r="AI736" s="10">
        <f t="shared" si="5741"/>
        <v>0</v>
      </c>
      <c r="AJ736" s="10">
        <f t="shared" si="5741"/>
        <v>0</v>
      </c>
      <c r="AK736" s="10">
        <f t="shared" si="5741"/>
        <v>0</v>
      </c>
      <c r="AL736" s="10">
        <f t="shared" si="5741"/>
        <v>0</v>
      </c>
      <c r="AM736" s="10">
        <f t="shared" si="5741"/>
        <v>0</v>
      </c>
      <c r="AN736" s="10">
        <f t="shared" si="5741"/>
        <v>0</v>
      </c>
      <c r="AO736" s="10">
        <f t="shared" si="5741"/>
        <v>0</v>
      </c>
      <c r="AP736" s="10">
        <f t="shared" si="5741"/>
        <v>0</v>
      </c>
      <c r="AQ736" s="10">
        <f t="shared" si="5741"/>
        <v>0</v>
      </c>
      <c r="AR736" s="10">
        <f t="shared" ref="AR736:BW736" si="5742" xml:space="preserve"> SUM(AR717:AR718) * AR731 / Thousand</f>
        <v>0</v>
      </c>
      <c r="AS736" s="10">
        <f t="shared" si="5742"/>
        <v>0</v>
      </c>
      <c r="AT736" s="10">
        <f t="shared" si="5742"/>
        <v>0</v>
      </c>
      <c r="AU736" s="10">
        <f t="shared" si="5742"/>
        <v>0</v>
      </c>
      <c r="AV736" s="10">
        <f t="shared" si="5742"/>
        <v>0</v>
      </c>
      <c r="AW736" s="10">
        <f t="shared" si="5742"/>
        <v>0</v>
      </c>
      <c r="AX736" s="10">
        <f t="shared" si="5742"/>
        <v>0</v>
      </c>
      <c r="AY736" s="10">
        <f t="shared" si="5742"/>
        <v>0</v>
      </c>
      <c r="AZ736" s="10">
        <f t="shared" si="5742"/>
        <v>0</v>
      </c>
      <c r="BA736" s="10">
        <f t="shared" si="5742"/>
        <v>0</v>
      </c>
      <c r="BB736" s="10">
        <f t="shared" si="5742"/>
        <v>0</v>
      </c>
      <c r="BC736" s="10">
        <f t="shared" si="5742"/>
        <v>0</v>
      </c>
      <c r="BD736" s="10">
        <f t="shared" si="5742"/>
        <v>0</v>
      </c>
      <c r="BE736" s="10">
        <f t="shared" si="5742"/>
        <v>0</v>
      </c>
      <c r="BF736" s="10">
        <f t="shared" si="5742"/>
        <v>0</v>
      </c>
      <c r="BG736" s="10">
        <f t="shared" si="5742"/>
        <v>0</v>
      </c>
      <c r="BH736" s="10">
        <f t="shared" si="5742"/>
        <v>0</v>
      </c>
      <c r="BI736" s="10">
        <f t="shared" si="5742"/>
        <v>0</v>
      </c>
      <c r="BJ736" s="10">
        <f t="shared" si="5742"/>
        <v>0</v>
      </c>
      <c r="BK736" s="10">
        <f t="shared" si="5742"/>
        <v>0</v>
      </c>
      <c r="BL736" s="10">
        <f t="shared" si="5742"/>
        <v>0</v>
      </c>
      <c r="BM736" s="10">
        <f t="shared" si="5742"/>
        <v>0</v>
      </c>
      <c r="BN736" s="10">
        <f t="shared" si="5742"/>
        <v>0</v>
      </c>
      <c r="BO736" s="10">
        <f t="shared" si="5742"/>
        <v>0</v>
      </c>
      <c r="BP736" s="10">
        <f t="shared" si="5742"/>
        <v>0</v>
      </c>
      <c r="BQ736" s="10">
        <f t="shared" si="5742"/>
        <v>0</v>
      </c>
      <c r="BR736" s="10">
        <f t="shared" si="5742"/>
        <v>0</v>
      </c>
      <c r="BS736" s="10">
        <f t="shared" si="5742"/>
        <v>0</v>
      </c>
      <c r="BT736" s="10">
        <f t="shared" si="5742"/>
        <v>0</v>
      </c>
      <c r="BU736" s="10">
        <f t="shared" si="5742"/>
        <v>0</v>
      </c>
      <c r="BV736" s="10">
        <f t="shared" si="5742"/>
        <v>0</v>
      </c>
      <c r="BW736" s="10">
        <f t="shared" si="5742"/>
        <v>0</v>
      </c>
      <c r="BX736" s="10">
        <f t="shared" ref="BX736:CO736" si="5743" xml:space="preserve"> SUM(BX717:BX718) * BX731 / Thousand</f>
        <v>0</v>
      </c>
      <c r="BY736" s="10">
        <f t="shared" si="5743"/>
        <v>0</v>
      </c>
      <c r="BZ736" s="10">
        <f t="shared" si="5743"/>
        <v>0</v>
      </c>
      <c r="CA736" s="10">
        <f t="shared" si="5743"/>
        <v>0</v>
      </c>
      <c r="CB736" s="10">
        <f t="shared" si="5743"/>
        <v>0</v>
      </c>
      <c r="CC736" s="10">
        <f t="shared" si="5743"/>
        <v>0</v>
      </c>
      <c r="CD736" s="10">
        <f t="shared" si="5743"/>
        <v>0</v>
      </c>
      <c r="CE736" s="10">
        <f t="shared" si="5743"/>
        <v>0</v>
      </c>
      <c r="CF736" s="10">
        <f t="shared" si="5743"/>
        <v>0</v>
      </c>
      <c r="CG736" s="10">
        <f t="shared" si="5743"/>
        <v>0</v>
      </c>
      <c r="CH736" s="10">
        <f t="shared" si="5743"/>
        <v>0</v>
      </c>
      <c r="CI736" s="10">
        <f t="shared" si="5743"/>
        <v>0</v>
      </c>
      <c r="CJ736" s="10">
        <f t="shared" si="5743"/>
        <v>0</v>
      </c>
      <c r="CK736" s="10">
        <f t="shared" si="5743"/>
        <v>0</v>
      </c>
      <c r="CL736" s="10">
        <f t="shared" si="5743"/>
        <v>0</v>
      </c>
      <c r="CM736" s="10">
        <f t="shared" si="5743"/>
        <v>0</v>
      </c>
      <c r="CN736" s="10">
        <f t="shared" si="5743"/>
        <v>0</v>
      </c>
      <c r="CO736" s="10">
        <f t="shared" si="5743"/>
        <v>0</v>
      </c>
    </row>
    <row r="737" spans="1:93" s="141" customFormat="1" ht="12.5" hidden="1">
      <c r="B737" s="10"/>
      <c r="C737" s="21"/>
      <c r="D737" s="10"/>
      <c r="E737" s="62"/>
      <c r="F737" s="11"/>
      <c r="G737" s="11"/>
      <c r="H737" s="10"/>
      <c r="I737" s="23">
        <f>SUM(L737:CO737)</f>
        <v>0</v>
      </c>
      <c r="J737" s="10"/>
      <c r="K737" s="10"/>
      <c r="L737" s="10">
        <f t="shared" ref="L737:AQ737" si="5744" xml:space="preserve"> SUM(L721:L722) * L732 / Thousand</f>
        <v>0</v>
      </c>
      <c r="M737" s="10">
        <f t="shared" si="5744"/>
        <v>0</v>
      </c>
      <c r="N737" s="10">
        <f t="shared" si="5744"/>
        <v>0</v>
      </c>
      <c r="O737" s="10">
        <f t="shared" si="5744"/>
        <v>0</v>
      </c>
      <c r="P737" s="10">
        <f t="shared" si="5744"/>
        <v>0</v>
      </c>
      <c r="Q737" s="10">
        <f t="shared" si="5744"/>
        <v>0</v>
      </c>
      <c r="R737" s="10">
        <f t="shared" si="5744"/>
        <v>0</v>
      </c>
      <c r="S737" s="10">
        <f t="shared" si="5744"/>
        <v>0</v>
      </c>
      <c r="T737" s="10">
        <f t="shared" si="5744"/>
        <v>0</v>
      </c>
      <c r="U737" s="10">
        <f t="shared" si="5744"/>
        <v>0</v>
      </c>
      <c r="V737" s="10">
        <f t="shared" si="5744"/>
        <v>0</v>
      </c>
      <c r="W737" s="10">
        <f t="shared" si="5744"/>
        <v>0</v>
      </c>
      <c r="X737" s="10">
        <f t="shared" si="5744"/>
        <v>0</v>
      </c>
      <c r="Y737" s="10">
        <f t="shared" si="5744"/>
        <v>0</v>
      </c>
      <c r="Z737" s="10">
        <f t="shared" si="5744"/>
        <v>0</v>
      </c>
      <c r="AA737" s="10">
        <f t="shared" si="5744"/>
        <v>0</v>
      </c>
      <c r="AB737" s="10">
        <f t="shared" si="5744"/>
        <v>0</v>
      </c>
      <c r="AC737" s="10">
        <f t="shared" si="5744"/>
        <v>0</v>
      </c>
      <c r="AD737" s="10">
        <f t="shared" si="5744"/>
        <v>0</v>
      </c>
      <c r="AE737" s="10">
        <f t="shared" si="5744"/>
        <v>0</v>
      </c>
      <c r="AF737" s="10">
        <f t="shared" si="5744"/>
        <v>0</v>
      </c>
      <c r="AG737" s="10">
        <f t="shared" si="5744"/>
        <v>0</v>
      </c>
      <c r="AH737" s="10">
        <f t="shared" si="5744"/>
        <v>0</v>
      </c>
      <c r="AI737" s="10">
        <f t="shared" si="5744"/>
        <v>0</v>
      </c>
      <c r="AJ737" s="10">
        <f t="shared" si="5744"/>
        <v>0</v>
      </c>
      <c r="AK737" s="10">
        <f t="shared" si="5744"/>
        <v>0</v>
      </c>
      <c r="AL737" s="10">
        <f t="shared" si="5744"/>
        <v>0</v>
      </c>
      <c r="AM737" s="10">
        <f t="shared" si="5744"/>
        <v>0</v>
      </c>
      <c r="AN737" s="10">
        <f t="shared" si="5744"/>
        <v>0</v>
      </c>
      <c r="AO737" s="10">
        <f t="shared" si="5744"/>
        <v>0</v>
      </c>
      <c r="AP737" s="10">
        <f t="shared" si="5744"/>
        <v>0</v>
      </c>
      <c r="AQ737" s="10">
        <f t="shared" si="5744"/>
        <v>0</v>
      </c>
      <c r="AR737" s="10">
        <f t="shared" ref="AR737:BW737" si="5745" xml:space="preserve"> SUM(AR721:AR722) * AR732 / Thousand</f>
        <v>0</v>
      </c>
      <c r="AS737" s="10">
        <f t="shared" si="5745"/>
        <v>0</v>
      </c>
      <c r="AT737" s="10">
        <f t="shared" si="5745"/>
        <v>0</v>
      </c>
      <c r="AU737" s="10">
        <f t="shared" si="5745"/>
        <v>0</v>
      </c>
      <c r="AV737" s="10">
        <f t="shared" si="5745"/>
        <v>0</v>
      </c>
      <c r="AW737" s="10">
        <f t="shared" si="5745"/>
        <v>0</v>
      </c>
      <c r="AX737" s="10">
        <f t="shared" si="5745"/>
        <v>0</v>
      </c>
      <c r="AY737" s="10">
        <f t="shared" si="5745"/>
        <v>0</v>
      </c>
      <c r="AZ737" s="10">
        <f t="shared" si="5745"/>
        <v>0</v>
      </c>
      <c r="BA737" s="10">
        <f t="shared" si="5745"/>
        <v>0</v>
      </c>
      <c r="BB737" s="10">
        <f t="shared" si="5745"/>
        <v>0</v>
      </c>
      <c r="BC737" s="10">
        <f t="shared" si="5745"/>
        <v>0</v>
      </c>
      <c r="BD737" s="10">
        <f t="shared" si="5745"/>
        <v>0</v>
      </c>
      <c r="BE737" s="10">
        <f t="shared" si="5745"/>
        <v>0</v>
      </c>
      <c r="BF737" s="10">
        <f t="shared" si="5745"/>
        <v>0</v>
      </c>
      <c r="BG737" s="10">
        <f t="shared" si="5745"/>
        <v>0</v>
      </c>
      <c r="BH737" s="10">
        <f t="shared" si="5745"/>
        <v>0</v>
      </c>
      <c r="BI737" s="10">
        <f t="shared" si="5745"/>
        <v>0</v>
      </c>
      <c r="BJ737" s="10">
        <f t="shared" si="5745"/>
        <v>0</v>
      </c>
      <c r="BK737" s="10">
        <f t="shared" si="5745"/>
        <v>0</v>
      </c>
      <c r="BL737" s="10">
        <f t="shared" si="5745"/>
        <v>0</v>
      </c>
      <c r="BM737" s="10">
        <f t="shared" si="5745"/>
        <v>0</v>
      </c>
      <c r="BN737" s="10">
        <f t="shared" si="5745"/>
        <v>0</v>
      </c>
      <c r="BO737" s="10">
        <f t="shared" si="5745"/>
        <v>0</v>
      </c>
      <c r="BP737" s="10">
        <f t="shared" si="5745"/>
        <v>0</v>
      </c>
      <c r="BQ737" s="10">
        <f t="shared" si="5745"/>
        <v>0</v>
      </c>
      <c r="BR737" s="10">
        <f t="shared" si="5745"/>
        <v>0</v>
      </c>
      <c r="BS737" s="10">
        <f t="shared" si="5745"/>
        <v>0</v>
      </c>
      <c r="BT737" s="10">
        <f t="shared" si="5745"/>
        <v>0</v>
      </c>
      <c r="BU737" s="10">
        <f t="shared" si="5745"/>
        <v>0</v>
      </c>
      <c r="BV737" s="10">
        <f t="shared" si="5745"/>
        <v>0</v>
      </c>
      <c r="BW737" s="10">
        <f t="shared" si="5745"/>
        <v>0</v>
      </c>
      <c r="BX737" s="10">
        <f t="shared" ref="BX737:CO737" si="5746" xml:space="preserve"> SUM(BX721:BX722) * BX732 / Thousand</f>
        <v>0</v>
      </c>
      <c r="BY737" s="10">
        <f t="shared" si="5746"/>
        <v>0</v>
      </c>
      <c r="BZ737" s="10">
        <f t="shared" si="5746"/>
        <v>0</v>
      </c>
      <c r="CA737" s="10">
        <f t="shared" si="5746"/>
        <v>0</v>
      </c>
      <c r="CB737" s="10">
        <f t="shared" si="5746"/>
        <v>0</v>
      </c>
      <c r="CC737" s="10">
        <f t="shared" si="5746"/>
        <v>0</v>
      </c>
      <c r="CD737" s="10">
        <f t="shared" si="5746"/>
        <v>0</v>
      </c>
      <c r="CE737" s="10">
        <f t="shared" si="5746"/>
        <v>0</v>
      </c>
      <c r="CF737" s="10">
        <f t="shared" si="5746"/>
        <v>0</v>
      </c>
      <c r="CG737" s="10">
        <f t="shared" si="5746"/>
        <v>0</v>
      </c>
      <c r="CH737" s="10">
        <f t="shared" si="5746"/>
        <v>0</v>
      </c>
      <c r="CI737" s="10">
        <f t="shared" si="5746"/>
        <v>0</v>
      </c>
      <c r="CJ737" s="10">
        <f t="shared" si="5746"/>
        <v>0</v>
      </c>
      <c r="CK737" s="10">
        <f t="shared" si="5746"/>
        <v>0</v>
      </c>
      <c r="CL737" s="10">
        <f t="shared" si="5746"/>
        <v>0</v>
      </c>
      <c r="CM737" s="10">
        <f t="shared" si="5746"/>
        <v>0</v>
      </c>
      <c r="CN737" s="10">
        <f t="shared" si="5746"/>
        <v>0</v>
      </c>
      <c r="CO737" s="10">
        <f t="shared" si="5746"/>
        <v>0</v>
      </c>
    </row>
    <row r="738" spans="1:93" s="141" customFormat="1" ht="13" hidden="1" thickBot="1">
      <c r="B738" s="10"/>
      <c r="C738" s="21"/>
      <c r="D738" s="10"/>
      <c r="E738" s="62"/>
      <c r="F738" s="11"/>
      <c r="G738" s="11"/>
      <c r="H738" s="10"/>
      <c r="I738" s="23">
        <f>SUM(L738:CO738)</f>
        <v>0</v>
      </c>
      <c r="J738" s="10"/>
      <c r="K738" s="10"/>
      <c r="L738" s="10">
        <f t="shared" ref="L738:R738" si="5747">SUM(L736:L737) * $E$734</f>
        <v>0</v>
      </c>
      <c r="M738" s="10">
        <f t="shared" si="5747"/>
        <v>0</v>
      </c>
      <c r="N738" s="10">
        <f t="shared" si="5747"/>
        <v>0</v>
      </c>
      <c r="O738" s="10">
        <f t="shared" si="5747"/>
        <v>0</v>
      </c>
      <c r="P738" s="10">
        <f t="shared" si="5747"/>
        <v>0</v>
      </c>
      <c r="Q738" s="10">
        <f t="shared" si="5747"/>
        <v>0</v>
      </c>
      <c r="R738" s="10">
        <f t="shared" si="5747"/>
        <v>0</v>
      </c>
      <c r="S738" s="10">
        <f t="shared" ref="S738" si="5748">SUM(S736:S737) * $E$734</f>
        <v>0</v>
      </c>
      <c r="T738" s="10">
        <f t="shared" ref="T738:CE738" si="5749">SUM(T736:T737) * $E$734</f>
        <v>0</v>
      </c>
      <c r="U738" s="10">
        <f t="shared" si="5749"/>
        <v>0</v>
      </c>
      <c r="V738" s="10">
        <f t="shared" si="5749"/>
        <v>0</v>
      </c>
      <c r="W738" s="10">
        <f t="shared" si="5749"/>
        <v>0</v>
      </c>
      <c r="X738" s="10">
        <f t="shared" si="5749"/>
        <v>0</v>
      </c>
      <c r="Y738" s="10">
        <f t="shared" si="5749"/>
        <v>0</v>
      </c>
      <c r="Z738" s="10">
        <f t="shared" si="5749"/>
        <v>0</v>
      </c>
      <c r="AA738" s="10">
        <f t="shared" si="5749"/>
        <v>0</v>
      </c>
      <c r="AB738" s="10">
        <f t="shared" si="5749"/>
        <v>0</v>
      </c>
      <c r="AC738" s="10">
        <f t="shared" si="5749"/>
        <v>0</v>
      </c>
      <c r="AD738" s="10">
        <f t="shared" si="5749"/>
        <v>0</v>
      </c>
      <c r="AE738" s="10">
        <f t="shared" si="5749"/>
        <v>0</v>
      </c>
      <c r="AF738" s="10">
        <f t="shared" si="5749"/>
        <v>0</v>
      </c>
      <c r="AG738" s="10">
        <f t="shared" si="5749"/>
        <v>0</v>
      </c>
      <c r="AH738" s="10">
        <f t="shared" si="5749"/>
        <v>0</v>
      </c>
      <c r="AI738" s="10">
        <f t="shared" si="5749"/>
        <v>0</v>
      </c>
      <c r="AJ738" s="10">
        <f t="shared" si="5749"/>
        <v>0</v>
      </c>
      <c r="AK738" s="10">
        <f t="shared" si="5749"/>
        <v>0</v>
      </c>
      <c r="AL738" s="10">
        <f t="shared" si="5749"/>
        <v>0</v>
      </c>
      <c r="AM738" s="10">
        <f t="shared" si="5749"/>
        <v>0</v>
      </c>
      <c r="AN738" s="10">
        <f t="shared" si="5749"/>
        <v>0</v>
      </c>
      <c r="AO738" s="10">
        <f t="shared" si="5749"/>
        <v>0</v>
      </c>
      <c r="AP738" s="10">
        <f t="shared" si="5749"/>
        <v>0</v>
      </c>
      <c r="AQ738" s="10">
        <f t="shared" si="5749"/>
        <v>0</v>
      </c>
      <c r="AR738" s="10">
        <f t="shared" si="5749"/>
        <v>0</v>
      </c>
      <c r="AS738" s="10">
        <f t="shared" si="5749"/>
        <v>0</v>
      </c>
      <c r="AT738" s="10">
        <f t="shared" si="5749"/>
        <v>0</v>
      </c>
      <c r="AU738" s="10">
        <f t="shared" si="5749"/>
        <v>0</v>
      </c>
      <c r="AV738" s="10">
        <f t="shared" si="5749"/>
        <v>0</v>
      </c>
      <c r="AW738" s="10">
        <f t="shared" si="5749"/>
        <v>0</v>
      </c>
      <c r="AX738" s="10">
        <f t="shared" si="5749"/>
        <v>0</v>
      </c>
      <c r="AY738" s="10">
        <f t="shared" si="5749"/>
        <v>0</v>
      </c>
      <c r="AZ738" s="10">
        <f t="shared" si="5749"/>
        <v>0</v>
      </c>
      <c r="BA738" s="10">
        <f t="shared" si="5749"/>
        <v>0</v>
      </c>
      <c r="BB738" s="10">
        <f t="shared" si="5749"/>
        <v>0</v>
      </c>
      <c r="BC738" s="10">
        <f t="shared" si="5749"/>
        <v>0</v>
      </c>
      <c r="BD738" s="10">
        <f t="shared" si="5749"/>
        <v>0</v>
      </c>
      <c r="BE738" s="10">
        <f t="shared" si="5749"/>
        <v>0</v>
      </c>
      <c r="BF738" s="10">
        <f t="shared" si="5749"/>
        <v>0</v>
      </c>
      <c r="BG738" s="10">
        <f t="shared" si="5749"/>
        <v>0</v>
      </c>
      <c r="BH738" s="10">
        <f t="shared" si="5749"/>
        <v>0</v>
      </c>
      <c r="BI738" s="10">
        <f t="shared" si="5749"/>
        <v>0</v>
      </c>
      <c r="BJ738" s="10">
        <f t="shared" si="5749"/>
        <v>0</v>
      </c>
      <c r="BK738" s="10">
        <f t="shared" si="5749"/>
        <v>0</v>
      </c>
      <c r="BL738" s="10">
        <f t="shared" si="5749"/>
        <v>0</v>
      </c>
      <c r="BM738" s="10">
        <f t="shared" si="5749"/>
        <v>0</v>
      </c>
      <c r="BN738" s="10">
        <f t="shared" si="5749"/>
        <v>0</v>
      </c>
      <c r="BO738" s="10">
        <f t="shared" si="5749"/>
        <v>0</v>
      </c>
      <c r="BP738" s="10">
        <f t="shared" si="5749"/>
        <v>0</v>
      </c>
      <c r="BQ738" s="10">
        <f t="shared" si="5749"/>
        <v>0</v>
      </c>
      <c r="BR738" s="10">
        <f t="shared" si="5749"/>
        <v>0</v>
      </c>
      <c r="BS738" s="10">
        <f t="shared" si="5749"/>
        <v>0</v>
      </c>
      <c r="BT738" s="10">
        <f t="shared" si="5749"/>
        <v>0</v>
      </c>
      <c r="BU738" s="10">
        <f t="shared" si="5749"/>
        <v>0</v>
      </c>
      <c r="BV738" s="10">
        <f t="shared" si="5749"/>
        <v>0</v>
      </c>
      <c r="BW738" s="10">
        <f t="shared" si="5749"/>
        <v>0</v>
      </c>
      <c r="BX738" s="10">
        <f t="shared" si="5749"/>
        <v>0</v>
      </c>
      <c r="BY738" s="10">
        <f t="shared" si="5749"/>
        <v>0</v>
      </c>
      <c r="BZ738" s="10">
        <f t="shared" si="5749"/>
        <v>0</v>
      </c>
      <c r="CA738" s="10">
        <f t="shared" si="5749"/>
        <v>0</v>
      </c>
      <c r="CB738" s="10">
        <f t="shared" si="5749"/>
        <v>0</v>
      </c>
      <c r="CC738" s="10">
        <f t="shared" si="5749"/>
        <v>0</v>
      </c>
      <c r="CD738" s="10">
        <f t="shared" si="5749"/>
        <v>0</v>
      </c>
      <c r="CE738" s="10">
        <f t="shared" si="5749"/>
        <v>0</v>
      </c>
      <c r="CF738" s="10">
        <f t="shared" ref="CF738:CO738" si="5750">SUM(CF736:CF737) * $E$734</f>
        <v>0</v>
      </c>
      <c r="CG738" s="10">
        <f t="shared" si="5750"/>
        <v>0</v>
      </c>
      <c r="CH738" s="10">
        <f t="shared" si="5750"/>
        <v>0</v>
      </c>
      <c r="CI738" s="10">
        <f t="shared" si="5750"/>
        <v>0</v>
      </c>
      <c r="CJ738" s="10">
        <f t="shared" si="5750"/>
        <v>0</v>
      </c>
      <c r="CK738" s="10">
        <f t="shared" si="5750"/>
        <v>0</v>
      </c>
      <c r="CL738" s="10">
        <f t="shared" si="5750"/>
        <v>0</v>
      </c>
      <c r="CM738" s="10">
        <f t="shared" si="5750"/>
        <v>0</v>
      </c>
      <c r="CN738" s="10">
        <f t="shared" si="5750"/>
        <v>0</v>
      </c>
      <c r="CO738" s="10">
        <f t="shared" si="5750"/>
        <v>0</v>
      </c>
    </row>
    <row r="739" spans="1:93" ht="15" hidden="1" thickTop="1">
      <c r="B739" s="101"/>
      <c r="C739" s="49"/>
      <c r="D739" s="49"/>
      <c r="E739" s="136"/>
      <c r="F739" s="49"/>
      <c r="G739" s="159"/>
      <c r="H739" s="49"/>
      <c r="I739" s="23">
        <f>SUM(L739:CO739)</f>
        <v>0</v>
      </c>
      <c r="J739" s="49"/>
      <c r="K739" s="49"/>
      <c r="L739" s="49">
        <f t="shared" ref="L739:R739" si="5751" xml:space="preserve"> SUM(L736:L738)</f>
        <v>0</v>
      </c>
      <c r="M739" s="49">
        <f t="shared" si="5751"/>
        <v>0</v>
      </c>
      <c r="N739" s="49">
        <f t="shared" si="5751"/>
        <v>0</v>
      </c>
      <c r="O739" s="49">
        <f t="shared" si="5751"/>
        <v>0</v>
      </c>
      <c r="P739" s="49">
        <f t="shared" si="5751"/>
        <v>0</v>
      </c>
      <c r="Q739" s="49">
        <f t="shared" si="5751"/>
        <v>0</v>
      </c>
      <c r="R739" s="49">
        <f t="shared" si="5751"/>
        <v>0</v>
      </c>
      <c r="S739" s="49">
        <f t="shared" ref="S739" si="5752" xml:space="preserve"> SUM(S736:S738)</f>
        <v>0</v>
      </c>
      <c r="T739" s="49">
        <f t="shared" ref="T739:CE739" si="5753" xml:space="preserve"> SUM(T736:T738)</f>
        <v>0</v>
      </c>
      <c r="U739" s="49">
        <f t="shared" si="5753"/>
        <v>0</v>
      </c>
      <c r="V739" s="49">
        <f t="shared" si="5753"/>
        <v>0</v>
      </c>
      <c r="W739" s="49">
        <f t="shared" si="5753"/>
        <v>0</v>
      </c>
      <c r="X739" s="49">
        <f t="shared" si="5753"/>
        <v>0</v>
      </c>
      <c r="Y739" s="49">
        <f t="shared" si="5753"/>
        <v>0</v>
      </c>
      <c r="Z739" s="49">
        <f t="shared" si="5753"/>
        <v>0</v>
      </c>
      <c r="AA739" s="49">
        <f t="shared" si="5753"/>
        <v>0</v>
      </c>
      <c r="AB739" s="49">
        <f t="shared" si="5753"/>
        <v>0</v>
      </c>
      <c r="AC739" s="49">
        <f t="shared" si="5753"/>
        <v>0</v>
      </c>
      <c r="AD739" s="49">
        <f t="shared" si="5753"/>
        <v>0</v>
      </c>
      <c r="AE739" s="49">
        <f t="shared" si="5753"/>
        <v>0</v>
      </c>
      <c r="AF739" s="49">
        <f t="shared" si="5753"/>
        <v>0</v>
      </c>
      <c r="AG739" s="49">
        <f t="shared" si="5753"/>
        <v>0</v>
      </c>
      <c r="AH739" s="49">
        <f t="shared" si="5753"/>
        <v>0</v>
      </c>
      <c r="AI739" s="49">
        <f t="shared" si="5753"/>
        <v>0</v>
      </c>
      <c r="AJ739" s="49">
        <f t="shared" si="5753"/>
        <v>0</v>
      </c>
      <c r="AK739" s="49">
        <f t="shared" si="5753"/>
        <v>0</v>
      </c>
      <c r="AL739" s="49">
        <f t="shared" si="5753"/>
        <v>0</v>
      </c>
      <c r="AM739" s="49">
        <f t="shared" si="5753"/>
        <v>0</v>
      </c>
      <c r="AN739" s="49">
        <f t="shared" si="5753"/>
        <v>0</v>
      </c>
      <c r="AO739" s="49">
        <f t="shared" si="5753"/>
        <v>0</v>
      </c>
      <c r="AP739" s="49">
        <f t="shared" si="5753"/>
        <v>0</v>
      </c>
      <c r="AQ739" s="49">
        <f t="shared" si="5753"/>
        <v>0</v>
      </c>
      <c r="AR739" s="49">
        <f t="shared" si="5753"/>
        <v>0</v>
      </c>
      <c r="AS739" s="49">
        <f t="shared" si="5753"/>
        <v>0</v>
      </c>
      <c r="AT739" s="49">
        <f t="shared" si="5753"/>
        <v>0</v>
      </c>
      <c r="AU739" s="49">
        <f t="shared" si="5753"/>
        <v>0</v>
      </c>
      <c r="AV739" s="49">
        <f t="shared" si="5753"/>
        <v>0</v>
      </c>
      <c r="AW739" s="49">
        <f t="shared" si="5753"/>
        <v>0</v>
      </c>
      <c r="AX739" s="49">
        <f t="shared" si="5753"/>
        <v>0</v>
      </c>
      <c r="AY739" s="49">
        <f t="shared" si="5753"/>
        <v>0</v>
      </c>
      <c r="AZ739" s="49">
        <f t="shared" si="5753"/>
        <v>0</v>
      </c>
      <c r="BA739" s="49">
        <f t="shared" si="5753"/>
        <v>0</v>
      </c>
      <c r="BB739" s="49">
        <f t="shared" si="5753"/>
        <v>0</v>
      </c>
      <c r="BC739" s="49">
        <f t="shared" si="5753"/>
        <v>0</v>
      </c>
      <c r="BD739" s="49">
        <f t="shared" si="5753"/>
        <v>0</v>
      </c>
      <c r="BE739" s="49">
        <f t="shared" si="5753"/>
        <v>0</v>
      </c>
      <c r="BF739" s="49">
        <f t="shared" si="5753"/>
        <v>0</v>
      </c>
      <c r="BG739" s="49">
        <f t="shared" si="5753"/>
        <v>0</v>
      </c>
      <c r="BH739" s="49">
        <f t="shared" si="5753"/>
        <v>0</v>
      </c>
      <c r="BI739" s="49">
        <f t="shared" si="5753"/>
        <v>0</v>
      </c>
      <c r="BJ739" s="49">
        <f t="shared" si="5753"/>
        <v>0</v>
      </c>
      <c r="BK739" s="49">
        <f t="shared" si="5753"/>
        <v>0</v>
      </c>
      <c r="BL739" s="49">
        <f t="shared" si="5753"/>
        <v>0</v>
      </c>
      <c r="BM739" s="49">
        <f t="shared" si="5753"/>
        <v>0</v>
      </c>
      <c r="BN739" s="49">
        <f t="shared" si="5753"/>
        <v>0</v>
      </c>
      <c r="BO739" s="49">
        <f t="shared" si="5753"/>
        <v>0</v>
      </c>
      <c r="BP739" s="49">
        <f t="shared" si="5753"/>
        <v>0</v>
      </c>
      <c r="BQ739" s="49">
        <f t="shared" si="5753"/>
        <v>0</v>
      </c>
      <c r="BR739" s="49">
        <f t="shared" si="5753"/>
        <v>0</v>
      </c>
      <c r="BS739" s="49">
        <f t="shared" si="5753"/>
        <v>0</v>
      </c>
      <c r="BT739" s="49">
        <f t="shared" si="5753"/>
        <v>0</v>
      </c>
      <c r="BU739" s="49">
        <f t="shared" si="5753"/>
        <v>0</v>
      </c>
      <c r="BV739" s="49">
        <f t="shared" si="5753"/>
        <v>0</v>
      </c>
      <c r="BW739" s="49">
        <f t="shared" si="5753"/>
        <v>0</v>
      </c>
      <c r="BX739" s="49">
        <f t="shared" si="5753"/>
        <v>0</v>
      </c>
      <c r="BY739" s="49">
        <f t="shared" si="5753"/>
        <v>0</v>
      </c>
      <c r="BZ739" s="49">
        <f t="shared" si="5753"/>
        <v>0</v>
      </c>
      <c r="CA739" s="49">
        <f t="shared" si="5753"/>
        <v>0</v>
      </c>
      <c r="CB739" s="49">
        <f t="shared" si="5753"/>
        <v>0</v>
      </c>
      <c r="CC739" s="49">
        <f t="shared" si="5753"/>
        <v>0</v>
      </c>
      <c r="CD739" s="49">
        <f t="shared" si="5753"/>
        <v>0</v>
      </c>
      <c r="CE739" s="49">
        <f t="shared" si="5753"/>
        <v>0</v>
      </c>
      <c r="CF739" s="49">
        <f t="shared" ref="CF739:CO739" si="5754" xml:space="preserve"> SUM(CF736:CF738)</f>
        <v>0</v>
      </c>
      <c r="CG739" s="49">
        <f t="shared" si="5754"/>
        <v>0</v>
      </c>
      <c r="CH739" s="49">
        <f t="shared" si="5754"/>
        <v>0</v>
      </c>
      <c r="CI739" s="49">
        <f t="shared" si="5754"/>
        <v>0</v>
      </c>
      <c r="CJ739" s="49">
        <f t="shared" si="5754"/>
        <v>0</v>
      </c>
      <c r="CK739" s="49">
        <f t="shared" si="5754"/>
        <v>0</v>
      </c>
      <c r="CL739" s="49">
        <f t="shared" si="5754"/>
        <v>0</v>
      </c>
      <c r="CM739" s="49">
        <f t="shared" si="5754"/>
        <v>0</v>
      </c>
      <c r="CN739" s="49">
        <f t="shared" si="5754"/>
        <v>0</v>
      </c>
      <c r="CO739" s="49">
        <f t="shared" si="5754"/>
        <v>0</v>
      </c>
    </row>
    <row r="740" spans="1:93" s="141" customFormat="1" ht="12.5" hidden="1">
      <c r="B740" s="10"/>
      <c r="C740" s="21"/>
      <c r="D740" s="10"/>
      <c r="E740" s="62"/>
      <c r="F740" s="11"/>
      <c r="G740" s="11"/>
      <c r="H740" s="10"/>
      <c r="I740" s="10"/>
      <c r="J740" s="10"/>
      <c r="K740" s="10"/>
      <c r="L740" s="170"/>
      <c r="M740" s="170"/>
      <c r="N740" s="170"/>
      <c r="O740" s="170"/>
      <c r="P740" s="170"/>
      <c r="Q740" s="170"/>
      <c r="R740" s="170"/>
      <c r="S740" s="170"/>
      <c r="T740" s="170"/>
      <c r="U740" s="170"/>
      <c r="V740" s="170"/>
      <c r="W740" s="170"/>
      <c r="X740" s="170"/>
      <c r="Y740" s="170"/>
      <c r="Z740" s="170"/>
      <c r="AA740" s="170"/>
      <c r="AB740" s="170"/>
      <c r="AC740" s="170"/>
      <c r="AD740" s="170"/>
      <c r="AE740" s="170"/>
      <c r="AF740" s="170"/>
      <c r="AG740" s="170"/>
      <c r="AH740" s="170"/>
      <c r="AI740" s="170"/>
      <c r="AJ740" s="170"/>
      <c r="AK740" s="170"/>
      <c r="AL740" s="170"/>
      <c r="AM740" s="170"/>
      <c r="AN740" s="170"/>
      <c r="AO740" s="170"/>
      <c r="AP740" s="170"/>
      <c r="AQ740" s="170"/>
      <c r="AR740" s="170"/>
      <c r="AS740" s="170"/>
      <c r="AT740" s="170"/>
      <c r="AU740" s="170"/>
      <c r="AV740" s="170"/>
      <c r="AW740" s="170"/>
      <c r="AX740" s="170"/>
      <c r="AY740" s="170"/>
      <c r="AZ740" s="170"/>
      <c r="BA740" s="170"/>
      <c r="BB740" s="170"/>
      <c r="BC740" s="170"/>
      <c r="BD740" s="170"/>
      <c r="BE740" s="170"/>
      <c r="BF740" s="170"/>
      <c r="BG740" s="170"/>
      <c r="BH740" s="170"/>
      <c r="BI740" s="170"/>
      <c r="BJ740" s="170"/>
      <c r="BK740" s="170"/>
      <c r="BL740" s="170"/>
      <c r="BM740" s="170"/>
      <c r="BN740" s="170"/>
      <c r="BO740" s="170"/>
      <c r="BP740" s="170"/>
      <c r="BQ740" s="170"/>
      <c r="BR740" s="170"/>
      <c r="BS740" s="170"/>
      <c r="BT740" s="170"/>
      <c r="BU740" s="170"/>
      <c r="BV740" s="170"/>
      <c r="BW740" s="170"/>
      <c r="BX740" s="170"/>
      <c r="BY740" s="170"/>
      <c r="BZ740" s="170"/>
      <c r="CA740" s="170"/>
      <c r="CB740" s="170"/>
      <c r="CC740" s="170"/>
      <c r="CD740" s="170"/>
      <c r="CE740" s="170"/>
      <c r="CF740" s="170"/>
      <c r="CG740" s="170"/>
      <c r="CH740" s="170"/>
      <c r="CI740" s="170"/>
      <c r="CJ740" s="170"/>
      <c r="CK740" s="170"/>
      <c r="CL740" s="170"/>
      <c r="CM740" s="170"/>
      <c r="CN740" s="170"/>
      <c r="CO740" s="170"/>
    </row>
    <row r="741" spans="1:93" s="141" customFormat="1" ht="16" hidden="1" thickBot="1">
      <c r="B741" s="10"/>
      <c r="C741" s="26"/>
      <c r="D741" s="26"/>
      <c r="E741" s="26"/>
      <c r="F741" s="26"/>
      <c r="G741" s="26"/>
      <c r="H741" s="26"/>
      <c r="I741" s="26"/>
      <c r="J741" s="10"/>
      <c r="K741" s="10"/>
      <c r="L741" s="170"/>
      <c r="M741" s="170"/>
      <c r="N741" s="170"/>
      <c r="O741" s="170"/>
      <c r="P741" s="170"/>
      <c r="Q741" s="170"/>
      <c r="R741" s="170"/>
      <c r="S741" s="170"/>
      <c r="T741" s="170"/>
      <c r="U741" s="170"/>
      <c r="V741" s="170"/>
      <c r="W741" s="170"/>
      <c r="X741" s="170"/>
      <c r="Y741" s="170"/>
      <c r="Z741" s="170"/>
      <c r="AA741" s="170"/>
      <c r="AB741" s="170"/>
      <c r="AC741" s="170"/>
      <c r="AD741" s="170"/>
      <c r="AE741" s="170"/>
      <c r="AF741" s="170"/>
      <c r="AG741" s="170"/>
      <c r="AH741" s="170"/>
      <c r="AI741" s="170"/>
      <c r="AJ741" s="170"/>
      <c r="AK741" s="170"/>
      <c r="AL741" s="170"/>
      <c r="AM741" s="170"/>
      <c r="AN741" s="170"/>
      <c r="AO741" s="170"/>
      <c r="AP741" s="170"/>
      <c r="AQ741" s="170"/>
      <c r="AR741" s="170"/>
      <c r="AS741" s="170"/>
      <c r="AT741" s="170"/>
      <c r="AU741" s="170"/>
      <c r="AV741" s="170"/>
      <c r="AW741" s="170"/>
      <c r="AX741" s="170"/>
      <c r="AY741" s="170"/>
      <c r="AZ741" s="170"/>
      <c r="BA741" s="170"/>
      <c r="BB741" s="170"/>
      <c r="BC741" s="170"/>
      <c r="BD741" s="170"/>
      <c r="BE741" s="170"/>
      <c r="BF741" s="170"/>
      <c r="BG741" s="170"/>
      <c r="BH741" s="170"/>
      <c r="BI741" s="170"/>
      <c r="BJ741" s="170"/>
      <c r="BK741" s="170"/>
      <c r="BL741" s="170"/>
      <c r="BM741" s="170"/>
      <c r="BN741" s="170"/>
      <c r="BO741" s="170"/>
      <c r="BP741" s="170"/>
      <c r="BQ741" s="170"/>
      <c r="BR741" s="170"/>
      <c r="BS741" s="170"/>
      <c r="BT741" s="170"/>
      <c r="BU741" s="170"/>
      <c r="BV741" s="170"/>
      <c r="BW741" s="170"/>
      <c r="BX741" s="170"/>
      <c r="BY741" s="170"/>
      <c r="BZ741" s="170"/>
      <c r="CA741" s="170"/>
      <c r="CB741" s="170"/>
      <c r="CC741" s="170"/>
      <c r="CD741" s="170"/>
      <c r="CE741" s="170"/>
      <c r="CF741" s="170"/>
      <c r="CG741" s="170"/>
      <c r="CH741" s="170"/>
      <c r="CI741" s="170"/>
      <c r="CJ741" s="170"/>
      <c r="CK741" s="170"/>
      <c r="CL741" s="170"/>
      <c r="CM741" s="170"/>
      <c r="CN741" s="170"/>
      <c r="CO741" s="170"/>
    </row>
    <row r="742" spans="1:93" s="141" customFormat="1" ht="13" hidden="1" thickTop="1">
      <c r="B742" s="10"/>
      <c r="C742" s="21"/>
      <c r="D742" s="10"/>
      <c r="E742" s="62"/>
      <c r="F742" s="11"/>
      <c r="G742" s="11"/>
      <c r="H742" s="10"/>
      <c r="I742" s="10"/>
      <c r="J742" s="10"/>
      <c r="K742" s="10"/>
      <c r="L742" s="170"/>
      <c r="M742" s="170"/>
      <c r="N742" s="170"/>
      <c r="O742" s="170"/>
      <c r="P742" s="170"/>
      <c r="Q742" s="170"/>
      <c r="R742" s="170"/>
      <c r="S742" s="170"/>
      <c r="T742" s="170"/>
      <c r="U742" s="170"/>
      <c r="V742" s="170"/>
      <c r="W742" s="170"/>
      <c r="X742" s="170"/>
      <c r="Y742" s="170"/>
      <c r="Z742" s="170"/>
      <c r="AA742" s="170"/>
      <c r="AB742" s="170"/>
      <c r="AC742" s="170"/>
      <c r="AD742" s="170"/>
      <c r="AE742" s="170"/>
      <c r="AF742" s="170"/>
      <c r="AG742" s="170"/>
      <c r="AH742" s="170"/>
      <c r="AI742" s="170"/>
      <c r="AJ742" s="170"/>
      <c r="AK742" s="170"/>
      <c r="AL742" s="170"/>
      <c r="AM742" s="170"/>
      <c r="AN742" s="170"/>
      <c r="AO742" s="170"/>
      <c r="AP742" s="170"/>
      <c r="AQ742" s="170"/>
      <c r="AR742" s="170"/>
      <c r="AS742" s="170"/>
      <c r="AT742" s="170"/>
      <c r="AU742" s="170"/>
      <c r="AV742" s="170"/>
      <c r="AW742" s="170"/>
      <c r="AX742" s="170"/>
      <c r="AY742" s="170"/>
      <c r="AZ742" s="170"/>
      <c r="BA742" s="170"/>
      <c r="BB742" s="170"/>
      <c r="BC742" s="170"/>
      <c r="BD742" s="170"/>
      <c r="BE742" s="170"/>
      <c r="BF742" s="170"/>
      <c r="BG742" s="170"/>
      <c r="BH742" s="170"/>
      <c r="BI742" s="170"/>
      <c r="BJ742" s="170"/>
      <c r="BK742" s="170"/>
      <c r="BL742" s="170"/>
      <c r="BM742" s="170"/>
      <c r="BN742" s="170"/>
      <c r="BO742" s="170"/>
      <c r="BP742" s="170"/>
      <c r="BQ742" s="170"/>
      <c r="BR742" s="170"/>
      <c r="BS742" s="170"/>
      <c r="BT742" s="170"/>
      <c r="BU742" s="170"/>
      <c r="BV742" s="170"/>
      <c r="BW742" s="170"/>
      <c r="BX742" s="170"/>
      <c r="BY742" s="170"/>
      <c r="BZ742" s="170"/>
      <c r="CA742" s="170"/>
      <c r="CB742" s="170"/>
      <c r="CC742" s="170"/>
      <c r="CD742" s="170"/>
      <c r="CE742" s="170"/>
      <c r="CF742" s="170"/>
      <c r="CG742" s="170"/>
      <c r="CH742" s="170"/>
      <c r="CI742" s="170"/>
      <c r="CJ742" s="170"/>
      <c r="CK742" s="170"/>
      <c r="CL742" s="170"/>
      <c r="CM742" s="170"/>
      <c r="CN742" s="170"/>
      <c r="CO742" s="170"/>
    </row>
    <row r="743" spans="1:93" s="141" customFormat="1" ht="12.5" hidden="1">
      <c r="B743" s="10"/>
      <c r="C743" s="21"/>
      <c r="D743" s="10"/>
      <c r="E743" s="62"/>
      <c r="F743" s="11"/>
      <c r="G743" s="11"/>
      <c r="H743" s="10"/>
      <c r="I743" s="23">
        <f ca="1">SUM(L743:CO743)</f>
        <v>0</v>
      </c>
      <c r="J743" s="10"/>
      <c r="K743" s="10"/>
      <c r="L743" s="10">
        <f t="shared" ref="L743:AQ743" ca="1" si="5755" xml:space="preserve"> L736 * CPI_Accumulated_From_Date</f>
        <v>0</v>
      </c>
      <c r="M743" s="10">
        <f t="shared" ca="1" si="5755"/>
        <v>0</v>
      </c>
      <c r="N743" s="10">
        <f t="shared" ca="1" si="5755"/>
        <v>0</v>
      </c>
      <c r="O743" s="10">
        <f t="shared" ca="1" si="5755"/>
        <v>0</v>
      </c>
      <c r="P743" s="10">
        <f t="shared" ca="1" si="5755"/>
        <v>0</v>
      </c>
      <c r="Q743" s="10">
        <f t="shared" ca="1" si="5755"/>
        <v>0</v>
      </c>
      <c r="R743" s="10">
        <f t="shared" ca="1" si="5755"/>
        <v>0</v>
      </c>
      <c r="S743" s="10">
        <f t="shared" ca="1" si="5755"/>
        <v>0</v>
      </c>
      <c r="T743" s="10">
        <f t="shared" ca="1" si="5755"/>
        <v>0</v>
      </c>
      <c r="U743" s="10">
        <f t="shared" ca="1" si="5755"/>
        <v>0</v>
      </c>
      <c r="V743" s="10">
        <f t="shared" ca="1" si="5755"/>
        <v>0</v>
      </c>
      <c r="W743" s="10">
        <f t="shared" ca="1" si="5755"/>
        <v>0</v>
      </c>
      <c r="X743" s="10">
        <f t="shared" ca="1" si="5755"/>
        <v>0</v>
      </c>
      <c r="Y743" s="10">
        <f t="shared" ca="1" si="5755"/>
        <v>0</v>
      </c>
      <c r="Z743" s="10">
        <f t="shared" ca="1" si="5755"/>
        <v>0</v>
      </c>
      <c r="AA743" s="10">
        <f t="shared" ca="1" si="5755"/>
        <v>0</v>
      </c>
      <c r="AB743" s="10">
        <f t="shared" ca="1" si="5755"/>
        <v>0</v>
      </c>
      <c r="AC743" s="10">
        <f t="shared" ca="1" si="5755"/>
        <v>0</v>
      </c>
      <c r="AD743" s="10">
        <f t="shared" ca="1" si="5755"/>
        <v>0</v>
      </c>
      <c r="AE743" s="10">
        <f t="shared" ca="1" si="5755"/>
        <v>0</v>
      </c>
      <c r="AF743" s="10">
        <f t="shared" ca="1" si="5755"/>
        <v>0</v>
      </c>
      <c r="AG743" s="10">
        <f t="shared" ca="1" si="5755"/>
        <v>0</v>
      </c>
      <c r="AH743" s="10">
        <f t="shared" ca="1" si="5755"/>
        <v>0</v>
      </c>
      <c r="AI743" s="10">
        <f t="shared" ca="1" si="5755"/>
        <v>0</v>
      </c>
      <c r="AJ743" s="10">
        <f t="shared" ca="1" si="5755"/>
        <v>0</v>
      </c>
      <c r="AK743" s="10">
        <f t="shared" ca="1" si="5755"/>
        <v>0</v>
      </c>
      <c r="AL743" s="10">
        <f t="shared" ca="1" si="5755"/>
        <v>0</v>
      </c>
      <c r="AM743" s="10">
        <f t="shared" ca="1" si="5755"/>
        <v>0</v>
      </c>
      <c r="AN743" s="10">
        <f t="shared" ca="1" si="5755"/>
        <v>0</v>
      </c>
      <c r="AO743" s="10">
        <f t="shared" ca="1" si="5755"/>
        <v>0</v>
      </c>
      <c r="AP743" s="10">
        <f t="shared" ca="1" si="5755"/>
        <v>0</v>
      </c>
      <c r="AQ743" s="10">
        <f t="shared" ca="1" si="5755"/>
        <v>0</v>
      </c>
      <c r="AR743" s="10">
        <f t="shared" ref="AR743:BW743" ca="1" si="5756" xml:space="preserve"> AR736 * CPI_Accumulated_From_Date</f>
        <v>0</v>
      </c>
      <c r="AS743" s="10">
        <f t="shared" ca="1" si="5756"/>
        <v>0</v>
      </c>
      <c r="AT743" s="10">
        <f t="shared" ca="1" si="5756"/>
        <v>0</v>
      </c>
      <c r="AU743" s="10">
        <f t="shared" ca="1" si="5756"/>
        <v>0</v>
      </c>
      <c r="AV743" s="10">
        <f t="shared" ca="1" si="5756"/>
        <v>0</v>
      </c>
      <c r="AW743" s="10">
        <f t="shared" ca="1" si="5756"/>
        <v>0</v>
      </c>
      <c r="AX743" s="10">
        <f t="shared" ca="1" si="5756"/>
        <v>0</v>
      </c>
      <c r="AY743" s="10">
        <f t="shared" ca="1" si="5756"/>
        <v>0</v>
      </c>
      <c r="AZ743" s="10">
        <f t="shared" ca="1" si="5756"/>
        <v>0</v>
      </c>
      <c r="BA743" s="10">
        <f t="shared" ca="1" si="5756"/>
        <v>0</v>
      </c>
      <c r="BB743" s="10">
        <f t="shared" ca="1" si="5756"/>
        <v>0</v>
      </c>
      <c r="BC743" s="10">
        <f t="shared" ca="1" si="5756"/>
        <v>0</v>
      </c>
      <c r="BD743" s="10">
        <f t="shared" ca="1" si="5756"/>
        <v>0</v>
      </c>
      <c r="BE743" s="10">
        <f t="shared" ca="1" si="5756"/>
        <v>0</v>
      </c>
      <c r="BF743" s="10">
        <f t="shared" ca="1" si="5756"/>
        <v>0</v>
      </c>
      <c r="BG743" s="10">
        <f t="shared" ca="1" si="5756"/>
        <v>0</v>
      </c>
      <c r="BH743" s="10">
        <f t="shared" ca="1" si="5756"/>
        <v>0</v>
      </c>
      <c r="BI743" s="10">
        <f t="shared" ca="1" si="5756"/>
        <v>0</v>
      </c>
      <c r="BJ743" s="10">
        <f t="shared" ca="1" si="5756"/>
        <v>0</v>
      </c>
      <c r="BK743" s="10">
        <f t="shared" ca="1" si="5756"/>
        <v>0</v>
      </c>
      <c r="BL743" s="10">
        <f t="shared" ca="1" si="5756"/>
        <v>0</v>
      </c>
      <c r="BM743" s="10">
        <f t="shared" ca="1" si="5756"/>
        <v>0</v>
      </c>
      <c r="BN743" s="10">
        <f t="shared" ca="1" si="5756"/>
        <v>0</v>
      </c>
      <c r="BO743" s="10">
        <f t="shared" ca="1" si="5756"/>
        <v>0</v>
      </c>
      <c r="BP743" s="10">
        <f t="shared" ca="1" si="5756"/>
        <v>0</v>
      </c>
      <c r="BQ743" s="10">
        <f t="shared" ca="1" si="5756"/>
        <v>0</v>
      </c>
      <c r="BR743" s="10">
        <f t="shared" ca="1" si="5756"/>
        <v>0</v>
      </c>
      <c r="BS743" s="10">
        <f t="shared" ca="1" si="5756"/>
        <v>0</v>
      </c>
      <c r="BT743" s="10">
        <f t="shared" ca="1" si="5756"/>
        <v>0</v>
      </c>
      <c r="BU743" s="10">
        <f t="shared" ca="1" si="5756"/>
        <v>0</v>
      </c>
      <c r="BV743" s="10">
        <f t="shared" ca="1" si="5756"/>
        <v>0</v>
      </c>
      <c r="BW743" s="10">
        <f t="shared" ca="1" si="5756"/>
        <v>0</v>
      </c>
      <c r="BX743" s="10">
        <f t="shared" ref="BX743:CO743" ca="1" si="5757" xml:space="preserve"> BX736 * CPI_Accumulated_From_Date</f>
        <v>0</v>
      </c>
      <c r="BY743" s="10">
        <f t="shared" ca="1" si="5757"/>
        <v>0</v>
      </c>
      <c r="BZ743" s="10">
        <f t="shared" ca="1" si="5757"/>
        <v>0</v>
      </c>
      <c r="CA743" s="10">
        <f t="shared" ca="1" si="5757"/>
        <v>0</v>
      </c>
      <c r="CB743" s="10">
        <f t="shared" ca="1" si="5757"/>
        <v>0</v>
      </c>
      <c r="CC743" s="10">
        <f t="shared" ca="1" si="5757"/>
        <v>0</v>
      </c>
      <c r="CD743" s="10">
        <f t="shared" ca="1" si="5757"/>
        <v>0</v>
      </c>
      <c r="CE743" s="10">
        <f t="shared" ca="1" si="5757"/>
        <v>0</v>
      </c>
      <c r="CF743" s="10">
        <f t="shared" ca="1" si="5757"/>
        <v>0</v>
      </c>
      <c r="CG743" s="10">
        <f t="shared" ca="1" si="5757"/>
        <v>0</v>
      </c>
      <c r="CH743" s="10">
        <f t="shared" ca="1" si="5757"/>
        <v>0</v>
      </c>
      <c r="CI743" s="10">
        <f t="shared" ca="1" si="5757"/>
        <v>0</v>
      </c>
      <c r="CJ743" s="10">
        <f t="shared" ca="1" si="5757"/>
        <v>0</v>
      </c>
      <c r="CK743" s="10">
        <f t="shared" ca="1" si="5757"/>
        <v>0</v>
      </c>
      <c r="CL743" s="10">
        <f t="shared" ca="1" si="5757"/>
        <v>0</v>
      </c>
      <c r="CM743" s="10">
        <f t="shared" ca="1" si="5757"/>
        <v>0</v>
      </c>
      <c r="CN743" s="10">
        <f t="shared" ca="1" si="5757"/>
        <v>0</v>
      </c>
      <c r="CO743" s="10">
        <f t="shared" ca="1" si="5757"/>
        <v>0</v>
      </c>
    </row>
    <row r="744" spans="1:93" s="141" customFormat="1" ht="12.5" hidden="1">
      <c r="B744" s="10"/>
      <c r="C744" s="21"/>
      <c r="D744" s="10"/>
      <c r="E744" s="62"/>
      <c r="F744" s="11"/>
      <c r="G744" s="11"/>
      <c r="H744" s="10"/>
      <c r="I744" s="23">
        <f ca="1">SUM(L744:CO744)</f>
        <v>0</v>
      </c>
      <c r="J744" s="10"/>
      <c r="K744" s="10"/>
      <c r="L744" s="10">
        <f t="shared" ref="L744:AQ744" ca="1" si="5758" xml:space="preserve"> L737 * CPI_Accumulated_From_Date</f>
        <v>0</v>
      </c>
      <c r="M744" s="10">
        <f t="shared" ca="1" si="5758"/>
        <v>0</v>
      </c>
      <c r="N744" s="10">
        <f t="shared" ca="1" si="5758"/>
        <v>0</v>
      </c>
      <c r="O744" s="10">
        <f t="shared" ca="1" si="5758"/>
        <v>0</v>
      </c>
      <c r="P744" s="10">
        <f t="shared" ca="1" si="5758"/>
        <v>0</v>
      </c>
      <c r="Q744" s="10">
        <f t="shared" ca="1" si="5758"/>
        <v>0</v>
      </c>
      <c r="R744" s="10">
        <f t="shared" ca="1" si="5758"/>
        <v>0</v>
      </c>
      <c r="S744" s="10">
        <f t="shared" ca="1" si="5758"/>
        <v>0</v>
      </c>
      <c r="T744" s="10">
        <f t="shared" ca="1" si="5758"/>
        <v>0</v>
      </c>
      <c r="U744" s="10">
        <f t="shared" ca="1" si="5758"/>
        <v>0</v>
      </c>
      <c r="V744" s="10">
        <f t="shared" ca="1" si="5758"/>
        <v>0</v>
      </c>
      <c r="W744" s="10">
        <f t="shared" ca="1" si="5758"/>
        <v>0</v>
      </c>
      <c r="X744" s="10">
        <f t="shared" ca="1" si="5758"/>
        <v>0</v>
      </c>
      <c r="Y744" s="10">
        <f t="shared" ca="1" si="5758"/>
        <v>0</v>
      </c>
      <c r="Z744" s="10">
        <f t="shared" ca="1" si="5758"/>
        <v>0</v>
      </c>
      <c r="AA744" s="10">
        <f t="shared" ca="1" si="5758"/>
        <v>0</v>
      </c>
      <c r="AB744" s="10">
        <f t="shared" ca="1" si="5758"/>
        <v>0</v>
      </c>
      <c r="AC744" s="10">
        <f t="shared" ca="1" si="5758"/>
        <v>0</v>
      </c>
      <c r="AD744" s="10">
        <f t="shared" ca="1" si="5758"/>
        <v>0</v>
      </c>
      <c r="AE744" s="10">
        <f t="shared" ca="1" si="5758"/>
        <v>0</v>
      </c>
      <c r="AF744" s="10">
        <f t="shared" ca="1" si="5758"/>
        <v>0</v>
      </c>
      <c r="AG744" s="10">
        <f t="shared" ca="1" si="5758"/>
        <v>0</v>
      </c>
      <c r="AH744" s="10">
        <f t="shared" ca="1" si="5758"/>
        <v>0</v>
      </c>
      <c r="AI744" s="10">
        <f t="shared" ca="1" si="5758"/>
        <v>0</v>
      </c>
      <c r="AJ744" s="10">
        <f t="shared" ca="1" si="5758"/>
        <v>0</v>
      </c>
      <c r="AK744" s="10">
        <f t="shared" ca="1" si="5758"/>
        <v>0</v>
      </c>
      <c r="AL744" s="10">
        <f t="shared" ca="1" si="5758"/>
        <v>0</v>
      </c>
      <c r="AM744" s="10">
        <f t="shared" ca="1" si="5758"/>
        <v>0</v>
      </c>
      <c r="AN744" s="10">
        <f t="shared" ca="1" si="5758"/>
        <v>0</v>
      </c>
      <c r="AO744" s="10">
        <f t="shared" ca="1" si="5758"/>
        <v>0</v>
      </c>
      <c r="AP744" s="10">
        <f t="shared" ca="1" si="5758"/>
        <v>0</v>
      </c>
      <c r="AQ744" s="10">
        <f t="shared" ca="1" si="5758"/>
        <v>0</v>
      </c>
      <c r="AR744" s="10">
        <f t="shared" ref="AR744:BW744" ca="1" si="5759" xml:space="preserve"> AR737 * CPI_Accumulated_From_Date</f>
        <v>0</v>
      </c>
      <c r="AS744" s="10">
        <f t="shared" ca="1" si="5759"/>
        <v>0</v>
      </c>
      <c r="AT744" s="10">
        <f t="shared" ca="1" si="5759"/>
        <v>0</v>
      </c>
      <c r="AU744" s="10">
        <f t="shared" ca="1" si="5759"/>
        <v>0</v>
      </c>
      <c r="AV744" s="10">
        <f t="shared" ca="1" si="5759"/>
        <v>0</v>
      </c>
      <c r="AW744" s="10">
        <f t="shared" ca="1" si="5759"/>
        <v>0</v>
      </c>
      <c r="AX744" s="10">
        <f t="shared" ca="1" si="5759"/>
        <v>0</v>
      </c>
      <c r="AY744" s="10">
        <f t="shared" ca="1" si="5759"/>
        <v>0</v>
      </c>
      <c r="AZ744" s="10">
        <f t="shared" ca="1" si="5759"/>
        <v>0</v>
      </c>
      <c r="BA744" s="10">
        <f t="shared" ca="1" si="5759"/>
        <v>0</v>
      </c>
      <c r="BB744" s="10">
        <f t="shared" ca="1" si="5759"/>
        <v>0</v>
      </c>
      <c r="BC744" s="10">
        <f t="shared" ca="1" si="5759"/>
        <v>0</v>
      </c>
      <c r="BD744" s="10">
        <f t="shared" ca="1" si="5759"/>
        <v>0</v>
      </c>
      <c r="BE744" s="10">
        <f t="shared" ca="1" si="5759"/>
        <v>0</v>
      </c>
      <c r="BF744" s="10">
        <f t="shared" ca="1" si="5759"/>
        <v>0</v>
      </c>
      <c r="BG744" s="10">
        <f t="shared" ca="1" si="5759"/>
        <v>0</v>
      </c>
      <c r="BH744" s="10">
        <f t="shared" ca="1" si="5759"/>
        <v>0</v>
      </c>
      <c r="BI744" s="10">
        <f t="shared" ca="1" si="5759"/>
        <v>0</v>
      </c>
      <c r="BJ744" s="10">
        <f t="shared" ca="1" si="5759"/>
        <v>0</v>
      </c>
      <c r="BK744" s="10">
        <f t="shared" ca="1" si="5759"/>
        <v>0</v>
      </c>
      <c r="BL744" s="10">
        <f t="shared" ca="1" si="5759"/>
        <v>0</v>
      </c>
      <c r="BM744" s="10">
        <f t="shared" ca="1" si="5759"/>
        <v>0</v>
      </c>
      <c r="BN744" s="10">
        <f t="shared" ca="1" si="5759"/>
        <v>0</v>
      </c>
      <c r="BO744" s="10">
        <f t="shared" ca="1" si="5759"/>
        <v>0</v>
      </c>
      <c r="BP744" s="10">
        <f t="shared" ca="1" si="5759"/>
        <v>0</v>
      </c>
      <c r="BQ744" s="10">
        <f t="shared" ca="1" si="5759"/>
        <v>0</v>
      </c>
      <c r="BR744" s="10">
        <f t="shared" ca="1" si="5759"/>
        <v>0</v>
      </c>
      <c r="BS744" s="10">
        <f t="shared" ca="1" si="5759"/>
        <v>0</v>
      </c>
      <c r="BT744" s="10">
        <f t="shared" ca="1" si="5759"/>
        <v>0</v>
      </c>
      <c r="BU744" s="10">
        <f t="shared" ca="1" si="5759"/>
        <v>0</v>
      </c>
      <c r="BV744" s="10">
        <f t="shared" ca="1" si="5759"/>
        <v>0</v>
      </c>
      <c r="BW744" s="10">
        <f t="shared" ca="1" si="5759"/>
        <v>0</v>
      </c>
      <c r="BX744" s="10">
        <f t="shared" ref="BX744:CO744" ca="1" si="5760" xml:space="preserve"> BX737 * CPI_Accumulated_From_Date</f>
        <v>0</v>
      </c>
      <c r="BY744" s="10">
        <f t="shared" ca="1" si="5760"/>
        <v>0</v>
      </c>
      <c r="BZ744" s="10">
        <f t="shared" ca="1" si="5760"/>
        <v>0</v>
      </c>
      <c r="CA744" s="10">
        <f t="shared" ca="1" si="5760"/>
        <v>0</v>
      </c>
      <c r="CB744" s="10">
        <f t="shared" ca="1" si="5760"/>
        <v>0</v>
      </c>
      <c r="CC744" s="10">
        <f t="shared" ca="1" si="5760"/>
        <v>0</v>
      </c>
      <c r="CD744" s="10">
        <f t="shared" ca="1" si="5760"/>
        <v>0</v>
      </c>
      <c r="CE744" s="10">
        <f t="shared" ca="1" si="5760"/>
        <v>0</v>
      </c>
      <c r="CF744" s="10">
        <f t="shared" ca="1" si="5760"/>
        <v>0</v>
      </c>
      <c r="CG744" s="10">
        <f t="shared" ca="1" si="5760"/>
        <v>0</v>
      </c>
      <c r="CH744" s="10">
        <f t="shared" ca="1" si="5760"/>
        <v>0</v>
      </c>
      <c r="CI744" s="10">
        <f t="shared" ca="1" si="5760"/>
        <v>0</v>
      </c>
      <c r="CJ744" s="10">
        <f t="shared" ca="1" si="5760"/>
        <v>0</v>
      </c>
      <c r="CK744" s="10">
        <f t="shared" ca="1" si="5760"/>
        <v>0</v>
      </c>
      <c r="CL744" s="10">
        <f t="shared" ca="1" si="5760"/>
        <v>0</v>
      </c>
      <c r="CM744" s="10">
        <f t="shared" ca="1" si="5760"/>
        <v>0</v>
      </c>
      <c r="CN744" s="10">
        <f t="shared" ca="1" si="5760"/>
        <v>0</v>
      </c>
      <c r="CO744" s="10">
        <f t="shared" ca="1" si="5760"/>
        <v>0</v>
      </c>
    </row>
    <row r="745" spans="1:93" s="141" customFormat="1" ht="13" hidden="1" thickBot="1">
      <c r="B745" s="10"/>
      <c r="C745" s="21"/>
      <c r="D745" s="10"/>
      <c r="E745" s="62"/>
      <c r="F745" s="11"/>
      <c r="G745" s="11"/>
      <c r="H745" s="10"/>
      <c r="I745" s="23">
        <f ca="1">SUM(L745:CO745)</f>
        <v>0</v>
      </c>
      <c r="J745" s="10"/>
      <c r="K745" s="10"/>
      <c r="L745" s="10">
        <f t="shared" ref="L745:AQ745" ca="1" si="5761" xml:space="preserve"> L738 * CPI_Accumulated_From_Date</f>
        <v>0</v>
      </c>
      <c r="M745" s="10">
        <f t="shared" ca="1" si="5761"/>
        <v>0</v>
      </c>
      <c r="N745" s="10">
        <f t="shared" ca="1" si="5761"/>
        <v>0</v>
      </c>
      <c r="O745" s="10">
        <f t="shared" ca="1" si="5761"/>
        <v>0</v>
      </c>
      <c r="P745" s="10">
        <f t="shared" ca="1" si="5761"/>
        <v>0</v>
      </c>
      <c r="Q745" s="10">
        <f t="shared" ca="1" si="5761"/>
        <v>0</v>
      </c>
      <c r="R745" s="10">
        <f t="shared" ca="1" si="5761"/>
        <v>0</v>
      </c>
      <c r="S745" s="10">
        <f t="shared" ca="1" si="5761"/>
        <v>0</v>
      </c>
      <c r="T745" s="10">
        <f t="shared" ca="1" si="5761"/>
        <v>0</v>
      </c>
      <c r="U745" s="10">
        <f t="shared" ca="1" si="5761"/>
        <v>0</v>
      </c>
      <c r="V745" s="10">
        <f t="shared" ca="1" si="5761"/>
        <v>0</v>
      </c>
      <c r="W745" s="10">
        <f t="shared" ca="1" si="5761"/>
        <v>0</v>
      </c>
      <c r="X745" s="10">
        <f t="shared" ca="1" si="5761"/>
        <v>0</v>
      </c>
      <c r="Y745" s="10">
        <f t="shared" ca="1" si="5761"/>
        <v>0</v>
      </c>
      <c r="Z745" s="10">
        <f t="shared" ca="1" si="5761"/>
        <v>0</v>
      </c>
      <c r="AA745" s="10">
        <f t="shared" ca="1" si="5761"/>
        <v>0</v>
      </c>
      <c r="AB745" s="10">
        <f t="shared" ca="1" si="5761"/>
        <v>0</v>
      </c>
      <c r="AC745" s="10">
        <f t="shared" ca="1" si="5761"/>
        <v>0</v>
      </c>
      <c r="AD745" s="10">
        <f t="shared" ca="1" si="5761"/>
        <v>0</v>
      </c>
      <c r="AE745" s="10">
        <f t="shared" ca="1" si="5761"/>
        <v>0</v>
      </c>
      <c r="AF745" s="10">
        <f t="shared" ca="1" si="5761"/>
        <v>0</v>
      </c>
      <c r="AG745" s="10">
        <f t="shared" ca="1" si="5761"/>
        <v>0</v>
      </c>
      <c r="AH745" s="10">
        <f t="shared" ca="1" si="5761"/>
        <v>0</v>
      </c>
      <c r="AI745" s="10">
        <f t="shared" ca="1" si="5761"/>
        <v>0</v>
      </c>
      <c r="AJ745" s="10">
        <f t="shared" ca="1" si="5761"/>
        <v>0</v>
      </c>
      <c r="AK745" s="10">
        <f t="shared" ca="1" si="5761"/>
        <v>0</v>
      </c>
      <c r="AL745" s="10">
        <f t="shared" ca="1" si="5761"/>
        <v>0</v>
      </c>
      <c r="AM745" s="10">
        <f t="shared" ca="1" si="5761"/>
        <v>0</v>
      </c>
      <c r="AN745" s="10">
        <f t="shared" ca="1" si="5761"/>
        <v>0</v>
      </c>
      <c r="AO745" s="10">
        <f t="shared" ca="1" si="5761"/>
        <v>0</v>
      </c>
      <c r="AP745" s="10">
        <f t="shared" ca="1" si="5761"/>
        <v>0</v>
      </c>
      <c r="AQ745" s="10">
        <f t="shared" ca="1" si="5761"/>
        <v>0</v>
      </c>
      <c r="AR745" s="10">
        <f t="shared" ref="AR745:BW745" ca="1" si="5762" xml:space="preserve"> AR738 * CPI_Accumulated_From_Date</f>
        <v>0</v>
      </c>
      <c r="AS745" s="10">
        <f t="shared" ca="1" si="5762"/>
        <v>0</v>
      </c>
      <c r="AT745" s="10">
        <f t="shared" ca="1" si="5762"/>
        <v>0</v>
      </c>
      <c r="AU745" s="10">
        <f t="shared" ca="1" si="5762"/>
        <v>0</v>
      </c>
      <c r="AV745" s="10">
        <f t="shared" ca="1" si="5762"/>
        <v>0</v>
      </c>
      <c r="AW745" s="10">
        <f t="shared" ca="1" si="5762"/>
        <v>0</v>
      </c>
      <c r="AX745" s="10">
        <f t="shared" ca="1" si="5762"/>
        <v>0</v>
      </c>
      <c r="AY745" s="10">
        <f t="shared" ca="1" si="5762"/>
        <v>0</v>
      </c>
      <c r="AZ745" s="10">
        <f t="shared" ca="1" si="5762"/>
        <v>0</v>
      </c>
      <c r="BA745" s="10">
        <f t="shared" ca="1" si="5762"/>
        <v>0</v>
      </c>
      <c r="BB745" s="10">
        <f t="shared" ca="1" si="5762"/>
        <v>0</v>
      </c>
      <c r="BC745" s="10">
        <f t="shared" ca="1" si="5762"/>
        <v>0</v>
      </c>
      <c r="BD745" s="10">
        <f t="shared" ca="1" si="5762"/>
        <v>0</v>
      </c>
      <c r="BE745" s="10">
        <f t="shared" ca="1" si="5762"/>
        <v>0</v>
      </c>
      <c r="BF745" s="10">
        <f t="shared" ca="1" si="5762"/>
        <v>0</v>
      </c>
      <c r="BG745" s="10">
        <f t="shared" ca="1" si="5762"/>
        <v>0</v>
      </c>
      <c r="BH745" s="10">
        <f t="shared" ca="1" si="5762"/>
        <v>0</v>
      </c>
      <c r="BI745" s="10">
        <f t="shared" ca="1" si="5762"/>
        <v>0</v>
      </c>
      <c r="BJ745" s="10">
        <f t="shared" ca="1" si="5762"/>
        <v>0</v>
      </c>
      <c r="BK745" s="10">
        <f t="shared" ca="1" si="5762"/>
        <v>0</v>
      </c>
      <c r="BL745" s="10">
        <f t="shared" ca="1" si="5762"/>
        <v>0</v>
      </c>
      <c r="BM745" s="10">
        <f t="shared" ca="1" si="5762"/>
        <v>0</v>
      </c>
      <c r="BN745" s="10">
        <f t="shared" ca="1" si="5762"/>
        <v>0</v>
      </c>
      <c r="BO745" s="10">
        <f t="shared" ca="1" si="5762"/>
        <v>0</v>
      </c>
      <c r="BP745" s="10">
        <f t="shared" ca="1" si="5762"/>
        <v>0</v>
      </c>
      <c r="BQ745" s="10">
        <f t="shared" ca="1" si="5762"/>
        <v>0</v>
      </c>
      <c r="BR745" s="10">
        <f t="shared" ca="1" si="5762"/>
        <v>0</v>
      </c>
      <c r="BS745" s="10">
        <f t="shared" ca="1" si="5762"/>
        <v>0</v>
      </c>
      <c r="BT745" s="10">
        <f t="shared" ca="1" si="5762"/>
        <v>0</v>
      </c>
      <c r="BU745" s="10">
        <f t="shared" ca="1" si="5762"/>
        <v>0</v>
      </c>
      <c r="BV745" s="10">
        <f t="shared" ca="1" si="5762"/>
        <v>0</v>
      </c>
      <c r="BW745" s="10">
        <f t="shared" ca="1" si="5762"/>
        <v>0</v>
      </c>
      <c r="BX745" s="10">
        <f t="shared" ref="BX745:CO745" ca="1" si="5763" xml:space="preserve"> BX738 * CPI_Accumulated_From_Date</f>
        <v>0</v>
      </c>
      <c r="BY745" s="10">
        <f t="shared" ca="1" si="5763"/>
        <v>0</v>
      </c>
      <c r="BZ745" s="10">
        <f t="shared" ca="1" si="5763"/>
        <v>0</v>
      </c>
      <c r="CA745" s="10">
        <f t="shared" ca="1" si="5763"/>
        <v>0</v>
      </c>
      <c r="CB745" s="10">
        <f t="shared" ca="1" si="5763"/>
        <v>0</v>
      </c>
      <c r="CC745" s="10">
        <f t="shared" ca="1" si="5763"/>
        <v>0</v>
      </c>
      <c r="CD745" s="10">
        <f t="shared" ca="1" si="5763"/>
        <v>0</v>
      </c>
      <c r="CE745" s="10">
        <f t="shared" ca="1" si="5763"/>
        <v>0</v>
      </c>
      <c r="CF745" s="10">
        <f t="shared" ca="1" si="5763"/>
        <v>0</v>
      </c>
      <c r="CG745" s="10">
        <f t="shared" ca="1" si="5763"/>
        <v>0</v>
      </c>
      <c r="CH745" s="10">
        <f t="shared" ca="1" si="5763"/>
        <v>0</v>
      </c>
      <c r="CI745" s="10">
        <f t="shared" ca="1" si="5763"/>
        <v>0</v>
      </c>
      <c r="CJ745" s="10">
        <f t="shared" ca="1" si="5763"/>
        <v>0</v>
      </c>
      <c r="CK745" s="10">
        <f t="shared" ca="1" si="5763"/>
        <v>0</v>
      </c>
      <c r="CL745" s="10">
        <f t="shared" ca="1" si="5763"/>
        <v>0</v>
      </c>
      <c r="CM745" s="10">
        <f t="shared" ca="1" si="5763"/>
        <v>0</v>
      </c>
      <c r="CN745" s="10">
        <f t="shared" ca="1" si="5763"/>
        <v>0</v>
      </c>
      <c r="CO745" s="10">
        <f t="shared" ca="1" si="5763"/>
        <v>0</v>
      </c>
    </row>
    <row r="746" spans="1:93" ht="15" hidden="1" thickTop="1">
      <c r="B746" s="101"/>
      <c r="C746" s="49"/>
      <c r="D746" s="49"/>
      <c r="E746" s="136"/>
      <c r="F746" s="49"/>
      <c r="G746" s="159"/>
      <c r="H746" s="49"/>
      <c r="I746" s="23">
        <f ca="1">SUM(L746:CO746)</f>
        <v>0</v>
      </c>
      <c r="J746" s="49"/>
      <c r="K746" s="49"/>
      <c r="L746" s="49">
        <f ca="1" xml:space="preserve"> SUM(L743:L745) * $I$515</f>
        <v>0</v>
      </c>
      <c r="M746" s="49">
        <f t="shared" ref="M746:BX746" ca="1" si="5764" xml:space="preserve"> SUM(M743:M745) * $I$515</f>
        <v>0</v>
      </c>
      <c r="N746" s="49">
        <f t="shared" ca="1" si="5764"/>
        <v>0</v>
      </c>
      <c r="O746" s="49">
        <f t="shared" ca="1" si="5764"/>
        <v>0</v>
      </c>
      <c r="P746" s="49">
        <f t="shared" ca="1" si="5764"/>
        <v>0</v>
      </c>
      <c r="Q746" s="49">
        <f t="shared" ca="1" si="5764"/>
        <v>0</v>
      </c>
      <c r="R746" s="49">
        <f t="shared" ca="1" si="5764"/>
        <v>0</v>
      </c>
      <c r="S746" s="49">
        <f t="shared" ca="1" si="5764"/>
        <v>0</v>
      </c>
      <c r="T746" s="49">
        <f t="shared" ca="1" si="5764"/>
        <v>0</v>
      </c>
      <c r="U746" s="49">
        <f t="shared" ca="1" si="5764"/>
        <v>0</v>
      </c>
      <c r="V746" s="49">
        <f t="shared" ca="1" si="5764"/>
        <v>0</v>
      </c>
      <c r="W746" s="49">
        <f t="shared" ca="1" si="5764"/>
        <v>0</v>
      </c>
      <c r="X746" s="49">
        <f t="shared" ca="1" si="5764"/>
        <v>0</v>
      </c>
      <c r="Y746" s="49">
        <f t="shared" ca="1" si="5764"/>
        <v>0</v>
      </c>
      <c r="Z746" s="49">
        <f t="shared" ca="1" si="5764"/>
        <v>0</v>
      </c>
      <c r="AA746" s="49">
        <f t="shared" ca="1" si="5764"/>
        <v>0</v>
      </c>
      <c r="AB746" s="49">
        <f t="shared" ca="1" si="5764"/>
        <v>0</v>
      </c>
      <c r="AC746" s="49">
        <f t="shared" ca="1" si="5764"/>
        <v>0</v>
      </c>
      <c r="AD746" s="49">
        <f t="shared" ca="1" si="5764"/>
        <v>0</v>
      </c>
      <c r="AE746" s="49">
        <f t="shared" ca="1" si="5764"/>
        <v>0</v>
      </c>
      <c r="AF746" s="49">
        <f t="shared" ca="1" si="5764"/>
        <v>0</v>
      </c>
      <c r="AG746" s="49">
        <f t="shared" ca="1" si="5764"/>
        <v>0</v>
      </c>
      <c r="AH746" s="49">
        <f t="shared" ca="1" si="5764"/>
        <v>0</v>
      </c>
      <c r="AI746" s="49">
        <f t="shared" ca="1" si="5764"/>
        <v>0</v>
      </c>
      <c r="AJ746" s="49">
        <f t="shared" ca="1" si="5764"/>
        <v>0</v>
      </c>
      <c r="AK746" s="49">
        <f t="shared" ca="1" si="5764"/>
        <v>0</v>
      </c>
      <c r="AL746" s="49">
        <f t="shared" ca="1" si="5764"/>
        <v>0</v>
      </c>
      <c r="AM746" s="49">
        <f t="shared" ca="1" si="5764"/>
        <v>0</v>
      </c>
      <c r="AN746" s="49">
        <f t="shared" ca="1" si="5764"/>
        <v>0</v>
      </c>
      <c r="AO746" s="49">
        <f t="shared" ca="1" si="5764"/>
        <v>0</v>
      </c>
      <c r="AP746" s="49">
        <f t="shared" ca="1" si="5764"/>
        <v>0</v>
      </c>
      <c r="AQ746" s="49">
        <f t="shared" ca="1" si="5764"/>
        <v>0</v>
      </c>
      <c r="AR746" s="49">
        <f t="shared" ca="1" si="5764"/>
        <v>0</v>
      </c>
      <c r="AS746" s="49">
        <f t="shared" ca="1" si="5764"/>
        <v>0</v>
      </c>
      <c r="AT746" s="49">
        <f t="shared" ca="1" si="5764"/>
        <v>0</v>
      </c>
      <c r="AU746" s="49">
        <f t="shared" ca="1" si="5764"/>
        <v>0</v>
      </c>
      <c r="AV746" s="49">
        <f t="shared" ca="1" si="5764"/>
        <v>0</v>
      </c>
      <c r="AW746" s="49">
        <f t="shared" ca="1" si="5764"/>
        <v>0</v>
      </c>
      <c r="AX746" s="49">
        <f t="shared" ca="1" si="5764"/>
        <v>0</v>
      </c>
      <c r="AY746" s="49">
        <f t="shared" ca="1" si="5764"/>
        <v>0</v>
      </c>
      <c r="AZ746" s="49">
        <f t="shared" ca="1" si="5764"/>
        <v>0</v>
      </c>
      <c r="BA746" s="49">
        <f t="shared" ca="1" si="5764"/>
        <v>0</v>
      </c>
      <c r="BB746" s="49">
        <f t="shared" ca="1" si="5764"/>
        <v>0</v>
      </c>
      <c r="BC746" s="49">
        <f t="shared" ca="1" si="5764"/>
        <v>0</v>
      </c>
      <c r="BD746" s="49">
        <f t="shared" ca="1" si="5764"/>
        <v>0</v>
      </c>
      <c r="BE746" s="49">
        <f t="shared" ca="1" si="5764"/>
        <v>0</v>
      </c>
      <c r="BF746" s="49">
        <f t="shared" ca="1" si="5764"/>
        <v>0</v>
      </c>
      <c r="BG746" s="49">
        <f t="shared" ca="1" si="5764"/>
        <v>0</v>
      </c>
      <c r="BH746" s="49">
        <f t="shared" ca="1" si="5764"/>
        <v>0</v>
      </c>
      <c r="BI746" s="49">
        <f t="shared" ca="1" si="5764"/>
        <v>0</v>
      </c>
      <c r="BJ746" s="49">
        <f t="shared" ca="1" si="5764"/>
        <v>0</v>
      </c>
      <c r="BK746" s="49">
        <f t="shared" ca="1" si="5764"/>
        <v>0</v>
      </c>
      <c r="BL746" s="49">
        <f t="shared" ca="1" si="5764"/>
        <v>0</v>
      </c>
      <c r="BM746" s="49">
        <f t="shared" ca="1" si="5764"/>
        <v>0</v>
      </c>
      <c r="BN746" s="49">
        <f t="shared" ca="1" si="5764"/>
        <v>0</v>
      </c>
      <c r="BO746" s="49">
        <f t="shared" ca="1" si="5764"/>
        <v>0</v>
      </c>
      <c r="BP746" s="49">
        <f t="shared" ca="1" si="5764"/>
        <v>0</v>
      </c>
      <c r="BQ746" s="49">
        <f t="shared" ca="1" si="5764"/>
        <v>0</v>
      </c>
      <c r="BR746" s="49">
        <f t="shared" ca="1" si="5764"/>
        <v>0</v>
      </c>
      <c r="BS746" s="49">
        <f t="shared" ca="1" si="5764"/>
        <v>0</v>
      </c>
      <c r="BT746" s="49">
        <f t="shared" ca="1" si="5764"/>
        <v>0</v>
      </c>
      <c r="BU746" s="49">
        <f t="shared" ca="1" si="5764"/>
        <v>0</v>
      </c>
      <c r="BV746" s="49">
        <f t="shared" ca="1" si="5764"/>
        <v>0</v>
      </c>
      <c r="BW746" s="49">
        <f t="shared" ca="1" si="5764"/>
        <v>0</v>
      </c>
      <c r="BX746" s="49">
        <f t="shared" ca="1" si="5764"/>
        <v>0</v>
      </c>
      <c r="BY746" s="49">
        <f t="shared" ref="BY746:CO746" ca="1" si="5765" xml:space="preserve"> SUM(BY743:BY745) * $I$515</f>
        <v>0</v>
      </c>
      <c r="BZ746" s="49">
        <f t="shared" ca="1" si="5765"/>
        <v>0</v>
      </c>
      <c r="CA746" s="49">
        <f t="shared" ca="1" si="5765"/>
        <v>0</v>
      </c>
      <c r="CB746" s="49">
        <f t="shared" ca="1" si="5765"/>
        <v>0</v>
      </c>
      <c r="CC746" s="49">
        <f t="shared" ca="1" si="5765"/>
        <v>0</v>
      </c>
      <c r="CD746" s="49">
        <f t="shared" ca="1" si="5765"/>
        <v>0</v>
      </c>
      <c r="CE746" s="49">
        <f t="shared" ca="1" si="5765"/>
        <v>0</v>
      </c>
      <c r="CF746" s="49">
        <f t="shared" ca="1" si="5765"/>
        <v>0</v>
      </c>
      <c r="CG746" s="49">
        <f t="shared" ca="1" si="5765"/>
        <v>0</v>
      </c>
      <c r="CH746" s="49">
        <f t="shared" ca="1" si="5765"/>
        <v>0</v>
      </c>
      <c r="CI746" s="49">
        <f t="shared" ca="1" si="5765"/>
        <v>0</v>
      </c>
      <c r="CJ746" s="49">
        <f t="shared" ca="1" si="5765"/>
        <v>0</v>
      </c>
      <c r="CK746" s="49">
        <f t="shared" ca="1" si="5765"/>
        <v>0</v>
      </c>
      <c r="CL746" s="49">
        <f t="shared" ca="1" si="5765"/>
        <v>0</v>
      </c>
      <c r="CM746" s="49">
        <f t="shared" ca="1" si="5765"/>
        <v>0</v>
      </c>
      <c r="CN746" s="49">
        <f t="shared" ca="1" si="5765"/>
        <v>0</v>
      </c>
      <c r="CO746" s="49">
        <f t="shared" ca="1" si="5765"/>
        <v>0</v>
      </c>
    </row>
    <row r="747" spans="1:93" s="141" customFormat="1" ht="12.5">
      <c r="B747" s="10"/>
      <c r="C747" s="21"/>
      <c r="D747" s="10"/>
      <c r="E747" s="62"/>
      <c r="F747" s="11"/>
      <c r="G747" s="11"/>
      <c r="H747" s="10"/>
      <c r="I747" s="10"/>
      <c r="J747" s="10"/>
      <c r="K747" s="10"/>
      <c r="L747" s="170"/>
      <c r="M747" s="170"/>
      <c r="N747" s="170"/>
      <c r="O747" s="170"/>
      <c r="P747" s="170"/>
      <c r="Q747" s="170"/>
      <c r="R747" s="170"/>
      <c r="S747" s="170"/>
      <c r="T747" s="170"/>
      <c r="U747" s="170"/>
      <c r="V747" s="170"/>
      <c r="W747" s="170"/>
      <c r="X747" s="170"/>
      <c r="Y747" s="170"/>
      <c r="Z747" s="170"/>
      <c r="AA747" s="170"/>
      <c r="AB747" s="170"/>
      <c r="AC747" s="170"/>
      <c r="AD747" s="170"/>
      <c r="AE747" s="170"/>
      <c r="AF747" s="170"/>
      <c r="AG747" s="170"/>
      <c r="AH747" s="170"/>
      <c r="AI747" s="170"/>
      <c r="AJ747" s="170"/>
      <c r="AK747" s="170"/>
      <c r="AL747" s="170"/>
      <c r="AM747" s="170"/>
      <c r="AN747" s="170"/>
      <c r="AO747" s="170"/>
      <c r="AP747" s="170"/>
      <c r="AQ747" s="170"/>
      <c r="AR747" s="170"/>
      <c r="AS747" s="170"/>
      <c r="AT747" s="170"/>
      <c r="AU747" s="170"/>
      <c r="AV747" s="170"/>
      <c r="AW747" s="170"/>
      <c r="AX747" s="170"/>
      <c r="AY747" s="170"/>
      <c r="AZ747" s="170"/>
      <c r="BA747" s="170"/>
      <c r="BB747" s="170"/>
      <c r="BC747" s="170"/>
      <c r="BD747" s="170"/>
      <c r="BE747" s="170"/>
      <c r="BF747" s="170"/>
      <c r="BG747" s="170"/>
      <c r="BH747" s="170"/>
      <c r="BI747" s="170"/>
      <c r="BJ747" s="170"/>
      <c r="BK747" s="170"/>
      <c r="BL747" s="170"/>
      <c r="BM747" s="170"/>
      <c r="BN747" s="170"/>
      <c r="BO747" s="170"/>
      <c r="BP747" s="170"/>
      <c r="BQ747" s="170"/>
      <c r="BR747" s="170"/>
      <c r="BS747" s="170"/>
      <c r="BT747" s="170"/>
      <c r="BU747" s="170"/>
      <c r="BV747" s="170"/>
      <c r="BW747" s="170"/>
      <c r="BX747" s="170"/>
      <c r="BY747" s="170"/>
      <c r="BZ747" s="170"/>
      <c r="CA747" s="170"/>
      <c r="CB747" s="170"/>
      <c r="CC747" s="170"/>
      <c r="CD747" s="170"/>
      <c r="CE747" s="170"/>
      <c r="CF747" s="170"/>
      <c r="CG747" s="170"/>
      <c r="CH747" s="170"/>
      <c r="CI747" s="170"/>
      <c r="CJ747" s="170"/>
      <c r="CK747" s="170"/>
      <c r="CL747" s="170"/>
      <c r="CM747" s="170"/>
      <c r="CN747" s="170"/>
      <c r="CO747" s="170"/>
    </row>
    <row r="748" spans="1:93" ht="15" customHeight="1">
      <c r="A748" s="10"/>
      <c r="B748" s="3"/>
      <c r="C748" s="384" t="str">
        <f>C511</f>
        <v>Сегмент 3: Крытый парк развлечений</v>
      </c>
      <c r="D748" s="273"/>
      <c r="E748" s="273"/>
      <c r="F748" s="273"/>
      <c r="G748" s="274"/>
      <c r="H748" s="273"/>
      <c r="I748" s="273"/>
      <c r="J748" s="273"/>
      <c r="K748" s="273"/>
      <c r="L748" s="273"/>
      <c r="M748" s="273"/>
      <c r="N748" s="273"/>
      <c r="O748" s="273"/>
      <c r="P748" s="273"/>
      <c r="Q748" s="273"/>
      <c r="R748" s="273"/>
      <c r="S748" s="273"/>
      <c r="T748" s="273"/>
      <c r="U748" s="273"/>
      <c r="V748" s="273"/>
      <c r="W748" s="273"/>
      <c r="X748" s="273"/>
      <c r="Y748" s="273"/>
      <c r="Z748" s="273"/>
      <c r="AA748" s="273"/>
      <c r="AB748" s="273"/>
      <c r="AC748" s="273"/>
      <c r="AD748" s="273"/>
      <c r="AE748" s="273"/>
      <c r="AF748" s="273"/>
      <c r="AG748" s="273"/>
      <c r="AH748" s="273"/>
      <c r="AI748" s="273"/>
      <c r="AJ748" s="273"/>
      <c r="AK748" s="273"/>
      <c r="AL748" s="273"/>
      <c r="AM748" s="273"/>
      <c r="AN748" s="273"/>
      <c r="AO748" s="273"/>
      <c r="AP748" s="273"/>
      <c r="AQ748" s="273"/>
      <c r="AR748" s="273"/>
      <c r="AS748" s="273"/>
      <c r="AT748" s="273"/>
      <c r="AU748" s="273"/>
      <c r="AV748" s="273"/>
      <c r="AW748" s="273"/>
      <c r="AX748" s="273"/>
      <c r="AY748" s="273"/>
      <c r="AZ748" s="273"/>
      <c r="BA748" s="273"/>
      <c r="BB748" s="273"/>
      <c r="BC748" s="273"/>
      <c r="BD748" s="273"/>
      <c r="BE748" s="273"/>
      <c r="BF748" s="273"/>
      <c r="BG748" s="273"/>
      <c r="BH748" s="273"/>
      <c r="BI748" s="273"/>
      <c r="BJ748" s="273"/>
      <c r="BK748" s="273"/>
      <c r="BL748" s="273"/>
      <c r="BM748" s="273"/>
      <c r="BN748" s="273"/>
      <c r="BO748" s="273"/>
      <c r="BP748" s="273"/>
      <c r="BQ748" s="273"/>
      <c r="BR748" s="273"/>
      <c r="BS748" s="273"/>
      <c r="BT748" s="273"/>
      <c r="BU748" s="273"/>
      <c r="BV748" s="273"/>
      <c r="BW748" s="273"/>
      <c r="BX748" s="273"/>
      <c r="BY748" s="273"/>
      <c r="BZ748" s="273"/>
      <c r="CA748" s="273"/>
      <c r="CB748" s="273"/>
      <c r="CC748" s="273"/>
      <c r="CD748" s="273"/>
      <c r="CE748" s="273"/>
      <c r="CF748" s="273"/>
      <c r="CG748" s="273"/>
      <c r="CH748" s="273"/>
      <c r="CI748" s="273"/>
      <c r="CJ748" s="273"/>
      <c r="CK748" s="273"/>
      <c r="CL748" s="273"/>
      <c r="CM748" s="273"/>
      <c r="CN748" s="273"/>
      <c r="CO748" s="273"/>
    </row>
    <row r="749" spans="1:93" s="141" customFormat="1" ht="12.5">
      <c r="B749" s="10"/>
      <c r="C749" s="21"/>
      <c r="D749" s="10"/>
      <c r="E749" s="62"/>
      <c r="F749" s="11"/>
      <c r="G749" s="11"/>
      <c r="H749" s="10"/>
      <c r="I749" s="10"/>
      <c r="J749" s="10"/>
      <c r="K749" s="10"/>
      <c r="L749" s="170"/>
      <c r="M749" s="170"/>
      <c r="N749" s="170"/>
      <c r="O749" s="170"/>
      <c r="P749" s="170"/>
      <c r="Q749" s="170"/>
      <c r="R749" s="170"/>
      <c r="S749" s="170"/>
      <c r="T749" s="170"/>
      <c r="U749" s="170"/>
      <c r="V749" s="170"/>
      <c r="W749" s="170"/>
      <c r="X749" s="170"/>
      <c r="Y749" s="170"/>
      <c r="Z749" s="170"/>
      <c r="AA749" s="170"/>
      <c r="AB749" s="170"/>
      <c r="AC749" s="170"/>
      <c r="AD749" s="170"/>
      <c r="AE749" s="170"/>
      <c r="AF749" s="170"/>
      <c r="AG749" s="170"/>
      <c r="AH749" s="170"/>
      <c r="AI749" s="170"/>
      <c r="AJ749" s="170"/>
      <c r="AK749" s="170"/>
      <c r="AL749" s="170"/>
      <c r="AM749" s="170"/>
      <c r="AN749" s="170"/>
      <c r="AO749" s="170"/>
      <c r="AP749" s="170"/>
      <c r="AQ749" s="170"/>
      <c r="AR749" s="170"/>
      <c r="AS749" s="170"/>
      <c r="AT749" s="170"/>
      <c r="AU749" s="170"/>
      <c r="AV749" s="170"/>
      <c r="AW749" s="170"/>
      <c r="AX749" s="170"/>
      <c r="AY749" s="170"/>
      <c r="AZ749" s="170"/>
      <c r="BA749" s="170"/>
      <c r="BB749" s="170"/>
      <c r="BC749" s="170"/>
      <c r="BD749" s="170"/>
      <c r="BE749" s="170"/>
      <c r="BF749" s="170"/>
      <c r="BG749" s="170"/>
      <c r="BH749" s="170"/>
      <c r="BI749" s="170"/>
      <c r="BJ749" s="170"/>
      <c r="BK749" s="170"/>
      <c r="BL749" s="170"/>
      <c r="BM749" s="170"/>
      <c r="BN749" s="170"/>
      <c r="BO749" s="170"/>
      <c r="BP749" s="170"/>
      <c r="BQ749" s="170"/>
      <c r="BR749" s="170"/>
      <c r="BS749" s="170"/>
      <c r="BT749" s="170"/>
      <c r="BU749" s="170"/>
      <c r="BV749" s="170"/>
      <c r="BW749" s="170"/>
      <c r="BX749" s="170"/>
      <c r="BY749" s="170"/>
      <c r="BZ749" s="170"/>
      <c r="CA749" s="170"/>
      <c r="CB749" s="170"/>
      <c r="CC749" s="170"/>
      <c r="CD749" s="170"/>
      <c r="CE749" s="170"/>
      <c r="CF749" s="170"/>
      <c r="CG749" s="170"/>
      <c r="CH749" s="170"/>
      <c r="CI749" s="170"/>
      <c r="CJ749" s="170"/>
      <c r="CK749" s="170"/>
      <c r="CL749" s="170"/>
      <c r="CM749" s="170"/>
      <c r="CN749" s="170"/>
      <c r="CO749" s="170"/>
    </row>
    <row r="750" spans="1:93" s="141" customFormat="1" ht="16" thickBot="1">
      <c r="B750" s="10"/>
      <c r="C750" s="12" t="s">
        <v>884</v>
      </c>
      <c r="D750" s="12"/>
      <c r="E750" s="12"/>
      <c r="F750" s="12"/>
      <c r="G750" s="362"/>
      <c r="H750" s="12"/>
      <c r="I750" s="12"/>
      <c r="J750" s="10"/>
      <c r="K750" s="10"/>
      <c r="L750" s="170"/>
      <c r="M750" s="170"/>
      <c r="N750" s="170"/>
      <c r="O750" s="170"/>
      <c r="P750" s="170"/>
      <c r="Q750" s="170"/>
      <c r="R750" s="170"/>
      <c r="S750" s="170"/>
      <c r="T750" s="170"/>
      <c r="U750" s="170"/>
      <c r="V750" s="170"/>
      <c r="W750" s="170"/>
      <c r="X750" s="170"/>
      <c r="Y750" s="170"/>
      <c r="Z750" s="170"/>
      <c r="AA750" s="170"/>
      <c r="AB750" s="170"/>
      <c r="AC750" s="170"/>
      <c r="AD750" s="170"/>
      <c r="AE750" s="170"/>
      <c r="AF750" s="170"/>
      <c r="AG750" s="170"/>
      <c r="AH750" s="170"/>
      <c r="AI750" s="170"/>
      <c r="AJ750" s="170"/>
      <c r="AK750" s="170"/>
      <c r="AL750" s="170"/>
      <c r="AM750" s="170"/>
      <c r="AN750" s="170"/>
      <c r="AO750" s="170"/>
      <c r="AP750" s="170"/>
      <c r="AQ750" s="170"/>
      <c r="AR750" s="170"/>
      <c r="AS750" s="170"/>
      <c r="AT750" s="170"/>
      <c r="AU750" s="170"/>
      <c r="AV750" s="170"/>
      <c r="AW750" s="170"/>
      <c r="AX750" s="170"/>
      <c r="AY750" s="170"/>
      <c r="AZ750" s="170"/>
      <c r="BA750" s="170"/>
      <c r="BB750" s="170"/>
      <c r="BC750" s="170"/>
      <c r="BD750" s="170"/>
      <c r="BE750" s="170"/>
      <c r="BF750" s="170"/>
      <c r="BG750" s="170"/>
      <c r="BH750" s="170"/>
      <c r="BI750" s="170"/>
      <c r="BJ750" s="170"/>
      <c r="BK750" s="170"/>
      <c r="BL750" s="170"/>
      <c r="BM750" s="170"/>
      <c r="BN750" s="170"/>
      <c r="BO750" s="170"/>
      <c r="BP750" s="170"/>
      <c r="BQ750" s="170"/>
      <c r="BR750" s="170"/>
      <c r="BS750" s="170"/>
      <c r="BT750" s="170"/>
      <c r="BU750" s="170"/>
      <c r="BV750" s="170"/>
      <c r="BW750" s="170"/>
      <c r="BX750" s="170"/>
      <c r="BY750" s="170"/>
      <c r="BZ750" s="170"/>
      <c r="CA750" s="170"/>
      <c r="CB750" s="170"/>
      <c r="CC750" s="170"/>
      <c r="CD750" s="170"/>
      <c r="CE750" s="170"/>
      <c r="CF750" s="170"/>
      <c r="CG750" s="170"/>
      <c r="CH750" s="170"/>
      <c r="CI750" s="170"/>
      <c r="CJ750" s="170"/>
      <c r="CK750" s="170"/>
      <c r="CL750" s="170"/>
      <c r="CM750" s="170"/>
      <c r="CN750" s="170"/>
      <c r="CO750" s="170"/>
    </row>
    <row r="751" spans="1:93" s="141" customFormat="1" ht="12.5">
      <c r="B751" s="10"/>
      <c r="C751" s="21"/>
      <c r="D751" s="10"/>
      <c r="E751" s="62"/>
      <c r="F751" s="11"/>
      <c r="G751" s="11"/>
      <c r="H751" s="10"/>
      <c r="I751" s="10"/>
      <c r="J751" s="10"/>
      <c r="K751" s="10"/>
      <c r="L751" s="170"/>
      <c r="M751" s="170"/>
      <c r="N751" s="170"/>
      <c r="O751" s="170"/>
      <c r="P751" s="170"/>
      <c r="Q751" s="170"/>
      <c r="R751" s="170"/>
      <c r="S751" s="170"/>
      <c r="T751" s="170"/>
      <c r="U751" s="170"/>
      <c r="V751" s="170"/>
      <c r="W751" s="170"/>
      <c r="X751" s="170"/>
      <c r="Y751" s="170"/>
      <c r="Z751" s="170"/>
      <c r="AA751" s="170"/>
      <c r="AB751" s="170"/>
      <c r="AC751" s="170"/>
      <c r="AD751" s="170"/>
      <c r="AE751" s="170"/>
      <c r="AF751" s="170"/>
      <c r="AG751" s="170"/>
      <c r="AH751" s="170"/>
      <c r="AI751" s="170"/>
      <c r="AJ751" s="170"/>
      <c r="AK751" s="170"/>
      <c r="AL751" s="170"/>
      <c r="AM751" s="170"/>
      <c r="AN751" s="170"/>
      <c r="AO751" s="170"/>
      <c r="AP751" s="170"/>
      <c r="AQ751" s="170"/>
      <c r="AR751" s="170"/>
      <c r="AS751" s="170"/>
      <c r="AT751" s="170"/>
      <c r="AU751" s="170"/>
      <c r="AV751" s="170"/>
      <c r="AW751" s="170"/>
      <c r="AX751" s="170"/>
      <c r="AY751" s="170"/>
      <c r="AZ751" s="170"/>
      <c r="BA751" s="170"/>
      <c r="BB751" s="170"/>
      <c r="BC751" s="170"/>
      <c r="BD751" s="170"/>
      <c r="BE751" s="170"/>
      <c r="BF751" s="170"/>
      <c r="BG751" s="170"/>
      <c r="BH751" s="170"/>
      <c r="BI751" s="170"/>
      <c r="BJ751" s="170"/>
      <c r="BK751" s="170"/>
      <c r="BL751" s="170"/>
      <c r="BM751" s="170"/>
      <c r="BN751" s="170"/>
      <c r="BO751" s="170"/>
      <c r="BP751" s="170"/>
      <c r="BQ751" s="170"/>
      <c r="BR751" s="170"/>
      <c r="BS751" s="170"/>
      <c r="BT751" s="170"/>
      <c r="BU751" s="170"/>
      <c r="BV751" s="170"/>
      <c r="BW751" s="170"/>
      <c r="BX751" s="170"/>
      <c r="BY751" s="170"/>
      <c r="BZ751" s="170"/>
      <c r="CA751" s="170"/>
      <c r="CB751" s="170"/>
      <c r="CC751" s="170"/>
      <c r="CD751" s="170"/>
      <c r="CE751" s="170"/>
      <c r="CF751" s="170"/>
      <c r="CG751" s="170"/>
      <c r="CH751" s="170"/>
      <c r="CI751" s="170"/>
      <c r="CJ751" s="170"/>
      <c r="CK751" s="170"/>
      <c r="CL751" s="170"/>
      <c r="CM751" s="170"/>
      <c r="CN751" s="170"/>
      <c r="CO751" s="170"/>
    </row>
    <row r="752" spans="1:93" s="141" customFormat="1" ht="14">
      <c r="B752" s="10"/>
      <c r="C752" s="41" t="s">
        <v>710</v>
      </c>
      <c r="D752" s="10"/>
      <c r="E752" s="62"/>
      <c r="F752" s="11"/>
      <c r="G752" s="11"/>
      <c r="H752" s="10"/>
      <c r="I752" s="10"/>
      <c r="J752" s="10"/>
      <c r="K752" s="10"/>
      <c r="L752" s="170"/>
      <c r="M752" s="170"/>
      <c r="N752" s="170"/>
      <c r="O752" s="170"/>
      <c r="P752" s="170"/>
      <c r="Q752" s="170"/>
      <c r="R752" s="170"/>
      <c r="S752" s="170"/>
      <c r="T752" s="170"/>
      <c r="U752" s="170"/>
      <c r="V752" s="170"/>
      <c r="W752" s="170"/>
      <c r="X752" s="170"/>
      <c r="Y752" s="170"/>
      <c r="Z752" s="170"/>
      <c r="AA752" s="170"/>
      <c r="AB752" s="170"/>
      <c r="AC752" s="170"/>
      <c r="AD752" s="170"/>
      <c r="AE752" s="170"/>
      <c r="AF752" s="170"/>
      <c r="AG752" s="170"/>
      <c r="AH752" s="170"/>
      <c r="AI752" s="170"/>
      <c r="AJ752" s="170"/>
      <c r="AK752" s="170"/>
      <c r="AL752" s="170"/>
      <c r="AM752" s="170"/>
      <c r="AN752" s="170"/>
      <c r="AO752" s="170"/>
      <c r="AP752" s="170"/>
      <c r="AQ752" s="170"/>
      <c r="AR752" s="170"/>
      <c r="AS752" s="170"/>
      <c r="AT752" s="170"/>
      <c r="AU752" s="170"/>
      <c r="AV752" s="170"/>
      <c r="AW752" s="170"/>
      <c r="AX752" s="170"/>
      <c r="AY752" s="170"/>
      <c r="AZ752" s="170"/>
      <c r="BA752" s="170"/>
      <c r="BB752" s="170"/>
      <c r="BC752" s="170"/>
      <c r="BD752" s="170"/>
      <c r="BE752" s="170"/>
      <c r="BF752" s="170"/>
      <c r="BG752" s="170"/>
      <c r="BH752" s="170"/>
      <c r="BI752" s="170"/>
      <c r="BJ752" s="170"/>
      <c r="BK752" s="170"/>
      <c r="BL752" s="170"/>
      <c r="BM752" s="170"/>
      <c r="BN752" s="170"/>
      <c r="BO752" s="170"/>
      <c r="BP752" s="170"/>
      <c r="BQ752" s="170"/>
      <c r="BR752" s="170"/>
      <c r="BS752" s="170"/>
      <c r="BT752" s="170"/>
      <c r="BU752" s="170"/>
      <c r="BV752" s="170"/>
      <c r="BW752" s="170"/>
      <c r="BX752" s="170"/>
      <c r="BY752" s="170"/>
      <c r="BZ752" s="170"/>
      <c r="CA752" s="170"/>
      <c r="CB752" s="170"/>
      <c r="CC752" s="170"/>
      <c r="CD752" s="170"/>
      <c r="CE752" s="170"/>
      <c r="CF752" s="170"/>
      <c r="CG752" s="170"/>
      <c r="CH752" s="170"/>
      <c r="CI752" s="170"/>
      <c r="CJ752" s="170"/>
      <c r="CK752" s="170"/>
      <c r="CL752" s="170"/>
      <c r="CM752" s="170"/>
      <c r="CN752" s="170"/>
      <c r="CO752" s="170"/>
    </row>
    <row r="753" spans="1:93" s="141" customFormat="1" ht="14.5" customHeight="1">
      <c r="B753" s="10"/>
      <c r="C753" s="21" t="s">
        <v>1137</v>
      </c>
      <c r="D753" s="10"/>
      <c r="E753" s="62"/>
      <c r="F753" s="11"/>
      <c r="G753" s="11" t="str">
        <f xml:space="preserve"> Monetary_Unit</f>
        <v>тыс. руб.</v>
      </c>
      <c r="H753" s="10"/>
      <c r="I753" s="23">
        <f ca="1">SUM(L753:CO753)</f>
        <v>52775070.751086481</v>
      </c>
      <c r="J753" s="10"/>
      <c r="K753" s="10"/>
      <c r="L753" s="452">
        <f t="shared" ref="L753:AQ753" ca="1" si="5766">L691+L696+L700</f>
        <v>0</v>
      </c>
      <c r="M753" s="452">
        <f t="shared" ca="1" si="5766"/>
        <v>0</v>
      </c>
      <c r="N753" s="452">
        <f t="shared" ca="1" si="5766"/>
        <v>0</v>
      </c>
      <c r="O753" s="452">
        <f t="shared" ca="1" si="5766"/>
        <v>0</v>
      </c>
      <c r="P753" s="452">
        <f t="shared" ca="1" si="5766"/>
        <v>0</v>
      </c>
      <c r="Q753" s="452">
        <f t="shared" ca="1" si="5766"/>
        <v>0</v>
      </c>
      <c r="R753" s="452">
        <f t="shared" ca="1" si="5766"/>
        <v>0</v>
      </c>
      <c r="S753" s="452">
        <f t="shared" ca="1" si="5766"/>
        <v>0</v>
      </c>
      <c r="T753" s="452">
        <f t="shared" ca="1" si="5766"/>
        <v>0</v>
      </c>
      <c r="U753" s="452">
        <f t="shared" ca="1" si="5766"/>
        <v>0</v>
      </c>
      <c r="V753" s="452">
        <f t="shared" ca="1" si="5766"/>
        <v>0</v>
      </c>
      <c r="W753" s="452">
        <f t="shared" ca="1" si="5766"/>
        <v>0</v>
      </c>
      <c r="X753" s="452">
        <f t="shared" ca="1" si="5766"/>
        <v>0</v>
      </c>
      <c r="Y753" s="452">
        <f t="shared" ca="1" si="5766"/>
        <v>0</v>
      </c>
      <c r="Z753" s="452">
        <f t="shared" ca="1" si="5766"/>
        <v>0</v>
      </c>
      <c r="AA753" s="452">
        <f t="shared" ca="1" si="5766"/>
        <v>0</v>
      </c>
      <c r="AB753" s="452">
        <f t="shared" ca="1" si="5766"/>
        <v>0</v>
      </c>
      <c r="AC753" s="452">
        <f t="shared" ca="1" si="5766"/>
        <v>458322.20121194725</v>
      </c>
      <c r="AD753" s="452">
        <f t="shared" ca="1" si="5766"/>
        <v>596390.3795291296</v>
      </c>
      <c r="AE753" s="452">
        <f t="shared" ca="1" si="5766"/>
        <v>353319.83543317515</v>
      </c>
      <c r="AF753" s="452">
        <f t="shared" ca="1" si="5766"/>
        <v>346731.57866129617</v>
      </c>
      <c r="AG753" s="452">
        <f t="shared" ca="1" si="5766"/>
        <v>547270.65803974739</v>
      </c>
      <c r="AH753" s="452">
        <f t="shared" ca="1" si="5766"/>
        <v>708852.56538319448</v>
      </c>
      <c r="AI753" s="452">
        <f t="shared" ca="1" si="5766"/>
        <v>418135.75007126114</v>
      </c>
      <c r="AJ753" s="452">
        <f t="shared" ca="1" si="5766"/>
        <v>408680.95404878119</v>
      </c>
      <c r="AK753" s="452">
        <f t="shared" ca="1" si="5766"/>
        <v>642601.67589183268</v>
      </c>
      <c r="AL753" s="452">
        <f t="shared" ca="1" si="5766"/>
        <v>829357.5014983376</v>
      </c>
      <c r="AM753" s="452">
        <f t="shared" ca="1" si="5766"/>
        <v>487571.62614370097</v>
      </c>
      <c r="AN753" s="452">
        <f t="shared" ca="1" si="5766"/>
        <v>480309.63681853365</v>
      </c>
      <c r="AO753" s="452">
        <f t="shared" ca="1" si="5766"/>
        <v>744683.54211922036</v>
      </c>
      <c r="AP753" s="452">
        <f t="shared" ca="1" si="5766"/>
        <v>934409.45168812654</v>
      </c>
      <c r="AQ753" s="452">
        <f t="shared" ca="1" si="5766"/>
        <v>534483.92314563505</v>
      </c>
      <c r="AR753" s="452">
        <f t="shared" ref="AR753:BW753" ca="1" si="5767">AR691+AR696+AR700</f>
        <v>507033.63164903823</v>
      </c>
      <c r="AS753" s="452">
        <f t="shared" ca="1" si="5767"/>
        <v>774470.88380398916</v>
      </c>
      <c r="AT753" s="452">
        <f t="shared" ca="1" si="5767"/>
        <v>971785.82975565165</v>
      </c>
      <c r="AU753" s="452">
        <f t="shared" ca="1" si="5767"/>
        <v>555863.28007146041</v>
      </c>
      <c r="AV753" s="452">
        <f t="shared" ca="1" si="5767"/>
        <v>527314.97691499966</v>
      </c>
      <c r="AW753" s="452">
        <f t="shared" ca="1" si="5767"/>
        <v>805449.71915614884</v>
      </c>
      <c r="AX753" s="452">
        <f t="shared" ca="1" si="5767"/>
        <v>1010657.2629458774</v>
      </c>
      <c r="AY753" s="452">
        <f t="shared" ca="1" si="5767"/>
        <v>578097.81127431884</v>
      </c>
      <c r="AZ753" s="452">
        <f t="shared" ca="1" si="5767"/>
        <v>548407.57599159959</v>
      </c>
      <c r="BA753" s="452">
        <f t="shared" ca="1" si="5767"/>
        <v>837667.7079223945</v>
      </c>
      <c r="BB753" s="452">
        <f t="shared" ca="1" si="5767"/>
        <v>1051083.5534637121</v>
      </c>
      <c r="BC753" s="452">
        <f t="shared" ca="1" si="5767"/>
        <v>601221.72372529143</v>
      </c>
      <c r="BD753" s="452">
        <f t="shared" ca="1" si="5767"/>
        <v>576681.03324272193</v>
      </c>
      <c r="BE753" s="452">
        <f t="shared" ca="1" si="5767"/>
        <v>871174.41623929003</v>
      </c>
      <c r="BF753" s="452">
        <f t="shared" ca="1" si="5767"/>
        <v>1093126.8956022605</v>
      </c>
      <c r="BG753" s="452">
        <f t="shared" ca="1" si="5767"/>
        <v>625270.59267430298</v>
      </c>
      <c r="BH753" s="452">
        <f t="shared" ca="1" si="5767"/>
        <v>593157.63419251388</v>
      </c>
      <c r="BI753" s="452">
        <f t="shared" ca="1" si="5767"/>
        <v>906021.39288886171</v>
      </c>
      <c r="BJ753" s="452">
        <f t="shared" ca="1" si="5767"/>
        <v>1136851.9714263508</v>
      </c>
      <c r="BK753" s="452">
        <f t="shared" ca="1" si="5767"/>
        <v>650281.41638127505</v>
      </c>
      <c r="BL753" s="452">
        <f t="shared" ca="1" si="5767"/>
        <v>616883.93956021441</v>
      </c>
      <c r="BM753" s="452">
        <f t="shared" ca="1" si="5767"/>
        <v>942262.24860441603</v>
      </c>
      <c r="BN753" s="452">
        <f t="shared" ca="1" si="5767"/>
        <v>1182326.0502834048</v>
      </c>
      <c r="BO753" s="452">
        <f t="shared" ca="1" si="5767"/>
        <v>676292.67303652596</v>
      </c>
      <c r="BP753" s="452">
        <f t="shared" ca="1" si="5767"/>
        <v>641559.29714262288</v>
      </c>
      <c r="BQ753" s="452">
        <f t="shared" ca="1" si="5767"/>
        <v>979952.73854859243</v>
      </c>
      <c r="BR753" s="452">
        <f t="shared" ca="1" si="5767"/>
        <v>1229619.0922947407</v>
      </c>
      <c r="BS753" s="452">
        <f t="shared" ca="1" si="5767"/>
        <v>703344.37995798665</v>
      </c>
      <c r="BT753" s="452">
        <f t="shared" ca="1" si="5767"/>
        <v>674635.24312864244</v>
      </c>
      <c r="BU753" s="452">
        <f t="shared" ca="1" si="5767"/>
        <v>1019150.848090536</v>
      </c>
      <c r="BV753" s="452">
        <f t="shared" ca="1" si="5767"/>
        <v>1278803.85598653</v>
      </c>
      <c r="BW753" s="452">
        <f t="shared" ca="1" si="5767"/>
        <v>731478.15515630599</v>
      </c>
      <c r="BX753" s="452">
        <f t="shared" ref="BX753:CO753" ca="1" si="5768">BX691+BX696+BX700</f>
        <v>693910.53578946064</v>
      </c>
      <c r="BY753" s="452">
        <f t="shared" ca="1" si="5768"/>
        <v>1059916.882014157</v>
      </c>
      <c r="BZ753" s="452">
        <f t="shared" ca="1" si="5768"/>
        <v>1329956.010225991</v>
      </c>
      <c r="CA753" s="452">
        <f t="shared" ca="1" si="5768"/>
        <v>760737.28136255825</v>
      </c>
      <c r="CB753" s="452">
        <f t="shared" ca="1" si="5768"/>
        <v>721666.95722103911</v>
      </c>
      <c r="CC753" s="452">
        <f t="shared" ca="1" si="5768"/>
        <v>1102313.5572947236</v>
      </c>
      <c r="CD753" s="452">
        <f t="shared" ca="1" si="5768"/>
        <v>1383154.2506350307</v>
      </c>
      <c r="CE753" s="452">
        <f t="shared" ca="1" si="5768"/>
        <v>791166.77261706057</v>
      </c>
      <c r="CF753" s="452">
        <f t="shared" ca="1" si="5768"/>
        <v>750533.63550988061</v>
      </c>
      <c r="CG753" s="452">
        <f t="shared" ca="1" si="5768"/>
        <v>1146406.0995865124</v>
      </c>
      <c r="CH753" s="452">
        <f t="shared" ca="1" si="5768"/>
        <v>1438480.4206604315</v>
      </c>
      <c r="CI753" s="452">
        <f t="shared" ca="1" si="5768"/>
        <v>822813.44352174317</v>
      </c>
      <c r="CJ753" s="452">
        <f t="shared" ca="1" si="5768"/>
        <v>789227.81405172311</v>
      </c>
      <c r="CK753" s="452">
        <f t="shared" ca="1" si="5768"/>
        <v>1192262.3435699726</v>
      </c>
      <c r="CL753" s="452">
        <f t="shared" ca="1" si="5768"/>
        <v>1496019.6374868487</v>
      </c>
      <c r="CM753" s="452">
        <f t="shared" ca="1" si="5768"/>
        <v>855725.98126261262</v>
      </c>
      <c r="CN753" s="452">
        <f t="shared" ca="1" si="5768"/>
        <v>811777.18016748666</v>
      </c>
      <c r="CO753" s="452">
        <f t="shared" ca="1" si="5768"/>
        <v>1239952.8373127715</v>
      </c>
    </row>
    <row r="754" spans="1:93" s="141" customFormat="1" ht="14.5" customHeight="1">
      <c r="B754" s="10"/>
      <c r="C754" s="21" t="s">
        <v>890</v>
      </c>
      <c r="D754" s="10"/>
      <c r="E754" s="62"/>
      <c r="F754" s="11"/>
      <c r="G754" s="11" t="str">
        <f xml:space="preserve"> Monetary_Unit</f>
        <v>тыс. руб.</v>
      </c>
      <c r="H754" s="10"/>
      <c r="I754" s="23">
        <f ca="1">SUM(L754:CO754)</f>
        <v>0</v>
      </c>
      <c r="J754" s="10"/>
      <c r="K754" s="10"/>
      <c r="L754" s="10">
        <f ca="1">SUM(L743:L745)</f>
        <v>0</v>
      </c>
      <c r="M754" s="10">
        <f t="shared" ref="M754:BX754" ca="1" si="5769">SUM(M743:M745)</f>
        <v>0</v>
      </c>
      <c r="N754" s="10">
        <f t="shared" ca="1" si="5769"/>
        <v>0</v>
      </c>
      <c r="O754" s="10">
        <f t="shared" ca="1" si="5769"/>
        <v>0</v>
      </c>
      <c r="P754" s="10">
        <f t="shared" ca="1" si="5769"/>
        <v>0</v>
      </c>
      <c r="Q754" s="10">
        <f t="shared" ca="1" si="5769"/>
        <v>0</v>
      </c>
      <c r="R754" s="10">
        <f t="shared" ca="1" si="5769"/>
        <v>0</v>
      </c>
      <c r="S754" s="10">
        <f t="shared" ca="1" si="5769"/>
        <v>0</v>
      </c>
      <c r="T754" s="10">
        <f t="shared" ca="1" si="5769"/>
        <v>0</v>
      </c>
      <c r="U754" s="10">
        <f t="shared" ca="1" si="5769"/>
        <v>0</v>
      </c>
      <c r="V754" s="10">
        <f t="shared" ca="1" si="5769"/>
        <v>0</v>
      </c>
      <c r="W754" s="10">
        <f t="shared" ca="1" si="5769"/>
        <v>0</v>
      </c>
      <c r="X754" s="10">
        <f t="shared" ca="1" si="5769"/>
        <v>0</v>
      </c>
      <c r="Y754" s="10">
        <f t="shared" ca="1" si="5769"/>
        <v>0</v>
      </c>
      <c r="Z754" s="10">
        <f t="shared" ca="1" si="5769"/>
        <v>0</v>
      </c>
      <c r="AA754" s="10">
        <f t="shared" ca="1" si="5769"/>
        <v>0</v>
      </c>
      <c r="AB754" s="10">
        <f t="shared" ca="1" si="5769"/>
        <v>0</v>
      </c>
      <c r="AC754" s="10">
        <f t="shared" ca="1" si="5769"/>
        <v>0</v>
      </c>
      <c r="AD754" s="10">
        <f t="shared" ca="1" si="5769"/>
        <v>0</v>
      </c>
      <c r="AE754" s="10">
        <f t="shared" ca="1" si="5769"/>
        <v>0</v>
      </c>
      <c r="AF754" s="10">
        <f t="shared" ca="1" si="5769"/>
        <v>0</v>
      </c>
      <c r="AG754" s="10">
        <f t="shared" ca="1" si="5769"/>
        <v>0</v>
      </c>
      <c r="AH754" s="10">
        <f t="shared" ca="1" si="5769"/>
        <v>0</v>
      </c>
      <c r="AI754" s="10">
        <f t="shared" ca="1" si="5769"/>
        <v>0</v>
      </c>
      <c r="AJ754" s="10">
        <f t="shared" ca="1" si="5769"/>
        <v>0</v>
      </c>
      <c r="AK754" s="10">
        <f t="shared" ca="1" si="5769"/>
        <v>0</v>
      </c>
      <c r="AL754" s="10">
        <f t="shared" ca="1" si="5769"/>
        <v>0</v>
      </c>
      <c r="AM754" s="10">
        <f t="shared" ca="1" si="5769"/>
        <v>0</v>
      </c>
      <c r="AN754" s="10">
        <f t="shared" ca="1" si="5769"/>
        <v>0</v>
      </c>
      <c r="AO754" s="10">
        <f t="shared" ca="1" si="5769"/>
        <v>0</v>
      </c>
      <c r="AP754" s="10">
        <f t="shared" ca="1" si="5769"/>
        <v>0</v>
      </c>
      <c r="AQ754" s="10">
        <f t="shared" ca="1" si="5769"/>
        <v>0</v>
      </c>
      <c r="AR754" s="10">
        <f t="shared" ca="1" si="5769"/>
        <v>0</v>
      </c>
      <c r="AS754" s="10">
        <f t="shared" ca="1" si="5769"/>
        <v>0</v>
      </c>
      <c r="AT754" s="10">
        <f t="shared" ca="1" si="5769"/>
        <v>0</v>
      </c>
      <c r="AU754" s="10">
        <f t="shared" ca="1" si="5769"/>
        <v>0</v>
      </c>
      <c r="AV754" s="10">
        <f t="shared" ca="1" si="5769"/>
        <v>0</v>
      </c>
      <c r="AW754" s="10">
        <f t="shared" ca="1" si="5769"/>
        <v>0</v>
      </c>
      <c r="AX754" s="10">
        <f t="shared" ca="1" si="5769"/>
        <v>0</v>
      </c>
      <c r="AY754" s="10">
        <f t="shared" ca="1" si="5769"/>
        <v>0</v>
      </c>
      <c r="AZ754" s="10">
        <f t="shared" ca="1" si="5769"/>
        <v>0</v>
      </c>
      <c r="BA754" s="10">
        <f t="shared" ca="1" si="5769"/>
        <v>0</v>
      </c>
      <c r="BB754" s="10">
        <f t="shared" ca="1" si="5769"/>
        <v>0</v>
      </c>
      <c r="BC754" s="10">
        <f t="shared" ca="1" si="5769"/>
        <v>0</v>
      </c>
      <c r="BD754" s="10">
        <f t="shared" ca="1" si="5769"/>
        <v>0</v>
      </c>
      <c r="BE754" s="10">
        <f t="shared" ca="1" si="5769"/>
        <v>0</v>
      </c>
      <c r="BF754" s="10">
        <f t="shared" ca="1" si="5769"/>
        <v>0</v>
      </c>
      <c r="BG754" s="10">
        <f t="shared" ca="1" si="5769"/>
        <v>0</v>
      </c>
      <c r="BH754" s="10">
        <f t="shared" ca="1" si="5769"/>
        <v>0</v>
      </c>
      <c r="BI754" s="10">
        <f t="shared" ca="1" si="5769"/>
        <v>0</v>
      </c>
      <c r="BJ754" s="10">
        <f t="shared" ca="1" si="5769"/>
        <v>0</v>
      </c>
      <c r="BK754" s="10">
        <f t="shared" ca="1" si="5769"/>
        <v>0</v>
      </c>
      <c r="BL754" s="10">
        <f t="shared" ca="1" si="5769"/>
        <v>0</v>
      </c>
      <c r="BM754" s="10">
        <f t="shared" ca="1" si="5769"/>
        <v>0</v>
      </c>
      <c r="BN754" s="10">
        <f t="shared" ca="1" si="5769"/>
        <v>0</v>
      </c>
      <c r="BO754" s="10">
        <f t="shared" ca="1" si="5769"/>
        <v>0</v>
      </c>
      <c r="BP754" s="10">
        <f t="shared" ca="1" si="5769"/>
        <v>0</v>
      </c>
      <c r="BQ754" s="10">
        <f t="shared" ca="1" si="5769"/>
        <v>0</v>
      </c>
      <c r="BR754" s="10">
        <f t="shared" ca="1" si="5769"/>
        <v>0</v>
      </c>
      <c r="BS754" s="10">
        <f t="shared" ca="1" si="5769"/>
        <v>0</v>
      </c>
      <c r="BT754" s="10">
        <f t="shared" ca="1" si="5769"/>
        <v>0</v>
      </c>
      <c r="BU754" s="10">
        <f t="shared" ca="1" si="5769"/>
        <v>0</v>
      </c>
      <c r="BV754" s="10">
        <f t="shared" ca="1" si="5769"/>
        <v>0</v>
      </c>
      <c r="BW754" s="10">
        <f t="shared" ca="1" si="5769"/>
        <v>0</v>
      </c>
      <c r="BX754" s="10">
        <f t="shared" ca="1" si="5769"/>
        <v>0</v>
      </c>
      <c r="BY754" s="10">
        <f t="shared" ref="BY754:CO754" ca="1" si="5770">SUM(BY743:BY745)</f>
        <v>0</v>
      </c>
      <c r="BZ754" s="10">
        <f t="shared" ca="1" si="5770"/>
        <v>0</v>
      </c>
      <c r="CA754" s="10">
        <f t="shared" ca="1" si="5770"/>
        <v>0</v>
      </c>
      <c r="CB754" s="10">
        <f t="shared" ca="1" si="5770"/>
        <v>0</v>
      </c>
      <c r="CC754" s="10">
        <f t="shared" ca="1" si="5770"/>
        <v>0</v>
      </c>
      <c r="CD754" s="10">
        <f t="shared" ca="1" si="5770"/>
        <v>0</v>
      </c>
      <c r="CE754" s="10">
        <f t="shared" ca="1" si="5770"/>
        <v>0</v>
      </c>
      <c r="CF754" s="10">
        <f t="shared" ca="1" si="5770"/>
        <v>0</v>
      </c>
      <c r="CG754" s="10">
        <f t="shared" ca="1" si="5770"/>
        <v>0</v>
      </c>
      <c r="CH754" s="10">
        <f t="shared" ca="1" si="5770"/>
        <v>0</v>
      </c>
      <c r="CI754" s="10">
        <f t="shared" ca="1" si="5770"/>
        <v>0</v>
      </c>
      <c r="CJ754" s="10">
        <f t="shared" ca="1" si="5770"/>
        <v>0</v>
      </c>
      <c r="CK754" s="10">
        <f t="shared" ca="1" si="5770"/>
        <v>0</v>
      </c>
      <c r="CL754" s="10">
        <f t="shared" ca="1" si="5770"/>
        <v>0</v>
      </c>
      <c r="CM754" s="10">
        <f t="shared" ca="1" si="5770"/>
        <v>0</v>
      </c>
      <c r="CN754" s="10">
        <f t="shared" ca="1" si="5770"/>
        <v>0</v>
      </c>
      <c r="CO754" s="10">
        <f t="shared" ca="1" si="5770"/>
        <v>0</v>
      </c>
    </row>
    <row r="755" spans="1:93" s="141" customFormat="1" ht="14.5" customHeight="1">
      <c r="B755" s="10"/>
      <c r="C755" s="21" t="s">
        <v>882</v>
      </c>
      <c r="D755" s="10"/>
      <c r="E755" s="232">
        <f xml:space="preserve"> Предпосылки!E472</f>
        <v>0</v>
      </c>
      <c r="F755" s="11"/>
      <c r="G755" s="11" t="s">
        <v>28</v>
      </c>
      <c r="H755" s="10"/>
      <c r="I755" s="10"/>
      <c r="J755" s="10"/>
      <c r="K755" s="10"/>
      <c r="L755" s="170"/>
      <c r="M755" s="170"/>
      <c r="N755" s="170"/>
      <c r="O755" s="170"/>
      <c r="P755" s="170"/>
      <c r="Q755" s="170"/>
      <c r="R755" s="170"/>
      <c r="S755" s="170"/>
      <c r="T755" s="170"/>
      <c r="U755" s="170"/>
      <c r="V755" s="170"/>
      <c r="W755" s="170"/>
      <c r="X755" s="170"/>
      <c r="Y755" s="170"/>
      <c r="Z755" s="170"/>
      <c r="AA755" s="170"/>
      <c r="AB755" s="170"/>
      <c r="AC755" s="170"/>
      <c r="AD755" s="170"/>
      <c r="AE755" s="170"/>
      <c r="AF755" s="170"/>
      <c r="AG755" s="170"/>
      <c r="AH755" s="170"/>
      <c r="AI755" s="170"/>
      <c r="AJ755" s="170"/>
      <c r="AK755" s="170"/>
      <c r="AL755" s="170"/>
      <c r="AM755" s="170"/>
      <c r="AN755" s="170"/>
      <c r="AO755" s="170"/>
      <c r="AP755" s="170"/>
      <c r="AQ755" s="170"/>
      <c r="AR755" s="170"/>
      <c r="AS755" s="170"/>
      <c r="AT755" s="170"/>
      <c r="AU755" s="170"/>
      <c r="AV755" s="170"/>
      <c r="AW755" s="170"/>
      <c r="AX755" s="170"/>
      <c r="AY755" s="170"/>
      <c r="AZ755" s="170"/>
      <c r="BA755" s="170"/>
      <c r="BB755" s="170"/>
      <c r="BC755" s="170"/>
      <c r="BD755" s="170"/>
      <c r="BE755" s="170"/>
      <c r="BF755" s="170"/>
      <c r="BG755" s="170"/>
      <c r="BH755" s="170"/>
      <c r="BI755" s="170"/>
      <c r="BJ755" s="170"/>
      <c r="BK755" s="170"/>
      <c r="BL755" s="170"/>
      <c r="BM755" s="170"/>
      <c r="BN755" s="170"/>
      <c r="BO755" s="170"/>
      <c r="BP755" s="170"/>
      <c r="BQ755" s="170"/>
      <c r="BR755" s="170"/>
      <c r="BS755" s="170"/>
      <c r="BT755" s="170"/>
      <c r="BU755" s="170"/>
      <c r="BV755" s="170"/>
      <c r="BW755" s="170"/>
      <c r="BX755" s="170"/>
      <c r="BY755" s="170"/>
      <c r="BZ755" s="170"/>
      <c r="CA755" s="170"/>
      <c r="CB755" s="170"/>
      <c r="CC755" s="170"/>
      <c r="CD755" s="170"/>
      <c r="CE755" s="170"/>
      <c r="CF755" s="170"/>
      <c r="CG755" s="170"/>
      <c r="CH755" s="170"/>
      <c r="CI755" s="170"/>
      <c r="CJ755" s="170"/>
      <c r="CK755" s="170"/>
      <c r="CL755" s="170"/>
      <c r="CM755" s="170"/>
      <c r="CN755" s="170"/>
      <c r="CO755" s="170"/>
    </row>
    <row r="756" spans="1:93" s="141" customFormat="1" ht="14.5" customHeight="1" thickBot="1">
      <c r="B756" s="10"/>
      <c r="C756" s="21" t="s">
        <v>905</v>
      </c>
      <c r="D756" s="10"/>
      <c r="E756" s="184">
        <f xml:space="preserve"> Предпосылки!E473</f>
        <v>0</v>
      </c>
      <c r="F756" s="11"/>
      <c r="G756" s="11" t="str">
        <f xml:space="preserve"> Monetary_Unit</f>
        <v>тыс. руб.</v>
      </c>
      <c r="H756" s="10"/>
      <c r="I756" s="10"/>
      <c r="J756" s="10"/>
      <c r="K756" s="10"/>
      <c r="L756" s="170"/>
      <c r="M756" s="170"/>
      <c r="N756" s="170"/>
      <c r="O756" s="170"/>
      <c r="P756" s="170"/>
      <c r="Q756" s="170"/>
      <c r="R756" s="170"/>
      <c r="S756" s="170"/>
      <c r="T756" s="170"/>
      <c r="U756" s="170"/>
      <c r="V756" s="170"/>
      <c r="W756" s="170"/>
      <c r="X756" s="170"/>
      <c r="Y756" s="170"/>
      <c r="Z756" s="170"/>
      <c r="AA756" s="170"/>
      <c r="AB756" s="170"/>
      <c r="AC756" s="170"/>
      <c r="AD756" s="170"/>
      <c r="AE756" s="170"/>
      <c r="AF756" s="170"/>
      <c r="AG756" s="170"/>
      <c r="AH756" s="170"/>
      <c r="AI756" s="170"/>
      <c r="AJ756" s="170"/>
      <c r="AK756" s="170"/>
      <c r="AL756" s="170"/>
      <c r="AM756" s="170"/>
      <c r="AN756" s="170"/>
      <c r="AO756" s="170"/>
      <c r="AP756" s="170"/>
      <c r="AQ756" s="170"/>
      <c r="AR756" s="170"/>
      <c r="AS756" s="170"/>
      <c r="AT756" s="170"/>
      <c r="AU756" s="170"/>
      <c r="AV756" s="170"/>
      <c r="AW756" s="170"/>
      <c r="AX756" s="170"/>
      <c r="AY756" s="170"/>
      <c r="AZ756" s="170"/>
      <c r="BA756" s="170"/>
      <c r="BB756" s="170"/>
      <c r="BC756" s="170"/>
      <c r="BD756" s="170"/>
      <c r="BE756" s="170"/>
      <c r="BF756" s="170"/>
      <c r="BG756" s="170"/>
      <c r="BH756" s="170"/>
      <c r="BI756" s="170"/>
      <c r="BJ756" s="170"/>
      <c r="BK756" s="170"/>
      <c r="BL756" s="170"/>
      <c r="BM756" s="170"/>
      <c r="BN756" s="170"/>
      <c r="BO756" s="170"/>
      <c r="BP756" s="170"/>
      <c r="BQ756" s="170"/>
      <c r="BR756" s="170"/>
      <c r="BS756" s="170"/>
      <c r="BT756" s="170"/>
      <c r="BU756" s="170"/>
      <c r="BV756" s="170"/>
      <c r="BW756" s="170"/>
      <c r="BX756" s="170"/>
      <c r="BY756" s="170"/>
      <c r="BZ756" s="170"/>
      <c r="CA756" s="170"/>
      <c r="CB756" s="170"/>
      <c r="CC756" s="170"/>
      <c r="CD756" s="170"/>
      <c r="CE756" s="170"/>
      <c r="CF756" s="170"/>
      <c r="CG756" s="170"/>
      <c r="CH756" s="170"/>
      <c r="CI756" s="170"/>
      <c r="CJ756" s="170"/>
      <c r="CK756" s="170"/>
      <c r="CL756" s="170"/>
      <c r="CM756" s="170"/>
      <c r="CN756" s="170"/>
      <c r="CO756" s="170"/>
    </row>
    <row r="757" spans="1:93" ht="14.5" customHeight="1" thickTop="1">
      <c r="B757" s="101"/>
      <c r="C757" s="49" t="str">
        <f>"Итого: выручка " &amp; C37 &amp; " в прогнозных ценах без НДС"</f>
        <v>Итого: выручка Крытый парк развлечений в прогнозных ценах без НДС</v>
      </c>
      <c r="D757" s="49"/>
      <c r="E757" s="136"/>
      <c r="F757" s="49"/>
      <c r="G757" s="159" t="str">
        <f xml:space="preserve"> Monetary_Unit</f>
        <v>тыс. руб.</v>
      </c>
      <c r="H757" s="49"/>
      <c r="I757" s="23">
        <f ca="1">SUM(L757:CO757)</f>
        <v>0</v>
      </c>
      <c r="J757" s="49"/>
      <c r="K757" s="49"/>
      <c r="L757" s="49">
        <f t="shared" ref="L757:AQ757" ca="1" si="5771">MAX($E$756 * Period_length * CPI_Accumulated_From_Date * Flag_Operations,SUM(L753:L754) * $E$755) * $I$516</f>
        <v>0</v>
      </c>
      <c r="M757" s="49">
        <f t="shared" ca="1" si="5771"/>
        <v>0</v>
      </c>
      <c r="N757" s="49">
        <f t="shared" ca="1" si="5771"/>
        <v>0</v>
      </c>
      <c r="O757" s="49">
        <f t="shared" ca="1" si="5771"/>
        <v>0</v>
      </c>
      <c r="P757" s="49">
        <f t="shared" ca="1" si="5771"/>
        <v>0</v>
      </c>
      <c r="Q757" s="49">
        <f t="shared" ca="1" si="5771"/>
        <v>0</v>
      </c>
      <c r="R757" s="49">
        <f t="shared" ca="1" si="5771"/>
        <v>0</v>
      </c>
      <c r="S757" s="49">
        <f t="shared" ca="1" si="5771"/>
        <v>0</v>
      </c>
      <c r="T757" s="49">
        <f t="shared" ca="1" si="5771"/>
        <v>0</v>
      </c>
      <c r="U757" s="49">
        <f t="shared" ca="1" si="5771"/>
        <v>0</v>
      </c>
      <c r="V757" s="49">
        <f t="shared" ca="1" si="5771"/>
        <v>0</v>
      </c>
      <c r="W757" s="49">
        <f t="shared" ca="1" si="5771"/>
        <v>0</v>
      </c>
      <c r="X757" s="49">
        <f t="shared" ca="1" si="5771"/>
        <v>0</v>
      </c>
      <c r="Y757" s="49">
        <f t="shared" ca="1" si="5771"/>
        <v>0</v>
      </c>
      <c r="Z757" s="49">
        <f t="shared" ca="1" si="5771"/>
        <v>0</v>
      </c>
      <c r="AA757" s="49">
        <f t="shared" ca="1" si="5771"/>
        <v>0</v>
      </c>
      <c r="AB757" s="49">
        <f t="shared" ca="1" si="5771"/>
        <v>0</v>
      </c>
      <c r="AC757" s="49">
        <f t="shared" ca="1" si="5771"/>
        <v>0</v>
      </c>
      <c r="AD757" s="49">
        <f t="shared" ca="1" si="5771"/>
        <v>0</v>
      </c>
      <c r="AE757" s="49">
        <f t="shared" ca="1" si="5771"/>
        <v>0</v>
      </c>
      <c r="AF757" s="49">
        <f t="shared" ca="1" si="5771"/>
        <v>0</v>
      </c>
      <c r="AG757" s="49">
        <f t="shared" ca="1" si="5771"/>
        <v>0</v>
      </c>
      <c r="AH757" s="49">
        <f t="shared" ca="1" si="5771"/>
        <v>0</v>
      </c>
      <c r="AI757" s="49">
        <f t="shared" ca="1" si="5771"/>
        <v>0</v>
      </c>
      <c r="AJ757" s="49">
        <f t="shared" ca="1" si="5771"/>
        <v>0</v>
      </c>
      <c r="AK757" s="49">
        <f t="shared" ca="1" si="5771"/>
        <v>0</v>
      </c>
      <c r="AL757" s="49">
        <f t="shared" ca="1" si="5771"/>
        <v>0</v>
      </c>
      <c r="AM757" s="49">
        <f t="shared" ca="1" si="5771"/>
        <v>0</v>
      </c>
      <c r="AN757" s="49">
        <f t="shared" ca="1" si="5771"/>
        <v>0</v>
      </c>
      <c r="AO757" s="49">
        <f t="shared" ca="1" si="5771"/>
        <v>0</v>
      </c>
      <c r="AP757" s="49">
        <f t="shared" ca="1" si="5771"/>
        <v>0</v>
      </c>
      <c r="AQ757" s="49">
        <f t="shared" ca="1" si="5771"/>
        <v>0</v>
      </c>
      <c r="AR757" s="49">
        <f t="shared" ref="AR757:BW757" ca="1" si="5772">MAX($E$756 * Period_length * CPI_Accumulated_From_Date * Flag_Operations,SUM(AR753:AR754) * $E$755) * $I$516</f>
        <v>0</v>
      </c>
      <c r="AS757" s="49">
        <f t="shared" ca="1" si="5772"/>
        <v>0</v>
      </c>
      <c r="AT757" s="49">
        <f t="shared" ca="1" si="5772"/>
        <v>0</v>
      </c>
      <c r="AU757" s="49">
        <f t="shared" ca="1" si="5772"/>
        <v>0</v>
      </c>
      <c r="AV757" s="49">
        <f t="shared" ca="1" si="5772"/>
        <v>0</v>
      </c>
      <c r="AW757" s="49">
        <f t="shared" ca="1" si="5772"/>
        <v>0</v>
      </c>
      <c r="AX757" s="49">
        <f t="shared" ca="1" si="5772"/>
        <v>0</v>
      </c>
      <c r="AY757" s="49">
        <f t="shared" ca="1" si="5772"/>
        <v>0</v>
      </c>
      <c r="AZ757" s="49">
        <f t="shared" ca="1" si="5772"/>
        <v>0</v>
      </c>
      <c r="BA757" s="49">
        <f t="shared" ca="1" si="5772"/>
        <v>0</v>
      </c>
      <c r="BB757" s="49">
        <f t="shared" ca="1" si="5772"/>
        <v>0</v>
      </c>
      <c r="BC757" s="49">
        <f t="shared" ca="1" si="5772"/>
        <v>0</v>
      </c>
      <c r="BD757" s="49">
        <f t="shared" ca="1" si="5772"/>
        <v>0</v>
      </c>
      <c r="BE757" s="49">
        <f t="shared" ca="1" si="5772"/>
        <v>0</v>
      </c>
      <c r="BF757" s="49">
        <f t="shared" ca="1" si="5772"/>
        <v>0</v>
      </c>
      <c r="BG757" s="49">
        <f t="shared" ca="1" si="5772"/>
        <v>0</v>
      </c>
      <c r="BH757" s="49">
        <f t="shared" ca="1" si="5772"/>
        <v>0</v>
      </c>
      <c r="BI757" s="49">
        <f t="shared" ca="1" si="5772"/>
        <v>0</v>
      </c>
      <c r="BJ757" s="49">
        <f t="shared" ca="1" si="5772"/>
        <v>0</v>
      </c>
      <c r="BK757" s="49">
        <f t="shared" ca="1" si="5772"/>
        <v>0</v>
      </c>
      <c r="BL757" s="49">
        <f t="shared" ca="1" si="5772"/>
        <v>0</v>
      </c>
      <c r="BM757" s="49">
        <f t="shared" ca="1" si="5772"/>
        <v>0</v>
      </c>
      <c r="BN757" s="49">
        <f t="shared" ca="1" si="5772"/>
        <v>0</v>
      </c>
      <c r="BO757" s="49">
        <f t="shared" ca="1" si="5772"/>
        <v>0</v>
      </c>
      <c r="BP757" s="49">
        <f t="shared" ca="1" si="5772"/>
        <v>0</v>
      </c>
      <c r="BQ757" s="49">
        <f t="shared" ca="1" si="5772"/>
        <v>0</v>
      </c>
      <c r="BR757" s="49">
        <f t="shared" ca="1" si="5772"/>
        <v>0</v>
      </c>
      <c r="BS757" s="49">
        <f t="shared" ca="1" si="5772"/>
        <v>0</v>
      </c>
      <c r="BT757" s="49">
        <f t="shared" ca="1" si="5772"/>
        <v>0</v>
      </c>
      <c r="BU757" s="49">
        <f t="shared" ca="1" si="5772"/>
        <v>0</v>
      </c>
      <c r="BV757" s="49">
        <f t="shared" ca="1" si="5772"/>
        <v>0</v>
      </c>
      <c r="BW757" s="49">
        <f t="shared" ca="1" si="5772"/>
        <v>0</v>
      </c>
      <c r="BX757" s="49">
        <f t="shared" ref="BX757:CO757" ca="1" si="5773">MAX($E$756 * Period_length * CPI_Accumulated_From_Date * Flag_Operations,SUM(BX753:BX754) * $E$755) * $I$516</f>
        <v>0</v>
      </c>
      <c r="BY757" s="49">
        <f t="shared" ca="1" si="5773"/>
        <v>0</v>
      </c>
      <c r="BZ757" s="49">
        <f t="shared" ca="1" si="5773"/>
        <v>0</v>
      </c>
      <c r="CA757" s="49">
        <f t="shared" ca="1" si="5773"/>
        <v>0</v>
      </c>
      <c r="CB757" s="49">
        <f t="shared" ca="1" si="5773"/>
        <v>0</v>
      </c>
      <c r="CC757" s="49">
        <f t="shared" ca="1" si="5773"/>
        <v>0</v>
      </c>
      <c r="CD757" s="49">
        <f t="shared" ca="1" si="5773"/>
        <v>0</v>
      </c>
      <c r="CE757" s="49">
        <f t="shared" ca="1" si="5773"/>
        <v>0</v>
      </c>
      <c r="CF757" s="49">
        <f t="shared" ca="1" si="5773"/>
        <v>0</v>
      </c>
      <c r="CG757" s="49">
        <f t="shared" ca="1" si="5773"/>
        <v>0</v>
      </c>
      <c r="CH757" s="49">
        <f t="shared" ca="1" si="5773"/>
        <v>0</v>
      </c>
      <c r="CI757" s="49">
        <f t="shared" ca="1" si="5773"/>
        <v>0</v>
      </c>
      <c r="CJ757" s="49">
        <f t="shared" ca="1" si="5773"/>
        <v>0</v>
      </c>
      <c r="CK757" s="49">
        <f t="shared" ca="1" si="5773"/>
        <v>0</v>
      </c>
      <c r="CL757" s="49">
        <f t="shared" ca="1" si="5773"/>
        <v>0</v>
      </c>
      <c r="CM757" s="49">
        <f t="shared" ca="1" si="5773"/>
        <v>0</v>
      </c>
      <c r="CN757" s="49">
        <f t="shared" ca="1" si="5773"/>
        <v>0</v>
      </c>
      <c r="CO757" s="49">
        <f t="shared" ca="1" si="5773"/>
        <v>0</v>
      </c>
    </row>
    <row r="758" spans="1:93" s="141" customFormat="1" ht="14.5" customHeight="1">
      <c r="B758" s="10"/>
      <c r="C758" s="21"/>
      <c r="D758" s="10"/>
      <c r="E758" s="62"/>
      <c r="F758" s="11"/>
      <c r="G758" s="11"/>
      <c r="H758" s="10"/>
      <c r="I758" s="10"/>
      <c r="J758" s="10"/>
      <c r="K758" s="10"/>
      <c r="L758" s="170"/>
      <c r="M758" s="170"/>
      <c r="N758" s="170"/>
      <c r="O758" s="170"/>
      <c r="P758" s="170"/>
      <c r="Q758" s="170"/>
      <c r="R758" s="170"/>
      <c r="S758" s="170"/>
      <c r="T758" s="170"/>
      <c r="U758" s="170"/>
      <c r="V758" s="170"/>
      <c r="W758" s="170"/>
      <c r="X758" s="170"/>
      <c r="Y758" s="170"/>
      <c r="Z758" s="170"/>
      <c r="AA758" s="170"/>
      <c r="AB758" s="170"/>
      <c r="AC758" s="170"/>
      <c r="AD758" s="170"/>
      <c r="AE758" s="170"/>
      <c r="AF758" s="170"/>
      <c r="AG758" s="170"/>
      <c r="AH758" s="170"/>
      <c r="AI758" s="170"/>
      <c r="AJ758" s="170"/>
      <c r="AK758" s="170"/>
      <c r="AL758" s="170"/>
      <c r="AM758" s="170"/>
      <c r="AN758" s="170"/>
      <c r="AO758" s="170"/>
      <c r="AP758" s="170"/>
      <c r="AQ758" s="170"/>
      <c r="AR758" s="170"/>
      <c r="AS758" s="170"/>
      <c r="AT758" s="170"/>
      <c r="AU758" s="170"/>
      <c r="AV758" s="170"/>
      <c r="AW758" s="170"/>
      <c r="AX758" s="170"/>
      <c r="AY758" s="170"/>
      <c r="AZ758" s="170"/>
      <c r="BA758" s="170"/>
      <c r="BB758" s="170"/>
      <c r="BC758" s="170"/>
      <c r="BD758" s="170"/>
      <c r="BE758" s="170"/>
      <c r="BF758" s="170"/>
      <c r="BG758" s="170"/>
      <c r="BH758" s="170"/>
      <c r="BI758" s="170"/>
      <c r="BJ758" s="170"/>
      <c r="BK758" s="170"/>
      <c r="BL758" s="170"/>
      <c r="BM758" s="170"/>
      <c r="BN758" s="170"/>
      <c r="BO758" s="170"/>
      <c r="BP758" s="170"/>
      <c r="BQ758" s="170"/>
      <c r="BR758" s="170"/>
      <c r="BS758" s="170"/>
      <c r="BT758" s="170"/>
      <c r="BU758" s="170"/>
      <c r="BV758" s="170"/>
      <c r="BW758" s="170"/>
      <c r="BX758" s="170"/>
      <c r="BY758" s="170"/>
      <c r="BZ758" s="170"/>
      <c r="CA758" s="170"/>
      <c r="CB758" s="170"/>
      <c r="CC758" s="170"/>
      <c r="CD758" s="170"/>
      <c r="CE758" s="170"/>
      <c r="CF758" s="170"/>
      <c r="CG758" s="170"/>
      <c r="CH758" s="170"/>
      <c r="CI758" s="170"/>
      <c r="CJ758" s="170"/>
      <c r="CK758" s="170"/>
      <c r="CL758" s="170"/>
      <c r="CM758" s="170"/>
      <c r="CN758" s="170"/>
      <c r="CO758" s="170"/>
    </row>
    <row r="759" spans="1:93" ht="14.5" customHeight="1">
      <c r="B759" s="10"/>
      <c r="C759" s="24" t="s">
        <v>96</v>
      </c>
      <c r="D759" s="24"/>
      <c r="E759" s="24"/>
      <c r="F759" s="24"/>
      <c r="G759" s="135" t="str">
        <f>Monetary_Unit</f>
        <v>тыс. руб.</v>
      </c>
      <c r="H759" s="24"/>
      <c r="I759" s="23">
        <f ca="1">SUM(L759:CO759)</f>
        <v>54850086.519837193</v>
      </c>
      <c r="J759" s="24"/>
      <c r="K759" s="24"/>
      <c r="L759" s="24">
        <f t="shared" ref="L759:AQ759" ca="1" si="5774" xml:space="preserve"> L707 + L746 + L757</f>
        <v>0</v>
      </c>
      <c r="M759" s="24">
        <f t="shared" ca="1" si="5774"/>
        <v>0</v>
      </c>
      <c r="N759" s="24">
        <f t="shared" ca="1" si="5774"/>
        <v>0</v>
      </c>
      <c r="O759" s="24">
        <f t="shared" ca="1" si="5774"/>
        <v>0</v>
      </c>
      <c r="P759" s="24">
        <f t="shared" ca="1" si="5774"/>
        <v>0</v>
      </c>
      <c r="Q759" s="24">
        <f t="shared" ca="1" si="5774"/>
        <v>0</v>
      </c>
      <c r="R759" s="24">
        <f t="shared" ca="1" si="5774"/>
        <v>0</v>
      </c>
      <c r="S759" s="24">
        <f t="shared" ca="1" si="5774"/>
        <v>0</v>
      </c>
      <c r="T759" s="24">
        <f t="shared" ca="1" si="5774"/>
        <v>0</v>
      </c>
      <c r="U759" s="24">
        <f t="shared" ca="1" si="5774"/>
        <v>0</v>
      </c>
      <c r="V759" s="24">
        <f t="shared" ca="1" si="5774"/>
        <v>0</v>
      </c>
      <c r="W759" s="24">
        <f t="shared" ca="1" si="5774"/>
        <v>0</v>
      </c>
      <c r="X759" s="24">
        <f t="shared" ca="1" si="5774"/>
        <v>0</v>
      </c>
      <c r="Y759" s="24">
        <f t="shared" ca="1" si="5774"/>
        <v>0</v>
      </c>
      <c r="Z759" s="24">
        <f t="shared" ca="1" si="5774"/>
        <v>0</v>
      </c>
      <c r="AA759" s="24">
        <f t="shared" ca="1" si="5774"/>
        <v>0</v>
      </c>
      <c r="AB759" s="24">
        <f t="shared" ca="1" si="5774"/>
        <v>0</v>
      </c>
      <c r="AC759" s="24">
        <f t="shared" ca="1" si="5774"/>
        <v>538729.60493334138</v>
      </c>
      <c r="AD759" s="24">
        <f t="shared" ca="1" si="5774"/>
        <v>701020.27067459095</v>
      </c>
      <c r="AE759" s="24">
        <f t="shared" ca="1" si="5774"/>
        <v>415305.77147408307</v>
      </c>
      <c r="AF759" s="24">
        <f t="shared" ca="1" si="5774"/>
        <v>407561.6801808218</v>
      </c>
      <c r="AG759" s="24">
        <f t="shared" ca="1" si="5774"/>
        <v>643283.05418707151</v>
      </c>
      <c r="AH759" s="24">
        <f t="shared" ca="1" si="5774"/>
        <v>833212.66457322869</v>
      </c>
      <c r="AI759" s="24">
        <f t="shared" ca="1" si="5774"/>
        <v>491492.89920657012</v>
      </c>
      <c r="AJ759" s="24">
        <f t="shared" ca="1" si="5774"/>
        <v>480379.3670397955</v>
      </c>
      <c r="AK759" s="24">
        <f t="shared" ca="1" si="5774"/>
        <v>755338.81201320689</v>
      </c>
      <c r="AL759" s="24">
        <f t="shared" ca="1" si="5774"/>
        <v>974858.81755067746</v>
      </c>
      <c r="AM759" s="24">
        <f t="shared" ca="1" si="5774"/>
        <v>573110.5079232977</v>
      </c>
      <c r="AN759" s="24">
        <f t="shared" ca="1" si="5774"/>
        <v>564574.48538318858</v>
      </c>
      <c r="AO759" s="24">
        <f t="shared" ca="1" si="5774"/>
        <v>875329.7775787327</v>
      </c>
      <c r="AP759" s="24">
        <f t="shared" ca="1" si="5774"/>
        <v>1098340.9344404293</v>
      </c>
      <c r="AQ759" s="24">
        <f t="shared" ca="1" si="5774"/>
        <v>628253.03246943059</v>
      </c>
      <c r="AR759" s="24">
        <f t="shared" ref="AR759:BW759" ca="1" si="5775" xml:space="preserve"> AR707 + AR746 + AR757</f>
        <v>595986.90035939578</v>
      </c>
      <c r="AS759" s="24">
        <f t="shared" ca="1" si="5775"/>
        <v>910342.96868188202</v>
      </c>
      <c r="AT759" s="24">
        <f t="shared" ca="1" si="5775"/>
        <v>1142274.5718180465</v>
      </c>
      <c r="AU759" s="24">
        <f t="shared" ca="1" si="5775"/>
        <v>653383.15376820788</v>
      </c>
      <c r="AV759" s="24">
        <f t="shared" ca="1" si="5775"/>
        <v>619826.37637377158</v>
      </c>
      <c r="AW759" s="24">
        <f t="shared" ca="1" si="5775"/>
        <v>805449.71915614884</v>
      </c>
      <c r="AX759" s="24">
        <f t="shared" ca="1" si="5775"/>
        <v>1010657.2629458774</v>
      </c>
      <c r="AY759" s="24">
        <f t="shared" ca="1" si="5775"/>
        <v>578097.81127431884</v>
      </c>
      <c r="AZ759" s="24">
        <f t="shared" ca="1" si="5775"/>
        <v>548407.57599159959</v>
      </c>
      <c r="BA759" s="24">
        <f t="shared" ca="1" si="5775"/>
        <v>837667.7079223945</v>
      </c>
      <c r="BB759" s="24">
        <f t="shared" ca="1" si="5775"/>
        <v>1051083.5534637121</v>
      </c>
      <c r="BC759" s="24">
        <f t="shared" ca="1" si="5775"/>
        <v>601221.72372529143</v>
      </c>
      <c r="BD759" s="24">
        <f t="shared" ca="1" si="5775"/>
        <v>576681.03324272193</v>
      </c>
      <c r="BE759" s="24">
        <f t="shared" ca="1" si="5775"/>
        <v>871174.41623929003</v>
      </c>
      <c r="BF759" s="24">
        <f t="shared" ca="1" si="5775"/>
        <v>1093126.8956022605</v>
      </c>
      <c r="BG759" s="24">
        <f t="shared" ca="1" si="5775"/>
        <v>625270.59267430298</v>
      </c>
      <c r="BH759" s="24">
        <f t="shared" ca="1" si="5775"/>
        <v>593157.63419251388</v>
      </c>
      <c r="BI759" s="24">
        <f t="shared" ca="1" si="5775"/>
        <v>906021.39288886171</v>
      </c>
      <c r="BJ759" s="24">
        <f t="shared" ca="1" si="5775"/>
        <v>1136851.9714263508</v>
      </c>
      <c r="BK759" s="24">
        <f t="shared" ca="1" si="5775"/>
        <v>650281.41638127505</v>
      </c>
      <c r="BL759" s="24">
        <f t="shared" ca="1" si="5775"/>
        <v>616883.93956021441</v>
      </c>
      <c r="BM759" s="24">
        <f t="shared" ca="1" si="5775"/>
        <v>942262.24860441603</v>
      </c>
      <c r="BN759" s="24">
        <f t="shared" ca="1" si="5775"/>
        <v>1182326.0502834048</v>
      </c>
      <c r="BO759" s="24">
        <f t="shared" ca="1" si="5775"/>
        <v>676292.67303652596</v>
      </c>
      <c r="BP759" s="24">
        <f t="shared" ca="1" si="5775"/>
        <v>641559.29714262288</v>
      </c>
      <c r="BQ759" s="24">
        <f t="shared" ca="1" si="5775"/>
        <v>979952.73854859243</v>
      </c>
      <c r="BR759" s="24">
        <f t="shared" ca="1" si="5775"/>
        <v>1229619.0922947407</v>
      </c>
      <c r="BS759" s="24">
        <f t="shared" ca="1" si="5775"/>
        <v>703344.37995798665</v>
      </c>
      <c r="BT759" s="24">
        <f t="shared" ca="1" si="5775"/>
        <v>674635.24312864244</v>
      </c>
      <c r="BU759" s="24">
        <f t="shared" ca="1" si="5775"/>
        <v>1019150.848090536</v>
      </c>
      <c r="BV759" s="24">
        <f t="shared" ca="1" si="5775"/>
        <v>1278803.85598653</v>
      </c>
      <c r="BW759" s="24">
        <f t="shared" ca="1" si="5775"/>
        <v>731478.15515630599</v>
      </c>
      <c r="BX759" s="24">
        <f t="shared" ref="BX759:CO759" ca="1" si="5776" xml:space="preserve"> BX707 + BX746 + BX757</f>
        <v>693910.53578946064</v>
      </c>
      <c r="BY759" s="24">
        <f t="shared" ca="1" si="5776"/>
        <v>1059916.882014157</v>
      </c>
      <c r="BZ759" s="24">
        <f t="shared" ca="1" si="5776"/>
        <v>1329956.010225991</v>
      </c>
      <c r="CA759" s="24">
        <f t="shared" ca="1" si="5776"/>
        <v>760737.28136255825</v>
      </c>
      <c r="CB759" s="24">
        <f t="shared" ca="1" si="5776"/>
        <v>721666.95722103911</v>
      </c>
      <c r="CC759" s="24">
        <f t="shared" ca="1" si="5776"/>
        <v>1102313.5572947236</v>
      </c>
      <c r="CD759" s="24">
        <f t="shared" ca="1" si="5776"/>
        <v>1383154.2506350307</v>
      </c>
      <c r="CE759" s="24">
        <f t="shared" ca="1" si="5776"/>
        <v>791166.77261706057</v>
      </c>
      <c r="CF759" s="24">
        <f t="shared" ca="1" si="5776"/>
        <v>750533.63550988061</v>
      </c>
      <c r="CG759" s="24">
        <f t="shared" ca="1" si="5776"/>
        <v>1146406.0995865124</v>
      </c>
      <c r="CH759" s="24">
        <f t="shared" ca="1" si="5776"/>
        <v>1438480.4206604315</v>
      </c>
      <c r="CI759" s="24">
        <f t="shared" ca="1" si="5776"/>
        <v>822813.44352174317</v>
      </c>
      <c r="CJ759" s="24">
        <f t="shared" ca="1" si="5776"/>
        <v>789227.81405172311</v>
      </c>
      <c r="CK759" s="24">
        <f t="shared" ca="1" si="5776"/>
        <v>1192262.3435699726</v>
      </c>
      <c r="CL759" s="24">
        <f t="shared" ca="1" si="5776"/>
        <v>1496019.6374868487</v>
      </c>
      <c r="CM759" s="24">
        <f t="shared" ca="1" si="5776"/>
        <v>855725.98126261262</v>
      </c>
      <c r="CN759" s="24">
        <f t="shared" ca="1" si="5776"/>
        <v>811777.18016748666</v>
      </c>
      <c r="CO759" s="24">
        <f t="shared" ca="1" si="5776"/>
        <v>1239952.8373127715</v>
      </c>
    </row>
    <row r="760" spans="1:93" ht="14.5" customHeight="1">
      <c r="B760" s="10"/>
      <c r="C760" s="10"/>
      <c r="D760" s="10"/>
      <c r="E760" s="10"/>
      <c r="F760" s="10"/>
      <c r="G760" s="11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  <c r="BB760" s="10"/>
      <c r="BC760" s="10"/>
      <c r="BD760" s="10"/>
      <c r="BE760" s="10"/>
      <c r="BF760" s="10"/>
      <c r="BG760" s="10"/>
      <c r="BH760" s="10"/>
      <c r="BI760" s="10"/>
      <c r="BJ760" s="10"/>
      <c r="BK760" s="10"/>
      <c r="BL760" s="10"/>
      <c r="BM760" s="10"/>
      <c r="BN760" s="10"/>
      <c r="BO760" s="10"/>
      <c r="BP760" s="10"/>
      <c r="BQ760" s="10"/>
      <c r="BR760" s="10"/>
      <c r="BS760" s="10"/>
      <c r="BT760" s="10"/>
      <c r="BU760" s="10"/>
      <c r="BV760" s="10"/>
      <c r="BW760" s="10"/>
      <c r="BX760" s="10"/>
      <c r="BY760" s="10"/>
      <c r="BZ760" s="10"/>
      <c r="CA760" s="10"/>
      <c r="CB760" s="10"/>
      <c r="CC760" s="10"/>
      <c r="CD760" s="10"/>
      <c r="CE760" s="10"/>
      <c r="CF760" s="10"/>
      <c r="CG760" s="10"/>
      <c r="CH760" s="10"/>
      <c r="CI760" s="10"/>
      <c r="CJ760" s="10"/>
      <c r="CK760" s="10"/>
      <c r="CL760" s="10"/>
      <c r="CM760" s="10"/>
      <c r="CN760" s="10"/>
      <c r="CO760" s="10"/>
    </row>
    <row r="761" spans="1:93" ht="14.5" customHeight="1">
      <c r="B761" s="10"/>
      <c r="C761" s="10" t="s">
        <v>1138</v>
      </c>
      <c r="D761" s="10"/>
      <c r="E761" s="10"/>
      <c r="F761" s="10"/>
      <c r="G761" s="142" t="str">
        <f>Monetary_Unit</f>
        <v>тыс. руб.</v>
      </c>
      <c r="H761" s="10"/>
      <c r="I761" s="23">
        <f ca="1">SUM(J761:CO761)</f>
        <v>10635463.637146188</v>
      </c>
      <c r="J761" s="10"/>
      <c r="K761" s="10"/>
      <c r="L761" s="452">
        <f ca="1">L759-L762</f>
        <v>0</v>
      </c>
      <c r="M761" s="452">
        <f t="shared" ref="M761:BX761" ca="1" si="5777">M759-M762</f>
        <v>0</v>
      </c>
      <c r="N761" s="452">
        <f t="shared" ca="1" si="5777"/>
        <v>0</v>
      </c>
      <c r="O761" s="452">
        <f t="shared" ca="1" si="5777"/>
        <v>0</v>
      </c>
      <c r="P761" s="452">
        <f t="shared" ca="1" si="5777"/>
        <v>0</v>
      </c>
      <c r="Q761" s="452">
        <f t="shared" ca="1" si="5777"/>
        <v>0</v>
      </c>
      <c r="R761" s="452">
        <f t="shared" ca="1" si="5777"/>
        <v>0</v>
      </c>
      <c r="S761" s="452">
        <f t="shared" ca="1" si="5777"/>
        <v>0</v>
      </c>
      <c r="T761" s="452">
        <f t="shared" ca="1" si="5777"/>
        <v>0</v>
      </c>
      <c r="U761" s="452">
        <f t="shared" ca="1" si="5777"/>
        <v>0</v>
      </c>
      <c r="V761" s="452">
        <f t="shared" ca="1" si="5777"/>
        <v>0</v>
      </c>
      <c r="W761" s="452">
        <f t="shared" ca="1" si="5777"/>
        <v>0</v>
      </c>
      <c r="X761" s="452">
        <f t="shared" ca="1" si="5777"/>
        <v>0</v>
      </c>
      <c r="Y761" s="452">
        <f t="shared" ca="1" si="5777"/>
        <v>0</v>
      </c>
      <c r="Z761" s="452">
        <f t="shared" ca="1" si="5777"/>
        <v>0</v>
      </c>
      <c r="AA761" s="452">
        <f t="shared" ca="1" si="5777"/>
        <v>0</v>
      </c>
      <c r="AB761" s="452">
        <f t="shared" ca="1" si="5777"/>
        <v>0</v>
      </c>
      <c r="AC761" s="452">
        <f t="shared" ca="1" si="5777"/>
        <v>97721.402017470275</v>
      </c>
      <c r="AD761" s="452">
        <f t="shared" ca="1" si="5777"/>
        <v>127159.67911483883</v>
      </c>
      <c r="AE761" s="452">
        <f t="shared" ca="1" si="5777"/>
        <v>75333.269014269463</v>
      </c>
      <c r="AF761" s="452">
        <f t="shared" ca="1" si="5777"/>
        <v>73928.550484604842</v>
      </c>
      <c r="AG761" s="452">
        <f t="shared" ca="1" si="5777"/>
        <v>116686.59263123129</v>
      </c>
      <c r="AH761" s="452">
        <f t="shared" ca="1" si="5777"/>
        <v>151138.36146220856</v>
      </c>
      <c r="AI761" s="452">
        <f t="shared" ca="1" si="5777"/>
        <v>89153.02732999064</v>
      </c>
      <c r="AJ761" s="452">
        <f t="shared" ca="1" si="5777"/>
        <v>87137.118171187642</v>
      </c>
      <c r="AK761" s="452">
        <f t="shared" ca="1" si="5777"/>
        <v>137012.64425086521</v>
      </c>
      <c r="AL761" s="452">
        <f t="shared" ca="1" si="5777"/>
        <v>176831.88291078398</v>
      </c>
      <c r="AM761" s="452">
        <f t="shared" ca="1" si="5777"/>
        <v>103957.8330805467</v>
      </c>
      <c r="AN761" s="452">
        <f t="shared" ca="1" si="5777"/>
        <v>102409.46432072064</v>
      </c>
      <c r="AO761" s="452">
        <f t="shared" ca="1" si="5777"/>
        <v>158778.08145185956</v>
      </c>
      <c r="AP761" s="452">
        <f t="shared" ca="1" si="5777"/>
        <v>199230.58807948313</v>
      </c>
      <c r="AQ761" s="452">
        <f t="shared" ca="1" si="5777"/>
        <v>113960.26242559374</v>
      </c>
      <c r="AR761" s="452">
        <f t="shared" ca="1" si="5777"/>
        <v>108107.43451600889</v>
      </c>
      <c r="AS761" s="452">
        <f t="shared" ca="1" si="5777"/>
        <v>165129.20470993395</v>
      </c>
      <c r="AT761" s="452">
        <f t="shared" ca="1" si="5777"/>
        <v>207199.81160266232</v>
      </c>
      <c r="AU761" s="452">
        <f t="shared" ca="1" si="5777"/>
        <v>118518.67292261752</v>
      </c>
      <c r="AV761" s="452">
        <f t="shared" ca="1" si="5777"/>
        <v>112431.73189664923</v>
      </c>
      <c r="AW761" s="452">
        <f t="shared" ca="1" si="5777"/>
        <v>159597.79038046044</v>
      </c>
      <c r="AX761" s="452">
        <f t="shared" ca="1" si="5777"/>
        <v>200259.13742587809</v>
      </c>
      <c r="AY761" s="452">
        <f t="shared" ca="1" si="5777"/>
        <v>114548.5945414739</v>
      </c>
      <c r="AZ761" s="452">
        <f t="shared" ca="1" si="5777"/>
        <v>108665.55077809369</v>
      </c>
      <c r="BA761" s="452">
        <f t="shared" ca="1" si="5777"/>
        <v>165981.70199567883</v>
      </c>
      <c r="BB761" s="452">
        <f t="shared" ca="1" si="5777"/>
        <v>208269.50292291294</v>
      </c>
      <c r="BC761" s="452">
        <f t="shared" ca="1" si="5777"/>
        <v>119130.53832313279</v>
      </c>
      <c r="BD761" s="452">
        <f t="shared" ca="1" si="5777"/>
        <v>114267.86361820868</v>
      </c>
      <c r="BE761" s="452">
        <f t="shared" ca="1" si="5777"/>
        <v>172620.9700755059</v>
      </c>
      <c r="BF761" s="452">
        <f t="shared" ca="1" si="5777"/>
        <v>216600.28303982946</v>
      </c>
      <c r="BG761" s="452">
        <f t="shared" ca="1" si="5777"/>
        <v>123895.75985605811</v>
      </c>
      <c r="BH761" s="452">
        <f t="shared" ca="1" si="5777"/>
        <v>117532.65972158604</v>
      </c>
      <c r="BI761" s="452">
        <f t="shared" ca="1" si="5777"/>
        <v>179525.80887852609</v>
      </c>
      <c r="BJ761" s="452">
        <f t="shared" ca="1" si="5777"/>
        <v>225264.29436142254</v>
      </c>
      <c r="BK761" s="452">
        <f t="shared" ca="1" si="5777"/>
        <v>128851.59025030042</v>
      </c>
      <c r="BL761" s="452">
        <f t="shared" ca="1" si="5777"/>
        <v>122233.96611044946</v>
      </c>
      <c r="BM761" s="452">
        <f t="shared" ca="1" si="5777"/>
        <v>186706.84123366722</v>
      </c>
      <c r="BN761" s="452">
        <f t="shared" ca="1" si="5777"/>
        <v>234274.86613587965</v>
      </c>
      <c r="BO761" s="452">
        <f t="shared" ca="1" si="5777"/>
        <v>134005.65386031242</v>
      </c>
      <c r="BP761" s="452">
        <f t="shared" ca="1" si="5777"/>
        <v>127123.32475486741</v>
      </c>
      <c r="BQ761" s="452">
        <f t="shared" ca="1" si="5777"/>
        <v>194175.11488301377</v>
      </c>
      <c r="BR761" s="452">
        <f t="shared" ca="1" si="5777"/>
        <v>243645.86078131478</v>
      </c>
      <c r="BS761" s="452">
        <f t="shared" ca="1" si="5777"/>
        <v>139365.8800147248</v>
      </c>
      <c r="BT761" s="452">
        <f t="shared" ca="1" si="5777"/>
        <v>133677.23838667385</v>
      </c>
      <c r="BU761" s="452">
        <f t="shared" ca="1" si="5777"/>
        <v>201942.11947833444</v>
      </c>
      <c r="BV761" s="452">
        <f t="shared" ca="1" si="5777"/>
        <v>253391.69521256734</v>
      </c>
      <c r="BW761" s="452">
        <f t="shared" ca="1" si="5777"/>
        <v>144940.51521531376</v>
      </c>
      <c r="BX761" s="452">
        <f t="shared" ca="1" si="5777"/>
        <v>137496.58805486455</v>
      </c>
      <c r="BY761" s="452">
        <f t="shared" ref="BY761:CO761" ca="1" si="5778">BY759-BY762</f>
        <v>210019.80425746762</v>
      </c>
      <c r="BZ761" s="452">
        <f t="shared" ca="1" si="5778"/>
        <v>263527.3630210699</v>
      </c>
      <c r="CA761" s="452">
        <f t="shared" ca="1" si="5778"/>
        <v>150738.13582392642</v>
      </c>
      <c r="CB761" s="452">
        <f t="shared" ca="1" si="5778"/>
        <v>142996.45157705911</v>
      </c>
      <c r="CC761" s="452">
        <f t="shared" ca="1" si="5778"/>
        <v>218420.59642776637</v>
      </c>
      <c r="CD761" s="452">
        <f t="shared" ca="1" si="5778"/>
        <v>274068.45754191279</v>
      </c>
      <c r="CE761" s="452">
        <f t="shared" ca="1" si="5778"/>
        <v>156767.66125688341</v>
      </c>
      <c r="CF761" s="452">
        <f t="shared" ca="1" si="5778"/>
        <v>148716.30964014155</v>
      </c>
      <c r="CG761" s="452">
        <f t="shared" ca="1" si="5778"/>
        <v>227157.42028487707</v>
      </c>
      <c r="CH761" s="452">
        <f t="shared" ca="1" si="5778"/>
        <v>285031.19584358903</v>
      </c>
      <c r="CI761" s="452">
        <f t="shared" ca="1" si="5778"/>
        <v>163038.3677071589</v>
      </c>
      <c r="CJ761" s="452">
        <f t="shared" ca="1" si="5778"/>
        <v>156383.46160381101</v>
      </c>
      <c r="CK761" s="452">
        <f t="shared" ca="1" si="5778"/>
        <v>236243.71709627192</v>
      </c>
      <c r="CL761" s="452">
        <f t="shared" ca="1" si="5778"/>
        <v>296432.44367733249</v>
      </c>
      <c r="CM761" s="452">
        <f t="shared" ca="1" si="5778"/>
        <v>169559.90241544507</v>
      </c>
      <c r="CN761" s="452">
        <f t="shared" ca="1" si="5778"/>
        <v>160851.56050677702</v>
      </c>
      <c r="CO761" s="452">
        <f t="shared" ca="1" si="5778"/>
        <v>245693.4657801229</v>
      </c>
    </row>
    <row r="762" spans="1:93" ht="14.5" customHeight="1">
      <c r="B762" s="13"/>
      <c r="C762" s="452" t="s">
        <v>1139</v>
      </c>
      <c r="D762" s="10"/>
      <c r="E762" s="62"/>
      <c r="F762" s="11"/>
      <c r="G762" s="142" t="str">
        <f>Monetary_Unit</f>
        <v>тыс. руб.</v>
      </c>
      <c r="H762" s="10"/>
      <c r="I762" s="23">
        <f ca="1">SUM(J762:CO762)</f>
        <v>44214622.882691026</v>
      </c>
      <c r="J762" s="10"/>
      <c r="K762" s="10"/>
      <c r="L762" s="452">
        <f ca="1">L704+L705*$F$666</f>
        <v>0</v>
      </c>
      <c r="M762" s="452">
        <f t="shared" ref="M762:BX762" ca="1" si="5779">M704+M705*$F$666</f>
        <v>0</v>
      </c>
      <c r="N762" s="452">
        <f t="shared" ca="1" si="5779"/>
        <v>0</v>
      </c>
      <c r="O762" s="452">
        <f t="shared" ca="1" si="5779"/>
        <v>0</v>
      </c>
      <c r="P762" s="452">
        <f t="shared" ca="1" si="5779"/>
        <v>0</v>
      </c>
      <c r="Q762" s="452">
        <f t="shared" ca="1" si="5779"/>
        <v>0</v>
      </c>
      <c r="R762" s="452">
        <f t="shared" ca="1" si="5779"/>
        <v>0</v>
      </c>
      <c r="S762" s="452">
        <f t="shared" ca="1" si="5779"/>
        <v>0</v>
      </c>
      <c r="T762" s="452">
        <f t="shared" ca="1" si="5779"/>
        <v>0</v>
      </c>
      <c r="U762" s="452">
        <f t="shared" ca="1" si="5779"/>
        <v>0</v>
      </c>
      <c r="V762" s="452">
        <f t="shared" ca="1" si="5779"/>
        <v>0</v>
      </c>
      <c r="W762" s="452">
        <f t="shared" ca="1" si="5779"/>
        <v>0</v>
      </c>
      <c r="X762" s="452">
        <f t="shared" ca="1" si="5779"/>
        <v>0</v>
      </c>
      <c r="Y762" s="452">
        <f t="shared" ca="1" si="5779"/>
        <v>0</v>
      </c>
      <c r="Z762" s="452">
        <f t="shared" ca="1" si="5779"/>
        <v>0</v>
      </c>
      <c r="AA762" s="452">
        <f t="shared" ca="1" si="5779"/>
        <v>0</v>
      </c>
      <c r="AB762" s="452">
        <f t="shared" ca="1" si="5779"/>
        <v>0</v>
      </c>
      <c r="AC762" s="452">
        <f t="shared" ca="1" si="5779"/>
        <v>441008.20291587111</v>
      </c>
      <c r="AD762" s="452">
        <f t="shared" ca="1" si="5779"/>
        <v>573860.59155975212</v>
      </c>
      <c r="AE762" s="452">
        <f t="shared" ca="1" si="5779"/>
        <v>339972.50245981361</v>
      </c>
      <c r="AF762" s="452">
        <f t="shared" ca="1" si="5779"/>
        <v>333633.12969621696</v>
      </c>
      <c r="AG762" s="452">
        <f t="shared" ca="1" si="5779"/>
        <v>526596.46155584021</v>
      </c>
      <c r="AH762" s="452">
        <f t="shared" ca="1" si="5779"/>
        <v>682074.30311102013</v>
      </c>
      <c r="AI762" s="452">
        <f t="shared" ca="1" si="5779"/>
        <v>402339.87187657948</v>
      </c>
      <c r="AJ762" s="452">
        <f t="shared" ca="1" si="5779"/>
        <v>393242.24886860786</v>
      </c>
      <c r="AK762" s="452">
        <f t="shared" ca="1" si="5779"/>
        <v>618326.16776234168</v>
      </c>
      <c r="AL762" s="452">
        <f t="shared" ca="1" si="5779"/>
        <v>798026.93463989347</v>
      </c>
      <c r="AM762" s="452">
        <f t="shared" ca="1" si="5779"/>
        <v>469152.674842751</v>
      </c>
      <c r="AN762" s="452">
        <f t="shared" ca="1" si="5779"/>
        <v>462165.02106246795</v>
      </c>
      <c r="AO762" s="452">
        <f t="shared" ca="1" si="5779"/>
        <v>716551.69612687314</v>
      </c>
      <c r="AP762" s="452">
        <f t="shared" ca="1" si="5779"/>
        <v>899110.34636094619</v>
      </c>
      <c r="AQ762" s="452">
        <f t="shared" ca="1" si="5779"/>
        <v>514292.77004383685</v>
      </c>
      <c r="AR762" s="452">
        <f t="shared" ca="1" si="5779"/>
        <v>487879.46584338689</v>
      </c>
      <c r="AS762" s="452">
        <f t="shared" ca="1" si="5779"/>
        <v>745213.76397194806</v>
      </c>
      <c r="AT762" s="452">
        <f t="shared" ca="1" si="5779"/>
        <v>935074.76021538419</v>
      </c>
      <c r="AU762" s="452">
        <f t="shared" ca="1" si="5779"/>
        <v>534864.48084559035</v>
      </c>
      <c r="AV762" s="452">
        <f t="shared" ca="1" si="5779"/>
        <v>507394.64447712235</v>
      </c>
      <c r="AW762" s="452">
        <f t="shared" ca="1" si="5779"/>
        <v>645851.9287756884</v>
      </c>
      <c r="AX762" s="452">
        <f t="shared" ca="1" si="5779"/>
        <v>810398.1255199993</v>
      </c>
      <c r="AY762" s="452">
        <f t="shared" ca="1" si="5779"/>
        <v>463549.21673284494</v>
      </c>
      <c r="AZ762" s="452">
        <f t="shared" ca="1" si="5779"/>
        <v>439742.0252135059</v>
      </c>
      <c r="BA762" s="452">
        <f t="shared" ca="1" si="5779"/>
        <v>671686.00592671568</v>
      </c>
      <c r="BB762" s="452">
        <f t="shared" ca="1" si="5779"/>
        <v>842814.05054079916</v>
      </c>
      <c r="BC762" s="452">
        <f t="shared" ca="1" si="5779"/>
        <v>482091.18540215865</v>
      </c>
      <c r="BD762" s="452">
        <f t="shared" ca="1" si="5779"/>
        <v>462413.16962451325</v>
      </c>
      <c r="BE762" s="452">
        <f t="shared" ca="1" si="5779"/>
        <v>698553.44616378413</v>
      </c>
      <c r="BF762" s="452">
        <f t="shared" ca="1" si="5779"/>
        <v>876526.61256243102</v>
      </c>
      <c r="BG762" s="452">
        <f t="shared" ca="1" si="5779"/>
        <v>501374.83281824487</v>
      </c>
      <c r="BH762" s="452">
        <f t="shared" ca="1" si="5779"/>
        <v>475624.97447092785</v>
      </c>
      <c r="BI762" s="452">
        <f t="shared" ca="1" si="5779"/>
        <v>726495.58401033562</v>
      </c>
      <c r="BJ762" s="452">
        <f t="shared" ca="1" si="5779"/>
        <v>911587.67706492823</v>
      </c>
      <c r="BK762" s="452">
        <f t="shared" ca="1" si="5779"/>
        <v>521429.82613097463</v>
      </c>
      <c r="BL762" s="452">
        <f t="shared" ca="1" si="5779"/>
        <v>494649.97344976495</v>
      </c>
      <c r="BM762" s="452">
        <f t="shared" ca="1" si="5779"/>
        <v>755555.40737074881</v>
      </c>
      <c r="BN762" s="452">
        <f t="shared" ca="1" si="5779"/>
        <v>948051.18414752511</v>
      </c>
      <c r="BO762" s="452">
        <f t="shared" ca="1" si="5779"/>
        <v>542287.01917621354</v>
      </c>
      <c r="BP762" s="452">
        <f t="shared" ca="1" si="5779"/>
        <v>514435.97238775546</v>
      </c>
      <c r="BQ762" s="452">
        <f t="shared" ca="1" si="5779"/>
        <v>785777.62366557866</v>
      </c>
      <c r="BR762" s="452">
        <f t="shared" ca="1" si="5779"/>
        <v>985973.23151342594</v>
      </c>
      <c r="BS762" s="452">
        <f t="shared" ca="1" si="5779"/>
        <v>563978.49994326185</v>
      </c>
      <c r="BT762" s="452">
        <f t="shared" ca="1" si="5779"/>
        <v>540958.00474196859</v>
      </c>
      <c r="BU762" s="452">
        <f t="shared" ca="1" si="5779"/>
        <v>817208.72861220152</v>
      </c>
      <c r="BV762" s="452">
        <f t="shared" ca="1" si="5779"/>
        <v>1025412.1607739626</v>
      </c>
      <c r="BW762" s="452">
        <f t="shared" ca="1" si="5779"/>
        <v>586537.63994099223</v>
      </c>
      <c r="BX762" s="452">
        <f t="shared" ca="1" si="5779"/>
        <v>556413.94773459609</v>
      </c>
      <c r="BY762" s="452">
        <f t="shared" ref="BY762:CO762" ca="1" si="5780">BY704+BY705*$F$666</f>
        <v>849897.0777566894</v>
      </c>
      <c r="BZ762" s="452">
        <f t="shared" ca="1" si="5780"/>
        <v>1066428.6472049211</v>
      </c>
      <c r="CA762" s="452">
        <f t="shared" ca="1" si="5780"/>
        <v>609999.14553863183</v>
      </c>
      <c r="CB762" s="452">
        <f t="shared" ca="1" si="5780"/>
        <v>578670.50564398</v>
      </c>
      <c r="CC762" s="452">
        <f t="shared" ca="1" si="5780"/>
        <v>883892.9608669572</v>
      </c>
      <c r="CD762" s="452">
        <f t="shared" ca="1" si="5780"/>
        <v>1109085.7930931179</v>
      </c>
      <c r="CE762" s="452">
        <f t="shared" ca="1" si="5780"/>
        <v>634399.11136017716</v>
      </c>
      <c r="CF762" s="452">
        <f t="shared" ca="1" si="5780"/>
        <v>601817.32586973906</v>
      </c>
      <c r="CG762" s="452">
        <f t="shared" ca="1" si="5780"/>
        <v>919248.67930163536</v>
      </c>
      <c r="CH762" s="452">
        <f t="shared" ca="1" si="5780"/>
        <v>1153449.2248168425</v>
      </c>
      <c r="CI762" s="452">
        <f t="shared" ca="1" si="5780"/>
        <v>659775.07581458427</v>
      </c>
      <c r="CJ762" s="452">
        <f t="shared" ca="1" si="5780"/>
        <v>632844.3524479121</v>
      </c>
      <c r="CK762" s="452">
        <f t="shared" ca="1" si="5780"/>
        <v>956018.62647370063</v>
      </c>
      <c r="CL762" s="452">
        <f t="shared" ca="1" si="5780"/>
        <v>1199587.1938095163</v>
      </c>
      <c r="CM762" s="452">
        <f t="shared" ca="1" si="5780"/>
        <v>686166.07884716755</v>
      </c>
      <c r="CN762" s="452">
        <f t="shared" ca="1" si="5780"/>
        <v>650925.61966070964</v>
      </c>
      <c r="CO762" s="452">
        <f t="shared" ca="1" si="5780"/>
        <v>994259.37153264857</v>
      </c>
    </row>
    <row r="763" spans="1:93" ht="14.5" customHeight="1">
      <c r="B763" s="10"/>
      <c r="C763" s="10"/>
      <c r="D763" s="10"/>
      <c r="E763" s="10"/>
      <c r="F763" s="10"/>
      <c r="G763" s="11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  <c r="BB763" s="10"/>
      <c r="BC763" s="10"/>
      <c r="BD763" s="10"/>
      <c r="BE763" s="10"/>
      <c r="BF763" s="10"/>
      <c r="BG763" s="10"/>
      <c r="BH763" s="10"/>
      <c r="BI763" s="10"/>
      <c r="BJ763" s="10"/>
      <c r="BK763" s="10"/>
      <c r="BL763" s="10"/>
      <c r="BM763" s="10"/>
      <c r="BN763" s="10"/>
      <c r="BO763" s="10"/>
      <c r="BP763" s="10"/>
      <c r="BQ763" s="10"/>
      <c r="BR763" s="10"/>
      <c r="BS763" s="10"/>
      <c r="BT763" s="10"/>
      <c r="BU763" s="10"/>
      <c r="BV763" s="10"/>
      <c r="BW763" s="10"/>
      <c r="BX763" s="10"/>
      <c r="BY763" s="10"/>
      <c r="BZ763" s="10"/>
      <c r="CA763" s="10"/>
      <c r="CB763" s="10"/>
      <c r="CC763" s="10"/>
      <c r="CD763" s="10"/>
      <c r="CE763" s="10"/>
      <c r="CF763" s="10"/>
      <c r="CG763" s="10"/>
      <c r="CH763" s="10"/>
      <c r="CI763" s="10"/>
      <c r="CJ763" s="10"/>
      <c r="CK763" s="10"/>
      <c r="CL763" s="10"/>
      <c r="CM763" s="10"/>
      <c r="CN763" s="10"/>
      <c r="CO763" s="10"/>
    </row>
    <row r="764" spans="1:93" ht="22.5" customHeight="1">
      <c r="A764" s="10"/>
      <c r="B764" s="5" t="s">
        <v>897</v>
      </c>
      <c r="C764" s="5"/>
      <c r="D764" s="15"/>
      <c r="E764" s="15"/>
      <c r="F764" s="31"/>
      <c r="G764" s="18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  <c r="BM764" s="31"/>
      <c r="BN764" s="31"/>
      <c r="BO764" s="31"/>
      <c r="BP764" s="31"/>
      <c r="BQ764" s="31"/>
      <c r="BR764" s="31"/>
      <c r="BS764" s="31"/>
      <c r="BT764" s="31"/>
      <c r="BU764" s="31"/>
      <c r="BV764" s="31"/>
      <c r="BW764" s="31"/>
      <c r="BX764" s="31"/>
      <c r="BY764" s="31"/>
      <c r="BZ764" s="31"/>
      <c r="CA764" s="31"/>
      <c r="CB764" s="31"/>
      <c r="CC764" s="31"/>
      <c r="CD764" s="31"/>
      <c r="CE764" s="31"/>
      <c r="CF764" s="31"/>
      <c r="CG764" s="31"/>
      <c r="CH764" s="31"/>
      <c r="CI764" s="31"/>
      <c r="CJ764" s="31"/>
      <c r="CK764" s="31"/>
      <c r="CL764" s="31"/>
      <c r="CM764" s="31"/>
      <c r="CN764" s="31"/>
      <c r="CO764" s="31"/>
    </row>
    <row r="765" spans="1:93">
      <c r="A765" s="10"/>
      <c r="B765" s="10"/>
      <c r="C765" s="10"/>
      <c r="D765" s="10"/>
      <c r="E765" s="10"/>
      <c r="F765" s="10"/>
      <c r="G765" s="11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  <c r="BB765" s="10"/>
      <c r="BC765" s="10"/>
      <c r="BD765" s="10"/>
      <c r="BE765" s="10"/>
      <c r="BF765" s="10"/>
      <c r="BG765" s="10"/>
      <c r="BH765" s="10"/>
      <c r="BI765" s="10"/>
      <c r="BJ765" s="10"/>
      <c r="BK765" s="10"/>
      <c r="BL765" s="10"/>
      <c r="BM765" s="10"/>
      <c r="BN765" s="10"/>
      <c r="BO765" s="10"/>
      <c r="BP765" s="10"/>
      <c r="BQ765" s="10"/>
      <c r="BR765" s="10"/>
      <c r="BS765" s="10"/>
      <c r="BT765" s="10"/>
      <c r="BU765" s="10"/>
      <c r="BV765" s="10"/>
      <c r="BW765" s="10"/>
      <c r="BX765" s="10"/>
      <c r="BY765" s="10"/>
      <c r="BZ765" s="10"/>
      <c r="CA765" s="10"/>
      <c r="CB765" s="10"/>
      <c r="CC765" s="10"/>
      <c r="CD765" s="10"/>
      <c r="CE765" s="10"/>
      <c r="CF765" s="10"/>
      <c r="CG765" s="10"/>
      <c r="CH765" s="10"/>
      <c r="CI765" s="10"/>
      <c r="CJ765" s="10"/>
      <c r="CK765" s="10"/>
      <c r="CL765" s="10"/>
      <c r="CM765" s="10"/>
      <c r="CN765" s="10"/>
      <c r="CO765" s="10"/>
    </row>
    <row r="766" spans="1:93" ht="16" thickBot="1">
      <c r="A766" s="10"/>
      <c r="B766" s="101"/>
      <c r="C766" s="12" t="s">
        <v>928</v>
      </c>
      <c r="D766" s="12"/>
      <c r="E766" s="12"/>
      <c r="F766" s="12"/>
      <c r="G766" s="362"/>
      <c r="H766" s="12"/>
      <c r="I766" s="12"/>
      <c r="J766" s="69"/>
      <c r="K766" s="69"/>
      <c r="L766" s="103"/>
      <c r="M766" s="103"/>
      <c r="N766" s="103"/>
      <c r="O766" s="103"/>
      <c r="P766" s="103"/>
      <c r="Q766" s="103"/>
      <c r="R766" s="103"/>
      <c r="S766" s="103"/>
      <c r="T766" s="103"/>
      <c r="U766" s="103"/>
      <c r="V766" s="103"/>
      <c r="W766" s="103"/>
      <c r="X766" s="103"/>
      <c r="Y766" s="103"/>
      <c r="Z766" s="103"/>
      <c r="AA766" s="103"/>
      <c r="AB766" s="103"/>
      <c r="AC766" s="103"/>
      <c r="AD766" s="103"/>
      <c r="AE766" s="103"/>
      <c r="AF766" s="103"/>
      <c r="AG766" s="103"/>
      <c r="AH766" s="103"/>
      <c r="AI766" s="103"/>
      <c r="AJ766" s="103"/>
      <c r="AK766" s="103"/>
      <c r="AL766" s="103"/>
      <c r="AM766" s="103"/>
      <c r="AN766" s="103"/>
      <c r="AO766" s="103"/>
      <c r="AP766" s="103"/>
      <c r="AQ766" s="103"/>
      <c r="AR766" s="103"/>
      <c r="AS766" s="103"/>
      <c r="AT766" s="103"/>
      <c r="AU766" s="103"/>
      <c r="AV766" s="103"/>
      <c r="AW766" s="103"/>
      <c r="AX766" s="103"/>
      <c r="AY766" s="103"/>
      <c r="AZ766" s="103"/>
      <c r="BA766" s="103"/>
      <c r="BB766" s="103"/>
      <c r="BC766" s="103"/>
      <c r="BD766" s="103"/>
      <c r="BE766" s="103"/>
      <c r="BF766" s="103"/>
      <c r="BG766" s="103"/>
      <c r="BH766" s="103"/>
      <c r="BI766" s="103"/>
      <c r="BJ766" s="103"/>
      <c r="BK766" s="103"/>
      <c r="BL766" s="103"/>
      <c r="BM766" s="103"/>
      <c r="BN766" s="103"/>
      <c r="BO766" s="103"/>
      <c r="BP766" s="103"/>
      <c r="BQ766" s="103"/>
      <c r="BR766" s="103"/>
      <c r="BS766" s="103"/>
      <c r="BT766" s="103"/>
      <c r="BU766" s="103"/>
      <c r="BV766" s="103"/>
      <c r="BW766" s="103"/>
      <c r="BX766" s="103"/>
      <c r="BY766" s="103"/>
      <c r="BZ766" s="103"/>
      <c r="CA766" s="103"/>
      <c r="CB766" s="103"/>
      <c r="CC766" s="103"/>
      <c r="CD766" s="103"/>
      <c r="CE766" s="103"/>
      <c r="CF766" s="103"/>
      <c r="CG766" s="103"/>
      <c r="CH766" s="103"/>
      <c r="CI766" s="103"/>
      <c r="CJ766" s="103"/>
      <c r="CK766" s="103"/>
      <c r="CL766" s="103"/>
      <c r="CM766" s="103"/>
      <c r="CN766" s="103"/>
      <c r="CO766" s="103"/>
    </row>
    <row r="767" spans="1:93" s="133" customFormat="1" ht="14">
      <c r="A767" s="10"/>
      <c r="B767" s="10"/>
      <c r="C767" s="21"/>
      <c r="D767" s="10"/>
      <c r="E767" s="10"/>
      <c r="F767" s="10"/>
      <c r="G767" s="11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  <c r="BB767" s="10"/>
      <c r="BC767" s="10"/>
      <c r="BD767" s="10"/>
      <c r="BE767" s="10"/>
      <c r="BF767" s="10"/>
      <c r="BG767" s="10"/>
      <c r="BH767" s="10"/>
      <c r="BI767" s="10"/>
      <c r="BJ767" s="10"/>
      <c r="BK767" s="10"/>
      <c r="BL767" s="10"/>
      <c r="BM767" s="10"/>
      <c r="BN767" s="10"/>
      <c r="BO767" s="10"/>
      <c r="BP767" s="10"/>
      <c r="BQ767" s="10"/>
      <c r="BR767" s="10"/>
      <c r="BS767" s="10"/>
      <c r="BT767" s="10"/>
      <c r="BU767" s="10"/>
      <c r="BV767" s="10"/>
      <c r="BW767" s="10"/>
      <c r="BX767" s="10"/>
      <c r="BY767" s="10"/>
      <c r="BZ767" s="10"/>
      <c r="CA767" s="10"/>
      <c r="CB767" s="10"/>
      <c r="CC767" s="10"/>
      <c r="CD767" s="10"/>
      <c r="CE767" s="10"/>
      <c r="CF767" s="10"/>
      <c r="CG767" s="10"/>
      <c r="CH767" s="10"/>
      <c r="CI767" s="10"/>
      <c r="CJ767" s="10"/>
      <c r="CK767" s="10"/>
      <c r="CL767" s="10"/>
      <c r="CM767" s="10"/>
      <c r="CN767" s="10"/>
      <c r="CO767" s="10"/>
    </row>
    <row r="768" spans="1:93" s="133" customFormat="1" ht="14">
      <c r="A768" s="9"/>
      <c r="B768" s="10"/>
      <c r="C768" s="87" t="s">
        <v>863</v>
      </c>
      <c r="D768" s="10"/>
      <c r="E768" s="10"/>
      <c r="F768" s="10"/>
      <c r="G768" s="11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  <c r="BB768" s="10"/>
      <c r="BC768" s="10"/>
      <c r="BD768" s="10"/>
      <c r="BE768" s="10"/>
      <c r="BF768" s="10"/>
      <c r="BG768" s="10"/>
      <c r="BH768" s="10"/>
      <c r="BI768" s="10"/>
      <c r="BJ768" s="10"/>
      <c r="BK768" s="10"/>
      <c r="BL768" s="10"/>
      <c r="BM768" s="10"/>
      <c r="BN768" s="10"/>
      <c r="BO768" s="10"/>
      <c r="BP768" s="10"/>
      <c r="BQ768" s="10"/>
      <c r="BR768" s="10"/>
      <c r="BS768" s="10"/>
      <c r="BT768" s="10"/>
      <c r="BU768" s="10"/>
      <c r="BV768" s="10"/>
      <c r="BW768" s="10"/>
      <c r="BX768" s="10"/>
      <c r="BY768" s="10"/>
      <c r="BZ768" s="10"/>
      <c r="CA768" s="10"/>
      <c r="CB768" s="10"/>
      <c r="CC768" s="10"/>
      <c r="CD768" s="10"/>
      <c r="CE768" s="10"/>
      <c r="CF768" s="10"/>
      <c r="CG768" s="10"/>
      <c r="CH768" s="10"/>
      <c r="CI768" s="10"/>
      <c r="CJ768" s="10"/>
      <c r="CK768" s="10"/>
      <c r="CL768" s="10"/>
      <c r="CM768" s="10"/>
      <c r="CN768" s="10"/>
      <c r="CO768" s="10"/>
    </row>
    <row r="769" spans="1:93" s="133" customFormat="1" ht="14">
      <c r="A769" s="9"/>
      <c r="B769" s="10"/>
      <c r="C769" s="21" t="str">
        <f>C509</f>
        <v>Сегмент 1: Объект размещения (отель)</v>
      </c>
      <c r="D769" s="10"/>
      <c r="E769" s="311" t="str">
        <f xml:space="preserve"> E95</f>
        <v>в проекте</v>
      </c>
      <c r="F769" s="10"/>
      <c r="G769" s="207"/>
      <c r="H769" s="10"/>
      <c r="I769" s="296">
        <f xml:space="preserve"> (E769 = "в проекте") * 1</f>
        <v>1</v>
      </c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  <c r="BB769" s="10"/>
      <c r="BC769" s="10"/>
      <c r="BD769" s="10"/>
      <c r="BE769" s="10"/>
      <c r="BF769" s="10"/>
      <c r="BG769" s="10"/>
      <c r="BH769" s="10"/>
      <c r="BI769" s="10"/>
      <c r="BJ769" s="10"/>
      <c r="BK769" s="10"/>
      <c r="BL769" s="10"/>
      <c r="BM769" s="10"/>
      <c r="BN769" s="10"/>
      <c r="BO769" s="10"/>
      <c r="BP769" s="10"/>
      <c r="BQ769" s="10"/>
      <c r="BR769" s="10"/>
      <c r="BS769" s="10"/>
      <c r="BT769" s="10"/>
      <c r="BU769" s="10"/>
      <c r="BV769" s="10"/>
      <c r="BW769" s="10"/>
      <c r="BX769" s="10"/>
      <c r="BY769" s="10"/>
      <c r="BZ769" s="10"/>
      <c r="CA769" s="10"/>
      <c r="CB769" s="10"/>
      <c r="CC769" s="10"/>
      <c r="CD769" s="10"/>
      <c r="CE769" s="10"/>
      <c r="CF769" s="10"/>
      <c r="CG769" s="10"/>
      <c r="CH769" s="10"/>
      <c r="CI769" s="10"/>
      <c r="CJ769" s="10"/>
      <c r="CK769" s="10"/>
      <c r="CL769" s="10"/>
      <c r="CM769" s="10"/>
      <c r="CN769" s="10"/>
      <c r="CO769" s="10"/>
    </row>
    <row r="770" spans="1:93" s="133" customFormat="1" ht="14">
      <c r="A770" s="9"/>
      <c r="B770" s="10"/>
      <c r="C770" s="21" t="str">
        <f>C510</f>
        <v>Сегмент 2: Развлекательный комплекс</v>
      </c>
      <c r="D770" s="10"/>
      <c r="E770" s="311" t="str">
        <f xml:space="preserve"> E96</f>
        <v>в проекте</v>
      </c>
      <c r="F770" s="10"/>
      <c r="G770" s="207"/>
      <c r="H770" s="10"/>
      <c r="I770" s="296">
        <f xml:space="preserve"> (E770 = "в проекте") * 1</f>
        <v>1</v>
      </c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  <c r="BB770" s="10"/>
      <c r="BC770" s="10"/>
      <c r="BD770" s="10"/>
      <c r="BE770" s="10"/>
      <c r="BF770" s="10"/>
      <c r="BG770" s="10"/>
      <c r="BH770" s="10"/>
      <c r="BI770" s="10"/>
      <c r="BJ770" s="10"/>
      <c r="BK770" s="10"/>
      <c r="BL770" s="10"/>
      <c r="BM770" s="10"/>
      <c r="BN770" s="10"/>
      <c r="BO770" s="10"/>
      <c r="BP770" s="10"/>
      <c r="BQ770" s="10"/>
      <c r="BR770" s="10"/>
      <c r="BS770" s="10"/>
      <c r="BT770" s="10"/>
      <c r="BU770" s="10"/>
      <c r="BV770" s="10"/>
      <c r="BW770" s="10"/>
      <c r="BX770" s="10"/>
      <c r="BY770" s="10"/>
      <c r="BZ770" s="10"/>
      <c r="CA770" s="10"/>
      <c r="CB770" s="10"/>
      <c r="CC770" s="10"/>
      <c r="CD770" s="10"/>
      <c r="CE770" s="10"/>
      <c r="CF770" s="10"/>
      <c r="CG770" s="10"/>
      <c r="CH770" s="10"/>
      <c r="CI770" s="10"/>
      <c r="CJ770" s="10"/>
      <c r="CK770" s="10"/>
      <c r="CL770" s="10"/>
      <c r="CM770" s="10"/>
      <c r="CN770" s="10"/>
      <c r="CO770" s="10"/>
    </row>
    <row r="771" spans="1:93" s="133" customFormat="1" ht="14">
      <c r="A771" s="9"/>
      <c r="B771" s="10"/>
      <c r="C771" s="21" t="str">
        <f>C511</f>
        <v>Сегмент 3: Крытый парк развлечений</v>
      </c>
      <c r="D771" s="10"/>
      <c r="E771" s="311" t="str">
        <f xml:space="preserve"> E97</f>
        <v>в проекте</v>
      </c>
      <c r="F771" s="10"/>
      <c r="G771" s="207"/>
      <c r="H771" s="10"/>
      <c r="I771" s="296">
        <f xml:space="preserve"> (E771 = "в проекте") * 1</f>
        <v>1</v>
      </c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  <c r="BB771" s="10"/>
      <c r="BC771" s="10"/>
      <c r="BD771" s="10"/>
      <c r="BE771" s="10"/>
      <c r="BF771" s="10"/>
      <c r="BG771" s="10"/>
      <c r="BH771" s="10"/>
      <c r="BI771" s="10"/>
      <c r="BJ771" s="10"/>
      <c r="BK771" s="10"/>
      <c r="BL771" s="10"/>
      <c r="BM771" s="10"/>
      <c r="BN771" s="10"/>
      <c r="BO771" s="10"/>
      <c r="BP771" s="10"/>
      <c r="BQ771" s="10"/>
      <c r="BR771" s="10"/>
      <c r="BS771" s="10"/>
      <c r="BT771" s="10"/>
      <c r="BU771" s="10"/>
      <c r="BV771" s="10"/>
      <c r="BW771" s="10"/>
      <c r="BX771" s="10"/>
      <c r="BY771" s="10"/>
      <c r="BZ771" s="10"/>
      <c r="CA771" s="10"/>
      <c r="CB771" s="10"/>
      <c r="CC771" s="10"/>
      <c r="CD771" s="10"/>
      <c r="CE771" s="10"/>
      <c r="CF771" s="10"/>
      <c r="CG771" s="10"/>
      <c r="CH771" s="10"/>
      <c r="CI771" s="10"/>
      <c r="CJ771" s="10"/>
      <c r="CK771" s="10"/>
      <c r="CL771" s="10"/>
      <c r="CM771" s="10"/>
      <c r="CN771" s="10"/>
      <c r="CO771" s="10"/>
    </row>
    <row r="772" spans="1:93" s="133" customFormat="1" ht="14">
      <c r="A772" s="10"/>
      <c r="B772" s="10"/>
      <c r="C772" s="21"/>
      <c r="D772" s="10"/>
      <c r="E772" s="10"/>
      <c r="F772" s="10"/>
      <c r="G772" s="11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  <c r="BB772" s="10"/>
      <c r="BC772" s="10"/>
      <c r="BD772" s="10"/>
      <c r="BE772" s="10"/>
      <c r="BF772" s="10"/>
      <c r="BG772" s="10"/>
      <c r="BH772" s="10"/>
      <c r="BI772" s="10"/>
      <c r="BJ772" s="10"/>
      <c r="BK772" s="10"/>
      <c r="BL772" s="10"/>
      <c r="BM772" s="10"/>
      <c r="BN772" s="10"/>
      <c r="BO772" s="10"/>
      <c r="BP772" s="10"/>
      <c r="BQ772" s="10"/>
      <c r="BR772" s="10"/>
      <c r="BS772" s="10"/>
      <c r="BT772" s="10"/>
      <c r="BU772" s="10"/>
      <c r="BV772" s="10"/>
      <c r="BW772" s="10"/>
      <c r="BX772" s="10"/>
      <c r="BY772" s="10"/>
      <c r="BZ772" s="10"/>
      <c r="CA772" s="10"/>
      <c r="CB772" s="10"/>
      <c r="CC772" s="10"/>
      <c r="CD772" s="10"/>
      <c r="CE772" s="10"/>
      <c r="CF772" s="10"/>
      <c r="CG772" s="10"/>
      <c r="CH772" s="10"/>
      <c r="CI772" s="10"/>
      <c r="CJ772" s="10"/>
      <c r="CK772" s="10"/>
      <c r="CL772" s="10"/>
      <c r="CM772" s="10"/>
      <c r="CN772" s="10"/>
      <c r="CO772" s="10"/>
    </row>
    <row r="773" spans="1:93" s="141" customFormat="1" ht="14">
      <c r="A773" s="10"/>
      <c r="B773" s="10"/>
      <c r="C773" s="87" t="s">
        <v>1134</v>
      </c>
      <c r="D773" s="10"/>
      <c r="E773" s="10"/>
      <c r="F773" s="10"/>
      <c r="G773" s="11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  <c r="BB773" s="10"/>
      <c r="BC773" s="10"/>
      <c r="BD773" s="10"/>
      <c r="BE773" s="10"/>
      <c r="BF773" s="10"/>
      <c r="BG773" s="10"/>
      <c r="BH773" s="10"/>
      <c r="BI773" s="10"/>
      <c r="BJ773" s="10"/>
      <c r="BK773" s="10"/>
      <c r="BL773" s="10"/>
      <c r="BM773" s="10"/>
      <c r="BN773" s="10"/>
      <c r="BO773" s="10"/>
      <c r="BP773" s="10"/>
      <c r="BQ773" s="10"/>
      <c r="BR773" s="10"/>
      <c r="BS773" s="10"/>
      <c r="BT773" s="10"/>
      <c r="BU773" s="10"/>
      <c r="BV773" s="10"/>
      <c r="BW773" s="10"/>
      <c r="BX773" s="10"/>
      <c r="BY773" s="10"/>
      <c r="BZ773" s="10"/>
      <c r="CA773" s="10"/>
      <c r="CB773" s="10"/>
      <c r="CC773" s="10"/>
      <c r="CD773" s="10"/>
      <c r="CE773" s="10"/>
      <c r="CF773" s="10"/>
      <c r="CG773" s="10"/>
      <c r="CH773" s="10"/>
      <c r="CI773" s="10"/>
      <c r="CJ773" s="10"/>
      <c r="CK773" s="10"/>
      <c r="CL773" s="10"/>
      <c r="CM773" s="10"/>
      <c r="CN773" s="10"/>
      <c r="CO773" s="10"/>
    </row>
    <row r="774" spans="1:93" s="141" customFormat="1" ht="13">
      <c r="A774" s="10"/>
      <c r="B774" s="10"/>
      <c r="C774" s="21" t="str">
        <f xml:space="preserve"> "Эксплуатационные расходы " &amp; Предпосылки!C64</f>
        <v>Эксплуатационные расходы Общая поддерживающая инфраструктура</v>
      </c>
      <c r="D774" s="10"/>
      <c r="E774" s="310">
        <f xml:space="preserve"> Контр_панель!G58</f>
        <v>0</v>
      </c>
      <c r="F774" s="10"/>
      <c r="G774" s="11"/>
      <c r="H774" s="10"/>
      <c r="I774" s="467">
        <f xml:space="preserve"> (1 + E774) * (1 + Opex_sens)</f>
        <v>1</v>
      </c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  <c r="BB774" s="10"/>
      <c r="BC774" s="10"/>
      <c r="BD774" s="10"/>
      <c r="BE774" s="10"/>
      <c r="BF774" s="10"/>
      <c r="BG774" s="10"/>
      <c r="BH774" s="10"/>
      <c r="BI774" s="10"/>
      <c r="BJ774" s="10"/>
      <c r="BK774" s="10"/>
      <c r="BL774" s="10"/>
      <c r="BM774" s="10"/>
      <c r="BN774" s="10"/>
      <c r="BO774" s="10"/>
      <c r="BP774" s="10"/>
      <c r="BQ774" s="10"/>
      <c r="BR774" s="10"/>
      <c r="BS774" s="10"/>
      <c r="BT774" s="10"/>
      <c r="BU774" s="10"/>
      <c r="BV774" s="10"/>
      <c r="BW774" s="10"/>
      <c r="BX774" s="10"/>
      <c r="BY774" s="10"/>
      <c r="BZ774" s="10"/>
      <c r="CA774" s="10"/>
      <c r="CB774" s="10"/>
      <c r="CC774" s="10"/>
      <c r="CD774" s="10"/>
      <c r="CE774" s="10"/>
      <c r="CF774" s="10"/>
      <c r="CG774" s="10"/>
      <c r="CH774" s="10"/>
      <c r="CI774" s="10"/>
      <c r="CJ774" s="10"/>
      <c r="CK774" s="10"/>
      <c r="CL774" s="10"/>
      <c r="CM774" s="10"/>
      <c r="CN774" s="10"/>
      <c r="CO774" s="10"/>
    </row>
    <row r="775" spans="1:93" s="141" customFormat="1" ht="13">
      <c r="A775" s="10"/>
      <c r="B775" s="10"/>
      <c r="C775" s="21" t="str">
        <f xml:space="preserve"> "Эксплуатационные расходы " &amp; C35</f>
        <v>Эксплуатационные расходы Объект размещения (отель)</v>
      </c>
      <c r="D775" s="10"/>
      <c r="E775" s="310">
        <f>Контр_панель!G54</f>
        <v>0</v>
      </c>
      <c r="F775" s="10"/>
      <c r="G775" s="11"/>
      <c r="H775" s="10"/>
      <c r="I775" s="467">
        <f xml:space="preserve"> (1 + E775) * (1 + Opex_sens) * I769</f>
        <v>1</v>
      </c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  <c r="BB775" s="10"/>
      <c r="BC775" s="10"/>
      <c r="BD775" s="10"/>
      <c r="BE775" s="10"/>
      <c r="BF775" s="10"/>
      <c r="BG775" s="10"/>
      <c r="BH775" s="10"/>
      <c r="BI775" s="10"/>
      <c r="BJ775" s="10"/>
      <c r="BK775" s="10"/>
      <c r="BL775" s="10"/>
      <c r="BM775" s="10"/>
      <c r="BN775" s="10"/>
      <c r="BO775" s="10"/>
      <c r="BP775" s="10"/>
      <c r="BQ775" s="10"/>
      <c r="BR775" s="10"/>
      <c r="BS775" s="10"/>
      <c r="BT775" s="10"/>
      <c r="BU775" s="10"/>
      <c r="BV775" s="10"/>
      <c r="BW775" s="10"/>
      <c r="BX775" s="10"/>
      <c r="BY775" s="10"/>
      <c r="BZ775" s="10"/>
      <c r="CA775" s="10"/>
      <c r="CB775" s="10"/>
      <c r="CC775" s="10"/>
      <c r="CD775" s="10"/>
      <c r="CE775" s="10"/>
      <c r="CF775" s="10"/>
      <c r="CG775" s="10"/>
      <c r="CH775" s="10"/>
      <c r="CI775" s="10"/>
      <c r="CJ775" s="10"/>
      <c r="CK775" s="10"/>
      <c r="CL775" s="10"/>
      <c r="CM775" s="10"/>
      <c r="CN775" s="10"/>
      <c r="CO775" s="10"/>
    </row>
    <row r="776" spans="1:93" s="141" customFormat="1" ht="13">
      <c r="A776" s="10"/>
      <c r="B776" s="10"/>
      <c r="C776" s="21" t="str">
        <f xml:space="preserve"> "Эксплуатационные расходы " &amp; C36</f>
        <v>Эксплуатационные расходы Развлекательный комплекс</v>
      </c>
      <c r="D776" s="10"/>
      <c r="E776" s="310">
        <f>Контр_панель!G55</f>
        <v>0</v>
      </c>
      <c r="F776" s="10"/>
      <c r="G776" s="11"/>
      <c r="H776" s="10"/>
      <c r="I776" s="467">
        <f xml:space="preserve"> (1 + E776) * (1 + Opex_sens) * I770</f>
        <v>1</v>
      </c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  <c r="BB776" s="10"/>
      <c r="BC776" s="10"/>
      <c r="BD776" s="10"/>
      <c r="BE776" s="10"/>
      <c r="BF776" s="10"/>
      <c r="BG776" s="10"/>
      <c r="BH776" s="10"/>
      <c r="BI776" s="10"/>
      <c r="BJ776" s="10"/>
      <c r="BK776" s="10"/>
      <c r="BL776" s="10"/>
      <c r="BM776" s="10"/>
      <c r="BN776" s="10"/>
      <c r="BO776" s="10"/>
      <c r="BP776" s="10"/>
      <c r="BQ776" s="10"/>
      <c r="BR776" s="10"/>
      <c r="BS776" s="10"/>
      <c r="BT776" s="10"/>
      <c r="BU776" s="10"/>
      <c r="BV776" s="10"/>
      <c r="BW776" s="10"/>
      <c r="BX776" s="10"/>
      <c r="BY776" s="10"/>
      <c r="BZ776" s="10"/>
      <c r="CA776" s="10"/>
      <c r="CB776" s="10"/>
      <c r="CC776" s="10"/>
      <c r="CD776" s="10"/>
      <c r="CE776" s="10"/>
      <c r="CF776" s="10"/>
      <c r="CG776" s="10"/>
      <c r="CH776" s="10"/>
      <c r="CI776" s="10"/>
      <c r="CJ776" s="10"/>
      <c r="CK776" s="10"/>
      <c r="CL776" s="10"/>
      <c r="CM776" s="10"/>
      <c r="CN776" s="10"/>
      <c r="CO776" s="10"/>
    </row>
    <row r="777" spans="1:93" s="141" customFormat="1" ht="13">
      <c r="A777" s="10"/>
      <c r="B777" s="10"/>
      <c r="C777" s="21" t="str">
        <f xml:space="preserve"> "Эксплуатационные расходы " &amp; C37</f>
        <v>Эксплуатационные расходы Крытый парк развлечений</v>
      </c>
      <c r="D777" s="10"/>
      <c r="E777" s="310">
        <f>Контр_панель!G56</f>
        <v>0</v>
      </c>
      <c r="F777" s="10"/>
      <c r="G777" s="11"/>
      <c r="H777" s="10"/>
      <c r="I777" s="467">
        <f xml:space="preserve"> (1 + E777) * (1 + Opex_sens) * I771</f>
        <v>1</v>
      </c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  <c r="BB777" s="10"/>
      <c r="BC777" s="10"/>
      <c r="BD777" s="10"/>
      <c r="BE777" s="10"/>
      <c r="BF777" s="10"/>
      <c r="BG777" s="10"/>
      <c r="BH777" s="10"/>
      <c r="BI777" s="10"/>
      <c r="BJ777" s="10"/>
      <c r="BK777" s="10"/>
      <c r="BL777" s="10"/>
      <c r="BM777" s="10"/>
      <c r="BN777" s="10"/>
      <c r="BO777" s="10"/>
      <c r="BP777" s="10"/>
      <c r="BQ777" s="10"/>
      <c r="BR777" s="10"/>
      <c r="BS777" s="10"/>
      <c r="BT777" s="10"/>
      <c r="BU777" s="10"/>
      <c r="BV777" s="10"/>
      <c r="BW777" s="10"/>
      <c r="BX777" s="10"/>
      <c r="BY777" s="10"/>
      <c r="BZ777" s="10"/>
      <c r="CA777" s="10"/>
      <c r="CB777" s="10"/>
      <c r="CC777" s="10"/>
      <c r="CD777" s="10"/>
      <c r="CE777" s="10"/>
      <c r="CF777" s="10"/>
      <c r="CG777" s="10"/>
      <c r="CH777" s="10"/>
      <c r="CI777" s="10"/>
      <c r="CJ777" s="10"/>
      <c r="CK777" s="10"/>
      <c r="CL777" s="10"/>
      <c r="CM777" s="10"/>
      <c r="CN777" s="10"/>
      <c r="CO777" s="10"/>
    </row>
    <row r="778" spans="1:93" s="141" customFormat="1" ht="12.5">
      <c r="A778" s="10"/>
      <c r="B778" s="10"/>
      <c r="C778" s="21"/>
      <c r="D778" s="10"/>
      <c r="E778" s="10"/>
      <c r="F778" s="10"/>
      <c r="G778" s="11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  <c r="BB778" s="10"/>
      <c r="BC778" s="10"/>
      <c r="BD778" s="10"/>
      <c r="BE778" s="10"/>
      <c r="BF778" s="10"/>
      <c r="BG778" s="10"/>
      <c r="BH778" s="10"/>
      <c r="BI778" s="10"/>
      <c r="BJ778" s="10"/>
      <c r="BK778" s="10"/>
      <c r="BL778" s="10"/>
      <c r="BM778" s="10"/>
      <c r="BN778" s="10"/>
      <c r="BO778" s="10"/>
      <c r="BP778" s="10"/>
      <c r="BQ778" s="10"/>
      <c r="BR778" s="10"/>
      <c r="BS778" s="10"/>
      <c r="BT778" s="10"/>
      <c r="BU778" s="10"/>
      <c r="BV778" s="10"/>
      <c r="BW778" s="10"/>
      <c r="BX778" s="10"/>
      <c r="BY778" s="10"/>
      <c r="BZ778" s="10"/>
      <c r="CA778" s="10"/>
      <c r="CB778" s="10"/>
      <c r="CC778" s="10"/>
      <c r="CD778" s="10"/>
      <c r="CE778" s="10"/>
      <c r="CF778" s="10"/>
      <c r="CG778" s="10"/>
      <c r="CH778" s="10"/>
      <c r="CI778" s="10"/>
      <c r="CJ778" s="10"/>
      <c r="CK778" s="10"/>
      <c r="CL778" s="10"/>
      <c r="CM778" s="10"/>
      <c r="CN778" s="10"/>
      <c r="CO778" s="10"/>
    </row>
    <row r="779" spans="1:93" ht="15" customHeight="1">
      <c r="A779" s="10"/>
      <c r="B779" s="3"/>
      <c r="C779" s="384" t="str">
        <f>C116</f>
        <v>Сегмент 0: Общая поддерживающая инфраструктура</v>
      </c>
      <c r="D779" s="273"/>
      <c r="E779" s="273"/>
      <c r="F779" s="273"/>
      <c r="G779" s="274"/>
      <c r="H779" s="273"/>
      <c r="I779" s="273"/>
      <c r="J779" s="273"/>
      <c r="K779" s="273"/>
      <c r="L779" s="273"/>
      <c r="M779" s="273"/>
      <c r="N779" s="273"/>
      <c r="O779" s="273"/>
      <c r="P779" s="273"/>
      <c r="Q779" s="273"/>
      <c r="R779" s="273"/>
      <c r="S779" s="273"/>
      <c r="T779" s="273"/>
      <c r="U779" s="273"/>
      <c r="V779" s="273"/>
      <c r="W779" s="273"/>
      <c r="X779" s="273"/>
      <c r="Y779" s="273"/>
      <c r="Z779" s="273"/>
      <c r="AA779" s="273"/>
      <c r="AB779" s="273"/>
      <c r="AC779" s="273"/>
      <c r="AD779" s="273"/>
      <c r="AE779" s="273"/>
      <c r="AF779" s="273"/>
      <c r="AG779" s="273"/>
      <c r="AH779" s="273"/>
      <c r="AI779" s="273"/>
      <c r="AJ779" s="273"/>
      <c r="AK779" s="273"/>
      <c r="AL779" s="273"/>
      <c r="AM779" s="273"/>
      <c r="AN779" s="273"/>
      <c r="AO779" s="273"/>
      <c r="AP779" s="273"/>
      <c r="AQ779" s="273"/>
      <c r="AR779" s="273"/>
      <c r="AS779" s="273"/>
      <c r="AT779" s="273"/>
      <c r="AU779" s="273"/>
      <c r="AV779" s="273"/>
      <c r="AW779" s="273"/>
      <c r="AX779" s="273"/>
      <c r="AY779" s="273"/>
      <c r="AZ779" s="273"/>
      <c r="BA779" s="273"/>
      <c r="BB779" s="273"/>
      <c r="BC779" s="273"/>
      <c r="BD779" s="273"/>
      <c r="BE779" s="273"/>
      <c r="BF779" s="273"/>
      <c r="BG779" s="273"/>
      <c r="BH779" s="273"/>
      <c r="BI779" s="273"/>
      <c r="BJ779" s="273"/>
      <c r="BK779" s="273"/>
      <c r="BL779" s="273"/>
      <c r="BM779" s="273"/>
      <c r="BN779" s="273"/>
      <c r="BO779" s="273"/>
      <c r="BP779" s="273"/>
      <c r="BQ779" s="273"/>
      <c r="BR779" s="273"/>
      <c r="BS779" s="273"/>
      <c r="BT779" s="273"/>
      <c r="BU779" s="273"/>
      <c r="BV779" s="273"/>
      <c r="BW779" s="273"/>
      <c r="BX779" s="273"/>
      <c r="BY779" s="273"/>
      <c r="BZ779" s="273"/>
      <c r="CA779" s="273"/>
      <c r="CB779" s="273"/>
      <c r="CC779" s="273"/>
      <c r="CD779" s="273"/>
      <c r="CE779" s="273"/>
      <c r="CF779" s="273"/>
      <c r="CG779" s="273"/>
      <c r="CH779" s="273"/>
      <c r="CI779" s="273"/>
      <c r="CJ779" s="273"/>
      <c r="CK779" s="273"/>
      <c r="CL779" s="273"/>
      <c r="CM779" s="273"/>
      <c r="CN779" s="273"/>
      <c r="CO779" s="273"/>
    </row>
    <row r="780" spans="1:93">
      <c r="A780" s="10"/>
      <c r="B780" s="10"/>
      <c r="C780" s="10"/>
      <c r="D780" s="10"/>
      <c r="E780" s="10"/>
      <c r="F780" s="10"/>
      <c r="G780" s="11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  <c r="BB780" s="10"/>
      <c r="BC780" s="10"/>
      <c r="BD780" s="10"/>
      <c r="BE780" s="10"/>
      <c r="BF780" s="10"/>
      <c r="BG780" s="10"/>
      <c r="BH780" s="10"/>
      <c r="BI780" s="10"/>
      <c r="BJ780" s="10"/>
      <c r="BK780" s="10"/>
      <c r="BL780" s="10"/>
      <c r="BM780" s="10"/>
      <c r="BN780" s="10"/>
      <c r="BO780" s="10"/>
      <c r="BP780" s="10"/>
      <c r="BQ780" s="10"/>
      <c r="BR780" s="10"/>
      <c r="BS780" s="10"/>
      <c r="BT780" s="10"/>
      <c r="BU780" s="10"/>
      <c r="BV780" s="10"/>
      <c r="BW780" s="10"/>
      <c r="BX780" s="10"/>
      <c r="BY780" s="10"/>
      <c r="BZ780" s="10"/>
      <c r="CA780" s="10"/>
      <c r="CB780" s="10"/>
      <c r="CC780" s="10"/>
      <c r="CD780" s="10"/>
      <c r="CE780" s="10"/>
      <c r="CF780" s="10"/>
      <c r="CG780" s="10"/>
      <c r="CH780" s="10"/>
      <c r="CI780" s="10"/>
      <c r="CJ780" s="10"/>
      <c r="CK780" s="10"/>
      <c r="CL780" s="10"/>
      <c r="CM780" s="10"/>
      <c r="CN780" s="10"/>
      <c r="CO780" s="10"/>
    </row>
    <row r="781" spans="1:93" ht="16" thickBot="1">
      <c r="A781" s="10"/>
      <c r="B781" s="10"/>
      <c r="C781" s="12" t="s">
        <v>908</v>
      </c>
      <c r="D781" s="12"/>
      <c r="E781" s="12"/>
      <c r="F781" s="12"/>
      <c r="G781" s="362"/>
      <c r="H781" s="12"/>
      <c r="I781" s="12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  <c r="BB781" s="10"/>
      <c r="BC781" s="10"/>
      <c r="BD781" s="10"/>
      <c r="BE781" s="10"/>
      <c r="BF781" s="10"/>
      <c r="BG781" s="10"/>
      <c r="BH781" s="10"/>
      <c r="BI781" s="10"/>
      <c r="BJ781" s="10"/>
      <c r="BK781" s="10"/>
      <c r="BL781" s="10"/>
      <c r="BM781" s="10"/>
      <c r="BN781" s="10"/>
      <c r="BO781" s="10"/>
      <c r="BP781" s="10"/>
      <c r="BQ781" s="10"/>
      <c r="BR781" s="10"/>
      <c r="BS781" s="10"/>
      <c r="BT781" s="10"/>
      <c r="BU781" s="10"/>
      <c r="BV781" s="10"/>
      <c r="BW781" s="10"/>
      <c r="BX781" s="10"/>
      <c r="BY781" s="10"/>
      <c r="BZ781" s="10"/>
      <c r="CA781" s="10"/>
      <c r="CB781" s="10"/>
      <c r="CC781" s="10"/>
      <c r="CD781" s="10"/>
      <c r="CE781" s="10"/>
      <c r="CF781" s="10"/>
      <c r="CG781" s="10"/>
      <c r="CH781" s="10"/>
      <c r="CI781" s="10"/>
      <c r="CJ781" s="10"/>
      <c r="CK781" s="10"/>
      <c r="CL781" s="10"/>
      <c r="CM781" s="10"/>
      <c r="CN781" s="10"/>
      <c r="CO781" s="10"/>
    </row>
    <row r="782" spans="1:93">
      <c r="A782" s="10"/>
      <c r="B782" s="10"/>
      <c r="C782" s="10"/>
      <c r="D782" s="10"/>
      <c r="E782" s="10"/>
      <c r="F782" s="10"/>
      <c r="G782" s="11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  <c r="BB782" s="10"/>
      <c r="BC782" s="10"/>
      <c r="BD782" s="10"/>
      <c r="BE782" s="10"/>
      <c r="BF782" s="10"/>
      <c r="BG782" s="10"/>
      <c r="BH782" s="10"/>
      <c r="BI782" s="10"/>
      <c r="BJ782" s="10"/>
      <c r="BK782" s="10"/>
      <c r="BL782" s="10"/>
      <c r="BM782" s="10"/>
      <c r="BN782" s="10"/>
      <c r="BO782" s="10"/>
      <c r="BP782" s="10"/>
      <c r="BQ782" s="10"/>
      <c r="BR782" s="10"/>
      <c r="BS782" s="10"/>
      <c r="BT782" s="10"/>
      <c r="BU782" s="10"/>
      <c r="BV782" s="10"/>
      <c r="BW782" s="10"/>
      <c r="BX782" s="10"/>
      <c r="BY782" s="10"/>
      <c r="BZ782" s="10"/>
      <c r="CA782" s="10"/>
      <c r="CB782" s="10"/>
      <c r="CC782" s="10"/>
      <c r="CD782" s="10"/>
      <c r="CE782" s="10"/>
      <c r="CF782" s="10"/>
      <c r="CG782" s="10"/>
      <c r="CH782" s="10"/>
      <c r="CI782" s="10"/>
      <c r="CJ782" s="10"/>
      <c r="CK782" s="10"/>
      <c r="CL782" s="10"/>
      <c r="CM782" s="10"/>
      <c r="CN782" s="10"/>
      <c r="CO782" s="10"/>
    </row>
    <row r="783" spans="1:93">
      <c r="A783" s="10"/>
      <c r="B783" s="10"/>
      <c r="C783" s="17" t="str">
        <f>Предпосылки!C481</f>
        <v>Расходы на содержание и обслуживание Транспортная инфраструктура</v>
      </c>
      <c r="D783" s="10"/>
      <c r="E783" s="232">
        <f xml:space="preserve"> Предпосылки!E481</f>
        <v>0.03</v>
      </c>
      <c r="F783" s="10"/>
      <c r="G783" s="142" t="s">
        <v>907</v>
      </c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  <c r="BB783" s="10"/>
      <c r="BC783" s="10"/>
      <c r="BD783" s="10"/>
      <c r="BE783" s="10"/>
      <c r="BF783" s="10"/>
      <c r="BG783" s="10"/>
      <c r="BH783" s="10"/>
      <c r="BI783" s="10"/>
      <c r="BJ783" s="10"/>
      <c r="BK783" s="10"/>
      <c r="BL783" s="10"/>
      <c r="BM783" s="10"/>
      <c r="BN783" s="10"/>
      <c r="BO783" s="10"/>
      <c r="BP783" s="10"/>
      <c r="BQ783" s="10"/>
      <c r="BR783" s="10"/>
      <c r="BS783" s="10"/>
      <c r="BT783" s="10"/>
      <c r="BU783" s="10"/>
      <c r="BV783" s="10"/>
      <c r="BW783" s="10"/>
      <c r="BX783" s="10"/>
      <c r="BY783" s="10"/>
      <c r="BZ783" s="10"/>
      <c r="CA783" s="10"/>
      <c r="CB783" s="10"/>
      <c r="CC783" s="10"/>
      <c r="CD783" s="10"/>
      <c r="CE783" s="10"/>
      <c r="CF783" s="10"/>
      <c r="CG783" s="10"/>
      <c r="CH783" s="10"/>
      <c r="CI783" s="10"/>
      <c r="CJ783" s="10"/>
      <c r="CK783" s="10"/>
      <c r="CL783" s="10"/>
      <c r="CM783" s="10"/>
      <c r="CN783" s="10"/>
      <c r="CO783" s="10"/>
    </row>
    <row r="784" spans="1:93">
      <c r="A784" s="10"/>
      <c r="B784" s="10"/>
      <c r="C784" s="17" t="str">
        <f>Предпосылки!C482</f>
        <v>Расходы на содержание и обслуживание Коммунальная инфраструктура</v>
      </c>
      <c r="D784" s="10"/>
      <c r="E784" s="232">
        <f xml:space="preserve"> Предпосылки!E482</f>
        <v>0</v>
      </c>
      <c r="F784" s="10"/>
      <c r="G784" s="142" t="s">
        <v>907</v>
      </c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  <c r="BB784" s="10"/>
      <c r="BC784" s="10"/>
      <c r="BD784" s="10"/>
      <c r="BE784" s="10"/>
      <c r="BF784" s="10"/>
      <c r="BG784" s="10"/>
      <c r="BH784" s="10"/>
      <c r="BI784" s="10"/>
      <c r="BJ784" s="10"/>
      <c r="BK784" s="10"/>
      <c r="BL784" s="10"/>
      <c r="BM784" s="10"/>
      <c r="BN784" s="10"/>
      <c r="BO784" s="10"/>
      <c r="BP784" s="10"/>
      <c r="BQ784" s="10"/>
      <c r="BR784" s="10"/>
      <c r="BS784" s="10"/>
      <c r="BT784" s="10"/>
      <c r="BU784" s="10"/>
      <c r="BV784" s="10"/>
      <c r="BW784" s="10"/>
      <c r="BX784" s="10"/>
      <c r="BY784" s="10"/>
      <c r="BZ784" s="10"/>
      <c r="CA784" s="10"/>
      <c r="CB784" s="10"/>
      <c r="CC784" s="10"/>
      <c r="CD784" s="10"/>
      <c r="CE784" s="10"/>
      <c r="CF784" s="10"/>
      <c r="CG784" s="10"/>
      <c r="CH784" s="10"/>
      <c r="CI784" s="10"/>
      <c r="CJ784" s="10"/>
      <c r="CK784" s="10"/>
      <c r="CL784" s="10"/>
      <c r="CM784" s="10"/>
      <c r="CN784" s="10"/>
      <c r="CO784" s="10"/>
    </row>
    <row r="785" spans="1:93">
      <c r="A785" s="10"/>
      <c r="B785" s="10"/>
      <c r="C785" s="17" t="str">
        <f>Предпосылки!C483</f>
        <v>Расходы на содержание и обслуживание Прочая обеспечивающая инфраструктура</v>
      </c>
      <c r="D785" s="10"/>
      <c r="E785" s="232">
        <f xml:space="preserve"> Предпосылки!E483</f>
        <v>0</v>
      </c>
      <c r="F785" s="10"/>
      <c r="G785" s="142" t="s">
        <v>907</v>
      </c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  <c r="BB785" s="10"/>
      <c r="BC785" s="10"/>
      <c r="BD785" s="10"/>
      <c r="BE785" s="10"/>
      <c r="BF785" s="10"/>
      <c r="BG785" s="10"/>
      <c r="BH785" s="10"/>
      <c r="BI785" s="10"/>
      <c r="BJ785" s="10"/>
      <c r="BK785" s="10"/>
      <c r="BL785" s="10"/>
      <c r="BM785" s="10"/>
      <c r="BN785" s="10"/>
      <c r="BO785" s="10"/>
      <c r="BP785" s="10"/>
      <c r="BQ785" s="10"/>
      <c r="BR785" s="10"/>
      <c r="BS785" s="10"/>
      <c r="BT785" s="10"/>
      <c r="BU785" s="10"/>
      <c r="BV785" s="10"/>
      <c r="BW785" s="10"/>
      <c r="BX785" s="10"/>
      <c r="BY785" s="10"/>
      <c r="BZ785" s="10"/>
      <c r="CA785" s="10"/>
      <c r="CB785" s="10"/>
      <c r="CC785" s="10"/>
      <c r="CD785" s="10"/>
      <c r="CE785" s="10"/>
      <c r="CF785" s="10"/>
      <c r="CG785" s="10"/>
      <c r="CH785" s="10"/>
      <c r="CI785" s="10"/>
      <c r="CJ785" s="10"/>
      <c r="CK785" s="10"/>
      <c r="CL785" s="10"/>
      <c r="CM785" s="10"/>
      <c r="CN785" s="10"/>
      <c r="CO785" s="10"/>
    </row>
    <row r="786" spans="1:93">
      <c r="A786" s="10"/>
      <c r="B786" s="10"/>
      <c r="C786" s="10"/>
      <c r="D786" s="10"/>
      <c r="E786" s="10"/>
      <c r="F786" s="10"/>
      <c r="G786" s="11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  <c r="BB786" s="10"/>
      <c r="BC786" s="10"/>
      <c r="BD786" s="10"/>
      <c r="BE786" s="10"/>
      <c r="BF786" s="10"/>
      <c r="BG786" s="10"/>
      <c r="BH786" s="10"/>
      <c r="BI786" s="10"/>
      <c r="BJ786" s="10"/>
      <c r="BK786" s="10"/>
      <c r="BL786" s="10"/>
      <c r="BM786" s="10"/>
      <c r="BN786" s="10"/>
      <c r="BO786" s="10"/>
      <c r="BP786" s="10"/>
      <c r="BQ786" s="10"/>
      <c r="BR786" s="10"/>
      <c r="BS786" s="10"/>
      <c r="BT786" s="10"/>
      <c r="BU786" s="10"/>
      <c r="BV786" s="10"/>
      <c r="BW786" s="10"/>
      <c r="BX786" s="10"/>
      <c r="BY786" s="10"/>
      <c r="BZ786" s="10"/>
      <c r="CA786" s="10"/>
      <c r="CB786" s="10"/>
      <c r="CC786" s="10"/>
      <c r="CD786" s="10"/>
      <c r="CE786" s="10"/>
      <c r="CF786" s="10"/>
      <c r="CG786" s="10"/>
      <c r="CH786" s="10"/>
      <c r="CI786" s="10"/>
      <c r="CJ786" s="10"/>
      <c r="CK786" s="10"/>
      <c r="CL786" s="10"/>
      <c r="CM786" s="10"/>
      <c r="CN786" s="10"/>
      <c r="CO786" s="10"/>
    </row>
    <row r="787" spans="1:93" ht="16" thickBot="1">
      <c r="A787" s="10"/>
      <c r="B787" s="10"/>
      <c r="C787" s="12" t="s">
        <v>909</v>
      </c>
      <c r="D787" s="12"/>
      <c r="E787" s="12"/>
      <c r="F787" s="12"/>
      <c r="G787" s="362"/>
      <c r="H787" s="12"/>
      <c r="I787" s="12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  <c r="BB787" s="10"/>
      <c r="BC787" s="10"/>
      <c r="BD787" s="10"/>
      <c r="BE787" s="10"/>
      <c r="BF787" s="10"/>
      <c r="BG787" s="10"/>
      <c r="BH787" s="10"/>
      <c r="BI787" s="10"/>
      <c r="BJ787" s="10"/>
      <c r="BK787" s="10"/>
      <c r="BL787" s="10"/>
      <c r="BM787" s="10"/>
      <c r="BN787" s="10"/>
      <c r="BO787" s="10"/>
      <c r="BP787" s="10"/>
      <c r="BQ787" s="10"/>
      <c r="BR787" s="10"/>
      <c r="BS787" s="10"/>
      <c r="BT787" s="10"/>
      <c r="BU787" s="10"/>
      <c r="BV787" s="10"/>
      <c r="BW787" s="10"/>
      <c r="BX787" s="10"/>
      <c r="BY787" s="10"/>
      <c r="BZ787" s="10"/>
      <c r="CA787" s="10"/>
      <c r="CB787" s="10"/>
      <c r="CC787" s="10"/>
      <c r="CD787" s="10"/>
      <c r="CE787" s="10"/>
      <c r="CF787" s="10"/>
      <c r="CG787" s="10"/>
      <c r="CH787" s="10"/>
      <c r="CI787" s="10"/>
      <c r="CJ787" s="10"/>
      <c r="CK787" s="10"/>
      <c r="CL787" s="10"/>
      <c r="CM787" s="10"/>
      <c r="CN787" s="10"/>
      <c r="CO787" s="10"/>
    </row>
    <row r="788" spans="1:93">
      <c r="A788" s="10"/>
      <c r="B788" s="10"/>
      <c r="C788" s="10"/>
      <c r="D788" s="10"/>
      <c r="E788" s="10"/>
      <c r="F788" s="10"/>
      <c r="G788" s="11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  <c r="BB788" s="10"/>
      <c r="BC788" s="10"/>
      <c r="BD788" s="10"/>
      <c r="BE788" s="10"/>
      <c r="BF788" s="10"/>
      <c r="BG788" s="10"/>
      <c r="BH788" s="10"/>
      <c r="BI788" s="10"/>
      <c r="BJ788" s="10"/>
      <c r="BK788" s="10"/>
      <c r="BL788" s="10"/>
      <c r="BM788" s="10"/>
      <c r="BN788" s="10"/>
      <c r="BO788" s="10"/>
      <c r="BP788" s="10"/>
      <c r="BQ788" s="10"/>
      <c r="BR788" s="10"/>
      <c r="BS788" s="10"/>
      <c r="BT788" s="10"/>
      <c r="BU788" s="10"/>
      <c r="BV788" s="10"/>
      <c r="BW788" s="10"/>
      <c r="BX788" s="10"/>
      <c r="BY788" s="10"/>
      <c r="BZ788" s="10"/>
      <c r="CA788" s="10"/>
      <c r="CB788" s="10"/>
      <c r="CC788" s="10"/>
      <c r="CD788" s="10"/>
      <c r="CE788" s="10"/>
      <c r="CF788" s="10"/>
      <c r="CG788" s="10"/>
      <c r="CH788" s="10"/>
      <c r="CI788" s="10"/>
      <c r="CJ788" s="10"/>
      <c r="CK788" s="10"/>
      <c r="CL788" s="10"/>
      <c r="CM788" s="10"/>
      <c r="CN788" s="10"/>
      <c r="CO788" s="10"/>
    </row>
    <row r="789" spans="1:93">
      <c r="A789" s="10"/>
      <c r="B789" s="10"/>
      <c r="C789" s="17" t="str">
        <f xml:space="preserve"> "Стоимость создания объектов " &amp; C32</f>
        <v>Стоимость создания объектов Транспортная инфраструктура</v>
      </c>
      <c r="D789" s="10"/>
      <c r="E789" s="10">
        <f xml:space="preserve"> I130</f>
        <v>24573.620000000003</v>
      </c>
      <c r="F789" s="10"/>
      <c r="G789" s="11" t="str">
        <f xml:space="preserve"> Monetary_Unit</f>
        <v>тыс. руб.</v>
      </c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  <c r="BB789" s="10"/>
      <c r="BC789" s="10"/>
      <c r="BD789" s="10"/>
      <c r="BE789" s="10"/>
      <c r="BF789" s="10"/>
      <c r="BG789" s="10"/>
      <c r="BH789" s="10"/>
      <c r="BI789" s="10"/>
      <c r="BJ789" s="10"/>
      <c r="BK789" s="10"/>
      <c r="BL789" s="10"/>
      <c r="BM789" s="10"/>
      <c r="BN789" s="10"/>
      <c r="BO789" s="10"/>
      <c r="BP789" s="10"/>
      <c r="BQ789" s="10"/>
      <c r="BR789" s="10"/>
      <c r="BS789" s="10"/>
      <c r="BT789" s="10"/>
      <c r="BU789" s="10"/>
      <c r="BV789" s="10"/>
      <c r="BW789" s="10"/>
      <c r="BX789" s="10"/>
      <c r="BY789" s="10"/>
      <c r="BZ789" s="10"/>
      <c r="CA789" s="10"/>
      <c r="CB789" s="10"/>
      <c r="CC789" s="10"/>
      <c r="CD789" s="10"/>
      <c r="CE789" s="10"/>
      <c r="CF789" s="10"/>
      <c r="CG789" s="10"/>
      <c r="CH789" s="10"/>
      <c r="CI789" s="10"/>
      <c r="CJ789" s="10"/>
      <c r="CK789" s="10"/>
      <c r="CL789" s="10"/>
      <c r="CM789" s="10"/>
      <c r="CN789" s="10"/>
      <c r="CO789" s="10"/>
    </row>
    <row r="790" spans="1:93">
      <c r="A790" s="10"/>
      <c r="B790" s="10"/>
      <c r="C790" s="17" t="str">
        <f xml:space="preserve"> "Стоимость создания объектов " &amp; C33</f>
        <v>Стоимость создания объектов Коммунальная инфраструктура</v>
      </c>
      <c r="D790" s="10"/>
      <c r="E790" s="10">
        <f xml:space="preserve"> I142</f>
        <v>0</v>
      </c>
      <c r="F790" s="10"/>
      <c r="G790" s="11" t="str">
        <f xml:space="preserve"> Monetary_Unit</f>
        <v>тыс. руб.</v>
      </c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  <c r="BB790" s="10"/>
      <c r="BC790" s="10"/>
      <c r="BD790" s="10"/>
      <c r="BE790" s="10"/>
      <c r="BF790" s="10"/>
      <c r="BG790" s="10"/>
      <c r="BH790" s="10"/>
      <c r="BI790" s="10"/>
      <c r="BJ790" s="10"/>
      <c r="BK790" s="10"/>
      <c r="BL790" s="10"/>
      <c r="BM790" s="10"/>
      <c r="BN790" s="10"/>
      <c r="BO790" s="10"/>
      <c r="BP790" s="10"/>
      <c r="BQ790" s="10"/>
      <c r="BR790" s="10"/>
      <c r="BS790" s="10"/>
      <c r="BT790" s="10"/>
      <c r="BU790" s="10"/>
      <c r="BV790" s="10"/>
      <c r="BW790" s="10"/>
      <c r="BX790" s="10"/>
      <c r="BY790" s="10"/>
      <c r="BZ790" s="10"/>
      <c r="CA790" s="10"/>
      <c r="CB790" s="10"/>
      <c r="CC790" s="10"/>
      <c r="CD790" s="10"/>
      <c r="CE790" s="10"/>
      <c r="CF790" s="10"/>
      <c r="CG790" s="10"/>
      <c r="CH790" s="10"/>
      <c r="CI790" s="10"/>
      <c r="CJ790" s="10"/>
      <c r="CK790" s="10"/>
      <c r="CL790" s="10"/>
      <c r="CM790" s="10"/>
      <c r="CN790" s="10"/>
      <c r="CO790" s="10"/>
    </row>
    <row r="791" spans="1:93">
      <c r="A791" s="10"/>
      <c r="B791" s="10"/>
      <c r="C791" s="17" t="str">
        <f xml:space="preserve"> "Стоимость создания объектов " &amp; C34</f>
        <v>Стоимость создания объектов Прочая обеспечивающая инфраструктура</v>
      </c>
      <c r="D791" s="10"/>
      <c r="E791" s="10">
        <f xml:space="preserve"> I154</f>
        <v>0</v>
      </c>
      <c r="F791" s="10"/>
      <c r="G791" s="11" t="str">
        <f xml:space="preserve"> Monetary_Unit</f>
        <v>тыс. руб.</v>
      </c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  <c r="BB791" s="10"/>
      <c r="BC791" s="10"/>
      <c r="BD791" s="10"/>
      <c r="BE791" s="10"/>
      <c r="BF791" s="10"/>
      <c r="BG791" s="10"/>
      <c r="BH791" s="10"/>
      <c r="BI791" s="10"/>
      <c r="BJ791" s="10"/>
      <c r="BK791" s="10"/>
      <c r="BL791" s="10"/>
      <c r="BM791" s="10"/>
      <c r="BN791" s="10"/>
      <c r="BO791" s="10"/>
      <c r="BP791" s="10"/>
      <c r="BQ791" s="10"/>
      <c r="BR791" s="10"/>
      <c r="BS791" s="10"/>
      <c r="BT791" s="10"/>
      <c r="BU791" s="10"/>
      <c r="BV791" s="10"/>
      <c r="BW791" s="10"/>
      <c r="BX791" s="10"/>
      <c r="BY791" s="10"/>
      <c r="BZ791" s="10"/>
      <c r="CA791" s="10"/>
      <c r="CB791" s="10"/>
      <c r="CC791" s="10"/>
      <c r="CD791" s="10"/>
      <c r="CE791" s="10"/>
      <c r="CF791" s="10"/>
      <c r="CG791" s="10"/>
      <c r="CH791" s="10"/>
      <c r="CI791" s="10"/>
      <c r="CJ791" s="10"/>
      <c r="CK791" s="10"/>
      <c r="CL791" s="10"/>
      <c r="CM791" s="10"/>
      <c r="CN791" s="10"/>
      <c r="CO791" s="10"/>
    </row>
    <row r="792" spans="1:93">
      <c r="A792" s="10"/>
      <c r="B792" s="10"/>
      <c r="C792" s="10"/>
      <c r="D792" s="10"/>
      <c r="E792" s="10"/>
      <c r="F792" s="10"/>
      <c r="G792" s="11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  <c r="BB792" s="10"/>
      <c r="BC792" s="10"/>
      <c r="BD792" s="10"/>
      <c r="BE792" s="10"/>
      <c r="BF792" s="10"/>
      <c r="BG792" s="10"/>
      <c r="BH792" s="10"/>
      <c r="BI792" s="10"/>
      <c r="BJ792" s="10"/>
      <c r="BK792" s="10"/>
      <c r="BL792" s="10"/>
      <c r="BM792" s="10"/>
      <c r="BN792" s="10"/>
      <c r="BO792" s="10"/>
      <c r="BP792" s="10"/>
      <c r="BQ792" s="10"/>
      <c r="BR792" s="10"/>
      <c r="BS792" s="10"/>
      <c r="BT792" s="10"/>
      <c r="BU792" s="10"/>
      <c r="BV792" s="10"/>
      <c r="BW792" s="10"/>
      <c r="BX792" s="10"/>
      <c r="BY792" s="10"/>
      <c r="BZ792" s="10"/>
      <c r="CA792" s="10"/>
      <c r="CB792" s="10"/>
      <c r="CC792" s="10"/>
      <c r="CD792" s="10"/>
      <c r="CE792" s="10"/>
      <c r="CF792" s="10"/>
      <c r="CG792" s="10"/>
      <c r="CH792" s="10"/>
      <c r="CI792" s="10"/>
      <c r="CJ792" s="10"/>
      <c r="CK792" s="10"/>
      <c r="CL792" s="10"/>
      <c r="CM792" s="10"/>
      <c r="CN792" s="10"/>
      <c r="CO792" s="10"/>
    </row>
    <row r="793" spans="1:93">
      <c r="A793" s="10"/>
      <c r="B793" s="10"/>
      <c r="C793" s="17" t="str">
        <f>C783</f>
        <v>Расходы на содержание и обслуживание Транспортная инфраструктура</v>
      </c>
      <c r="D793" s="10"/>
      <c r="E793" s="10"/>
      <c r="F793" s="10"/>
      <c r="G793" s="11" t="str">
        <f xml:space="preserve"> Monetary_Unit</f>
        <v>тыс. руб.</v>
      </c>
      <c r="H793" s="10"/>
      <c r="I793" s="23">
        <f ca="1">SUM(L793:CO793)</f>
        <v>20234.399718852401</v>
      </c>
      <c r="J793" s="10"/>
      <c r="K793" s="10"/>
      <c r="L793" s="10">
        <f t="shared" ref="L793:AQ793" ca="1" si="5781" xml:space="preserve"> $E789 * $E783 * Period_length * CPI_Accumulated_From_Date * L46 * $I$774</f>
        <v>0</v>
      </c>
      <c r="M793" s="10">
        <f t="shared" ca="1" si="5781"/>
        <v>0</v>
      </c>
      <c r="N793" s="10">
        <f t="shared" ca="1" si="5781"/>
        <v>0</v>
      </c>
      <c r="O793" s="10">
        <f t="shared" ca="1" si="5781"/>
        <v>0</v>
      </c>
      <c r="P793" s="10">
        <f t="shared" ca="1" si="5781"/>
        <v>0</v>
      </c>
      <c r="Q793" s="10">
        <f t="shared" ca="1" si="5781"/>
        <v>0</v>
      </c>
      <c r="R793" s="10">
        <f t="shared" ca="1" si="5781"/>
        <v>0</v>
      </c>
      <c r="S793" s="10">
        <f t="shared" ca="1" si="5781"/>
        <v>0</v>
      </c>
      <c r="T793" s="10">
        <f t="shared" ca="1" si="5781"/>
        <v>0</v>
      </c>
      <c r="U793" s="10">
        <f t="shared" ca="1" si="5781"/>
        <v>0</v>
      </c>
      <c r="V793" s="10">
        <f t="shared" ca="1" si="5781"/>
        <v>0</v>
      </c>
      <c r="W793" s="10">
        <f t="shared" ca="1" si="5781"/>
        <v>0</v>
      </c>
      <c r="X793" s="10">
        <f t="shared" ca="1" si="5781"/>
        <v>0</v>
      </c>
      <c r="Y793" s="10">
        <f t="shared" ca="1" si="5781"/>
        <v>0</v>
      </c>
      <c r="Z793" s="10">
        <f t="shared" ca="1" si="5781"/>
        <v>0</v>
      </c>
      <c r="AA793" s="10">
        <f t="shared" ca="1" si="5781"/>
        <v>0</v>
      </c>
      <c r="AB793" s="10">
        <f t="shared" ca="1" si="5781"/>
        <v>0</v>
      </c>
      <c r="AC793" s="10">
        <f t="shared" ca="1" si="5781"/>
        <v>223.07005584518595</v>
      </c>
      <c r="AD793" s="10">
        <f t="shared" ca="1" si="5781"/>
        <v>227.74352893492681</v>
      </c>
      <c r="AE793" s="10">
        <f t="shared" ca="1" si="5781"/>
        <v>229.98757851441948</v>
      </c>
      <c r="AF793" s="10">
        <f t="shared" ca="1" si="5781"/>
        <v>227.20474528702329</v>
      </c>
      <c r="AG793" s="10">
        <f t="shared" ca="1" si="5781"/>
        <v>231.99285807899338</v>
      </c>
      <c r="AH793" s="10">
        <f t="shared" ca="1" si="5781"/>
        <v>236.8532700923239</v>
      </c>
      <c r="AI793" s="10">
        <f t="shared" ca="1" si="5781"/>
        <v>239.18708165499626</v>
      </c>
      <c r="AJ793" s="10">
        <f t="shared" ca="1" si="5781"/>
        <v>236.29293509850419</v>
      </c>
      <c r="AK793" s="10">
        <f t="shared" ca="1" si="5781"/>
        <v>241.27257240215312</v>
      </c>
      <c r="AL793" s="10">
        <f t="shared" ca="1" si="5781"/>
        <v>246.32740089601683</v>
      </c>
      <c r="AM793" s="10">
        <f t="shared" ca="1" si="5781"/>
        <v>248.75456492119608</v>
      </c>
      <c r="AN793" s="10">
        <f t="shared" ca="1" si="5781"/>
        <v>247.7962547926135</v>
      </c>
      <c r="AO793" s="10">
        <f t="shared" ca="1" si="5781"/>
        <v>250.23789203239701</v>
      </c>
      <c r="AP793" s="10">
        <f t="shared" ca="1" si="5781"/>
        <v>255.4805502189289</v>
      </c>
      <c r="AQ793" s="10">
        <f t="shared" ca="1" si="5781"/>
        <v>257.99790394559028</v>
      </c>
      <c r="AR793" s="10">
        <f t="shared" ref="AR793:BW793" ca="1" si="5782" xml:space="preserve"> $E789 * $E783 * Period_length * CPI_Accumulated_From_Date * AR46 * $I$774</f>
        <v>255.5744386025421</v>
      </c>
      <c r="AS793" s="10">
        <f t="shared" ca="1" si="5782"/>
        <v>260.9604143101688</v>
      </c>
      <c r="AT793" s="10">
        <f t="shared" ca="1" si="5782"/>
        <v>266.42771680913177</v>
      </c>
      <c r="AU793" s="10">
        <f t="shared" ca="1" si="5782"/>
        <v>269.05293741876568</v>
      </c>
      <c r="AV793" s="10">
        <f t="shared" ca="1" si="5782"/>
        <v>265.7974161466438</v>
      </c>
      <c r="AW793" s="10">
        <f t="shared" ca="1" si="5782"/>
        <v>271.39883088257545</v>
      </c>
      <c r="AX793" s="10">
        <f t="shared" ca="1" si="5782"/>
        <v>277.08482548149698</v>
      </c>
      <c r="AY793" s="10">
        <f t="shared" ca="1" si="5782"/>
        <v>279.81505491551621</v>
      </c>
      <c r="AZ793" s="10">
        <f t="shared" ca="1" si="5782"/>
        <v>276.42931279250945</v>
      </c>
      <c r="BA793" s="10">
        <f t="shared" ca="1" si="5782"/>
        <v>282.25478411787844</v>
      </c>
      <c r="BB793" s="10">
        <f t="shared" ca="1" si="5782"/>
        <v>288.16821850075678</v>
      </c>
      <c r="BC793" s="10">
        <f t="shared" ca="1" si="5782"/>
        <v>291.00765711213683</v>
      </c>
      <c r="BD793" s="10">
        <f t="shared" ca="1" si="5782"/>
        <v>289.88656980507983</v>
      </c>
      <c r="BE793" s="10">
        <f t="shared" ca="1" si="5782"/>
        <v>292.74294003045532</v>
      </c>
      <c r="BF793" s="10">
        <f t="shared" ca="1" si="5782"/>
        <v>298.87610858712367</v>
      </c>
      <c r="BG793" s="10">
        <f t="shared" ca="1" si="5782"/>
        <v>301.82105639280633</v>
      </c>
      <c r="BH793" s="10">
        <f t="shared" ca="1" si="5782"/>
        <v>298.98594471637813</v>
      </c>
      <c r="BI793" s="10">
        <f t="shared" ca="1" si="5782"/>
        <v>305.28677450189724</v>
      </c>
      <c r="BJ793" s="10">
        <f t="shared" ca="1" si="5782"/>
        <v>311.68274513041848</v>
      </c>
      <c r="BK793" s="10">
        <f t="shared" ca="1" si="5782"/>
        <v>314.7538819324871</v>
      </c>
      <c r="BL793" s="10">
        <f t="shared" ca="1" si="5782"/>
        <v>310.94538250503325</v>
      </c>
      <c r="BM793" s="10">
        <f t="shared" ca="1" si="5782"/>
        <v>317.49824548197307</v>
      </c>
      <c r="BN793" s="10">
        <f t="shared" ca="1" si="5782"/>
        <v>324.15005493563513</v>
      </c>
      <c r="BO793" s="10">
        <f t="shared" ca="1" si="5782"/>
        <v>327.34403720978656</v>
      </c>
      <c r="BP793" s="10">
        <f t="shared" ca="1" si="5782"/>
        <v>323.38319780523454</v>
      </c>
      <c r="BQ793" s="10">
        <f t="shared" ca="1" si="5782"/>
        <v>330.19817530125198</v>
      </c>
      <c r="BR793" s="10">
        <f t="shared" ca="1" si="5782"/>
        <v>337.11605713306051</v>
      </c>
      <c r="BS793" s="10">
        <f t="shared" ca="1" si="5782"/>
        <v>340.43779869817791</v>
      </c>
      <c r="BT793" s="10">
        <f t="shared" ca="1" si="5782"/>
        <v>339.12628511550992</v>
      </c>
      <c r="BU793" s="10">
        <f t="shared" ca="1" si="5782"/>
        <v>342.46783427419456</v>
      </c>
      <c r="BV793" s="10">
        <f t="shared" ca="1" si="5782"/>
        <v>349.64277401013589</v>
      </c>
      <c r="BW793" s="10">
        <f t="shared" ca="1" si="5782"/>
        <v>353.08794640936696</v>
      </c>
      <c r="BX793" s="10">
        <f t="shared" ref="BX793:CO793" ca="1" si="5783" xml:space="preserve"> $E789 * $E783 * Period_length * CPI_Accumulated_From_Date * BX46 * $I$774</f>
        <v>349.77126674614152</v>
      </c>
      <c r="BY793" s="10">
        <f t="shared" ca="1" si="5783"/>
        <v>357.14234640583402</v>
      </c>
      <c r="BZ793" s="10">
        <f t="shared" ca="1" si="5783"/>
        <v>364.62472739511816</v>
      </c>
      <c r="CA793" s="10">
        <f t="shared" ca="1" si="5783"/>
        <v>368.21752307194919</v>
      </c>
      <c r="CB793" s="10">
        <f t="shared" ca="1" si="5783"/>
        <v>363.76211741598718</v>
      </c>
      <c r="CC793" s="10">
        <f t="shared" ca="1" si="5783"/>
        <v>371.42804026206733</v>
      </c>
      <c r="CD793" s="10">
        <f t="shared" ca="1" si="5783"/>
        <v>379.20971649092286</v>
      </c>
      <c r="CE793" s="10">
        <f t="shared" ca="1" si="5783"/>
        <v>382.94622399482711</v>
      </c>
      <c r="CF793" s="10">
        <f t="shared" ca="1" si="5783"/>
        <v>378.31260211262662</v>
      </c>
      <c r="CG793" s="10">
        <f t="shared" ca="1" si="5783"/>
        <v>386.28516187255002</v>
      </c>
      <c r="CH793" s="10">
        <f t="shared" ca="1" si="5783"/>
        <v>394.37810515055975</v>
      </c>
      <c r="CI793" s="10">
        <f t="shared" ca="1" si="5783"/>
        <v>398.26407295462025</v>
      </c>
      <c r="CJ793" s="10">
        <f t="shared" ca="1" si="5783"/>
        <v>396.72978756337977</v>
      </c>
      <c r="CK793" s="10">
        <f t="shared" ca="1" si="5783"/>
        <v>400.6389274503278</v>
      </c>
      <c r="CL793" s="10">
        <f t="shared" ca="1" si="5783"/>
        <v>409.03259211790288</v>
      </c>
      <c r="CM793" s="10">
        <f t="shared" ca="1" si="5783"/>
        <v>413.06295653981914</v>
      </c>
      <c r="CN793" s="10">
        <f t="shared" ca="1" si="5783"/>
        <v>409.18291044501689</v>
      </c>
      <c r="CO793" s="10">
        <f t="shared" ca="1" si="5783"/>
        <v>417.80603108135</v>
      </c>
    </row>
    <row r="794" spans="1:93">
      <c r="A794" s="10"/>
      <c r="B794" s="10"/>
      <c r="C794" s="17" t="str">
        <f t="shared" ref="C794:C795" si="5784">C784</f>
        <v>Расходы на содержание и обслуживание Коммунальная инфраструктура</v>
      </c>
      <c r="D794" s="10"/>
      <c r="E794" s="10"/>
      <c r="F794" s="10"/>
      <c r="G794" s="11" t="str">
        <f xml:space="preserve"> Monetary_Unit</f>
        <v>тыс. руб.</v>
      </c>
      <c r="H794" s="10"/>
      <c r="I794" s="23">
        <f ca="1">SUM(L794:CO794)</f>
        <v>0</v>
      </c>
      <c r="J794" s="10"/>
      <c r="K794" s="10"/>
      <c r="L794" s="10">
        <f t="shared" ref="L794:AQ794" ca="1" si="5785" xml:space="preserve"> $E790 * $E784 * Period_length * CPI_Accumulated_From_Date * L47 * $I$774</f>
        <v>0</v>
      </c>
      <c r="M794" s="10">
        <f t="shared" ca="1" si="5785"/>
        <v>0</v>
      </c>
      <c r="N794" s="10">
        <f t="shared" ca="1" si="5785"/>
        <v>0</v>
      </c>
      <c r="O794" s="10">
        <f t="shared" ca="1" si="5785"/>
        <v>0</v>
      </c>
      <c r="P794" s="10">
        <f t="shared" ca="1" si="5785"/>
        <v>0</v>
      </c>
      <c r="Q794" s="10">
        <f t="shared" ca="1" si="5785"/>
        <v>0</v>
      </c>
      <c r="R794" s="10">
        <f t="shared" ca="1" si="5785"/>
        <v>0</v>
      </c>
      <c r="S794" s="10">
        <f t="shared" ca="1" si="5785"/>
        <v>0</v>
      </c>
      <c r="T794" s="10">
        <f t="shared" ca="1" si="5785"/>
        <v>0</v>
      </c>
      <c r="U794" s="10">
        <f t="shared" ca="1" si="5785"/>
        <v>0</v>
      </c>
      <c r="V794" s="10">
        <f t="shared" ca="1" si="5785"/>
        <v>0</v>
      </c>
      <c r="W794" s="10">
        <f t="shared" ca="1" si="5785"/>
        <v>0</v>
      </c>
      <c r="X794" s="10">
        <f t="shared" ca="1" si="5785"/>
        <v>0</v>
      </c>
      <c r="Y794" s="10">
        <f t="shared" ca="1" si="5785"/>
        <v>0</v>
      </c>
      <c r="Z794" s="10">
        <f t="shared" ca="1" si="5785"/>
        <v>0</v>
      </c>
      <c r="AA794" s="10">
        <f t="shared" ca="1" si="5785"/>
        <v>0</v>
      </c>
      <c r="AB794" s="10">
        <f t="shared" ca="1" si="5785"/>
        <v>0</v>
      </c>
      <c r="AC794" s="10">
        <f t="shared" ca="1" si="5785"/>
        <v>0</v>
      </c>
      <c r="AD794" s="10">
        <f t="shared" ca="1" si="5785"/>
        <v>0</v>
      </c>
      <c r="AE794" s="10">
        <f t="shared" ca="1" si="5785"/>
        <v>0</v>
      </c>
      <c r="AF794" s="10">
        <f t="shared" ca="1" si="5785"/>
        <v>0</v>
      </c>
      <c r="AG794" s="10">
        <f t="shared" ca="1" si="5785"/>
        <v>0</v>
      </c>
      <c r="AH794" s="10">
        <f t="shared" ca="1" si="5785"/>
        <v>0</v>
      </c>
      <c r="AI794" s="10">
        <f t="shared" ca="1" si="5785"/>
        <v>0</v>
      </c>
      <c r="AJ794" s="10">
        <f t="shared" ca="1" si="5785"/>
        <v>0</v>
      </c>
      <c r="AK794" s="10">
        <f t="shared" ca="1" si="5785"/>
        <v>0</v>
      </c>
      <c r="AL794" s="10">
        <f t="shared" ca="1" si="5785"/>
        <v>0</v>
      </c>
      <c r="AM794" s="10">
        <f t="shared" ca="1" si="5785"/>
        <v>0</v>
      </c>
      <c r="AN794" s="10">
        <f t="shared" ca="1" si="5785"/>
        <v>0</v>
      </c>
      <c r="AO794" s="10">
        <f t="shared" ca="1" si="5785"/>
        <v>0</v>
      </c>
      <c r="AP794" s="10">
        <f t="shared" ca="1" si="5785"/>
        <v>0</v>
      </c>
      <c r="AQ794" s="10">
        <f t="shared" ca="1" si="5785"/>
        <v>0</v>
      </c>
      <c r="AR794" s="10">
        <f t="shared" ref="AR794:BW794" ca="1" si="5786" xml:space="preserve"> $E790 * $E784 * Period_length * CPI_Accumulated_From_Date * AR47 * $I$774</f>
        <v>0</v>
      </c>
      <c r="AS794" s="10">
        <f t="shared" ca="1" si="5786"/>
        <v>0</v>
      </c>
      <c r="AT794" s="10">
        <f t="shared" ca="1" si="5786"/>
        <v>0</v>
      </c>
      <c r="AU794" s="10">
        <f t="shared" ca="1" si="5786"/>
        <v>0</v>
      </c>
      <c r="AV794" s="10">
        <f t="shared" ca="1" si="5786"/>
        <v>0</v>
      </c>
      <c r="AW794" s="10">
        <f t="shared" ca="1" si="5786"/>
        <v>0</v>
      </c>
      <c r="AX794" s="10">
        <f t="shared" ca="1" si="5786"/>
        <v>0</v>
      </c>
      <c r="AY794" s="10">
        <f t="shared" ca="1" si="5786"/>
        <v>0</v>
      </c>
      <c r="AZ794" s="10">
        <f t="shared" ca="1" si="5786"/>
        <v>0</v>
      </c>
      <c r="BA794" s="10">
        <f t="shared" ca="1" si="5786"/>
        <v>0</v>
      </c>
      <c r="BB794" s="10">
        <f t="shared" ca="1" si="5786"/>
        <v>0</v>
      </c>
      <c r="BC794" s="10">
        <f t="shared" ca="1" si="5786"/>
        <v>0</v>
      </c>
      <c r="BD794" s="10">
        <f t="shared" ca="1" si="5786"/>
        <v>0</v>
      </c>
      <c r="BE794" s="10">
        <f t="shared" ca="1" si="5786"/>
        <v>0</v>
      </c>
      <c r="BF794" s="10">
        <f t="shared" ca="1" si="5786"/>
        <v>0</v>
      </c>
      <c r="BG794" s="10">
        <f t="shared" ca="1" si="5786"/>
        <v>0</v>
      </c>
      <c r="BH794" s="10">
        <f t="shared" ca="1" si="5786"/>
        <v>0</v>
      </c>
      <c r="BI794" s="10">
        <f t="shared" ca="1" si="5786"/>
        <v>0</v>
      </c>
      <c r="BJ794" s="10">
        <f t="shared" ca="1" si="5786"/>
        <v>0</v>
      </c>
      <c r="BK794" s="10">
        <f t="shared" ca="1" si="5786"/>
        <v>0</v>
      </c>
      <c r="BL794" s="10">
        <f t="shared" ca="1" si="5786"/>
        <v>0</v>
      </c>
      <c r="BM794" s="10">
        <f t="shared" ca="1" si="5786"/>
        <v>0</v>
      </c>
      <c r="BN794" s="10">
        <f t="shared" ca="1" si="5786"/>
        <v>0</v>
      </c>
      <c r="BO794" s="10">
        <f t="shared" ca="1" si="5786"/>
        <v>0</v>
      </c>
      <c r="BP794" s="10">
        <f t="shared" ca="1" si="5786"/>
        <v>0</v>
      </c>
      <c r="BQ794" s="10">
        <f t="shared" ca="1" si="5786"/>
        <v>0</v>
      </c>
      <c r="BR794" s="10">
        <f t="shared" ca="1" si="5786"/>
        <v>0</v>
      </c>
      <c r="BS794" s="10">
        <f t="shared" ca="1" si="5786"/>
        <v>0</v>
      </c>
      <c r="BT794" s="10">
        <f t="shared" ca="1" si="5786"/>
        <v>0</v>
      </c>
      <c r="BU794" s="10">
        <f t="shared" ca="1" si="5786"/>
        <v>0</v>
      </c>
      <c r="BV794" s="10">
        <f t="shared" ca="1" si="5786"/>
        <v>0</v>
      </c>
      <c r="BW794" s="10">
        <f t="shared" ca="1" si="5786"/>
        <v>0</v>
      </c>
      <c r="BX794" s="10">
        <f t="shared" ref="BX794:CO794" ca="1" si="5787" xml:space="preserve"> $E790 * $E784 * Period_length * CPI_Accumulated_From_Date * BX47 * $I$774</f>
        <v>0</v>
      </c>
      <c r="BY794" s="10">
        <f t="shared" ca="1" si="5787"/>
        <v>0</v>
      </c>
      <c r="BZ794" s="10">
        <f t="shared" ca="1" si="5787"/>
        <v>0</v>
      </c>
      <c r="CA794" s="10">
        <f t="shared" ca="1" si="5787"/>
        <v>0</v>
      </c>
      <c r="CB794" s="10">
        <f t="shared" ca="1" si="5787"/>
        <v>0</v>
      </c>
      <c r="CC794" s="10">
        <f t="shared" ca="1" si="5787"/>
        <v>0</v>
      </c>
      <c r="CD794" s="10">
        <f t="shared" ca="1" si="5787"/>
        <v>0</v>
      </c>
      <c r="CE794" s="10">
        <f t="shared" ca="1" si="5787"/>
        <v>0</v>
      </c>
      <c r="CF794" s="10">
        <f t="shared" ca="1" si="5787"/>
        <v>0</v>
      </c>
      <c r="CG794" s="10">
        <f t="shared" ca="1" si="5787"/>
        <v>0</v>
      </c>
      <c r="CH794" s="10">
        <f t="shared" ca="1" si="5787"/>
        <v>0</v>
      </c>
      <c r="CI794" s="10">
        <f t="shared" ca="1" si="5787"/>
        <v>0</v>
      </c>
      <c r="CJ794" s="10">
        <f t="shared" ca="1" si="5787"/>
        <v>0</v>
      </c>
      <c r="CK794" s="10">
        <f t="shared" ca="1" si="5787"/>
        <v>0</v>
      </c>
      <c r="CL794" s="10">
        <f t="shared" ca="1" si="5787"/>
        <v>0</v>
      </c>
      <c r="CM794" s="10">
        <f t="shared" ca="1" si="5787"/>
        <v>0</v>
      </c>
      <c r="CN794" s="10">
        <f t="shared" ca="1" si="5787"/>
        <v>0</v>
      </c>
      <c r="CO794" s="10">
        <f t="shared" ca="1" si="5787"/>
        <v>0</v>
      </c>
    </row>
    <row r="795" spans="1:93" ht="15" thickBot="1">
      <c r="A795" s="10"/>
      <c r="B795" s="10"/>
      <c r="C795" s="17" t="str">
        <f t="shared" si="5784"/>
        <v>Расходы на содержание и обслуживание Прочая обеспечивающая инфраструктура</v>
      </c>
      <c r="D795" s="10"/>
      <c r="E795" s="10"/>
      <c r="F795" s="10"/>
      <c r="G795" s="11" t="str">
        <f xml:space="preserve"> Monetary_Unit</f>
        <v>тыс. руб.</v>
      </c>
      <c r="H795" s="10"/>
      <c r="I795" s="23">
        <f ca="1">SUM(L795:CO795)</f>
        <v>0</v>
      </c>
      <c r="J795" s="10"/>
      <c r="K795" s="10"/>
      <c r="L795" s="10">
        <f t="shared" ref="L795:AQ795" ca="1" si="5788" xml:space="preserve"> $E791 * $E785 * Period_length * CPI_Accumulated_From_Date * L48 * $I$774</f>
        <v>0</v>
      </c>
      <c r="M795" s="10">
        <f t="shared" ca="1" si="5788"/>
        <v>0</v>
      </c>
      <c r="N795" s="10">
        <f t="shared" ca="1" si="5788"/>
        <v>0</v>
      </c>
      <c r="O795" s="10">
        <f t="shared" ca="1" si="5788"/>
        <v>0</v>
      </c>
      <c r="P795" s="10">
        <f t="shared" ca="1" si="5788"/>
        <v>0</v>
      </c>
      <c r="Q795" s="10">
        <f t="shared" ca="1" si="5788"/>
        <v>0</v>
      </c>
      <c r="R795" s="10">
        <f t="shared" ca="1" si="5788"/>
        <v>0</v>
      </c>
      <c r="S795" s="10">
        <f t="shared" ca="1" si="5788"/>
        <v>0</v>
      </c>
      <c r="T795" s="10">
        <f t="shared" ca="1" si="5788"/>
        <v>0</v>
      </c>
      <c r="U795" s="10">
        <f t="shared" ca="1" si="5788"/>
        <v>0</v>
      </c>
      <c r="V795" s="10">
        <f t="shared" ca="1" si="5788"/>
        <v>0</v>
      </c>
      <c r="W795" s="10">
        <f t="shared" ca="1" si="5788"/>
        <v>0</v>
      </c>
      <c r="X795" s="10">
        <f t="shared" ca="1" si="5788"/>
        <v>0</v>
      </c>
      <c r="Y795" s="10">
        <f t="shared" ca="1" si="5788"/>
        <v>0</v>
      </c>
      <c r="Z795" s="10">
        <f t="shared" ca="1" si="5788"/>
        <v>0</v>
      </c>
      <c r="AA795" s="10">
        <f t="shared" ca="1" si="5788"/>
        <v>0</v>
      </c>
      <c r="AB795" s="10">
        <f t="shared" ca="1" si="5788"/>
        <v>0</v>
      </c>
      <c r="AC795" s="10">
        <f t="shared" ca="1" si="5788"/>
        <v>0</v>
      </c>
      <c r="AD795" s="10">
        <f t="shared" ca="1" si="5788"/>
        <v>0</v>
      </c>
      <c r="AE795" s="10">
        <f t="shared" ca="1" si="5788"/>
        <v>0</v>
      </c>
      <c r="AF795" s="10">
        <f t="shared" ca="1" si="5788"/>
        <v>0</v>
      </c>
      <c r="AG795" s="10">
        <f t="shared" ca="1" si="5788"/>
        <v>0</v>
      </c>
      <c r="AH795" s="10">
        <f t="shared" ca="1" si="5788"/>
        <v>0</v>
      </c>
      <c r="AI795" s="10">
        <f t="shared" ca="1" si="5788"/>
        <v>0</v>
      </c>
      <c r="AJ795" s="10">
        <f t="shared" ca="1" si="5788"/>
        <v>0</v>
      </c>
      <c r="AK795" s="10">
        <f t="shared" ca="1" si="5788"/>
        <v>0</v>
      </c>
      <c r="AL795" s="10">
        <f t="shared" ca="1" si="5788"/>
        <v>0</v>
      </c>
      <c r="AM795" s="10">
        <f t="shared" ca="1" si="5788"/>
        <v>0</v>
      </c>
      <c r="AN795" s="10">
        <f t="shared" ca="1" si="5788"/>
        <v>0</v>
      </c>
      <c r="AO795" s="10">
        <f t="shared" ca="1" si="5788"/>
        <v>0</v>
      </c>
      <c r="AP795" s="10">
        <f t="shared" ca="1" si="5788"/>
        <v>0</v>
      </c>
      <c r="AQ795" s="10">
        <f t="shared" ca="1" si="5788"/>
        <v>0</v>
      </c>
      <c r="AR795" s="10">
        <f t="shared" ref="AR795:BW795" ca="1" si="5789" xml:space="preserve"> $E791 * $E785 * Period_length * CPI_Accumulated_From_Date * AR48 * $I$774</f>
        <v>0</v>
      </c>
      <c r="AS795" s="10">
        <f t="shared" ca="1" si="5789"/>
        <v>0</v>
      </c>
      <c r="AT795" s="10">
        <f t="shared" ca="1" si="5789"/>
        <v>0</v>
      </c>
      <c r="AU795" s="10">
        <f t="shared" ca="1" si="5789"/>
        <v>0</v>
      </c>
      <c r="AV795" s="10">
        <f t="shared" ca="1" si="5789"/>
        <v>0</v>
      </c>
      <c r="AW795" s="10">
        <f t="shared" ca="1" si="5789"/>
        <v>0</v>
      </c>
      <c r="AX795" s="10">
        <f t="shared" ca="1" si="5789"/>
        <v>0</v>
      </c>
      <c r="AY795" s="10">
        <f t="shared" ca="1" si="5789"/>
        <v>0</v>
      </c>
      <c r="AZ795" s="10">
        <f t="shared" ca="1" si="5789"/>
        <v>0</v>
      </c>
      <c r="BA795" s="10">
        <f t="shared" ca="1" si="5789"/>
        <v>0</v>
      </c>
      <c r="BB795" s="10">
        <f t="shared" ca="1" si="5789"/>
        <v>0</v>
      </c>
      <c r="BC795" s="10">
        <f t="shared" ca="1" si="5789"/>
        <v>0</v>
      </c>
      <c r="BD795" s="10">
        <f t="shared" ca="1" si="5789"/>
        <v>0</v>
      </c>
      <c r="BE795" s="10">
        <f t="shared" ca="1" si="5789"/>
        <v>0</v>
      </c>
      <c r="BF795" s="10">
        <f t="shared" ca="1" si="5789"/>
        <v>0</v>
      </c>
      <c r="BG795" s="10">
        <f t="shared" ca="1" si="5789"/>
        <v>0</v>
      </c>
      <c r="BH795" s="10">
        <f t="shared" ca="1" si="5789"/>
        <v>0</v>
      </c>
      <c r="BI795" s="10">
        <f t="shared" ca="1" si="5789"/>
        <v>0</v>
      </c>
      <c r="BJ795" s="10">
        <f t="shared" ca="1" si="5789"/>
        <v>0</v>
      </c>
      <c r="BK795" s="10">
        <f t="shared" ca="1" si="5789"/>
        <v>0</v>
      </c>
      <c r="BL795" s="10">
        <f t="shared" ca="1" si="5789"/>
        <v>0</v>
      </c>
      <c r="BM795" s="10">
        <f t="shared" ca="1" si="5789"/>
        <v>0</v>
      </c>
      <c r="BN795" s="10">
        <f t="shared" ca="1" si="5789"/>
        <v>0</v>
      </c>
      <c r="BO795" s="10">
        <f t="shared" ca="1" si="5789"/>
        <v>0</v>
      </c>
      <c r="BP795" s="10">
        <f t="shared" ca="1" si="5789"/>
        <v>0</v>
      </c>
      <c r="BQ795" s="10">
        <f t="shared" ca="1" si="5789"/>
        <v>0</v>
      </c>
      <c r="BR795" s="10">
        <f t="shared" ca="1" si="5789"/>
        <v>0</v>
      </c>
      <c r="BS795" s="10">
        <f t="shared" ca="1" si="5789"/>
        <v>0</v>
      </c>
      <c r="BT795" s="10">
        <f t="shared" ca="1" si="5789"/>
        <v>0</v>
      </c>
      <c r="BU795" s="10">
        <f t="shared" ca="1" si="5789"/>
        <v>0</v>
      </c>
      <c r="BV795" s="10">
        <f t="shared" ca="1" si="5789"/>
        <v>0</v>
      </c>
      <c r="BW795" s="10">
        <f t="shared" ca="1" si="5789"/>
        <v>0</v>
      </c>
      <c r="BX795" s="10">
        <f t="shared" ref="BX795:CO795" ca="1" si="5790" xml:space="preserve"> $E791 * $E785 * Period_length * CPI_Accumulated_From_Date * BX48 * $I$774</f>
        <v>0</v>
      </c>
      <c r="BY795" s="10">
        <f t="shared" ca="1" si="5790"/>
        <v>0</v>
      </c>
      <c r="BZ795" s="10">
        <f t="shared" ca="1" si="5790"/>
        <v>0</v>
      </c>
      <c r="CA795" s="10">
        <f t="shared" ca="1" si="5790"/>
        <v>0</v>
      </c>
      <c r="CB795" s="10">
        <f t="shared" ca="1" si="5790"/>
        <v>0</v>
      </c>
      <c r="CC795" s="10">
        <f t="shared" ca="1" si="5790"/>
        <v>0</v>
      </c>
      <c r="CD795" s="10">
        <f t="shared" ca="1" si="5790"/>
        <v>0</v>
      </c>
      <c r="CE795" s="10">
        <f t="shared" ca="1" si="5790"/>
        <v>0</v>
      </c>
      <c r="CF795" s="10">
        <f t="shared" ca="1" si="5790"/>
        <v>0</v>
      </c>
      <c r="CG795" s="10">
        <f t="shared" ca="1" si="5790"/>
        <v>0</v>
      </c>
      <c r="CH795" s="10">
        <f t="shared" ca="1" si="5790"/>
        <v>0</v>
      </c>
      <c r="CI795" s="10">
        <f t="shared" ca="1" si="5790"/>
        <v>0</v>
      </c>
      <c r="CJ795" s="10">
        <f t="shared" ca="1" si="5790"/>
        <v>0</v>
      </c>
      <c r="CK795" s="10">
        <f t="shared" ca="1" si="5790"/>
        <v>0</v>
      </c>
      <c r="CL795" s="10">
        <f t="shared" ca="1" si="5790"/>
        <v>0</v>
      </c>
      <c r="CM795" s="10">
        <f t="shared" ca="1" si="5790"/>
        <v>0</v>
      </c>
      <c r="CN795" s="10">
        <f t="shared" ca="1" si="5790"/>
        <v>0</v>
      </c>
      <c r="CO795" s="10">
        <f t="shared" ca="1" si="5790"/>
        <v>0</v>
      </c>
    </row>
    <row r="796" spans="1:93" ht="15" thickTop="1">
      <c r="B796" s="101"/>
      <c r="C796" s="49" t="str">
        <f xml:space="preserve"> "Итого: эксплуатационные расходы " &amp; Предпосылки!C64 &amp; " в прогнозных ценах без НДС"</f>
        <v>Итого: эксплуатационные расходы Общая поддерживающая инфраструктура в прогнозных ценах без НДС</v>
      </c>
      <c r="D796" s="49"/>
      <c r="E796" s="136"/>
      <c r="F796" s="49"/>
      <c r="G796" s="159" t="str">
        <f xml:space="preserve"> Monetary_Unit</f>
        <v>тыс. руб.</v>
      </c>
      <c r="H796" s="49"/>
      <c r="I796" s="23">
        <f ca="1">SUM(L796:CO796)</f>
        <v>20234.399718852401</v>
      </c>
      <c r="J796" s="49"/>
      <c r="K796" s="49"/>
      <c r="L796" s="49">
        <f t="shared" ref="L796:R796" ca="1" si="5791">SUM(L793:L795)</f>
        <v>0</v>
      </c>
      <c r="M796" s="49">
        <f t="shared" ca="1" si="5791"/>
        <v>0</v>
      </c>
      <c r="N796" s="49">
        <f t="shared" ca="1" si="5791"/>
        <v>0</v>
      </c>
      <c r="O796" s="49">
        <f t="shared" ca="1" si="5791"/>
        <v>0</v>
      </c>
      <c r="P796" s="49">
        <f t="shared" ca="1" si="5791"/>
        <v>0</v>
      </c>
      <c r="Q796" s="49">
        <f t="shared" ca="1" si="5791"/>
        <v>0</v>
      </c>
      <c r="R796" s="49">
        <f t="shared" ca="1" si="5791"/>
        <v>0</v>
      </c>
      <c r="S796" s="49">
        <f t="shared" ref="S796" ca="1" si="5792">SUM(S793:S795)</f>
        <v>0</v>
      </c>
      <c r="T796" s="49">
        <f t="shared" ref="T796:CE796" ca="1" si="5793">SUM(T793:T795)</f>
        <v>0</v>
      </c>
      <c r="U796" s="49">
        <f t="shared" ca="1" si="5793"/>
        <v>0</v>
      </c>
      <c r="V796" s="49">
        <f t="shared" ca="1" si="5793"/>
        <v>0</v>
      </c>
      <c r="W796" s="49">
        <f t="shared" ca="1" si="5793"/>
        <v>0</v>
      </c>
      <c r="X796" s="49">
        <f t="shared" ca="1" si="5793"/>
        <v>0</v>
      </c>
      <c r="Y796" s="49">
        <f t="shared" ca="1" si="5793"/>
        <v>0</v>
      </c>
      <c r="Z796" s="49">
        <f t="shared" ca="1" si="5793"/>
        <v>0</v>
      </c>
      <c r="AA796" s="49">
        <f t="shared" ca="1" si="5793"/>
        <v>0</v>
      </c>
      <c r="AB796" s="49">
        <f t="shared" ca="1" si="5793"/>
        <v>0</v>
      </c>
      <c r="AC796" s="49">
        <f t="shared" ca="1" si="5793"/>
        <v>223.07005584518595</v>
      </c>
      <c r="AD796" s="49">
        <f t="shared" ca="1" si="5793"/>
        <v>227.74352893492681</v>
      </c>
      <c r="AE796" s="49">
        <f t="shared" ca="1" si="5793"/>
        <v>229.98757851441948</v>
      </c>
      <c r="AF796" s="49">
        <f t="shared" ca="1" si="5793"/>
        <v>227.20474528702329</v>
      </c>
      <c r="AG796" s="49">
        <f t="shared" ca="1" si="5793"/>
        <v>231.99285807899338</v>
      </c>
      <c r="AH796" s="49">
        <f t="shared" ca="1" si="5793"/>
        <v>236.8532700923239</v>
      </c>
      <c r="AI796" s="49">
        <f t="shared" ca="1" si="5793"/>
        <v>239.18708165499626</v>
      </c>
      <c r="AJ796" s="49">
        <f t="shared" ca="1" si="5793"/>
        <v>236.29293509850419</v>
      </c>
      <c r="AK796" s="49">
        <f t="shared" ca="1" si="5793"/>
        <v>241.27257240215312</v>
      </c>
      <c r="AL796" s="49">
        <f t="shared" ca="1" si="5793"/>
        <v>246.32740089601683</v>
      </c>
      <c r="AM796" s="49">
        <f t="shared" ca="1" si="5793"/>
        <v>248.75456492119608</v>
      </c>
      <c r="AN796" s="49">
        <f t="shared" ca="1" si="5793"/>
        <v>247.7962547926135</v>
      </c>
      <c r="AO796" s="49">
        <f t="shared" ca="1" si="5793"/>
        <v>250.23789203239701</v>
      </c>
      <c r="AP796" s="49">
        <f t="shared" ca="1" si="5793"/>
        <v>255.4805502189289</v>
      </c>
      <c r="AQ796" s="49">
        <f t="shared" ca="1" si="5793"/>
        <v>257.99790394559028</v>
      </c>
      <c r="AR796" s="49">
        <f t="shared" ca="1" si="5793"/>
        <v>255.5744386025421</v>
      </c>
      <c r="AS796" s="49">
        <f t="shared" ca="1" si="5793"/>
        <v>260.9604143101688</v>
      </c>
      <c r="AT796" s="49">
        <f t="shared" ca="1" si="5793"/>
        <v>266.42771680913177</v>
      </c>
      <c r="AU796" s="49">
        <f t="shared" ca="1" si="5793"/>
        <v>269.05293741876568</v>
      </c>
      <c r="AV796" s="49">
        <f t="shared" ca="1" si="5793"/>
        <v>265.7974161466438</v>
      </c>
      <c r="AW796" s="49">
        <f t="shared" ca="1" si="5793"/>
        <v>271.39883088257545</v>
      </c>
      <c r="AX796" s="49">
        <f t="shared" ca="1" si="5793"/>
        <v>277.08482548149698</v>
      </c>
      <c r="AY796" s="49">
        <f t="shared" ca="1" si="5793"/>
        <v>279.81505491551621</v>
      </c>
      <c r="AZ796" s="49">
        <f t="shared" ca="1" si="5793"/>
        <v>276.42931279250945</v>
      </c>
      <c r="BA796" s="49">
        <f t="shared" ca="1" si="5793"/>
        <v>282.25478411787844</v>
      </c>
      <c r="BB796" s="49">
        <f t="shared" ca="1" si="5793"/>
        <v>288.16821850075678</v>
      </c>
      <c r="BC796" s="49">
        <f t="shared" ca="1" si="5793"/>
        <v>291.00765711213683</v>
      </c>
      <c r="BD796" s="49">
        <f t="shared" ca="1" si="5793"/>
        <v>289.88656980507983</v>
      </c>
      <c r="BE796" s="49">
        <f t="shared" ca="1" si="5793"/>
        <v>292.74294003045532</v>
      </c>
      <c r="BF796" s="49">
        <f t="shared" ca="1" si="5793"/>
        <v>298.87610858712367</v>
      </c>
      <c r="BG796" s="49">
        <f t="shared" ca="1" si="5793"/>
        <v>301.82105639280633</v>
      </c>
      <c r="BH796" s="49">
        <f t="shared" ca="1" si="5793"/>
        <v>298.98594471637813</v>
      </c>
      <c r="BI796" s="49">
        <f t="shared" ca="1" si="5793"/>
        <v>305.28677450189724</v>
      </c>
      <c r="BJ796" s="49">
        <f t="shared" ca="1" si="5793"/>
        <v>311.68274513041848</v>
      </c>
      <c r="BK796" s="49">
        <f t="shared" ca="1" si="5793"/>
        <v>314.7538819324871</v>
      </c>
      <c r="BL796" s="49">
        <f t="shared" ca="1" si="5793"/>
        <v>310.94538250503325</v>
      </c>
      <c r="BM796" s="49">
        <f t="shared" ca="1" si="5793"/>
        <v>317.49824548197307</v>
      </c>
      <c r="BN796" s="49">
        <f t="shared" ca="1" si="5793"/>
        <v>324.15005493563513</v>
      </c>
      <c r="BO796" s="49">
        <f t="shared" ca="1" si="5793"/>
        <v>327.34403720978656</v>
      </c>
      <c r="BP796" s="49">
        <f t="shared" ca="1" si="5793"/>
        <v>323.38319780523454</v>
      </c>
      <c r="BQ796" s="49">
        <f t="shared" ca="1" si="5793"/>
        <v>330.19817530125198</v>
      </c>
      <c r="BR796" s="49">
        <f t="shared" ca="1" si="5793"/>
        <v>337.11605713306051</v>
      </c>
      <c r="BS796" s="49">
        <f t="shared" ca="1" si="5793"/>
        <v>340.43779869817791</v>
      </c>
      <c r="BT796" s="49">
        <f t="shared" ca="1" si="5793"/>
        <v>339.12628511550992</v>
      </c>
      <c r="BU796" s="49">
        <f t="shared" ca="1" si="5793"/>
        <v>342.46783427419456</v>
      </c>
      <c r="BV796" s="49">
        <f t="shared" ca="1" si="5793"/>
        <v>349.64277401013589</v>
      </c>
      <c r="BW796" s="49">
        <f t="shared" ca="1" si="5793"/>
        <v>353.08794640936696</v>
      </c>
      <c r="BX796" s="49">
        <f t="shared" ca="1" si="5793"/>
        <v>349.77126674614152</v>
      </c>
      <c r="BY796" s="49">
        <f t="shared" ca="1" si="5793"/>
        <v>357.14234640583402</v>
      </c>
      <c r="BZ796" s="49">
        <f t="shared" ca="1" si="5793"/>
        <v>364.62472739511816</v>
      </c>
      <c r="CA796" s="49">
        <f t="shared" ca="1" si="5793"/>
        <v>368.21752307194919</v>
      </c>
      <c r="CB796" s="49">
        <f t="shared" ca="1" si="5793"/>
        <v>363.76211741598718</v>
      </c>
      <c r="CC796" s="49">
        <f t="shared" ca="1" si="5793"/>
        <v>371.42804026206733</v>
      </c>
      <c r="CD796" s="49">
        <f t="shared" ca="1" si="5793"/>
        <v>379.20971649092286</v>
      </c>
      <c r="CE796" s="49">
        <f t="shared" ca="1" si="5793"/>
        <v>382.94622399482711</v>
      </c>
      <c r="CF796" s="49">
        <f t="shared" ref="CF796:CO796" ca="1" si="5794">SUM(CF793:CF795)</f>
        <v>378.31260211262662</v>
      </c>
      <c r="CG796" s="49">
        <f t="shared" ca="1" si="5794"/>
        <v>386.28516187255002</v>
      </c>
      <c r="CH796" s="49">
        <f t="shared" ca="1" si="5794"/>
        <v>394.37810515055975</v>
      </c>
      <c r="CI796" s="49">
        <f t="shared" ca="1" si="5794"/>
        <v>398.26407295462025</v>
      </c>
      <c r="CJ796" s="49">
        <f t="shared" ca="1" si="5794"/>
        <v>396.72978756337977</v>
      </c>
      <c r="CK796" s="49">
        <f t="shared" ca="1" si="5794"/>
        <v>400.6389274503278</v>
      </c>
      <c r="CL796" s="49">
        <f t="shared" ca="1" si="5794"/>
        <v>409.03259211790288</v>
      </c>
      <c r="CM796" s="49">
        <f t="shared" ca="1" si="5794"/>
        <v>413.06295653981914</v>
      </c>
      <c r="CN796" s="49">
        <f t="shared" ca="1" si="5794"/>
        <v>409.18291044501689</v>
      </c>
      <c r="CO796" s="49">
        <f t="shared" ca="1" si="5794"/>
        <v>417.80603108135</v>
      </c>
    </row>
    <row r="797" spans="1:93">
      <c r="A797" s="10"/>
      <c r="B797" s="10"/>
      <c r="C797" s="10"/>
      <c r="D797" s="10"/>
      <c r="E797" s="10"/>
      <c r="F797" s="10"/>
      <c r="G797" s="11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  <c r="BB797" s="10"/>
      <c r="BC797" s="10"/>
      <c r="BD797" s="10"/>
      <c r="BE797" s="10"/>
      <c r="BF797" s="10"/>
      <c r="BG797" s="10"/>
      <c r="BH797" s="10"/>
      <c r="BI797" s="10"/>
      <c r="BJ797" s="10"/>
      <c r="BK797" s="10"/>
      <c r="BL797" s="10"/>
      <c r="BM797" s="10"/>
      <c r="BN797" s="10"/>
      <c r="BO797" s="10"/>
      <c r="BP797" s="10"/>
      <c r="BQ797" s="10"/>
      <c r="BR797" s="10"/>
      <c r="BS797" s="10"/>
      <c r="BT797" s="10"/>
      <c r="BU797" s="10"/>
      <c r="BV797" s="10"/>
      <c r="BW797" s="10"/>
      <c r="BX797" s="10"/>
      <c r="BY797" s="10"/>
      <c r="BZ797" s="10"/>
      <c r="CA797" s="10"/>
      <c r="CB797" s="10"/>
      <c r="CC797" s="10"/>
      <c r="CD797" s="10"/>
      <c r="CE797" s="10"/>
      <c r="CF797" s="10"/>
      <c r="CG797" s="10"/>
      <c r="CH797" s="10"/>
      <c r="CI797" s="10"/>
      <c r="CJ797" s="10"/>
      <c r="CK797" s="10"/>
      <c r="CL797" s="10"/>
      <c r="CM797" s="10"/>
      <c r="CN797" s="10"/>
      <c r="CO797" s="10"/>
    </row>
    <row r="798" spans="1:93" ht="15" customHeight="1">
      <c r="A798" s="10"/>
      <c r="B798" s="3"/>
      <c r="C798" s="384" t="str">
        <f>C769</f>
        <v>Сегмент 1: Объект размещения (отель)</v>
      </c>
      <c r="D798" s="273"/>
      <c r="E798" s="273"/>
      <c r="F798" s="273"/>
      <c r="G798" s="274"/>
      <c r="H798" s="273"/>
      <c r="I798" s="273"/>
      <c r="J798" s="273"/>
      <c r="K798" s="273"/>
      <c r="L798" s="273"/>
      <c r="M798" s="273"/>
      <c r="N798" s="273"/>
      <c r="O798" s="273"/>
      <c r="P798" s="273"/>
      <c r="Q798" s="273"/>
      <c r="R798" s="273"/>
      <c r="S798" s="273"/>
      <c r="T798" s="273"/>
      <c r="U798" s="273"/>
      <c r="V798" s="273"/>
      <c r="W798" s="273"/>
      <c r="X798" s="273"/>
      <c r="Y798" s="273"/>
      <c r="Z798" s="273"/>
      <c r="AA798" s="273"/>
      <c r="AB798" s="273"/>
      <c r="AC798" s="273"/>
      <c r="AD798" s="273"/>
      <c r="AE798" s="273"/>
      <c r="AF798" s="273"/>
      <c r="AG798" s="273"/>
      <c r="AH798" s="273"/>
      <c r="AI798" s="273"/>
      <c r="AJ798" s="273"/>
      <c r="AK798" s="273"/>
      <c r="AL798" s="273"/>
      <c r="AM798" s="273"/>
      <c r="AN798" s="273"/>
      <c r="AO798" s="273"/>
      <c r="AP798" s="273"/>
      <c r="AQ798" s="273"/>
      <c r="AR798" s="273"/>
      <c r="AS798" s="273"/>
      <c r="AT798" s="273"/>
      <c r="AU798" s="273"/>
      <c r="AV798" s="273"/>
      <c r="AW798" s="273"/>
      <c r="AX798" s="273"/>
      <c r="AY798" s="273"/>
      <c r="AZ798" s="273"/>
      <c r="BA798" s="273"/>
      <c r="BB798" s="273"/>
      <c r="BC798" s="273"/>
      <c r="BD798" s="273"/>
      <c r="BE798" s="273"/>
      <c r="BF798" s="273"/>
      <c r="BG798" s="273"/>
      <c r="BH798" s="273"/>
      <c r="BI798" s="273"/>
      <c r="BJ798" s="273"/>
      <c r="BK798" s="273"/>
      <c r="BL798" s="273"/>
      <c r="BM798" s="273"/>
      <c r="BN798" s="273"/>
      <c r="BO798" s="273"/>
      <c r="BP798" s="273"/>
      <c r="BQ798" s="273"/>
      <c r="BR798" s="273"/>
      <c r="BS798" s="273"/>
      <c r="BT798" s="273"/>
      <c r="BU798" s="273"/>
      <c r="BV798" s="273"/>
      <c r="BW798" s="273"/>
      <c r="BX798" s="273"/>
      <c r="BY798" s="273"/>
      <c r="BZ798" s="273"/>
      <c r="CA798" s="273"/>
      <c r="CB798" s="273"/>
      <c r="CC798" s="273"/>
      <c r="CD798" s="273"/>
      <c r="CE798" s="273"/>
      <c r="CF798" s="273"/>
      <c r="CG798" s="273"/>
      <c r="CH798" s="273"/>
      <c r="CI798" s="273"/>
      <c r="CJ798" s="273"/>
      <c r="CK798" s="273"/>
      <c r="CL798" s="273"/>
      <c r="CM798" s="273"/>
      <c r="CN798" s="273"/>
      <c r="CO798" s="273"/>
    </row>
    <row r="799" spans="1:93">
      <c r="A799" s="10"/>
      <c r="B799" s="10"/>
      <c r="C799" s="10"/>
      <c r="D799" s="10"/>
      <c r="E799" s="10"/>
      <c r="F799" s="10"/>
      <c r="G799" s="11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  <c r="BB799" s="10"/>
      <c r="BC799" s="10"/>
      <c r="BD799" s="10"/>
      <c r="BE799" s="10"/>
      <c r="BF799" s="10"/>
      <c r="BG799" s="10"/>
      <c r="BH799" s="10"/>
      <c r="BI799" s="10"/>
      <c r="BJ799" s="10"/>
      <c r="BK799" s="10"/>
      <c r="BL799" s="10"/>
      <c r="BM799" s="10"/>
      <c r="BN799" s="10"/>
      <c r="BO799" s="10"/>
      <c r="BP799" s="10"/>
      <c r="BQ799" s="10"/>
      <c r="BR799" s="10"/>
      <c r="BS799" s="10"/>
      <c r="BT799" s="10"/>
      <c r="BU799" s="10"/>
      <c r="BV799" s="10"/>
      <c r="BW799" s="10"/>
      <c r="BX799" s="10"/>
      <c r="BY799" s="10"/>
      <c r="BZ799" s="10"/>
      <c r="CA799" s="10"/>
      <c r="CB799" s="10"/>
      <c r="CC799" s="10"/>
      <c r="CD799" s="10"/>
      <c r="CE799" s="10"/>
      <c r="CF799" s="10"/>
      <c r="CG799" s="10"/>
      <c r="CH799" s="10"/>
      <c r="CI799" s="10"/>
      <c r="CJ799" s="10"/>
      <c r="CK799" s="10"/>
      <c r="CL799" s="10"/>
      <c r="CM799" s="10"/>
      <c r="CN799" s="10"/>
      <c r="CO799" s="10"/>
    </row>
    <row r="800" spans="1:93" ht="16" thickBot="1">
      <c r="A800" s="10"/>
      <c r="B800" s="10"/>
      <c r="C800" s="12" t="s">
        <v>916</v>
      </c>
      <c r="D800" s="12"/>
      <c r="E800" s="12"/>
      <c r="F800" s="12"/>
      <c r="G800" s="362"/>
      <c r="H800" s="12"/>
      <c r="I800" s="12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  <c r="BB800" s="10"/>
      <c r="BC800" s="10"/>
      <c r="BD800" s="10"/>
      <c r="BE800" s="10"/>
      <c r="BF800" s="10"/>
      <c r="BG800" s="10"/>
      <c r="BH800" s="10"/>
      <c r="BI800" s="10"/>
      <c r="BJ800" s="10"/>
      <c r="BK800" s="10"/>
      <c r="BL800" s="10"/>
      <c r="BM800" s="10"/>
      <c r="BN800" s="10"/>
      <c r="BO800" s="10"/>
      <c r="BP800" s="10"/>
      <c r="BQ800" s="10"/>
      <c r="BR800" s="10"/>
      <c r="BS800" s="10"/>
      <c r="BT800" s="10"/>
      <c r="BU800" s="10"/>
      <c r="BV800" s="10"/>
      <c r="BW800" s="10"/>
      <c r="BX800" s="10"/>
      <c r="BY800" s="10"/>
      <c r="BZ800" s="10"/>
      <c r="CA800" s="10"/>
      <c r="CB800" s="10"/>
      <c r="CC800" s="10"/>
      <c r="CD800" s="10"/>
      <c r="CE800" s="10"/>
      <c r="CF800" s="10"/>
      <c r="CG800" s="10"/>
      <c r="CH800" s="10"/>
      <c r="CI800" s="10"/>
      <c r="CJ800" s="10"/>
      <c r="CK800" s="10"/>
      <c r="CL800" s="10"/>
      <c r="CM800" s="10"/>
      <c r="CN800" s="10"/>
      <c r="CO800" s="10"/>
    </row>
    <row r="801" spans="1:93">
      <c r="A801" s="10"/>
      <c r="B801" s="10"/>
      <c r="C801" s="10"/>
      <c r="D801" s="10"/>
      <c r="E801" s="59"/>
      <c r="F801" s="3"/>
      <c r="G801" s="142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  <c r="BB801" s="10"/>
      <c r="BC801" s="10"/>
      <c r="BD801" s="10"/>
      <c r="BE801" s="10"/>
      <c r="BF801" s="10"/>
      <c r="BG801" s="10"/>
      <c r="BH801" s="10"/>
      <c r="BI801" s="10"/>
      <c r="BJ801" s="10"/>
      <c r="BK801" s="10"/>
      <c r="BL801" s="10"/>
      <c r="BM801" s="10"/>
      <c r="BN801" s="10"/>
      <c r="BO801" s="10"/>
      <c r="BP801" s="10"/>
      <c r="BQ801" s="10"/>
      <c r="BR801" s="10"/>
      <c r="BS801" s="10"/>
      <c r="BT801" s="10"/>
      <c r="BU801" s="10"/>
      <c r="BV801" s="10"/>
      <c r="BW801" s="10"/>
      <c r="BX801" s="10"/>
      <c r="BY801" s="10"/>
      <c r="BZ801" s="10"/>
      <c r="CA801" s="10"/>
      <c r="CB801" s="10"/>
      <c r="CC801" s="10"/>
      <c r="CD801" s="10"/>
      <c r="CE801" s="10"/>
      <c r="CF801" s="10"/>
      <c r="CG801" s="10"/>
      <c r="CH801" s="10"/>
      <c r="CI801" s="10"/>
      <c r="CJ801" s="10"/>
      <c r="CK801" s="10"/>
      <c r="CL801" s="10"/>
      <c r="CM801" s="10"/>
      <c r="CN801" s="10"/>
      <c r="CO801" s="10"/>
    </row>
    <row r="802" spans="1:93">
      <c r="A802" s="10"/>
      <c r="B802" s="10"/>
      <c r="C802" s="41" t="s">
        <v>747</v>
      </c>
      <c r="D802" s="10"/>
      <c r="E802" s="59"/>
      <c r="F802" s="3"/>
      <c r="G802" s="142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  <c r="BB802" s="10"/>
      <c r="BC802" s="10"/>
      <c r="BD802" s="10"/>
      <c r="BE802" s="10"/>
      <c r="BF802" s="10"/>
      <c r="BG802" s="10"/>
      <c r="BH802" s="10"/>
      <c r="BI802" s="10"/>
      <c r="BJ802" s="10"/>
      <c r="BK802" s="10"/>
      <c r="BL802" s="10"/>
      <c r="BM802" s="10"/>
      <c r="BN802" s="10"/>
      <c r="BO802" s="10"/>
      <c r="BP802" s="10"/>
      <c r="BQ802" s="10"/>
      <c r="BR802" s="10"/>
      <c r="BS802" s="10"/>
      <c r="BT802" s="10"/>
      <c r="BU802" s="10"/>
      <c r="BV802" s="10"/>
      <c r="BW802" s="10"/>
      <c r="BX802" s="10"/>
      <c r="BY802" s="10"/>
      <c r="BZ802" s="10"/>
      <c r="CA802" s="10"/>
      <c r="CB802" s="10"/>
      <c r="CC802" s="10"/>
      <c r="CD802" s="10"/>
      <c r="CE802" s="10"/>
      <c r="CF802" s="10"/>
      <c r="CG802" s="10"/>
      <c r="CH802" s="10"/>
      <c r="CI802" s="10"/>
      <c r="CJ802" s="10"/>
      <c r="CK802" s="10"/>
      <c r="CL802" s="10"/>
      <c r="CM802" s="10"/>
      <c r="CN802" s="10"/>
      <c r="CO802" s="10"/>
    </row>
    <row r="803" spans="1:93">
      <c r="A803" s="10"/>
      <c r="B803" s="10"/>
      <c r="C803" s="17" t="s">
        <v>720</v>
      </c>
      <c r="D803" s="10"/>
      <c r="E803" s="178">
        <f xml:space="preserve"> Предпосылки!E490</f>
        <v>0.15</v>
      </c>
      <c r="F803" s="3"/>
      <c r="G803" s="142" t="s">
        <v>28</v>
      </c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  <c r="BB803" s="10"/>
      <c r="BC803" s="10"/>
      <c r="BD803" s="10"/>
      <c r="BE803" s="10"/>
      <c r="BF803" s="10"/>
      <c r="BG803" s="10"/>
      <c r="BH803" s="10"/>
      <c r="BI803" s="10"/>
      <c r="BJ803" s="10"/>
      <c r="BK803" s="10"/>
      <c r="BL803" s="10"/>
      <c r="BM803" s="10"/>
      <c r="BN803" s="10"/>
      <c r="BO803" s="10"/>
      <c r="BP803" s="10"/>
      <c r="BQ803" s="10"/>
      <c r="BR803" s="10"/>
      <c r="BS803" s="10"/>
      <c r="BT803" s="10"/>
      <c r="BU803" s="10"/>
      <c r="BV803" s="10"/>
      <c r="BW803" s="10"/>
      <c r="BX803" s="10"/>
      <c r="BY803" s="10"/>
      <c r="BZ803" s="10"/>
      <c r="CA803" s="10"/>
      <c r="CB803" s="10"/>
      <c r="CC803" s="10"/>
      <c r="CD803" s="10"/>
      <c r="CE803" s="10"/>
      <c r="CF803" s="10"/>
      <c r="CG803" s="10"/>
      <c r="CH803" s="10"/>
      <c r="CI803" s="10"/>
      <c r="CJ803" s="10"/>
      <c r="CK803" s="10"/>
      <c r="CL803" s="10"/>
      <c r="CM803" s="10"/>
      <c r="CN803" s="10"/>
      <c r="CO803" s="10"/>
    </row>
    <row r="804" spans="1:93">
      <c r="A804" s="10"/>
      <c r="B804" s="10"/>
      <c r="C804" s="17" t="s">
        <v>721</v>
      </c>
      <c r="D804" s="10"/>
      <c r="E804" s="178">
        <f xml:space="preserve"> Предпосылки!E491</f>
        <v>0.22404342404371011</v>
      </c>
      <c r="F804" s="3"/>
      <c r="G804" s="142" t="s">
        <v>28</v>
      </c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  <c r="BB804" s="10"/>
      <c r="BC804" s="10"/>
      <c r="BD804" s="10"/>
      <c r="BE804" s="10"/>
      <c r="BF804" s="10"/>
      <c r="BG804" s="10"/>
      <c r="BH804" s="10"/>
      <c r="BI804" s="10"/>
      <c r="BJ804" s="10"/>
      <c r="BK804" s="10"/>
      <c r="BL804" s="10"/>
      <c r="BM804" s="10"/>
      <c r="BN804" s="10"/>
      <c r="BO804" s="10"/>
      <c r="BP804" s="10"/>
      <c r="BQ804" s="10"/>
      <c r="BR804" s="10"/>
      <c r="BS804" s="10"/>
      <c r="BT804" s="10"/>
      <c r="BU804" s="10"/>
      <c r="BV804" s="10"/>
      <c r="BW804" s="10"/>
      <c r="BX804" s="10"/>
      <c r="BY804" s="10"/>
      <c r="BZ804" s="10"/>
      <c r="CA804" s="10"/>
      <c r="CB804" s="10"/>
      <c r="CC804" s="10"/>
      <c r="CD804" s="10"/>
      <c r="CE804" s="10"/>
      <c r="CF804" s="10"/>
      <c r="CG804" s="10"/>
      <c r="CH804" s="10"/>
      <c r="CI804" s="10"/>
      <c r="CJ804" s="10"/>
      <c r="CK804" s="10"/>
      <c r="CL804" s="10"/>
      <c r="CM804" s="10"/>
      <c r="CN804" s="10"/>
      <c r="CO804" s="10"/>
    </row>
    <row r="805" spans="1:93">
      <c r="A805" s="10"/>
      <c r="B805" s="10"/>
      <c r="C805" s="10"/>
      <c r="D805" s="10"/>
      <c r="E805" s="59"/>
      <c r="F805" s="3"/>
      <c r="G805" s="142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  <c r="BB805" s="10"/>
      <c r="BC805" s="10"/>
      <c r="BD805" s="10"/>
      <c r="BE805" s="10"/>
      <c r="BF805" s="10"/>
      <c r="BG805" s="10"/>
      <c r="BH805" s="10"/>
      <c r="BI805" s="10"/>
      <c r="BJ805" s="10"/>
      <c r="BK805" s="10"/>
      <c r="BL805" s="10"/>
      <c r="BM805" s="10"/>
      <c r="BN805" s="10"/>
      <c r="BO805" s="10"/>
      <c r="BP805" s="10"/>
      <c r="BQ805" s="10"/>
      <c r="BR805" s="10"/>
      <c r="BS805" s="10"/>
      <c r="BT805" s="10"/>
      <c r="BU805" s="10"/>
      <c r="BV805" s="10"/>
      <c r="BW805" s="10"/>
      <c r="BX805" s="10"/>
      <c r="BY805" s="10"/>
      <c r="BZ805" s="10"/>
      <c r="CA805" s="10"/>
      <c r="CB805" s="10"/>
      <c r="CC805" s="10"/>
      <c r="CD805" s="10"/>
      <c r="CE805" s="10"/>
      <c r="CF805" s="10"/>
      <c r="CG805" s="10"/>
      <c r="CH805" s="10"/>
      <c r="CI805" s="10"/>
      <c r="CJ805" s="10"/>
      <c r="CK805" s="10"/>
      <c r="CL805" s="10"/>
      <c r="CM805" s="10"/>
      <c r="CN805" s="10"/>
      <c r="CO805" s="10"/>
    </row>
    <row r="806" spans="1:93">
      <c r="A806" s="10"/>
      <c r="B806" s="10"/>
      <c r="C806" s="41" t="s">
        <v>748</v>
      </c>
      <c r="D806" s="10"/>
      <c r="E806" s="59"/>
      <c r="F806" s="3"/>
      <c r="G806" s="142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  <c r="BB806" s="10"/>
      <c r="BC806" s="10"/>
      <c r="BD806" s="10"/>
      <c r="BE806" s="10"/>
      <c r="BF806" s="10"/>
      <c r="BG806" s="10"/>
      <c r="BH806" s="10"/>
      <c r="BI806" s="10"/>
      <c r="BJ806" s="10"/>
      <c r="BK806" s="10"/>
      <c r="BL806" s="10"/>
      <c r="BM806" s="10"/>
      <c r="BN806" s="10"/>
      <c r="BO806" s="10"/>
      <c r="BP806" s="10"/>
      <c r="BQ806" s="10"/>
      <c r="BR806" s="10"/>
      <c r="BS806" s="10"/>
      <c r="BT806" s="10"/>
      <c r="BU806" s="10"/>
      <c r="BV806" s="10"/>
      <c r="BW806" s="10"/>
      <c r="BX806" s="10"/>
      <c r="BY806" s="10"/>
      <c r="BZ806" s="10"/>
      <c r="CA806" s="10"/>
      <c r="CB806" s="10"/>
      <c r="CC806" s="10"/>
      <c r="CD806" s="10"/>
      <c r="CE806" s="10"/>
      <c r="CF806" s="10"/>
      <c r="CG806" s="10"/>
      <c r="CH806" s="10"/>
      <c r="CI806" s="10"/>
      <c r="CJ806" s="10"/>
      <c r="CK806" s="10"/>
      <c r="CL806" s="10"/>
      <c r="CM806" s="10"/>
      <c r="CN806" s="10"/>
      <c r="CO806" s="10"/>
    </row>
    <row r="807" spans="1:93">
      <c r="A807" s="10"/>
      <c r="B807" s="10"/>
      <c r="C807" s="17" t="s">
        <v>722</v>
      </c>
      <c r="D807" s="10"/>
      <c r="E807" s="178">
        <f>Предпосылки!E494</f>
        <v>0.3</v>
      </c>
      <c r="F807" s="3"/>
      <c r="G807" s="142" t="s">
        <v>28</v>
      </c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  <c r="BB807" s="10"/>
      <c r="BC807" s="10"/>
      <c r="BD807" s="10"/>
      <c r="BE807" s="10"/>
      <c r="BF807" s="10"/>
      <c r="BG807" s="10"/>
      <c r="BH807" s="10"/>
      <c r="BI807" s="10"/>
      <c r="BJ807" s="10"/>
      <c r="BK807" s="10"/>
      <c r="BL807" s="10"/>
      <c r="BM807" s="10"/>
      <c r="BN807" s="10"/>
      <c r="BO807" s="10"/>
      <c r="BP807" s="10"/>
      <c r="BQ807" s="10"/>
      <c r="BR807" s="10"/>
      <c r="BS807" s="10"/>
      <c r="BT807" s="10"/>
      <c r="BU807" s="10"/>
      <c r="BV807" s="10"/>
      <c r="BW807" s="10"/>
      <c r="BX807" s="10"/>
      <c r="BY807" s="10"/>
      <c r="BZ807" s="10"/>
      <c r="CA807" s="10"/>
      <c r="CB807" s="10"/>
      <c r="CC807" s="10"/>
      <c r="CD807" s="10"/>
      <c r="CE807" s="10"/>
      <c r="CF807" s="10"/>
      <c r="CG807" s="10"/>
      <c r="CH807" s="10"/>
      <c r="CI807" s="10"/>
      <c r="CJ807" s="10"/>
      <c r="CK807" s="10"/>
      <c r="CL807" s="10"/>
      <c r="CM807" s="10"/>
      <c r="CN807" s="10"/>
      <c r="CO807" s="10"/>
    </row>
    <row r="808" spans="1:93">
      <c r="A808" s="10"/>
      <c r="B808" s="10"/>
      <c r="C808" s="17" t="s">
        <v>720</v>
      </c>
      <c r="D808" s="10"/>
      <c r="E808" s="178">
        <f>Предпосылки!E495</f>
        <v>0.15</v>
      </c>
      <c r="F808" s="3"/>
      <c r="G808" s="142" t="s">
        <v>28</v>
      </c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  <c r="BB808" s="10"/>
      <c r="BC808" s="10"/>
      <c r="BD808" s="10"/>
      <c r="BE808" s="10"/>
      <c r="BF808" s="10"/>
      <c r="BG808" s="10"/>
      <c r="BH808" s="10"/>
      <c r="BI808" s="10"/>
      <c r="BJ808" s="10"/>
      <c r="BK808" s="10"/>
      <c r="BL808" s="10"/>
      <c r="BM808" s="10"/>
      <c r="BN808" s="10"/>
      <c r="BO808" s="10"/>
      <c r="BP808" s="10"/>
      <c r="BQ808" s="10"/>
      <c r="BR808" s="10"/>
      <c r="BS808" s="10"/>
      <c r="BT808" s="10"/>
      <c r="BU808" s="10"/>
      <c r="BV808" s="10"/>
      <c r="BW808" s="10"/>
      <c r="BX808" s="10"/>
      <c r="BY808" s="10"/>
      <c r="BZ808" s="10"/>
      <c r="CA808" s="10"/>
      <c r="CB808" s="10"/>
      <c r="CC808" s="10"/>
      <c r="CD808" s="10"/>
      <c r="CE808" s="10"/>
      <c r="CF808" s="10"/>
      <c r="CG808" s="10"/>
      <c r="CH808" s="10"/>
      <c r="CI808" s="10"/>
      <c r="CJ808" s="10"/>
      <c r="CK808" s="10"/>
      <c r="CL808" s="10"/>
      <c r="CM808" s="10"/>
      <c r="CN808" s="10"/>
      <c r="CO808" s="10"/>
    </row>
    <row r="809" spans="1:93">
      <c r="A809" s="10"/>
      <c r="B809" s="10"/>
      <c r="C809" s="17" t="s">
        <v>721</v>
      </c>
      <c r="D809" s="10"/>
      <c r="E809" s="178">
        <f>Предпосылки!E496</f>
        <v>0.14827856991621452</v>
      </c>
      <c r="F809" s="3"/>
      <c r="G809" s="142" t="s">
        <v>28</v>
      </c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  <c r="BB809" s="10"/>
      <c r="BC809" s="10"/>
      <c r="BD809" s="10"/>
      <c r="BE809" s="10"/>
      <c r="BF809" s="10"/>
      <c r="BG809" s="10"/>
      <c r="BH809" s="10"/>
      <c r="BI809" s="10"/>
      <c r="BJ809" s="10"/>
      <c r="BK809" s="10"/>
      <c r="BL809" s="10"/>
      <c r="BM809" s="10"/>
      <c r="BN809" s="10"/>
      <c r="BO809" s="10"/>
      <c r="BP809" s="10"/>
      <c r="BQ809" s="10"/>
      <c r="BR809" s="10"/>
      <c r="BS809" s="10"/>
      <c r="BT809" s="10"/>
      <c r="BU809" s="10"/>
      <c r="BV809" s="10"/>
      <c r="BW809" s="10"/>
      <c r="BX809" s="10"/>
      <c r="BY809" s="10"/>
      <c r="BZ809" s="10"/>
      <c r="CA809" s="10"/>
      <c r="CB809" s="10"/>
      <c r="CC809" s="10"/>
      <c r="CD809" s="10"/>
      <c r="CE809" s="10"/>
      <c r="CF809" s="10"/>
      <c r="CG809" s="10"/>
      <c r="CH809" s="10"/>
      <c r="CI809" s="10"/>
      <c r="CJ809" s="10"/>
      <c r="CK809" s="10"/>
      <c r="CL809" s="10"/>
      <c r="CM809" s="10"/>
      <c r="CN809" s="10"/>
      <c r="CO809" s="10"/>
    </row>
    <row r="810" spans="1:93">
      <c r="A810" s="10"/>
      <c r="B810" s="10"/>
      <c r="C810" s="10"/>
      <c r="D810" s="10"/>
      <c r="E810" s="10"/>
      <c r="F810" s="10"/>
      <c r="G810" s="11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  <c r="BB810" s="10"/>
      <c r="BC810" s="10"/>
      <c r="BD810" s="10"/>
      <c r="BE810" s="10"/>
      <c r="BF810" s="10"/>
      <c r="BG810" s="10"/>
      <c r="BH810" s="10"/>
      <c r="BI810" s="10"/>
      <c r="BJ810" s="10"/>
      <c r="BK810" s="10"/>
      <c r="BL810" s="10"/>
      <c r="BM810" s="10"/>
      <c r="BN810" s="10"/>
      <c r="BO810" s="10"/>
      <c r="BP810" s="10"/>
      <c r="BQ810" s="10"/>
      <c r="BR810" s="10"/>
      <c r="BS810" s="10"/>
      <c r="BT810" s="10"/>
      <c r="BU810" s="10"/>
      <c r="BV810" s="10"/>
      <c r="BW810" s="10"/>
      <c r="BX810" s="10"/>
      <c r="BY810" s="10"/>
      <c r="BZ810" s="10"/>
      <c r="CA810" s="10"/>
      <c r="CB810" s="10"/>
      <c r="CC810" s="10"/>
      <c r="CD810" s="10"/>
      <c r="CE810" s="10"/>
      <c r="CF810" s="10"/>
      <c r="CG810" s="10"/>
      <c r="CH810" s="10"/>
      <c r="CI810" s="10"/>
      <c r="CJ810" s="10"/>
      <c r="CK810" s="10"/>
      <c r="CL810" s="10"/>
      <c r="CM810" s="10"/>
      <c r="CN810" s="10"/>
      <c r="CO810" s="10"/>
    </row>
    <row r="811" spans="1:93">
      <c r="A811" s="10"/>
      <c r="B811" s="10"/>
      <c r="C811" s="41" t="s">
        <v>749</v>
      </c>
      <c r="D811" s="10"/>
      <c r="E811" s="59"/>
      <c r="F811" s="3"/>
      <c r="G811" s="142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  <c r="BB811" s="10"/>
      <c r="BC811" s="10"/>
      <c r="BD811" s="10"/>
      <c r="BE811" s="10"/>
      <c r="BF811" s="10"/>
      <c r="BG811" s="10"/>
      <c r="BH811" s="10"/>
      <c r="BI811" s="10"/>
      <c r="BJ811" s="10"/>
      <c r="BK811" s="10"/>
      <c r="BL811" s="10"/>
      <c r="BM811" s="10"/>
      <c r="BN811" s="10"/>
      <c r="BO811" s="10"/>
      <c r="BP811" s="10"/>
      <c r="BQ811" s="10"/>
      <c r="BR811" s="10"/>
      <c r="BS811" s="10"/>
      <c r="BT811" s="10"/>
      <c r="BU811" s="10"/>
      <c r="BV811" s="10"/>
      <c r="BW811" s="10"/>
      <c r="BX811" s="10"/>
      <c r="BY811" s="10"/>
      <c r="BZ811" s="10"/>
      <c r="CA811" s="10"/>
      <c r="CB811" s="10"/>
      <c r="CC811" s="10"/>
      <c r="CD811" s="10"/>
      <c r="CE811" s="10"/>
      <c r="CF811" s="10"/>
      <c r="CG811" s="10"/>
      <c r="CH811" s="10"/>
      <c r="CI811" s="10"/>
      <c r="CJ811" s="10"/>
      <c r="CK811" s="10"/>
      <c r="CL811" s="10"/>
      <c r="CM811" s="10"/>
      <c r="CN811" s="10"/>
      <c r="CO811" s="10"/>
    </row>
    <row r="812" spans="1:93">
      <c r="A812" s="10"/>
      <c r="B812" s="10"/>
      <c r="C812" s="17" t="s">
        <v>722</v>
      </c>
      <c r="D812" s="10"/>
      <c r="E812" s="178">
        <f xml:space="preserve"> Предпосылки!E499</f>
        <v>0.11</v>
      </c>
      <c r="F812" s="3"/>
      <c r="G812" s="142" t="s">
        <v>28</v>
      </c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  <c r="BB812" s="10"/>
      <c r="BC812" s="10"/>
      <c r="BD812" s="10"/>
      <c r="BE812" s="10"/>
      <c r="BF812" s="10"/>
      <c r="BG812" s="10"/>
      <c r="BH812" s="10"/>
      <c r="BI812" s="10"/>
      <c r="BJ812" s="10"/>
      <c r="BK812" s="10"/>
      <c r="BL812" s="10"/>
      <c r="BM812" s="10"/>
      <c r="BN812" s="10"/>
      <c r="BO812" s="10"/>
      <c r="BP812" s="10"/>
      <c r="BQ812" s="10"/>
      <c r="BR812" s="10"/>
      <c r="BS812" s="10"/>
      <c r="BT812" s="10"/>
      <c r="BU812" s="10"/>
      <c r="BV812" s="10"/>
      <c r="BW812" s="10"/>
      <c r="BX812" s="10"/>
      <c r="BY812" s="10"/>
      <c r="BZ812" s="10"/>
      <c r="CA812" s="10"/>
      <c r="CB812" s="10"/>
      <c r="CC812" s="10"/>
      <c r="CD812" s="10"/>
      <c r="CE812" s="10"/>
      <c r="CF812" s="10"/>
      <c r="CG812" s="10"/>
      <c r="CH812" s="10"/>
      <c r="CI812" s="10"/>
      <c r="CJ812" s="10"/>
      <c r="CK812" s="10"/>
      <c r="CL812" s="10"/>
      <c r="CM812" s="10"/>
      <c r="CN812" s="10"/>
      <c r="CO812" s="10"/>
    </row>
    <row r="813" spans="1:93">
      <c r="A813" s="10"/>
      <c r="B813" s="10"/>
      <c r="C813" s="17" t="s">
        <v>721</v>
      </c>
      <c r="D813" s="10"/>
      <c r="E813" s="178">
        <f xml:space="preserve"> Предпосылки!E500</f>
        <v>0.10473674238071588</v>
      </c>
      <c r="F813" s="3"/>
      <c r="G813" s="142" t="s">
        <v>28</v>
      </c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  <c r="BB813" s="10"/>
      <c r="BC813" s="10"/>
      <c r="BD813" s="10"/>
      <c r="BE813" s="10"/>
      <c r="BF813" s="10"/>
      <c r="BG813" s="10"/>
      <c r="BH813" s="10"/>
      <c r="BI813" s="10"/>
      <c r="BJ813" s="10"/>
      <c r="BK813" s="10"/>
      <c r="BL813" s="10"/>
      <c r="BM813" s="10"/>
      <c r="BN813" s="10"/>
      <c r="BO813" s="10"/>
      <c r="BP813" s="10"/>
      <c r="BQ813" s="10"/>
      <c r="BR813" s="10"/>
      <c r="BS813" s="10"/>
      <c r="BT813" s="10"/>
      <c r="BU813" s="10"/>
      <c r="BV813" s="10"/>
      <c r="BW813" s="10"/>
      <c r="BX813" s="10"/>
      <c r="BY813" s="10"/>
      <c r="BZ813" s="10"/>
      <c r="CA813" s="10"/>
      <c r="CB813" s="10"/>
      <c r="CC813" s="10"/>
      <c r="CD813" s="10"/>
      <c r="CE813" s="10"/>
      <c r="CF813" s="10"/>
      <c r="CG813" s="10"/>
      <c r="CH813" s="10"/>
      <c r="CI813" s="10"/>
      <c r="CJ813" s="10"/>
      <c r="CK813" s="10"/>
      <c r="CL813" s="10"/>
      <c r="CM813" s="10"/>
      <c r="CN813" s="10"/>
      <c r="CO813" s="10"/>
    </row>
    <row r="814" spans="1:93">
      <c r="A814" s="10"/>
      <c r="B814" s="10"/>
      <c r="C814" s="10"/>
      <c r="D814" s="10"/>
      <c r="E814" s="59"/>
      <c r="F814" s="3"/>
      <c r="G814" s="142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  <c r="BB814" s="10"/>
      <c r="BC814" s="10"/>
      <c r="BD814" s="10"/>
      <c r="BE814" s="10"/>
      <c r="BF814" s="10"/>
      <c r="BG814" s="10"/>
      <c r="BH814" s="10"/>
      <c r="BI814" s="10"/>
      <c r="BJ814" s="10"/>
      <c r="BK814" s="10"/>
      <c r="BL814" s="10"/>
      <c r="BM814" s="10"/>
      <c r="BN814" s="10"/>
      <c r="BO814" s="10"/>
      <c r="BP814" s="10"/>
      <c r="BQ814" s="10"/>
      <c r="BR814" s="10"/>
      <c r="BS814" s="10"/>
      <c r="BT814" s="10"/>
      <c r="BU814" s="10"/>
      <c r="BV814" s="10"/>
      <c r="BW814" s="10"/>
      <c r="BX814" s="10"/>
      <c r="BY814" s="10"/>
      <c r="BZ814" s="10"/>
      <c r="CA814" s="10"/>
      <c r="CB814" s="10"/>
      <c r="CC814" s="10"/>
      <c r="CD814" s="10"/>
      <c r="CE814" s="10"/>
      <c r="CF814" s="10"/>
      <c r="CG814" s="10"/>
      <c r="CH814" s="10"/>
      <c r="CI814" s="10"/>
      <c r="CJ814" s="10"/>
      <c r="CK814" s="10"/>
      <c r="CL814" s="10"/>
      <c r="CM814" s="10"/>
      <c r="CN814" s="10"/>
      <c r="CO814" s="10"/>
    </row>
    <row r="815" spans="1:93">
      <c r="A815" s="10"/>
      <c r="B815" s="10"/>
      <c r="C815" s="41" t="s">
        <v>1063</v>
      </c>
      <c r="D815" s="10"/>
      <c r="E815" s="59"/>
      <c r="F815" s="3"/>
      <c r="G815" s="142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  <c r="BB815" s="10"/>
      <c r="BC815" s="10"/>
      <c r="BD815" s="10"/>
      <c r="BE815" s="10"/>
      <c r="BF815" s="10"/>
      <c r="BG815" s="10"/>
      <c r="BH815" s="10"/>
      <c r="BI815" s="10"/>
      <c r="BJ815" s="10"/>
      <c r="BK815" s="10"/>
      <c r="BL815" s="10"/>
      <c r="BM815" s="10"/>
      <c r="BN815" s="10"/>
      <c r="BO815" s="10"/>
      <c r="BP815" s="10"/>
      <c r="BQ815" s="10"/>
      <c r="BR815" s="10"/>
      <c r="BS815" s="10"/>
      <c r="BT815" s="10"/>
      <c r="BU815" s="10"/>
      <c r="BV815" s="10"/>
      <c r="BW815" s="10"/>
      <c r="BX815" s="10"/>
      <c r="BY815" s="10"/>
      <c r="BZ815" s="10"/>
      <c r="CA815" s="10"/>
      <c r="CB815" s="10"/>
      <c r="CC815" s="10"/>
      <c r="CD815" s="10"/>
      <c r="CE815" s="10"/>
      <c r="CF815" s="10"/>
      <c r="CG815" s="10"/>
      <c r="CH815" s="10"/>
      <c r="CI815" s="10"/>
      <c r="CJ815" s="10"/>
      <c r="CK815" s="10"/>
      <c r="CL815" s="10"/>
      <c r="CM815" s="10"/>
      <c r="CN815" s="10"/>
      <c r="CO815" s="10"/>
    </row>
    <row r="816" spans="1:93">
      <c r="A816" s="10"/>
      <c r="B816" s="10"/>
      <c r="C816" s="17" t="s">
        <v>1056</v>
      </c>
      <c r="D816" s="10"/>
      <c r="E816" s="178">
        <f>Предпосылки!$E$666</f>
        <v>0.22</v>
      </c>
      <c r="F816" s="3"/>
      <c r="G816" s="142" t="s">
        <v>28</v>
      </c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  <c r="BB816" s="10"/>
      <c r="BC816" s="10"/>
      <c r="BD816" s="10"/>
      <c r="BE816" s="10"/>
      <c r="BF816" s="10"/>
      <c r="BG816" s="10"/>
      <c r="BH816" s="10"/>
      <c r="BI816" s="10"/>
      <c r="BJ816" s="10"/>
      <c r="BK816" s="10"/>
      <c r="BL816" s="10"/>
      <c r="BM816" s="10"/>
      <c r="BN816" s="10"/>
      <c r="BO816" s="10"/>
      <c r="BP816" s="10"/>
      <c r="BQ816" s="10"/>
      <c r="BR816" s="10"/>
      <c r="BS816" s="10"/>
      <c r="BT816" s="10"/>
      <c r="BU816" s="10"/>
      <c r="BV816" s="10"/>
      <c r="BW816" s="10"/>
      <c r="BX816" s="10"/>
      <c r="BY816" s="10"/>
      <c r="BZ816" s="10"/>
      <c r="CA816" s="10"/>
      <c r="CB816" s="10"/>
      <c r="CC816" s="10"/>
      <c r="CD816" s="10"/>
      <c r="CE816" s="10"/>
      <c r="CF816" s="10"/>
      <c r="CG816" s="10"/>
      <c r="CH816" s="10"/>
      <c r="CI816" s="10"/>
      <c r="CJ816" s="10"/>
      <c r="CK816" s="10"/>
      <c r="CL816" s="10"/>
      <c r="CM816" s="10"/>
      <c r="CN816" s="10"/>
      <c r="CO816" s="10"/>
    </row>
    <row r="817" spans="1:93">
      <c r="A817" s="10"/>
      <c r="B817" s="10"/>
      <c r="C817" s="17" t="s">
        <v>1057</v>
      </c>
      <c r="D817" s="10"/>
      <c r="E817" s="178">
        <f>Предпосылки!$E$667</f>
        <v>2.9000000000000001E-2</v>
      </c>
      <c r="F817" s="3"/>
      <c r="G817" s="142" t="s">
        <v>28</v>
      </c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  <c r="BB817" s="10"/>
      <c r="BC817" s="10"/>
      <c r="BD817" s="10"/>
      <c r="BE817" s="10"/>
      <c r="BF817" s="10"/>
      <c r="BG817" s="10"/>
      <c r="BH817" s="10"/>
      <c r="BI817" s="10"/>
      <c r="BJ817" s="10"/>
      <c r="BK817" s="10"/>
      <c r="BL817" s="10"/>
      <c r="BM817" s="10"/>
      <c r="BN817" s="10"/>
      <c r="BO817" s="10"/>
      <c r="BP817" s="10"/>
      <c r="BQ817" s="10"/>
      <c r="BR817" s="10"/>
      <c r="BS817" s="10"/>
      <c r="BT817" s="10"/>
      <c r="BU817" s="10"/>
      <c r="BV817" s="10"/>
      <c r="BW817" s="10"/>
      <c r="BX817" s="10"/>
      <c r="BY817" s="10"/>
      <c r="BZ817" s="10"/>
      <c r="CA817" s="10"/>
      <c r="CB817" s="10"/>
      <c r="CC817" s="10"/>
      <c r="CD817" s="10"/>
      <c r="CE817" s="10"/>
      <c r="CF817" s="10"/>
      <c r="CG817" s="10"/>
      <c r="CH817" s="10"/>
      <c r="CI817" s="10"/>
      <c r="CJ817" s="10"/>
      <c r="CK817" s="10"/>
      <c r="CL817" s="10"/>
      <c r="CM817" s="10"/>
      <c r="CN817" s="10"/>
      <c r="CO817" s="10"/>
    </row>
    <row r="818" spans="1:93">
      <c r="A818" s="10"/>
      <c r="B818" s="10"/>
      <c r="C818" s="17" t="s">
        <v>1058</v>
      </c>
      <c r="D818" s="10"/>
      <c r="E818" s="178">
        <f>Предпосылки!$E$668</f>
        <v>5.0999999999999997E-2</v>
      </c>
      <c r="F818" s="3"/>
      <c r="G818" s="142" t="s">
        <v>28</v>
      </c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  <c r="BB818" s="10"/>
      <c r="BC818" s="10"/>
      <c r="BD818" s="10"/>
      <c r="BE818" s="10"/>
      <c r="BF818" s="10"/>
      <c r="BG818" s="10"/>
      <c r="BH818" s="10"/>
      <c r="BI818" s="10"/>
      <c r="BJ818" s="10"/>
      <c r="BK818" s="10"/>
      <c r="BL818" s="10"/>
      <c r="BM818" s="10"/>
      <c r="BN818" s="10"/>
      <c r="BO818" s="10"/>
      <c r="BP818" s="10"/>
      <c r="BQ818" s="10"/>
      <c r="BR818" s="10"/>
      <c r="BS818" s="10"/>
      <c r="BT818" s="10"/>
      <c r="BU818" s="10"/>
      <c r="BV818" s="10"/>
      <c r="BW818" s="10"/>
      <c r="BX818" s="10"/>
      <c r="BY818" s="10"/>
      <c r="BZ818" s="10"/>
      <c r="CA818" s="10"/>
      <c r="CB818" s="10"/>
      <c r="CC818" s="10"/>
      <c r="CD818" s="10"/>
      <c r="CE818" s="10"/>
      <c r="CF818" s="10"/>
      <c r="CG818" s="10"/>
      <c r="CH818" s="10"/>
      <c r="CI818" s="10"/>
      <c r="CJ818" s="10"/>
      <c r="CK818" s="10"/>
      <c r="CL818" s="10"/>
      <c r="CM818" s="10"/>
      <c r="CN818" s="10"/>
      <c r="CO818" s="10"/>
    </row>
    <row r="819" spans="1:93">
      <c r="A819" s="10"/>
      <c r="B819" s="10"/>
      <c r="C819" s="17" t="s">
        <v>1059</v>
      </c>
      <c r="D819" s="10"/>
      <c r="E819" s="178">
        <f>Предпосылки!$E$669</f>
        <v>2E-3</v>
      </c>
      <c r="F819" s="3"/>
      <c r="G819" s="142" t="s">
        <v>28</v>
      </c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  <c r="BB819" s="10"/>
      <c r="BC819" s="10"/>
      <c r="BD819" s="10"/>
      <c r="BE819" s="10"/>
      <c r="BF819" s="10"/>
      <c r="BG819" s="10"/>
      <c r="BH819" s="10"/>
      <c r="BI819" s="10"/>
      <c r="BJ819" s="10"/>
      <c r="BK819" s="10"/>
      <c r="BL819" s="10"/>
      <c r="BM819" s="10"/>
      <c r="BN819" s="10"/>
      <c r="BO819" s="10"/>
      <c r="BP819" s="10"/>
      <c r="BQ819" s="10"/>
      <c r="BR819" s="10"/>
      <c r="BS819" s="10"/>
      <c r="BT819" s="10"/>
      <c r="BU819" s="10"/>
      <c r="BV819" s="10"/>
      <c r="BW819" s="10"/>
      <c r="BX819" s="10"/>
      <c r="BY819" s="10"/>
      <c r="BZ819" s="10"/>
      <c r="CA819" s="10"/>
      <c r="CB819" s="10"/>
      <c r="CC819" s="10"/>
      <c r="CD819" s="10"/>
      <c r="CE819" s="10"/>
      <c r="CF819" s="10"/>
      <c r="CG819" s="10"/>
      <c r="CH819" s="10"/>
      <c r="CI819" s="10"/>
      <c r="CJ819" s="10"/>
      <c r="CK819" s="10"/>
      <c r="CL819" s="10"/>
      <c r="CM819" s="10"/>
      <c r="CN819" s="10"/>
      <c r="CO819" s="10"/>
    </row>
    <row r="820" spans="1:93">
      <c r="A820" s="10"/>
      <c r="B820" s="10"/>
      <c r="C820" s="10"/>
      <c r="D820" s="10"/>
      <c r="E820" s="59"/>
      <c r="F820" s="3"/>
      <c r="G820" s="142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  <c r="BB820" s="10"/>
      <c r="BC820" s="10"/>
      <c r="BD820" s="10"/>
      <c r="BE820" s="10"/>
      <c r="BF820" s="10"/>
      <c r="BG820" s="10"/>
      <c r="BH820" s="10"/>
      <c r="BI820" s="10"/>
      <c r="BJ820" s="10"/>
      <c r="BK820" s="10"/>
      <c r="BL820" s="10"/>
      <c r="BM820" s="10"/>
      <c r="BN820" s="10"/>
      <c r="BO820" s="10"/>
      <c r="BP820" s="10"/>
      <c r="BQ820" s="10"/>
      <c r="BR820" s="10"/>
      <c r="BS820" s="10"/>
      <c r="BT820" s="10"/>
      <c r="BU820" s="10"/>
      <c r="BV820" s="10"/>
      <c r="BW820" s="10"/>
      <c r="BX820" s="10"/>
      <c r="BY820" s="10"/>
      <c r="BZ820" s="10"/>
      <c r="CA820" s="10"/>
      <c r="CB820" s="10"/>
      <c r="CC820" s="10"/>
      <c r="CD820" s="10"/>
      <c r="CE820" s="10"/>
      <c r="CF820" s="10"/>
      <c r="CG820" s="10"/>
      <c r="CH820" s="10"/>
      <c r="CI820" s="10"/>
      <c r="CJ820" s="10"/>
      <c r="CK820" s="10"/>
      <c r="CL820" s="10"/>
      <c r="CM820" s="10"/>
      <c r="CN820" s="10"/>
      <c r="CO820" s="10"/>
    </row>
    <row r="821" spans="1:93" ht="16" thickBot="1">
      <c r="A821" s="10"/>
      <c r="B821" s="10"/>
      <c r="C821" s="12" t="s">
        <v>917</v>
      </c>
      <c r="D821" s="12"/>
      <c r="E821" s="12"/>
      <c r="F821" s="12"/>
      <c r="G821" s="362"/>
      <c r="H821" s="12"/>
      <c r="I821" s="12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  <c r="BB821" s="10"/>
      <c r="BC821" s="10"/>
      <c r="BD821" s="10"/>
      <c r="BE821" s="10"/>
      <c r="BF821" s="10"/>
      <c r="BG821" s="10"/>
      <c r="BH821" s="10"/>
      <c r="BI821" s="10"/>
      <c r="BJ821" s="10"/>
      <c r="BK821" s="10"/>
      <c r="BL821" s="10"/>
      <c r="BM821" s="10"/>
      <c r="BN821" s="10"/>
      <c r="BO821" s="10"/>
      <c r="BP821" s="10"/>
      <c r="BQ821" s="10"/>
      <c r="BR821" s="10"/>
      <c r="BS821" s="10"/>
      <c r="BT821" s="10"/>
      <c r="BU821" s="10"/>
      <c r="BV821" s="10"/>
      <c r="BW821" s="10"/>
      <c r="BX821" s="10"/>
      <c r="BY821" s="10"/>
      <c r="BZ821" s="10"/>
      <c r="CA821" s="10"/>
      <c r="CB821" s="10"/>
      <c r="CC821" s="10"/>
      <c r="CD821" s="10"/>
      <c r="CE821" s="10"/>
      <c r="CF821" s="10"/>
      <c r="CG821" s="10"/>
      <c r="CH821" s="10"/>
      <c r="CI821" s="10"/>
      <c r="CJ821" s="10"/>
      <c r="CK821" s="10"/>
      <c r="CL821" s="10"/>
      <c r="CM821" s="10"/>
      <c r="CN821" s="10"/>
      <c r="CO821" s="10"/>
    </row>
    <row r="822" spans="1:93">
      <c r="A822" s="10"/>
      <c r="B822" s="10"/>
      <c r="C822" s="17"/>
      <c r="D822" s="10"/>
      <c r="E822" s="3"/>
      <c r="F822" s="3"/>
      <c r="G822" s="142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  <c r="BB822" s="10"/>
      <c r="BC822" s="10"/>
      <c r="BD822" s="10"/>
      <c r="BE822" s="10"/>
      <c r="BF822" s="10"/>
      <c r="BG822" s="10"/>
      <c r="BH822" s="10"/>
      <c r="BI822" s="10"/>
      <c r="BJ822" s="10"/>
      <c r="BK822" s="10"/>
      <c r="BL822" s="10"/>
      <c r="BM822" s="10"/>
      <c r="BN822" s="10"/>
      <c r="BO822" s="10"/>
      <c r="BP822" s="10"/>
      <c r="BQ822" s="10"/>
      <c r="BR822" s="10"/>
      <c r="BS822" s="10"/>
      <c r="BT822" s="10"/>
      <c r="BU822" s="10"/>
      <c r="BV822" s="10"/>
      <c r="BW822" s="10"/>
      <c r="BX822" s="10"/>
      <c r="BY822" s="10"/>
      <c r="BZ822" s="10"/>
      <c r="CA822" s="10"/>
      <c r="CB822" s="10"/>
      <c r="CC822" s="10"/>
      <c r="CD822" s="10"/>
      <c r="CE822" s="10"/>
      <c r="CF822" s="10"/>
      <c r="CG822" s="10"/>
      <c r="CH822" s="10"/>
      <c r="CI822" s="10"/>
      <c r="CJ822" s="10"/>
      <c r="CK822" s="10"/>
      <c r="CL822" s="10"/>
      <c r="CM822" s="10"/>
      <c r="CN822" s="10"/>
      <c r="CO822" s="10"/>
    </row>
    <row r="823" spans="1:93">
      <c r="A823" s="10"/>
      <c r="B823" s="10"/>
      <c r="C823" s="41" t="s">
        <v>507</v>
      </c>
      <c r="D823" s="10"/>
      <c r="E823" s="10"/>
      <c r="F823" s="10"/>
      <c r="G823" s="11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  <c r="BB823" s="10"/>
      <c r="BC823" s="10"/>
      <c r="BD823" s="10"/>
      <c r="BE823" s="10"/>
      <c r="BF823" s="10"/>
      <c r="BG823" s="10"/>
      <c r="BH823" s="10"/>
      <c r="BI823" s="10"/>
      <c r="BJ823" s="10"/>
      <c r="BK823" s="10"/>
      <c r="BL823" s="10"/>
      <c r="BM823" s="10"/>
      <c r="BN823" s="10"/>
      <c r="BO823" s="10"/>
      <c r="BP823" s="10"/>
      <c r="BQ823" s="10"/>
      <c r="BR823" s="10"/>
      <c r="BS823" s="10"/>
      <c r="BT823" s="10"/>
      <c r="BU823" s="10"/>
      <c r="BV823" s="10"/>
      <c r="BW823" s="10"/>
      <c r="BX823" s="10"/>
      <c r="BY823" s="10"/>
      <c r="BZ823" s="10"/>
      <c r="CA823" s="10"/>
      <c r="CB823" s="10"/>
      <c r="CC823" s="10"/>
      <c r="CD823" s="10"/>
      <c r="CE823" s="10"/>
      <c r="CF823" s="10"/>
      <c r="CG823" s="10"/>
      <c r="CH823" s="10"/>
      <c r="CI823" s="10"/>
      <c r="CJ823" s="10"/>
      <c r="CK823" s="10"/>
      <c r="CL823" s="10"/>
      <c r="CM823" s="10"/>
      <c r="CN823" s="10"/>
      <c r="CO823" s="10"/>
    </row>
    <row r="824" spans="1:93">
      <c r="A824" s="10"/>
      <c r="B824" s="10"/>
      <c r="C824" s="17" t="s">
        <v>508</v>
      </c>
      <c r="D824" s="10"/>
      <c r="E824" s="10"/>
      <c r="F824" s="10"/>
      <c r="G824" s="11" t="str">
        <f>MIN(L824:CO824) &amp; ".." &amp; MAX(L824:CO824)</f>
        <v>0..1</v>
      </c>
      <c r="H824" s="10"/>
      <c r="I824" s="23">
        <f>SUM(L824:CO824)</f>
        <v>65</v>
      </c>
      <c r="J824" s="10"/>
      <c r="K824" s="10"/>
      <c r="L824" s="52">
        <f t="shared" ref="L824:BW824" si="5795">Flag_Operations</f>
        <v>0</v>
      </c>
      <c r="M824" s="52">
        <f t="shared" si="5795"/>
        <v>0</v>
      </c>
      <c r="N824" s="52">
        <f t="shared" si="5795"/>
        <v>0</v>
      </c>
      <c r="O824" s="52">
        <f t="shared" si="5795"/>
        <v>0</v>
      </c>
      <c r="P824" s="52">
        <f t="shared" si="5795"/>
        <v>0</v>
      </c>
      <c r="Q824" s="52">
        <f t="shared" si="5795"/>
        <v>0</v>
      </c>
      <c r="R824" s="52">
        <f t="shared" si="5795"/>
        <v>0</v>
      </c>
      <c r="S824" s="52">
        <f t="shared" si="5795"/>
        <v>0</v>
      </c>
      <c r="T824" s="52">
        <f t="shared" si="5795"/>
        <v>0</v>
      </c>
      <c r="U824" s="52">
        <f t="shared" si="5795"/>
        <v>0</v>
      </c>
      <c r="V824" s="52">
        <f t="shared" si="5795"/>
        <v>0</v>
      </c>
      <c r="W824" s="52">
        <f t="shared" si="5795"/>
        <v>0</v>
      </c>
      <c r="X824" s="52">
        <f t="shared" si="5795"/>
        <v>0</v>
      </c>
      <c r="Y824" s="52">
        <f t="shared" si="5795"/>
        <v>0</v>
      </c>
      <c r="Z824" s="52">
        <f t="shared" si="5795"/>
        <v>0</v>
      </c>
      <c r="AA824" s="52">
        <f t="shared" si="5795"/>
        <v>0</v>
      </c>
      <c r="AB824" s="52">
        <f t="shared" si="5795"/>
        <v>0</v>
      </c>
      <c r="AC824" s="52">
        <f t="shared" si="5795"/>
        <v>1</v>
      </c>
      <c r="AD824" s="52">
        <f t="shared" si="5795"/>
        <v>1</v>
      </c>
      <c r="AE824" s="52">
        <f t="shared" si="5795"/>
        <v>1</v>
      </c>
      <c r="AF824" s="52">
        <f t="shared" si="5795"/>
        <v>1</v>
      </c>
      <c r="AG824" s="52">
        <f t="shared" si="5795"/>
        <v>1</v>
      </c>
      <c r="AH824" s="52">
        <f t="shared" si="5795"/>
        <v>1</v>
      </c>
      <c r="AI824" s="52">
        <f t="shared" si="5795"/>
        <v>1</v>
      </c>
      <c r="AJ824" s="52">
        <f t="shared" si="5795"/>
        <v>1</v>
      </c>
      <c r="AK824" s="52">
        <f t="shared" si="5795"/>
        <v>1</v>
      </c>
      <c r="AL824" s="52">
        <f t="shared" si="5795"/>
        <v>1</v>
      </c>
      <c r="AM824" s="52">
        <f t="shared" si="5795"/>
        <v>1</v>
      </c>
      <c r="AN824" s="52">
        <f t="shared" si="5795"/>
        <v>1</v>
      </c>
      <c r="AO824" s="52">
        <f t="shared" si="5795"/>
        <v>1</v>
      </c>
      <c r="AP824" s="52">
        <f t="shared" si="5795"/>
        <v>1</v>
      </c>
      <c r="AQ824" s="52">
        <f t="shared" si="5795"/>
        <v>1</v>
      </c>
      <c r="AR824" s="52">
        <f t="shared" si="5795"/>
        <v>1</v>
      </c>
      <c r="AS824" s="52">
        <f t="shared" si="5795"/>
        <v>1</v>
      </c>
      <c r="AT824" s="52">
        <f t="shared" si="5795"/>
        <v>1</v>
      </c>
      <c r="AU824" s="52">
        <f t="shared" si="5795"/>
        <v>1</v>
      </c>
      <c r="AV824" s="52">
        <f t="shared" si="5795"/>
        <v>1</v>
      </c>
      <c r="AW824" s="52">
        <f t="shared" si="5795"/>
        <v>1</v>
      </c>
      <c r="AX824" s="52">
        <f t="shared" si="5795"/>
        <v>1</v>
      </c>
      <c r="AY824" s="52">
        <f t="shared" si="5795"/>
        <v>1</v>
      </c>
      <c r="AZ824" s="52">
        <f t="shared" si="5795"/>
        <v>1</v>
      </c>
      <c r="BA824" s="52">
        <f t="shared" si="5795"/>
        <v>1</v>
      </c>
      <c r="BB824" s="52">
        <f t="shared" si="5795"/>
        <v>1</v>
      </c>
      <c r="BC824" s="52">
        <f t="shared" si="5795"/>
        <v>1</v>
      </c>
      <c r="BD824" s="52">
        <f t="shared" si="5795"/>
        <v>1</v>
      </c>
      <c r="BE824" s="52">
        <f t="shared" si="5795"/>
        <v>1</v>
      </c>
      <c r="BF824" s="52">
        <f t="shared" si="5795"/>
        <v>1</v>
      </c>
      <c r="BG824" s="52">
        <f t="shared" si="5795"/>
        <v>1</v>
      </c>
      <c r="BH824" s="52">
        <f t="shared" si="5795"/>
        <v>1</v>
      </c>
      <c r="BI824" s="52">
        <f t="shared" si="5795"/>
        <v>1</v>
      </c>
      <c r="BJ824" s="52">
        <f t="shared" si="5795"/>
        <v>1</v>
      </c>
      <c r="BK824" s="52">
        <f t="shared" si="5795"/>
        <v>1</v>
      </c>
      <c r="BL824" s="52">
        <f t="shared" si="5795"/>
        <v>1</v>
      </c>
      <c r="BM824" s="52">
        <f t="shared" si="5795"/>
        <v>1</v>
      </c>
      <c r="BN824" s="52">
        <f t="shared" si="5795"/>
        <v>1</v>
      </c>
      <c r="BO824" s="52">
        <f t="shared" si="5795"/>
        <v>1</v>
      </c>
      <c r="BP824" s="52">
        <f t="shared" si="5795"/>
        <v>1</v>
      </c>
      <c r="BQ824" s="52">
        <f t="shared" si="5795"/>
        <v>1</v>
      </c>
      <c r="BR824" s="52">
        <f t="shared" si="5795"/>
        <v>1</v>
      </c>
      <c r="BS824" s="52">
        <f t="shared" si="5795"/>
        <v>1</v>
      </c>
      <c r="BT824" s="52">
        <f t="shared" si="5795"/>
        <v>1</v>
      </c>
      <c r="BU824" s="52">
        <f t="shared" si="5795"/>
        <v>1</v>
      </c>
      <c r="BV824" s="52">
        <f t="shared" si="5795"/>
        <v>1</v>
      </c>
      <c r="BW824" s="52">
        <f t="shared" si="5795"/>
        <v>1</v>
      </c>
      <c r="BX824" s="52">
        <f t="shared" ref="BX824:CO824" si="5796">Flag_Operations</f>
        <v>1</v>
      </c>
      <c r="BY824" s="52">
        <f t="shared" si="5796"/>
        <v>1</v>
      </c>
      <c r="BZ824" s="52">
        <f t="shared" si="5796"/>
        <v>1</v>
      </c>
      <c r="CA824" s="52">
        <f t="shared" si="5796"/>
        <v>1</v>
      </c>
      <c r="CB824" s="52">
        <f t="shared" si="5796"/>
        <v>1</v>
      </c>
      <c r="CC824" s="52">
        <f t="shared" si="5796"/>
        <v>1</v>
      </c>
      <c r="CD824" s="52">
        <f t="shared" si="5796"/>
        <v>1</v>
      </c>
      <c r="CE824" s="52">
        <f t="shared" si="5796"/>
        <v>1</v>
      </c>
      <c r="CF824" s="52">
        <f t="shared" si="5796"/>
        <v>1</v>
      </c>
      <c r="CG824" s="52">
        <f t="shared" si="5796"/>
        <v>1</v>
      </c>
      <c r="CH824" s="52">
        <f t="shared" si="5796"/>
        <v>1</v>
      </c>
      <c r="CI824" s="52">
        <f t="shared" si="5796"/>
        <v>1</v>
      </c>
      <c r="CJ824" s="52">
        <f t="shared" si="5796"/>
        <v>1</v>
      </c>
      <c r="CK824" s="52">
        <f t="shared" si="5796"/>
        <v>1</v>
      </c>
      <c r="CL824" s="52">
        <f t="shared" si="5796"/>
        <v>1</v>
      </c>
      <c r="CM824" s="52">
        <f t="shared" si="5796"/>
        <v>1</v>
      </c>
      <c r="CN824" s="52">
        <f t="shared" si="5796"/>
        <v>1</v>
      </c>
      <c r="CO824" s="52">
        <f t="shared" si="5796"/>
        <v>1</v>
      </c>
    </row>
    <row r="825" spans="1:93">
      <c r="A825" s="10"/>
      <c r="B825" s="10"/>
      <c r="C825" s="10"/>
      <c r="D825" s="10"/>
      <c r="E825" s="10"/>
      <c r="F825" s="10"/>
      <c r="G825" s="11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  <c r="BB825" s="10"/>
      <c r="BC825" s="10"/>
      <c r="BD825" s="10"/>
      <c r="BE825" s="10"/>
      <c r="BF825" s="10"/>
      <c r="BG825" s="10"/>
      <c r="BH825" s="10"/>
      <c r="BI825" s="10"/>
      <c r="BJ825" s="10"/>
      <c r="BK825" s="10"/>
      <c r="BL825" s="10"/>
      <c r="BM825" s="10"/>
      <c r="BN825" s="10"/>
      <c r="BO825" s="10"/>
      <c r="BP825" s="10"/>
      <c r="BQ825" s="10"/>
      <c r="BR825" s="10"/>
      <c r="BS825" s="10"/>
      <c r="BT825" s="10"/>
      <c r="BU825" s="10"/>
      <c r="BV825" s="10"/>
      <c r="BW825" s="10"/>
      <c r="BX825" s="10"/>
      <c r="BY825" s="10"/>
      <c r="BZ825" s="10"/>
      <c r="CA825" s="10"/>
      <c r="CB825" s="10"/>
      <c r="CC825" s="10"/>
      <c r="CD825" s="10"/>
      <c r="CE825" s="10"/>
      <c r="CF825" s="10"/>
      <c r="CG825" s="10"/>
      <c r="CH825" s="10"/>
      <c r="CI825" s="10"/>
      <c r="CJ825" s="10"/>
      <c r="CK825" s="10"/>
      <c r="CL825" s="10"/>
      <c r="CM825" s="10"/>
      <c r="CN825" s="10"/>
      <c r="CO825" s="10"/>
    </row>
    <row r="826" spans="1:93">
      <c r="A826" s="10"/>
      <c r="B826" s="10"/>
      <c r="C826" s="17" t="s">
        <v>1140</v>
      </c>
      <c r="D826" s="10"/>
      <c r="E826" s="10"/>
      <c r="F826" s="10"/>
      <c r="G826" s="11" t="str">
        <f>Monetary_Unit</f>
        <v>тыс. руб.</v>
      </c>
      <c r="H826" s="10"/>
      <c r="I826" s="23">
        <f ca="1">SUM(L826:CO826)</f>
        <v>19916110.400683798</v>
      </c>
      <c r="J826" s="10"/>
      <c r="K826" s="10"/>
      <c r="L826" s="452">
        <f t="shared" ref="L826:AQ826" ca="1" si="5797" xml:space="preserve"> L691</f>
        <v>0</v>
      </c>
      <c r="M826" s="452">
        <f t="shared" ca="1" si="5797"/>
        <v>0</v>
      </c>
      <c r="N826" s="452">
        <f t="shared" ca="1" si="5797"/>
        <v>0</v>
      </c>
      <c r="O826" s="452">
        <f t="shared" ca="1" si="5797"/>
        <v>0</v>
      </c>
      <c r="P826" s="452">
        <f t="shared" ca="1" si="5797"/>
        <v>0</v>
      </c>
      <c r="Q826" s="452">
        <f t="shared" ca="1" si="5797"/>
        <v>0</v>
      </c>
      <c r="R826" s="452">
        <f t="shared" ca="1" si="5797"/>
        <v>0</v>
      </c>
      <c r="S826" s="452">
        <f t="shared" ca="1" si="5797"/>
        <v>0</v>
      </c>
      <c r="T826" s="452">
        <f t="shared" ca="1" si="5797"/>
        <v>0</v>
      </c>
      <c r="U826" s="452">
        <f t="shared" ca="1" si="5797"/>
        <v>0</v>
      </c>
      <c r="V826" s="452">
        <f t="shared" ca="1" si="5797"/>
        <v>0</v>
      </c>
      <c r="W826" s="452">
        <f t="shared" ca="1" si="5797"/>
        <v>0</v>
      </c>
      <c r="X826" s="452">
        <f t="shared" ca="1" si="5797"/>
        <v>0</v>
      </c>
      <c r="Y826" s="452">
        <f t="shared" ca="1" si="5797"/>
        <v>0</v>
      </c>
      <c r="Z826" s="452">
        <f t="shared" ca="1" si="5797"/>
        <v>0</v>
      </c>
      <c r="AA826" s="452">
        <f t="shared" ca="1" si="5797"/>
        <v>0</v>
      </c>
      <c r="AB826" s="452">
        <f t="shared" ca="1" si="5797"/>
        <v>0</v>
      </c>
      <c r="AC826" s="452">
        <f t="shared" ca="1" si="5797"/>
        <v>172960.36610682574</v>
      </c>
      <c r="AD826" s="452">
        <f t="shared" ca="1" si="5797"/>
        <v>225064.15380529492</v>
      </c>
      <c r="AE826" s="452">
        <f t="shared" ca="1" si="5797"/>
        <v>133334.86339463937</v>
      </c>
      <c r="AF826" s="452">
        <f t="shared" ca="1" si="5797"/>
        <v>130848.60525515418</v>
      </c>
      <c r="AG826" s="452">
        <f t="shared" ca="1" si="5797"/>
        <v>206527.48901052083</v>
      </c>
      <c r="AH826" s="452">
        <f t="shared" ca="1" si="5797"/>
        <v>267504.82280857925</v>
      </c>
      <c r="AI826" s="452">
        <f t="shared" ca="1" si="5797"/>
        <v>157794.91419669046</v>
      </c>
      <c r="AJ826" s="452">
        <f t="shared" ca="1" si="5797"/>
        <v>154226.88939407511</v>
      </c>
      <c r="AK826" s="452">
        <f t="shared" ca="1" si="5797"/>
        <v>242503.24516074068</v>
      </c>
      <c r="AL826" s="452">
        <f t="shared" ca="1" si="5797"/>
        <v>312980.6426860377</v>
      </c>
      <c r="AM826" s="452">
        <f t="shared" ca="1" si="5797"/>
        <v>183998.43328147425</v>
      </c>
      <c r="AN826" s="452">
        <f t="shared" ca="1" si="5797"/>
        <v>181257.92381232034</v>
      </c>
      <c r="AO826" s="452">
        <f t="shared" ca="1" si="5797"/>
        <v>281026.61782056099</v>
      </c>
      <c r="AP826" s="452">
        <f t="shared" ca="1" si="5797"/>
        <v>352624.85742626898</v>
      </c>
      <c r="AQ826" s="452">
        <f t="shared" ca="1" si="5797"/>
        <v>201702.06632152948</v>
      </c>
      <c r="AR826" s="452">
        <f t="shared" ref="AR826:BW826" ca="1" si="5798" xml:space="preserve"> AR691</f>
        <v>191342.95115225384</v>
      </c>
      <c r="AS826" s="452">
        <f t="shared" ca="1" si="5798"/>
        <v>292267.68253338343</v>
      </c>
      <c r="AT826" s="452">
        <f t="shared" ca="1" si="5798"/>
        <v>366729.85172331973</v>
      </c>
      <c r="AU826" s="452">
        <f t="shared" ca="1" si="5798"/>
        <v>209770.14897439064</v>
      </c>
      <c r="AV826" s="452">
        <f t="shared" ca="1" si="5798"/>
        <v>198996.66919834397</v>
      </c>
      <c r="AW826" s="452">
        <f t="shared" ca="1" si="5798"/>
        <v>303958.38983471878</v>
      </c>
      <c r="AX826" s="452">
        <f t="shared" ca="1" si="5798"/>
        <v>381399.04579225241</v>
      </c>
      <c r="AY826" s="452">
        <f t="shared" ca="1" si="5798"/>
        <v>218160.95493336624</v>
      </c>
      <c r="AZ826" s="452">
        <f t="shared" ca="1" si="5798"/>
        <v>206956.53596627768</v>
      </c>
      <c r="BA826" s="452">
        <f t="shared" ca="1" si="5798"/>
        <v>316116.72542810737</v>
      </c>
      <c r="BB826" s="452">
        <f t="shared" ca="1" si="5798"/>
        <v>396655.00762394245</v>
      </c>
      <c r="BC826" s="452">
        <f t="shared" ca="1" si="5798"/>
        <v>226887.39313070083</v>
      </c>
      <c r="BD826" s="452">
        <f t="shared" ca="1" si="5798"/>
        <v>217626.29515387243</v>
      </c>
      <c r="BE826" s="452">
        <f t="shared" ca="1" si="5798"/>
        <v>328761.39444523165</v>
      </c>
      <c r="BF826" s="452">
        <f t="shared" ca="1" si="5798"/>
        <v>412521.20792890008</v>
      </c>
      <c r="BG826" s="452">
        <f t="shared" ca="1" si="5798"/>
        <v>235962.88885592885</v>
      </c>
      <c r="BH826" s="452">
        <f t="shared" ca="1" si="5798"/>
        <v>223844.18930112588</v>
      </c>
      <c r="BI826" s="452">
        <f t="shared" ca="1" si="5798"/>
        <v>341911.85022304091</v>
      </c>
      <c r="BJ826" s="452">
        <f t="shared" ca="1" si="5798"/>
        <v>429022.05624605605</v>
      </c>
      <c r="BK826" s="452">
        <f t="shared" ca="1" si="5798"/>
        <v>245401.40441016597</v>
      </c>
      <c r="BL826" s="452">
        <f t="shared" ca="1" si="5798"/>
        <v>232797.95687317089</v>
      </c>
      <c r="BM826" s="452">
        <f t="shared" ca="1" si="5798"/>
        <v>355588.3242319625</v>
      </c>
      <c r="BN826" s="452">
        <f t="shared" ca="1" si="5798"/>
        <v>446182.93849589821</v>
      </c>
      <c r="BO826" s="452">
        <f t="shared" ca="1" si="5798"/>
        <v>255217.46058657256</v>
      </c>
      <c r="BP826" s="452">
        <f t="shared" ca="1" si="5798"/>
        <v>242109.87514809769</v>
      </c>
      <c r="BQ826" s="452">
        <f t="shared" ca="1" si="5798"/>
        <v>369811.8572012409</v>
      </c>
      <c r="BR826" s="452">
        <f t="shared" ca="1" si="5798"/>
        <v>464030.25603573408</v>
      </c>
      <c r="BS826" s="452">
        <f t="shared" ca="1" si="5798"/>
        <v>265426.15901003539</v>
      </c>
      <c r="BT826" s="452">
        <f t="shared" ca="1" si="5798"/>
        <v>254591.98426684403</v>
      </c>
      <c r="BU826" s="452">
        <f t="shared" ca="1" si="5798"/>
        <v>384604.33148929046</v>
      </c>
      <c r="BV826" s="452">
        <f t="shared" ca="1" si="5798"/>
        <v>482591.46627716324</v>
      </c>
      <c r="BW826" s="452">
        <f t="shared" ca="1" si="5798"/>
        <v>276043.20537043671</v>
      </c>
      <c r="BX826" s="452">
        <f t="shared" ref="BX826:CO826" ca="1" si="5799" xml:space="preserve"> BX691</f>
        <v>261866.04096018238</v>
      </c>
      <c r="BY826" s="452">
        <f t="shared" ca="1" si="5799"/>
        <v>399988.504748862</v>
      </c>
      <c r="BZ826" s="452">
        <f t="shared" ca="1" si="5799"/>
        <v>501895.1249282498</v>
      </c>
      <c r="CA826" s="452">
        <f t="shared" ca="1" si="5799"/>
        <v>287084.93358525418</v>
      </c>
      <c r="CB826" s="452">
        <f t="shared" ca="1" si="5799"/>
        <v>272340.68259858969</v>
      </c>
      <c r="CC826" s="452">
        <f t="shared" ca="1" si="5799"/>
        <v>415988.04493881651</v>
      </c>
      <c r="CD826" s="452">
        <f t="shared" ca="1" si="5799"/>
        <v>521970.92992537975</v>
      </c>
      <c r="CE826" s="452">
        <f t="shared" ca="1" si="5799"/>
        <v>298568.33092866436</v>
      </c>
      <c r="CF826" s="452">
        <f t="shared" ca="1" si="5799"/>
        <v>283234.30990253319</v>
      </c>
      <c r="CG826" s="452">
        <f t="shared" ca="1" si="5799"/>
        <v>432627.56673636916</v>
      </c>
      <c r="CH826" s="452">
        <f t="shared" ca="1" si="5799"/>
        <v>542849.76712239487</v>
      </c>
      <c r="CI826" s="452">
        <f t="shared" ca="1" si="5799"/>
        <v>310511.06416581094</v>
      </c>
      <c r="CJ826" s="452">
        <f t="shared" ca="1" si="5799"/>
        <v>297836.61210195266</v>
      </c>
      <c r="CK826" s="452">
        <f t="shared" ca="1" si="5799"/>
        <v>449932.66940582386</v>
      </c>
      <c r="CL826" s="452">
        <f t="shared" ca="1" si="5799"/>
        <v>564563.75780729065</v>
      </c>
      <c r="CM826" s="452">
        <f t="shared" ca="1" si="5799"/>
        <v>322931.50673244335</v>
      </c>
      <c r="CN826" s="452">
        <f t="shared" ca="1" si="5799"/>
        <v>306346.22959057987</v>
      </c>
      <c r="CO826" s="452">
        <f t="shared" ca="1" si="5799"/>
        <v>467929.97618205677</v>
      </c>
    </row>
    <row r="827" spans="1:93">
      <c r="A827" s="10"/>
      <c r="B827" s="10"/>
      <c r="C827" s="17" t="s">
        <v>743</v>
      </c>
      <c r="D827" s="10"/>
      <c r="E827" s="10"/>
      <c r="F827" s="10"/>
      <c r="G827" s="11" t="str">
        <f>Monetary_Unit</f>
        <v>тыс. руб.</v>
      </c>
      <c r="H827" s="10"/>
      <c r="I827" s="23">
        <f ca="1">SUM(L827:CO827)</f>
        <v>26377811.310795601</v>
      </c>
      <c r="J827" s="10"/>
      <c r="K827" s="10"/>
      <c r="L827" s="10">
        <f t="shared" ref="L827:AQ827" ca="1" si="5800" xml:space="preserve"> L696</f>
        <v>0</v>
      </c>
      <c r="M827" s="10">
        <f t="shared" ca="1" si="5800"/>
        <v>0</v>
      </c>
      <c r="N827" s="10">
        <f t="shared" ca="1" si="5800"/>
        <v>0</v>
      </c>
      <c r="O827" s="10">
        <f t="shared" ca="1" si="5800"/>
        <v>0</v>
      </c>
      <c r="P827" s="10">
        <f t="shared" ca="1" si="5800"/>
        <v>0</v>
      </c>
      <c r="Q827" s="10">
        <f t="shared" ca="1" si="5800"/>
        <v>0</v>
      </c>
      <c r="R827" s="10">
        <f t="shared" ca="1" si="5800"/>
        <v>0</v>
      </c>
      <c r="S827" s="10">
        <f t="shared" ca="1" si="5800"/>
        <v>0</v>
      </c>
      <c r="T827" s="10">
        <f t="shared" ca="1" si="5800"/>
        <v>0</v>
      </c>
      <c r="U827" s="10">
        <f t="shared" ca="1" si="5800"/>
        <v>0</v>
      </c>
      <c r="V827" s="10">
        <f t="shared" ca="1" si="5800"/>
        <v>0</v>
      </c>
      <c r="W827" s="10">
        <f t="shared" ca="1" si="5800"/>
        <v>0</v>
      </c>
      <c r="X827" s="10">
        <f t="shared" ca="1" si="5800"/>
        <v>0</v>
      </c>
      <c r="Y827" s="10">
        <f t="shared" ca="1" si="5800"/>
        <v>0</v>
      </c>
      <c r="Z827" s="10">
        <f t="shared" ca="1" si="5800"/>
        <v>0</v>
      </c>
      <c r="AA827" s="10">
        <f t="shared" ca="1" si="5800"/>
        <v>0</v>
      </c>
      <c r="AB827" s="10">
        <f t="shared" ca="1" si="5800"/>
        <v>0</v>
      </c>
      <c r="AC827" s="10">
        <f t="shared" ca="1" si="5800"/>
        <v>229076.65250014549</v>
      </c>
      <c r="AD827" s="10">
        <f t="shared" ca="1" si="5800"/>
        <v>298085.30192201177</v>
      </c>
      <c r="AE827" s="10">
        <f t="shared" ca="1" si="5800"/>
        <v>176594.81680990025</v>
      </c>
      <c r="AF827" s="10">
        <f t="shared" ca="1" si="5800"/>
        <v>173301.90234247403</v>
      </c>
      <c r="AG827" s="10">
        <f t="shared" ca="1" si="5800"/>
        <v>273534.49172609969</v>
      </c>
      <c r="AH827" s="10">
        <f t="shared" ca="1" si="5800"/>
        <v>354295.67314159137</v>
      </c>
      <c r="AI827" s="10">
        <f t="shared" ca="1" si="5800"/>
        <v>208990.83147985439</v>
      </c>
      <c r="AJ827" s="10">
        <f t="shared" ca="1" si="5800"/>
        <v>204265.17556099611</v>
      </c>
      <c r="AK827" s="10">
        <f t="shared" ca="1" si="5800"/>
        <v>321182.43544613011</v>
      </c>
      <c r="AL827" s="10">
        <f t="shared" ca="1" si="5800"/>
        <v>414525.93757566187</v>
      </c>
      <c r="AM827" s="10">
        <f t="shared" ca="1" si="5800"/>
        <v>243695.97561650907</v>
      </c>
      <c r="AN827" s="10">
        <f t="shared" ca="1" si="5800"/>
        <v>240066.31901095476</v>
      </c>
      <c r="AO827" s="10">
        <f t="shared" ca="1" si="5800"/>
        <v>372204.55947700073</v>
      </c>
      <c r="AP827" s="10">
        <f t="shared" ca="1" si="5800"/>
        <v>467032.55633524543</v>
      </c>
      <c r="AQ827" s="10">
        <f t="shared" ca="1" si="5800"/>
        <v>267143.48029744864</v>
      </c>
      <c r="AR827" s="10">
        <f t="shared" ref="AR827:BW827" ca="1" si="5801" xml:space="preserve"> AR696</f>
        <v>253423.39239953403</v>
      </c>
      <c r="AS827" s="10">
        <f t="shared" ca="1" si="5801"/>
        <v>387092.74185608077</v>
      </c>
      <c r="AT827" s="10">
        <f t="shared" ca="1" si="5801"/>
        <v>485713.8585886553</v>
      </c>
      <c r="AU827" s="10">
        <f t="shared" ca="1" si="5801"/>
        <v>277829.21950934659</v>
      </c>
      <c r="AV827" s="10">
        <f t="shared" ca="1" si="5801"/>
        <v>263560.32809551538</v>
      </c>
      <c r="AW827" s="10">
        <f t="shared" ca="1" si="5801"/>
        <v>402576.45153032406</v>
      </c>
      <c r="AX827" s="10">
        <f t="shared" ca="1" si="5801"/>
        <v>505142.41293220135</v>
      </c>
      <c r="AY827" s="10">
        <f t="shared" ca="1" si="5801"/>
        <v>288942.38828972046</v>
      </c>
      <c r="AZ827" s="10">
        <f t="shared" ca="1" si="5801"/>
        <v>274102.74121933593</v>
      </c>
      <c r="BA827" s="10">
        <f t="shared" ca="1" si="5801"/>
        <v>418679.50959153683</v>
      </c>
      <c r="BB827" s="10">
        <f t="shared" ca="1" si="5801"/>
        <v>525348.10944948927</v>
      </c>
      <c r="BC827" s="10">
        <f t="shared" ca="1" si="5801"/>
        <v>300500.08382130921</v>
      </c>
      <c r="BD827" s="10">
        <f t="shared" ca="1" si="5801"/>
        <v>288234.26032219944</v>
      </c>
      <c r="BE827" s="10">
        <f t="shared" ca="1" si="5801"/>
        <v>435426.68997519824</v>
      </c>
      <c r="BF827" s="10">
        <f t="shared" ca="1" si="5801"/>
        <v>546362.03382746875</v>
      </c>
      <c r="BG827" s="10">
        <f t="shared" ca="1" si="5801"/>
        <v>312520.08717416151</v>
      </c>
      <c r="BH827" s="10">
        <f t="shared" ca="1" si="5801"/>
        <v>296469.52490283368</v>
      </c>
      <c r="BI827" s="10">
        <f t="shared" ca="1" si="5801"/>
        <v>452843.75757420622</v>
      </c>
      <c r="BJ827" s="10">
        <f t="shared" ca="1" si="5801"/>
        <v>568216.51518056751</v>
      </c>
      <c r="BK827" s="10">
        <f t="shared" ca="1" si="5801"/>
        <v>325020.89066112792</v>
      </c>
      <c r="BL827" s="10">
        <f t="shared" ca="1" si="5801"/>
        <v>308328.305898947</v>
      </c>
      <c r="BM827" s="10">
        <f t="shared" ca="1" si="5801"/>
        <v>470957.50787717436</v>
      </c>
      <c r="BN827" s="10">
        <f t="shared" ca="1" si="5801"/>
        <v>590945.1757877901</v>
      </c>
      <c r="BO827" s="10">
        <f t="shared" ca="1" si="5801"/>
        <v>338021.72628757299</v>
      </c>
      <c r="BP827" s="10">
        <f t="shared" ca="1" si="5801"/>
        <v>320661.43813490483</v>
      </c>
      <c r="BQ827" s="10">
        <f t="shared" ca="1" si="5801"/>
        <v>489795.8081922612</v>
      </c>
      <c r="BR827" s="10">
        <f t="shared" ca="1" si="5801"/>
        <v>614582.98281930166</v>
      </c>
      <c r="BS827" s="10">
        <f t="shared" ca="1" si="5801"/>
        <v>351542.59533907578</v>
      </c>
      <c r="BT827" s="10">
        <f t="shared" ca="1" si="5801"/>
        <v>337193.31672319322</v>
      </c>
      <c r="BU827" s="10">
        <f t="shared" ca="1" si="5801"/>
        <v>509387.64051995153</v>
      </c>
      <c r="BV827" s="10">
        <f t="shared" ca="1" si="5801"/>
        <v>639166.30213207344</v>
      </c>
      <c r="BW827" s="10">
        <f t="shared" ca="1" si="5801"/>
        <v>365604.2991526387</v>
      </c>
      <c r="BX827" s="10">
        <f t="shared" ref="BX827:CO827" ca="1" si="5802" xml:space="preserve"> BX696</f>
        <v>346827.41148671292</v>
      </c>
      <c r="BY827" s="10">
        <f t="shared" ca="1" si="5802"/>
        <v>529763.14614074945</v>
      </c>
      <c r="BZ827" s="10">
        <f t="shared" ca="1" si="5802"/>
        <v>664732.9542173564</v>
      </c>
      <c r="CA827" s="10">
        <f t="shared" ca="1" si="5802"/>
        <v>380228.47111874429</v>
      </c>
      <c r="CB827" s="10">
        <f t="shared" ca="1" si="5802"/>
        <v>360700.50794618146</v>
      </c>
      <c r="CC827" s="10">
        <f t="shared" ca="1" si="5802"/>
        <v>550953.67198637954</v>
      </c>
      <c r="CD827" s="10">
        <f t="shared" ca="1" si="5802"/>
        <v>691322.27238605067</v>
      </c>
      <c r="CE827" s="10">
        <f t="shared" ca="1" si="5802"/>
        <v>395437.60996349406</v>
      </c>
      <c r="CF827" s="10">
        <f t="shared" ca="1" si="5802"/>
        <v>375128.52826402866</v>
      </c>
      <c r="CG827" s="10">
        <f t="shared" ca="1" si="5802"/>
        <v>572991.81886583474</v>
      </c>
      <c r="CH827" s="10">
        <f t="shared" ca="1" si="5802"/>
        <v>718975.16328149254</v>
      </c>
      <c r="CI827" s="10">
        <f t="shared" ca="1" si="5802"/>
        <v>411255.11436203384</v>
      </c>
      <c r="CJ827" s="10">
        <f t="shared" ca="1" si="5802"/>
        <v>394468.4879434185</v>
      </c>
      <c r="CK827" s="10">
        <f t="shared" ca="1" si="5802"/>
        <v>595911.49162046798</v>
      </c>
      <c r="CL827" s="10">
        <f t="shared" ca="1" si="5802"/>
        <v>747734.16981275217</v>
      </c>
      <c r="CM827" s="10">
        <f t="shared" ca="1" si="5802"/>
        <v>427705.31893651513</v>
      </c>
      <c r="CN827" s="10">
        <f t="shared" ca="1" si="5802"/>
        <v>405739.0161703733</v>
      </c>
      <c r="CO827" s="10">
        <f t="shared" ca="1" si="5802"/>
        <v>619747.95128528669</v>
      </c>
    </row>
    <row r="828" spans="1:93">
      <c r="A828" s="10"/>
      <c r="B828" s="10"/>
      <c r="C828" s="17" t="s">
        <v>744</v>
      </c>
      <c r="D828" s="10"/>
      <c r="E828" s="10"/>
      <c r="F828" s="10"/>
      <c r="G828" s="11" t="str">
        <f>Monetary_Unit</f>
        <v>тыс. руб.</v>
      </c>
      <c r="H828" s="10"/>
      <c r="I828" s="23">
        <f ca="1">SUM(L828:CO828)</f>
        <v>6481149.039607116</v>
      </c>
      <c r="J828" s="10"/>
      <c r="K828" s="10"/>
      <c r="L828" s="10">
        <f t="shared" ref="L828:AQ828" ca="1" si="5803" xml:space="preserve"> L700</f>
        <v>0</v>
      </c>
      <c r="M828" s="10">
        <f t="shared" ca="1" si="5803"/>
        <v>0</v>
      </c>
      <c r="N828" s="10">
        <f t="shared" ca="1" si="5803"/>
        <v>0</v>
      </c>
      <c r="O828" s="10">
        <f t="shared" ca="1" si="5803"/>
        <v>0</v>
      </c>
      <c r="P828" s="10">
        <f t="shared" ca="1" si="5803"/>
        <v>0</v>
      </c>
      <c r="Q828" s="10">
        <f t="shared" ca="1" si="5803"/>
        <v>0</v>
      </c>
      <c r="R828" s="10">
        <f t="shared" ca="1" si="5803"/>
        <v>0</v>
      </c>
      <c r="S828" s="10">
        <f t="shared" ca="1" si="5803"/>
        <v>0</v>
      </c>
      <c r="T828" s="10">
        <f t="shared" ca="1" si="5803"/>
        <v>0</v>
      </c>
      <c r="U828" s="10">
        <f t="shared" ca="1" si="5803"/>
        <v>0</v>
      </c>
      <c r="V828" s="10">
        <f t="shared" ca="1" si="5803"/>
        <v>0</v>
      </c>
      <c r="W828" s="10">
        <f t="shared" ca="1" si="5803"/>
        <v>0</v>
      </c>
      <c r="X828" s="10">
        <f t="shared" ca="1" si="5803"/>
        <v>0</v>
      </c>
      <c r="Y828" s="10">
        <f t="shared" ca="1" si="5803"/>
        <v>0</v>
      </c>
      <c r="Z828" s="10">
        <f t="shared" ca="1" si="5803"/>
        <v>0</v>
      </c>
      <c r="AA828" s="10">
        <f t="shared" ca="1" si="5803"/>
        <v>0</v>
      </c>
      <c r="AB828" s="10">
        <f t="shared" ca="1" si="5803"/>
        <v>0</v>
      </c>
      <c r="AC828" s="10">
        <f t="shared" ca="1" si="5803"/>
        <v>56285.182604975984</v>
      </c>
      <c r="AD828" s="10">
        <f t="shared" ca="1" si="5803"/>
        <v>73240.923801822952</v>
      </c>
      <c r="AE828" s="10">
        <f t="shared" ca="1" si="5803"/>
        <v>43390.155228635551</v>
      </c>
      <c r="AF828" s="10">
        <f t="shared" ca="1" si="5803"/>
        <v>42581.071063667958</v>
      </c>
      <c r="AG828" s="10">
        <f t="shared" ca="1" si="5803"/>
        <v>67208.677303126882</v>
      </c>
      <c r="AH828" s="10">
        <f t="shared" ca="1" si="5803"/>
        <v>87052.069433023891</v>
      </c>
      <c r="AI828" s="10">
        <f t="shared" ca="1" si="5803"/>
        <v>51350.004394716292</v>
      </c>
      <c r="AJ828" s="10">
        <f t="shared" ca="1" si="5803"/>
        <v>50188.889093709979</v>
      </c>
      <c r="AK828" s="10">
        <f t="shared" ca="1" si="5803"/>
        <v>78915.995284961915</v>
      </c>
      <c r="AL828" s="10">
        <f t="shared" ca="1" si="5803"/>
        <v>101850.92123663795</v>
      </c>
      <c r="AM828" s="10">
        <f t="shared" ca="1" si="5803"/>
        <v>59877.217245717671</v>
      </c>
      <c r="AN828" s="10">
        <f t="shared" ca="1" si="5803"/>
        <v>58985.393995258521</v>
      </c>
      <c r="AO828" s="10">
        <f t="shared" ca="1" si="5803"/>
        <v>91452.364821658659</v>
      </c>
      <c r="AP828" s="10">
        <f t="shared" ca="1" si="5803"/>
        <v>114752.03792661204</v>
      </c>
      <c r="AQ828" s="10">
        <f t="shared" ca="1" si="5803"/>
        <v>65638.376526656954</v>
      </c>
      <c r="AR828" s="10">
        <f t="shared" ref="AR828:BW828" ca="1" si="5804" xml:space="preserve"> AR700</f>
        <v>62267.288097250312</v>
      </c>
      <c r="AS828" s="10">
        <f t="shared" ca="1" si="5804"/>
        <v>95110.459414525001</v>
      </c>
      <c r="AT828" s="10">
        <f t="shared" ca="1" si="5804"/>
        <v>119342.11944367652</v>
      </c>
      <c r="AU828" s="10">
        <f t="shared" ca="1" si="5804"/>
        <v>68263.911587723225</v>
      </c>
      <c r="AV828" s="10">
        <f t="shared" ca="1" si="5804"/>
        <v>64757.979621140323</v>
      </c>
      <c r="AW828" s="10">
        <f t="shared" ca="1" si="5804"/>
        <v>98914.877791106017</v>
      </c>
      <c r="AX828" s="10">
        <f t="shared" ca="1" si="5804"/>
        <v>124115.80422142355</v>
      </c>
      <c r="AY828" s="10">
        <f t="shared" ca="1" si="5804"/>
        <v>70994.46805123215</v>
      </c>
      <c r="AZ828" s="10">
        <f t="shared" ca="1" si="5804"/>
        <v>67348.298805985905</v>
      </c>
      <c r="BA828" s="10">
        <f t="shared" ca="1" si="5804"/>
        <v>102871.4729027502</v>
      </c>
      <c r="BB828" s="10">
        <f t="shared" ca="1" si="5804"/>
        <v>129080.43639028046</v>
      </c>
      <c r="BC828" s="10">
        <f t="shared" ca="1" si="5804"/>
        <v>73834.246773281411</v>
      </c>
      <c r="BD828" s="10">
        <f t="shared" ca="1" si="5804"/>
        <v>70820.477766650074</v>
      </c>
      <c r="BE828" s="10">
        <f t="shared" ca="1" si="5804"/>
        <v>106986.3318188602</v>
      </c>
      <c r="BF828" s="10">
        <f t="shared" ca="1" si="5804"/>
        <v>134243.65384589165</v>
      </c>
      <c r="BG828" s="10">
        <f t="shared" ca="1" si="5804"/>
        <v>76787.616644212656</v>
      </c>
      <c r="BH828" s="10">
        <f t="shared" ca="1" si="5804"/>
        <v>72843.919988554349</v>
      </c>
      <c r="BI828" s="10">
        <f t="shared" ca="1" si="5804"/>
        <v>111265.78509161461</v>
      </c>
      <c r="BJ828" s="10">
        <f t="shared" ca="1" si="5804"/>
        <v>139613.39999972732</v>
      </c>
      <c r="BK828" s="10">
        <f t="shared" ca="1" si="5804"/>
        <v>79859.121309981158</v>
      </c>
      <c r="BL828" s="10">
        <f t="shared" ca="1" si="5804"/>
        <v>75757.67678809652</v>
      </c>
      <c r="BM828" s="10">
        <f t="shared" ca="1" si="5804"/>
        <v>115716.41649527918</v>
      </c>
      <c r="BN828" s="10">
        <f t="shared" ca="1" si="5804"/>
        <v>145197.9359997164</v>
      </c>
      <c r="BO828" s="10">
        <f t="shared" ca="1" si="5804"/>
        <v>83053.486162380388</v>
      </c>
      <c r="BP828" s="10">
        <f t="shared" ca="1" si="5804"/>
        <v>78787.983859620363</v>
      </c>
      <c r="BQ828" s="10">
        <f t="shared" ca="1" si="5804"/>
        <v>120345.07315509031</v>
      </c>
      <c r="BR828" s="10">
        <f t="shared" ca="1" si="5804"/>
        <v>151005.85343970504</v>
      </c>
      <c r="BS828" s="10">
        <f t="shared" ca="1" si="5804"/>
        <v>86375.625608875576</v>
      </c>
      <c r="BT828" s="10">
        <f t="shared" ca="1" si="5804"/>
        <v>82849.942138605227</v>
      </c>
      <c r="BU828" s="10">
        <f t="shared" ca="1" si="5804"/>
        <v>125158.8760812939</v>
      </c>
      <c r="BV828" s="10">
        <f t="shared" ca="1" si="5804"/>
        <v>157046.08757729316</v>
      </c>
      <c r="BW828" s="10">
        <f t="shared" ca="1" si="5804"/>
        <v>89830.650633230573</v>
      </c>
      <c r="BX828" s="10">
        <f t="shared" ref="BX828:CO828" ca="1" si="5805" xml:space="preserve"> BX700</f>
        <v>85217.083342565355</v>
      </c>
      <c r="BY828" s="10">
        <f t="shared" ca="1" si="5805"/>
        <v>130165.23112454562</v>
      </c>
      <c r="BZ828" s="10">
        <f t="shared" ca="1" si="5805"/>
        <v>163327.93108038488</v>
      </c>
      <c r="CA828" s="10">
        <f t="shared" ca="1" si="5805"/>
        <v>93423.876658559806</v>
      </c>
      <c r="CB828" s="10">
        <f t="shared" ca="1" si="5805"/>
        <v>88625.766676267973</v>
      </c>
      <c r="CC828" s="10">
        <f t="shared" ca="1" si="5805"/>
        <v>135371.84036952749</v>
      </c>
      <c r="CD828" s="10">
        <f t="shared" ca="1" si="5805"/>
        <v>169861.04832360029</v>
      </c>
      <c r="CE828" s="10">
        <f t="shared" ca="1" si="5805"/>
        <v>97160.831724902193</v>
      </c>
      <c r="CF828" s="10">
        <f t="shared" ca="1" si="5805"/>
        <v>92170.797343318671</v>
      </c>
      <c r="CG828" s="10">
        <f t="shared" ca="1" si="5805"/>
        <v>140786.71398430856</v>
      </c>
      <c r="CH828" s="10">
        <f t="shared" ca="1" si="5805"/>
        <v>176655.49025654429</v>
      </c>
      <c r="CI828" s="10">
        <f t="shared" ca="1" si="5805"/>
        <v>101047.26499389829</v>
      </c>
      <c r="CJ828" s="10">
        <f t="shared" ca="1" si="5805"/>
        <v>96922.714006351976</v>
      </c>
      <c r="CK828" s="10">
        <f t="shared" ca="1" si="5805"/>
        <v>146418.18254368089</v>
      </c>
      <c r="CL828" s="10">
        <f t="shared" ca="1" si="5805"/>
        <v>183721.70986680602</v>
      </c>
      <c r="CM828" s="10">
        <f t="shared" ca="1" si="5805"/>
        <v>105089.1555936542</v>
      </c>
      <c r="CN828" s="10">
        <f t="shared" ca="1" si="5805"/>
        <v>99691.934406533474</v>
      </c>
      <c r="CO828" s="10">
        <f t="shared" ca="1" si="5805"/>
        <v>152274.9098454281</v>
      </c>
    </row>
    <row r="829" spans="1:93">
      <c r="A829" s="10"/>
      <c r="B829" s="10"/>
      <c r="C829" s="10"/>
      <c r="D829" s="10"/>
      <c r="E829" s="10"/>
      <c r="F829" s="10"/>
      <c r="G829" s="11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  <c r="BB829" s="10"/>
      <c r="BC829" s="10"/>
      <c r="BD829" s="10"/>
      <c r="BE829" s="10"/>
      <c r="BF829" s="10"/>
      <c r="BG829" s="10"/>
      <c r="BH829" s="10"/>
      <c r="BI829" s="10"/>
      <c r="BJ829" s="10"/>
      <c r="BK829" s="10"/>
      <c r="BL829" s="10"/>
      <c r="BM829" s="10"/>
      <c r="BN829" s="10"/>
      <c r="BO829" s="10"/>
      <c r="BP829" s="10"/>
      <c r="BQ829" s="10"/>
      <c r="BR829" s="10"/>
      <c r="BS829" s="10"/>
      <c r="BT829" s="10"/>
      <c r="BU829" s="10"/>
      <c r="BV829" s="10"/>
      <c r="BW829" s="10"/>
      <c r="BX829" s="10"/>
      <c r="BY829" s="10"/>
      <c r="BZ829" s="10"/>
      <c r="CA829" s="10"/>
      <c r="CB829" s="10"/>
      <c r="CC829" s="10"/>
      <c r="CD829" s="10"/>
      <c r="CE829" s="10"/>
      <c r="CF829" s="10"/>
      <c r="CG829" s="10"/>
      <c r="CH829" s="10"/>
      <c r="CI829" s="10"/>
      <c r="CJ829" s="10"/>
      <c r="CK829" s="10"/>
      <c r="CL829" s="10"/>
      <c r="CM829" s="10"/>
      <c r="CN829" s="10"/>
      <c r="CO829" s="10"/>
    </row>
    <row r="830" spans="1:93">
      <c r="A830" s="10"/>
      <c r="B830" s="10"/>
      <c r="C830" s="41" t="s">
        <v>745</v>
      </c>
      <c r="D830" s="10"/>
      <c r="E830" s="10"/>
      <c r="F830" s="10"/>
      <c r="G830" s="11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  <c r="BB830" s="10"/>
      <c r="BC830" s="10"/>
      <c r="BD830" s="10"/>
      <c r="BE830" s="10"/>
      <c r="BF830" s="10"/>
      <c r="BG830" s="10"/>
      <c r="BH830" s="10"/>
      <c r="BI830" s="10"/>
      <c r="BJ830" s="10"/>
      <c r="BK830" s="10"/>
      <c r="BL830" s="10"/>
      <c r="BM830" s="10"/>
      <c r="BN830" s="10"/>
      <c r="BO830" s="10"/>
      <c r="BP830" s="10"/>
      <c r="BQ830" s="10"/>
      <c r="BR830" s="10"/>
      <c r="BS830" s="10"/>
      <c r="BT830" s="10"/>
      <c r="BU830" s="10"/>
      <c r="BV830" s="10"/>
      <c r="BW830" s="10"/>
      <c r="BX830" s="10"/>
      <c r="BY830" s="10"/>
      <c r="BZ830" s="10"/>
      <c r="CA830" s="10"/>
      <c r="CB830" s="10"/>
      <c r="CC830" s="10"/>
      <c r="CD830" s="10"/>
      <c r="CE830" s="10"/>
      <c r="CF830" s="10"/>
      <c r="CG830" s="10"/>
      <c r="CH830" s="10"/>
      <c r="CI830" s="10"/>
      <c r="CJ830" s="10"/>
      <c r="CK830" s="10"/>
      <c r="CL830" s="10"/>
      <c r="CM830" s="10"/>
      <c r="CN830" s="10"/>
      <c r="CO830" s="10"/>
    </row>
    <row r="831" spans="1:93">
      <c r="A831" s="10"/>
      <c r="B831" s="10"/>
      <c r="C831" s="17" t="s">
        <v>720</v>
      </c>
      <c r="D831" s="10"/>
      <c r="E831" s="241">
        <f xml:space="preserve"> E803</f>
        <v>0.15</v>
      </c>
      <c r="F831" s="10"/>
      <c r="G831" s="11" t="str">
        <f t="shared" ref="G831:G836" si="5806">Monetary_Unit</f>
        <v>тыс. руб.</v>
      </c>
      <c r="H831" s="10"/>
      <c r="I831" s="23">
        <f t="shared" ref="I831:I836" ca="1" si="5807">SUM(L831:CO831)</f>
        <v>2987416.5601025689</v>
      </c>
      <c r="J831" s="10"/>
      <c r="K831" s="10"/>
      <c r="L831" s="10">
        <f ca="1" xml:space="preserve"> L$826 * $E831 * $I$775</f>
        <v>0</v>
      </c>
      <c r="M831" s="10">
        <f t="shared" ref="M831:BX832" ca="1" si="5808" xml:space="preserve"> M$826 * $E831 * $I$775</f>
        <v>0</v>
      </c>
      <c r="N831" s="10">
        <f t="shared" ca="1" si="5808"/>
        <v>0</v>
      </c>
      <c r="O831" s="10">
        <f t="shared" ca="1" si="5808"/>
        <v>0</v>
      </c>
      <c r="P831" s="10">
        <f t="shared" ca="1" si="5808"/>
        <v>0</v>
      </c>
      <c r="Q831" s="10">
        <f t="shared" ca="1" si="5808"/>
        <v>0</v>
      </c>
      <c r="R831" s="10">
        <f t="shared" ca="1" si="5808"/>
        <v>0</v>
      </c>
      <c r="S831" s="10">
        <f t="shared" ca="1" si="5808"/>
        <v>0</v>
      </c>
      <c r="T831" s="10">
        <f t="shared" ca="1" si="5808"/>
        <v>0</v>
      </c>
      <c r="U831" s="10">
        <f t="shared" ca="1" si="5808"/>
        <v>0</v>
      </c>
      <c r="V831" s="10">
        <f t="shared" ca="1" si="5808"/>
        <v>0</v>
      </c>
      <c r="W831" s="10">
        <f t="shared" ca="1" si="5808"/>
        <v>0</v>
      </c>
      <c r="X831" s="10">
        <f t="shared" ca="1" si="5808"/>
        <v>0</v>
      </c>
      <c r="Y831" s="10">
        <f t="shared" ca="1" si="5808"/>
        <v>0</v>
      </c>
      <c r="Z831" s="10">
        <f t="shared" ca="1" si="5808"/>
        <v>0</v>
      </c>
      <c r="AA831" s="10">
        <f t="shared" ca="1" si="5808"/>
        <v>0</v>
      </c>
      <c r="AB831" s="10">
        <f t="shared" ca="1" si="5808"/>
        <v>0</v>
      </c>
      <c r="AC831" s="10">
        <f t="shared" ca="1" si="5808"/>
        <v>25944.054916023859</v>
      </c>
      <c r="AD831" s="10">
        <f t="shared" ca="1" si="5808"/>
        <v>33759.623070794238</v>
      </c>
      <c r="AE831" s="10">
        <f t="shared" ca="1" si="5808"/>
        <v>20000.229509195906</v>
      </c>
      <c r="AF831" s="10">
        <f t="shared" ca="1" si="5808"/>
        <v>19627.290788273127</v>
      </c>
      <c r="AG831" s="10">
        <f t="shared" ca="1" si="5808"/>
        <v>30979.123351578124</v>
      </c>
      <c r="AH831" s="10">
        <f t="shared" ca="1" si="5808"/>
        <v>40125.723421286886</v>
      </c>
      <c r="AI831" s="10">
        <f t="shared" ca="1" si="5808"/>
        <v>23669.237129503566</v>
      </c>
      <c r="AJ831" s="10">
        <f t="shared" ca="1" si="5808"/>
        <v>23134.033409111267</v>
      </c>
      <c r="AK831" s="10">
        <f t="shared" ca="1" si="5808"/>
        <v>36375.486774111101</v>
      </c>
      <c r="AL831" s="10">
        <f t="shared" ca="1" si="5808"/>
        <v>46947.096402905656</v>
      </c>
      <c r="AM831" s="10">
        <f t="shared" ca="1" si="5808"/>
        <v>27599.764992221139</v>
      </c>
      <c r="AN831" s="10">
        <f t="shared" ca="1" si="5808"/>
        <v>27188.688571848052</v>
      </c>
      <c r="AO831" s="10">
        <f t="shared" ca="1" si="5808"/>
        <v>42153.992673084147</v>
      </c>
      <c r="AP831" s="10">
        <f t="shared" ca="1" si="5808"/>
        <v>52893.728613940344</v>
      </c>
      <c r="AQ831" s="10">
        <f t="shared" ca="1" si="5808"/>
        <v>30255.30994822942</v>
      </c>
      <c r="AR831" s="10">
        <f t="shared" ca="1" si="5808"/>
        <v>28701.442672838075</v>
      </c>
      <c r="AS831" s="10">
        <f t="shared" ca="1" si="5808"/>
        <v>43840.152380007516</v>
      </c>
      <c r="AT831" s="10">
        <f t="shared" ca="1" si="5808"/>
        <v>55009.47775849796</v>
      </c>
      <c r="AU831" s="10">
        <f t="shared" ca="1" si="5808"/>
        <v>31465.522346158596</v>
      </c>
      <c r="AV831" s="10">
        <f t="shared" ca="1" si="5808"/>
        <v>29849.500379751593</v>
      </c>
      <c r="AW831" s="10">
        <f t="shared" ca="1" si="5808"/>
        <v>45593.758475207818</v>
      </c>
      <c r="AX831" s="10">
        <f t="shared" ca="1" si="5808"/>
        <v>57209.856868837858</v>
      </c>
      <c r="AY831" s="10">
        <f t="shared" ca="1" si="5808"/>
        <v>32724.143240004934</v>
      </c>
      <c r="AZ831" s="10">
        <f t="shared" ca="1" si="5808"/>
        <v>31043.480394941649</v>
      </c>
      <c r="BA831" s="10">
        <f t="shared" ca="1" si="5808"/>
        <v>47417.508814216104</v>
      </c>
      <c r="BB831" s="10">
        <f t="shared" ca="1" si="5808"/>
        <v>59498.251143591362</v>
      </c>
      <c r="BC831" s="10">
        <f t="shared" ca="1" si="5808"/>
        <v>34033.10896960512</v>
      </c>
      <c r="BD831" s="10">
        <f t="shared" ca="1" si="5808"/>
        <v>32643.944273080862</v>
      </c>
      <c r="BE831" s="10">
        <f t="shared" ca="1" si="5808"/>
        <v>49314.209166784749</v>
      </c>
      <c r="BF831" s="10">
        <f t="shared" ca="1" si="5808"/>
        <v>61878.18118933501</v>
      </c>
      <c r="BG831" s="10">
        <f t="shared" ca="1" si="5808"/>
        <v>35394.433328389328</v>
      </c>
      <c r="BH831" s="10">
        <f t="shared" ca="1" si="5808"/>
        <v>33576.628395168882</v>
      </c>
      <c r="BI831" s="10">
        <f t="shared" ca="1" si="5808"/>
        <v>51286.777533456137</v>
      </c>
      <c r="BJ831" s="10">
        <f t="shared" ca="1" si="5808"/>
        <v>64353.308436908403</v>
      </c>
      <c r="BK831" s="10">
        <f t="shared" ca="1" si="5808"/>
        <v>36810.210661524892</v>
      </c>
      <c r="BL831" s="10">
        <f t="shared" ca="1" si="5808"/>
        <v>34919.69353097563</v>
      </c>
      <c r="BM831" s="10">
        <f t="shared" ca="1" si="5808"/>
        <v>53338.24863479437</v>
      </c>
      <c r="BN831" s="10">
        <f t="shared" ca="1" si="5808"/>
        <v>66927.440774384726</v>
      </c>
      <c r="BO831" s="10">
        <f t="shared" ca="1" si="5808"/>
        <v>38282.619087985884</v>
      </c>
      <c r="BP831" s="10">
        <f t="shared" ca="1" si="5808"/>
        <v>36316.481272214653</v>
      </c>
      <c r="BQ831" s="10">
        <f t="shared" ca="1" si="5808"/>
        <v>55471.778580186132</v>
      </c>
      <c r="BR831" s="10">
        <f t="shared" ca="1" si="5808"/>
        <v>69604.538405360116</v>
      </c>
      <c r="BS831" s="10">
        <f t="shared" ca="1" si="5808"/>
        <v>39813.923851505308</v>
      </c>
      <c r="BT831" s="10">
        <f t="shared" ca="1" si="5808"/>
        <v>38188.797640026605</v>
      </c>
      <c r="BU831" s="10">
        <f t="shared" ca="1" si="5808"/>
        <v>57690.649723393566</v>
      </c>
      <c r="BV831" s="10">
        <f t="shared" ca="1" si="5808"/>
        <v>72388.719941574484</v>
      </c>
      <c r="BW831" s="10">
        <f t="shared" ca="1" si="5808"/>
        <v>41406.480805565508</v>
      </c>
      <c r="BX831" s="10">
        <f t="shared" ca="1" si="5808"/>
        <v>39279.906144027358</v>
      </c>
      <c r="BY831" s="10">
        <f t="shared" ref="BY831:CO832" ca="1" si="5809" xml:space="preserve"> BY$826 * $E831 * $I$775</f>
        <v>59998.275712329298</v>
      </c>
      <c r="BZ831" s="10">
        <f t="shared" ca="1" si="5809"/>
        <v>75284.268739237465</v>
      </c>
      <c r="CA831" s="10">
        <f t="shared" ca="1" si="5809"/>
        <v>43062.740037788128</v>
      </c>
      <c r="CB831" s="10">
        <f t="shared" ca="1" si="5809"/>
        <v>40851.102389788452</v>
      </c>
      <c r="CC831" s="10">
        <f t="shared" ca="1" si="5809"/>
        <v>62398.206740822476</v>
      </c>
      <c r="CD831" s="10">
        <f t="shared" ca="1" si="5809"/>
        <v>78295.639488806963</v>
      </c>
      <c r="CE831" s="10">
        <f t="shared" ca="1" si="5809"/>
        <v>44785.249639299655</v>
      </c>
      <c r="CF831" s="10">
        <f t="shared" ca="1" si="5809"/>
        <v>42485.146485379977</v>
      </c>
      <c r="CG831" s="10">
        <f t="shared" ca="1" si="5809"/>
        <v>64894.135010455371</v>
      </c>
      <c r="CH831" s="10">
        <f t="shared" ca="1" si="5809"/>
        <v>81427.465068359234</v>
      </c>
      <c r="CI831" s="10">
        <f t="shared" ca="1" si="5809"/>
        <v>46576.659624871638</v>
      </c>
      <c r="CJ831" s="10">
        <f t="shared" ca="1" si="5809"/>
        <v>44675.491815292895</v>
      </c>
      <c r="CK831" s="10">
        <f t="shared" ca="1" si="5809"/>
        <v>67489.900410873583</v>
      </c>
      <c r="CL831" s="10">
        <f t="shared" ca="1" si="5809"/>
        <v>84684.563671093594</v>
      </c>
      <c r="CM831" s="10">
        <f t="shared" ca="1" si="5809"/>
        <v>48439.726009866499</v>
      </c>
      <c r="CN831" s="10">
        <f t="shared" ca="1" si="5809"/>
        <v>45951.934438586977</v>
      </c>
      <c r="CO831" s="10">
        <f t="shared" ca="1" si="5809"/>
        <v>70189.496427308506</v>
      </c>
    </row>
    <row r="832" spans="1:93">
      <c r="A832" s="10"/>
      <c r="B832" s="10"/>
      <c r="C832" s="17" t="s">
        <v>721</v>
      </c>
      <c r="D832" s="10"/>
      <c r="E832" s="241">
        <f xml:space="preserve"> E804</f>
        <v>0.22404342404371011</v>
      </c>
      <c r="F832" s="10"/>
      <c r="G832" s="11" t="str">
        <f t="shared" si="5806"/>
        <v>тыс. руб.</v>
      </c>
      <c r="H832" s="10"/>
      <c r="I832" s="23">
        <f t="shared" ca="1" si="5807"/>
        <v>4462073.5678017428</v>
      </c>
      <c r="J832" s="10"/>
      <c r="K832" s="10"/>
      <c r="L832" s="10">
        <f ca="1" xml:space="preserve"> L$826 * $E832 * $I$775</f>
        <v>0</v>
      </c>
      <c r="M832" s="10">
        <f t="shared" ca="1" si="5808"/>
        <v>0</v>
      </c>
      <c r="N832" s="10">
        <f t="shared" ca="1" si="5808"/>
        <v>0</v>
      </c>
      <c r="O832" s="10">
        <f t="shared" ca="1" si="5808"/>
        <v>0</v>
      </c>
      <c r="P832" s="10">
        <f t="shared" ca="1" si="5808"/>
        <v>0</v>
      </c>
      <c r="Q832" s="10">
        <f t="shared" ca="1" si="5808"/>
        <v>0</v>
      </c>
      <c r="R832" s="10">
        <f t="shared" ca="1" si="5808"/>
        <v>0</v>
      </c>
      <c r="S832" s="10">
        <f t="shared" ca="1" si="5808"/>
        <v>0</v>
      </c>
      <c r="T832" s="10">
        <f t="shared" ca="1" si="5808"/>
        <v>0</v>
      </c>
      <c r="U832" s="10">
        <f t="shared" ca="1" si="5808"/>
        <v>0</v>
      </c>
      <c r="V832" s="10">
        <f t="shared" ca="1" si="5808"/>
        <v>0</v>
      </c>
      <c r="W832" s="10">
        <f t="shared" ca="1" si="5808"/>
        <v>0</v>
      </c>
      <c r="X832" s="10">
        <f t="shared" ca="1" si="5808"/>
        <v>0</v>
      </c>
      <c r="Y832" s="10">
        <f t="shared" ca="1" si="5808"/>
        <v>0</v>
      </c>
      <c r="Z832" s="10">
        <f t="shared" ca="1" si="5808"/>
        <v>0</v>
      </c>
      <c r="AA832" s="10">
        <f t="shared" ca="1" si="5808"/>
        <v>0</v>
      </c>
      <c r="AB832" s="10">
        <f t="shared" ca="1" si="5808"/>
        <v>0</v>
      </c>
      <c r="AC832" s="10">
        <f t="shared" ca="1" si="5808"/>
        <v>38750.6326464269</v>
      </c>
      <c r="AD832" s="10">
        <f t="shared" ca="1" si="5808"/>
        <v>50424.14364803848</v>
      </c>
      <c r="AE832" s="10">
        <f t="shared" ca="1" si="5808"/>
        <v>29872.79933933535</v>
      </c>
      <c r="AF832" s="10">
        <f t="shared" ca="1" si="5808"/>
        <v>29315.769552708542</v>
      </c>
      <c r="AG832" s="10">
        <f t="shared" ca="1" si="5808"/>
        <v>46271.125797066801</v>
      </c>
      <c r="AH832" s="10">
        <f t="shared" ca="1" si="5808"/>
        <v>59932.696450240059</v>
      </c>
      <c r="AI832" s="10">
        <f t="shared" ca="1" si="5808"/>
        <v>35352.912873309971</v>
      </c>
      <c r="AJ832" s="10">
        <f t="shared" ca="1" si="5808"/>
        <v>34553.520379459151</v>
      </c>
      <c r="AK832" s="10">
        <f t="shared" ca="1" si="5808"/>
        <v>54331.257387523619</v>
      </c>
      <c r="AL832" s="10">
        <f t="shared" ca="1" si="5808"/>
        <v>70121.254846780867</v>
      </c>
      <c r="AM832" s="10">
        <f t="shared" ca="1" si="5808"/>
        <v>41223.63901105964</v>
      </c>
      <c r="AN832" s="10">
        <f t="shared" ca="1" si="5808"/>
        <v>40609.645885966187</v>
      </c>
      <c r="AO832" s="10">
        <f t="shared" ca="1" si="5808"/>
        <v>62962.16570394161</v>
      </c>
      <c r="AP832" s="10">
        <f t="shared" ca="1" si="5808"/>
        <v>79003.280460706403</v>
      </c>
      <c r="AQ832" s="10">
        <f t="shared" ca="1" si="5808"/>
        <v>45190.021575366969</v>
      </c>
      <c r="AR832" s="10">
        <f t="shared" ca="1" si="5808"/>
        <v>42869.12994277932</v>
      </c>
      <c r="AS832" s="10">
        <f t="shared" ca="1" si="5808"/>
        <v>65480.652332099271</v>
      </c>
      <c r="AT832" s="10">
        <f t="shared" ca="1" si="5808"/>
        <v>82163.411679134661</v>
      </c>
      <c r="AU832" s="10">
        <f t="shared" ca="1" si="5808"/>
        <v>46997.622438381644</v>
      </c>
      <c r="AV832" s="10">
        <f t="shared" ca="1" si="5808"/>
        <v>44583.89514049048</v>
      </c>
      <c r="AW832" s="10">
        <f t="shared" ca="1" si="5808"/>
        <v>68099.878425383242</v>
      </c>
      <c r="AX832" s="10">
        <f t="shared" ca="1" si="5808"/>
        <v>85449.948146300012</v>
      </c>
      <c r="AY832" s="10">
        <f t="shared" ca="1" si="5808"/>
        <v>48877.527335916908</v>
      </c>
      <c r="AZ832" s="10">
        <f t="shared" ca="1" si="5808"/>
        <v>46367.250946110093</v>
      </c>
      <c r="BA832" s="10">
        <f t="shared" ca="1" si="5808"/>
        <v>70823.873562398541</v>
      </c>
      <c r="BB832" s="10">
        <f t="shared" ca="1" si="5808"/>
        <v>88867.946072152001</v>
      </c>
      <c r="BC832" s="10">
        <f t="shared" ca="1" si="5808"/>
        <v>50832.628429353565</v>
      </c>
      <c r="BD832" s="10">
        <f t="shared" ca="1" si="5808"/>
        <v>48757.740328220658</v>
      </c>
      <c r="BE832" s="10">
        <f t="shared" ca="1" si="5808"/>
        <v>73656.828504894482</v>
      </c>
      <c r="BF832" s="10">
        <f t="shared" ca="1" si="5808"/>
        <v>92422.663915038065</v>
      </c>
      <c r="BG832" s="10">
        <f t="shared" ca="1" si="5808"/>
        <v>52865.933566527703</v>
      </c>
      <c r="BH832" s="10">
        <f t="shared" ca="1" si="5808"/>
        <v>50150.818623312662</v>
      </c>
      <c r="BI832" s="10">
        <f t="shared" ca="1" si="5808"/>
        <v>76603.101645090253</v>
      </c>
      <c r="BJ832" s="10">
        <f t="shared" ca="1" si="5808"/>
        <v>96119.570471639585</v>
      </c>
      <c r="BK832" s="10">
        <f t="shared" ca="1" si="5808"/>
        <v>54980.570909188806</v>
      </c>
      <c r="BL832" s="10">
        <f t="shared" ca="1" si="5808"/>
        <v>52156.851368245167</v>
      </c>
      <c r="BM832" s="10">
        <f t="shared" ca="1" si="5808"/>
        <v>79667.22571089385</v>
      </c>
      <c r="BN832" s="10">
        <f t="shared" ca="1" si="5808"/>
        <v>99964.353290505154</v>
      </c>
      <c r="BO832" s="10">
        <f t="shared" ca="1" si="5808"/>
        <v>57179.793745556351</v>
      </c>
      <c r="BP832" s="10">
        <f t="shared" ca="1" si="5808"/>
        <v>54243.125422974961</v>
      </c>
      <c r="BQ832" s="10">
        <f t="shared" ca="1" si="5808"/>
        <v>82853.914739329586</v>
      </c>
      <c r="BR832" s="10">
        <f t="shared" ca="1" si="5808"/>
        <v>103962.92742212534</v>
      </c>
      <c r="BS832" s="10">
        <f t="shared" ca="1" si="5808"/>
        <v>59466.985495378583</v>
      </c>
      <c r="BT832" s="10">
        <f t="shared" ca="1" si="5808"/>
        <v>57039.65988922611</v>
      </c>
      <c r="BU832" s="10">
        <f t="shared" ca="1" si="5808"/>
        <v>86168.071328902748</v>
      </c>
      <c r="BV832" s="10">
        <f t="shared" ca="1" si="5808"/>
        <v>108121.44451901031</v>
      </c>
      <c r="BW832" s="10">
        <f t="shared" ca="1" si="5808"/>
        <v>61845.664915193709</v>
      </c>
      <c r="BX832" s="10">
        <f t="shared" ca="1" si="5808"/>
        <v>58669.364457489704</v>
      </c>
      <c r="BY832" s="10">
        <f t="shared" ca="1" si="5809"/>
        <v>89614.794182058846</v>
      </c>
      <c r="BZ832" s="10">
        <f t="shared" ca="1" si="5809"/>
        <v>112446.30229977073</v>
      </c>
      <c r="CA832" s="10">
        <f t="shared" ca="1" si="5809"/>
        <v>64319.491511801454</v>
      </c>
      <c r="CB832" s="10">
        <f t="shared" ca="1" si="5809"/>
        <v>61016.139035789289</v>
      </c>
      <c r="CC832" s="10">
        <f t="shared" ca="1" si="5809"/>
        <v>93199.385949341202</v>
      </c>
      <c r="CD832" s="10">
        <f t="shared" ca="1" si="5809"/>
        <v>116944.15439176155</v>
      </c>
      <c r="CE832" s="10">
        <f t="shared" ca="1" si="5809"/>
        <v>66892.271172273511</v>
      </c>
      <c r="CF832" s="10">
        <f t="shared" ca="1" si="5809"/>
        <v>63456.784597220845</v>
      </c>
      <c r="CG832" s="10">
        <f t="shared" ca="1" si="5809"/>
        <v>96927.361387314857</v>
      </c>
      <c r="CH832" s="10">
        <f t="shared" ca="1" si="5809"/>
        <v>121621.920567432</v>
      </c>
      <c r="CI832" s="10">
        <f t="shared" ca="1" si="5809"/>
        <v>69567.962019164464</v>
      </c>
      <c r="CJ832" s="10">
        <f t="shared" ca="1" si="5809"/>
        <v>66728.334380899789</v>
      </c>
      <c r="CK832" s="10">
        <f t="shared" ca="1" si="5809"/>
        <v>100804.45584280742</v>
      </c>
      <c r="CL832" s="10">
        <f t="shared" ca="1" si="5809"/>
        <v>126486.79739012927</v>
      </c>
      <c r="CM832" s="10">
        <f t="shared" ca="1" si="5809"/>
        <v>72350.680499931026</v>
      </c>
      <c r="CN832" s="10">
        <f t="shared" ca="1" si="5809"/>
        <v>68634.858220354057</v>
      </c>
      <c r="CO832" s="10">
        <f t="shared" ca="1" si="5809"/>
        <v>104836.63407651971</v>
      </c>
    </row>
    <row r="833" spans="1:93">
      <c r="A833" s="10"/>
      <c r="B833" s="10"/>
      <c r="C833" s="17" t="s">
        <v>1056</v>
      </c>
      <c r="D833" s="10"/>
      <c r="E833" s="241">
        <f>E$816</f>
        <v>0.22</v>
      </c>
      <c r="F833" s="10"/>
      <c r="G833" s="11" t="str">
        <f t="shared" si="5806"/>
        <v>тыс. руб.</v>
      </c>
      <c r="H833" s="10"/>
      <c r="I833" s="23">
        <f t="shared" ca="1" si="5807"/>
        <v>981656.18491638347</v>
      </c>
      <c r="J833" s="10"/>
      <c r="K833" s="10"/>
      <c r="L833" s="10">
        <f t="shared" ref="L833:BA833" ca="1" si="5810" xml:space="preserve"> L$832 * $E833</f>
        <v>0</v>
      </c>
      <c r="M833" s="10">
        <f t="shared" ca="1" si="5810"/>
        <v>0</v>
      </c>
      <c r="N833" s="10">
        <f t="shared" ca="1" si="5810"/>
        <v>0</v>
      </c>
      <c r="O833" s="10">
        <f t="shared" ca="1" si="5810"/>
        <v>0</v>
      </c>
      <c r="P833" s="10">
        <f t="shared" ca="1" si="5810"/>
        <v>0</v>
      </c>
      <c r="Q833" s="10">
        <f t="shared" ca="1" si="5810"/>
        <v>0</v>
      </c>
      <c r="R833" s="10">
        <f t="shared" ca="1" si="5810"/>
        <v>0</v>
      </c>
      <c r="S833" s="10">
        <f t="shared" ca="1" si="5810"/>
        <v>0</v>
      </c>
      <c r="T833" s="10">
        <f t="shared" ca="1" si="5810"/>
        <v>0</v>
      </c>
      <c r="U833" s="10">
        <f t="shared" ca="1" si="5810"/>
        <v>0</v>
      </c>
      <c r="V833" s="10">
        <f t="shared" ca="1" si="5810"/>
        <v>0</v>
      </c>
      <c r="W833" s="10">
        <f t="shared" ca="1" si="5810"/>
        <v>0</v>
      </c>
      <c r="X833" s="10">
        <f t="shared" ca="1" si="5810"/>
        <v>0</v>
      </c>
      <c r="Y833" s="10">
        <f t="shared" ca="1" si="5810"/>
        <v>0</v>
      </c>
      <c r="Z833" s="10">
        <f t="shared" ca="1" si="5810"/>
        <v>0</v>
      </c>
      <c r="AA833" s="10">
        <f t="shared" ca="1" si="5810"/>
        <v>0</v>
      </c>
      <c r="AB833" s="10">
        <f t="shared" ca="1" si="5810"/>
        <v>0</v>
      </c>
      <c r="AC833" s="10">
        <f t="shared" ca="1" si="5810"/>
        <v>8525.1391822139176</v>
      </c>
      <c r="AD833" s="10">
        <f t="shared" ca="1" si="5810"/>
        <v>11093.311602568465</v>
      </c>
      <c r="AE833" s="10">
        <f t="shared" ca="1" si="5810"/>
        <v>6572.0158546537768</v>
      </c>
      <c r="AF833" s="10">
        <f t="shared" ca="1" si="5810"/>
        <v>6449.4693015958792</v>
      </c>
      <c r="AG833" s="10">
        <f t="shared" ca="1" si="5810"/>
        <v>10179.647675354696</v>
      </c>
      <c r="AH833" s="10">
        <f t="shared" ca="1" si="5810"/>
        <v>13185.193219052813</v>
      </c>
      <c r="AI833" s="10">
        <f t="shared" ca="1" si="5810"/>
        <v>7777.6408321281933</v>
      </c>
      <c r="AJ833" s="10">
        <f t="shared" ca="1" si="5810"/>
        <v>7601.7744834810128</v>
      </c>
      <c r="AK833" s="10">
        <f t="shared" ca="1" si="5810"/>
        <v>11952.876625255196</v>
      </c>
      <c r="AL833" s="10">
        <f t="shared" ca="1" si="5810"/>
        <v>15426.676066291791</v>
      </c>
      <c r="AM833" s="10">
        <f t="shared" ca="1" si="5810"/>
        <v>9069.2005824331209</v>
      </c>
      <c r="AN833" s="10">
        <f t="shared" ca="1" si="5810"/>
        <v>8934.1220949125618</v>
      </c>
      <c r="AO833" s="10">
        <f t="shared" ca="1" si="5810"/>
        <v>13851.676454867154</v>
      </c>
      <c r="AP833" s="10">
        <f t="shared" ca="1" si="5810"/>
        <v>17380.721701355407</v>
      </c>
      <c r="AQ833" s="10">
        <f t="shared" ca="1" si="5810"/>
        <v>9941.804746580734</v>
      </c>
      <c r="AR833" s="10">
        <f t="shared" ca="1" si="5810"/>
        <v>9431.2085874114509</v>
      </c>
      <c r="AS833" s="10">
        <f t="shared" ca="1" si="5810"/>
        <v>14405.74351306184</v>
      </c>
      <c r="AT833" s="10">
        <f t="shared" ca="1" si="5810"/>
        <v>18075.950569409626</v>
      </c>
      <c r="AU833" s="10">
        <f t="shared" ca="1" si="5810"/>
        <v>10339.476936443962</v>
      </c>
      <c r="AV833" s="10">
        <f t="shared" ca="1" si="5810"/>
        <v>9808.4569309079052</v>
      </c>
      <c r="AW833" s="10">
        <f t="shared" ca="1" si="5810"/>
        <v>14981.973253584314</v>
      </c>
      <c r="AX833" s="10">
        <f t="shared" ca="1" si="5810"/>
        <v>18798.988592186004</v>
      </c>
      <c r="AY833" s="10">
        <f t="shared" ca="1" si="5810"/>
        <v>10753.05601390172</v>
      </c>
      <c r="AZ833" s="10">
        <f t="shared" ca="1" si="5810"/>
        <v>10200.79520814422</v>
      </c>
      <c r="BA833" s="10">
        <f t="shared" ca="1" si="5810"/>
        <v>15581.25218372768</v>
      </c>
      <c r="BB833" s="10">
        <f t="shared" ref="BB833:CO836" ca="1" si="5811" xml:space="preserve"> BB$832 * $E833</f>
        <v>19550.948135873441</v>
      </c>
      <c r="BC833" s="10">
        <f t="shared" ca="1" si="5811"/>
        <v>11183.178254457784</v>
      </c>
      <c r="BD833" s="10">
        <f t="shared" ca="1" si="5811"/>
        <v>10726.702872208545</v>
      </c>
      <c r="BE833" s="10">
        <f t="shared" ca="1" si="5811"/>
        <v>16204.502271076786</v>
      </c>
      <c r="BF833" s="10">
        <f t="shared" ca="1" si="5811"/>
        <v>20332.986061308373</v>
      </c>
      <c r="BG833" s="10">
        <f t="shared" ca="1" si="5811"/>
        <v>11630.505384636095</v>
      </c>
      <c r="BH833" s="10">
        <f t="shared" ca="1" si="5811"/>
        <v>11033.180097128785</v>
      </c>
      <c r="BI833" s="10">
        <f t="shared" ca="1" si="5811"/>
        <v>16852.682361919855</v>
      </c>
      <c r="BJ833" s="10">
        <f t="shared" ca="1" si="5811"/>
        <v>21146.305503760708</v>
      </c>
      <c r="BK833" s="10">
        <f t="shared" ca="1" si="5811"/>
        <v>12095.725600021537</v>
      </c>
      <c r="BL833" s="10">
        <f t="shared" ca="1" si="5811"/>
        <v>11474.507301013937</v>
      </c>
      <c r="BM833" s="10">
        <f t="shared" ca="1" si="5811"/>
        <v>17526.789656396646</v>
      </c>
      <c r="BN833" s="10">
        <f t="shared" ca="1" si="5811"/>
        <v>21992.157723911136</v>
      </c>
      <c r="BO833" s="10">
        <f t="shared" ca="1" si="5811"/>
        <v>12579.554624022398</v>
      </c>
      <c r="BP833" s="10">
        <f t="shared" ca="1" si="5811"/>
        <v>11933.487593054491</v>
      </c>
      <c r="BQ833" s="10">
        <f t="shared" ca="1" si="5811"/>
        <v>18227.861242652511</v>
      </c>
      <c r="BR833" s="10">
        <f t="shared" ca="1" si="5811"/>
        <v>22871.844032867575</v>
      </c>
      <c r="BS833" s="10">
        <f t="shared" ca="1" si="5811"/>
        <v>13082.736808983289</v>
      </c>
      <c r="BT833" s="10">
        <f t="shared" ca="1" si="5811"/>
        <v>12548.725175629745</v>
      </c>
      <c r="BU833" s="10">
        <f t="shared" ca="1" si="5811"/>
        <v>18956.975692358606</v>
      </c>
      <c r="BV833" s="10">
        <f t="shared" ca="1" si="5811"/>
        <v>23786.71779418227</v>
      </c>
      <c r="BW833" s="10">
        <f t="shared" ca="1" si="5811"/>
        <v>13606.046281342617</v>
      </c>
      <c r="BX833" s="10">
        <f t="shared" ca="1" si="5811"/>
        <v>12907.260180647734</v>
      </c>
      <c r="BY833" s="10">
        <f t="shared" ca="1" si="5811"/>
        <v>19715.254720052948</v>
      </c>
      <c r="BZ833" s="10">
        <f t="shared" ca="1" si="5811"/>
        <v>24738.186505949561</v>
      </c>
      <c r="CA833" s="10">
        <f t="shared" ca="1" si="5811"/>
        <v>14150.288132596321</v>
      </c>
      <c r="CB833" s="10">
        <f t="shared" ca="1" si="5811"/>
        <v>13423.550587873644</v>
      </c>
      <c r="CC833" s="10">
        <f t="shared" ca="1" si="5811"/>
        <v>20503.864908855063</v>
      </c>
      <c r="CD833" s="10">
        <f t="shared" ca="1" si="5811"/>
        <v>25727.713966187541</v>
      </c>
      <c r="CE833" s="10">
        <f t="shared" ca="1" si="5811"/>
        <v>14716.299657900172</v>
      </c>
      <c r="CF833" s="10">
        <f t="shared" ca="1" si="5811"/>
        <v>13960.492611388587</v>
      </c>
      <c r="CG833" s="10">
        <f t="shared" ca="1" si="5811"/>
        <v>21324.019505209268</v>
      </c>
      <c r="CH833" s="10">
        <f t="shared" ca="1" si="5811"/>
        <v>26756.822524835039</v>
      </c>
      <c r="CI833" s="10">
        <f t="shared" ca="1" si="5811"/>
        <v>15304.951644216182</v>
      </c>
      <c r="CJ833" s="10">
        <f t="shared" ca="1" si="5811"/>
        <v>14680.233563797954</v>
      </c>
      <c r="CK833" s="10">
        <f t="shared" ca="1" si="5811"/>
        <v>22176.980285417634</v>
      </c>
      <c r="CL833" s="10">
        <f t="shared" ca="1" si="5811"/>
        <v>27827.09542582844</v>
      </c>
      <c r="CM833" s="10">
        <f t="shared" ca="1" si="5811"/>
        <v>15917.149709984826</v>
      </c>
      <c r="CN833" s="10">
        <f t="shared" ca="1" si="5811"/>
        <v>15099.668808477893</v>
      </c>
      <c r="CO833" s="10">
        <f t="shared" ca="1" si="5811"/>
        <v>23064.059496834336</v>
      </c>
    </row>
    <row r="834" spans="1:93">
      <c r="A834" s="10"/>
      <c r="B834" s="10"/>
      <c r="C834" s="17" t="s">
        <v>1057</v>
      </c>
      <c r="D834" s="10"/>
      <c r="E834" s="241">
        <f>E$817</f>
        <v>2.9000000000000001E-2</v>
      </c>
      <c r="F834" s="10"/>
      <c r="G834" s="11" t="str">
        <f t="shared" si="5806"/>
        <v>тыс. руб.</v>
      </c>
      <c r="H834" s="10"/>
      <c r="I834" s="23">
        <f t="shared" ca="1" si="5807"/>
        <v>129400.13346625057</v>
      </c>
      <c r="J834" s="10"/>
      <c r="K834" s="10"/>
      <c r="L834" s="10">
        <f t="shared" ref="L834:BI836" ca="1" si="5812" xml:space="preserve"> L$832 * $E834</f>
        <v>0</v>
      </c>
      <c r="M834" s="10">
        <f t="shared" ca="1" si="5812"/>
        <v>0</v>
      </c>
      <c r="N834" s="10">
        <f t="shared" ca="1" si="5812"/>
        <v>0</v>
      </c>
      <c r="O834" s="10">
        <f t="shared" ca="1" si="5812"/>
        <v>0</v>
      </c>
      <c r="P834" s="10">
        <f t="shared" ca="1" si="5812"/>
        <v>0</v>
      </c>
      <c r="Q834" s="10">
        <f t="shared" ca="1" si="5812"/>
        <v>0</v>
      </c>
      <c r="R834" s="10">
        <f t="shared" ca="1" si="5812"/>
        <v>0</v>
      </c>
      <c r="S834" s="10">
        <f t="shared" ca="1" si="5812"/>
        <v>0</v>
      </c>
      <c r="T834" s="10">
        <f t="shared" ca="1" si="5812"/>
        <v>0</v>
      </c>
      <c r="U834" s="10">
        <f t="shared" ca="1" si="5812"/>
        <v>0</v>
      </c>
      <c r="V834" s="10">
        <f t="shared" ca="1" si="5812"/>
        <v>0</v>
      </c>
      <c r="W834" s="10">
        <f t="shared" ca="1" si="5812"/>
        <v>0</v>
      </c>
      <c r="X834" s="10">
        <f t="shared" ca="1" si="5812"/>
        <v>0</v>
      </c>
      <c r="Y834" s="10">
        <f t="shared" ca="1" si="5812"/>
        <v>0</v>
      </c>
      <c r="Z834" s="10">
        <f t="shared" ca="1" si="5812"/>
        <v>0</v>
      </c>
      <c r="AA834" s="10">
        <f t="shared" ca="1" si="5812"/>
        <v>0</v>
      </c>
      <c r="AB834" s="10">
        <f t="shared" ca="1" si="5812"/>
        <v>0</v>
      </c>
      <c r="AC834" s="10">
        <f t="shared" ca="1" si="5812"/>
        <v>1123.7683467463801</v>
      </c>
      <c r="AD834" s="10">
        <f t="shared" ca="1" si="5812"/>
        <v>1462.3001657931161</v>
      </c>
      <c r="AE834" s="10">
        <f t="shared" ca="1" si="5812"/>
        <v>866.31118084072523</v>
      </c>
      <c r="AF834" s="10">
        <f t="shared" ca="1" si="5812"/>
        <v>850.15731702854771</v>
      </c>
      <c r="AG834" s="10">
        <f t="shared" ca="1" si="5812"/>
        <v>1341.8626481149372</v>
      </c>
      <c r="AH834" s="10">
        <f t="shared" ca="1" si="5812"/>
        <v>1738.0481970569617</v>
      </c>
      <c r="AI834" s="10">
        <f t="shared" ca="1" si="5812"/>
        <v>1025.2344733259893</v>
      </c>
      <c r="AJ834" s="10">
        <f t="shared" ca="1" si="5812"/>
        <v>1002.0520910043155</v>
      </c>
      <c r="AK834" s="10">
        <f t="shared" ca="1" si="5812"/>
        <v>1575.606464238185</v>
      </c>
      <c r="AL834" s="10">
        <f t="shared" ca="1" si="5812"/>
        <v>2033.5163905566453</v>
      </c>
      <c r="AM834" s="10">
        <f t="shared" ca="1" si="5812"/>
        <v>1195.4855313207297</v>
      </c>
      <c r="AN834" s="10">
        <f t="shared" ca="1" si="5812"/>
        <v>1177.6797306930196</v>
      </c>
      <c r="AO834" s="10">
        <f t="shared" ca="1" si="5812"/>
        <v>1825.9028054143068</v>
      </c>
      <c r="AP834" s="10">
        <f t="shared" ca="1" si="5812"/>
        <v>2291.0951333604858</v>
      </c>
      <c r="AQ834" s="10">
        <f t="shared" ca="1" si="5812"/>
        <v>1310.5106256856423</v>
      </c>
      <c r="AR834" s="10">
        <f t="shared" ca="1" si="5812"/>
        <v>1243.2047683406004</v>
      </c>
      <c r="AS834" s="10">
        <f t="shared" ca="1" si="5812"/>
        <v>1898.9389176308789</v>
      </c>
      <c r="AT834" s="10">
        <f t="shared" ca="1" si="5812"/>
        <v>2382.7389386949053</v>
      </c>
      <c r="AU834" s="10">
        <f t="shared" ca="1" si="5812"/>
        <v>1362.9310507130679</v>
      </c>
      <c r="AV834" s="10">
        <f t="shared" ca="1" si="5812"/>
        <v>1292.9329590742241</v>
      </c>
      <c r="AW834" s="10">
        <f t="shared" ca="1" si="5812"/>
        <v>1974.8964743361141</v>
      </c>
      <c r="AX834" s="10">
        <f t="shared" ca="1" si="5812"/>
        <v>2478.0484962427004</v>
      </c>
      <c r="AY834" s="10">
        <f t="shared" ca="1" si="5812"/>
        <v>1417.4482927415904</v>
      </c>
      <c r="AZ834" s="10">
        <f t="shared" ca="1" si="5812"/>
        <v>1344.6502774371927</v>
      </c>
      <c r="BA834" s="10">
        <f t="shared" ca="1" si="5812"/>
        <v>2053.8923333095577</v>
      </c>
      <c r="BB834" s="10">
        <f t="shared" ca="1" si="5812"/>
        <v>2577.1704360924082</v>
      </c>
      <c r="BC834" s="10">
        <f t="shared" ca="1" si="5812"/>
        <v>1474.1462244512534</v>
      </c>
      <c r="BD834" s="10">
        <f t="shared" ca="1" si="5812"/>
        <v>1413.9744695183992</v>
      </c>
      <c r="BE834" s="10">
        <f t="shared" ca="1" si="5812"/>
        <v>2136.0480266419399</v>
      </c>
      <c r="BF834" s="10">
        <f t="shared" ca="1" si="5812"/>
        <v>2680.2572535361041</v>
      </c>
      <c r="BG834" s="10">
        <f t="shared" ca="1" si="5812"/>
        <v>1533.1120734293036</v>
      </c>
      <c r="BH834" s="10">
        <f t="shared" ca="1" si="5812"/>
        <v>1454.3737400760672</v>
      </c>
      <c r="BI834" s="10">
        <f t="shared" ca="1" si="5812"/>
        <v>2221.4899477076174</v>
      </c>
      <c r="BJ834" s="10">
        <f t="shared" ca="1" si="5811"/>
        <v>2787.4675436775483</v>
      </c>
      <c r="BK834" s="10">
        <f t="shared" ca="1" si="5811"/>
        <v>1594.4365563664755</v>
      </c>
      <c r="BL834" s="10">
        <f t="shared" ca="1" si="5811"/>
        <v>1512.5486896791099</v>
      </c>
      <c r="BM834" s="10">
        <f t="shared" ca="1" si="5811"/>
        <v>2310.3495456159217</v>
      </c>
      <c r="BN834" s="10">
        <f t="shared" ca="1" si="5811"/>
        <v>2898.9662454246495</v>
      </c>
      <c r="BO834" s="10">
        <f t="shared" ca="1" si="5811"/>
        <v>1658.2140186211343</v>
      </c>
      <c r="BP834" s="10">
        <f t="shared" ca="1" si="5811"/>
        <v>1573.050637266274</v>
      </c>
      <c r="BQ834" s="10">
        <f t="shared" ca="1" si="5811"/>
        <v>2402.7635274405579</v>
      </c>
      <c r="BR834" s="10">
        <f t="shared" ca="1" si="5811"/>
        <v>3014.9248952416351</v>
      </c>
      <c r="BS834" s="10">
        <f t="shared" ca="1" si="5811"/>
        <v>1724.542579365979</v>
      </c>
      <c r="BT834" s="10">
        <f t="shared" ca="1" si="5811"/>
        <v>1654.1501367875574</v>
      </c>
      <c r="BU834" s="10">
        <f t="shared" ca="1" si="5811"/>
        <v>2498.8740685381799</v>
      </c>
      <c r="BV834" s="10">
        <f t="shared" ca="1" si="5811"/>
        <v>3135.5218910512995</v>
      </c>
      <c r="BW834" s="10">
        <f t="shared" ca="1" si="5811"/>
        <v>1793.5242825406176</v>
      </c>
      <c r="BX834" s="10">
        <f t="shared" ca="1" si="5811"/>
        <v>1701.4115692672015</v>
      </c>
      <c r="BY834" s="10">
        <f t="shared" ca="1" si="5811"/>
        <v>2598.8290312797067</v>
      </c>
      <c r="BZ834" s="10">
        <f t="shared" ca="1" si="5811"/>
        <v>3260.9427666933511</v>
      </c>
      <c r="CA834" s="10">
        <f t="shared" ca="1" si="5811"/>
        <v>1865.2652538422424</v>
      </c>
      <c r="CB834" s="10">
        <f t="shared" ca="1" si="5811"/>
        <v>1769.4680320378895</v>
      </c>
      <c r="CC834" s="10">
        <f t="shared" ca="1" si="5811"/>
        <v>2702.7821925308949</v>
      </c>
      <c r="CD834" s="10">
        <f t="shared" ca="1" si="5811"/>
        <v>3391.380477361085</v>
      </c>
      <c r="CE834" s="10">
        <f t="shared" ca="1" si="5811"/>
        <v>1939.8758639959319</v>
      </c>
      <c r="CF834" s="10">
        <f t="shared" ca="1" si="5811"/>
        <v>1840.2467533194047</v>
      </c>
      <c r="CG834" s="10">
        <f t="shared" ca="1" si="5811"/>
        <v>2810.893480232131</v>
      </c>
      <c r="CH834" s="10">
        <f t="shared" ca="1" si="5811"/>
        <v>3527.0356964555281</v>
      </c>
      <c r="CI834" s="10">
        <f t="shared" ca="1" si="5811"/>
        <v>2017.4708985557695</v>
      </c>
      <c r="CJ834" s="10">
        <f t="shared" ca="1" si="5811"/>
        <v>1935.1216970460939</v>
      </c>
      <c r="CK834" s="10">
        <f t="shared" ca="1" si="5811"/>
        <v>2923.3292194414153</v>
      </c>
      <c r="CL834" s="10">
        <f t="shared" ca="1" si="5811"/>
        <v>3668.1171243137492</v>
      </c>
      <c r="CM834" s="10">
        <f t="shared" ca="1" si="5811"/>
        <v>2098.1697344979998</v>
      </c>
      <c r="CN834" s="10">
        <f t="shared" ca="1" si="5811"/>
        <v>1990.4108883902677</v>
      </c>
      <c r="CO834" s="10">
        <f t="shared" ca="1" si="5811"/>
        <v>3040.2623882190719</v>
      </c>
    </row>
    <row r="835" spans="1:93">
      <c r="A835" s="10"/>
      <c r="B835" s="10"/>
      <c r="C835" s="17" t="s">
        <v>1058</v>
      </c>
      <c r="D835" s="10"/>
      <c r="E835" s="241">
        <f>E$818</f>
        <v>5.0999999999999997E-2</v>
      </c>
      <c r="F835" s="10"/>
      <c r="G835" s="11" t="str">
        <f t="shared" si="5806"/>
        <v>тыс. руб.</v>
      </c>
      <c r="H835" s="10"/>
      <c r="I835" s="23">
        <f t="shared" ca="1" si="5807"/>
        <v>227565.75195788892</v>
      </c>
      <c r="J835" s="10"/>
      <c r="K835" s="10"/>
      <c r="L835" s="10">
        <f t="shared" ca="1" si="5812"/>
        <v>0</v>
      </c>
      <c r="M835" s="10">
        <f t="shared" ca="1" si="5812"/>
        <v>0</v>
      </c>
      <c r="N835" s="10">
        <f t="shared" ca="1" si="5812"/>
        <v>0</v>
      </c>
      <c r="O835" s="10">
        <f t="shared" ca="1" si="5812"/>
        <v>0</v>
      </c>
      <c r="P835" s="10">
        <f t="shared" ca="1" si="5812"/>
        <v>0</v>
      </c>
      <c r="Q835" s="10">
        <f t="shared" ca="1" si="5812"/>
        <v>0</v>
      </c>
      <c r="R835" s="10">
        <f t="shared" ca="1" si="5812"/>
        <v>0</v>
      </c>
      <c r="S835" s="10">
        <f t="shared" ca="1" si="5812"/>
        <v>0</v>
      </c>
      <c r="T835" s="10">
        <f t="shared" ref="T835:CE836" ca="1" si="5813" xml:space="preserve"> T$832 * $E835</f>
        <v>0</v>
      </c>
      <c r="U835" s="10">
        <f t="shared" ca="1" si="5813"/>
        <v>0</v>
      </c>
      <c r="V835" s="10">
        <f t="shared" ca="1" si="5813"/>
        <v>0</v>
      </c>
      <c r="W835" s="10">
        <f t="shared" ca="1" si="5813"/>
        <v>0</v>
      </c>
      <c r="X835" s="10">
        <f t="shared" ca="1" si="5813"/>
        <v>0</v>
      </c>
      <c r="Y835" s="10">
        <f t="shared" ca="1" si="5813"/>
        <v>0</v>
      </c>
      <c r="Z835" s="10">
        <f t="shared" ca="1" si="5813"/>
        <v>0</v>
      </c>
      <c r="AA835" s="10">
        <f t="shared" ca="1" si="5813"/>
        <v>0</v>
      </c>
      <c r="AB835" s="10">
        <f t="shared" ca="1" si="5813"/>
        <v>0</v>
      </c>
      <c r="AC835" s="10">
        <f t="shared" ca="1" si="5813"/>
        <v>1976.2822649677719</v>
      </c>
      <c r="AD835" s="10">
        <f t="shared" ca="1" si="5813"/>
        <v>2571.6313260499624</v>
      </c>
      <c r="AE835" s="10">
        <f t="shared" ca="1" si="5813"/>
        <v>1523.5127663061028</v>
      </c>
      <c r="AF835" s="10">
        <f t="shared" ca="1" si="5813"/>
        <v>1495.1042471881356</v>
      </c>
      <c r="AG835" s="10">
        <f t="shared" ca="1" si="5813"/>
        <v>2359.8274156504067</v>
      </c>
      <c r="AH835" s="10">
        <f t="shared" ca="1" si="5813"/>
        <v>3056.567518962243</v>
      </c>
      <c r="AI835" s="10">
        <f t="shared" ca="1" si="5813"/>
        <v>1802.9985565388083</v>
      </c>
      <c r="AJ835" s="10">
        <f t="shared" ca="1" si="5813"/>
        <v>1762.2295393524166</v>
      </c>
      <c r="AK835" s="10">
        <f t="shared" ca="1" si="5813"/>
        <v>2770.8941267637042</v>
      </c>
      <c r="AL835" s="10">
        <f t="shared" ca="1" si="5813"/>
        <v>3576.183997185824</v>
      </c>
      <c r="AM835" s="10">
        <f t="shared" ca="1" si="5813"/>
        <v>2102.4055895640417</v>
      </c>
      <c r="AN835" s="10">
        <f t="shared" ca="1" si="5813"/>
        <v>2071.0919401842752</v>
      </c>
      <c r="AO835" s="10">
        <f t="shared" ca="1" si="5813"/>
        <v>3211.070450901022</v>
      </c>
      <c r="AP835" s="10">
        <f t="shared" ca="1" si="5813"/>
        <v>4029.1673034960263</v>
      </c>
      <c r="AQ835" s="10">
        <f t="shared" ca="1" si="5813"/>
        <v>2304.6911003437153</v>
      </c>
      <c r="AR835" s="10">
        <f t="shared" ca="1" si="5813"/>
        <v>2186.3256270817451</v>
      </c>
      <c r="AS835" s="10">
        <f t="shared" ca="1" si="5813"/>
        <v>3339.5132689370625</v>
      </c>
      <c r="AT835" s="10">
        <f t="shared" ca="1" si="5813"/>
        <v>4190.3339956358677</v>
      </c>
      <c r="AU835" s="10">
        <f t="shared" ca="1" si="5813"/>
        <v>2396.8787443574638</v>
      </c>
      <c r="AV835" s="10">
        <f t="shared" ca="1" si="5813"/>
        <v>2273.7786521650141</v>
      </c>
      <c r="AW835" s="10">
        <f t="shared" ca="1" si="5813"/>
        <v>3473.0937996945449</v>
      </c>
      <c r="AX835" s="10">
        <f t="shared" ca="1" si="5813"/>
        <v>4357.9473554613005</v>
      </c>
      <c r="AY835" s="10">
        <f t="shared" ca="1" si="5813"/>
        <v>2492.7538941317621</v>
      </c>
      <c r="AZ835" s="10">
        <f t="shared" ca="1" si="5813"/>
        <v>2364.7297982516147</v>
      </c>
      <c r="BA835" s="10">
        <f t="shared" ca="1" si="5813"/>
        <v>3612.0175516823256</v>
      </c>
      <c r="BB835" s="10">
        <f t="shared" ca="1" si="5813"/>
        <v>4532.2652496797518</v>
      </c>
      <c r="BC835" s="10">
        <f t="shared" ca="1" si="5813"/>
        <v>2592.4640498970316</v>
      </c>
      <c r="BD835" s="10">
        <f t="shared" ca="1" si="5813"/>
        <v>2486.6447567392534</v>
      </c>
      <c r="BE835" s="10">
        <f t="shared" ca="1" si="5813"/>
        <v>3756.4982537496185</v>
      </c>
      <c r="BF835" s="10">
        <f t="shared" ca="1" si="5813"/>
        <v>4713.5558596669407</v>
      </c>
      <c r="BG835" s="10">
        <f t="shared" ca="1" si="5813"/>
        <v>2696.1626118929125</v>
      </c>
      <c r="BH835" s="10">
        <f t="shared" ca="1" si="5813"/>
        <v>2557.6917497889458</v>
      </c>
      <c r="BI835" s="10">
        <f t="shared" ca="1" si="5813"/>
        <v>3906.7581838996025</v>
      </c>
      <c r="BJ835" s="10">
        <f t="shared" ca="1" si="5813"/>
        <v>4902.0980940536183</v>
      </c>
      <c r="BK835" s="10">
        <f t="shared" ca="1" si="5813"/>
        <v>2804.0091163686288</v>
      </c>
      <c r="BL835" s="10">
        <f t="shared" ca="1" si="5813"/>
        <v>2659.9994197805031</v>
      </c>
      <c r="BM835" s="10">
        <f t="shared" ca="1" si="5813"/>
        <v>4063.0285112555862</v>
      </c>
      <c r="BN835" s="10">
        <f t="shared" ca="1" si="5813"/>
        <v>5098.1820178157623</v>
      </c>
      <c r="BO835" s="10">
        <f t="shared" ca="1" si="5813"/>
        <v>2916.1694810233739</v>
      </c>
      <c r="BP835" s="10">
        <f t="shared" ca="1" si="5813"/>
        <v>2766.3993965717227</v>
      </c>
      <c r="BQ835" s="10">
        <f t="shared" ca="1" si="5813"/>
        <v>4225.5496517058082</v>
      </c>
      <c r="BR835" s="10">
        <f t="shared" ca="1" si="5813"/>
        <v>5302.1092985283922</v>
      </c>
      <c r="BS835" s="10">
        <f t="shared" ca="1" si="5813"/>
        <v>3032.8162602643074</v>
      </c>
      <c r="BT835" s="10">
        <f t="shared" ca="1" si="5813"/>
        <v>2909.0226543505314</v>
      </c>
      <c r="BU835" s="10">
        <f t="shared" ca="1" si="5813"/>
        <v>4394.57163777404</v>
      </c>
      <c r="BV835" s="10">
        <f t="shared" ca="1" si="5813"/>
        <v>5514.1936704695254</v>
      </c>
      <c r="BW835" s="10">
        <f t="shared" ca="1" si="5813"/>
        <v>3154.1289106748791</v>
      </c>
      <c r="BX835" s="10">
        <f t="shared" ca="1" si="5813"/>
        <v>2992.1375873319748</v>
      </c>
      <c r="BY835" s="10">
        <f t="shared" ca="1" si="5813"/>
        <v>4570.3545032850006</v>
      </c>
      <c r="BZ835" s="10">
        <f t="shared" ca="1" si="5813"/>
        <v>5734.7614172883068</v>
      </c>
      <c r="CA835" s="10">
        <f t="shared" ca="1" si="5813"/>
        <v>3280.2940671018741</v>
      </c>
      <c r="CB835" s="10">
        <f t="shared" ca="1" si="5813"/>
        <v>3111.8230908252535</v>
      </c>
      <c r="CC835" s="10">
        <f t="shared" ca="1" si="5813"/>
        <v>4753.1686834164011</v>
      </c>
      <c r="CD835" s="10">
        <f t="shared" ca="1" si="5813"/>
        <v>5964.1518739798385</v>
      </c>
      <c r="CE835" s="10">
        <f t="shared" ca="1" si="5813"/>
        <v>3411.5058297859487</v>
      </c>
      <c r="CF835" s="10">
        <f t="shared" ca="1" si="5811"/>
        <v>3236.296014458263</v>
      </c>
      <c r="CG835" s="10">
        <f t="shared" ca="1" si="5811"/>
        <v>4943.2954307530572</v>
      </c>
      <c r="CH835" s="10">
        <f t="shared" ca="1" si="5811"/>
        <v>6202.717948939031</v>
      </c>
      <c r="CI835" s="10">
        <f t="shared" ca="1" si="5811"/>
        <v>3547.9660629773875</v>
      </c>
      <c r="CJ835" s="10">
        <f t="shared" ca="1" si="5811"/>
        <v>3403.1450534258888</v>
      </c>
      <c r="CK835" s="10">
        <f t="shared" ca="1" si="5811"/>
        <v>5141.0272479831783</v>
      </c>
      <c r="CL835" s="10">
        <f t="shared" ca="1" si="5811"/>
        <v>6450.8266668965925</v>
      </c>
      <c r="CM835" s="10">
        <f t="shared" ca="1" si="5811"/>
        <v>3689.8847054964822</v>
      </c>
      <c r="CN835" s="10">
        <f t="shared" ca="1" si="5811"/>
        <v>3500.3777692380568</v>
      </c>
      <c r="CO835" s="10">
        <f t="shared" ca="1" si="5811"/>
        <v>5346.6683379025044</v>
      </c>
    </row>
    <row r="836" spans="1:93">
      <c r="A836" s="10"/>
      <c r="B836" s="10"/>
      <c r="C836" s="17" t="s">
        <v>1059</v>
      </c>
      <c r="D836" s="10"/>
      <c r="E836" s="241">
        <f>E$819</f>
        <v>2E-3</v>
      </c>
      <c r="F836" s="10"/>
      <c r="G836" s="11" t="str">
        <f t="shared" si="5806"/>
        <v>тыс. руб.</v>
      </c>
      <c r="H836" s="10"/>
      <c r="I836" s="23">
        <f t="shared" ca="1" si="5807"/>
        <v>8924.1471356034872</v>
      </c>
      <c r="J836" s="10"/>
      <c r="K836" s="10"/>
      <c r="L836" s="10">
        <f t="shared" ca="1" si="5812"/>
        <v>0</v>
      </c>
      <c r="M836" s="10">
        <f t="shared" ca="1" si="5812"/>
        <v>0</v>
      </c>
      <c r="N836" s="10">
        <f t="shared" ca="1" si="5812"/>
        <v>0</v>
      </c>
      <c r="O836" s="10">
        <f t="shared" ca="1" si="5812"/>
        <v>0</v>
      </c>
      <c r="P836" s="10">
        <f t="shared" ca="1" si="5812"/>
        <v>0</v>
      </c>
      <c r="Q836" s="10">
        <f t="shared" ca="1" si="5812"/>
        <v>0</v>
      </c>
      <c r="R836" s="10">
        <f t="shared" ca="1" si="5812"/>
        <v>0</v>
      </c>
      <c r="S836" s="10">
        <f t="shared" ca="1" si="5812"/>
        <v>0</v>
      </c>
      <c r="T836" s="10">
        <f t="shared" ca="1" si="5813"/>
        <v>0</v>
      </c>
      <c r="U836" s="10">
        <f t="shared" ca="1" si="5813"/>
        <v>0</v>
      </c>
      <c r="V836" s="10">
        <f t="shared" ca="1" si="5813"/>
        <v>0</v>
      </c>
      <c r="W836" s="10">
        <f t="shared" ca="1" si="5813"/>
        <v>0</v>
      </c>
      <c r="X836" s="10">
        <f t="shared" ca="1" si="5813"/>
        <v>0</v>
      </c>
      <c r="Y836" s="10">
        <f t="shared" ca="1" si="5813"/>
        <v>0</v>
      </c>
      <c r="Z836" s="10">
        <f t="shared" ca="1" si="5813"/>
        <v>0</v>
      </c>
      <c r="AA836" s="10">
        <f t="shared" ca="1" si="5813"/>
        <v>0</v>
      </c>
      <c r="AB836" s="10">
        <f t="shared" ca="1" si="5813"/>
        <v>0</v>
      </c>
      <c r="AC836" s="10">
        <f t="shared" ca="1" si="5813"/>
        <v>77.501265292853802</v>
      </c>
      <c r="AD836" s="10">
        <f t="shared" ca="1" si="5813"/>
        <v>100.84828729607696</v>
      </c>
      <c r="AE836" s="10">
        <f t="shared" ca="1" si="5813"/>
        <v>59.745598678670703</v>
      </c>
      <c r="AF836" s="10">
        <f t="shared" ca="1" si="5813"/>
        <v>58.631539105417083</v>
      </c>
      <c r="AG836" s="10">
        <f t="shared" ca="1" si="5813"/>
        <v>92.542251594133603</v>
      </c>
      <c r="AH836" s="10">
        <f t="shared" ca="1" si="5813"/>
        <v>119.86539290048012</v>
      </c>
      <c r="AI836" s="10">
        <f t="shared" ca="1" si="5813"/>
        <v>70.705825746619951</v>
      </c>
      <c r="AJ836" s="10">
        <f t="shared" ca="1" si="5813"/>
        <v>69.107040758918302</v>
      </c>
      <c r="AK836" s="10">
        <f t="shared" ca="1" si="5813"/>
        <v>108.66251477504724</v>
      </c>
      <c r="AL836" s="10">
        <f t="shared" ca="1" si="5813"/>
        <v>140.24250969356174</v>
      </c>
      <c r="AM836" s="10">
        <f t="shared" ca="1" si="5813"/>
        <v>82.447278022119278</v>
      </c>
      <c r="AN836" s="10">
        <f t="shared" ca="1" si="5813"/>
        <v>81.219291771932376</v>
      </c>
      <c r="AO836" s="10">
        <f t="shared" ca="1" si="5813"/>
        <v>125.92433140788322</v>
      </c>
      <c r="AP836" s="10">
        <f t="shared" ca="1" si="5813"/>
        <v>158.00656092141281</v>
      </c>
      <c r="AQ836" s="10">
        <f t="shared" ca="1" si="5813"/>
        <v>90.38004315073394</v>
      </c>
      <c r="AR836" s="10">
        <f t="shared" ca="1" si="5813"/>
        <v>85.738259885558648</v>
      </c>
      <c r="AS836" s="10">
        <f t="shared" ca="1" si="5813"/>
        <v>130.96130466419854</v>
      </c>
      <c r="AT836" s="10">
        <f t="shared" ca="1" si="5813"/>
        <v>164.32682335826934</v>
      </c>
      <c r="AU836" s="10">
        <f t="shared" ca="1" si="5813"/>
        <v>93.995244876763294</v>
      </c>
      <c r="AV836" s="10">
        <f t="shared" ca="1" si="5813"/>
        <v>89.167790280980967</v>
      </c>
      <c r="AW836" s="10">
        <f t="shared" ca="1" si="5813"/>
        <v>136.19975685076648</v>
      </c>
      <c r="AX836" s="10">
        <f t="shared" ca="1" si="5813"/>
        <v>170.89989629260003</v>
      </c>
      <c r="AY836" s="10">
        <f t="shared" ca="1" si="5813"/>
        <v>97.755054671833818</v>
      </c>
      <c r="AZ836" s="10">
        <f t="shared" ca="1" si="5813"/>
        <v>92.73450189222018</v>
      </c>
      <c r="BA836" s="10">
        <f t="shared" ca="1" si="5813"/>
        <v>141.64774712479709</v>
      </c>
      <c r="BB836" s="10">
        <f t="shared" ca="1" si="5813"/>
        <v>177.73589214430402</v>
      </c>
      <c r="BC836" s="10">
        <f t="shared" ca="1" si="5813"/>
        <v>101.66525685870712</v>
      </c>
      <c r="BD836" s="10">
        <f t="shared" ca="1" si="5813"/>
        <v>97.515480656441312</v>
      </c>
      <c r="BE836" s="10">
        <f t="shared" ca="1" si="5813"/>
        <v>147.31365700978895</v>
      </c>
      <c r="BF836" s="10">
        <f t="shared" ca="1" si="5813"/>
        <v>184.84532783007614</v>
      </c>
      <c r="BG836" s="10">
        <f t="shared" ca="1" si="5813"/>
        <v>105.7318671330554</v>
      </c>
      <c r="BH836" s="10">
        <f t="shared" ca="1" si="5813"/>
        <v>100.30163724662532</v>
      </c>
      <c r="BI836" s="10">
        <f t="shared" ca="1" si="5813"/>
        <v>153.2062032901805</v>
      </c>
      <c r="BJ836" s="10">
        <f t="shared" ca="1" si="5813"/>
        <v>192.23914094327918</v>
      </c>
      <c r="BK836" s="10">
        <f t="shared" ca="1" si="5813"/>
        <v>109.96114181837761</v>
      </c>
      <c r="BL836" s="10">
        <f t="shared" ca="1" si="5813"/>
        <v>104.31370273649034</v>
      </c>
      <c r="BM836" s="10">
        <f t="shared" ca="1" si="5813"/>
        <v>159.33445142178769</v>
      </c>
      <c r="BN836" s="10">
        <f t="shared" ca="1" si="5813"/>
        <v>199.92870658101032</v>
      </c>
      <c r="BO836" s="10">
        <f t="shared" ca="1" si="5813"/>
        <v>114.35958749111271</v>
      </c>
      <c r="BP836" s="10">
        <f t="shared" ca="1" si="5813"/>
        <v>108.48625084594993</v>
      </c>
      <c r="BQ836" s="10">
        <f t="shared" ca="1" si="5813"/>
        <v>165.70782947865916</v>
      </c>
      <c r="BR836" s="10">
        <f t="shared" ca="1" si="5813"/>
        <v>207.92585484425069</v>
      </c>
      <c r="BS836" s="10">
        <f t="shared" ca="1" si="5813"/>
        <v>118.93397099075717</v>
      </c>
      <c r="BT836" s="10">
        <f t="shared" ca="1" si="5813"/>
        <v>114.07931977845222</v>
      </c>
      <c r="BU836" s="10">
        <f t="shared" ca="1" si="5813"/>
        <v>172.33614265780551</v>
      </c>
      <c r="BV836" s="10">
        <f t="shared" ca="1" si="5813"/>
        <v>216.24288903802062</v>
      </c>
      <c r="BW836" s="10">
        <f t="shared" ca="1" si="5813"/>
        <v>123.69132983038742</v>
      </c>
      <c r="BX836" s="10">
        <f t="shared" ca="1" si="5813"/>
        <v>117.33872891497941</v>
      </c>
      <c r="BY836" s="10">
        <f t="shared" ca="1" si="5813"/>
        <v>179.22958836411769</v>
      </c>
      <c r="BZ836" s="10">
        <f t="shared" ca="1" si="5813"/>
        <v>224.89260459954147</v>
      </c>
      <c r="CA836" s="10">
        <f t="shared" ca="1" si="5813"/>
        <v>128.63898302360292</v>
      </c>
      <c r="CB836" s="10">
        <f t="shared" ca="1" si="5813"/>
        <v>122.03227807157857</v>
      </c>
      <c r="CC836" s="10">
        <f t="shared" ca="1" si="5813"/>
        <v>186.39877189868241</v>
      </c>
      <c r="CD836" s="10">
        <f t="shared" ca="1" si="5813"/>
        <v>233.88830878352312</v>
      </c>
      <c r="CE836" s="10">
        <f t="shared" ca="1" si="5813"/>
        <v>133.78454234454702</v>
      </c>
      <c r="CF836" s="10">
        <f t="shared" ca="1" si="5811"/>
        <v>126.91356919444169</v>
      </c>
      <c r="CG836" s="10">
        <f t="shared" ca="1" si="5811"/>
        <v>193.85472277462972</v>
      </c>
      <c r="CH836" s="10">
        <f t="shared" ca="1" si="5811"/>
        <v>243.243841134864</v>
      </c>
      <c r="CI836" s="10">
        <f t="shared" ca="1" si="5811"/>
        <v>139.13592403832894</v>
      </c>
      <c r="CJ836" s="10">
        <f t="shared" ca="1" si="5811"/>
        <v>133.45666876179959</v>
      </c>
      <c r="CK836" s="10">
        <f t="shared" ca="1" si="5811"/>
        <v>201.60891168561486</v>
      </c>
      <c r="CL836" s="10">
        <f t="shared" ca="1" si="5811"/>
        <v>252.97359478025854</v>
      </c>
      <c r="CM836" s="10">
        <f t="shared" ca="1" si="5811"/>
        <v>144.70136099986206</v>
      </c>
      <c r="CN836" s="10">
        <f t="shared" ca="1" si="5811"/>
        <v>137.26971644070812</v>
      </c>
      <c r="CO836" s="10">
        <f t="shared" ca="1" si="5811"/>
        <v>209.67326815303943</v>
      </c>
    </row>
    <row r="837" spans="1:93">
      <c r="A837" s="10"/>
      <c r="B837" s="10"/>
      <c r="C837" s="17"/>
      <c r="D837" s="10"/>
      <c r="E837" s="242"/>
      <c r="F837" s="10"/>
      <c r="G837" s="11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  <c r="BB837" s="10"/>
      <c r="BC837" s="10"/>
      <c r="BD837" s="10"/>
      <c r="BE837" s="10"/>
      <c r="BF837" s="10"/>
      <c r="BG837" s="10"/>
      <c r="BH837" s="10"/>
      <c r="BI837" s="10"/>
      <c r="BJ837" s="10"/>
      <c r="BK837" s="10"/>
      <c r="BL837" s="10"/>
      <c r="BM837" s="10"/>
      <c r="BN837" s="10"/>
      <c r="BO837" s="10"/>
      <c r="BP837" s="10"/>
      <c r="BQ837" s="10"/>
      <c r="BR837" s="10"/>
      <c r="BS837" s="10"/>
      <c r="BT837" s="10"/>
      <c r="BU837" s="10"/>
      <c r="BV837" s="10"/>
      <c r="BW837" s="10"/>
      <c r="BX837" s="10"/>
      <c r="BY837" s="10"/>
      <c r="BZ837" s="10"/>
      <c r="CA837" s="10"/>
      <c r="CB837" s="10"/>
      <c r="CC837" s="10"/>
      <c r="CD837" s="10"/>
      <c r="CE837" s="10"/>
      <c r="CF837" s="10"/>
      <c r="CG837" s="10"/>
      <c r="CH837" s="10"/>
      <c r="CI837" s="10"/>
      <c r="CJ837" s="10"/>
      <c r="CK837" s="10"/>
      <c r="CL837" s="10"/>
      <c r="CM837" s="10"/>
      <c r="CN837" s="10"/>
      <c r="CO837" s="10"/>
    </row>
    <row r="838" spans="1:93">
      <c r="A838" s="10"/>
      <c r="B838" s="10"/>
      <c r="C838" s="41" t="s">
        <v>746</v>
      </c>
      <c r="D838" s="10"/>
      <c r="E838" s="10"/>
      <c r="F838" s="10"/>
      <c r="G838" s="11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  <c r="BB838" s="10"/>
      <c r="BC838" s="10"/>
      <c r="BD838" s="10"/>
      <c r="BE838" s="10"/>
      <c r="BF838" s="10"/>
      <c r="BG838" s="10"/>
      <c r="BH838" s="10"/>
      <c r="BI838" s="10"/>
      <c r="BJ838" s="10"/>
      <c r="BK838" s="10"/>
      <c r="BL838" s="10"/>
      <c r="BM838" s="10"/>
      <c r="BN838" s="10"/>
      <c r="BO838" s="10"/>
      <c r="BP838" s="10"/>
      <c r="BQ838" s="10"/>
      <c r="BR838" s="10"/>
      <c r="BS838" s="10"/>
      <c r="BT838" s="10"/>
      <c r="BU838" s="10"/>
      <c r="BV838" s="10"/>
      <c r="BW838" s="10"/>
      <c r="BX838" s="10"/>
      <c r="BY838" s="10"/>
      <c r="BZ838" s="10"/>
      <c r="CA838" s="10"/>
      <c r="CB838" s="10"/>
      <c r="CC838" s="10"/>
      <c r="CD838" s="10"/>
      <c r="CE838" s="10"/>
      <c r="CF838" s="10"/>
      <c r="CG838" s="10"/>
      <c r="CH838" s="10"/>
      <c r="CI838" s="10"/>
      <c r="CJ838" s="10"/>
      <c r="CK838" s="10"/>
      <c r="CL838" s="10"/>
      <c r="CM838" s="10"/>
      <c r="CN838" s="10"/>
      <c r="CO838" s="10"/>
    </row>
    <row r="839" spans="1:93">
      <c r="A839" s="10"/>
      <c r="B839" s="10"/>
      <c r="C839" s="17" t="s">
        <v>722</v>
      </c>
      <c r="D839" s="10"/>
      <c r="E839" s="241">
        <f>E807</f>
        <v>0.3</v>
      </c>
      <c r="F839" s="10"/>
      <c r="G839" s="11" t="str">
        <f t="shared" ref="G839:G845" si="5814">Monetary_Unit</f>
        <v>тыс. руб.</v>
      </c>
      <c r="H839" s="10"/>
      <c r="I839" s="23">
        <f t="shared" ref="I839:I845" ca="1" si="5815">SUM(L839:CO839)</f>
        <v>7913343.3932386786</v>
      </c>
      <c r="J839" s="10"/>
      <c r="K839" s="10"/>
      <c r="L839" s="452">
        <f ca="1" xml:space="preserve"> L$827 * $E839 * $I$775</f>
        <v>0</v>
      </c>
      <c r="M839" s="452">
        <f t="shared" ref="M839:BX841" ca="1" si="5816" xml:space="preserve"> M$827 * $E839 * $I$775</f>
        <v>0</v>
      </c>
      <c r="N839" s="452">
        <f t="shared" ca="1" si="5816"/>
        <v>0</v>
      </c>
      <c r="O839" s="452">
        <f t="shared" ca="1" si="5816"/>
        <v>0</v>
      </c>
      <c r="P839" s="452">
        <f t="shared" ca="1" si="5816"/>
        <v>0</v>
      </c>
      <c r="Q839" s="452">
        <f t="shared" ca="1" si="5816"/>
        <v>0</v>
      </c>
      <c r="R839" s="452">
        <f t="shared" ca="1" si="5816"/>
        <v>0</v>
      </c>
      <c r="S839" s="452">
        <f t="shared" ca="1" si="5816"/>
        <v>0</v>
      </c>
      <c r="T839" s="452">
        <f t="shared" ca="1" si="5816"/>
        <v>0</v>
      </c>
      <c r="U839" s="452">
        <f t="shared" ca="1" si="5816"/>
        <v>0</v>
      </c>
      <c r="V839" s="452">
        <f t="shared" ca="1" si="5816"/>
        <v>0</v>
      </c>
      <c r="W839" s="452">
        <f t="shared" ca="1" si="5816"/>
        <v>0</v>
      </c>
      <c r="X839" s="452">
        <f t="shared" ca="1" si="5816"/>
        <v>0</v>
      </c>
      <c r="Y839" s="452">
        <f t="shared" ca="1" si="5816"/>
        <v>0</v>
      </c>
      <c r="Z839" s="452">
        <f t="shared" ca="1" si="5816"/>
        <v>0</v>
      </c>
      <c r="AA839" s="452">
        <f t="shared" ca="1" si="5816"/>
        <v>0</v>
      </c>
      <c r="AB839" s="452">
        <f t="shared" ca="1" si="5816"/>
        <v>0</v>
      </c>
      <c r="AC839" s="452">
        <f t="shared" ca="1" si="5816"/>
        <v>68722.995750043643</v>
      </c>
      <c r="AD839" s="452">
        <f t="shared" ca="1" si="5816"/>
        <v>89425.590576603528</v>
      </c>
      <c r="AE839" s="452">
        <f t="shared" ca="1" si="5816"/>
        <v>52978.445042970074</v>
      </c>
      <c r="AF839" s="452">
        <f t="shared" ca="1" si="5816"/>
        <v>51990.57070274221</v>
      </c>
      <c r="AG839" s="452">
        <f t="shared" ca="1" si="5816"/>
        <v>82060.347517829898</v>
      </c>
      <c r="AH839" s="452">
        <f t="shared" ca="1" si="5816"/>
        <v>106288.7019424774</v>
      </c>
      <c r="AI839" s="452">
        <f t="shared" ca="1" si="5816"/>
        <v>62697.249443956316</v>
      </c>
      <c r="AJ839" s="452">
        <f t="shared" ca="1" si="5816"/>
        <v>61279.552668298827</v>
      </c>
      <c r="AK839" s="452">
        <f t="shared" ca="1" si="5816"/>
        <v>96354.730633839034</v>
      </c>
      <c r="AL839" s="452">
        <f t="shared" ca="1" si="5816"/>
        <v>124357.78127269856</v>
      </c>
      <c r="AM839" s="452">
        <f t="shared" ca="1" si="5816"/>
        <v>73108.792684952714</v>
      </c>
      <c r="AN839" s="452">
        <f t="shared" ca="1" si="5816"/>
        <v>72019.895703286427</v>
      </c>
      <c r="AO839" s="452">
        <f t="shared" ca="1" si="5816"/>
        <v>111661.36784310022</v>
      </c>
      <c r="AP839" s="452">
        <f t="shared" ca="1" si="5816"/>
        <v>140109.76690057362</v>
      </c>
      <c r="AQ839" s="452">
        <f t="shared" ca="1" si="5816"/>
        <v>80143.044089234594</v>
      </c>
      <c r="AR839" s="452">
        <f t="shared" ca="1" si="5816"/>
        <v>76027.017719860203</v>
      </c>
      <c r="AS839" s="452">
        <f t="shared" ca="1" si="5816"/>
        <v>116127.82255682423</v>
      </c>
      <c r="AT839" s="452">
        <f t="shared" ca="1" si="5816"/>
        <v>145714.1575765966</v>
      </c>
      <c r="AU839" s="452">
        <f t="shared" ca="1" si="5816"/>
        <v>83348.765852803976</v>
      </c>
      <c r="AV839" s="452">
        <f t="shared" ca="1" si="5816"/>
        <v>79068.098428654615</v>
      </c>
      <c r="AW839" s="452">
        <f t="shared" ca="1" si="5816"/>
        <v>120772.93545909721</v>
      </c>
      <c r="AX839" s="452">
        <f t="shared" ca="1" si="5816"/>
        <v>151542.72387966039</v>
      </c>
      <c r="AY839" s="452">
        <f t="shared" ca="1" si="5816"/>
        <v>86682.716486916135</v>
      </c>
      <c r="AZ839" s="452">
        <f t="shared" ca="1" si="5816"/>
        <v>82230.822365800777</v>
      </c>
      <c r="BA839" s="452">
        <f t="shared" ca="1" si="5816"/>
        <v>125603.85287746105</v>
      </c>
      <c r="BB839" s="452">
        <f t="shared" ca="1" si="5816"/>
        <v>157604.43283484678</v>
      </c>
      <c r="BC839" s="452">
        <f t="shared" ca="1" si="5816"/>
        <v>90150.025146392756</v>
      </c>
      <c r="BD839" s="452">
        <f t="shared" ca="1" si="5816"/>
        <v>86470.278096659822</v>
      </c>
      <c r="BE839" s="452">
        <f t="shared" ca="1" si="5816"/>
        <v>130628.00699255947</v>
      </c>
      <c r="BF839" s="452">
        <f t="shared" ca="1" si="5816"/>
        <v>163908.61014824061</v>
      </c>
      <c r="BG839" s="452">
        <f t="shared" ca="1" si="5816"/>
        <v>93756.026152248451</v>
      </c>
      <c r="BH839" s="452">
        <f t="shared" ca="1" si="5816"/>
        <v>88940.857470850096</v>
      </c>
      <c r="BI839" s="452">
        <f t="shared" ca="1" si="5816"/>
        <v>135853.12727226186</v>
      </c>
      <c r="BJ839" s="452">
        <f t="shared" ca="1" si="5816"/>
        <v>170464.95455417025</v>
      </c>
      <c r="BK839" s="452">
        <f t="shared" ca="1" si="5816"/>
        <v>97506.267198338377</v>
      </c>
      <c r="BL839" s="452">
        <f t="shared" ca="1" si="5816"/>
        <v>92498.4917696841</v>
      </c>
      <c r="BM839" s="452">
        <f t="shared" ca="1" si="5816"/>
        <v>141287.25236315231</v>
      </c>
      <c r="BN839" s="452">
        <f t="shared" ca="1" si="5816"/>
        <v>177283.55273633703</v>
      </c>
      <c r="BO839" s="452">
        <f t="shared" ca="1" si="5816"/>
        <v>101406.51788627189</v>
      </c>
      <c r="BP839" s="452">
        <f t="shared" ca="1" si="5816"/>
        <v>96198.431440471453</v>
      </c>
      <c r="BQ839" s="452">
        <f t="shared" ca="1" si="5816"/>
        <v>146938.74245767837</v>
      </c>
      <c r="BR839" s="452">
        <f t="shared" ca="1" si="5816"/>
        <v>184374.89484579049</v>
      </c>
      <c r="BS839" s="452">
        <f t="shared" ca="1" si="5816"/>
        <v>105462.77860172273</v>
      </c>
      <c r="BT839" s="452">
        <f t="shared" ca="1" si="5816"/>
        <v>101157.99501695797</v>
      </c>
      <c r="BU839" s="452">
        <f t="shared" ca="1" si="5816"/>
        <v>152816.29215598546</v>
      </c>
      <c r="BV839" s="452">
        <f t="shared" ca="1" si="5816"/>
        <v>191749.89063962203</v>
      </c>
      <c r="BW839" s="452">
        <f t="shared" ca="1" si="5816"/>
        <v>109681.28974579161</v>
      </c>
      <c r="BX839" s="452">
        <f t="shared" ca="1" si="5816"/>
        <v>104048.22344601387</v>
      </c>
      <c r="BY839" s="452">
        <f t="shared" ref="BY839:CO841" ca="1" si="5817" xml:space="preserve"> BY$827 * $E839 * $I$775</f>
        <v>158928.94384222483</v>
      </c>
      <c r="BZ839" s="452">
        <f t="shared" ca="1" si="5817"/>
        <v>199419.88626520691</v>
      </c>
      <c r="CA839" s="452">
        <f t="shared" ca="1" si="5817"/>
        <v>114068.54133562329</v>
      </c>
      <c r="CB839" s="452">
        <f t="shared" ca="1" si="5817"/>
        <v>108210.15238385444</v>
      </c>
      <c r="CC839" s="452">
        <f t="shared" ca="1" si="5817"/>
        <v>165286.10159591385</v>
      </c>
      <c r="CD839" s="452">
        <f t="shared" ca="1" si="5817"/>
        <v>207396.68171581518</v>
      </c>
      <c r="CE839" s="452">
        <f t="shared" ca="1" si="5817"/>
        <v>118631.28298904821</v>
      </c>
      <c r="CF839" s="452">
        <f t="shared" ca="1" si="5817"/>
        <v>112538.5584792086</v>
      </c>
      <c r="CG839" s="452">
        <f t="shared" ca="1" si="5817"/>
        <v>171897.54565975041</v>
      </c>
      <c r="CH839" s="452">
        <f t="shared" ca="1" si="5817"/>
        <v>215692.54898444776</v>
      </c>
      <c r="CI839" s="452">
        <f t="shared" ca="1" si="5817"/>
        <v>123376.53430861015</v>
      </c>
      <c r="CJ839" s="452">
        <f t="shared" ca="1" si="5817"/>
        <v>118340.54638302555</v>
      </c>
      <c r="CK839" s="452">
        <f t="shared" ca="1" si="5817"/>
        <v>178773.44748614039</v>
      </c>
      <c r="CL839" s="452">
        <f t="shared" ca="1" si="5817"/>
        <v>224320.25094382564</v>
      </c>
      <c r="CM839" s="452">
        <f t="shared" ca="1" si="5817"/>
        <v>128311.59568095453</v>
      </c>
      <c r="CN839" s="452">
        <f t="shared" ca="1" si="5817"/>
        <v>121721.70485111198</v>
      </c>
      <c r="CO839" s="452">
        <f t="shared" ca="1" si="5817"/>
        <v>185924.38538558601</v>
      </c>
    </row>
    <row r="840" spans="1:93">
      <c r="A840" s="10"/>
      <c r="B840" s="10"/>
      <c r="C840" s="17" t="s">
        <v>720</v>
      </c>
      <c r="D840" s="10"/>
      <c r="E840" s="241">
        <f>E808</f>
        <v>0.15</v>
      </c>
      <c r="F840" s="10"/>
      <c r="G840" s="11" t="str">
        <f t="shared" si="5814"/>
        <v>тыс. руб.</v>
      </c>
      <c r="H840" s="10"/>
      <c r="I840" s="23">
        <f t="shared" ca="1" si="5815"/>
        <v>3956671.6966193393</v>
      </c>
      <c r="J840" s="10"/>
      <c r="K840" s="10"/>
      <c r="L840" s="452">
        <f ca="1" xml:space="preserve"> L$827 * $E840 * $I$775</f>
        <v>0</v>
      </c>
      <c r="M840" s="452">
        <f t="shared" ca="1" si="5816"/>
        <v>0</v>
      </c>
      <c r="N840" s="452">
        <f t="shared" ca="1" si="5816"/>
        <v>0</v>
      </c>
      <c r="O840" s="452">
        <f t="shared" ca="1" si="5816"/>
        <v>0</v>
      </c>
      <c r="P840" s="452">
        <f t="shared" ca="1" si="5816"/>
        <v>0</v>
      </c>
      <c r="Q840" s="452">
        <f t="shared" ca="1" si="5816"/>
        <v>0</v>
      </c>
      <c r="R840" s="452">
        <f t="shared" ca="1" si="5816"/>
        <v>0</v>
      </c>
      <c r="S840" s="452">
        <f t="shared" ca="1" si="5816"/>
        <v>0</v>
      </c>
      <c r="T840" s="452">
        <f t="shared" ca="1" si="5816"/>
        <v>0</v>
      </c>
      <c r="U840" s="452">
        <f t="shared" ca="1" si="5816"/>
        <v>0</v>
      </c>
      <c r="V840" s="452">
        <f t="shared" ca="1" si="5816"/>
        <v>0</v>
      </c>
      <c r="W840" s="452">
        <f t="shared" ca="1" si="5816"/>
        <v>0</v>
      </c>
      <c r="X840" s="452">
        <f t="shared" ca="1" si="5816"/>
        <v>0</v>
      </c>
      <c r="Y840" s="452">
        <f t="shared" ca="1" si="5816"/>
        <v>0</v>
      </c>
      <c r="Z840" s="452">
        <f t="shared" ca="1" si="5816"/>
        <v>0</v>
      </c>
      <c r="AA840" s="452">
        <f t="shared" ca="1" si="5816"/>
        <v>0</v>
      </c>
      <c r="AB840" s="452">
        <f t="shared" ca="1" si="5816"/>
        <v>0</v>
      </c>
      <c r="AC840" s="452">
        <f t="shared" ca="1" si="5816"/>
        <v>34361.497875021822</v>
      </c>
      <c r="AD840" s="452">
        <f t="shared" ca="1" si="5816"/>
        <v>44712.795288301764</v>
      </c>
      <c r="AE840" s="452">
        <f t="shared" ca="1" si="5816"/>
        <v>26489.222521485037</v>
      </c>
      <c r="AF840" s="452">
        <f t="shared" ca="1" si="5816"/>
        <v>25995.285351371105</v>
      </c>
      <c r="AG840" s="452">
        <f t="shared" ca="1" si="5816"/>
        <v>41030.173758914949</v>
      </c>
      <c r="AH840" s="452">
        <f t="shared" ca="1" si="5816"/>
        <v>53144.350971238702</v>
      </c>
      <c r="AI840" s="452">
        <f t="shared" ca="1" si="5816"/>
        <v>31348.624721978158</v>
      </c>
      <c r="AJ840" s="452">
        <f t="shared" ca="1" si="5816"/>
        <v>30639.776334149414</v>
      </c>
      <c r="AK840" s="452">
        <f t="shared" ca="1" si="5816"/>
        <v>48177.365316919517</v>
      </c>
      <c r="AL840" s="452">
        <f t="shared" ca="1" si="5816"/>
        <v>62178.890636349279</v>
      </c>
      <c r="AM840" s="452">
        <f t="shared" ca="1" si="5816"/>
        <v>36554.396342476357</v>
      </c>
      <c r="AN840" s="452">
        <f t="shared" ca="1" si="5816"/>
        <v>36009.947851643214</v>
      </c>
      <c r="AO840" s="452">
        <f t="shared" ca="1" si="5816"/>
        <v>55830.68392155011</v>
      </c>
      <c r="AP840" s="452">
        <f t="shared" ca="1" si="5816"/>
        <v>70054.883450286812</v>
      </c>
      <c r="AQ840" s="452">
        <f t="shared" ca="1" si="5816"/>
        <v>40071.522044617297</v>
      </c>
      <c r="AR840" s="452">
        <f t="shared" ca="1" si="5816"/>
        <v>38013.508859930102</v>
      </c>
      <c r="AS840" s="452">
        <f t="shared" ca="1" si="5816"/>
        <v>58063.911278412117</v>
      </c>
      <c r="AT840" s="452">
        <f t="shared" ca="1" si="5816"/>
        <v>72857.078788298299</v>
      </c>
      <c r="AU840" s="452">
        <f t="shared" ca="1" si="5816"/>
        <v>41674.382926401988</v>
      </c>
      <c r="AV840" s="452">
        <f t="shared" ca="1" si="5816"/>
        <v>39534.049214327308</v>
      </c>
      <c r="AW840" s="452">
        <f t="shared" ca="1" si="5816"/>
        <v>60386.467729548604</v>
      </c>
      <c r="AX840" s="452">
        <f t="shared" ca="1" si="5816"/>
        <v>75771.361939830196</v>
      </c>
      <c r="AY840" s="452">
        <f t="shared" ca="1" si="5816"/>
        <v>43341.358243458068</v>
      </c>
      <c r="AZ840" s="452">
        <f t="shared" ca="1" si="5816"/>
        <v>41115.411182900389</v>
      </c>
      <c r="BA840" s="452">
        <f t="shared" ca="1" si="5816"/>
        <v>62801.926438730523</v>
      </c>
      <c r="BB840" s="452">
        <f t="shared" ca="1" si="5816"/>
        <v>78802.216417423391</v>
      </c>
      <c r="BC840" s="452">
        <f t="shared" ca="1" si="5816"/>
        <v>45075.012573196378</v>
      </c>
      <c r="BD840" s="452">
        <f t="shared" ca="1" si="5816"/>
        <v>43235.139048329911</v>
      </c>
      <c r="BE840" s="452">
        <f t="shared" ca="1" si="5816"/>
        <v>65314.003496279736</v>
      </c>
      <c r="BF840" s="452">
        <f t="shared" ca="1" si="5816"/>
        <v>81954.305074120304</v>
      </c>
      <c r="BG840" s="452">
        <f t="shared" ca="1" si="5816"/>
        <v>46878.013076124225</v>
      </c>
      <c r="BH840" s="452">
        <f t="shared" ca="1" si="5816"/>
        <v>44470.428735425048</v>
      </c>
      <c r="BI840" s="452">
        <f t="shared" ca="1" si="5816"/>
        <v>67926.56363613093</v>
      </c>
      <c r="BJ840" s="452">
        <f t="shared" ca="1" si="5816"/>
        <v>85232.477277085127</v>
      </c>
      <c r="BK840" s="452">
        <f t="shared" ca="1" si="5816"/>
        <v>48753.133599169189</v>
      </c>
      <c r="BL840" s="452">
        <f t="shared" ca="1" si="5816"/>
        <v>46249.24588484205</v>
      </c>
      <c r="BM840" s="452">
        <f t="shared" ca="1" si="5816"/>
        <v>70643.626181576154</v>
      </c>
      <c r="BN840" s="452">
        <f t="shared" ca="1" si="5816"/>
        <v>88641.776368168517</v>
      </c>
      <c r="BO840" s="452">
        <f t="shared" ca="1" si="5816"/>
        <v>50703.258943135945</v>
      </c>
      <c r="BP840" s="452">
        <f t="shared" ca="1" si="5816"/>
        <v>48099.215720235727</v>
      </c>
      <c r="BQ840" s="452">
        <f t="shared" ca="1" si="5816"/>
        <v>73469.371228839183</v>
      </c>
      <c r="BR840" s="452">
        <f t="shared" ca="1" si="5816"/>
        <v>92187.447422895246</v>
      </c>
      <c r="BS840" s="452">
        <f t="shared" ca="1" si="5816"/>
        <v>52731.389300861367</v>
      </c>
      <c r="BT840" s="452">
        <f t="shared" ca="1" si="5816"/>
        <v>50578.997508478984</v>
      </c>
      <c r="BU840" s="452">
        <f t="shared" ca="1" si="5816"/>
        <v>76408.146077992729</v>
      </c>
      <c r="BV840" s="452">
        <f t="shared" ca="1" si="5816"/>
        <v>95874.945319811013</v>
      </c>
      <c r="BW840" s="452">
        <f t="shared" ca="1" si="5816"/>
        <v>54840.644872895806</v>
      </c>
      <c r="BX840" s="452">
        <f t="shared" ca="1" si="5816"/>
        <v>52024.111723006936</v>
      </c>
      <c r="BY840" s="452">
        <f t="shared" ca="1" si="5817"/>
        <v>79464.471921112417</v>
      </c>
      <c r="BZ840" s="452">
        <f t="shared" ca="1" si="5817"/>
        <v>99709.943132603454</v>
      </c>
      <c r="CA840" s="452">
        <f t="shared" ca="1" si="5817"/>
        <v>57034.270667811645</v>
      </c>
      <c r="CB840" s="452">
        <f t="shared" ca="1" si="5817"/>
        <v>54105.076191927219</v>
      </c>
      <c r="CC840" s="452">
        <f t="shared" ca="1" si="5817"/>
        <v>82643.050797956923</v>
      </c>
      <c r="CD840" s="452">
        <f t="shared" ca="1" si="5817"/>
        <v>103698.34085790759</v>
      </c>
      <c r="CE840" s="452">
        <f t="shared" ca="1" si="5817"/>
        <v>59315.641494524105</v>
      </c>
      <c r="CF840" s="452">
        <f t="shared" ca="1" si="5817"/>
        <v>56269.279239604301</v>
      </c>
      <c r="CG840" s="452">
        <f t="shared" ca="1" si="5817"/>
        <v>85948.772829875204</v>
      </c>
      <c r="CH840" s="452">
        <f t="shared" ca="1" si="5817"/>
        <v>107846.27449222388</v>
      </c>
      <c r="CI840" s="452">
        <f t="shared" ca="1" si="5817"/>
        <v>61688.267154305075</v>
      </c>
      <c r="CJ840" s="452">
        <f t="shared" ca="1" si="5817"/>
        <v>59170.273191512773</v>
      </c>
      <c r="CK840" s="452">
        <f t="shared" ca="1" si="5817"/>
        <v>89386.723743070193</v>
      </c>
      <c r="CL840" s="452">
        <f t="shared" ca="1" si="5817"/>
        <v>112160.12547191282</v>
      </c>
      <c r="CM840" s="452">
        <f t="shared" ca="1" si="5817"/>
        <v>64155.797840477266</v>
      </c>
      <c r="CN840" s="452">
        <f t="shared" ca="1" si="5817"/>
        <v>60860.85242555599</v>
      </c>
      <c r="CO840" s="452">
        <f t="shared" ca="1" si="5817"/>
        <v>92962.192692793004</v>
      </c>
    </row>
    <row r="841" spans="1:93">
      <c r="A841" s="10"/>
      <c r="B841" s="10"/>
      <c r="C841" s="17" t="s">
        <v>721</v>
      </c>
      <c r="D841" s="10"/>
      <c r="E841" s="241">
        <f>E809</f>
        <v>0.14827856991621452</v>
      </c>
      <c r="F841" s="10"/>
      <c r="G841" s="11" t="str">
        <f t="shared" si="5814"/>
        <v>тыс. руб.</v>
      </c>
      <c r="H841" s="10"/>
      <c r="I841" s="23">
        <f t="shared" ca="1" si="5815"/>
        <v>3911264.1386845177</v>
      </c>
      <c r="J841" s="10"/>
      <c r="K841" s="10"/>
      <c r="L841" s="452">
        <f ca="1" xml:space="preserve"> L$827 * $E841 * $I$775</f>
        <v>0</v>
      </c>
      <c r="M841" s="452">
        <f t="shared" ca="1" si="5816"/>
        <v>0</v>
      </c>
      <c r="N841" s="452">
        <f t="shared" ca="1" si="5816"/>
        <v>0</v>
      </c>
      <c r="O841" s="452">
        <f t="shared" ca="1" si="5816"/>
        <v>0</v>
      </c>
      <c r="P841" s="452">
        <f t="shared" ca="1" si="5816"/>
        <v>0</v>
      </c>
      <c r="Q841" s="452">
        <f t="shared" ca="1" si="5816"/>
        <v>0</v>
      </c>
      <c r="R841" s="452">
        <f t="shared" ca="1" si="5816"/>
        <v>0</v>
      </c>
      <c r="S841" s="452">
        <f t="shared" ca="1" si="5816"/>
        <v>0</v>
      </c>
      <c r="T841" s="452">
        <f t="shared" ca="1" si="5816"/>
        <v>0</v>
      </c>
      <c r="U841" s="452">
        <f t="shared" ca="1" si="5816"/>
        <v>0</v>
      </c>
      <c r="V841" s="452">
        <f t="shared" ca="1" si="5816"/>
        <v>0</v>
      </c>
      <c r="W841" s="452">
        <f t="shared" ca="1" si="5816"/>
        <v>0</v>
      </c>
      <c r="X841" s="452">
        <f t="shared" ca="1" si="5816"/>
        <v>0</v>
      </c>
      <c r="Y841" s="452">
        <f t="shared" ca="1" si="5816"/>
        <v>0</v>
      </c>
      <c r="Z841" s="452">
        <f t="shared" ca="1" si="5816"/>
        <v>0</v>
      </c>
      <c r="AA841" s="452">
        <f t="shared" ca="1" si="5816"/>
        <v>0</v>
      </c>
      <c r="AB841" s="452">
        <f t="shared" ca="1" si="5816"/>
        <v>0</v>
      </c>
      <c r="AC841" s="452">
        <f t="shared" ca="1" si="5816"/>
        <v>33967.158433915203</v>
      </c>
      <c r="AD841" s="452">
        <f t="shared" ca="1" si="5816"/>
        <v>44199.662282038938</v>
      </c>
      <c r="AE841" s="452">
        <f t="shared" ca="1" si="5816"/>
        <v>26185.226891187889</v>
      </c>
      <c r="AF841" s="452">
        <f t="shared" ca="1" si="5816"/>
        <v>25696.958243101515</v>
      </c>
      <c r="AG841" s="452">
        <f t="shared" ca="1" si="5816"/>
        <v>40559.303255904677</v>
      </c>
      <c r="AH841" s="452">
        <f t="shared" ca="1" si="5816"/>
        <v>52534.455740937745</v>
      </c>
      <c r="AI841" s="452">
        <f t="shared" ca="1" si="5816"/>
        <v>30988.861617433395</v>
      </c>
      <c r="AJ841" s="452">
        <f t="shared" ca="1" si="5816"/>
        <v>30288.148115868997</v>
      </c>
      <c r="AK841" s="452">
        <f t="shared" ca="1" si="5816"/>
        <v>47624.47221015906</v>
      </c>
      <c r="AL841" s="452">
        <f t="shared" ca="1" si="5816"/>
        <v>61465.313216897157</v>
      </c>
      <c r="AM841" s="452">
        <f t="shared" ca="1" si="5816"/>
        <v>36134.890758752648</v>
      </c>
      <c r="AN841" s="452">
        <f t="shared" ca="1" si="5816"/>
        <v>35596.690467994114</v>
      </c>
      <c r="AO841" s="452">
        <f t="shared" ca="1" si="5816"/>
        <v>55189.95979554428</v>
      </c>
      <c r="AP841" s="452">
        <f t="shared" ca="1" si="5816"/>
        <v>69250.919557704081</v>
      </c>
      <c r="AQ841" s="452">
        <f t="shared" ca="1" si="5816"/>
        <v>39611.653220946115</v>
      </c>
      <c r="AR841" s="452">
        <f t="shared" ca="1" si="5816"/>
        <v>37577.258208318577</v>
      </c>
      <c r="AS841" s="452">
        <f t="shared" ca="1" si="5816"/>
        <v>57397.558187366049</v>
      </c>
      <c r="AT841" s="452">
        <f t="shared" ca="1" si="5816"/>
        <v>72020.956340012257</v>
      </c>
      <c r="AU841" s="452">
        <f t="shared" ca="1" si="5816"/>
        <v>41196.119349783956</v>
      </c>
      <c r="AV841" s="452">
        <f t="shared" ca="1" si="5816"/>
        <v>39080.348536651312</v>
      </c>
      <c r="AW841" s="452">
        <f t="shared" ca="1" si="5816"/>
        <v>59693.460514860701</v>
      </c>
      <c r="AX841" s="452">
        <f t="shared" ca="1" si="5816"/>
        <v>74901.794593612722</v>
      </c>
      <c r="AY841" s="452">
        <f t="shared" ca="1" si="5816"/>
        <v>42843.964123775317</v>
      </c>
      <c r="AZ841" s="452">
        <f t="shared" ca="1" si="5816"/>
        <v>40643.562478117361</v>
      </c>
      <c r="BA841" s="452">
        <f t="shared" ca="1" si="5816"/>
        <v>62081.198935455104</v>
      </c>
      <c r="BB841" s="452">
        <f t="shared" ca="1" si="5816"/>
        <v>77897.866377357219</v>
      </c>
      <c r="BC841" s="452">
        <f t="shared" ca="1" si="5816"/>
        <v>44557.722688726324</v>
      </c>
      <c r="BD841" s="452">
        <f t="shared" ca="1" si="5816"/>
        <v>42738.963921433628</v>
      </c>
      <c r="BE841" s="452">
        <f t="shared" ca="1" si="5816"/>
        <v>64564.446892873297</v>
      </c>
      <c r="BF841" s="452">
        <f t="shared" ca="1" si="5816"/>
        <v>81013.781032451487</v>
      </c>
      <c r="BG841" s="452">
        <f t="shared" ca="1" si="5816"/>
        <v>46340.031596275367</v>
      </c>
      <c r="BH841" s="452">
        <f t="shared" ca="1" si="5816"/>
        <v>43960.077176331724</v>
      </c>
      <c r="BI841" s="452">
        <f t="shared" ca="1" si="5816"/>
        <v>67147.024768588235</v>
      </c>
      <c r="BJ841" s="452">
        <f t="shared" ca="1" si="5816"/>
        <v>84254.332273749547</v>
      </c>
      <c r="BK841" s="452">
        <f t="shared" ca="1" si="5816"/>
        <v>48193.632860126374</v>
      </c>
      <c r="BL841" s="452">
        <f t="shared" ca="1" si="5816"/>
        <v>45718.48026338499</v>
      </c>
      <c r="BM841" s="452">
        <f t="shared" ca="1" si="5816"/>
        <v>69832.905759331756</v>
      </c>
      <c r="BN841" s="452">
        <f t="shared" ca="1" si="5816"/>
        <v>87624.505564699517</v>
      </c>
      <c r="BO841" s="452">
        <f t="shared" ca="1" si="5816"/>
        <v>50121.378174531419</v>
      </c>
      <c r="BP841" s="452">
        <f t="shared" ca="1" si="5816"/>
        <v>47547.219473920384</v>
      </c>
      <c r="BQ841" s="452">
        <f t="shared" ca="1" si="5816"/>
        <v>72626.221989704994</v>
      </c>
      <c r="BR841" s="452">
        <f t="shared" ca="1" si="5816"/>
        <v>91129.485787287485</v>
      </c>
      <c r="BS841" s="452">
        <f t="shared" ca="1" si="5816"/>
        <v>52126.233301512657</v>
      </c>
      <c r="BT841" s="452">
        <f t="shared" ca="1" si="5816"/>
        <v>49998.54278902027</v>
      </c>
      <c r="BU841" s="452">
        <f t="shared" ca="1" si="5816"/>
        <v>75531.270869293177</v>
      </c>
      <c r="BV841" s="452">
        <f t="shared" ca="1" si="5816"/>
        <v>94774.665218778944</v>
      </c>
      <c r="BW841" s="452">
        <f t="shared" ca="1" si="5816"/>
        <v>54211.282633573144</v>
      </c>
      <c r="BX841" s="452">
        <f t="shared" ca="1" si="5816"/>
        <v>51427.072582992267</v>
      </c>
      <c r="BY841" s="452">
        <f t="shared" ca="1" si="5817"/>
        <v>78552.521704064886</v>
      </c>
      <c r="BZ841" s="452">
        <f t="shared" ca="1" si="5817"/>
        <v>98565.651827530106</v>
      </c>
      <c r="CA841" s="452">
        <f t="shared" ca="1" si="5817"/>
        <v>56379.733938916077</v>
      </c>
      <c r="CB841" s="452">
        <f t="shared" ca="1" si="5817"/>
        <v>53484.15548631196</v>
      </c>
      <c r="CC841" s="452">
        <f t="shared" ca="1" si="5817"/>
        <v>81694.622572227498</v>
      </c>
      <c r="CD841" s="452">
        <f t="shared" ca="1" si="5817"/>
        <v>102508.27790063131</v>
      </c>
      <c r="CE841" s="452">
        <f t="shared" ca="1" si="5817"/>
        <v>58634.92329647272</v>
      </c>
      <c r="CF841" s="452">
        <f t="shared" ca="1" si="5817"/>
        <v>55623.521705764426</v>
      </c>
      <c r="CG841" s="452">
        <f t="shared" ca="1" si="5817"/>
        <v>84962.407475116604</v>
      </c>
      <c r="CH841" s="452">
        <f t="shared" ca="1" si="5817"/>
        <v>106608.60901665654</v>
      </c>
      <c r="CI841" s="452">
        <f t="shared" ca="1" si="5817"/>
        <v>60980.320228331635</v>
      </c>
      <c r="CJ841" s="452">
        <f t="shared" ca="1" si="5817"/>
        <v>58491.223269261602</v>
      </c>
      <c r="CK841" s="452">
        <f t="shared" ca="1" si="5817"/>
        <v>88360.903774121238</v>
      </c>
      <c r="CL841" s="452">
        <f t="shared" ca="1" si="5817"/>
        <v>110872.95337732279</v>
      </c>
      <c r="CM841" s="452">
        <f t="shared" ca="1" si="5817"/>
        <v>63419.533037464891</v>
      </c>
      <c r="CN841" s="452">
        <f t="shared" ca="1" si="5817"/>
        <v>60162.401076954789</v>
      </c>
      <c r="CO841" s="452">
        <f t="shared" ca="1" si="5817"/>
        <v>91895.339925086097</v>
      </c>
    </row>
    <row r="842" spans="1:93">
      <c r="A842" s="10"/>
      <c r="B842" s="10"/>
      <c r="C842" s="17" t="s">
        <v>1056</v>
      </c>
      <c r="D842" s="10"/>
      <c r="E842" s="241">
        <f>E$816</f>
        <v>0.22</v>
      </c>
      <c r="F842" s="10"/>
      <c r="G842" s="11" t="str">
        <f t="shared" si="5814"/>
        <v>тыс. руб.</v>
      </c>
      <c r="H842" s="10"/>
      <c r="I842" s="23">
        <f t="shared" ca="1" si="5815"/>
        <v>860478.11051059398</v>
      </c>
      <c r="J842" s="10"/>
      <c r="K842" s="10"/>
      <c r="L842" s="10">
        <f t="shared" ref="L842:BA842" ca="1" si="5818" xml:space="preserve"> L$841 * $E842</f>
        <v>0</v>
      </c>
      <c r="M842" s="10">
        <f t="shared" ca="1" si="5818"/>
        <v>0</v>
      </c>
      <c r="N842" s="10">
        <f t="shared" ca="1" si="5818"/>
        <v>0</v>
      </c>
      <c r="O842" s="10">
        <f t="shared" ca="1" si="5818"/>
        <v>0</v>
      </c>
      <c r="P842" s="10">
        <f t="shared" ca="1" si="5818"/>
        <v>0</v>
      </c>
      <c r="Q842" s="10">
        <f t="shared" ca="1" si="5818"/>
        <v>0</v>
      </c>
      <c r="R842" s="10">
        <f t="shared" ca="1" si="5818"/>
        <v>0</v>
      </c>
      <c r="S842" s="10">
        <f t="shared" ca="1" si="5818"/>
        <v>0</v>
      </c>
      <c r="T842" s="10">
        <f t="shared" ca="1" si="5818"/>
        <v>0</v>
      </c>
      <c r="U842" s="10">
        <f t="shared" ca="1" si="5818"/>
        <v>0</v>
      </c>
      <c r="V842" s="10">
        <f t="shared" ca="1" si="5818"/>
        <v>0</v>
      </c>
      <c r="W842" s="10">
        <f t="shared" ca="1" si="5818"/>
        <v>0</v>
      </c>
      <c r="X842" s="10">
        <f t="shared" ca="1" si="5818"/>
        <v>0</v>
      </c>
      <c r="Y842" s="10">
        <f t="shared" ca="1" si="5818"/>
        <v>0</v>
      </c>
      <c r="Z842" s="10">
        <f t="shared" ca="1" si="5818"/>
        <v>0</v>
      </c>
      <c r="AA842" s="10">
        <f t="shared" ca="1" si="5818"/>
        <v>0</v>
      </c>
      <c r="AB842" s="10">
        <f t="shared" ca="1" si="5818"/>
        <v>0</v>
      </c>
      <c r="AC842" s="10">
        <f t="shared" ca="1" si="5818"/>
        <v>7472.7748554613445</v>
      </c>
      <c r="AD842" s="10">
        <f t="shared" ca="1" si="5818"/>
        <v>9723.9257020485657</v>
      </c>
      <c r="AE842" s="10">
        <f t="shared" ca="1" si="5818"/>
        <v>5760.7499160613361</v>
      </c>
      <c r="AF842" s="10">
        <f t="shared" ca="1" si="5818"/>
        <v>5653.3308134823337</v>
      </c>
      <c r="AG842" s="10">
        <f t="shared" ca="1" si="5818"/>
        <v>8923.0467162990299</v>
      </c>
      <c r="AH842" s="10">
        <f t="shared" ca="1" si="5818"/>
        <v>11557.580263006304</v>
      </c>
      <c r="AI842" s="10">
        <f t="shared" ca="1" si="5818"/>
        <v>6817.5495558353468</v>
      </c>
      <c r="AJ842" s="10">
        <f t="shared" ca="1" si="5818"/>
        <v>6663.3925854911795</v>
      </c>
      <c r="AK842" s="10">
        <f t="shared" ca="1" si="5818"/>
        <v>10477.383886234993</v>
      </c>
      <c r="AL842" s="10">
        <f t="shared" ca="1" si="5818"/>
        <v>13522.368907717375</v>
      </c>
      <c r="AM842" s="10">
        <f t="shared" ca="1" si="5818"/>
        <v>7949.6759669255825</v>
      </c>
      <c r="AN842" s="10">
        <f t="shared" ca="1" si="5818"/>
        <v>7831.2719029587051</v>
      </c>
      <c r="AO842" s="10">
        <f t="shared" ca="1" si="5818"/>
        <v>12141.791155019742</v>
      </c>
      <c r="AP842" s="10">
        <f t="shared" ca="1" si="5818"/>
        <v>15235.202302694897</v>
      </c>
      <c r="AQ842" s="10">
        <f t="shared" ca="1" si="5818"/>
        <v>8714.563708608146</v>
      </c>
      <c r="AR842" s="10">
        <f t="shared" ca="1" si="5818"/>
        <v>8266.9968058300874</v>
      </c>
      <c r="AS842" s="10">
        <f t="shared" ca="1" si="5818"/>
        <v>12627.46280122053</v>
      </c>
      <c r="AT842" s="10">
        <f t="shared" ca="1" si="5818"/>
        <v>15844.610394802696</v>
      </c>
      <c r="AU842" s="10">
        <f t="shared" ca="1" si="5818"/>
        <v>9063.1462569524701</v>
      </c>
      <c r="AV842" s="10">
        <f t="shared" ca="1" si="5818"/>
        <v>8597.6766780632879</v>
      </c>
      <c r="AW842" s="10">
        <f t="shared" ca="1" si="5818"/>
        <v>13132.561313269354</v>
      </c>
      <c r="AX842" s="10">
        <f t="shared" ca="1" si="5818"/>
        <v>16478.3948105948</v>
      </c>
      <c r="AY842" s="10">
        <f t="shared" ca="1" si="5818"/>
        <v>9425.67210723057</v>
      </c>
      <c r="AZ842" s="10">
        <f t="shared" ca="1" si="5818"/>
        <v>8941.5837451858188</v>
      </c>
      <c r="BA842" s="10">
        <f t="shared" ca="1" si="5818"/>
        <v>13657.863765800123</v>
      </c>
      <c r="BB842" s="10">
        <f t="shared" ref="BB842:CO845" ca="1" si="5819" xml:space="preserve"> BB$841 * $E842</f>
        <v>17137.530603018589</v>
      </c>
      <c r="BC842" s="10">
        <f t="shared" ca="1" si="5819"/>
        <v>9802.6989915197919</v>
      </c>
      <c r="BD842" s="10">
        <f t="shared" ca="1" si="5819"/>
        <v>9402.5720627153987</v>
      </c>
      <c r="BE842" s="10">
        <f t="shared" ca="1" si="5819"/>
        <v>14204.178316432126</v>
      </c>
      <c r="BF842" s="10">
        <f t="shared" ca="1" si="5819"/>
        <v>17823.031827139326</v>
      </c>
      <c r="BG842" s="10">
        <f t="shared" ca="1" si="5819"/>
        <v>10194.806951180581</v>
      </c>
      <c r="BH842" s="10">
        <f t="shared" ca="1" si="5819"/>
        <v>9671.2169787929797</v>
      </c>
      <c r="BI842" s="10">
        <f t="shared" ca="1" si="5819"/>
        <v>14772.345449089411</v>
      </c>
      <c r="BJ842" s="10">
        <f t="shared" ca="1" si="5819"/>
        <v>18535.953100224902</v>
      </c>
      <c r="BK842" s="10">
        <f t="shared" ca="1" si="5819"/>
        <v>10602.599229227802</v>
      </c>
      <c r="BL842" s="10">
        <f t="shared" ca="1" si="5819"/>
        <v>10058.065657944699</v>
      </c>
      <c r="BM842" s="10">
        <f t="shared" ca="1" si="5819"/>
        <v>15363.239267052986</v>
      </c>
      <c r="BN842" s="10">
        <f t="shared" ca="1" si="5819"/>
        <v>19277.391224233896</v>
      </c>
      <c r="BO842" s="10">
        <f t="shared" ca="1" si="5819"/>
        <v>11026.703198396912</v>
      </c>
      <c r="BP842" s="10">
        <f t="shared" ca="1" si="5819"/>
        <v>10460.388284262484</v>
      </c>
      <c r="BQ842" s="10">
        <f t="shared" ca="1" si="5819"/>
        <v>15977.768837735099</v>
      </c>
      <c r="BR842" s="10">
        <f t="shared" ca="1" si="5819"/>
        <v>20048.486873203248</v>
      </c>
      <c r="BS842" s="10">
        <f t="shared" ca="1" si="5819"/>
        <v>11467.771326332784</v>
      </c>
      <c r="BT842" s="10">
        <f t="shared" ca="1" si="5819"/>
        <v>10999.679413584459</v>
      </c>
      <c r="BU842" s="10">
        <f t="shared" ca="1" si="5819"/>
        <v>16616.879591244498</v>
      </c>
      <c r="BV842" s="10">
        <f t="shared" ca="1" si="5819"/>
        <v>20850.426348131368</v>
      </c>
      <c r="BW842" s="10">
        <f t="shared" ca="1" si="5819"/>
        <v>11926.482179386092</v>
      </c>
      <c r="BX842" s="10">
        <f t="shared" ca="1" si="5819"/>
        <v>11313.955968258299</v>
      </c>
      <c r="BY842" s="10">
        <f t="shared" ca="1" si="5819"/>
        <v>17281.554774894274</v>
      </c>
      <c r="BZ842" s="10">
        <f t="shared" ca="1" si="5819"/>
        <v>21684.443402056622</v>
      </c>
      <c r="CA842" s="10">
        <f t="shared" ca="1" si="5819"/>
        <v>12403.541466561537</v>
      </c>
      <c r="CB842" s="10">
        <f t="shared" ca="1" si="5819"/>
        <v>11766.514206988631</v>
      </c>
      <c r="CC842" s="10">
        <f t="shared" ca="1" si="5819"/>
        <v>17972.816965890048</v>
      </c>
      <c r="CD842" s="10">
        <f t="shared" ca="1" si="5819"/>
        <v>22551.821138138886</v>
      </c>
      <c r="CE842" s="10">
        <f t="shared" ca="1" si="5819"/>
        <v>12899.683125223999</v>
      </c>
      <c r="CF842" s="10">
        <f t="shared" ca="1" si="5819"/>
        <v>12237.174775268173</v>
      </c>
      <c r="CG842" s="10">
        <f t="shared" ca="1" si="5819"/>
        <v>18691.729644525654</v>
      </c>
      <c r="CH842" s="10">
        <f t="shared" ca="1" si="5819"/>
        <v>23453.893983664439</v>
      </c>
      <c r="CI842" s="10">
        <f t="shared" ca="1" si="5819"/>
        <v>13415.670450232959</v>
      </c>
      <c r="CJ842" s="10">
        <f t="shared" ca="1" si="5819"/>
        <v>12868.069119237553</v>
      </c>
      <c r="CK842" s="10">
        <f t="shared" ca="1" si="5819"/>
        <v>19439.398830306673</v>
      </c>
      <c r="CL842" s="10">
        <f t="shared" ca="1" si="5819"/>
        <v>24392.049743011015</v>
      </c>
      <c r="CM842" s="10">
        <f t="shared" ca="1" si="5819"/>
        <v>13952.297268242277</v>
      </c>
      <c r="CN842" s="10">
        <f t="shared" ca="1" si="5819"/>
        <v>13235.728236930054</v>
      </c>
      <c r="CO842" s="10">
        <f t="shared" ca="1" si="5819"/>
        <v>20216.974783518941</v>
      </c>
    </row>
    <row r="843" spans="1:93">
      <c r="A843" s="10"/>
      <c r="B843" s="10"/>
      <c r="C843" s="17" t="s">
        <v>1057</v>
      </c>
      <c r="D843" s="10"/>
      <c r="E843" s="241">
        <f>E$817</f>
        <v>2.9000000000000001E-2</v>
      </c>
      <c r="F843" s="10"/>
      <c r="G843" s="11" t="str">
        <f t="shared" si="5814"/>
        <v>тыс. руб.</v>
      </c>
      <c r="H843" s="10"/>
      <c r="I843" s="23">
        <f t="shared" ca="1" si="5815"/>
        <v>113426.660021851</v>
      </c>
      <c r="J843" s="10"/>
      <c r="K843" s="10"/>
      <c r="L843" s="10">
        <f t="shared" ref="L843:BN845" ca="1" si="5820" xml:space="preserve"> L$841 * $E843</f>
        <v>0</v>
      </c>
      <c r="M843" s="10">
        <f t="shared" ca="1" si="5820"/>
        <v>0</v>
      </c>
      <c r="N843" s="10">
        <f t="shared" ca="1" si="5820"/>
        <v>0</v>
      </c>
      <c r="O843" s="10">
        <f t="shared" ca="1" si="5820"/>
        <v>0</v>
      </c>
      <c r="P843" s="10">
        <f t="shared" ca="1" si="5820"/>
        <v>0</v>
      </c>
      <c r="Q843" s="10">
        <f t="shared" ca="1" si="5820"/>
        <v>0</v>
      </c>
      <c r="R843" s="10">
        <f t="shared" ca="1" si="5820"/>
        <v>0</v>
      </c>
      <c r="S843" s="10">
        <f t="shared" ca="1" si="5820"/>
        <v>0</v>
      </c>
      <c r="T843" s="10">
        <f t="shared" ca="1" si="5820"/>
        <v>0</v>
      </c>
      <c r="U843" s="10">
        <f t="shared" ca="1" si="5820"/>
        <v>0</v>
      </c>
      <c r="V843" s="10">
        <f t="shared" ca="1" si="5820"/>
        <v>0</v>
      </c>
      <c r="W843" s="10">
        <f t="shared" ca="1" si="5820"/>
        <v>0</v>
      </c>
      <c r="X843" s="10">
        <f t="shared" ca="1" si="5820"/>
        <v>0</v>
      </c>
      <c r="Y843" s="10">
        <f t="shared" ca="1" si="5820"/>
        <v>0</v>
      </c>
      <c r="Z843" s="10">
        <f t="shared" ca="1" si="5820"/>
        <v>0</v>
      </c>
      <c r="AA843" s="10">
        <f t="shared" ca="1" si="5820"/>
        <v>0</v>
      </c>
      <c r="AB843" s="10">
        <f t="shared" ca="1" si="5820"/>
        <v>0</v>
      </c>
      <c r="AC843" s="10">
        <f t="shared" ca="1" si="5820"/>
        <v>985.0475945835409</v>
      </c>
      <c r="AD843" s="10">
        <f t="shared" ca="1" si="5820"/>
        <v>1281.7902061791292</v>
      </c>
      <c r="AE843" s="10">
        <f t="shared" ca="1" si="5820"/>
        <v>759.37157984444877</v>
      </c>
      <c r="AF843" s="10">
        <f t="shared" ca="1" si="5820"/>
        <v>745.21178904994395</v>
      </c>
      <c r="AG843" s="10">
        <f t="shared" ca="1" si="5820"/>
        <v>1176.2197944212357</v>
      </c>
      <c r="AH843" s="10">
        <f t="shared" ca="1" si="5820"/>
        <v>1523.4992164871946</v>
      </c>
      <c r="AI843" s="10">
        <f t="shared" ca="1" si="5820"/>
        <v>898.67698690556847</v>
      </c>
      <c r="AJ843" s="10">
        <f t="shared" ca="1" si="5820"/>
        <v>878.35629536020099</v>
      </c>
      <c r="AK843" s="10">
        <f t="shared" ca="1" si="5820"/>
        <v>1381.1096940946129</v>
      </c>
      <c r="AL843" s="10">
        <f t="shared" ca="1" si="5820"/>
        <v>1782.4940832900177</v>
      </c>
      <c r="AM843" s="10">
        <f t="shared" ca="1" si="5820"/>
        <v>1047.9118320038269</v>
      </c>
      <c r="AN843" s="10">
        <f t="shared" ca="1" si="5820"/>
        <v>1032.3040235718295</v>
      </c>
      <c r="AO843" s="10">
        <f t="shared" ca="1" si="5820"/>
        <v>1600.5088340707841</v>
      </c>
      <c r="AP843" s="10">
        <f t="shared" ca="1" si="5820"/>
        <v>2008.2766671734184</v>
      </c>
      <c r="AQ843" s="10">
        <f t="shared" ca="1" si="5820"/>
        <v>1148.7379434074373</v>
      </c>
      <c r="AR843" s="10">
        <f t="shared" ca="1" si="5820"/>
        <v>1089.7404880412387</v>
      </c>
      <c r="AS843" s="10">
        <f t="shared" ca="1" si="5820"/>
        <v>1664.5291874336156</v>
      </c>
      <c r="AT843" s="10">
        <f t="shared" ca="1" si="5820"/>
        <v>2088.6077338603554</v>
      </c>
      <c r="AU843" s="10">
        <f t="shared" ca="1" si="5820"/>
        <v>1194.6874611437347</v>
      </c>
      <c r="AV843" s="10">
        <f t="shared" ca="1" si="5820"/>
        <v>1133.3301075628881</v>
      </c>
      <c r="AW843" s="10">
        <f t="shared" ca="1" si="5820"/>
        <v>1731.1103549309605</v>
      </c>
      <c r="AX843" s="10">
        <f t="shared" ca="1" si="5820"/>
        <v>2172.152043214769</v>
      </c>
      <c r="AY843" s="10">
        <f t="shared" ca="1" si="5820"/>
        <v>1242.4749595894843</v>
      </c>
      <c r="AZ843" s="10">
        <f t="shared" ca="1" si="5820"/>
        <v>1178.6633118654036</v>
      </c>
      <c r="BA843" s="10">
        <f t="shared" ca="1" si="5820"/>
        <v>1800.3547691281981</v>
      </c>
      <c r="BB843" s="10">
        <f t="shared" ca="1" si="5820"/>
        <v>2259.0381249433594</v>
      </c>
      <c r="BC843" s="10">
        <f t="shared" ca="1" si="5820"/>
        <v>1292.1739579730634</v>
      </c>
      <c r="BD843" s="10">
        <f t="shared" ca="1" si="5820"/>
        <v>1239.4299537215752</v>
      </c>
      <c r="BE843" s="10">
        <f t="shared" ca="1" si="5820"/>
        <v>1872.3689598933256</v>
      </c>
      <c r="BF843" s="10">
        <f t="shared" ca="1" si="5820"/>
        <v>2349.3996499410932</v>
      </c>
      <c r="BG843" s="10">
        <f t="shared" ca="1" si="5820"/>
        <v>1343.8609162919856</v>
      </c>
      <c r="BH843" s="10">
        <f t="shared" ca="1" si="5820"/>
        <v>1274.8422381136202</v>
      </c>
      <c r="BI843" s="10">
        <f t="shared" ca="1" si="5820"/>
        <v>1947.2637182890589</v>
      </c>
      <c r="BJ843" s="10">
        <f t="shared" ca="1" si="5820"/>
        <v>2443.3756359387371</v>
      </c>
      <c r="BK843" s="10">
        <f t="shared" ca="1" si="5820"/>
        <v>1397.6153529436649</v>
      </c>
      <c r="BL843" s="10">
        <f t="shared" ca="1" si="5820"/>
        <v>1325.8359276381648</v>
      </c>
      <c r="BM843" s="10">
        <f t="shared" ca="1" si="5820"/>
        <v>2025.1542670206211</v>
      </c>
      <c r="BN843" s="10">
        <f t="shared" ca="1" si="5820"/>
        <v>2541.1106613762863</v>
      </c>
      <c r="BO843" s="10">
        <f t="shared" ca="1" si="5819"/>
        <v>1453.5199670614113</v>
      </c>
      <c r="BP843" s="10">
        <f t="shared" ca="1" si="5819"/>
        <v>1378.8693647436912</v>
      </c>
      <c r="BQ843" s="10">
        <f t="shared" ca="1" si="5819"/>
        <v>2106.1604377014451</v>
      </c>
      <c r="BR843" s="10">
        <f t="shared" ca="1" si="5819"/>
        <v>2642.7550878313373</v>
      </c>
      <c r="BS843" s="10">
        <f t="shared" ca="1" si="5819"/>
        <v>1511.6607657438672</v>
      </c>
      <c r="BT843" s="10">
        <f t="shared" ca="1" si="5819"/>
        <v>1449.9577408815878</v>
      </c>
      <c r="BU843" s="10">
        <f t="shared" ca="1" si="5819"/>
        <v>2190.4068552095023</v>
      </c>
      <c r="BV843" s="10">
        <f t="shared" ca="1" si="5819"/>
        <v>2748.4652913445893</v>
      </c>
      <c r="BW843" s="10">
        <f t="shared" ca="1" si="5819"/>
        <v>1572.1271963736212</v>
      </c>
      <c r="BX843" s="10">
        <f t="shared" ca="1" si="5819"/>
        <v>1491.3851049067757</v>
      </c>
      <c r="BY843" s="10">
        <f t="shared" ca="1" si="5819"/>
        <v>2278.0231294178816</v>
      </c>
      <c r="BZ843" s="10">
        <f t="shared" ca="1" si="5819"/>
        <v>2858.4039029983733</v>
      </c>
      <c r="CA843" s="10">
        <f t="shared" ca="1" si="5819"/>
        <v>1635.0122842285664</v>
      </c>
      <c r="CB843" s="10">
        <f t="shared" ca="1" si="5819"/>
        <v>1551.0405091030468</v>
      </c>
      <c r="CC843" s="10">
        <f t="shared" ca="1" si="5819"/>
        <v>2369.1440545945975</v>
      </c>
      <c r="CD843" s="10">
        <f t="shared" ca="1" si="5819"/>
        <v>2972.7400591183082</v>
      </c>
      <c r="CE843" s="10">
        <f t="shared" ca="1" si="5819"/>
        <v>1700.412775597709</v>
      </c>
      <c r="CF843" s="10">
        <f t="shared" ca="1" si="5819"/>
        <v>1613.0821294671684</v>
      </c>
      <c r="CG843" s="10">
        <f t="shared" ca="1" si="5819"/>
        <v>2463.9098167783818</v>
      </c>
      <c r="CH843" s="10">
        <f t="shared" ca="1" si="5819"/>
        <v>3091.6496614830398</v>
      </c>
      <c r="CI843" s="10">
        <f t="shared" ca="1" si="5819"/>
        <v>1768.4292866216174</v>
      </c>
      <c r="CJ843" s="10">
        <f t="shared" ca="1" si="5819"/>
        <v>1696.2454748085866</v>
      </c>
      <c r="CK843" s="10">
        <f t="shared" ca="1" si="5819"/>
        <v>2562.4662094495161</v>
      </c>
      <c r="CL843" s="10">
        <f t="shared" ca="1" si="5819"/>
        <v>3215.315647942361</v>
      </c>
      <c r="CM843" s="10">
        <f t="shared" ca="1" si="5819"/>
        <v>1839.166458086482</v>
      </c>
      <c r="CN843" s="10">
        <f t="shared" ca="1" si="5819"/>
        <v>1744.7096312316889</v>
      </c>
      <c r="CO843" s="10">
        <f t="shared" ca="1" si="5819"/>
        <v>2664.9648578274969</v>
      </c>
    </row>
    <row r="844" spans="1:93">
      <c r="A844" s="10"/>
      <c r="B844" s="10"/>
      <c r="C844" s="17" t="s">
        <v>1058</v>
      </c>
      <c r="D844" s="10"/>
      <c r="E844" s="241">
        <f>E$818</f>
        <v>5.0999999999999997E-2</v>
      </c>
      <c r="F844" s="10"/>
      <c r="G844" s="11" t="str">
        <f t="shared" si="5814"/>
        <v>тыс. руб.</v>
      </c>
      <c r="H844" s="10"/>
      <c r="I844" s="23">
        <f t="shared" ca="1" si="5815"/>
        <v>199474.47107291035</v>
      </c>
      <c r="J844" s="10"/>
      <c r="K844" s="10"/>
      <c r="L844" s="10">
        <f t="shared" ca="1" si="5820"/>
        <v>0</v>
      </c>
      <c r="M844" s="10">
        <f t="shared" ca="1" si="5820"/>
        <v>0</v>
      </c>
      <c r="N844" s="10">
        <f t="shared" ca="1" si="5820"/>
        <v>0</v>
      </c>
      <c r="O844" s="10">
        <f t="shared" ca="1" si="5820"/>
        <v>0</v>
      </c>
      <c r="P844" s="10">
        <f t="shared" ca="1" si="5820"/>
        <v>0</v>
      </c>
      <c r="Q844" s="10">
        <f t="shared" ca="1" si="5820"/>
        <v>0</v>
      </c>
      <c r="R844" s="10">
        <f t="shared" ca="1" si="5820"/>
        <v>0</v>
      </c>
      <c r="S844" s="10">
        <f t="shared" ca="1" si="5820"/>
        <v>0</v>
      </c>
      <c r="T844" s="10">
        <f t="shared" ref="T844:CE845" ca="1" si="5821" xml:space="preserve"> T$841 * $E844</f>
        <v>0</v>
      </c>
      <c r="U844" s="10">
        <f t="shared" ca="1" si="5821"/>
        <v>0</v>
      </c>
      <c r="V844" s="10">
        <f t="shared" ca="1" si="5821"/>
        <v>0</v>
      </c>
      <c r="W844" s="10">
        <f t="shared" ca="1" si="5821"/>
        <v>0</v>
      </c>
      <c r="X844" s="10">
        <f t="shared" ca="1" si="5821"/>
        <v>0</v>
      </c>
      <c r="Y844" s="10">
        <f t="shared" ca="1" si="5821"/>
        <v>0</v>
      </c>
      <c r="Z844" s="10">
        <f t="shared" ca="1" si="5821"/>
        <v>0</v>
      </c>
      <c r="AA844" s="10">
        <f t="shared" ca="1" si="5821"/>
        <v>0</v>
      </c>
      <c r="AB844" s="10">
        <f t="shared" ca="1" si="5821"/>
        <v>0</v>
      </c>
      <c r="AC844" s="10">
        <f t="shared" ca="1" si="5821"/>
        <v>1732.3250801296751</v>
      </c>
      <c r="AD844" s="10">
        <f t="shared" ca="1" si="5821"/>
        <v>2254.1827763839856</v>
      </c>
      <c r="AE844" s="10">
        <f t="shared" ca="1" si="5821"/>
        <v>1335.4465714505823</v>
      </c>
      <c r="AF844" s="10">
        <f t="shared" ca="1" si="5821"/>
        <v>1310.5448703981772</v>
      </c>
      <c r="AG844" s="10">
        <f t="shared" ca="1" si="5821"/>
        <v>2068.5244660511385</v>
      </c>
      <c r="AH844" s="10">
        <f t="shared" ca="1" si="5821"/>
        <v>2679.2572427878249</v>
      </c>
      <c r="AI844" s="10">
        <f t="shared" ca="1" si="5821"/>
        <v>1580.431942489103</v>
      </c>
      <c r="AJ844" s="10">
        <f t="shared" ca="1" si="5821"/>
        <v>1544.6955539093187</v>
      </c>
      <c r="AK844" s="10">
        <f t="shared" ca="1" si="5821"/>
        <v>2428.848082718112</v>
      </c>
      <c r="AL844" s="10">
        <f t="shared" ca="1" si="5821"/>
        <v>3134.7309740617548</v>
      </c>
      <c r="AM844" s="10">
        <f t="shared" ca="1" si="5821"/>
        <v>1842.879428696385</v>
      </c>
      <c r="AN844" s="10">
        <f t="shared" ca="1" si="5821"/>
        <v>1815.4312138676996</v>
      </c>
      <c r="AO844" s="10">
        <f t="shared" ca="1" si="5821"/>
        <v>2814.687949572758</v>
      </c>
      <c r="AP844" s="10">
        <f t="shared" ca="1" si="5821"/>
        <v>3531.7968974429077</v>
      </c>
      <c r="AQ844" s="10">
        <f t="shared" ca="1" si="5821"/>
        <v>2020.1943142682517</v>
      </c>
      <c r="AR844" s="10">
        <f t="shared" ca="1" si="5821"/>
        <v>1916.4401686242472</v>
      </c>
      <c r="AS844" s="10">
        <f t="shared" ca="1" si="5821"/>
        <v>2927.2754675556685</v>
      </c>
      <c r="AT844" s="10">
        <f t="shared" ca="1" si="5821"/>
        <v>3673.0687733406248</v>
      </c>
      <c r="AU844" s="10">
        <f t="shared" ca="1" si="5821"/>
        <v>2101.0020868389815</v>
      </c>
      <c r="AV844" s="10">
        <f t="shared" ca="1" si="5821"/>
        <v>1993.0977753692168</v>
      </c>
      <c r="AW844" s="10">
        <f t="shared" ca="1" si="5821"/>
        <v>3044.3664862578958</v>
      </c>
      <c r="AX844" s="10">
        <f t="shared" ca="1" si="5821"/>
        <v>3819.9915242742486</v>
      </c>
      <c r="AY844" s="10">
        <f t="shared" ca="1" si="5821"/>
        <v>2185.0421703125412</v>
      </c>
      <c r="AZ844" s="10">
        <f t="shared" ca="1" si="5821"/>
        <v>2072.8216863839853</v>
      </c>
      <c r="BA844" s="10">
        <f t="shared" ca="1" si="5821"/>
        <v>3166.1411457082099</v>
      </c>
      <c r="BB844" s="10">
        <f t="shared" ca="1" si="5821"/>
        <v>3972.791185245218</v>
      </c>
      <c r="BC844" s="10">
        <f t="shared" ca="1" si="5821"/>
        <v>2272.4438571250425</v>
      </c>
      <c r="BD844" s="10">
        <f t="shared" ca="1" si="5821"/>
        <v>2179.6871599931151</v>
      </c>
      <c r="BE844" s="10">
        <f t="shared" ca="1" si="5821"/>
        <v>3292.7867915365377</v>
      </c>
      <c r="BF844" s="10">
        <f t="shared" ca="1" si="5821"/>
        <v>4131.7028326550253</v>
      </c>
      <c r="BG844" s="10">
        <f t="shared" ca="1" si="5821"/>
        <v>2363.3416114100437</v>
      </c>
      <c r="BH844" s="10">
        <f t="shared" ca="1" si="5821"/>
        <v>2241.9639359929179</v>
      </c>
      <c r="BI844" s="10">
        <f t="shared" ca="1" si="5821"/>
        <v>3424.4982631979997</v>
      </c>
      <c r="BJ844" s="10">
        <f t="shared" ca="1" si="5821"/>
        <v>4296.9709459612268</v>
      </c>
      <c r="BK844" s="10">
        <f t="shared" ca="1" si="5821"/>
        <v>2457.875275866445</v>
      </c>
      <c r="BL844" s="10">
        <f t="shared" ca="1" si="5821"/>
        <v>2331.6424934326342</v>
      </c>
      <c r="BM844" s="10">
        <f t="shared" ca="1" si="5821"/>
        <v>3561.4781937259195</v>
      </c>
      <c r="BN844" s="10">
        <f t="shared" ca="1" si="5821"/>
        <v>4468.8497837996747</v>
      </c>
      <c r="BO844" s="10">
        <f t="shared" ca="1" si="5821"/>
        <v>2556.1902869011024</v>
      </c>
      <c r="BP844" s="10">
        <f t="shared" ca="1" si="5821"/>
        <v>2424.9081931699393</v>
      </c>
      <c r="BQ844" s="10">
        <f t="shared" ca="1" si="5821"/>
        <v>3703.9373214749544</v>
      </c>
      <c r="BR844" s="10">
        <f t="shared" ca="1" si="5821"/>
        <v>4647.6037751516615</v>
      </c>
      <c r="BS844" s="10">
        <f t="shared" ca="1" si="5821"/>
        <v>2658.4378983771453</v>
      </c>
      <c r="BT844" s="10">
        <f t="shared" ca="1" si="5821"/>
        <v>2549.9256822400334</v>
      </c>
      <c r="BU844" s="10">
        <f t="shared" ca="1" si="5821"/>
        <v>3852.0948143339519</v>
      </c>
      <c r="BV844" s="10">
        <f t="shared" ca="1" si="5821"/>
        <v>4833.5079261577257</v>
      </c>
      <c r="BW844" s="10">
        <f t="shared" ca="1" si="5821"/>
        <v>2764.7754143122302</v>
      </c>
      <c r="BX844" s="10">
        <f t="shared" ca="1" si="5821"/>
        <v>2622.7807017326054</v>
      </c>
      <c r="BY844" s="10">
        <f t="shared" ca="1" si="5821"/>
        <v>4006.1786069073091</v>
      </c>
      <c r="BZ844" s="10">
        <f t="shared" ca="1" si="5821"/>
        <v>5026.8482432040355</v>
      </c>
      <c r="CA844" s="10">
        <f t="shared" ca="1" si="5821"/>
        <v>2875.3664308847196</v>
      </c>
      <c r="CB844" s="10">
        <f t="shared" ca="1" si="5821"/>
        <v>2727.6919298019097</v>
      </c>
      <c r="CC844" s="10">
        <f t="shared" ca="1" si="5821"/>
        <v>4166.4257511836022</v>
      </c>
      <c r="CD844" s="10">
        <f t="shared" ca="1" si="5821"/>
        <v>5227.9221729321962</v>
      </c>
      <c r="CE844" s="10">
        <f t="shared" ca="1" si="5821"/>
        <v>2990.3810881201084</v>
      </c>
      <c r="CF844" s="10">
        <f t="shared" ca="1" si="5819"/>
        <v>2836.7996069939854</v>
      </c>
      <c r="CG844" s="10">
        <f t="shared" ca="1" si="5819"/>
        <v>4333.0827812309462</v>
      </c>
      <c r="CH844" s="10">
        <f t="shared" ca="1" si="5819"/>
        <v>5437.0390598494832</v>
      </c>
      <c r="CI844" s="10">
        <f t="shared" ca="1" si="5819"/>
        <v>3109.996331644913</v>
      </c>
      <c r="CJ844" s="10">
        <f t="shared" ca="1" si="5819"/>
        <v>2983.0523867323413</v>
      </c>
      <c r="CK844" s="10">
        <f t="shared" ca="1" si="5819"/>
        <v>4506.4060924801825</v>
      </c>
      <c r="CL844" s="10">
        <f t="shared" ca="1" si="5819"/>
        <v>5654.5206222434617</v>
      </c>
      <c r="CM844" s="10">
        <f t="shared" ca="1" si="5819"/>
        <v>3234.3961849107091</v>
      </c>
      <c r="CN844" s="10">
        <f t="shared" ca="1" si="5819"/>
        <v>3068.2824549246939</v>
      </c>
      <c r="CO844" s="10">
        <f t="shared" ca="1" si="5819"/>
        <v>4686.6623361793909</v>
      </c>
    </row>
    <row r="845" spans="1:93">
      <c r="A845" s="10"/>
      <c r="B845" s="10"/>
      <c r="C845" s="17" t="s">
        <v>1059</v>
      </c>
      <c r="D845" s="10"/>
      <c r="E845" s="241">
        <f>E$819</f>
        <v>2E-3</v>
      </c>
      <c r="F845" s="10"/>
      <c r="G845" s="11" t="str">
        <f t="shared" si="5814"/>
        <v>тыс. руб.</v>
      </c>
      <c r="H845" s="10"/>
      <c r="I845" s="23">
        <f t="shared" ca="1" si="5815"/>
        <v>7822.5282773690351</v>
      </c>
      <c r="J845" s="10"/>
      <c r="K845" s="10"/>
      <c r="L845" s="10">
        <f t="shared" ca="1" si="5820"/>
        <v>0</v>
      </c>
      <c r="M845" s="10">
        <f t="shared" ca="1" si="5820"/>
        <v>0</v>
      </c>
      <c r="N845" s="10">
        <f t="shared" ca="1" si="5820"/>
        <v>0</v>
      </c>
      <c r="O845" s="10">
        <f t="shared" ca="1" si="5820"/>
        <v>0</v>
      </c>
      <c r="P845" s="10">
        <f t="shared" ca="1" si="5820"/>
        <v>0</v>
      </c>
      <c r="Q845" s="10">
        <f t="shared" ca="1" si="5820"/>
        <v>0</v>
      </c>
      <c r="R845" s="10">
        <f t="shared" ca="1" si="5820"/>
        <v>0</v>
      </c>
      <c r="S845" s="10">
        <f t="shared" ca="1" si="5820"/>
        <v>0</v>
      </c>
      <c r="T845" s="10">
        <f t="shared" ca="1" si="5821"/>
        <v>0</v>
      </c>
      <c r="U845" s="10">
        <f t="shared" ca="1" si="5821"/>
        <v>0</v>
      </c>
      <c r="V845" s="10">
        <f t="shared" ca="1" si="5821"/>
        <v>0</v>
      </c>
      <c r="W845" s="10">
        <f t="shared" ca="1" si="5821"/>
        <v>0</v>
      </c>
      <c r="X845" s="10">
        <f t="shared" ca="1" si="5821"/>
        <v>0</v>
      </c>
      <c r="Y845" s="10">
        <f t="shared" ca="1" si="5821"/>
        <v>0</v>
      </c>
      <c r="Z845" s="10">
        <f t="shared" ca="1" si="5821"/>
        <v>0</v>
      </c>
      <c r="AA845" s="10">
        <f t="shared" ca="1" si="5821"/>
        <v>0</v>
      </c>
      <c r="AB845" s="10">
        <f t="shared" ca="1" si="5821"/>
        <v>0</v>
      </c>
      <c r="AC845" s="10">
        <f t="shared" ca="1" si="5821"/>
        <v>67.934316867830404</v>
      </c>
      <c r="AD845" s="10">
        <f t="shared" ca="1" si="5821"/>
        <v>88.399324564077872</v>
      </c>
      <c r="AE845" s="10">
        <f t="shared" ca="1" si="5821"/>
        <v>52.370453782375776</v>
      </c>
      <c r="AF845" s="10">
        <f t="shared" ca="1" si="5821"/>
        <v>51.393916486203032</v>
      </c>
      <c r="AG845" s="10">
        <f t="shared" ca="1" si="5821"/>
        <v>81.118606511809361</v>
      </c>
      <c r="AH845" s="10">
        <f t="shared" ca="1" si="5821"/>
        <v>105.06891148187549</v>
      </c>
      <c r="AI845" s="10">
        <f t="shared" ca="1" si="5821"/>
        <v>61.977723234866794</v>
      </c>
      <c r="AJ845" s="10">
        <f t="shared" ca="1" si="5821"/>
        <v>60.576296231737992</v>
      </c>
      <c r="AK845" s="10">
        <f t="shared" ca="1" si="5821"/>
        <v>95.248944420318125</v>
      </c>
      <c r="AL845" s="10">
        <f t="shared" ca="1" si="5821"/>
        <v>122.93062643379432</v>
      </c>
      <c r="AM845" s="10">
        <f t="shared" ca="1" si="5821"/>
        <v>72.269781517505294</v>
      </c>
      <c r="AN845" s="10">
        <f t="shared" ca="1" si="5821"/>
        <v>71.19338093598823</v>
      </c>
      <c r="AO845" s="10">
        <f t="shared" ca="1" si="5821"/>
        <v>110.37991959108857</v>
      </c>
      <c r="AP845" s="10">
        <f t="shared" ca="1" si="5821"/>
        <v>138.50183911540816</v>
      </c>
      <c r="AQ845" s="10">
        <f t="shared" ca="1" si="5821"/>
        <v>79.223306441892234</v>
      </c>
      <c r="AR845" s="10">
        <f t="shared" ca="1" si="5821"/>
        <v>75.154516416637151</v>
      </c>
      <c r="AS845" s="10">
        <f t="shared" ca="1" si="5821"/>
        <v>114.7951163747321</v>
      </c>
      <c r="AT845" s="10">
        <f t="shared" ca="1" si="5821"/>
        <v>144.04191268002452</v>
      </c>
      <c r="AU845" s="10">
        <f t="shared" ca="1" si="5821"/>
        <v>82.392238699567912</v>
      </c>
      <c r="AV845" s="10">
        <f t="shared" ca="1" si="5821"/>
        <v>78.160697073302629</v>
      </c>
      <c r="AW845" s="10">
        <f t="shared" ca="1" si="5821"/>
        <v>119.38692102972141</v>
      </c>
      <c r="AX845" s="10">
        <f t="shared" ca="1" si="5821"/>
        <v>149.80358918722544</v>
      </c>
      <c r="AY845" s="10">
        <f t="shared" ca="1" si="5821"/>
        <v>85.68792824755063</v>
      </c>
      <c r="AZ845" s="10">
        <f t="shared" ca="1" si="5821"/>
        <v>81.28712495623472</v>
      </c>
      <c r="BA845" s="10">
        <f t="shared" ca="1" si="5821"/>
        <v>124.16239787091021</v>
      </c>
      <c r="BB845" s="10">
        <f t="shared" ca="1" si="5821"/>
        <v>155.79573275471444</v>
      </c>
      <c r="BC845" s="10">
        <f t="shared" ca="1" si="5821"/>
        <v>89.115445377452644</v>
      </c>
      <c r="BD845" s="10">
        <f t="shared" ca="1" si="5821"/>
        <v>85.47792784286726</v>
      </c>
      <c r="BE845" s="10">
        <f t="shared" ca="1" si="5821"/>
        <v>129.12889378574658</v>
      </c>
      <c r="BF845" s="10">
        <f t="shared" ca="1" si="5821"/>
        <v>162.02756206490298</v>
      </c>
      <c r="BG845" s="10">
        <f t="shared" ca="1" si="5821"/>
        <v>92.680063192550733</v>
      </c>
      <c r="BH845" s="10">
        <f t="shared" ca="1" si="5821"/>
        <v>87.920154352663445</v>
      </c>
      <c r="BI845" s="10">
        <f t="shared" ca="1" si="5821"/>
        <v>134.29404953717648</v>
      </c>
      <c r="BJ845" s="10">
        <f t="shared" ca="1" si="5821"/>
        <v>168.50866454749911</v>
      </c>
      <c r="BK845" s="10">
        <f t="shared" ca="1" si="5821"/>
        <v>96.387265720252756</v>
      </c>
      <c r="BL845" s="10">
        <f t="shared" ca="1" si="5821"/>
        <v>91.43696052676998</v>
      </c>
      <c r="BM845" s="10">
        <f t="shared" ca="1" si="5821"/>
        <v>139.6658115186635</v>
      </c>
      <c r="BN845" s="10">
        <f t="shared" ca="1" si="5821"/>
        <v>175.24901112939904</v>
      </c>
      <c r="BO845" s="10">
        <f t="shared" ca="1" si="5821"/>
        <v>100.24275634906284</v>
      </c>
      <c r="BP845" s="10">
        <f t="shared" ca="1" si="5821"/>
        <v>95.094438947840771</v>
      </c>
      <c r="BQ845" s="10">
        <f t="shared" ca="1" si="5821"/>
        <v>145.25244397941</v>
      </c>
      <c r="BR845" s="10">
        <f t="shared" ca="1" si="5821"/>
        <v>182.25897157457499</v>
      </c>
      <c r="BS845" s="10">
        <f t="shared" ca="1" si="5821"/>
        <v>104.25246660302531</v>
      </c>
      <c r="BT845" s="10">
        <f t="shared" ca="1" si="5821"/>
        <v>99.99708557804054</v>
      </c>
      <c r="BU845" s="10">
        <f t="shared" ca="1" si="5821"/>
        <v>151.06254173858636</v>
      </c>
      <c r="BV845" s="10">
        <f t="shared" ca="1" si="5821"/>
        <v>189.5493304375579</v>
      </c>
      <c r="BW845" s="10">
        <f t="shared" ca="1" si="5821"/>
        <v>108.4225652671463</v>
      </c>
      <c r="BX845" s="10">
        <f t="shared" ca="1" si="5821"/>
        <v>102.85414516598453</v>
      </c>
      <c r="BY845" s="10">
        <f t="shared" ca="1" si="5821"/>
        <v>157.10504340812977</v>
      </c>
      <c r="BZ845" s="10">
        <f t="shared" ca="1" si="5821"/>
        <v>197.13130365506021</v>
      </c>
      <c r="CA845" s="10">
        <f t="shared" ca="1" si="5821"/>
        <v>112.75946787783215</v>
      </c>
      <c r="CB845" s="10">
        <f t="shared" ca="1" si="5821"/>
        <v>106.96831097262393</v>
      </c>
      <c r="CC845" s="10">
        <f t="shared" ca="1" si="5821"/>
        <v>163.389245144455</v>
      </c>
      <c r="CD845" s="10">
        <f t="shared" ca="1" si="5821"/>
        <v>205.01655580126263</v>
      </c>
      <c r="CE845" s="10">
        <f t="shared" ca="1" si="5821"/>
        <v>117.26984659294544</v>
      </c>
      <c r="CF845" s="10">
        <f t="shared" ca="1" si="5819"/>
        <v>111.24704341152885</v>
      </c>
      <c r="CG845" s="10">
        <f t="shared" ca="1" si="5819"/>
        <v>169.92481495023321</v>
      </c>
      <c r="CH845" s="10">
        <f t="shared" ca="1" si="5819"/>
        <v>213.21721803331309</v>
      </c>
      <c r="CI845" s="10">
        <f t="shared" ca="1" si="5819"/>
        <v>121.96064045666327</v>
      </c>
      <c r="CJ845" s="10">
        <f t="shared" ca="1" si="5819"/>
        <v>116.98244653852321</v>
      </c>
      <c r="CK845" s="10">
        <f t="shared" ca="1" si="5819"/>
        <v>176.72180754824248</v>
      </c>
      <c r="CL845" s="10">
        <f t="shared" ca="1" si="5819"/>
        <v>221.74590675464557</v>
      </c>
      <c r="CM845" s="10">
        <f t="shared" ca="1" si="5819"/>
        <v>126.83906607492979</v>
      </c>
      <c r="CN845" s="10">
        <f t="shared" ca="1" si="5819"/>
        <v>120.32480215390959</v>
      </c>
      <c r="CO845" s="10">
        <f t="shared" ca="1" si="5819"/>
        <v>183.79067985017221</v>
      </c>
    </row>
    <row r="846" spans="1:93">
      <c r="A846" s="10"/>
      <c r="B846" s="10"/>
      <c r="C846" s="17"/>
      <c r="D846" s="10"/>
      <c r="E846" s="242"/>
      <c r="F846" s="10"/>
      <c r="G846" s="11"/>
      <c r="H846" s="10"/>
      <c r="I846" s="1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  <c r="BB846" s="10"/>
      <c r="BC846" s="10"/>
      <c r="BD846" s="10"/>
      <c r="BE846" s="10"/>
      <c r="BF846" s="10"/>
      <c r="BG846" s="10"/>
      <c r="BH846" s="10"/>
      <c r="BI846" s="10"/>
      <c r="BJ846" s="10"/>
      <c r="BK846" s="10"/>
      <c r="BL846" s="10"/>
      <c r="BM846" s="10"/>
      <c r="BN846" s="10"/>
      <c r="BO846" s="10"/>
      <c r="BP846" s="10"/>
      <c r="BQ846" s="10"/>
      <c r="BR846" s="10"/>
      <c r="BS846" s="10"/>
      <c r="BT846" s="10"/>
      <c r="BU846" s="10"/>
      <c r="BV846" s="10"/>
      <c r="BW846" s="10"/>
      <c r="BX846" s="10"/>
      <c r="BY846" s="10"/>
      <c r="BZ846" s="10"/>
      <c r="CA846" s="10"/>
      <c r="CB846" s="10"/>
      <c r="CC846" s="10"/>
      <c r="CD846" s="10"/>
      <c r="CE846" s="10"/>
      <c r="CF846" s="10"/>
      <c r="CG846" s="10"/>
      <c r="CH846" s="10"/>
      <c r="CI846" s="10"/>
      <c r="CJ846" s="10"/>
      <c r="CK846" s="10"/>
      <c r="CL846" s="10"/>
      <c r="CM846" s="10"/>
      <c r="CN846" s="10"/>
      <c r="CO846" s="10"/>
    </row>
    <row r="847" spans="1:93">
      <c r="A847" s="10"/>
      <c r="B847" s="10"/>
      <c r="C847" s="41" t="s">
        <v>750</v>
      </c>
      <c r="D847" s="10"/>
      <c r="E847" s="242"/>
      <c r="F847" s="10"/>
      <c r="G847" s="11"/>
      <c r="H847" s="10"/>
      <c r="I847" s="1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  <c r="BB847" s="10"/>
      <c r="BC847" s="10"/>
      <c r="BD847" s="10"/>
      <c r="BE847" s="10"/>
      <c r="BF847" s="10"/>
      <c r="BG847" s="10"/>
      <c r="BH847" s="10"/>
      <c r="BI847" s="10"/>
      <c r="BJ847" s="10"/>
      <c r="BK847" s="10"/>
      <c r="BL847" s="10"/>
      <c r="BM847" s="10"/>
      <c r="BN847" s="10"/>
      <c r="BO847" s="10"/>
      <c r="BP847" s="10"/>
      <c r="BQ847" s="10"/>
      <c r="BR847" s="10"/>
      <c r="BS847" s="10"/>
      <c r="BT847" s="10"/>
      <c r="BU847" s="10"/>
      <c r="BV847" s="10"/>
      <c r="BW847" s="10"/>
      <c r="BX847" s="10"/>
      <c r="BY847" s="10"/>
      <c r="BZ847" s="10"/>
      <c r="CA847" s="10"/>
      <c r="CB847" s="10"/>
      <c r="CC847" s="10"/>
      <c r="CD847" s="10"/>
      <c r="CE847" s="10"/>
      <c r="CF847" s="10"/>
      <c r="CG847" s="10"/>
      <c r="CH847" s="10"/>
      <c r="CI847" s="10"/>
      <c r="CJ847" s="10"/>
      <c r="CK847" s="10"/>
      <c r="CL847" s="10"/>
      <c r="CM847" s="10"/>
      <c r="CN847" s="10"/>
      <c r="CO847" s="10"/>
    </row>
    <row r="848" spans="1:93">
      <c r="A848" s="10"/>
      <c r="B848" s="10"/>
      <c r="C848" s="17" t="s">
        <v>722</v>
      </c>
      <c r="D848" s="10"/>
      <c r="E848" s="241">
        <f xml:space="preserve"> E812</f>
        <v>0.11</v>
      </c>
      <c r="F848" s="10"/>
      <c r="G848" s="11" t="str">
        <f t="shared" ref="G848:G854" si="5822">Monetary_Unit</f>
        <v>тыс. руб.</v>
      </c>
      <c r="H848" s="10"/>
      <c r="I848" s="23">
        <f t="shared" ref="I848:I854" ca="1" si="5823">SUM(L848:CO848)</f>
        <v>712926.39435678278</v>
      </c>
      <c r="J848" s="10"/>
      <c r="K848" s="10"/>
      <c r="L848" s="10">
        <f ca="1" xml:space="preserve"> L$828 * $E848 * $I$775</f>
        <v>0</v>
      </c>
      <c r="M848" s="10">
        <f t="shared" ref="M848:BX849" ca="1" si="5824" xml:space="preserve"> M$828 * $E848 * $I$775</f>
        <v>0</v>
      </c>
      <c r="N848" s="10">
        <f t="shared" ca="1" si="5824"/>
        <v>0</v>
      </c>
      <c r="O848" s="10">
        <f t="shared" ca="1" si="5824"/>
        <v>0</v>
      </c>
      <c r="P848" s="10">
        <f t="shared" ca="1" si="5824"/>
        <v>0</v>
      </c>
      <c r="Q848" s="10">
        <f t="shared" ca="1" si="5824"/>
        <v>0</v>
      </c>
      <c r="R848" s="10">
        <f t="shared" ca="1" si="5824"/>
        <v>0</v>
      </c>
      <c r="S848" s="10">
        <f t="shared" ca="1" si="5824"/>
        <v>0</v>
      </c>
      <c r="T848" s="10">
        <f t="shared" ca="1" si="5824"/>
        <v>0</v>
      </c>
      <c r="U848" s="10">
        <f t="shared" ca="1" si="5824"/>
        <v>0</v>
      </c>
      <c r="V848" s="10">
        <f t="shared" ca="1" si="5824"/>
        <v>0</v>
      </c>
      <c r="W848" s="10">
        <f t="shared" ca="1" si="5824"/>
        <v>0</v>
      </c>
      <c r="X848" s="10">
        <f t="shared" ca="1" si="5824"/>
        <v>0</v>
      </c>
      <c r="Y848" s="10">
        <f t="shared" ca="1" si="5824"/>
        <v>0</v>
      </c>
      <c r="Z848" s="10">
        <f t="shared" ca="1" si="5824"/>
        <v>0</v>
      </c>
      <c r="AA848" s="10">
        <f t="shared" ca="1" si="5824"/>
        <v>0</v>
      </c>
      <c r="AB848" s="10">
        <f t="shared" ca="1" si="5824"/>
        <v>0</v>
      </c>
      <c r="AC848" s="10">
        <f t="shared" ca="1" si="5824"/>
        <v>6191.3700865473584</v>
      </c>
      <c r="AD848" s="10">
        <f t="shared" ca="1" si="5824"/>
        <v>8056.5016182005247</v>
      </c>
      <c r="AE848" s="10">
        <f t="shared" ca="1" si="5824"/>
        <v>4772.9170751499105</v>
      </c>
      <c r="AF848" s="10">
        <f t="shared" ca="1" si="5824"/>
        <v>4683.9178170034756</v>
      </c>
      <c r="AG848" s="10">
        <f t="shared" ca="1" si="5824"/>
        <v>7392.9545033439572</v>
      </c>
      <c r="AH848" s="10">
        <f t="shared" ca="1" si="5824"/>
        <v>9575.7276376326281</v>
      </c>
      <c r="AI848" s="10">
        <f t="shared" ca="1" si="5824"/>
        <v>5648.5004834187921</v>
      </c>
      <c r="AJ848" s="10">
        <f t="shared" ca="1" si="5824"/>
        <v>5520.7778003080975</v>
      </c>
      <c r="AK848" s="10">
        <f t="shared" ca="1" si="5824"/>
        <v>8680.7594813458109</v>
      </c>
      <c r="AL848" s="10">
        <f t="shared" ca="1" si="5824"/>
        <v>11203.601336030175</v>
      </c>
      <c r="AM848" s="10">
        <f t="shared" ca="1" si="5824"/>
        <v>6586.493897028944</v>
      </c>
      <c r="AN848" s="10">
        <f t="shared" ca="1" si="5824"/>
        <v>6488.3933394784372</v>
      </c>
      <c r="AO848" s="10">
        <f t="shared" ca="1" si="5824"/>
        <v>10059.760130382452</v>
      </c>
      <c r="AP848" s="10">
        <f t="shared" ca="1" si="5824"/>
        <v>12622.724171927324</v>
      </c>
      <c r="AQ848" s="10">
        <f t="shared" ca="1" si="5824"/>
        <v>7220.2214179322646</v>
      </c>
      <c r="AR848" s="10">
        <f t="shared" ca="1" si="5824"/>
        <v>6849.4016906975339</v>
      </c>
      <c r="AS848" s="10">
        <f t="shared" ca="1" si="5824"/>
        <v>10462.15053559775</v>
      </c>
      <c r="AT848" s="10">
        <f t="shared" ca="1" si="5824"/>
        <v>13127.633138804418</v>
      </c>
      <c r="AU848" s="10">
        <f t="shared" ca="1" si="5824"/>
        <v>7509.0302746495545</v>
      </c>
      <c r="AV848" s="10">
        <f t="shared" ca="1" si="5824"/>
        <v>7123.3777583254359</v>
      </c>
      <c r="AW848" s="10">
        <f t="shared" ca="1" si="5824"/>
        <v>10880.636557021662</v>
      </c>
      <c r="AX848" s="10">
        <f t="shared" ca="1" si="5824"/>
        <v>13652.738464356591</v>
      </c>
      <c r="AY848" s="10">
        <f t="shared" ca="1" si="5824"/>
        <v>7809.3914856355368</v>
      </c>
      <c r="AZ848" s="10">
        <f t="shared" ca="1" si="5824"/>
        <v>7408.3128686584496</v>
      </c>
      <c r="BA848" s="10">
        <f t="shared" ca="1" si="5824"/>
        <v>11315.862019302522</v>
      </c>
      <c r="BB848" s="10">
        <f t="shared" ca="1" si="5824"/>
        <v>14198.84800293085</v>
      </c>
      <c r="BC848" s="10">
        <f t="shared" ca="1" si="5824"/>
        <v>8121.767145060955</v>
      </c>
      <c r="BD848" s="10">
        <f t="shared" ca="1" si="5824"/>
        <v>7790.2525543315078</v>
      </c>
      <c r="BE848" s="10">
        <f t="shared" ca="1" si="5824"/>
        <v>11768.496500074622</v>
      </c>
      <c r="BF848" s="10">
        <f t="shared" ca="1" si="5824"/>
        <v>14766.80192304808</v>
      </c>
      <c r="BG848" s="10">
        <f t="shared" ca="1" si="5824"/>
        <v>8446.6378308633921</v>
      </c>
      <c r="BH848" s="10">
        <f t="shared" ca="1" si="5824"/>
        <v>8012.8311987409788</v>
      </c>
      <c r="BI848" s="10">
        <f t="shared" ca="1" si="5824"/>
        <v>12239.236360077608</v>
      </c>
      <c r="BJ848" s="10">
        <f t="shared" ca="1" si="5824"/>
        <v>15357.473999970005</v>
      </c>
      <c r="BK848" s="10">
        <f t="shared" ca="1" si="5824"/>
        <v>8784.5033440979278</v>
      </c>
      <c r="BL848" s="10">
        <f t="shared" ca="1" si="5824"/>
        <v>8333.3444466906167</v>
      </c>
      <c r="BM848" s="10">
        <f t="shared" ca="1" si="5824"/>
        <v>12728.805814480709</v>
      </c>
      <c r="BN848" s="10">
        <f t="shared" ca="1" si="5824"/>
        <v>15971.772959968805</v>
      </c>
      <c r="BO848" s="10">
        <f t="shared" ca="1" si="5824"/>
        <v>9135.883477861842</v>
      </c>
      <c r="BP848" s="10">
        <f t="shared" ca="1" si="5824"/>
        <v>8666.6782245582399</v>
      </c>
      <c r="BQ848" s="10">
        <f t="shared" ca="1" si="5824"/>
        <v>13237.958047059934</v>
      </c>
      <c r="BR848" s="10">
        <f t="shared" ca="1" si="5824"/>
        <v>16610.643878367555</v>
      </c>
      <c r="BS848" s="10">
        <f t="shared" ca="1" si="5824"/>
        <v>9501.3188169763143</v>
      </c>
      <c r="BT848" s="10">
        <f t="shared" ca="1" si="5824"/>
        <v>9113.4936352465756</v>
      </c>
      <c r="BU848" s="10">
        <f t="shared" ca="1" si="5824"/>
        <v>13767.476368942329</v>
      </c>
      <c r="BV848" s="10">
        <f t="shared" ca="1" si="5824"/>
        <v>17275.069633502248</v>
      </c>
      <c r="BW848" s="10">
        <f t="shared" ca="1" si="5824"/>
        <v>9881.3715696553627</v>
      </c>
      <c r="BX848" s="10">
        <f t="shared" ca="1" si="5824"/>
        <v>9373.8791676821893</v>
      </c>
      <c r="BY848" s="10">
        <f t="shared" ref="BY848:CO849" ca="1" si="5825" xml:space="preserve"> BY$828 * $E848 * $I$775</f>
        <v>14318.175423700019</v>
      </c>
      <c r="BZ848" s="10">
        <f t="shared" ca="1" si="5825"/>
        <v>17966.072418842337</v>
      </c>
      <c r="CA848" s="10">
        <f t="shared" ca="1" si="5825"/>
        <v>10276.626432441579</v>
      </c>
      <c r="CB848" s="10">
        <f t="shared" ca="1" si="5825"/>
        <v>9748.8343343894776</v>
      </c>
      <c r="CC848" s="10">
        <f t="shared" ca="1" si="5825"/>
        <v>14890.902440648024</v>
      </c>
      <c r="CD848" s="10">
        <f t="shared" ca="1" si="5825"/>
        <v>18684.715315596033</v>
      </c>
      <c r="CE848" s="10">
        <f t="shared" ca="1" si="5825"/>
        <v>10687.691489739242</v>
      </c>
      <c r="CF848" s="10">
        <f t="shared" ca="1" si="5825"/>
        <v>10138.787707765054</v>
      </c>
      <c r="CG848" s="10">
        <f t="shared" ca="1" si="5825"/>
        <v>15486.538538273942</v>
      </c>
      <c r="CH848" s="10">
        <f t="shared" ca="1" si="5825"/>
        <v>19432.103928219873</v>
      </c>
      <c r="CI848" s="10">
        <f t="shared" ca="1" si="5825"/>
        <v>11115.199149328813</v>
      </c>
      <c r="CJ848" s="10">
        <f t="shared" ca="1" si="5825"/>
        <v>10661.498540698718</v>
      </c>
      <c r="CK848" s="10">
        <f t="shared" ca="1" si="5825"/>
        <v>16106.000079804897</v>
      </c>
      <c r="CL848" s="10">
        <f t="shared" ca="1" si="5825"/>
        <v>20209.388085348663</v>
      </c>
      <c r="CM848" s="10">
        <f t="shared" ca="1" si="5825"/>
        <v>11559.807115301963</v>
      </c>
      <c r="CN848" s="10">
        <f t="shared" ca="1" si="5825"/>
        <v>10966.112784718682</v>
      </c>
      <c r="CO848" s="10">
        <f t="shared" ca="1" si="5825"/>
        <v>16750.24008299709</v>
      </c>
    </row>
    <row r="849" spans="1:93">
      <c r="A849" s="10"/>
      <c r="B849" s="10"/>
      <c r="C849" s="17" t="s">
        <v>721</v>
      </c>
      <c r="D849" s="10"/>
      <c r="E849" s="241">
        <f xml:space="preserve"> E813</f>
        <v>0.10473674238071588</v>
      </c>
      <c r="F849" s="10"/>
      <c r="G849" s="11" t="str">
        <f t="shared" si="5822"/>
        <v>тыс. руб.</v>
      </c>
      <c r="H849" s="10"/>
      <c r="I849" s="23">
        <f t="shared" ca="1" si="5823"/>
        <v>678814.43729235465</v>
      </c>
      <c r="J849" s="10"/>
      <c r="K849" s="10"/>
      <c r="L849" s="10">
        <f ca="1" xml:space="preserve"> L$828 * $E849 * $I$775</f>
        <v>0</v>
      </c>
      <c r="M849" s="10">
        <f t="shared" ca="1" si="5824"/>
        <v>0</v>
      </c>
      <c r="N849" s="10">
        <f t="shared" ca="1" si="5824"/>
        <v>0</v>
      </c>
      <c r="O849" s="10">
        <f t="shared" ca="1" si="5824"/>
        <v>0</v>
      </c>
      <c r="P849" s="10">
        <f t="shared" ca="1" si="5824"/>
        <v>0</v>
      </c>
      <c r="Q849" s="10">
        <f t="shared" ca="1" si="5824"/>
        <v>0</v>
      </c>
      <c r="R849" s="10">
        <f t="shared" ca="1" si="5824"/>
        <v>0</v>
      </c>
      <c r="S849" s="10">
        <f t="shared" ca="1" si="5824"/>
        <v>0</v>
      </c>
      <c r="T849" s="10">
        <f t="shared" ca="1" si="5824"/>
        <v>0</v>
      </c>
      <c r="U849" s="10">
        <f t="shared" ca="1" si="5824"/>
        <v>0</v>
      </c>
      <c r="V849" s="10">
        <f t="shared" ca="1" si="5824"/>
        <v>0</v>
      </c>
      <c r="W849" s="10">
        <f t="shared" ca="1" si="5824"/>
        <v>0</v>
      </c>
      <c r="X849" s="10">
        <f t="shared" ca="1" si="5824"/>
        <v>0</v>
      </c>
      <c r="Y849" s="10">
        <f t="shared" ca="1" si="5824"/>
        <v>0</v>
      </c>
      <c r="Z849" s="10">
        <f t="shared" ca="1" si="5824"/>
        <v>0</v>
      </c>
      <c r="AA849" s="10">
        <f t="shared" ca="1" si="5824"/>
        <v>0</v>
      </c>
      <c r="AB849" s="10">
        <f t="shared" ca="1" si="5824"/>
        <v>0</v>
      </c>
      <c r="AC849" s="10">
        <f t="shared" ca="1" si="5824"/>
        <v>5895.1266703489209</v>
      </c>
      <c r="AD849" s="10">
        <f t="shared" ca="1" si="5824"/>
        <v>7671.015767957173</v>
      </c>
      <c r="AE849" s="10">
        <f t="shared" ca="1" si="5824"/>
        <v>4544.543510040874</v>
      </c>
      <c r="AF849" s="10">
        <f t="shared" ca="1" si="5824"/>
        <v>4459.8026702903462</v>
      </c>
      <c r="AG849" s="10">
        <f t="shared" ca="1" si="5824"/>
        <v>7039.2179204462673</v>
      </c>
      <c r="AH849" s="10">
        <f t="shared" ca="1" si="5824"/>
        <v>9117.5501699148153</v>
      </c>
      <c r="AI849" s="10">
        <f t="shared" ca="1" si="5824"/>
        <v>5378.2321815380292</v>
      </c>
      <c r="AJ849" s="10">
        <f t="shared" ca="1" si="5824"/>
        <v>5256.6207473822233</v>
      </c>
      <c r="AK849" s="10">
        <f t="shared" ca="1" si="5824"/>
        <v>8265.4042678788446</v>
      </c>
      <c r="AL849" s="10">
        <f t="shared" ca="1" si="5824"/>
        <v>10667.533698800333</v>
      </c>
      <c r="AM849" s="10">
        <f t="shared" ca="1" si="5824"/>
        <v>6271.3446771388899</v>
      </c>
      <c r="AN849" s="10">
        <f t="shared" ca="1" si="5824"/>
        <v>6177.938015106417</v>
      </c>
      <c r="AO849" s="10">
        <f t="shared" ca="1" si="5824"/>
        <v>9578.4227744333075</v>
      </c>
      <c r="AP849" s="10">
        <f t="shared" ca="1" si="5824"/>
        <v>12018.754633981704</v>
      </c>
      <c r="AQ849" s="10">
        <f t="shared" ca="1" si="5824"/>
        <v>6874.7497325608983</v>
      </c>
      <c r="AR849" s="10">
        <f t="shared" ca="1" si="5824"/>
        <v>6521.6729121875223</v>
      </c>
      <c r="AS849" s="10">
        <f t="shared" ca="1" si="5824"/>
        <v>9961.5596854106388</v>
      </c>
      <c r="AT849" s="10">
        <f t="shared" ca="1" si="5824"/>
        <v>12499.504819340971</v>
      </c>
      <c r="AU849" s="10">
        <f t="shared" ca="1" si="5824"/>
        <v>7149.7397218633332</v>
      </c>
      <c r="AV849" s="10">
        <f t="shared" ca="1" si="5824"/>
        <v>6782.5398286750233</v>
      </c>
      <c r="AW849" s="10">
        <f t="shared" ca="1" si="5824"/>
        <v>10360.022072827065</v>
      </c>
      <c r="AX849" s="10">
        <f t="shared" ca="1" si="5824"/>
        <v>12999.485012114606</v>
      </c>
      <c r="AY849" s="10">
        <f t="shared" ca="1" si="5824"/>
        <v>7435.7293107378664</v>
      </c>
      <c r="AZ849" s="10">
        <f t="shared" ca="1" si="5824"/>
        <v>7053.8414218220205</v>
      </c>
      <c r="BA849" s="10">
        <f t="shared" ca="1" si="5824"/>
        <v>10774.422955740143</v>
      </c>
      <c r="BB849" s="10">
        <f t="shared" ca="1" si="5824"/>
        <v>13519.464412599189</v>
      </c>
      <c r="BC849" s="10">
        <f t="shared" ca="1" si="5824"/>
        <v>7733.1584831673781</v>
      </c>
      <c r="BD849" s="10">
        <f t="shared" ca="1" si="5824"/>
        <v>7417.506135124846</v>
      </c>
      <c r="BE849" s="10">
        <f t="shared" ca="1" si="5824"/>
        <v>11205.399873969747</v>
      </c>
      <c r="BF849" s="10">
        <f t="shared" ca="1" si="5824"/>
        <v>14060.242989103153</v>
      </c>
      <c r="BG849" s="10">
        <f t="shared" ca="1" si="5824"/>
        <v>8042.4848224940724</v>
      </c>
      <c r="BH849" s="10">
        <f t="shared" ca="1" si="5824"/>
        <v>7629.434881842697</v>
      </c>
      <c r="BI849" s="10">
        <f t="shared" ca="1" si="5824"/>
        <v>11653.615868928538</v>
      </c>
      <c r="BJ849" s="10">
        <f t="shared" ca="1" si="5824"/>
        <v>14622.65270866728</v>
      </c>
      <c r="BK849" s="10">
        <f t="shared" ca="1" si="5824"/>
        <v>8364.1842153938342</v>
      </c>
      <c r="BL849" s="10">
        <f t="shared" ca="1" si="5824"/>
        <v>7934.6122771164046</v>
      </c>
      <c r="BM849" s="10">
        <f t="shared" ca="1" si="5824"/>
        <v>12119.760503685677</v>
      </c>
      <c r="BN849" s="10">
        <f t="shared" ca="1" si="5824"/>
        <v>15207.558817013969</v>
      </c>
      <c r="BO849" s="10">
        <f t="shared" ca="1" si="5824"/>
        <v>8698.7515840095857</v>
      </c>
      <c r="BP849" s="10">
        <f t="shared" ca="1" si="5824"/>
        <v>8251.9967682010592</v>
      </c>
      <c r="BQ849" s="10">
        <f t="shared" ca="1" si="5824"/>
        <v>12604.550923833101</v>
      </c>
      <c r="BR849" s="10">
        <f t="shared" ca="1" si="5824"/>
        <v>15815.861169694526</v>
      </c>
      <c r="BS849" s="10">
        <f t="shared" ca="1" si="5824"/>
        <v>9046.7016473699659</v>
      </c>
      <c r="BT849" s="10">
        <f t="shared" ca="1" si="5824"/>
        <v>8677.4330460283127</v>
      </c>
      <c r="BU849" s="10">
        <f t="shared" ca="1" si="5824"/>
        <v>13108.732960786423</v>
      </c>
      <c r="BV849" s="10">
        <f t="shared" ca="1" si="5824"/>
        <v>16448.495616482298</v>
      </c>
      <c r="BW849" s="10">
        <f t="shared" ca="1" si="5824"/>
        <v>9408.569713264762</v>
      </c>
      <c r="BX849" s="10">
        <f t="shared" ca="1" si="5824"/>
        <v>8925.3597044862618</v>
      </c>
      <c r="BY849" s="10">
        <f t="shared" ca="1" si="5825"/>
        <v>13633.082279217875</v>
      </c>
      <c r="BZ849" s="10">
        <f t="shared" ca="1" si="5825"/>
        <v>17106.435441141592</v>
      </c>
      <c r="CA849" s="10">
        <f t="shared" ca="1" si="5825"/>
        <v>9784.9125017953538</v>
      </c>
      <c r="CB849" s="10">
        <f t="shared" ca="1" si="5825"/>
        <v>9282.3740926657138</v>
      </c>
      <c r="CC849" s="10">
        <f t="shared" ca="1" si="5825"/>
        <v>14178.405570386594</v>
      </c>
      <c r="CD849" s="10">
        <f t="shared" ca="1" si="5825"/>
        <v>17790.692858787253</v>
      </c>
      <c r="CE849" s="10">
        <f t="shared" ca="1" si="5825"/>
        <v>10176.309001867168</v>
      </c>
      <c r="CF849" s="10">
        <f t="shared" ca="1" si="5825"/>
        <v>9653.6690563723387</v>
      </c>
      <c r="CG849" s="10">
        <f t="shared" ca="1" si="5825"/>
        <v>14745.541793202055</v>
      </c>
      <c r="CH849" s="10">
        <f t="shared" ca="1" si="5825"/>
        <v>18502.320573138742</v>
      </c>
      <c r="CI849" s="10">
        <f t="shared" ca="1" si="5825"/>
        <v>10583.361361941856</v>
      </c>
      <c r="CJ849" s="10">
        <f t="shared" ca="1" si="5825"/>
        <v>10151.36932772309</v>
      </c>
      <c r="CK849" s="10">
        <f t="shared" ca="1" si="5825"/>
        <v>15335.363464930137</v>
      </c>
      <c r="CL849" s="10">
        <f t="shared" ca="1" si="5825"/>
        <v>19242.41339606429</v>
      </c>
      <c r="CM849" s="10">
        <f t="shared" ca="1" si="5825"/>
        <v>11006.695816419528</v>
      </c>
      <c r="CN849" s="10">
        <f t="shared" ca="1" si="5825"/>
        <v>10441.408451372323</v>
      </c>
      <c r="CO849" s="10">
        <f t="shared" ca="1" si="5825"/>
        <v>15948.778003527341</v>
      </c>
    </row>
    <row r="850" spans="1:93">
      <c r="A850" s="10"/>
      <c r="B850" s="10"/>
      <c r="C850" s="17" t="s">
        <v>1056</v>
      </c>
      <c r="D850" s="10"/>
      <c r="E850" s="241">
        <f>E$816</f>
        <v>0.22</v>
      </c>
      <c r="F850" s="10"/>
      <c r="G850" s="11" t="str">
        <f t="shared" si="5822"/>
        <v>тыс. руб.</v>
      </c>
      <c r="H850" s="10"/>
      <c r="I850" s="23">
        <f t="shared" ca="1" si="5823"/>
        <v>149339.17620431806</v>
      </c>
      <c r="J850" s="10"/>
      <c r="K850" s="10"/>
      <c r="L850" s="10">
        <f t="shared" ref="L850:BA851" ca="1" si="5826" xml:space="preserve"> L$849 * $E850</f>
        <v>0</v>
      </c>
      <c r="M850" s="10">
        <f t="shared" ca="1" si="5826"/>
        <v>0</v>
      </c>
      <c r="N850" s="10">
        <f t="shared" ca="1" si="5826"/>
        <v>0</v>
      </c>
      <c r="O850" s="10">
        <f t="shared" ca="1" si="5826"/>
        <v>0</v>
      </c>
      <c r="P850" s="10">
        <f t="shared" ca="1" si="5826"/>
        <v>0</v>
      </c>
      <c r="Q850" s="10">
        <f t="shared" ca="1" si="5826"/>
        <v>0</v>
      </c>
      <c r="R850" s="10">
        <f t="shared" ca="1" si="5826"/>
        <v>0</v>
      </c>
      <c r="S850" s="10">
        <f t="shared" ca="1" si="5826"/>
        <v>0</v>
      </c>
      <c r="T850" s="10">
        <f t="shared" ca="1" si="5826"/>
        <v>0</v>
      </c>
      <c r="U850" s="10">
        <f t="shared" ca="1" si="5826"/>
        <v>0</v>
      </c>
      <c r="V850" s="10">
        <f t="shared" ca="1" si="5826"/>
        <v>0</v>
      </c>
      <c r="W850" s="10">
        <f t="shared" ca="1" si="5826"/>
        <v>0</v>
      </c>
      <c r="X850" s="10">
        <f t="shared" ca="1" si="5826"/>
        <v>0</v>
      </c>
      <c r="Y850" s="10">
        <f t="shared" ca="1" si="5826"/>
        <v>0</v>
      </c>
      <c r="Z850" s="10">
        <f t="shared" ca="1" si="5826"/>
        <v>0</v>
      </c>
      <c r="AA850" s="10">
        <f t="shared" ca="1" si="5826"/>
        <v>0</v>
      </c>
      <c r="AB850" s="10">
        <f t="shared" ca="1" si="5826"/>
        <v>0</v>
      </c>
      <c r="AC850" s="10">
        <f t="shared" ca="1" si="5826"/>
        <v>1296.9278674767627</v>
      </c>
      <c r="AD850" s="10">
        <f t="shared" ca="1" si="5826"/>
        <v>1687.6234689505782</v>
      </c>
      <c r="AE850" s="10">
        <f t="shared" ca="1" si="5826"/>
        <v>999.79957220899234</v>
      </c>
      <c r="AF850" s="10">
        <f t="shared" ca="1" si="5826"/>
        <v>981.15658746387612</v>
      </c>
      <c r="AG850" s="10">
        <f t="shared" ca="1" si="5826"/>
        <v>1548.6279424981788</v>
      </c>
      <c r="AH850" s="10">
        <f t="shared" ca="1" si="5826"/>
        <v>2005.8610373812594</v>
      </c>
      <c r="AI850" s="10">
        <f t="shared" ca="1" si="5826"/>
        <v>1183.2110799383665</v>
      </c>
      <c r="AJ850" s="10">
        <f t="shared" ca="1" si="5826"/>
        <v>1156.456564424089</v>
      </c>
      <c r="AK850" s="10">
        <f t="shared" ca="1" si="5826"/>
        <v>1818.3889389333458</v>
      </c>
      <c r="AL850" s="10">
        <f t="shared" ca="1" si="5826"/>
        <v>2346.8574137360733</v>
      </c>
      <c r="AM850" s="10">
        <f t="shared" ca="1" si="5826"/>
        <v>1379.6958289705558</v>
      </c>
      <c r="AN850" s="10">
        <f t="shared" ca="1" si="5826"/>
        <v>1359.1463633234118</v>
      </c>
      <c r="AO850" s="10">
        <f t="shared" ca="1" si="5826"/>
        <v>2107.2530103753274</v>
      </c>
      <c r="AP850" s="10">
        <f t="shared" ca="1" si="5826"/>
        <v>2644.1260194759748</v>
      </c>
      <c r="AQ850" s="10">
        <f t="shared" ca="1" si="5826"/>
        <v>1512.4449411633977</v>
      </c>
      <c r="AR850" s="10">
        <f t="shared" ca="1" si="5826"/>
        <v>1434.7680406812549</v>
      </c>
      <c r="AS850" s="10">
        <f t="shared" ca="1" si="5826"/>
        <v>2191.5431307903405</v>
      </c>
      <c r="AT850" s="10">
        <f t="shared" ca="1" si="5826"/>
        <v>2749.8910602550136</v>
      </c>
      <c r="AU850" s="10">
        <f t="shared" ca="1" si="5826"/>
        <v>1572.9427388099334</v>
      </c>
      <c r="AV850" s="10">
        <f t="shared" ca="1" si="5826"/>
        <v>1492.1587623085052</v>
      </c>
      <c r="AW850" s="10">
        <f t="shared" ca="1" si="5826"/>
        <v>2279.2048560219541</v>
      </c>
      <c r="AX850" s="10">
        <f t="shared" ca="1" si="5826"/>
        <v>2859.8867026652133</v>
      </c>
      <c r="AY850" s="10">
        <f t="shared" ca="1" si="5826"/>
        <v>1635.8604483623305</v>
      </c>
      <c r="AZ850" s="10">
        <f t="shared" ca="1" si="5826"/>
        <v>1551.8451128008446</v>
      </c>
      <c r="BA850" s="10">
        <f t="shared" ca="1" si="5826"/>
        <v>2370.3730502628314</v>
      </c>
      <c r="BB850" s="10">
        <f t="shared" ref="BB850:CO853" ca="1" si="5827" xml:space="preserve"> BB$849 * $E850</f>
        <v>2974.2821707718217</v>
      </c>
      <c r="BC850" s="10">
        <f t="shared" ca="1" si="5827"/>
        <v>1701.2948662968231</v>
      </c>
      <c r="BD850" s="10">
        <f t="shared" ca="1" si="5827"/>
        <v>1631.8513497274662</v>
      </c>
      <c r="BE850" s="10">
        <f t="shared" ca="1" si="5827"/>
        <v>2465.1879722733443</v>
      </c>
      <c r="BF850" s="10">
        <f t="shared" ca="1" si="5827"/>
        <v>3093.2534576026937</v>
      </c>
      <c r="BG850" s="10">
        <f t="shared" ca="1" si="5827"/>
        <v>1769.3466609486959</v>
      </c>
      <c r="BH850" s="10">
        <f t="shared" ca="1" si="5827"/>
        <v>1678.4756740053933</v>
      </c>
      <c r="BI850" s="10">
        <f t="shared" ca="1" si="5827"/>
        <v>2563.7954911642787</v>
      </c>
      <c r="BJ850" s="10">
        <f t="shared" ca="1" si="5827"/>
        <v>3216.9835959068014</v>
      </c>
      <c r="BK850" s="10">
        <f t="shared" ca="1" si="5827"/>
        <v>1840.1205273866435</v>
      </c>
      <c r="BL850" s="10">
        <f t="shared" ca="1" si="5827"/>
        <v>1745.614700965609</v>
      </c>
      <c r="BM850" s="10">
        <f t="shared" ca="1" si="5827"/>
        <v>2666.3473108108487</v>
      </c>
      <c r="BN850" s="10">
        <f t="shared" ca="1" si="5827"/>
        <v>3345.6629397430734</v>
      </c>
      <c r="BO850" s="10">
        <f t="shared" ca="1" si="5827"/>
        <v>1913.7253484821088</v>
      </c>
      <c r="BP850" s="10">
        <f t="shared" ca="1" si="5827"/>
        <v>1815.4392890042329</v>
      </c>
      <c r="BQ850" s="10">
        <f t="shared" ca="1" si="5827"/>
        <v>2773.0012032432824</v>
      </c>
      <c r="BR850" s="10">
        <f t="shared" ca="1" si="5827"/>
        <v>3479.4894573327956</v>
      </c>
      <c r="BS850" s="10">
        <f t="shared" ca="1" si="5827"/>
        <v>1990.2743624213924</v>
      </c>
      <c r="BT850" s="10">
        <f t="shared" ca="1" si="5827"/>
        <v>1909.0352701262289</v>
      </c>
      <c r="BU850" s="10">
        <f t="shared" ca="1" si="5827"/>
        <v>2883.9212513730131</v>
      </c>
      <c r="BV850" s="10">
        <f t="shared" ca="1" si="5827"/>
        <v>3618.6690356261056</v>
      </c>
      <c r="BW850" s="10">
        <f t="shared" ca="1" si="5827"/>
        <v>2069.8853369182475</v>
      </c>
      <c r="BX850" s="10">
        <f t="shared" ca="1" si="5827"/>
        <v>1963.5791349869776</v>
      </c>
      <c r="BY850" s="10">
        <f t="shared" ca="1" si="5827"/>
        <v>2999.2781014279326</v>
      </c>
      <c r="BZ850" s="10">
        <f t="shared" ca="1" si="5827"/>
        <v>3763.4157970511501</v>
      </c>
      <c r="CA850" s="10">
        <f t="shared" ca="1" si="5827"/>
        <v>2152.6807503949781</v>
      </c>
      <c r="CB850" s="10">
        <f t="shared" ca="1" si="5827"/>
        <v>2042.122300386457</v>
      </c>
      <c r="CC850" s="10">
        <f t="shared" ca="1" si="5827"/>
        <v>3119.2492254850508</v>
      </c>
      <c r="CD850" s="10">
        <f t="shared" ca="1" si="5827"/>
        <v>3913.9524289331957</v>
      </c>
      <c r="CE850" s="10">
        <f t="shared" ca="1" si="5827"/>
        <v>2238.787980410777</v>
      </c>
      <c r="CF850" s="10">
        <f t="shared" ca="1" si="5827"/>
        <v>2123.8071924019146</v>
      </c>
      <c r="CG850" s="10">
        <f t="shared" ca="1" si="5827"/>
        <v>3244.0191945044521</v>
      </c>
      <c r="CH850" s="10">
        <f t="shared" ca="1" si="5827"/>
        <v>4070.5105260905234</v>
      </c>
      <c r="CI850" s="10">
        <f t="shared" ca="1" si="5827"/>
        <v>2328.3394996272082</v>
      </c>
      <c r="CJ850" s="10">
        <f t="shared" ca="1" si="5827"/>
        <v>2233.3012520990801</v>
      </c>
      <c r="CK850" s="10">
        <f t="shared" ca="1" si="5827"/>
        <v>3373.7799622846301</v>
      </c>
      <c r="CL850" s="10">
        <f t="shared" ca="1" si="5827"/>
        <v>4233.3309471341436</v>
      </c>
      <c r="CM850" s="10">
        <f t="shared" ca="1" si="5827"/>
        <v>2421.4730796122963</v>
      </c>
      <c r="CN850" s="10">
        <f t="shared" ca="1" si="5827"/>
        <v>2297.109859301911</v>
      </c>
      <c r="CO850" s="10">
        <f t="shared" ca="1" si="5827"/>
        <v>3508.7311607760148</v>
      </c>
    </row>
    <row r="851" spans="1:93">
      <c r="A851" s="10"/>
      <c r="B851" s="10"/>
      <c r="C851" s="17" t="s">
        <v>1057</v>
      </c>
      <c r="D851" s="10"/>
      <c r="E851" s="241">
        <f>E$817</f>
        <v>2.9000000000000001E-2</v>
      </c>
      <c r="F851" s="10"/>
      <c r="G851" s="11" t="str">
        <f t="shared" si="5822"/>
        <v>тыс. руб.</v>
      </c>
      <c r="H851" s="10"/>
      <c r="I851" s="23">
        <f t="shared" ca="1" si="5823"/>
        <v>19685.618681478285</v>
      </c>
      <c r="J851" s="10"/>
      <c r="K851" s="10"/>
      <c r="L851" s="10">
        <f t="shared" ref="L851:AA853" ca="1" si="5828" xml:space="preserve"> L$849 * $E851</f>
        <v>0</v>
      </c>
      <c r="M851" s="10">
        <f t="shared" ca="1" si="5828"/>
        <v>0</v>
      </c>
      <c r="N851" s="10">
        <f t="shared" ca="1" si="5828"/>
        <v>0</v>
      </c>
      <c r="O851" s="10">
        <f t="shared" ca="1" si="5828"/>
        <v>0</v>
      </c>
      <c r="P851" s="10">
        <f t="shared" ca="1" si="5828"/>
        <v>0</v>
      </c>
      <c r="Q851" s="10">
        <f t="shared" ca="1" si="5828"/>
        <v>0</v>
      </c>
      <c r="R851" s="10">
        <f t="shared" ca="1" si="5828"/>
        <v>0</v>
      </c>
      <c r="S851" s="10">
        <f t="shared" ca="1" si="5828"/>
        <v>0</v>
      </c>
      <c r="T851" s="10">
        <f t="shared" ca="1" si="5828"/>
        <v>0</v>
      </c>
      <c r="U851" s="10">
        <f t="shared" ca="1" si="5828"/>
        <v>0</v>
      </c>
      <c r="V851" s="10">
        <f t="shared" ca="1" si="5828"/>
        <v>0</v>
      </c>
      <c r="W851" s="10">
        <f t="shared" ca="1" si="5828"/>
        <v>0</v>
      </c>
      <c r="X851" s="10">
        <f t="shared" ca="1" si="5828"/>
        <v>0</v>
      </c>
      <c r="Y851" s="10">
        <f t="shared" ca="1" si="5828"/>
        <v>0</v>
      </c>
      <c r="Z851" s="10">
        <f t="shared" ca="1" si="5828"/>
        <v>0</v>
      </c>
      <c r="AA851" s="10">
        <f t="shared" ca="1" si="5828"/>
        <v>0</v>
      </c>
      <c r="AB851" s="10">
        <f t="shared" ca="1" si="5826"/>
        <v>0</v>
      </c>
      <c r="AC851" s="10">
        <f t="shared" ca="1" si="5826"/>
        <v>170.9586734401187</v>
      </c>
      <c r="AD851" s="10">
        <f t="shared" ca="1" si="5826"/>
        <v>222.45945727075804</v>
      </c>
      <c r="AE851" s="10">
        <f t="shared" ca="1" si="5826"/>
        <v>131.79176179118537</v>
      </c>
      <c r="AF851" s="10">
        <f t="shared" ca="1" si="5826"/>
        <v>129.33427743842006</v>
      </c>
      <c r="AG851" s="10">
        <f t="shared" ca="1" si="5826"/>
        <v>204.13731969294176</v>
      </c>
      <c r="AH851" s="10">
        <f t="shared" ca="1" si="5826"/>
        <v>264.40895492752963</v>
      </c>
      <c r="AI851" s="10">
        <f t="shared" ca="1" si="5826"/>
        <v>155.96873326460286</v>
      </c>
      <c r="AJ851" s="10">
        <f t="shared" ca="1" si="5826"/>
        <v>152.44200167408448</v>
      </c>
      <c r="AK851" s="10">
        <f t="shared" ca="1" si="5826"/>
        <v>239.69672376848649</v>
      </c>
      <c r="AL851" s="10">
        <f t="shared" ca="1" si="5826"/>
        <v>309.35847726520967</v>
      </c>
      <c r="AM851" s="10">
        <f t="shared" ca="1" si="5826"/>
        <v>181.86899563702781</v>
      </c>
      <c r="AN851" s="10">
        <f t="shared" ca="1" si="5826"/>
        <v>179.16020243808609</v>
      </c>
      <c r="AO851" s="10">
        <f t="shared" ca="1" si="5826"/>
        <v>277.77426045856595</v>
      </c>
      <c r="AP851" s="10">
        <f t="shared" ca="1" si="5826"/>
        <v>348.54388438546943</v>
      </c>
      <c r="AQ851" s="10">
        <f t="shared" ca="1" si="5826"/>
        <v>199.36774224426605</v>
      </c>
      <c r="AR851" s="10">
        <f t="shared" ca="1" si="5826"/>
        <v>189.12851445343816</v>
      </c>
      <c r="AS851" s="10">
        <f t="shared" ca="1" si="5826"/>
        <v>288.88523087690857</v>
      </c>
      <c r="AT851" s="10">
        <f t="shared" ca="1" si="5826"/>
        <v>362.4856397608882</v>
      </c>
      <c r="AU851" s="10">
        <f t="shared" ca="1" si="5826"/>
        <v>207.34245193403666</v>
      </c>
      <c r="AV851" s="10">
        <f t="shared" ca="1" si="5826"/>
        <v>196.69365503157567</v>
      </c>
      <c r="AW851" s="10">
        <f t="shared" ca="1" si="5826"/>
        <v>300.44064011198492</v>
      </c>
      <c r="AX851" s="10">
        <f t="shared" ca="1" si="5826"/>
        <v>376.98506535132361</v>
      </c>
      <c r="AY851" s="10">
        <f t="shared" ca="1" si="5826"/>
        <v>215.63615001139814</v>
      </c>
      <c r="AZ851" s="10">
        <f t="shared" ca="1" si="5826"/>
        <v>204.56140123283859</v>
      </c>
      <c r="BA851" s="10">
        <f t="shared" ca="1" si="5826"/>
        <v>312.45826571646415</v>
      </c>
      <c r="BB851" s="10">
        <f t="shared" ca="1" si="5827"/>
        <v>392.06446796537648</v>
      </c>
      <c r="BC851" s="10">
        <f t="shared" ca="1" si="5827"/>
        <v>224.26159601185398</v>
      </c>
      <c r="BD851" s="10">
        <f t="shared" ca="1" si="5827"/>
        <v>215.10767791862054</v>
      </c>
      <c r="BE851" s="10">
        <f t="shared" ca="1" si="5827"/>
        <v>324.9565963451227</v>
      </c>
      <c r="BF851" s="10">
        <f t="shared" ca="1" si="5827"/>
        <v>407.74704668399147</v>
      </c>
      <c r="BG851" s="10">
        <f t="shared" ca="1" si="5827"/>
        <v>233.23205985232812</v>
      </c>
      <c r="BH851" s="10">
        <f t="shared" ca="1" si="5827"/>
        <v>221.25361157343823</v>
      </c>
      <c r="BI851" s="10">
        <f t="shared" ca="1" si="5827"/>
        <v>337.95486019892763</v>
      </c>
      <c r="BJ851" s="10">
        <f t="shared" ca="1" si="5827"/>
        <v>424.05692855135112</v>
      </c>
      <c r="BK851" s="10">
        <f t="shared" ca="1" si="5827"/>
        <v>242.56134224642119</v>
      </c>
      <c r="BL851" s="10">
        <f t="shared" ca="1" si="5827"/>
        <v>230.10375603637576</v>
      </c>
      <c r="BM851" s="10">
        <f t="shared" ca="1" si="5827"/>
        <v>351.47305460688466</v>
      </c>
      <c r="BN851" s="10">
        <f t="shared" ca="1" si="5827"/>
        <v>441.01920569340513</v>
      </c>
      <c r="BO851" s="10">
        <f t="shared" ca="1" si="5827"/>
        <v>252.263795936278</v>
      </c>
      <c r="BP851" s="10">
        <f t="shared" ca="1" si="5827"/>
        <v>239.30790627783074</v>
      </c>
      <c r="BQ851" s="10">
        <f t="shared" ca="1" si="5827"/>
        <v>365.53197679115993</v>
      </c>
      <c r="BR851" s="10">
        <f t="shared" ca="1" si="5827"/>
        <v>458.65997392114127</v>
      </c>
      <c r="BS851" s="10">
        <f t="shared" ca="1" si="5827"/>
        <v>262.35434777372905</v>
      </c>
      <c r="BT851" s="10">
        <f t="shared" ca="1" si="5827"/>
        <v>251.64555833482109</v>
      </c>
      <c r="BU851" s="10">
        <f t="shared" ca="1" si="5827"/>
        <v>380.1532558628063</v>
      </c>
      <c r="BV851" s="10">
        <f t="shared" ca="1" si="5827"/>
        <v>477.00637287798668</v>
      </c>
      <c r="BW851" s="10">
        <f t="shared" ca="1" si="5827"/>
        <v>272.84852168467813</v>
      </c>
      <c r="BX851" s="10">
        <f t="shared" ca="1" si="5827"/>
        <v>258.83543143010161</v>
      </c>
      <c r="BY851" s="10">
        <f t="shared" ca="1" si="5827"/>
        <v>395.35938609731841</v>
      </c>
      <c r="BZ851" s="10">
        <f t="shared" ca="1" si="5827"/>
        <v>496.08662779310617</v>
      </c>
      <c r="CA851" s="10">
        <f t="shared" ca="1" si="5827"/>
        <v>283.7624625520653</v>
      </c>
      <c r="CB851" s="10">
        <f t="shared" ca="1" si="5827"/>
        <v>269.18884868730572</v>
      </c>
      <c r="CC851" s="10">
        <f t="shared" ca="1" si="5827"/>
        <v>411.17376154121126</v>
      </c>
      <c r="CD851" s="10">
        <f t="shared" ca="1" si="5827"/>
        <v>515.93009290483042</v>
      </c>
      <c r="CE851" s="10">
        <f t="shared" ca="1" si="5827"/>
        <v>295.11296105414789</v>
      </c>
      <c r="CF851" s="10">
        <f t="shared" ca="1" si="5827"/>
        <v>279.95640263479783</v>
      </c>
      <c r="CG851" s="10">
        <f t="shared" ca="1" si="5827"/>
        <v>427.62071200285965</v>
      </c>
      <c r="CH851" s="10">
        <f t="shared" ca="1" si="5827"/>
        <v>536.56729662102362</v>
      </c>
      <c r="CI851" s="10">
        <f t="shared" ca="1" si="5827"/>
        <v>306.91747949631383</v>
      </c>
      <c r="CJ851" s="10">
        <f t="shared" ca="1" si="5827"/>
        <v>294.38971050396964</v>
      </c>
      <c r="CK851" s="10">
        <f t="shared" ca="1" si="5827"/>
        <v>444.725540482974</v>
      </c>
      <c r="CL851" s="10">
        <f t="shared" ca="1" si="5827"/>
        <v>558.02998848586446</v>
      </c>
      <c r="CM851" s="10">
        <f t="shared" ca="1" si="5827"/>
        <v>319.1941786761663</v>
      </c>
      <c r="CN851" s="10">
        <f t="shared" ca="1" si="5827"/>
        <v>302.80084508979735</v>
      </c>
      <c r="CO851" s="10">
        <f t="shared" ca="1" si="5827"/>
        <v>462.51456210229293</v>
      </c>
    </row>
    <row r="852" spans="1:93">
      <c r="A852" s="10"/>
      <c r="B852" s="10"/>
      <c r="C852" s="17" t="s">
        <v>1058</v>
      </c>
      <c r="D852" s="10"/>
      <c r="E852" s="241">
        <f>E$818</f>
        <v>5.0999999999999997E-2</v>
      </c>
      <c r="F852" s="10"/>
      <c r="G852" s="11" t="str">
        <f t="shared" si="5822"/>
        <v>тыс. руб.</v>
      </c>
      <c r="H852" s="10"/>
      <c r="I852" s="23">
        <f t="shared" ca="1" si="5823"/>
        <v>34619.536301910084</v>
      </c>
      <c r="J852" s="10"/>
      <c r="K852" s="10"/>
      <c r="L852" s="10">
        <f t="shared" ca="1" si="5828"/>
        <v>0</v>
      </c>
      <c r="M852" s="10">
        <f t="shared" ca="1" si="5828"/>
        <v>0</v>
      </c>
      <c r="N852" s="10">
        <f t="shared" ca="1" si="5828"/>
        <v>0</v>
      </c>
      <c r="O852" s="10">
        <f t="shared" ca="1" si="5828"/>
        <v>0</v>
      </c>
      <c r="P852" s="10">
        <f t="shared" ca="1" si="5828"/>
        <v>0</v>
      </c>
      <c r="Q852" s="10">
        <f t="shared" ca="1" si="5828"/>
        <v>0</v>
      </c>
      <c r="R852" s="10">
        <f t="shared" ca="1" si="5828"/>
        <v>0</v>
      </c>
      <c r="S852" s="10">
        <f t="shared" ca="1" si="5828"/>
        <v>0</v>
      </c>
      <c r="T852" s="10">
        <f t="shared" ref="T852:CE853" ca="1" si="5829" xml:space="preserve"> T$849 * $E852</f>
        <v>0</v>
      </c>
      <c r="U852" s="10">
        <f t="shared" ca="1" si="5829"/>
        <v>0</v>
      </c>
      <c r="V852" s="10">
        <f t="shared" ca="1" si="5829"/>
        <v>0</v>
      </c>
      <c r="W852" s="10">
        <f t="shared" ca="1" si="5829"/>
        <v>0</v>
      </c>
      <c r="X852" s="10">
        <f t="shared" ca="1" si="5829"/>
        <v>0</v>
      </c>
      <c r="Y852" s="10">
        <f t="shared" ca="1" si="5829"/>
        <v>0</v>
      </c>
      <c r="Z852" s="10">
        <f t="shared" ca="1" si="5829"/>
        <v>0</v>
      </c>
      <c r="AA852" s="10">
        <f t="shared" ca="1" si="5829"/>
        <v>0</v>
      </c>
      <c r="AB852" s="10">
        <f t="shared" ca="1" si="5829"/>
        <v>0</v>
      </c>
      <c r="AC852" s="10">
        <f t="shared" ca="1" si="5829"/>
        <v>300.65146018779495</v>
      </c>
      <c r="AD852" s="10">
        <f t="shared" ca="1" si="5829"/>
        <v>391.2218041658158</v>
      </c>
      <c r="AE852" s="10">
        <f t="shared" ca="1" si="5829"/>
        <v>231.77171901208456</v>
      </c>
      <c r="AF852" s="10">
        <f t="shared" ca="1" si="5829"/>
        <v>227.44993618480765</v>
      </c>
      <c r="AG852" s="10">
        <f t="shared" ca="1" si="5829"/>
        <v>359.00011394275958</v>
      </c>
      <c r="AH852" s="10">
        <f t="shared" ca="1" si="5829"/>
        <v>464.99505866565556</v>
      </c>
      <c r="AI852" s="10">
        <f t="shared" ca="1" si="5829"/>
        <v>274.28984125843948</v>
      </c>
      <c r="AJ852" s="10">
        <f t="shared" ca="1" si="5829"/>
        <v>268.08765811649334</v>
      </c>
      <c r="AK852" s="10">
        <f t="shared" ca="1" si="5829"/>
        <v>421.53561766182105</v>
      </c>
      <c r="AL852" s="10">
        <f t="shared" ca="1" si="5829"/>
        <v>544.04421863881691</v>
      </c>
      <c r="AM852" s="10">
        <f t="shared" ca="1" si="5829"/>
        <v>319.83857853408335</v>
      </c>
      <c r="AN852" s="10">
        <f t="shared" ca="1" si="5829"/>
        <v>315.07483877042722</v>
      </c>
      <c r="AO852" s="10">
        <f t="shared" ca="1" si="5829"/>
        <v>488.49956149609864</v>
      </c>
      <c r="AP852" s="10">
        <f t="shared" ca="1" si="5829"/>
        <v>612.95648633306689</v>
      </c>
      <c r="AQ852" s="10">
        <f t="shared" ca="1" si="5829"/>
        <v>350.61223636060578</v>
      </c>
      <c r="AR852" s="10">
        <f t="shared" ca="1" si="5829"/>
        <v>332.60531852156362</v>
      </c>
      <c r="AS852" s="10">
        <f t="shared" ca="1" si="5829"/>
        <v>508.03954395594258</v>
      </c>
      <c r="AT852" s="10">
        <f t="shared" ca="1" si="5829"/>
        <v>637.47474578638946</v>
      </c>
      <c r="AU852" s="10">
        <f t="shared" ca="1" si="5829"/>
        <v>364.63672581502999</v>
      </c>
      <c r="AV852" s="10">
        <f t="shared" ca="1" si="5829"/>
        <v>345.90953126242619</v>
      </c>
      <c r="AW852" s="10">
        <f t="shared" ca="1" si="5829"/>
        <v>528.36112571418028</v>
      </c>
      <c r="AX852" s="10">
        <f t="shared" ca="1" si="5829"/>
        <v>662.97373561784491</v>
      </c>
      <c r="AY852" s="10">
        <f t="shared" ca="1" si="5829"/>
        <v>379.22219484763116</v>
      </c>
      <c r="AZ852" s="10">
        <f t="shared" ca="1" si="5829"/>
        <v>359.74591251292304</v>
      </c>
      <c r="BA852" s="10">
        <f t="shared" ca="1" si="5829"/>
        <v>549.4955707427473</v>
      </c>
      <c r="BB852" s="10">
        <f t="shared" ca="1" si="5829"/>
        <v>689.49268504255861</v>
      </c>
      <c r="BC852" s="10">
        <f t="shared" ca="1" si="5829"/>
        <v>394.39108264153629</v>
      </c>
      <c r="BD852" s="10">
        <f t="shared" ca="1" si="5829"/>
        <v>378.29281289136713</v>
      </c>
      <c r="BE852" s="10">
        <f t="shared" ca="1" si="5829"/>
        <v>571.47539357245705</v>
      </c>
      <c r="BF852" s="10">
        <f t="shared" ca="1" si="5829"/>
        <v>717.0723924442608</v>
      </c>
      <c r="BG852" s="10">
        <f t="shared" ca="1" si="5829"/>
        <v>410.16672594719768</v>
      </c>
      <c r="BH852" s="10">
        <f t="shared" ca="1" si="5829"/>
        <v>389.10117897397754</v>
      </c>
      <c r="BI852" s="10">
        <f t="shared" ca="1" si="5829"/>
        <v>594.3344093153554</v>
      </c>
      <c r="BJ852" s="10">
        <f t="shared" ca="1" si="5829"/>
        <v>745.75528814203119</v>
      </c>
      <c r="BK852" s="10">
        <f t="shared" ca="1" si="5829"/>
        <v>426.57339498508554</v>
      </c>
      <c r="BL852" s="10">
        <f t="shared" ca="1" si="5829"/>
        <v>404.6652261329366</v>
      </c>
      <c r="BM852" s="10">
        <f t="shared" ca="1" si="5829"/>
        <v>618.10778568796945</v>
      </c>
      <c r="BN852" s="10">
        <f t="shared" ca="1" si="5829"/>
        <v>775.58549966771238</v>
      </c>
      <c r="BO852" s="10">
        <f t="shared" ca="1" si="5829"/>
        <v>443.63633078448885</v>
      </c>
      <c r="BP852" s="10">
        <f t="shared" ca="1" si="5829"/>
        <v>420.85183517825402</v>
      </c>
      <c r="BQ852" s="10">
        <f t="shared" ca="1" si="5829"/>
        <v>642.83209711548818</v>
      </c>
      <c r="BR852" s="10">
        <f t="shared" ca="1" si="5829"/>
        <v>806.60891965442079</v>
      </c>
      <c r="BS852" s="10">
        <f t="shared" ca="1" si="5829"/>
        <v>461.38178401586822</v>
      </c>
      <c r="BT852" s="10">
        <f t="shared" ca="1" si="5829"/>
        <v>442.54908534744391</v>
      </c>
      <c r="BU852" s="10">
        <f t="shared" ca="1" si="5829"/>
        <v>668.54538100010757</v>
      </c>
      <c r="BV852" s="10">
        <f t="shared" ca="1" si="5829"/>
        <v>838.87327644059712</v>
      </c>
      <c r="BW852" s="10">
        <f t="shared" ca="1" si="5829"/>
        <v>479.8370553765028</v>
      </c>
      <c r="BX852" s="10">
        <f t="shared" ca="1" si="5829"/>
        <v>455.19334492879932</v>
      </c>
      <c r="BY852" s="10">
        <f t="shared" ca="1" si="5829"/>
        <v>695.2871962401116</v>
      </c>
      <c r="BZ852" s="10">
        <f t="shared" ca="1" si="5829"/>
        <v>872.42820749822113</v>
      </c>
      <c r="CA852" s="10">
        <f t="shared" ca="1" si="5829"/>
        <v>499.03053759156302</v>
      </c>
      <c r="CB852" s="10">
        <f t="shared" ca="1" si="5829"/>
        <v>473.40107872595138</v>
      </c>
      <c r="CC852" s="10">
        <f t="shared" ca="1" si="5829"/>
        <v>723.09868408971624</v>
      </c>
      <c r="CD852" s="10">
        <f t="shared" ca="1" si="5829"/>
        <v>907.32533579814992</v>
      </c>
      <c r="CE852" s="10">
        <f t="shared" ca="1" si="5829"/>
        <v>518.99175909522558</v>
      </c>
      <c r="CF852" s="10">
        <f t="shared" ca="1" si="5827"/>
        <v>492.33712187498924</v>
      </c>
      <c r="CG852" s="10">
        <f t="shared" ca="1" si="5827"/>
        <v>752.02263145330483</v>
      </c>
      <c r="CH852" s="10">
        <f t="shared" ca="1" si="5827"/>
        <v>943.61834923007575</v>
      </c>
      <c r="CI852" s="10">
        <f t="shared" ca="1" si="5827"/>
        <v>539.75142945903463</v>
      </c>
      <c r="CJ852" s="10">
        <f t="shared" ca="1" si="5827"/>
        <v>517.71983571387761</v>
      </c>
      <c r="CK852" s="10">
        <f t="shared" ca="1" si="5827"/>
        <v>782.10353671143696</v>
      </c>
      <c r="CL852" s="10">
        <f t="shared" ca="1" si="5827"/>
        <v>981.36308319927878</v>
      </c>
      <c r="CM852" s="10">
        <f t="shared" ca="1" si="5827"/>
        <v>561.34148663739586</v>
      </c>
      <c r="CN852" s="10">
        <f t="shared" ca="1" si="5827"/>
        <v>532.51183101998845</v>
      </c>
      <c r="CO852" s="10">
        <f t="shared" ca="1" si="5827"/>
        <v>813.38767817989435</v>
      </c>
    </row>
    <row r="853" spans="1:93" ht="15" thickBot="1">
      <c r="A853" s="10"/>
      <c r="B853" s="10"/>
      <c r="C853" s="17" t="s">
        <v>1059</v>
      </c>
      <c r="D853" s="10"/>
      <c r="E853" s="241">
        <f>E$819</f>
        <v>2E-3</v>
      </c>
      <c r="F853" s="10"/>
      <c r="G853" s="11" t="str">
        <f t="shared" si="5822"/>
        <v>тыс. руб.</v>
      </c>
      <c r="H853" s="10"/>
      <c r="I853" s="23">
        <f t="shared" ca="1" si="5823"/>
        <v>1357.6288745847091</v>
      </c>
      <c r="J853" s="10"/>
      <c r="K853" s="10"/>
      <c r="L853" s="10">
        <f t="shared" ca="1" si="5828"/>
        <v>0</v>
      </c>
      <c r="M853" s="10">
        <f t="shared" ca="1" si="5828"/>
        <v>0</v>
      </c>
      <c r="N853" s="10">
        <f t="shared" ca="1" si="5828"/>
        <v>0</v>
      </c>
      <c r="O853" s="10">
        <f t="shared" ca="1" si="5828"/>
        <v>0</v>
      </c>
      <c r="P853" s="10">
        <f t="shared" ca="1" si="5828"/>
        <v>0</v>
      </c>
      <c r="Q853" s="10">
        <f t="shared" ca="1" si="5828"/>
        <v>0</v>
      </c>
      <c r="R853" s="10">
        <f t="shared" ca="1" si="5828"/>
        <v>0</v>
      </c>
      <c r="S853" s="10">
        <f t="shared" ca="1" si="5828"/>
        <v>0</v>
      </c>
      <c r="T853" s="10">
        <f t="shared" ca="1" si="5829"/>
        <v>0</v>
      </c>
      <c r="U853" s="10">
        <f t="shared" ca="1" si="5829"/>
        <v>0</v>
      </c>
      <c r="V853" s="10">
        <f t="shared" ca="1" si="5829"/>
        <v>0</v>
      </c>
      <c r="W853" s="10">
        <f t="shared" ca="1" si="5829"/>
        <v>0</v>
      </c>
      <c r="X853" s="10">
        <f t="shared" ca="1" si="5829"/>
        <v>0</v>
      </c>
      <c r="Y853" s="10">
        <f t="shared" ca="1" si="5829"/>
        <v>0</v>
      </c>
      <c r="Z853" s="10">
        <f t="shared" ca="1" si="5829"/>
        <v>0</v>
      </c>
      <c r="AA853" s="10">
        <f t="shared" ca="1" si="5829"/>
        <v>0</v>
      </c>
      <c r="AB853" s="10">
        <f t="shared" ca="1" si="5829"/>
        <v>0</v>
      </c>
      <c r="AC853" s="10">
        <f t="shared" ca="1" si="5829"/>
        <v>11.790253340697841</v>
      </c>
      <c r="AD853" s="10">
        <f t="shared" ca="1" si="5829"/>
        <v>15.342031535914346</v>
      </c>
      <c r="AE853" s="10">
        <f t="shared" ca="1" si="5829"/>
        <v>9.0890870200817488</v>
      </c>
      <c r="AF853" s="10">
        <f t="shared" ca="1" si="5829"/>
        <v>8.9196053405806932</v>
      </c>
      <c r="AG853" s="10">
        <f t="shared" ca="1" si="5829"/>
        <v>14.078435840892535</v>
      </c>
      <c r="AH853" s="10">
        <f t="shared" ca="1" si="5829"/>
        <v>18.235100339829632</v>
      </c>
      <c r="AI853" s="10">
        <f t="shared" ca="1" si="5829"/>
        <v>10.756464363076059</v>
      </c>
      <c r="AJ853" s="10">
        <f t="shared" ca="1" si="5829"/>
        <v>10.513241494764447</v>
      </c>
      <c r="AK853" s="10">
        <f t="shared" ca="1" si="5829"/>
        <v>16.530808535757689</v>
      </c>
      <c r="AL853" s="10">
        <f t="shared" ca="1" si="5829"/>
        <v>21.335067397600668</v>
      </c>
      <c r="AM853" s="10">
        <f t="shared" ca="1" si="5829"/>
        <v>12.54268935427778</v>
      </c>
      <c r="AN853" s="10">
        <f t="shared" ca="1" si="5829"/>
        <v>12.355876030212833</v>
      </c>
      <c r="AO853" s="10">
        <f t="shared" ca="1" si="5829"/>
        <v>19.156845548866617</v>
      </c>
      <c r="AP853" s="10">
        <f t="shared" ca="1" si="5829"/>
        <v>24.037509267963408</v>
      </c>
      <c r="AQ853" s="10">
        <f t="shared" ca="1" si="5829"/>
        <v>13.749499465121797</v>
      </c>
      <c r="AR853" s="10">
        <f t="shared" ca="1" si="5829"/>
        <v>13.043345824375045</v>
      </c>
      <c r="AS853" s="10">
        <f t="shared" ca="1" si="5829"/>
        <v>19.923119370821279</v>
      </c>
      <c r="AT853" s="10">
        <f t="shared" ca="1" si="5829"/>
        <v>24.999009638681944</v>
      </c>
      <c r="AU853" s="10">
        <f t="shared" ca="1" si="5829"/>
        <v>14.299479443726666</v>
      </c>
      <c r="AV853" s="10">
        <f t="shared" ca="1" si="5829"/>
        <v>13.565079657350047</v>
      </c>
      <c r="AW853" s="10">
        <f t="shared" ca="1" si="5829"/>
        <v>20.720044145654132</v>
      </c>
      <c r="AX853" s="10">
        <f t="shared" ca="1" si="5829"/>
        <v>25.998970024229212</v>
      </c>
      <c r="AY853" s="10">
        <f t="shared" ca="1" si="5829"/>
        <v>14.871458621475734</v>
      </c>
      <c r="AZ853" s="10">
        <f t="shared" ca="1" si="5829"/>
        <v>14.10768284364404</v>
      </c>
      <c r="BA853" s="10">
        <f t="shared" ca="1" si="5829"/>
        <v>21.548845911480285</v>
      </c>
      <c r="BB853" s="10">
        <f t="shared" ca="1" si="5829"/>
        <v>27.038928825198379</v>
      </c>
      <c r="BC853" s="10">
        <f t="shared" ca="1" si="5829"/>
        <v>15.466316966334757</v>
      </c>
      <c r="BD853" s="10">
        <f t="shared" ca="1" si="5829"/>
        <v>14.835012270249692</v>
      </c>
      <c r="BE853" s="10">
        <f t="shared" ca="1" si="5829"/>
        <v>22.410799747939496</v>
      </c>
      <c r="BF853" s="10">
        <f t="shared" ca="1" si="5829"/>
        <v>28.120485978206307</v>
      </c>
      <c r="BG853" s="10">
        <f t="shared" ca="1" si="5829"/>
        <v>16.084969644988146</v>
      </c>
      <c r="BH853" s="10">
        <f t="shared" ca="1" si="5829"/>
        <v>15.258869763685395</v>
      </c>
      <c r="BI853" s="10">
        <f t="shared" ca="1" si="5829"/>
        <v>23.307231737857077</v>
      </c>
      <c r="BJ853" s="10">
        <f t="shared" ca="1" si="5829"/>
        <v>29.24530541733456</v>
      </c>
      <c r="BK853" s="10">
        <f t="shared" ca="1" si="5829"/>
        <v>16.728368430787668</v>
      </c>
      <c r="BL853" s="10">
        <f t="shared" ca="1" si="5829"/>
        <v>15.86922455423281</v>
      </c>
      <c r="BM853" s="10">
        <f t="shared" ca="1" si="5829"/>
        <v>24.239521007371355</v>
      </c>
      <c r="BN853" s="10">
        <f t="shared" ca="1" si="5829"/>
        <v>30.41511763402794</v>
      </c>
      <c r="BO853" s="10">
        <f t="shared" ca="1" si="5829"/>
        <v>17.397503168019171</v>
      </c>
      <c r="BP853" s="10">
        <f t="shared" ca="1" si="5829"/>
        <v>16.50399353640212</v>
      </c>
      <c r="BQ853" s="10">
        <f t="shared" ca="1" si="5829"/>
        <v>25.209101847666204</v>
      </c>
      <c r="BR853" s="10">
        <f t="shared" ca="1" si="5829"/>
        <v>31.631722339389054</v>
      </c>
      <c r="BS853" s="10">
        <f t="shared" ca="1" si="5829"/>
        <v>18.093403294739932</v>
      </c>
      <c r="BT853" s="10">
        <f t="shared" ca="1" si="5829"/>
        <v>17.354866092056625</v>
      </c>
      <c r="BU853" s="10">
        <f t="shared" ca="1" si="5829"/>
        <v>26.217465921572845</v>
      </c>
      <c r="BV853" s="10">
        <f t="shared" ca="1" si="5829"/>
        <v>32.896991232964595</v>
      </c>
      <c r="BW853" s="10">
        <f t="shared" ca="1" si="5829"/>
        <v>18.817139426529526</v>
      </c>
      <c r="BX853" s="10">
        <f t="shared" ca="1" si="5829"/>
        <v>17.850719408972523</v>
      </c>
      <c r="BY853" s="10">
        <f t="shared" ca="1" si="5829"/>
        <v>27.266164558435751</v>
      </c>
      <c r="BZ853" s="10">
        <f t="shared" ca="1" si="5829"/>
        <v>34.212870882283184</v>
      </c>
      <c r="CA853" s="10">
        <f t="shared" ca="1" si="5829"/>
        <v>19.569825003590708</v>
      </c>
      <c r="CB853" s="10">
        <f t="shared" ca="1" si="5829"/>
        <v>18.564748185331428</v>
      </c>
      <c r="CC853" s="10">
        <f t="shared" ca="1" si="5829"/>
        <v>28.356811140773189</v>
      </c>
      <c r="CD853" s="10">
        <f t="shared" ca="1" si="5829"/>
        <v>35.581385717574506</v>
      </c>
      <c r="CE853" s="10">
        <f t="shared" ca="1" si="5829"/>
        <v>20.352618003734339</v>
      </c>
      <c r="CF853" s="10">
        <f t="shared" ca="1" si="5827"/>
        <v>19.307338112744677</v>
      </c>
      <c r="CG853" s="10">
        <f t="shared" ca="1" si="5827"/>
        <v>29.491083586404113</v>
      </c>
      <c r="CH853" s="10">
        <f t="shared" ca="1" si="5827"/>
        <v>37.004641146277486</v>
      </c>
      <c r="CI853" s="10">
        <f t="shared" ca="1" si="5827"/>
        <v>21.166722723883712</v>
      </c>
      <c r="CJ853" s="10">
        <f t="shared" ca="1" si="5827"/>
        <v>20.302738655446181</v>
      </c>
      <c r="CK853" s="10">
        <f t="shared" ca="1" si="5827"/>
        <v>30.670726929860272</v>
      </c>
      <c r="CL853" s="10">
        <f t="shared" ca="1" si="5827"/>
        <v>38.48482679212858</v>
      </c>
      <c r="CM853" s="10">
        <f t="shared" ca="1" si="5827"/>
        <v>22.013391632839056</v>
      </c>
      <c r="CN853" s="10">
        <f t="shared" ca="1" si="5827"/>
        <v>20.882816902744647</v>
      </c>
      <c r="CO853" s="10">
        <f t="shared" ca="1" si="5827"/>
        <v>31.897556007054682</v>
      </c>
    </row>
    <row r="854" spans="1:93" ht="15" thickTop="1">
      <c r="A854" s="233"/>
      <c r="B854" s="101"/>
      <c r="C854" s="49" t="s">
        <v>769</v>
      </c>
      <c r="D854" s="49"/>
      <c r="E854" s="136"/>
      <c r="F854" s="49"/>
      <c r="G854" s="159" t="str">
        <f t="shared" si="5822"/>
        <v>тыс. руб.</v>
      </c>
      <c r="H854" s="49"/>
      <c r="I854" s="23">
        <f t="shared" ca="1" si="5823"/>
        <v>27356260.135517124</v>
      </c>
      <c r="J854" s="49"/>
      <c r="K854" s="49"/>
      <c r="L854" s="49">
        <f t="shared" ref="L854:AQ854" ca="1" si="5830">SUM(L831:L836,L839:L845,L848:L853)</f>
        <v>0</v>
      </c>
      <c r="M854" s="49">
        <f t="shared" ca="1" si="5830"/>
        <v>0</v>
      </c>
      <c r="N854" s="49">
        <f t="shared" ca="1" si="5830"/>
        <v>0</v>
      </c>
      <c r="O854" s="49">
        <f t="shared" ca="1" si="5830"/>
        <v>0</v>
      </c>
      <c r="P854" s="49">
        <f t="shared" ca="1" si="5830"/>
        <v>0</v>
      </c>
      <c r="Q854" s="49">
        <f t="shared" ca="1" si="5830"/>
        <v>0</v>
      </c>
      <c r="R854" s="49">
        <f t="shared" ca="1" si="5830"/>
        <v>0</v>
      </c>
      <c r="S854" s="49">
        <f t="shared" ca="1" si="5830"/>
        <v>0</v>
      </c>
      <c r="T854" s="49">
        <f t="shared" ca="1" si="5830"/>
        <v>0</v>
      </c>
      <c r="U854" s="49">
        <f t="shared" ca="1" si="5830"/>
        <v>0</v>
      </c>
      <c r="V854" s="49">
        <f t="shared" ca="1" si="5830"/>
        <v>0</v>
      </c>
      <c r="W854" s="49">
        <f t="shared" ca="1" si="5830"/>
        <v>0</v>
      </c>
      <c r="X854" s="49">
        <f t="shared" ca="1" si="5830"/>
        <v>0</v>
      </c>
      <c r="Y854" s="49">
        <f t="shared" ca="1" si="5830"/>
        <v>0</v>
      </c>
      <c r="Z854" s="49">
        <f t="shared" ca="1" si="5830"/>
        <v>0</v>
      </c>
      <c r="AA854" s="49">
        <f t="shared" ca="1" si="5830"/>
        <v>0</v>
      </c>
      <c r="AB854" s="49">
        <f t="shared" ca="1" si="5830"/>
        <v>0</v>
      </c>
      <c r="AC854" s="49">
        <f t="shared" ca="1" si="5830"/>
        <v>237573.93753903641</v>
      </c>
      <c r="AD854" s="49">
        <f t="shared" ca="1" si="5830"/>
        <v>309142.36840474111</v>
      </c>
      <c r="AE854" s="49">
        <f t="shared" ca="1" si="5830"/>
        <v>183145.35995101542</v>
      </c>
      <c r="AF854" s="49">
        <f t="shared" ca="1" si="5830"/>
        <v>179730.2993262526</v>
      </c>
      <c r="AG854" s="49">
        <f t="shared" ca="1" si="5830"/>
        <v>283680.87949105684</v>
      </c>
      <c r="AH854" s="49">
        <f t="shared" ca="1" si="5830"/>
        <v>367437.78644677816</v>
      </c>
      <c r="AI854" s="49">
        <f t="shared" ca="1" si="5830"/>
        <v>216743.0604661672</v>
      </c>
      <c r="AJ854" s="49">
        <f t="shared" ca="1" si="5830"/>
        <v>211842.11280587656</v>
      </c>
      <c r="AK854" s="49">
        <f t="shared" ca="1" si="5830"/>
        <v>333096.25849917659</v>
      </c>
      <c r="AL854" s="49">
        <f t="shared" ca="1" si="5830"/>
        <v>429902.21014273044</v>
      </c>
      <c r="AM854" s="49">
        <f t="shared" ca="1" si="5830"/>
        <v>252735.54444660959</v>
      </c>
      <c r="AN854" s="49">
        <f t="shared" ca="1" si="5830"/>
        <v>248971.25069478108</v>
      </c>
      <c r="AO854" s="49">
        <f t="shared" ca="1" si="5830"/>
        <v>386010.97842075967</v>
      </c>
      <c r="AP854" s="49">
        <f t="shared" ca="1" si="5830"/>
        <v>484356.49009414273</v>
      </c>
      <c r="AQ854" s="49">
        <f t="shared" ca="1" si="5830"/>
        <v>277052.80223660753</v>
      </c>
      <c r="AR854" s="49">
        <f t="shared" ref="AR854:BW854" ca="1" si="5831">SUM(AR831:AR836,AR839:AR845,AR848:AR853)</f>
        <v>262823.78644772351</v>
      </c>
      <c r="AS854" s="49">
        <f t="shared" ca="1" si="5831"/>
        <v>401451.41755759012</v>
      </c>
      <c r="AT854" s="49">
        <f t="shared" ca="1" si="5831"/>
        <v>503730.74969790847</v>
      </c>
      <c r="AU854" s="49">
        <f t="shared" ca="1" si="5831"/>
        <v>288134.9143260718</v>
      </c>
      <c r="AV854" s="49">
        <f t="shared" ca="1" si="5831"/>
        <v>273336.73790563241</v>
      </c>
      <c r="AW854" s="49">
        <f t="shared" ca="1" si="5831"/>
        <v>417509.47425989376</v>
      </c>
      <c r="AX854" s="49">
        <f t="shared" ca="1" si="5831"/>
        <v>523879.97968582454</v>
      </c>
      <c r="AY854" s="49">
        <f t="shared" ca="1" si="5831"/>
        <v>299660.31089911464</v>
      </c>
      <c r="AZ854" s="49">
        <f t="shared" ca="1" si="5831"/>
        <v>284270.20742185775</v>
      </c>
      <c r="BA854" s="49">
        <f t="shared" ca="1" si="5831"/>
        <v>434209.85323028924</v>
      </c>
      <c r="BB854" s="49">
        <f t="shared" ca="1" si="5831"/>
        <v>544835.1788732576</v>
      </c>
      <c r="BC854" s="49">
        <f t="shared" ca="1" si="5831"/>
        <v>311646.72333507921</v>
      </c>
      <c r="BD854" s="49">
        <f t="shared" ca="1" si="5831"/>
        <v>298925.91589338455</v>
      </c>
      <c r="BE854" s="49">
        <f t="shared" ca="1" si="5831"/>
        <v>451578.24735950073</v>
      </c>
      <c r="BF854" s="49">
        <f t="shared" ca="1" si="5831"/>
        <v>566628.58602818788</v>
      </c>
      <c r="BG854" s="49">
        <f t="shared" ca="1" si="5831"/>
        <v>324112.59226848237</v>
      </c>
      <c r="BH854" s="49">
        <f t="shared" ca="1" si="5831"/>
        <v>307466.65634748124</v>
      </c>
      <c r="BI854" s="49">
        <f t="shared" ca="1" si="5831"/>
        <v>469641.37725388096</v>
      </c>
      <c r="BJ854" s="49">
        <f t="shared" ca="1" si="5831"/>
        <v>589293.72946931527</v>
      </c>
      <c r="BK854" s="49">
        <f t="shared" ca="1" si="5831"/>
        <v>337077.09595922159</v>
      </c>
      <c r="BL854" s="49">
        <f t="shared" ca="1" si="5831"/>
        <v>319765.32260138041</v>
      </c>
      <c r="BM854" s="49">
        <f t="shared" ca="1" si="5831"/>
        <v>488427.03234403598</v>
      </c>
      <c r="BN854" s="49">
        <f t="shared" ca="1" si="5831"/>
        <v>612865.47864808759</v>
      </c>
      <c r="BO854" s="49">
        <f t="shared" ca="1" si="5831"/>
        <v>350560.17979759024</v>
      </c>
      <c r="BP854" s="49">
        <f t="shared" ca="1" si="5831"/>
        <v>332555.93550543563</v>
      </c>
      <c r="BQ854" s="49">
        <f t="shared" ca="1" si="5831"/>
        <v>507964.11363779736</v>
      </c>
      <c r="BR854" s="49">
        <f t="shared" ca="1" si="5831"/>
        <v>637380.09779401112</v>
      </c>
      <c r="BS854" s="49">
        <f t="shared" ca="1" si="5831"/>
        <v>364582.58698949375</v>
      </c>
      <c r="BT854" s="49">
        <f t="shared" ca="1" si="5831"/>
        <v>349701.04151371587</v>
      </c>
      <c r="BU854" s="49">
        <f t="shared" ca="1" si="5831"/>
        <v>528282.67818330904</v>
      </c>
      <c r="BV854" s="49">
        <f t="shared" ca="1" si="5831"/>
        <v>662875.30170577124</v>
      </c>
      <c r="BW854" s="49">
        <f t="shared" ca="1" si="5831"/>
        <v>379165.89046907343</v>
      </c>
      <c r="BX854" s="49">
        <f t="shared" ref="BX854:CO854" ca="1" si="5832">SUM(BX831:BX836,BX839:BX845,BX848:BX853)</f>
        <v>359692.49984267901</v>
      </c>
      <c r="BY854" s="49">
        <f t="shared" ca="1" si="5832"/>
        <v>549413.98531064147</v>
      </c>
      <c r="BZ854" s="49">
        <f t="shared" ca="1" si="5832"/>
        <v>689390.31377400237</v>
      </c>
      <c r="CA854" s="49">
        <f t="shared" ca="1" si="5832"/>
        <v>394332.52608783636</v>
      </c>
      <c r="CB854" s="49">
        <f t="shared" ca="1" si="5832"/>
        <v>374080.19983638602</v>
      </c>
      <c r="CC854" s="49">
        <f t="shared" ca="1" si="5832"/>
        <v>571390.54472306708</v>
      </c>
      <c r="CD854" s="49">
        <f t="shared" ca="1" si="5832"/>
        <v>716965.92632496241</v>
      </c>
      <c r="CE854" s="49">
        <f t="shared" ca="1" si="5832"/>
        <v>410105.82713134988</v>
      </c>
      <c r="CF854" s="49">
        <f t="shared" ca="1" si="5832"/>
        <v>389043.40782984142</v>
      </c>
      <c r="CG854" s="49">
        <f t="shared" ca="1" si="5832"/>
        <v>594246.16651198966</v>
      </c>
      <c r="CH854" s="49">
        <f t="shared" ca="1" si="5832"/>
        <v>745644.56337796059</v>
      </c>
      <c r="CI854" s="49">
        <f t="shared" ca="1" si="5832"/>
        <v>426510.0602166038</v>
      </c>
      <c r="CJ854" s="49">
        <f t="shared" ca="1" si="5832"/>
        <v>409100.75685573556</v>
      </c>
      <c r="CK854" s="49">
        <f t="shared" ca="1" si="5832"/>
        <v>618016.01317246933</v>
      </c>
      <c r="CL854" s="49">
        <f t="shared" ca="1" si="5832"/>
        <v>775470.34591307887</v>
      </c>
      <c r="CM854" s="49">
        <f t="shared" ca="1" si="5832"/>
        <v>443570.46262526803</v>
      </c>
      <c r="CN854" s="49">
        <f t="shared" ca="1" si="5832"/>
        <v>420789.3499087565</v>
      </c>
      <c r="CO854" s="49">
        <f t="shared" ca="1" si="5832"/>
        <v>642736.65369936789</v>
      </c>
    </row>
    <row r="855" spans="1:93">
      <c r="A855" s="10"/>
      <c r="B855" s="10"/>
      <c r="C855" s="10"/>
      <c r="D855" s="10"/>
      <c r="E855" s="10"/>
      <c r="F855" s="10"/>
      <c r="G855" s="11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  <c r="BB855" s="10"/>
      <c r="BC855" s="10"/>
      <c r="BD855" s="10"/>
      <c r="BE855" s="10"/>
      <c r="BF855" s="10"/>
      <c r="BG855" s="10"/>
      <c r="BH855" s="10"/>
      <c r="BI855" s="10"/>
      <c r="BJ855" s="10"/>
      <c r="BK855" s="10"/>
      <c r="BL855" s="10"/>
      <c r="BM855" s="10"/>
      <c r="BN855" s="10"/>
      <c r="BO855" s="10"/>
      <c r="BP855" s="10"/>
      <c r="BQ855" s="10"/>
      <c r="BR855" s="10"/>
      <c r="BS855" s="10"/>
      <c r="BT855" s="10"/>
      <c r="BU855" s="10"/>
      <c r="BV855" s="10"/>
      <c r="BW855" s="10"/>
      <c r="BX855" s="10"/>
      <c r="BY855" s="10"/>
      <c r="BZ855" s="10"/>
      <c r="CA855" s="10"/>
      <c r="CB855" s="10"/>
      <c r="CC855" s="10"/>
      <c r="CD855" s="10"/>
      <c r="CE855" s="10"/>
      <c r="CF855" s="10"/>
      <c r="CG855" s="10"/>
      <c r="CH855" s="10"/>
      <c r="CI855" s="10"/>
      <c r="CJ855" s="10"/>
      <c r="CK855" s="10"/>
      <c r="CL855" s="10"/>
      <c r="CM855" s="10"/>
      <c r="CN855" s="10"/>
      <c r="CO855" s="10"/>
    </row>
    <row r="856" spans="1:93" ht="16" thickBot="1">
      <c r="A856" s="10"/>
      <c r="B856" s="10"/>
      <c r="C856" s="12" t="s">
        <v>752</v>
      </c>
      <c r="D856" s="12"/>
      <c r="E856" s="12"/>
      <c r="F856" s="12"/>
      <c r="G856" s="362"/>
      <c r="H856" s="12"/>
      <c r="I856" s="12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  <c r="BB856" s="10"/>
      <c r="BC856" s="10"/>
      <c r="BD856" s="10"/>
      <c r="BE856" s="10"/>
      <c r="BF856" s="10"/>
      <c r="BG856" s="10"/>
      <c r="BH856" s="10"/>
      <c r="BI856" s="10"/>
      <c r="BJ856" s="10"/>
      <c r="BK856" s="10"/>
      <c r="BL856" s="10"/>
      <c r="BM856" s="10"/>
      <c r="BN856" s="10"/>
      <c r="BO856" s="10"/>
      <c r="BP856" s="10"/>
      <c r="BQ856" s="10"/>
      <c r="BR856" s="10"/>
      <c r="BS856" s="10"/>
      <c r="BT856" s="10"/>
      <c r="BU856" s="10"/>
      <c r="BV856" s="10"/>
      <c r="BW856" s="10"/>
      <c r="BX856" s="10"/>
      <c r="BY856" s="10"/>
      <c r="BZ856" s="10"/>
      <c r="CA856" s="10"/>
      <c r="CB856" s="10"/>
      <c r="CC856" s="10"/>
      <c r="CD856" s="10"/>
      <c r="CE856" s="10"/>
      <c r="CF856" s="10"/>
      <c r="CG856" s="10"/>
      <c r="CH856" s="10"/>
      <c r="CI856" s="10"/>
      <c r="CJ856" s="10"/>
      <c r="CK856" s="10"/>
      <c r="CL856" s="10"/>
      <c r="CM856" s="10"/>
      <c r="CN856" s="10"/>
      <c r="CO856" s="10"/>
    </row>
    <row r="857" spans="1:93">
      <c r="A857" s="10"/>
      <c r="B857" s="10"/>
      <c r="C857" s="10"/>
      <c r="D857" s="10"/>
      <c r="E857" s="10"/>
      <c r="F857" s="10"/>
      <c r="G857" s="11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  <c r="BB857" s="10"/>
      <c r="BC857" s="10"/>
      <c r="BD857" s="10"/>
      <c r="BE857" s="10"/>
      <c r="BF857" s="10"/>
      <c r="BG857" s="10"/>
      <c r="BH857" s="10"/>
      <c r="BI857" s="10"/>
      <c r="BJ857" s="10"/>
      <c r="BK857" s="10"/>
      <c r="BL857" s="10"/>
      <c r="BM857" s="10"/>
      <c r="BN857" s="10"/>
      <c r="BO857" s="10"/>
      <c r="BP857" s="10"/>
      <c r="BQ857" s="10"/>
      <c r="BR857" s="10"/>
      <c r="BS857" s="10"/>
      <c r="BT857" s="10"/>
      <c r="BU857" s="10"/>
      <c r="BV857" s="10"/>
      <c r="BW857" s="10"/>
      <c r="BX857" s="10"/>
      <c r="BY857" s="10"/>
      <c r="BZ857" s="10"/>
      <c r="CA857" s="10"/>
      <c r="CB857" s="10"/>
      <c r="CC857" s="10"/>
      <c r="CD857" s="10"/>
      <c r="CE857" s="10"/>
      <c r="CF857" s="10"/>
      <c r="CG857" s="10"/>
      <c r="CH857" s="10"/>
      <c r="CI857" s="10"/>
      <c r="CJ857" s="10"/>
      <c r="CK857" s="10"/>
      <c r="CL857" s="10"/>
      <c r="CM857" s="10"/>
      <c r="CN857" s="10"/>
      <c r="CO857" s="10"/>
    </row>
    <row r="858" spans="1:93">
      <c r="A858" s="10"/>
      <c r="B858" s="10"/>
      <c r="C858" s="17" t="s">
        <v>726</v>
      </c>
      <c r="D858" s="10"/>
      <c r="E858" s="178">
        <f xml:space="preserve"> Предпосылки!E504</f>
        <v>0.05</v>
      </c>
      <c r="F858" s="3"/>
      <c r="G858" s="142" t="s">
        <v>738</v>
      </c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  <c r="BB858" s="10"/>
      <c r="BC858" s="10"/>
      <c r="BD858" s="10"/>
      <c r="BE858" s="10"/>
      <c r="BF858" s="10"/>
      <c r="BG858" s="10"/>
      <c r="BH858" s="10"/>
      <c r="BI858" s="10"/>
      <c r="BJ858" s="10"/>
      <c r="BK858" s="10"/>
      <c r="BL858" s="10"/>
      <c r="BM858" s="10"/>
      <c r="BN858" s="10"/>
      <c r="BO858" s="10"/>
      <c r="BP858" s="10"/>
      <c r="BQ858" s="10"/>
      <c r="BR858" s="10"/>
      <c r="BS858" s="10"/>
      <c r="BT858" s="10"/>
      <c r="BU858" s="10"/>
      <c r="BV858" s="10"/>
      <c r="BW858" s="10"/>
      <c r="BX858" s="10"/>
      <c r="BY858" s="10"/>
      <c r="BZ858" s="10"/>
      <c r="CA858" s="10"/>
      <c r="CB858" s="10"/>
      <c r="CC858" s="10"/>
      <c r="CD858" s="10"/>
      <c r="CE858" s="10"/>
      <c r="CF858" s="10"/>
      <c r="CG858" s="10"/>
      <c r="CH858" s="10"/>
      <c r="CI858" s="10"/>
      <c r="CJ858" s="10"/>
      <c r="CK858" s="10"/>
      <c r="CL858" s="10"/>
      <c r="CM858" s="10"/>
      <c r="CN858" s="10"/>
      <c r="CO858" s="10"/>
    </row>
    <row r="859" spans="1:93">
      <c r="A859" s="10"/>
      <c r="B859" s="10"/>
      <c r="C859" s="17" t="s">
        <v>727</v>
      </c>
      <c r="D859" s="10"/>
      <c r="E859" s="178">
        <f xml:space="preserve"> Предпосылки!E505</f>
        <v>5.0000000000000001E-3</v>
      </c>
      <c r="F859" s="3"/>
      <c r="G859" s="142" t="s">
        <v>738</v>
      </c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  <c r="BB859" s="10"/>
      <c r="BC859" s="10"/>
      <c r="BD859" s="10"/>
      <c r="BE859" s="10"/>
      <c r="BF859" s="10"/>
      <c r="BG859" s="10"/>
      <c r="BH859" s="10"/>
      <c r="BI859" s="10"/>
      <c r="BJ859" s="10"/>
      <c r="BK859" s="10"/>
      <c r="BL859" s="10"/>
      <c r="BM859" s="10"/>
      <c r="BN859" s="10"/>
      <c r="BO859" s="10"/>
      <c r="BP859" s="10"/>
      <c r="BQ859" s="10"/>
      <c r="BR859" s="10"/>
      <c r="BS859" s="10"/>
      <c r="BT859" s="10"/>
      <c r="BU859" s="10"/>
      <c r="BV859" s="10"/>
      <c r="BW859" s="10"/>
      <c r="BX859" s="10"/>
      <c r="BY859" s="10"/>
      <c r="BZ859" s="10"/>
      <c r="CA859" s="10"/>
      <c r="CB859" s="10"/>
      <c r="CC859" s="10"/>
      <c r="CD859" s="10"/>
      <c r="CE859" s="10"/>
      <c r="CF859" s="10"/>
      <c r="CG859" s="10"/>
      <c r="CH859" s="10"/>
      <c r="CI859" s="10"/>
      <c r="CJ859" s="10"/>
      <c r="CK859" s="10"/>
      <c r="CL859" s="10"/>
      <c r="CM859" s="10"/>
      <c r="CN859" s="10"/>
      <c r="CO859" s="10"/>
    </row>
    <row r="860" spans="1:93">
      <c r="A860" s="10"/>
      <c r="B860" s="10"/>
      <c r="C860" s="17" t="s">
        <v>728</v>
      </c>
      <c r="D860" s="10"/>
      <c r="E860" s="178">
        <v>0.03</v>
      </c>
      <c r="F860" s="3"/>
      <c r="G860" s="142" t="s">
        <v>738</v>
      </c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  <c r="BB860" s="10"/>
      <c r="BC860" s="10"/>
      <c r="BD860" s="10"/>
      <c r="BE860" s="10"/>
      <c r="BF860" s="10"/>
      <c r="BG860" s="10"/>
      <c r="BH860" s="10"/>
      <c r="BI860" s="10"/>
      <c r="BJ860" s="10"/>
      <c r="BK860" s="10"/>
      <c r="BL860" s="10"/>
      <c r="BM860" s="10"/>
      <c r="BN860" s="10"/>
      <c r="BO860" s="10"/>
      <c r="BP860" s="10"/>
      <c r="BQ860" s="10"/>
      <c r="BR860" s="10"/>
      <c r="BS860" s="10"/>
      <c r="BT860" s="10"/>
      <c r="BU860" s="10"/>
      <c r="BV860" s="10"/>
      <c r="BW860" s="10"/>
      <c r="BX860" s="10"/>
      <c r="BY860" s="10"/>
      <c r="BZ860" s="10"/>
      <c r="CA860" s="10"/>
      <c r="CB860" s="10"/>
      <c r="CC860" s="10"/>
      <c r="CD860" s="10"/>
      <c r="CE860" s="10"/>
      <c r="CF860" s="10"/>
      <c r="CG860" s="10"/>
      <c r="CH860" s="10"/>
      <c r="CI860" s="10"/>
      <c r="CJ860" s="10"/>
      <c r="CK860" s="10"/>
      <c r="CL860" s="10"/>
      <c r="CM860" s="10"/>
      <c r="CN860" s="10"/>
      <c r="CO860" s="10"/>
    </row>
    <row r="861" spans="1:93">
      <c r="A861" s="10"/>
      <c r="B861" s="10"/>
      <c r="C861" s="17" t="s">
        <v>729</v>
      </c>
      <c r="D861" s="10"/>
      <c r="E861" s="178">
        <f xml:space="preserve"> Предпосылки!E507</f>
        <v>0.04</v>
      </c>
      <c r="F861" s="3"/>
      <c r="G861" s="142" t="s">
        <v>738</v>
      </c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  <c r="BB861" s="10"/>
      <c r="BC861" s="10"/>
      <c r="BD861" s="10"/>
      <c r="BE861" s="10"/>
      <c r="BF861" s="10"/>
      <c r="BG861" s="10"/>
      <c r="BH861" s="10"/>
      <c r="BI861" s="10"/>
      <c r="BJ861" s="10"/>
      <c r="BK861" s="10"/>
      <c r="BL861" s="10"/>
      <c r="BM861" s="10"/>
      <c r="BN861" s="10"/>
      <c r="BO861" s="10"/>
      <c r="BP861" s="10"/>
      <c r="BQ861" s="10"/>
      <c r="BR861" s="10"/>
      <c r="BS861" s="10"/>
      <c r="BT861" s="10"/>
      <c r="BU861" s="10"/>
      <c r="BV861" s="10"/>
      <c r="BW861" s="10"/>
      <c r="BX861" s="10"/>
      <c r="BY861" s="10"/>
      <c r="BZ861" s="10"/>
      <c r="CA861" s="10"/>
      <c r="CB861" s="10"/>
      <c r="CC861" s="10"/>
      <c r="CD861" s="10"/>
      <c r="CE861" s="10"/>
      <c r="CF861" s="10"/>
      <c r="CG861" s="10"/>
      <c r="CH861" s="10"/>
      <c r="CI861" s="10"/>
      <c r="CJ861" s="10"/>
      <c r="CK861" s="10"/>
      <c r="CL861" s="10"/>
      <c r="CM861" s="10"/>
      <c r="CN861" s="10"/>
      <c r="CO861" s="10"/>
    </row>
    <row r="862" spans="1:93">
      <c r="A862" s="10"/>
      <c r="B862" s="10"/>
      <c r="C862" s="17" t="s">
        <v>730</v>
      </c>
      <c r="D862" s="10"/>
      <c r="E862" s="178">
        <f xml:space="preserve"> Предпосылки!E508</f>
        <v>0.02</v>
      </c>
      <c r="F862" s="3"/>
      <c r="G862" s="142" t="s">
        <v>738</v>
      </c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  <c r="BB862" s="10"/>
      <c r="BC862" s="10"/>
      <c r="BD862" s="10"/>
      <c r="BE862" s="10"/>
      <c r="BF862" s="10"/>
      <c r="BG862" s="10"/>
      <c r="BH862" s="10"/>
      <c r="BI862" s="10"/>
      <c r="BJ862" s="10"/>
      <c r="BK862" s="10"/>
      <c r="BL862" s="10"/>
      <c r="BM862" s="10"/>
      <c r="BN862" s="10"/>
      <c r="BO862" s="10"/>
      <c r="BP862" s="10"/>
      <c r="BQ862" s="10"/>
      <c r="BR862" s="10"/>
      <c r="BS862" s="10"/>
      <c r="BT862" s="10"/>
      <c r="BU862" s="10"/>
      <c r="BV862" s="10"/>
      <c r="BW862" s="10"/>
      <c r="BX862" s="10"/>
      <c r="BY862" s="10"/>
      <c r="BZ862" s="10"/>
      <c r="CA862" s="10"/>
      <c r="CB862" s="10"/>
      <c r="CC862" s="10"/>
      <c r="CD862" s="10"/>
      <c r="CE862" s="10"/>
      <c r="CF862" s="10"/>
      <c r="CG862" s="10"/>
      <c r="CH862" s="10"/>
      <c r="CI862" s="10"/>
      <c r="CJ862" s="10"/>
      <c r="CK862" s="10"/>
      <c r="CL862" s="10"/>
      <c r="CM862" s="10"/>
      <c r="CN862" s="10"/>
      <c r="CO862" s="10"/>
    </row>
    <row r="863" spans="1:93">
      <c r="A863" s="10"/>
      <c r="B863" s="10"/>
      <c r="C863" s="17"/>
      <c r="D863" s="10"/>
      <c r="E863" s="3"/>
      <c r="F863" s="3"/>
      <c r="G863" s="142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  <c r="BB863" s="10"/>
      <c r="BC863" s="10"/>
      <c r="BD863" s="10"/>
      <c r="BE863" s="10"/>
      <c r="BF863" s="10"/>
      <c r="BG863" s="10"/>
      <c r="BH863" s="10"/>
      <c r="BI863" s="10"/>
      <c r="BJ863" s="10"/>
      <c r="BK863" s="10"/>
      <c r="BL863" s="10"/>
      <c r="BM863" s="10"/>
      <c r="BN863" s="10"/>
      <c r="BO863" s="10"/>
      <c r="BP863" s="10"/>
      <c r="BQ863" s="10"/>
      <c r="BR863" s="10"/>
      <c r="BS863" s="10"/>
      <c r="BT863" s="10"/>
      <c r="BU863" s="10"/>
      <c r="BV863" s="10"/>
      <c r="BW863" s="10"/>
      <c r="BX863" s="10"/>
      <c r="BY863" s="10"/>
      <c r="BZ863" s="10"/>
      <c r="CA863" s="10"/>
      <c r="CB863" s="10"/>
      <c r="CC863" s="10"/>
      <c r="CD863" s="10"/>
      <c r="CE863" s="10"/>
      <c r="CF863" s="10"/>
      <c r="CG863" s="10"/>
      <c r="CH863" s="10"/>
      <c r="CI863" s="10"/>
      <c r="CJ863" s="10"/>
      <c r="CK863" s="10"/>
      <c r="CL863" s="10"/>
      <c r="CM863" s="10"/>
      <c r="CN863" s="10"/>
      <c r="CO863" s="10"/>
    </row>
    <row r="864" spans="1:93" ht="16" thickBot="1">
      <c r="A864" s="10"/>
      <c r="B864" s="10"/>
      <c r="C864" s="12" t="s">
        <v>761</v>
      </c>
      <c r="D864" s="12"/>
      <c r="E864" s="12"/>
      <c r="F864" s="12"/>
      <c r="G864" s="362"/>
      <c r="H864" s="12"/>
      <c r="I864" s="12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  <c r="BB864" s="10"/>
      <c r="BC864" s="10"/>
      <c r="BD864" s="10"/>
      <c r="BE864" s="10"/>
      <c r="BF864" s="10"/>
      <c r="BG864" s="10"/>
      <c r="BH864" s="10"/>
      <c r="BI864" s="10"/>
      <c r="BJ864" s="10"/>
      <c r="BK864" s="10"/>
      <c r="BL864" s="10"/>
      <c r="BM864" s="10"/>
      <c r="BN864" s="10"/>
      <c r="BO864" s="10"/>
      <c r="BP864" s="10"/>
      <c r="BQ864" s="10"/>
      <c r="BR864" s="10"/>
      <c r="BS864" s="10"/>
      <c r="BT864" s="10"/>
      <c r="BU864" s="10"/>
      <c r="BV864" s="10"/>
      <c r="BW864" s="10"/>
      <c r="BX864" s="10"/>
      <c r="BY864" s="10"/>
      <c r="BZ864" s="10"/>
      <c r="CA864" s="10"/>
      <c r="CB864" s="10"/>
      <c r="CC864" s="10"/>
      <c r="CD864" s="10"/>
      <c r="CE864" s="10"/>
      <c r="CF864" s="10"/>
      <c r="CG864" s="10"/>
      <c r="CH864" s="10"/>
      <c r="CI864" s="10"/>
      <c r="CJ864" s="10"/>
      <c r="CK864" s="10"/>
      <c r="CL864" s="10"/>
      <c r="CM864" s="10"/>
      <c r="CN864" s="10"/>
      <c r="CO864" s="10"/>
    </row>
    <row r="865" spans="1:93">
      <c r="A865" s="10"/>
      <c r="B865" s="10"/>
      <c r="C865" s="10"/>
      <c r="D865" s="10"/>
      <c r="E865" s="10"/>
      <c r="F865" s="10"/>
      <c r="G865" s="11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  <c r="BB865" s="10"/>
      <c r="BC865" s="10"/>
      <c r="BD865" s="10"/>
      <c r="BE865" s="10"/>
      <c r="BF865" s="10"/>
      <c r="BG865" s="10"/>
      <c r="BH865" s="10"/>
      <c r="BI865" s="10"/>
      <c r="BJ865" s="10"/>
      <c r="BK865" s="10"/>
      <c r="BL865" s="10"/>
      <c r="BM865" s="10"/>
      <c r="BN865" s="10"/>
      <c r="BO865" s="10"/>
      <c r="BP865" s="10"/>
      <c r="BQ865" s="10"/>
      <c r="BR865" s="10"/>
      <c r="BS865" s="10"/>
      <c r="BT865" s="10"/>
      <c r="BU865" s="10"/>
      <c r="BV865" s="10"/>
      <c r="BW865" s="10"/>
      <c r="BX865" s="10"/>
      <c r="BY865" s="10"/>
      <c r="BZ865" s="10"/>
      <c r="CA865" s="10"/>
      <c r="CB865" s="10"/>
      <c r="CC865" s="10"/>
      <c r="CD865" s="10"/>
      <c r="CE865" s="10"/>
      <c r="CF865" s="10"/>
      <c r="CG865" s="10"/>
      <c r="CH865" s="10"/>
      <c r="CI865" s="10"/>
      <c r="CJ865" s="10"/>
      <c r="CK865" s="10"/>
      <c r="CL865" s="10"/>
      <c r="CM865" s="10"/>
      <c r="CN865" s="10"/>
      <c r="CO865" s="10"/>
    </row>
    <row r="866" spans="1:93">
      <c r="A866" s="10"/>
      <c r="B866" s="10"/>
      <c r="C866" s="17" t="s">
        <v>1141</v>
      </c>
      <c r="D866" s="10"/>
      <c r="E866" s="10"/>
      <c r="F866" s="10"/>
      <c r="G866" s="11" t="str">
        <f>Monetary_Unit</f>
        <v>тыс. руб.</v>
      </c>
      <c r="H866" s="10"/>
      <c r="I866" s="23">
        <f ca="1">SUM(L866:CO866)</f>
        <v>52775070.751086481</v>
      </c>
      <c r="J866" s="10"/>
      <c r="K866" s="10"/>
      <c r="L866" s="452">
        <f t="shared" ref="L866:AQ866" ca="1" si="5833" xml:space="preserve"> L691 + L696 + L700</f>
        <v>0</v>
      </c>
      <c r="M866" s="452">
        <f t="shared" ca="1" si="5833"/>
        <v>0</v>
      </c>
      <c r="N866" s="452">
        <f t="shared" ca="1" si="5833"/>
        <v>0</v>
      </c>
      <c r="O866" s="452">
        <f t="shared" ca="1" si="5833"/>
        <v>0</v>
      </c>
      <c r="P866" s="452">
        <f t="shared" ca="1" si="5833"/>
        <v>0</v>
      </c>
      <c r="Q866" s="452">
        <f t="shared" ca="1" si="5833"/>
        <v>0</v>
      </c>
      <c r="R866" s="452">
        <f t="shared" ca="1" si="5833"/>
        <v>0</v>
      </c>
      <c r="S866" s="452">
        <f t="shared" ca="1" si="5833"/>
        <v>0</v>
      </c>
      <c r="T866" s="452">
        <f t="shared" ca="1" si="5833"/>
        <v>0</v>
      </c>
      <c r="U866" s="452">
        <f t="shared" ca="1" si="5833"/>
        <v>0</v>
      </c>
      <c r="V866" s="452">
        <f t="shared" ca="1" si="5833"/>
        <v>0</v>
      </c>
      <c r="W866" s="452">
        <f t="shared" ca="1" si="5833"/>
        <v>0</v>
      </c>
      <c r="X866" s="452">
        <f t="shared" ca="1" si="5833"/>
        <v>0</v>
      </c>
      <c r="Y866" s="452">
        <f t="shared" ca="1" si="5833"/>
        <v>0</v>
      </c>
      <c r="Z866" s="452">
        <f t="shared" ca="1" si="5833"/>
        <v>0</v>
      </c>
      <c r="AA866" s="452">
        <f t="shared" ca="1" si="5833"/>
        <v>0</v>
      </c>
      <c r="AB866" s="452">
        <f t="shared" ca="1" si="5833"/>
        <v>0</v>
      </c>
      <c r="AC866" s="452">
        <f t="shared" ca="1" si="5833"/>
        <v>458322.20121194725</v>
      </c>
      <c r="AD866" s="452">
        <f t="shared" ca="1" si="5833"/>
        <v>596390.3795291296</v>
      </c>
      <c r="AE866" s="452">
        <f t="shared" ca="1" si="5833"/>
        <v>353319.83543317515</v>
      </c>
      <c r="AF866" s="452">
        <f t="shared" ca="1" si="5833"/>
        <v>346731.57866129617</v>
      </c>
      <c r="AG866" s="452">
        <f t="shared" ca="1" si="5833"/>
        <v>547270.65803974739</v>
      </c>
      <c r="AH866" s="452">
        <f t="shared" ca="1" si="5833"/>
        <v>708852.56538319448</v>
      </c>
      <c r="AI866" s="452">
        <f t="shared" ca="1" si="5833"/>
        <v>418135.75007126114</v>
      </c>
      <c r="AJ866" s="452">
        <f t="shared" ca="1" si="5833"/>
        <v>408680.95404878119</v>
      </c>
      <c r="AK866" s="452">
        <f t="shared" ca="1" si="5833"/>
        <v>642601.67589183268</v>
      </c>
      <c r="AL866" s="452">
        <f t="shared" ca="1" si="5833"/>
        <v>829357.5014983376</v>
      </c>
      <c r="AM866" s="452">
        <f t="shared" ca="1" si="5833"/>
        <v>487571.62614370097</v>
      </c>
      <c r="AN866" s="452">
        <f t="shared" ca="1" si="5833"/>
        <v>480309.63681853365</v>
      </c>
      <c r="AO866" s="452">
        <f t="shared" ca="1" si="5833"/>
        <v>744683.54211922036</v>
      </c>
      <c r="AP866" s="452">
        <f t="shared" ca="1" si="5833"/>
        <v>934409.45168812654</v>
      </c>
      <c r="AQ866" s="452">
        <f t="shared" ca="1" si="5833"/>
        <v>534483.92314563505</v>
      </c>
      <c r="AR866" s="452">
        <f t="shared" ref="AR866:BW866" ca="1" si="5834" xml:space="preserve"> AR691 + AR696 + AR700</f>
        <v>507033.63164903823</v>
      </c>
      <c r="AS866" s="452">
        <f t="shared" ca="1" si="5834"/>
        <v>774470.88380398916</v>
      </c>
      <c r="AT866" s="452">
        <f t="shared" ca="1" si="5834"/>
        <v>971785.82975565165</v>
      </c>
      <c r="AU866" s="452">
        <f t="shared" ca="1" si="5834"/>
        <v>555863.28007146041</v>
      </c>
      <c r="AV866" s="452">
        <f t="shared" ca="1" si="5834"/>
        <v>527314.97691499966</v>
      </c>
      <c r="AW866" s="452">
        <f t="shared" ca="1" si="5834"/>
        <v>805449.71915614884</v>
      </c>
      <c r="AX866" s="452">
        <f t="shared" ca="1" si="5834"/>
        <v>1010657.2629458774</v>
      </c>
      <c r="AY866" s="452">
        <f t="shared" ca="1" si="5834"/>
        <v>578097.81127431884</v>
      </c>
      <c r="AZ866" s="452">
        <f t="shared" ca="1" si="5834"/>
        <v>548407.57599159959</v>
      </c>
      <c r="BA866" s="452">
        <f t="shared" ca="1" si="5834"/>
        <v>837667.7079223945</v>
      </c>
      <c r="BB866" s="452">
        <f t="shared" ca="1" si="5834"/>
        <v>1051083.5534637121</v>
      </c>
      <c r="BC866" s="452">
        <f t="shared" ca="1" si="5834"/>
        <v>601221.72372529143</v>
      </c>
      <c r="BD866" s="452">
        <f t="shared" ca="1" si="5834"/>
        <v>576681.03324272193</v>
      </c>
      <c r="BE866" s="452">
        <f t="shared" ca="1" si="5834"/>
        <v>871174.41623929003</v>
      </c>
      <c r="BF866" s="452">
        <f t="shared" ca="1" si="5834"/>
        <v>1093126.8956022605</v>
      </c>
      <c r="BG866" s="452">
        <f t="shared" ca="1" si="5834"/>
        <v>625270.59267430298</v>
      </c>
      <c r="BH866" s="452">
        <f t="shared" ca="1" si="5834"/>
        <v>593157.63419251388</v>
      </c>
      <c r="BI866" s="452">
        <f t="shared" ca="1" si="5834"/>
        <v>906021.39288886171</v>
      </c>
      <c r="BJ866" s="452">
        <f t="shared" ca="1" si="5834"/>
        <v>1136851.9714263508</v>
      </c>
      <c r="BK866" s="452">
        <f t="shared" ca="1" si="5834"/>
        <v>650281.41638127505</v>
      </c>
      <c r="BL866" s="452">
        <f t="shared" ca="1" si="5834"/>
        <v>616883.93956021441</v>
      </c>
      <c r="BM866" s="452">
        <f t="shared" ca="1" si="5834"/>
        <v>942262.24860441603</v>
      </c>
      <c r="BN866" s="452">
        <f t="shared" ca="1" si="5834"/>
        <v>1182326.0502834048</v>
      </c>
      <c r="BO866" s="452">
        <f t="shared" ca="1" si="5834"/>
        <v>676292.67303652596</v>
      </c>
      <c r="BP866" s="452">
        <f t="shared" ca="1" si="5834"/>
        <v>641559.29714262288</v>
      </c>
      <c r="BQ866" s="452">
        <f t="shared" ca="1" si="5834"/>
        <v>979952.73854859243</v>
      </c>
      <c r="BR866" s="452">
        <f t="shared" ca="1" si="5834"/>
        <v>1229619.0922947407</v>
      </c>
      <c r="BS866" s="452">
        <f t="shared" ca="1" si="5834"/>
        <v>703344.37995798665</v>
      </c>
      <c r="BT866" s="452">
        <f t="shared" ca="1" si="5834"/>
        <v>674635.24312864244</v>
      </c>
      <c r="BU866" s="452">
        <f t="shared" ca="1" si="5834"/>
        <v>1019150.848090536</v>
      </c>
      <c r="BV866" s="452">
        <f t="shared" ca="1" si="5834"/>
        <v>1278803.85598653</v>
      </c>
      <c r="BW866" s="452">
        <f t="shared" ca="1" si="5834"/>
        <v>731478.15515630599</v>
      </c>
      <c r="BX866" s="452">
        <f t="shared" ref="BX866:CO866" ca="1" si="5835" xml:space="preserve"> BX691 + BX696 + BX700</f>
        <v>693910.53578946064</v>
      </c>
      <c r="BY866" s="452">
        <f t="shared" ca="1" si="5835"/>
        <v>1059916.882014157</v>
      </c>
      <c r="BZ866" s="452">
        <f t="shared" ca="1" si="5835"/>
        <v>1329956.010225991</v>
      </c>
      <c r="CA866" s="452">
        <f t="shared" ca="1" si="5835"/>
        <v>760737.28136255825</v>
      </c>
      <c r="CB866" s="452">
        <f t="shared" ca="1" si="5835"/>
        <v>721666.95722103911</v>
      </c>
      <c r="CC866" s="452">
        <f t="shared" ca="1" si="5835"/>
        <v>1102313.5572947236</v>
      </c>
      <c r="CD866" s="452">
        <f t="shared" ca="1" si="5835"/>
        <v>1383154.2506350307</v>
      </c>
      <c r="CE866" s="452">
        <f t="shared" ca="1" si="5835"/>
        <v>791166.77261706057</v>
      </c>
      <c r="CF866" s="452">
        <f t="shared" ca="1" si="5835"/>
        <v>750533.63550988061</v>
      </c>
      <c r="CG866" s="452">
        <f t="shared" ca="1" si="5835"/>
        <v>1146406.0995865124</v>
      </c>
      <c r="CH866" s="452">
        <f t="shared" ca="1" si="5835"/>
        <v>1438480.4206604315</v>
      </c>
      <c r="CI866" s="452">
        <f t="shared" ca="1" si="5835"/>
        <v>822813.44352174317</v>
      </c>
      <c r="CJ866" s="452">
        <f t="shared" ca="1" si="5835"/>
        <v>789227.81405172311</v>
      </c>
      <c r="CK866" s="452">
        <f t="shared" ca="1" si="5835"/>
        <v>1192262.3435699726</v>
      </c>
      <c r="CL866" s="452">
        <f t="shared" ca="1" si="5835"/>
        <v>1496019.6374868487</v>
      </c>
      <c r="CM866" s="452">
        <f t="shared" ca="1" si="5835"/>
        <v>855725.98126261262</v>
      </c>
      <c r="CN866" s="452">
        <f t="shared" ca="1" si="5835"/>
        <v>811777.18016748666</v>
      </c>
      <c r="CO866" s="452">
        <f t="shared" ca="1" si="5835"/>
        <v>1239952.8373127715</v>
      </c>
    </row>
    <row r="867" spans="1:93">
      <c r="A867" s="10"/>
      <c r="B867" s="10"/>
      <c r="C867" s="10"/>
      <c r="D867" s="10"/>
      <c r="E867" s="10"/>
      <c r="F867" s="10"/>
      <c r="G867" s="11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  <c r="BB867" s="10"/>
      <c r="BC867" s="10"/>
      <c r="BD867" s="10"/>
      <c r="BE867" s="10"/>
      <c r="BF867" s="10"/>
      <c r="BG867" s="10"/>
      <c r="BH867" s="10"/>
      <c r="BI867" s="10"/>
      <c r="BJ867" s="10"/>
      <c r="BK867" s="10"/>
      <c r="BL867" s="10"/>
      <c r="BM867" s="10"/>
      <c r="BN867" s="10"/>
      <c r="BO867" s="10"/>
      <c r="BP867" s="10"/>
      <c r="BQ867" s="10"/>
      <c r="BR867" s="10"/>
      <c r="BS867" s="10"/>
      <c r="BT867" s="10"/>
      <c r="BU867" s="10"/>
      <c r="BV867" s="10"/>
      <c r="BW867" s="10"/>
      <c r="BX867" s="10"/>
      <c r="BY867" s="10"/>
      <c r="BZ867" s="10"/>
      <c r="CA867" s="10"/>
      <c r="CB867" s="10"/>
      <c r="CC867" s="10"/>
      <c r="CD867" s="10"/>
      <c r="CE867" s="10"/>
      <c r="CF867" s="10"/>
      <c r="CG867" s="10"/>
      <c r="CH867" s="10"/>
      <c r="CI867" s="10"/>
      <c r="CJ867" s="10"/>
      <c r="CK867" s="10"/>
      <c r="CL867" s="10"/>
      <c r="CM867" s="10"/>
      <c r="CN867" s="10"/>
      <c r="CO867" s="10"/>
    </row>
    <row r="868" spans="1:93">
      <c r="A868" s="10"/>
      <c r="B868" s="10"/>
      <c r="C868" s="17" t="s">
        <v>726</v>
      </c>
      <c r="D868" s="10"/>
      <c r="E868" s="241">
        <f xml:space="preserve"> E858</f>
        <v>0.05</v>
      </c>
      <c r="F868" s="10"/>
      <c r="G868" s="11" t="str">
        <f t="shared" ref="G868:G873" si="5836">Monetary_Unit</f>
        <v>тыс. руб.</v>
      </c>
      <c r="H868" s="10"/>
      <c r="I868" s="10"/>
      <c r="J868" s="10"/>
      <c r="K868" s="10"/>
      <c r="L868" s="10">
        <f ca="1" xml:space="preserve"> L$866 * $E868 * $I$775</f>
        <v>0</v>
      </c>
      <c r="M868" s="10">
        <f t="shared" ref="M868:BX871" ca="1" si="5837" xml:space="preserve"> M$866 * $E868 * $I$775</f>
        <v>0</v>
      </c>
      <c r="N868" s="10">
        <f t="shared" ca="1" si="5837"/>
        <v>0</v>
      </c>
      <c r="O868" s="10">
        <f t="shared" ca="1" si="5837"/>
        <v>0</v>
      </c>
      <c r="P868" s="10">
        <f t="shared" ca="1" si="5837"/>
        <v>0</v>
      </c>
      <c r="Q868" s="10">
        <f t="shared" ca="1" si="5837"/>
        <v>0</v>
      </c>
      <c r="R868" s="10">
        <f t="shared" ca="1" si="5837"/>
        <v>0</v>
      </c>
      <c r="S868" s="10">
        <f t="shared" ca="1" si="5837"/>
        <v>0</v>
      </c>
      <c r="T868" s="10">
        <f t="shared" ca="1" si="5837"/>
        <v>0</v>
      </c>
      <c r="U868" s="10">
        <f t="shared" ca="1" si="5837"/>
        <v>0</v>
      </c>
      <c r="V868" s="10">
        <f t="shared" ca="1" si="5837"/>
        <v>0</v>
      </c>
      <c r="W868" s="10">
        <f t="shared" ca="1" si="5837"/>
        <v>0</v>
      </c>
      <c r="X868" s="10">
        <f t="shared" ca="1" si="5837"/>
        <v>0</v>
      </c>
      <c r="Y868" s="10">
        <f t="shared" ca="1" si="5837"/>
        <v>0</v>
      </c>
      <c r="Z868" s="10">
        <f t="shared" ca="1" si="5837"/>
        <v>0</v>
      </c>
      <c r="AA868" s="10">
        <f t="shared" ca="1" si="5837"/>
        <v>0</v>
      </c>
      <c r="AB868" s="10">
        <f t="shared" ca="1" si="5837"/>
        <v>0</v>
      </c>
      <c r="AC868" s="10">
        <f t="shared" ca="1" si="5837"/>
        <v>22916.110060597362</v>
      </c>
      <c r="AD868" s="10">
        <f t="shared" ca="1" si="5837"/>
        <v>29819.518976456482</v>
      </c>
      <c r="AE868" s="10">
        <f t="shared" ca="1" si="5837"/>
        <v>17665.991771658759</v>
      </c>
      <c r="AF868" s="10">
        <f t="shared" ca="1" si="5837"/>
        <v>17336.578933064808</v>
      </c>
      <c r="AG868" s="10">
        <f t="shared" ca="1" si="5837"/>
        <v>27363.532901987372</v>
      </c>
      <c r="AH868" s="10">
        <f t="shared" ca="1" si="5837"/>
        <v>35442.628269159723</v>
      </c>
      <c r="AI868" s="10">
        <f t="shared" ca="1" si="5837"/>
        <v>20906.787503563057</v>
      </c>
      <c r="AJ868" s="10">
        <f t="shared" ca="1" si="5837"/>
        <v>20434.04770243906</v>
      </c>
      <c r="AK868" s="10">
        <f t="shared" ca="1" si="5837"/>
        <v>32130.083794591636</v>
      </c>
      <c r="AL868" s="10">
        <f t="shared" ca="1" si="5837"/>
        <v>41467.875074916883</v>
      </c>
      <c r="AM868" s="10">
        <f t="shared" ca="1" si="5837"/>
        <v>24378.58130718505</v>
      </c>
      <c r="AN868" s="10">
        <f t="shared" ca="1" si="5837"/>
        <v>24015.481840926685</v>
      </c>
      <c r="AO868" s="10">
        <f t="shared" ca="1" si="5837"/>
        <v>37234.177105961018</v>
      </c>
      <c r="AP868" s="10">
        <f t="shared" ca="1" si="5837"/>
        <v>46720.472584406329</v>
      </c>
      <c r="AQ868" s="10">
        <f t="shared" ca="1" si="5837"/>
        <v>26724.196157281753</v>
      </c>
      <c r="AR868" s="10">
        <f t="shared" ca="1" si="5837"/>
        <v>25351.681582451914</v>
      </c>
      <c r="AS868" s="10">
        <f t="shared" ca="1" si="5837"/>
        <v>38723.544190199456</v>
      </c>
      <c r="AT868" s="10">
        <f t="shared" ca="1" si="5837"/>
        <v>48589.291487782582</v>
      </c>
      <c r="AU868" s="10">
        <f t="shared" ca="1" si="5837"/>
        <v>27793.164003573023</v>
      </c>
      <c r="AV868" s="10">
        <f t="shared" ca="1" si="5837"/>
        <v>26365.748845749986</v>
      </c>
      <c r="AW868" s="10">
        <f t="shared" ca="1" si="5837"/>
        <v>40272.485957807447</v>
      </c>
      <c r="AX868" s="10">
        <f t="shared" ca="1" si="5837"/>
        <v>50532.863147293872</v>
      </c>
      <c r="AY868" s="10">
        <f t="shared" ca="1" si="5837"/>
        <v>28904.890563715944</v>
      </c>
      <c r="AZ868" s="10">
        <f t="shared" ca="1" si="5837"/>
        <v>27420.378799579979</v>
      </c>
      <c r="BA868" s="10">
        <f t="shared" ca="1" si="5837"/>
        <v>41883.385396119731</v>
      </c>
      <c r="BB868" s="10">
        <f t="shared" ca="1" si="5837"/>
        <v>52554.177673185608</v>
      </c>
      <c r="BC868" s="10">
        <f t="shared" ca="1" si="5837"/>
        <v>30061.086186264572</v>
      </c>
      <c r="BD868" s="10">
        <f t="shared" ca="1" si="5837"/>
        <v>28834.051662136098</v>
      </c>
      <c r="BE868" s="10">
        <f t="shared" ca="1" si="5837"/>
        <v>43558.720811964507</v>
      </c>
      <c r="BF868" s="10">
        <f t="shared" ca="1" si="5837"/>
        <v>54656.344780113024</v>
      </c>
      <c r="BG868" s="10">
        <f t="shared" ca="1" si="5837"/>
        <v>31263.529633715152</v>
      </c>
      <c r="BH868" s="10">
        <f t="shared" ca="1" si="5837"/>
        <v>29657.881709625697</v>
      </c>
      <c r="BI868" s="10">
        <f t="shared" ca="1" si="5837"/>
        <v>45301.069644443087</v>
      </c>
      <c r="BJ868" s="10">
        <f t="shared" ca="1" si="5837"/>
        <v>56842.59857131754</v>
      </c>
      <c r="BK868" s="10">
        <f t="shared" ca="1" si="5837"/>
        <v>32514.070819063752</v>
      </c>
      <c r="BL868" s="10">
        <f t="shared" ca="1" si="5837"/>
        <v>30844.196978010721</v>
      </c>
      <c r="BM868" s="10">
        <f t="shared" ca="1" si="5837"/>
        <v>47113.112430220805</v>
      </c>
      <c r="BN868" s="10">
        <f t="shared" ca="1" si="5837"/>
        <v>59116.302514170238</v>
      </c>
      <c r="BO868" s="10">
        <f t="shared" ca="1" si="5837"/>
        <v>33814.633651826298</v>
      </c>
      <c r="BP868" s="10">
        <f t="shared" ca="1" si="5837"/>
        <v>32077.964857131145</v>
      </c>
      <c r="BQ868" s="10">
        <f t="shared" ca="1" si="5837"/>
        <v>48997.636927429623</v>
      </c>
      <c r="BR868" s="10">
        <f t="shared" ca="1" si="5837"/>
        <v>61480.954614737042</v>
      </c>
      <c r="BS868" s="10">
        <f t="shared" ca="1" si="5837"/>
        <v>35167.218997899334</v>
      </c>
      <c r="BT868" s="10">
        <f t="shared" ca="1" si="5837"/>
        <v>33731.762156432123</v>
      </c>
      <c r="BU868" s="10">
        <f t="shared" ca="1" si="5837"/>
        <v>50957.542404526801</v>
      </c>
      <c r="BV868" s="10">
        <f t="shared" ca="1" si="5837"/>
        <v>63940.192799326498</v>
      </c>
      <c r="BW868" s="10">
        <f t="shared" ca="1" si="5837"/>
        <v>36573.907757815301</v>
      </c>
      <c r="BX868" s="10">
        <f t="shared" ca="1" si="5837"/>
        <v>34695.526789473035</v>
      </c>
      <c r="BY868" s="10">
        <f t="shared" ref="BY868:CO872" ca="1" si="5838" xml:space="preserve"> BY$866 * $E868 * $I$775</f>
        <v>52995.844100707851</v>
      </c>
      <c r="BZ868" s="10">
        <f t="shared" ca="1" si="5838"/>
        <v>66497.80051129956</v>
      </c>
      <c r="CA868" s="10">
        <f t="shared" ca="1" si="5838"/>
        <v>38036.864068127914</v>
      </c>
      <c r="CB868" s="10">
        <f t="shared" ca="1" si="5838"/>
        <v>36083.34786105196</v>
      </c>
      <c r="CC868" s="10">
        <f t="shared" ca="1" si="5838"/>
        <v>55115.677864736179</v>
      </c>
      <c r="CD868" s="10">
        <f t="shared" ca="1" si="5838"/>
        <v>69157.712531751531</v>
      </c>
      <c r="CE868" s="10">
        <f t="shared" ca="1" si="5838"/>
        <v>39558.338630853032</v>
      </c>
      <c r="CF868" s="10">
        <f t="shared" ca="1" si="5838"/>
        <v>37526.681775494035</v>
      </c>
      <c r="CG868" s="10">
        <f t="shared" ca="1" si="5838"/>
        <v>57320.304979325621</v>
      </c>
      <c r="CH868" s="10">
        <f t="shared" ca="1" si="5838"/>
        <v>71924.021033021578</v>
      </c>
      <c r="CI868" s="10">
        <f t="shared" ca="1" si="5838"/>
        <v>41140.672176087159</v>
      </c>
      <c r="CJ868" s="10">
        <f t="shared" ca="1" si="5838"/>
        <v>39461.390702586155</v>
      </c>
      <c r="CK868" s="10">
        <f t="shared" ca="1" si="5838"/>
        <v>59613.117178498629</v>
      </c>
      <c r="CL868" s="10">
        <f t="shared" ca="1" si="5838"/>
        <v>74800.98187434244</v>
      </c>
      <c r="CM868" s="10">
        <f t="shared" ca="1" si="5838"/>
        <v>42786.299063130631</v>
      </c>
      <c r="CN868" s="10">
        <f t="shared" ca="1" si="5838"/>
        <v>40588.859008374333</v>
      </c>
      <c r="CO868" s="10">
        <f t="shared" ca="1" si="5838"/>
        <v>61997.641865638579</v>
      </c>
    </row>
    <row r="869" spans="1:93">
      <c r="A869" s="10"/>
      <c r="B869" s="10"/>
      <c r="C869" s="17" t="s">
        <v>727</v>
      </c>
      <c r="D869" s="10"/>
      <c r="E869" s="241">
        <f t="shared" ref="E869:E872" si="5839" xml:space="preserve"> E859</f>
        <v>5.0000000000000001E-3</v>
      </c>
      <c r="F869" s="10"/>
      <c r="G869" s="11" t="str">
        <f t="shared" si="5836"/>
        <v>тыс. руб.</v>
      </c>
      <c r="H869" s="10"/>
      <c r="I869" s="10"/>
      <c r="J869" s="10"/>
      <c r="K869" s="10"/>
      <c r="L869" s="10">
        <f ca="1" xml:space="preserve"> L$866 * $E869 * $I$775</f>
        <v>0</v>
      </c>
      <c r="M869" s="10">
        <f t="shared" ca="1" si="5837"/>
        <v>0</v>
      </c>
      <c r="N869" s="10">
        <f t="shared" ca="1" si="5837"/>
        <v>0</v>
      </c>
      <c r="O869" s="10">
        <f t="shared" ca="1" si="5837"/>
        <v>0</v>
      </c>
      <c r="P869" s="10">
        <f t="shared" ca="1" si="5837"/>
        <v>0</v>
      </c>
      <c r="Q869" s="10">
        <f t="shared" ca="1" si="5837"/>
        <v>0</v>
      </c>
      <c r="R869" s="10">
        <f t="shared" ca="1" si="5837"/>
        <v>0</v>
      </c>
      <c r="S869" s="10">
        <f t="shared" ca="1" si="5837"/>
        <v>0</v>
      </c>
      <c r="T869" s="10">
        <f t="shared" ca="1" si="5837"/>
        <v>0</v>
      </c>
      <c r="U869" s="10">
        <f t="shared" ca="1" si="5837"/>
        <v>0</v>
      </c>
      <c r="V869" s="10">
        <f t="shared" ca="1" si="5837"/>
        <v>0</v>
      </c>
      <c r="W869" s="10">
        <f t="shared" ca="1" si="5837"/>
        <v>0</v>
      </c>
      <c r="X869" s="10">
        <f t="shared" ca="1" si="5837"/>
        <v>0</v>
      </c>
      <c r="Y869" s="10">
        <f t="shared" ca="1" si="5837"/>
        <v>0</v>
      </c>
      <c r="Z869" s="10">
        <f t="shared" ca="1" si="5837"/>
        <v>0</v>
      </c>
      <c r="AA869" s="10">
        <f t="shared" ca="1" si="5837"/>
        <v>0</v>
      </c>
      <c r="AB869" s="10">
        <f t="shared" ca="1" si="5837"/>
        <v>0</v>
      </c>
      <c r="AC869" s="10">
        <f t="shared" ca="1" si="5837"/>
        <v>2291.6110060597362</v>
      </c>
      <c r="AD869" s="10">
        <f t="shared" ca="1" si="5837"/>
        <v>2981.9518976456479</v>
      </c>
      <c r="AE869" s="10">
        <f t="shared" ca="1" si="5837"/>
        <v>1766.5991771658757</v>
      </c>
      <c r="AF869" s="10">
        <f t="shared" ca="1" si="5837"/>
        <v>1733.6578933064809</v>
      </c>
      <c r="AG869" s="10">
        <f t="shared" ca="1" si="5837"/>
        <v>2736.3532901987369</v>
      </c>
      <c r="AH869" s="10">
        <f t="shared" ca="1" si="5837"/>
        <v>3544.2628269159723</v>
      </c>
      <c r="AI869" s="10">
        <f t="shared" ca="1" si="5837"/>
        <v>2090.6787503563055</v>
      </c>
      <c r="AJ869" s="10">
        <f t="shared" ca="1" si="5837"/>
        <v>2043.4047702439059</v>
      </c>
      <c r="AK869" s="10">
        <f t="shared" ca="1" si="5837"/>
        <v>3213.0083794591633</v>
      </c>
      <c r="AL869" s="10">
        <f t="shared" ca="1" si="5837"/>
        <v>4146.7875074916883</v>
      </c>
      <c r="AM869" s="10">
        <f t="shared" ca="1" si="5837"/>
        <v>2437.858130718505</v>
      </c>
      <c r="AN869" s="10">
        <f t="shared" ca="1" si="5837"/>
        <v>2401.5481840926682</v>
      </c>
      <c r="AO869" s="10">
        <f t="shared" ca="1" si="5837"/>
        <v>3723.4177105961021</v>
      </c>
      <c r="AP869" s="10">
        <f t="shared" ca="1" si="5837"/>
        <v>4672.0472584406325</v>
      </c>
      <c r="AQ869" s="10">
        <f t="shared" ca="1" si="5837"/>
        <v>2672.4196157281754</v>
      </c>
      <c r="AR869" s="10">
        <f t="shared" ca="1" si="5837"/>
        <v>2535.1681582451911</v>
      </c>
      <c r="AS869" s="10">
        <f t="shared" ca="1" si="5837"/>
        <v>3872.3544190199459</v>
      </c>
      <c r="AT869" s="10">
        <f t="shared" ca="1" si="5837"/>
        <v>4858.9291487782584</v>
      </c>
      <c r="AU869" s="10">
        <f t="shared" ca="1" si="5837"/>
        <v>2779.316400357302</v>
      </c>
      <c r="AV869" s="10">
        <f t="shared" ca="1" si="5837"/>
        <v>2636.5748845749981</v>
      </c>
      <c r="AW869" s="10">
        <f t="shared" ca="1" si="5837"/>
        <v>4027.2485957807444</v>
      </c>
      <c r="AX869" s="10">
        <f t="shared" ca="1" si="5837"/>
        <v>5053.2863147293874</v>
      </c>
      <c r="AY869" s="10">
        <f t="shared" ca="1" si="5837"/>
        <v>2890.4890563715944</v>
      </c>
      <c r="AZ869" s="10">
        <f t="shared" ca="1" si="5837"/>
        <v>2742.037879957998</v>
      </c>
      <c r="BA869" s="10">
        <f t="shared" ca="1" si="5837"/>
        <v>4188.3385396119729</v>
      </c>
      <c r="BB869" s="10">
        <f t="shared" ca="1" si="5837"/>
        <v>5255.4177673185604</v>
      </c>
      <c r="BC869" s="10">
        <f t="shared" ca="1" si="5837"/>
        <v>3006.1086186264574</v>
      </c>
      <c r="BD869" s="10">
        <f t="shared" ca="1" si="5837"/>
        <v>2883.4051662136098</v>
      </c>
      <c r="BE869" s="10">
        <f t="shared" ca="1" si="5837"/>
        <v>4355.8720811964504</v>
      </c>
      <c r="BF869" s="10">
        <f t="shared" ca="1" si="5837"/>
        <v>5465.6344780113022</v>
      </c>
      <c r="BG869" s="10">
        <f t="shared" ca="1" si="5837"/>
        <v>3126.3529633715152</v>
      </c>
      <c r="BH869" s="10">
        <f t="shared" ca="1" si="5837"/>
        <v>2965.7881709625694</v>
      </c>
      <c r="BI869" s="10">
        <f t="shared" ca="1" si="5837"/>
        <v>4530.1069644443087</v>
      </c>
      <c r="BJ869" s="10">
        <f t="shared" ca="1" si="5837"/>
        <v>5684.259857131754</v>
      </c>
      <c r="BK869" s="10">
        <f t="shared" ca="1" si="5837"/>
        <v>3251.4070819063754</v>
      </c>
      <c r="BL869" s="10">
        <f t="shared" ca="1" si="5837"/>
        <v>3084.4196978010723</v>
      </c>
      <c r="BM869" s="10">
        <f t="shared" ca="1" si="5837"/>
        <v>4711.3112430220799</v>
      </c>
      <c r="BN869" s="10">
        <f t="shared" ca="1" si="5837"/>
        <v>5911.6302514170238</v>
      </c>
      <c r="BO869" s="10">
        <f t="shared" ca="1" si="5837"/>
        <v>3381.4633651826298</v>
      </c>
      <c r="BP869" s="10">
        <f t="shared" ca="1" si="5837"/>
        <v>3207.7964857131146</v>
      </c>
      <c r="BQ869" s="10">
        <f t="shared" ca="1" si="5837"/>
        <v>4899.7636927429621</v>
      </c>
      <c r="BR869" s="10">
        <f t="shared" ca="1" si="5837"/>
        <v>6148.0954614737038</v>
      </c>
      <c r="BS869" s="10">
        <f t="shared" ca="1" si="5837"/>
        <v>3516.7218997899331</v>
      </c>
      <c r="BT869" s="10">
        <f t="shared" ca="1" si="5837"/>
        <v>3373.1762156432123</v>
      </c>
      <c r="BU869" s="10">
        <f t="shared" ca="1" si="5837"/>
        <v>5095.7542404526803</v>
      </c>
      <c r="BV869" s="10">
        <f t="shared" ca="1" si="5837"/>
        <v>6394.0192799326496</v>
      </c>
      <c r="BW869" s="10">
        <f t="shared" ca="1" si="5837"/>
        <v>3657.39077578153</v>
      </c>
      <c r="BX869" s="10">
        <f t="shared" ca="1" si="5837"/>
        <v>3469.5526789473033</v>
      </c>
      <c r="BY869" s="10">
        <f t="shared" ca="1" si="5838"/>
        <v>5299.5844100707855</v>
      </c>
      <c r="BZ869" s="10">
        <f t="shared" ca="1" si="5838"/>
        <v>6649.7800511299556</v>
      </c>
      <c r="CA869" s="10">
        <f t="shared" ca="1" si="5838"/>
        <v>3803.6864068127911</v>
      </c>
      <c r="CB869" s="10">
        <f t="shared" ca="1" si="5838"/>
        <v>3608.3347861051957</v>
      </c>
      <c r="CC869" s="10">
        <f t="shared" ca="1" si="5838"/>
        <v>5511.5677864736181</v>
      </c>
      <c r="CD869" s="10">
        <f t="shared" ca="1" si="5838"/>
        <v>6915.7712531751531</v>
      </c>
      <c r="CE869" s="10">
        <f t="shared" ca="1" si="5838"/>
        <v>3955.8338630853032</v>
      </c>
      <c r="CF869" s="10">
        <f t="shared" ca="1" si="5838"/>
        <v>3752.668177549403</v>
      </c>
      <c r="CG869" s="10">
        <f t="shared" ca="1" si="5838"/>
        <v>5732.030497932562</v>
      </c>
      <c r="CH869" s="10">
        <f t="shared" ca="1" si="5838"/>
        <v>7192.4021033021572</v>
      </c>
      <c r="CI869" s="10">
        <f t="shared" ca="1" si="5838"/>
        <v>4114.0672176087155</v>
      </c>
      <c r="CJ869" s="10">
        <f t="shared" ca="1" si="5838"/>
        <v>3946.1390702586154</v>
      </c>
      <c r="CK869" s="10">
        <f t="shared" ca="1" si="5838"/>
        <v>5961.3117178498633</v>
      </c>
      <c r="CL869" s="10">
        <f t="shared" ca="1" si="5838"/>
        <v>7480.0981874342442</v>
      </c>
      <c r="CM869" s="10">
        <f t="shared" ca="1" si="5838"/>
        <v>4278.6299063130627</v>
      </c>
      <c r="CN869" s="10">
        <f t="shared" ca="1" si="5838"/>
        <v>4058.8859008374334</v>
      </c>
      <c r="CO869" s="10">
        <f t="shared" ca="1" si="5838"/>
        <v>6199.7641865638579</v>
      </c>
    </row>
    <row r="870" spans="1:93">
      <c r="A870" s="10"/>
      <c r="B870" s="10"/>
      <c r="C870" s="17" t="s">
        <v>728</v>
      </c>
      <c r="D870" s="10"/>
      <c r="E870" s="241">
        <f t="shared" si="5839"/>
        <v>0.03</v>
      </c>
      <c r="F870" s="10"/>
      <c r="G870" s="11" t="str">
        <f t="shared" si="5836"/>
        <v>тыс. руб.</v>
      </c>
      <c r="H870" s="10"/>
      <c r="I870" s="10"/>
      <c r="J870" s="10"/>
      <c r="K870" s="10"/>
      <c r="L870" s="10">
        <f ca="1" xml:space="preserve"> L$866 * $E870 * $I$775</f>
        <v>0</v>
      </c>
      <c r="M870" s="10">
        <f t="shared" ca="1" si="5837"/>
        <v>0</v>
      </c>
      <c r="N870" s="10">
        <f t="shared" ca="1" si="5837"/>
        <v>0</v>
      </c>
      <c r="O870" s="10">
        <f t="shared" ca="1" si="5837"/>
        <v>0</v>
      </c>
      <c r="P870" s="10">
        <f t="shared" ca="1" si="5837"/>
        <v>0</v>
      </c>
      <c r="Q870" s="10">
        <f t="shared" ca="1" si="5837"/>
        <v>0</v>
      </c>
      <c r="R870" s="10">
        <f t="shared" ca="1" si="5837"/>
        <v>0</v>
      </c>
      <c r="S870" s="10">
        <f t="shared" ca="1" si="5837"/>
        <v>0</v>
      </c>
      <c r="T870" s="10">
        <f t="shared" ca="1" si="5837"/>
        <v>0</v>
      </c>
      <c r="U870" s="10">
        <f t="shared" ca="1" si="5837"/>
        <v>0</v>
      </c>
      <c r="V870" s="10">
        <f t="shared" ca="1" si="5837"/>
        <v>0</v>
      </c>
      <c r="W870" s="10">
        <f t="shared" ca="1" si="5837"/>
        <v>0</v>
      </c>
      <c r="X870" s="10">
        <f t="shared" ca="1" si="5837"/>
        <v>0</v>
      </c>
      <c r="Y870" s="10">
        <f t="shared" ca="1" si="5837"/>
        <v>0</v>
      </c>
      <c r="Z870" s="10">
        <f t="shared" ca="1" si="5837"/>
        <v>0</v>
      </c>
      <c r="AA870" s="10">
        <f t="shared" ca="1" si="5837"/>
        <v>0</v>
      </c>
      <c r="AB870" s="10">
        <f t="shared" ca="1" si="5837"/>
        <v>0</v>
      </c>
      <c r="AC870" s="10">
        <f t="shared" ca="1" si="5837"/>
        <v>13749.666036358418</v>
      </c>
      <c r="AD870" s="10">
        <f t="shared" ca="1" si="5837"/>
        <v>17891.711385873889</v>
      </c>
      <c r="AE870" s="10">
        <f t="shared" ca="1" si="5837"/>
        <v>10599.595062995255</v>
      </c>
      <c r="AF870" s="10">
        <f t="shared" ca="1" si="5837"/>
        <v>10401.947359838885</v>
      </c>
      <c r="AG870" s="10">
        <f t="shared" ca="1" si="5837"/>
        <v>16418.119741192422</v>
      </c>
      <c r="AH870" s="10">
        <f t="shared" ca="1" si="5837"/>
        <v>21265.576961495834</v>
      </c>
      <c r="AI870" s="10">
        <f t="shared" ca="1" si="5837"/>
        <v>12544.072502137833</v>
      </c>
      <c r="AJ870" s="10">
        <f t="shared" ca="1" si="5837"/>
        <v>12260.428621463436</v>
      </c>
      <c r="AK870" s="10">
        <f t="shared" ca="1" si="5837"/>
        <v>19278.050276754981</v>
      </c>
      <c r="AL870" s="10">
        <f t="shared" ca="1" si="5837"/>
        <v>24880.725044950126</v>
      </c>
      <c r="AM870" s="10">
        <f t="shared" ca="1" si="5837"/>
        <v>14627.148784311028</v>
      </c>
      <c r="AN870" s="10">
        <f t="shared" ca="1" si="5837"/>
        <v>14409.289104556008</v>
      </c>
      <c r="AO870" s="10">
        <f t="shared" ca="1" si="5837"/>
        <v>22340.506263576612</v>
      </c>
      <c r="AP870" s="10">
        <f t="shared" ca="1" si="5837"/>
        <v>28032.283550643795</v>
      </c>
      <c r="AQ870" s="10">
        <f t="shared" ca="1" si="5837"/>
        <v>16034.517694369051</v>
      </c>
      <c r="AR870" s="10">
        <f t="shared" ca="1" si="5837"/>
        <v>15211.008949471146</v>
      </c>
      <c r="AS870" s="10">
        <f t="shared" ca="1" si="5837"/>
        <v>23234.126514119675</v>
      </c>
      <c r="AT870" s="10">
        <f t="shared" ca="1" si="5837"/>
        <v>29153.574892669549</v>
      </c>
      <c r="AU870" s="10">
        <f t="shared" ca="1" si="5837"/>
        <v>16675.898402143812</v>
      </c>
      <c r="AV870" s="10">
        <f t="shared" ca="1" si="5837"/>
        <v>15819.44930744999</v>
      </c>
      <c r="AW870" s="10">
        <f t="shared" ca="1" si="5837"/>
        <v>24163.491574684464</v>
      </c>
      <c r="AX870" s="10">
        <f t="shared" ca="1" si="5837"/>
        <v>30319.717888376319</v>
      </c>
      <c r="AY870" s="10">
        <f t="shared" ca="1" si="5837"/>
        <v>17342.934338229563</v>
      </c>
      <c r="AZ870" s="10">
        <f t="shared" ca="1" si="5837"/>
        <v>16452.227279747985</v>
      </c>
      <c r="BA870" s="10">
        <f t="shared" ca="1" si="5837"/>
        <v>25130.031237671836</v>
      </c>
      <c r="BB870" s="10">
        <f t="shared" ca="1" si="5837"/>
        <v>31532.506603911363</v>
      </c>
      <c r="BC870" s="10">
        <f t="shared" ca="1" si="5837"/>
        <v>18036.651711758743</v>
      </c>
      <c r="BD870" s="10">
        <f t="shared" ca="1" si="5837"/>
        <v>17300.430997281655</v>
      </c>
      <c r="BE870" s="10">
        <f t="shared" ca="1" si="5837"/>
        <v>26135.232487178699</v>
      </c>
      <c r="BF870" s="10">
        <f t="shared" ca="1" si="5837"/>
        <v>32793.806868067812</v>
      </c>
      <c r="BG870" s="10">
        <f t="shared" ca="1" si="5837"/>
        <v>18758.117780229088</v>
      </c>
      <c r="BH870" s="10">
        <f t="shared" ca="1" si="5837"/>
        <v>17794.729025775418</v>
      </c>
      <c r="BI870" s="10">
        <f t="shared" ca="1" si="5837"/>
        <v>27180.641786665848</v>
      </c>
      <c r="BJ870" s="10">
        <f t="shared" ca="1" si="5837"/>
        <v>34105.559142790524</v>
      </c>
      <c r="BK870" s="10">
        <f t="shared" ca="1" si="5837"/>
        <v>19508.442491438251</v>
      </c>
      <c r="BL870" s="10">
        <f t="shared" ca="1" si="5837"/>
        <v>18506.518186806432</v>
      </c>
      <c r="BM870" s="10">
        <f t="shared" ca="1" si="5837"/>
        <v>28267.867458132481</v>
      </c>
      <c r="BN870" s="10">
        <f t="shared" ca="1" si="5837"/>
        <v>35469.781508502143</v>
      </c>
      <c r="BO870" s="10">
        <f t="shared" ca="1" si="5837"/>
        <v>20288.780191095779</v>
      </c>
      <c r="BP870" s="10">
        <f t="shared" ca="1" si="5837"/>
        <v>19246.778914278686</v>
      </c>
      <c r="BQ870" s="10">
        <f t="shared" ca="1" si="5837"/>
        <v>29398.582156457771</v>
      </c>
      <c r="BR870" s="10">
        <f t="shared" ca="1" si="5837"/>
        <v>36888.572768842219</v>
      </c>
      <c r="BS870" s="10">
        <f t="shared" ca="1" si="5837"/>
        <v>21100.3313987396</v>
      </c>
      <c r="BT870" s="10">
        <f t="shared" ca="1" si="5837"/>
        <v>20239.057293859274</v>
      </c>
      <c r="BU870" s="10">
        <f t="shared" ca="1" si="5837"/>
        <v>30574.525442716076</v>
      </c>
      <c r="BV870" s="10">
        <f t="shared" ca="1" si="5837"/>
        <v>38364.115679595896</v>
      </c>
      <c r="BW870" s="10">
        <f t="shared" ca="1" si="5837"/>
        <v>21944.344654689179</v>
      </c>
      <c r="BX870" s="10">
        <f t="shared" ca="1" si="5837"/>
        <v>20817.316073683818</v>
      </c>
      <c r="BY870" s="10">
        <f t="shared" ca="1" si="5838"/>
        <v>31797.506460424709</v>
      </c>
      <c r="BZ870" s="10">
        <f t="shared" ca="1" si="5838"/>
        <v>39898.68030677973</v>
      </c>
      <c r="CA870" s="10">
        <f t="shared" ca="1" si="5838"/>
        <v>22822.118440876748</v>
      </c>
      <c r="CB870" s="10">
        <f t="shared" ca="1" si="5838"/>
        <v>21650.008716631171</v>
      </c>
      <c r="CC870" s="10">
        <f t="shared" ca="1" si="5838"/>
        <v>33069.406718841703</v>
      </c>
      <c r="CD870" s="10">
        <f t="shared" ca="1" si="5838"/>
        <v>41494.627519050919</v>
      </c>
      <c r="CE870" s="10">
        <f t="shared" ca="1" si="5838"/>
        <v>23735.003178511815</v>
      </c>
      <c r="CF870" s="10">
        <f t="shared" ca="1" si="5838"/>
        <v>22516.009065296417</v>
      </c>
      <c r="CG870" s="10">
        <f t="shared" ca="1" si="5838"/>
        <v>34392.18298759537</v>
      </c>
      <c r="CH870" s="10">
        <f t="shared" ca="1" si="5838"/>
        <v>43154.412619812945</v>
      </c>
      <c r="CI870" s="10">
        <f t="shared" ca="1" si="5838"/>
        <v>24684.403305652293</v>
      </c>
      <c r="CJ870" s="10">
        <f t="shared" ca="1" si="5838"/>
        <v>23676.834421551692</v>
      </c>
      <c r="CK870" s="10">
        <f t="shared" ca="1" si="5838"/>
        <v>35767.870307099176</v>
      </c>
      <c r="CL870" s="10">
        <f t="shared" ca="1" si="5838"/>
        <v>44880.58912460546</v>
      </c>
      <c r="CM870" s="10">
        <f t="shared" ca="1" si="5838"/>
        <v>25671.779437878376</v>
      </c>
      <c r="CN870" s="10">
        <f t="shared" ca="1" si="5838"/>
        <v>24353.315405024598</v>
      </c>
      <c r="CO870" s="10">
        <f t="shared" ca="1" si="5838"/>
        <v>37198.58511938314</v>
      </c>
    </row>
    <row r="871" spans="1:93">
      <c r="A871" s="10"/>
      <c r="B871" s="10"/>
      <c r="C871" s="17" t="s">
        <v>729</v>
      </c>
      <c r="D871" s="10"/>
      <c r="E871" s="241">
        <f t="shared" si="5839"/>
        <v>0.04</v>
      </c>
      <c r="F871" s="10"/>
      <c r="G871" s="11" t="str">
        <f t="shared" si="5836"/>
        <v>тыс. руб.</v>
      </c>
      <c r="H871" s="10"/>
      <c r="I871" s="10"/>
      <c r="J871" s="10"/>
      <c r="K871" s="10"/>
      <c r="L871" s="10">
        <f ca="1" xml:space="preserve"> L$866 * $E871 * $I$775</f>
        <v>0</v>
      </c>
      <c r="M871" s="10">
        <f t="shared" ca="1" si="5837"/>
        <v>0</v>
      </c>
      <c r="N871" s="10">
        <f t="shared" ca="1" si="5837"/>
        <v>0</v>
      </c>
      <c r="O871" s="10">
        <f t="shared" ca="1" si="5837"/>
        <v>0</v>
      </c>
      <c r="P871" s="10">
        <f t="shared" ca="1" si="5837"/>
        <v>0</v>
      </c>
      <c r="Q871" s="10">
        <f t="shared" ca="1" si="5837"/>
        <v>0</v>
      </c>
      <c r="R871" s="10">
        <f t="shared" ca="1" si="5837"/>
        <v>0</v>
      </c>
      <c r="S871" s="10">
        <f t="shared" ca="1" si="5837"/>
        <v>0</v>
      </c>
      <c r="T871" s="10">
        <f t="shared" ca="1" si="5837"/>
        <v>0</v>
      </c>
      <c r="U871" s="10">
        <f t="shared" ca="1" si="5837"/>
        <v>0</v>
      </c>
      <c r="V871" s="10">
        <f t="shared" ca="1" si="5837"/>
        <v>0</v>
      </c>
      <c r="W871" s="10">
        <f t="shared" ca="1" si="5837"/>
        <v>0</v>
      </c>
      <c r="X871" s="10">
        <f t="shared" ca="1" si="5837"/>
        <v>0</v>
      </c>
      <c r="Y871" s="10">
        <f t="shared" ca="1" si="5837"/>
        <v>0</v>
      </c>
      <c r="Z871" s="10">
        <f t="shared" ca="1" si="5837"/>
        <v>0</v>
      </c>
      <c r="AA871" s="10">
        <f t="shared" ca="1" si="5837"/>
        <v>0</v>
      </c>
      <c r="AB871" s="10">
        <f t="shared" ca="1" si="5837"/>
        <v>0</v>
      </c>
      <c r="AC871" s="10">
        <f t="shared" ca="1" si="5837"/>
        <v>18332.888048477889</v>
      </c>
      <c r="AD871" s="10">
        <f t="shared" ca="1" si="5837"/>
        <v>23855.615181165183</v>
      </c>
      <c r="AE871" s="10">
        <f t="shared" ca="1" si="5837"/>
        <v>14132.793417327006</v>
      </c>
      <c r="AF871" s="10">
        <f t="shared" ca="1" si="5837"/>
        <v>13869.263146451847</v>
      </c>
      <c r="AG871" s="10">
        <f t="shared" ca="1" si="5837"/>
        <v>21890.826321589895</v>
      </c>
      <c r="AH871" s="10">
        <f t="shared" ca="1" si="5837"/>
        <v>28354.102615327778</v>
      </c>
      <c r="AI871" s="10">
        <f t="shared" ca="1" si="5837"/>
        <v>16725.430002850444</v>
      </c>
      <c r="AJ871" s="10">
        <f t="shared" ca="1" si="5837"/>
        <v>16347.238161951247</v>
      </c>
      <c r="AK871" s="10">
        <f t="shared" ca="1" si="5837"/>
        <v>25704.067035673306</v>
      </c>
      <c r="AL871" s="10">
        <f t="shared" ca="1" si="5837"/>
        <v>33174.300059933506</v>
      </c>
      <c r="AM871" s="10">
        <f t="shared" ca="1" si="5837"/>
        <v>19502.86504574804</v>
      </c>
      <c r="AN871" s="10">
        <f t="shared" ca="1" si="5837"/>
        <v>19212.385472741345</v>
      </c>
      <c r="AO871" s="10">
        <f t="shared" ca="1" si="5837"/>
        <v>29787.341684768817</v>
      </c>
      <c r="AP871" s="10">
        <f t="shared" ca="1" si="5837"/>
        <v>37376.37806752506</v>
      </c>
      <c r="AQ871" s="10">
        <f t="shared" ca="1" si="5837"/>
        <v>21379.356925825403</v>
      </c>
      <c r="AR871" s="10">
        <f t="shared" ca="1" si="5837"/>
        <v>20281.345265961529</v>
      </c>
      <c r="AS871" s="10">
        <f t="shared" ca="1" si="5837"/>
        <v>30978.835352159567</v>
      </c>
      <c r="AT871" s="10">
        <f t="shared" ca="1" si="5837"/>
        <v>38871.433190226067</v>
      </c>
      <c r="AU871" s="10">
        <f t="shared" ca="1" si="5837"/>
        <v>22234.531202858416</v>
      </c>
      <c r="AV871" s="10">
        <f t="shared" ca="1" si="5837"/>
        <v>21092.599076599985</v>
      </c>
      <c r="AW871" s="10">
        <f t="shared" ca="1" si="5837"/>
        <v>32217.988766245955</v>
      </c>
      <c r="AX871" s="10">
        <f t="shared" ca="1" si="5837"/>
        <v>40426.290517835099</v>
      </c>
      <c r="AY871" s="10">
        <f t="shared" ca="1" si="5837"/>
        <v>23123.912450972755</v>
      </c>
      <c r="AZ871" s="10">
        <f t="shared" ca="1" si="5837"/>
        <v>21936.303039663984</v>
      </c>
      <c r="BA871" s="10">
        <f t="shared" ca="1" si="5837"/>
        <v>33506.708316895783</v>
      </c>
      <c r="BB871" s="10">
        <f t="shared" ca="1" si="5837"/>
        <v>42043.342138548483</v>
      </c>
      <c r="BC871" s="10">
        <f t="shared" ca="1" si="5837"/>
        <v>24048.868949011659</v>
      </c>
      <c r="BD871" s="10">
        <f t="shared" ca="1" si="5837"/>
        <v>23067.241329708879</v>
      </c>
      <c r="BE871" s="10">
        <f t="shared" ca="1" si="5837"/>
        <v>34846.976649571603</v>
      </c>
      <c r="BF871" s="10">
        <f t="shared" ca="1" si="5837"/>
        <v>43725.075824090418</v>
      </c>
      <c r="BG871" s="10">
        <f t="shared" ca="1" si="5837"/>
        <v>25010.823706972122</v>
      </c>
      <c r="BH871" s="10">
        <f t="shared" ca="1" si="5837"/>
        <v>23726.305367700556</v>
      </c>
      <c r="BI871" s="10">
        <f t="shared" ca="1" si="5837"/>
        <v>36240.855715554469</v>
      </c>
      <c r="BJ871" s="10">
        <f t="shared" ca="1" si="5837"/>
        <v>45474.078857054032</v>
      </c>
      <c r="BK871" s="10">
        <f t="shared" ca="1" si="5837"/>
        <v>26011.256655251003</v>
      </c>
      <c r="BL871" s="10">
        <f t="shared" ca="1" si="5837"/>
        <v>24675.357582408578</v>
      </c>
      <c r="BM871" s="10">
        <f t="shared" ca="1" si="5837"/>
        <v>37690.489944176639</v>
      </c>
      <c r="BN871" s="10">
        <f t="shared" ca="1" si="5837"/>
        <v>47293.042011336191</v>
      </c>
      <c r="BO871" s="10">
        <f t="shared" ca="1" si="5837"/>
        <v>27051.706921461038</v>
      </c>
      <c r="BP871" s="10">
        <f t="shared" ca="1" si="5837"/>
        <v>25662.371885704917</v>
      </c>
      <c r="BQ871" s="10">
        <f t="shared" ca="1" si="5837"/>
        <v>39198.109541943697</v>
      </c>
      <c r="BR871" s="10">
        <f t="shared" ca="1" si="5837"/>
        <v>49184.763691789631</v>
      </c>
      <c r="BS871" s="10">
        <f t="shared" ca="1" si="5837"/>
        <v>28133.775198319465</v>
      </c>
      <c r="BT871" s="10">
        <f t="shared" ca="1" si="5837"/>
        <v>26985.409725145699</v>
      </c>
      <c r="BU871" s="10">
        <f t="shared" ca="1" si="5837"/>
        <v>40766.033923621442</v>
      </c>
      <c r="BV871" s="10">
        <f t="shared" ca="1" si="5837"/>
        <v>51152.154239461197</v>
      </c>
      <c r="BW871" s="10">
        <f t="shared" ca="1" si="5837"/>
        <v>29259.12620625224</v>
      </c>
      <c r="BX871" s="10">
        <f t="shared" ref="BX871:BX872" ca="1" si="5840" xml:space="preserve"> BX$866 * $E871 * $I$775</f>
        <v>27756.421431578427</v>
      </c>
      <c r="BY871" s="10">
        <f t="shared" ca="1" si="5838"/>
        <v>42396.675280566284</v>
      </c>
      <c r="BZ871" s="10">
        <f t="shared" ca="1" si="5838"/>
        <v>53198.240409039645</v>
      </c>
      <c r="CA871" s="10">
        <f t="shared" ca="1" si="5838"/>
        <v>30429.491254502329</v>
      </c>
      <c r="CB871" s="10">
        <f t="shared" ca="1" si="5838"/>
        <v>28866.678288841566</v>
      </c>
      <c r="CC871" s="10">
        <f t="shared" ca="1" si="5838"/>
        <v>44092.542291788945</v>
      </c>
      <c r="CD871" s="10">
        <f t="shared" ca="1" si="5838"/>
        <v>55326.170025401225</v>
      </c>
      <c r="CE871" s="10">
        <f t="shared" ca="1" si="5838"/>
        <v>31646.670904682425</v>
      </c>
      <c r="CF871" s="10">
        <f t="shared" ca="1" si="5838"/>
        <v>30021.345420395224</v>
      </c>
      <c r="CG871" s="10">
        <f t="shared" ca="1" si="5838"/>
        <v>45856.243983460496</v>
      </c>
      <c r="CH871" s="10">
        <f t="shared" ca="1" si="5838"/>
        <v>57539.216826417258</v>
      </c>
      <c r="CI871" s="10">
        <f t="shared" ca="1" si="5838"/>
        <v>32912.537740869724</v>
      </c>
      <c r="CJ871" s="10">
        <f t="shared" ca="1" si="5838"/>
        <v>31569.112562068924</v>
      </c>
      <c r="CK871" s="10">
        <f t="shared" ca="1" si="5838"/>
        <v>47690.493742798906</v>
      </c>
      <c r="CL871" s="10">
        <f t="shared" ca="1" si="5838"/>
        <v>59840.785499473954</v>
      </c>
      <c r="CM871" s="10">
        <f t="shared" ca="1" si="5838"/>
        <v>34229.039250504502</v>
      </c>
      <c r="CN871" s="10">
        <f t="shared" ca="1" si="5838"/>
        <v>32471.087206699467</v>
      </c>
      <c r="CO871" s="10">
        <f t="shared" ca="1" si="5838"/>
        <v>49598.113492510864</v>
      </c>
    </row>
    <row r="872" spans="1:93" ht="15" thickBot="1">
      <c r="A872" s="10"/>
      <c r="B872" s="10"/>
      <c r="C872" s="17" t="s">
        <v>730</v>
      </c>
      <c r="D872" s="10"/>
      <c r="E872" s="241">
        <f t="shared" si="5839"/>
        <v>0.02</v>
      </c>
      <c r="F872" s="10"/>
      <c r="G872" s="11" t="str">
        <f t="shared" si="5836"/>
        <v>тыс. руб.</v>
      </c>
      <c r="H872" s="10"/>
      <c r="I872" s="10"/>
      <c r="J872" s="10"/>
      <c r="K872" s="10"/>
      <c r="L872" s="10">
        <f ca="1" xml:space="preserve"> L$866 * $E872 * $I$775</f>
        <v>0</v>
      </c>
      <c r="M872" s="10">
        <f t="shared" ref="M872:BW872" ca="1" si="5841" xml:space="preserve"> M$866 * $E872 * $I$775</f>
        <v>0</v>
      </c>
      <c r="N872" s="10">
        <f t="shared" ca="1" si="5841"/>
        <v>0</v>
      </c>
      <c r="O872" s="10">
        <f t="shared" ca="1" si="5841"/>
        <v>0</v>
      </c>
      <c r="P872" s="10">
        <f t="shared" ca="1" si="5841"/>
        <v>0</v>
      </c>
      <c r="Q872" s="10">
        <f t="shared" ca="1" si="5841"/>
        <v>0</v>
      </c>
      <c r="R872" s="10">
        <f t="shared" ca="1" si="5841"/>
        <v>0</v>
      </c>
      <c r="S872" s="10">
        <f t="shared" ca="1" si="5841"/>
        <v>0</v>
      </c>
      <c r="T872" s="10">
        <f t="shared" ca="1" si="5841"/>
        <v>0</v>
      </c>
      <c r="U872" s="10">
        <f t="shared" ca="1" si="5841"/>
        <v>0</v>
      </c>
      <c r="V872" s="10">
        <f t="shared" ca="1" si="5841"/>
        <v>0</v>
      </c>
      <c r="W872" s="10">
        <f t="shared" ca="1" si="5841"/>
        <v>0</v>
      </c>
      <c r="X872" s="10">
        <f t="shared" ca="1" si="5841"/>
        <v>0</v>
      </c>
      <c r="Y872" s="10">
        <f t="shared" ca="1" si="5841"/>
        <v>0</v>
      </c>
      <c r="Z872" s="10">
        <f t="shared" ca="1" si="5841"/>
        <v>0</v>
      </c>
      <c r="AA872" s="10">
        <f t="shared" ca="1" si="5841"/>
        <v>0</v>
      </c>
      <c r="AB872" s="10">
        <f t="shared" ca="1" si="5841"/>
        <v>0</v>
      </c>
      <c r="AC872" s="10">
        <f t="shared" ca="1" si="5841"/>
        <v>9166.4440242389446</v>
      </c>
      <c r="AD872" s="10">
        <f t="shared" ca="1" si="5841"/>
        <v>11927.807590582592</v>
      </c>
      <c r="AE872" s="10">
        <f t="shared" ca="1" si="5841"/>
        <v>7066.396708663503</v>
      </c>
      <c r="AF872" s="10">
        <f t="shared" ca="1" si="5841"/>
        <v>6934.6315732259236</v>
      </c>
      <c r="AG872" s="10">
        <f t="shared" ca="1" si="5841"/>
        <v>10945.413160794948</v>
      </c>
      <c r="AH872" s="10">
        <f t="shared" ca="1" si="5841"/>
        <v>14177.051307663889</v>
      </c>
      <c r="AI872" s="10">
        <f t="shared" ca="1" si="5841"/>
        <v>8362.715001425222</v>
      </c>
      <c r="AJ872" s="10">
        <f t="shared" ca="1" si="5841"/>
        <v>8173.6190809756235</v>
      </c>
      <c r="AK872" s="10">
        <f t="shared" ca="1" si="5841"/>
        <v>12852.033517836653</v>
      </c>
      <c r="AL872" s="10">
        <f t="shared" ca="1" si="5841"/>
        <v>16587.150029966753</v>
      </c>
      <c r="AM872" s="10">
        <f t="shared" ca="1" si="5841"/>
        <v>9751.4325228740199</v>
      </c>
      <c r="AN872" s="10">
        <f t="shared" ca="1" si="5841"/>
        <v>9606.1927363706727</v>
      </c>
      <c r="AO872" s="10">
        <f t="shared" ca="1" si="5841"/>
        <v>14893.670842384408</v>
      </c>
      <c r="AP872" s="10">
        <f t="shared" ca="1" si="5841"/>
        <v>18688.18903376253</v>
      </c>
      <c r="AQ872" s="10">
        <f t="shared" ca="1" si="5841"/>
        <v>10689.678462912701</v>
      </c>
      <c r="AR872" s="10">
        <f t="shared" ca="1" si="5841"/>
        <v>10140.672632980764</v>
      </c>
      <c r="AS872" s="10">
        <f t="shared" ca="1" si="5841"/>
        <v>15489.417676079784</v>
      </c>
      <c r="AT872" s="10">
        <f t="shared" ca="1" si="5841"/>
        <v>19435.716595113034</v>
      </c>
      <c r="AU872" s="10">
        <f t="shared" ca="1" si="5841"/>
        <v>11117.265601429208</v>
      </c>
      <c r="AV872" s="10">
        <f t="shared" ca="1" si="5841"/>
        <v>10546.299538299992</v>
      </c>
      <c r="AW872" s="10">
        <f t="shared" ca="1" si="5841"/>
        <v>16108.994383122978</v>
      </c>
      <c r="AX872" s="10">
        <f t="shared" ca="1" si="5841"/>
        <v>20213.14525891755</v>
      </c>
      <c r="AY872" s="10">
        <f t="shared" ca="1" si="5841"/>
        <v>11561.956225486378</v>
      </c>
      <c r="AZ872" s="10">
        <f t="shared" ca="1" si="5841"/>
        <v>10968.151519831992</v>
      </c>
      <c r="BA872" s="10">
        <f t="shared" ca="1" si="5841"/>
        <v>16753.354158447892</v>
      </c>
      <c r="BB872" s="10">
        <f t="shared" ca="1" si="5841"/>
        <v>21021.671069274242</v>
      </c>
      <c r="BC872" s="10">
        <f t="shared" ca="1" si="5841"/>
        <v>12024.43447450583</v>
      </c>
      <c r="BD872" s="10">
        <f t="shared" ca="1" si="5841"/>
        <v>11533.620664854439</v>
      </c>
      <c r="BE872" s="10">
        <f t="shared" ca="1" si="5841"/>
        <v>17423.488324785802</v>
      </c>
      <c r="BF872" s="10">
        <f t="shared" ca="1" si="5841"/>
        <v>21862.537912045209</v>
      </c>
      <c r="BG872" s="10">
        <f t="shared" ca="1" si="5841"/>
        <v>12505.411853486061</v>
      </c>
      <c r="BH872" s="10">
        <f t="shared" ca="1" si="5841"/>
        <v>11863.152683850278</v>
      </c>
      <c r="BI872" s="10">
        <f t="shared" ca="1" si="5841"/>
        <v>18120.427857777235</v>
      </c>
      <c r="BJ872" s="10">
        <f t="shared" ca="1" si="5841"/>
        <v>22737.039428527016</v>
      </c>
      <c r="BK872" s="10">
        <f t="shared" ca="1" si="5841"/>
        <v>13005.628327625502</v>
      </c>
      <c r="BL872" s="10">
        <f t="shared" ca="1" si="5841"/>
        <v>12337.678791204289</v>
      </c>
      <c r="BM872" s="10">
        <f t="shared" ca="1" si="5841"/>
        <v>18845.24497208832</v>
      </c>
      <c r="BN872" s="10">
        <f t="shared" ca="1" si="5841"/>
        <v>23646.521005668095</v>
      </c>
      <c r="BO872" s="10">
        <f t="shared" ca="1" si="5841"/>
        <v>13525.853460730519</v>
      </c>
      <c r="BP872" s="10">
        <f t="shared" ca="1" si="5841"/>
        <v>12831.185942852459</v>
      </c>
      <c r="BQ872" s="10">
        <f t="shared" ca="1" si="5841"/>
        <v>19599.054770971848</v>
      </c>
      <c r="BR872" s="10">
        <f t="shared" ca="1" si="5841"/>
        <v>24592.381845894815</v>
      </c>
      <c r="BS872" s="10">
        <f t="shared" ca="1" si="5841"/>
        <v>14066.887599159732</v>
      </c>
      <c r="BT872" s="10">
        <f t="shared" ca="1" si="5841"/>
        <v>13492.704862572849</v>
      </c>
      <c r="BU872" s="10">
        <f t="shared" ca="1" si="5841"/>
        <v>20383.016961810721</v>
      </c>
      <c r="BV872" s="10">
        <f t="shared" ca="1" si="5841"/>
        <v>25576.077119730598</v>
      </c>
      <c r="BW872" s="10">
        <f t="shared" ca="1" si="5841"/>
        <v>14629.56310312612</v>
      </c>
      <c r="BX872" s="10">
        <f t="shared" ca="1" si="5840"/>
        <v>13878.210715789213</v>
      </c>
      <c r="BY872" s="10">
        <f t="shared" ca="1" si="5838"/>
        <v>21198.337640283142</v>
      </c>
      <c r="BZ872" s="10">
        <f t="shared" ca="1" si="5838"/>
        <v>26599.120204519822</v>
      </c>
      <c r="CA872" s="10">
        <f t="shared" ca="1" si="5838"/>
        <v>15214.745627251164</v>
      </c>
      <c r="CB872" s="10">
        <f t="shared" ca="1" si="5838"/>
        <v>14433.339144420783</v>
      </c>
      <c r="CC872" s="10">
        <f t="shared" ca="1" si="5838"/>
        <v>22046.271145894472</v>
      </c>
      <c r="CD872" s="10">
        <f t="shared" ca="1" si="5838"/>
        <v>27663.085012700612</v>
      </c>
      <c r="CE872" s="10">
        <f t="shared" ca="1" si="5838"/>
        <v>15823.335452341213</v>
      </c>
      <c r="CF872" s="10">
        <f t="shared" ca="1" si="5838"/>
        <v>15010.672710197612</v>
      </c>
      <c r="CG872" s="10">
        <f t="shared" ca="1" si="5838"/>
        <v>22928.121991730248</v>
      </c>
      <c r="CH872" s="10">
        <f t="shared" ca="1" si="5838"/>
        <v>28769.608413208629</v>
      </c>
      <c r="CI872" s="10">
        <f t="shared" ca="1" si="5838"/>
        <v>16456.268870434862</v>
      </c>
      <c r="CJ872" s="10">
        <f t="shared" ca="1" si="5838"/>
        <v>15784.556281034462</v>
      </c>
      <c r="CK872" s="10">
        <f t="shared" ca="1" si="5838"/>
        <v>23845.246871399453</v>
      </c>
      <c r="CL872" s="10">
        <f t="shared" ca="1" si="5838"/>
        <v>29920.392749736977</v>
      </c>
      <c r="CM872" s="10">
        <f t="shared" ca="1" si="5838"/>
        <v>17114.519625252251</v>
      </c>
      <c r="CN872" s="10">
        <f t="shared" ca="1" si="5838"/>
        <v>16235.543603349734</v>
      </c>
      <c r="CO872" s="10">
        <f t="shared" ca="1" si="5838"/>
        <v>24799.056746255432</v>
      </c>
    </row>
    <row r="873" spans="1:93" ht="15" thickTop="1">
      <c r="A873" s="233"/>
      <c r="B873" s="101"/>
      <c r="C873" s="49" t="s">
        <v>754</v>
      </c>
      <c r="D873" s="49"/>
      <c r="E873" s="136"/>
      <c r="F873" s="49"/>
      <c r="G873" s="159" t="str">
        <f t="shared" si="5836"/>
        <v>тыс. руб.</v>
      </c>
      <c r="H873" s="49"/>
      <c r="I873" s="23">
        <f ca="1">SUM(L873:CO873)</f>
        <v>7652385.2589075426</v>
      </c>
      <c r="J873" s="49"/>
      <c r="K873" s="49"/>
      <c r="L873" s="49">
        <f t="shared" ref="L873:R873" ca="1" si="5842">SUM(L868:L872)</f>
        <v>0</v>
      </c>
      <c r="M873" s="49">
        <f t="shared" ca="1" si="5842"/>
        <v>0</v>
      </c>
      <c r="N873" s="49">
        <f t="shared" ca="1" si="5842"/>
        <v>0</v>
      </c>
      <c r="O873" s="49">
        <f t="shared" ca="1" si="5842"/>
        <v>0</v>
      </c>
      <c r="P873" s="49">
        <f t="shared" ca="1" si="5842"/>
        <v>0</v>
      </c>
      <c r="Q873" s="49">
        <f t="shared" ca="1" si="5842"/>
        <v>0</v>
      </c>
      <c r="R873" s="49">
        <f t="shared" ca="1" si="5842"/>
        <v>0</v>
      </c>
      <c r="S873" s="49">
        <f t="shared" ref="S873" ca="1" si="5843">SUM(S868:S872)</f>
        <v>0</v>
      </c>
      <c r="T873" s="49">
        <f t="shared" ref="T873:CE873" ca="1" si="5844">SUM(T868:T872)</f>
        <v>0</v>
      </c>
      <c r="U873" s="49">
        <f t="shared" ca="1" si="5844"/>
        <v>0</v>
      </c>
      <c r="V873" s="49">
        <f t="shared" ca="1" si="5844"/>
        <v>0</v>
      </c>
      <c r="W873" s="49">
        <f t="shared" ca="1" si="5844"/>
        <v>0</v>
      </c>
      <c r="X873" s="49">
        <f t="shared" ca="1" si="5844"/>
        <v>0</v>
      </c>
      <c r="Y873" s="49">
        <f t="shared" ca="1" si="5844"/>
        <v>0</v>
      </c>
      <c r="Z873" s="49">
        <f t="shared" ca="1" si="5844"/>
        <v>0</v>
      </c>
      <c r="AA873" s="49">
        <f t="shared" ca="1" si="5844"/>
        <v>0</v>
      </c>
      <c r="AB873" s="49">
        <f t="shared" ca="1" si="5844"/>
        <v>0</v>
      </c>
      <c r="AC873" s="49">
        <f t="shared" ca="1" si="5844"/>
        <v>66456.719175732345</v>
      </c>
      <c r="AD873" s="49">
        <f t="shared" ca="1" si="5844"/>
        <v>86476.605031723797</v>
      </c>
      <c r="AE873" s="49">
        <f t="shared" ca="1" si="5844"/>
        <v>51231.376137810395</v>
      </c>
      <c r="AF873" s="49">
        <f t="shared" ca="1" si="5844"/>
        <v>50276.078905887945</v>
      </c>
      <c r="AG873" s="49">
        <f t="shared" ca="1" si="5844"/>
        <v>79354.245415763377</v>
      </c>
      <c r="AH873" s="49">
        <f t="shared" ca="1" si="5844"/>
        <v>102783.6219805632</v>
      </c>
      <c r="AI873" s="49">
        <f t="shared" ca="1" si="5844"/>
        <v>60629.68376033286</v>
      </c>
      <c r="AJ873" s="49">
        <f t="shared" ca="1" si="5844"/>
        <v>59258.738337073271</v>
      </c>
      <c r="AK873" s="49">
        <f t="shared" ca="1" si="5844"/>
        <v>93177.243004315736</v>
      </c>
      <c r="AL873" s="49">
        <f t="shared" ca="1" si="5844"/>
        <v>120256.83771725895</v>
      </c>
      <c r="AM873" s="49">
        <f t="shared" ca="1" si="5844"/>
        <v>70697.885790836648</v>
      </c>
      <c r="AN873" s="49">
        <f t="shared" ca="1" si="5844"/>
        <v>69644.897338687384</v>
      </c>
      <c r="AO873" s="49">
        <f t="shared" ca="1" si="5844"/>
        <v>107979.11360728696</v>
      </c>
      <c r="AP873" s="49">
        <f t="shared" ca="1" si="5844"/>
        <v>135489.37049477836</v>
      </c>
      <c r="AQ873" s="49">
        <f t="shared" ca="1" si="5844"/>
        <v>77500.168856117089</v>
      </c>
      <c r="AR873" s="49">
        <f t="shared" ca="1" si="5844"/>
        <v>73519.876589110558</v>
      </c>
      <c r="AS873" s="49">
        <f t="shared" ca="1" si="5844"/>
        <v>112298.27815157843</v>
      </c>
      <c r="AT873" s="49">
        <f t="shared" ca="1" si="5844"/>
        <v>140908.94531456952</v>
      </c>
      <c r="AU873" s="49">
        <f t="shared" ca="1" si="5844"/>
        <v>80600.175610361766</v>
      </c>
      <c r="AV873" s="49">
        <f t="shared" ca="1" si="5844"/>
        <v>76460.671652674951</v>
      </c>
      <c r="AW873" s="49">
        <f t="shared" ca="1" si="5844"/>
        <v>116790.20927764158</v>
      </c>
      <c r="AX873" s="49">
        <f t="shared" ca="1" si="5844"/>
        <v>146545.30312715223</v>
      </c>
      <c r="AY873" s="49">
        <f t="shared" ca="1" si="5844"/>
        <v>83824.182634776225</v>
      </c>
      <c r="AZ873" s="49">
        <f t="shared" ca="1" si="5844"/>
        <v>79519.098518781946</v>
      </c>
      <c r="BA873" s="49">
        <f t="shared" ca="1" si="5844"/>
        <v>121461.81764874722</v>
      </c>
      <c r="BB873" s="49">
        <f t="shared" ca="1" si="5844"/>
        <v>152407.11525223826</v>
      </c>
      <c r="BC873" s="49">
        <f t="shared" ca="1" si="5844"/>
        <v>87177.149940167263</v>
      </c>
      <c r="BD873" s="49">
        <f t="shared" ca="1" si="5844"/>
        <v>83618.749820194673</v>
      </c>
      <c r="BE873" s="49">
        <f t="shared" ca="1" si="5844"/>
        <v>126320.29035469706</v>
      </c>
      <c r="BF873" s="49">
        <f t="shared" ca="1" si="5844"/>
        <v>158503.39986232776</v>
      </c>
      <c r="BG873" s="49">
        <f t="shared" ca="1" si="5844"/>
        <v>90664.235937773934</v>
      </c>
      <c r="BH873" s="49">
        <f t="shared" ca="1" si="5844"/>
        <v>86007.856957914511</v>
      </c>
      <c r="BI873" s="49">
        <f t="shared" ca="1" si="5844"/>
        <v>131373.10196888493</v>
      </c>
      <c r="BJ873" s="49">
        <f t="shared" ca="1" si="5844"/>
        <v>164843.53585682088</v>
      </c>
      <c r="BK873" s="49">
        <f t="shared" ca="1" si="5844"/>
        <v>94290.805375284879</v>
      </c>
      <c r="BL873" s="49">
        <f t="shared" ca="1" si="5844"/>
        <v>89448.171236231094</v>
      </c>
      <c r="BM873" s="49">
        <f t="shared" ca="1" si="5844"/>
        <v>136628.02604764031</v>
      </c>
      <c r="BN873" s="49">
        <f t="shared" ca="1" si="5844"/>
        <v>171437.27729109369</v>
      </c>
      <c r="BO873" s="49">
        <f t="shared" ca="1" si="5844"/>
        <v>98062.437590296264</v>
      </c>
      <c r="BP873" s="49">
        <f t="shared" ca="1" si="5844"/>
        <v>93026.098085680322</v>
      </c>
      <c r="BQ873" s="49">
        <f t="shared" ca="1" si="5844"/>
        <v>142093.14708954591</v>
      </c>
      <c r="BR873" s="49">
        <f t="shared" ca="1" si="5844"/>
        <v>178294.76838273741</v>
      </c>
      <c r="BS873" s="49">
        <f t="shared" ca="1" si="5844"/>
        <v>101984.93509390806</v>
      </c>
      <c r="BT873" s="49">
        <f t="shared" ca="1" si="5844"/>
        <v>97822.110253653154</v>
      </c>
      <c r="BU873" s="49">
        <f t="shared" ca="1" si="5844"/>
        <v>147776.87297312773</v>
      </c>
      <c r="BV873" s="49">
        <f t="shared" ca="1" si="5844"/>
        <v>185426.55911804683</v>
      </c>
      <c r="BW873" s="49">
        <f t="shared" ca="1" si="5844"/>
        <v>106064.33249766436</v>
      </c>
      <c r="BX873" s="49">
        <f t="shared" ca="1" si="5844"/>
        <v>100617.0276894718</v>
      </c>
      <c r="BY873" s="49">
        <f t="shared" ca="1" si="5844"/>
        <v>153687.94789205276</v>
      </c>
      <c r="BZ873" s="49">
        <f t="shared" ca="1" si="5844"/>
        <v>192843.62148276874</v>
      </c>
      <c r="CA873" s="49">
        <f t="shared" ca="1" si="5844"/>
        <v>110306.90579757094</v>
      </c>
      <c r="CB873" s="49">
        <f t="shared" ca="1" si="5844"/>
        <v>104641.70879705067</v>
      </c>
      <c r="CC873" s="49">
        <f t="shared" ca="1" si="5844"/>
        <v>159835.46580773493</v>
      </c>
      <c r="CD873" s="49">
        <f t="shared" ca="1" si="5844"/>
        <v>200557.36634207945</v>
      </c>
      <c r="CE873" s="49">
        <f t="shared" ca="1" si="5844"/>
        <v>114719.18202947378</v>
      </c>
      <c r="CF873" s="49">
        <f t="shared" ref="CF873:CO873" ca="1" si="5845">SUM(CF868:CF872)</f>
        <v>108827.37714893269</v>
      </c>
      <c r="CG873" s="49">
        <f t="shared" ca="1" si="5845"/>
        <v>166228.88444004429</v>
      </c>
      <c r="CH873" s="49">
        <f t="shared" ca="1" si="5845"/>
        <v>208579.66099576256</v>
      </c>
      <c r="CI873" s="49">
        <f t="shared" ca="1" si="5845"/>
        <v>119307.94931065277</v>
      </c>
      <c r="CJ873" s="49">
        <f t="shared" ca="1" si="5845"/>
        <v>114438.03303749984</v>
      </c>
      <c r="CK873" s="49">
        <f t="shared" ca="1" si="5845"/>
        <v>172878.03981764603</v>
      </c>
      <c r="CL873" s="49">
        <f t="shared" ca="1" si="5845"/>
        <v>216922.84743559308</v>
      </c>
      <c r="CM873" s="49">
        <f t="shared" ca="1" si="5845"/>
        <v>124080.26728307884</v>
      </c>
      <c r="CN873" s="49">
        <f t="shared" ca="1" si="5845"/>
        <v>117707.69112428557</v>
      </c>
      <c r="CO873" s="49">
        <f t="shared" ca="1" si="5845"/>
        <v>179793.16141035187</v>
      </c>
    </row>
    <row r="874" spans="1:93">
      <c r="A874" s="10"/>
      <c r="B874" s="10"/>
      <c r="C874" s="10"/>
      <c r="D874" s="10"/>
      <c r="E874" s="10"/>
      <c r="F874" s="10"/>
      <c r="G874" s="11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  <c r="BB874" s="10"/>
      <c r="BC874" s="10"/>
      <c r="BD874" s="10"/>
      <c r="BE874" s="10"/>
      <c r="BF874" s="10"/>
      <c r="BG874" s="10"/>
      <c r="BH874" s="10"/>
      <c r="BI874" s="10"/>
      <c r="BJ874" s="10"/>
      <c r="BK874" s="10"/>
      <c r="BL874" s="10"/>
      <c r="BM874" s="10"/>
      <c r="BN874" s="10"/>
      <c r="BO874" s="10"/>
      <c r="BP874" s="10"/>
      <c r="BQ874" s="10"/>
      <c r="BR874" s="10"/>
      <c r="BS874" s="10"/>
      <c r="BT874" s="10"/>
      <c r="BU874" s="10"/>
      <c r="BV874" s="10"/>
      <c r="BW874" s="10"/>
      <c r="BX874" s="10"/>
      <c r="BY874" s="10"/>
      <c r="BZ874" s="10"/>
      <c r="CA874" s="10"/>
      <c r="CB874" s="10"/>
      <c r="CC874" s="10"/>
      <c r="CD874" s="10"/>
      <c r="CE874" s="10"/>
      <c r="CF874" s="10"/>
      <c r="CG874" s="10"/>
      <c r="CH874" s="10"/>
      <c r="CI874" s="10"/>
      <c r="CJ874" s="10"/>
      <c r="CK874" s="10"/>
      <c r="CL874" s="10"/>
      <c r="CM874" s="10"/>
      <c r="CN874" s="10"/>
      <c r="CO874" s="10"/>
    </row>
    <row r="875" spans="1:93" ht="16" thickBot="1">
      <c r="A875" s="10"/>
      <c r="B875" s="10"/>
      <c r="C875" s="12" t="s">
        <v>759</v>
      </c>
      <c r="D875" s="12"/>
      <c r="E875" s="12"/>
      <c r="F875" s="12"/>
      <c r="G875" s="362"/>
      <c r="H875" s="12"/>
      <c r="I875" s="12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  <c r="BB875" s="10"/>
      <c r="BC875" s="10"/>
      <c r="BD875" s="10"/>
      <c r="BE875" s="10"/>
      <c r="BF875" s="10"/>
      <c r="BG875" s="10"/>
      <c r="BH875" s="10"/>
      <c r="BI875" s="10"/>
      <c r="BJ875" s="10"/>
      <c r="BK875" s="10"/>
      <c r="BL875" s="10"/>
      <c r="BM875" s="10"/>
      <c r="BN875" s="10"/>
      <c r="BO875" s="10"/>
      <c r="BP875" s="10"/>
      <c r="BQ875" s="10"/>
      <c r="BR875" s="10"/>
      <c r="BS875" s="10"/>
      <c r="BT875" s="10"/>
      <c r="BU875" s="10"/>
      <c r="BV875" s="10"/>
      <c r="BW875" s="10"/>
      <c r="BX875" s="10"/>
      <c r="BY875" s="10"/>
      <c r="BZ875" s="10"/>
      <c r="CA875" s="10"/>
      <c r="CB875" s="10"/>
      <c r="CC875" s="10"/>
      <c r="CD875" s="10"/>
      <c r="CE875" s="10"/>
      <c r="CF875" s="10"/>
      <c r="CG875" s="10"/>
      <c r="CH875" s="10"/>
      <c r="CI875" s="10"/>
      <c r="CJ875" s="10"/>
      <c r="CK875" s="10"/>
      <c r="CL875" s="10"/>
      <c r="CM875" s="10"/>
      <c r="CN875" s="10"/>
      <c r="CO875" s="10"/>
    </row>
    <row r="876" spans="1:93">
      <c r="A876" s="10"/>
      <c r="B876" s="10"/>
      <c r="C876" s="17"/>
      <c r="D876" s="10"/>
      <c r="E876" s="3"/>
      <c r="F876" s="3"/>
      <c r="G876" s="142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  <c r="BB876" s="10"/>
      <c r="BC876" s="10"/>
      <c r="BD876" s="10"/>
      <c r="BE876" s="10"/>
      <c r="BF876" s="10"/>
      <c r="BG876" s="10"/>
      <c r="BH876" s="10"/>
      <c r="BI876" s="10"/>
      <c r="BJ876" s="10"/>
      <c r="BK876" s="10"/>
      <c r="BL876" s="10"/>
      <c r="BM876" s="10"/>
      <c r="BN876" s="10"/>
      <c r="BO876" s="10"/>
      <c r="BP876" s="10"/>
      <c r="BQ876" s="10"/>
      <c r="BR876" s="10"/>
      <c r="BS876" s="10"/>
      <c r="BT876" s="10"/>
      <c r="BU876" s="10"/>
      <c r="BV876" s="10"/>
      <c r="BW876" s="10"/>
      <c r="BX876" s="10"/>
      <c r="BY876" s="10"/>
      <c r="BZ876" s="10"/>
      <c r="CA876" s="10"/>
      <c r="CB876" s="10"/>
      <c r="CC876" s="10"/>
      <c r="CD876" s="10"/>
      <c r="CE876" s="10"/>
      <c r="CF876" s="10"/>
      <c r="CG876" s="10"/>
      <c r="CH876" s="10"/>
      <c r="CI876" s="10"/>
      <c r="CJ876" s="10"/>
      <c r="CK876" s="10"/>
      <c r="CL876" s="10"/>
      <c r="CM876" s="10"/>
      <c r="CN876" s="10"/>
      <c r="CO876" s="10"/>
    </row>
    <row r="877" spans="1:93">
      <c r="A877" s="10"/>
      <c r="B877" s="10"/>
      <c r="C877" s="17" t="s">
        <v>731</v>
      </c>
      <c r="D877" s="10"/>
      <c r="E877" s="178">
        <f xml:space="preserve"> Предпосылки!E512</f>
        <v>1.4999999999999999E-2</v>
      </c>
      <c r="F877" s="3"/>
      <c r="G877" s="142" t="s">
        <v>738</v>
      </c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  <c r="BB877" s="10"/>
      <c r="BC877" s="10"/>
      <c r="BD877" s="10"/>
      <c r="BE877" s="10"/>
      <c r="BF877" s="10"/>
      <c r="BG877" s="10"/>
      <c r="BH877" s="10"/>
      <c r="BI877" s="10"/>
      <c r="BJ877" s="10"/>
      <c r="BK877" s="10"/>
      <c r="BL877" s="10"/>
      <c r="BM877" s="10"/>
      <c r="BN877" s="10"/>
      <c r="BO877" s="10"/>
      <c r="BP877" s="10"/>
      <c r="BQ877" s="10"/>
      <c r="BR877" s="10"/>
      <c r="BS877" s="10"/>
      <c r="BT877" s="10"/>
      <c r="BU877" s="10"/>
      <c r="BV877" s="10"/>
      <c r="BW877" s="10"/>
      <c r="BX877" s="10"/>
      <c r="BY877" s="10"/>
      <c r="BZ877" s="10"/>
      <c r="CA877" s="10"/>
      <c r="CB877" s="10"/>
      <c r="CC877" s="10"/>
      <c r="CD877" s="10"/>
      <c r="CE877" s="10"/>
      <c r="CF877" s="10"/>
      <c r="CG877" s="10"/>
      <c r="CH877" s="10"/>
      <c r="CI877" s="10"/>
      <c r="CJ877" s="10"/>
      <c r="CK877" s="10"/>
      <c r="CL877" s="10"/>
      <c r="CM877" s="10"/>
      <c r="CN877" s="10"/>
      <c r="CO877" s="10"/>
    </row>
    <row r="878" spans="1:93">
      <c r="A878" s="10"/>
      <c r="B878" s="10"/>
      <c r="C878" s="17" t="s">
        <v>733</v>
      </c>
      <c r="D878" s="10"/>
      <c r="E878" s="178">
        <f xml:space="preserve"> Предпосылки!E513</f>
        <v>0.02</v>
      </c>
      <c r="F878" s="3"/>
      <c r="G878" s="142" t="s">
        <v>738</v>
      </c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  <c r="BB878" s="10"/>
      <c r="BC878" s="10"/>
      <c r="BD878" s="10"/>
      <c r="BE878" s="10"/>
      <c r="BF878" s="10"/>
      <c r="BG878" s="10"/>
      <c r="BH878" s="10"/>
      <c r="BI878" s="10"/>
      <c r="BJ878" s="10"/>
      <c r="BK878" s="10"/>
      <c r="BL878" s="10"/>
      <c r="BM878" s="10"/>
      <c r="BN878" s="10"/>
      <c r="BO878" s="10"/>
      <c r="BP878" s="10"/>
      <c r="BQ878" s="10"/>
      <c r="BR878" s="10"/>
      <c r="BS878" s="10"/>
      <c r="BT878" s="10"/>
      <c r="BU878" s="10"/>
      <c r="BV878" s="10"/>
      <c r="BW878" s="10"/>
      <c r="BX878" s="10"/>
      <c r="BY878" s="10"/>
      <c r="BZ878" s="10"/>
      <c r="CA878" s="10"/>
      <c r="CB878" s="10"/>
      <c r="CC878" s="10"/>
      <c r="CD878" s="10"/>
      <c r="CE878" s="10"/>
      <c r="CF878" s="10"/>
      <c r="CG878" s="10"/>
      <c r="CH878" s="10"/>
      <c r="CI878" s="10"/>
      <c r="CJ878" s="10"/>
      <c r="CK878" s="10"/>
      <c r="CL878" s="10"/>
      <c r="CM878" s="10"/>
      <c r="CN878" s="10"/>
      <c r="CO878" s="10"/>
    </row>
    <row r="879" spans="1:93">
      <c r="A879" s="10"/>
      <c r="B879" s="10"/>
      <c r="C879" s="17" t="s">
        <v>732</v>
      </c>
      <c r="D879" s="10"/>
      <c r="E879" s="178">
        <f xml:space="preserve"> Предпосылки!E514</f>
        <v>0</v>
      </c>
      <c r="F879" s="3"/>
      <c r="G879" s="142" t="s">
        <v>739</v>
      </c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  <c r="BB879" s="10"/>
      <c r="BC879" s="10"/>
      <c r="BD879" s="10"/>
      <c r="BE879" s="10"/>
      <c r="BF879" s="10"/>
      <c r="BG879" s="10"/>
      <c r="BH879" s="10"/>
      <c r="BI879" s="10"/>
      <c r="BJ879" s="10"/>
      <c r="BK879" s="10"/>
      <c r="BL879" s="10"/>
      <c r="BM879" s="10"/>
      <c r="BN879" s="10"/>
      <c r="BO879" s="10"/>
      <c r="BP879" s="10"/>
      <c r="BQ879" s="10"/>
      <c r="BR879" s="10"/>
      <c r="BS879" s="10"/>
      <c r="BT879" s="10"/>
      <c r="BU879" s="10"/>
      <c r="BV879" s="10"/>
      <c r="BW879" s="10"/>
      <c r="BX879" s="10"/>
      <c r="BY879" s="10"/>
      <c r="BZ879" s="10"/>
      <c r="CA879" s="10"/>
      <c r="CB879" s="10"/>
      <c r="CC879" s="10"/>
      <c r="CD879" s="10"/>
      <c r="CE879" s="10"/>
      <c r="CF879" s="10"/>
      <c r="CG879" s="10"/>
      <c r="CH879" s="10"/>
      <c r="CI879" s="10"/>
      <c r="CJ879" s="10"/>
      <c r="CK879" s="10"/>
      <c r="CL879" s="10"/>
      <c r="CM879" s="10"/>
      <c r="CN879" s="10"/>
      <c r="CO879" s="10"/>
    </row>
    <row r="880" spans="1:93">
      <c r="A880" s="10"/>
      <c r="B880" s="10"/>
      <c r="C880" s="17" t="s">
        <v>735</v>
      </c>
      <c r="D880" s="10"/>
      <c r="E880" s="178">
        <f xml:space="preserve"> Предпосылки!E515</f>
        <v>0.02</v>
      </c>
      <c r="F880" s="3"/>
      <c r="G880" s="142" t="s">
        <v>739</v>
      </c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  <c r="BB880" s="10"/>
      <c r="BC880" s="10"/>
      <c r="BD880" s="10"/>
      <c r="BE880" s="10"/>
      <c r="BF880" s="10"/>
      <c r="BG880" s="10"/>
      <c r="BH880" s="10"/>
      <c r="BI880" s="10"/>
      <c r="BJ880" s="10"/>
      <c r="BK880" s="10"/>
      <c r="BL880" s="10"/>
      <c r="BM880" s="10"/>
      <c r="BN880" s="10"/>
      <c r="BO880" s="10"/>
      <c r="BP880" s="10"/>
      <c r="BQ880" s="10"/>
      <c r="BR880" s="10"/>
      <c r="BS880" s="10"/>
      <c r="BT880" s="10"/>
      <c r="BU880" s="10"/>
      <c r="BV880" s="10"/>
      <c r="BW880" s="10"/>
      <c r="BX880" s="10"/>
      <c r="BY880" s="10"/>
      <c r="BZ880" s="10"/>
      <c r="CA880" s="10"/>
      <c r="CB880" s="10"/>
      <c r="CC880" s="10"/>
      <c r="CD880" s="10"/>
      <c r="CE880" s="10"/>
      <c r="CF880" s="10"/>
      <c r="CG880" s="10"/>
      <c r="CH880" s="10"/>
      <c r="CI880" s="10"/>
      <c r="CJ880" s="10"/>
      <c r="CK880" s="10"/>
      <c r="CL880" s="10"/>
      <c r="CM880" s="10"/>
      <c r="CN880" s="10"/>
      <c r="CO880" s="10"/>
    </row>
    <row r="881" spans="1:93">
      <c r="A881" s="10"/>
      <c r="B881" s="10"/>
      <c r="C881" s="17" t="s">
        <v>734</v>
      </c>
      <c r="D881" s="10"/>
      <c r="E881" s="178">
        <f xml:space="preserve"> Предпосылки!E516</f>
        <v>6.5000000000000002E-2</v>
      </c>
      <c r="F881" s="3"/>
      <c r="G881" s="142" t="s">
        <v>740</v>
      </c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  <c r="BB881" s="10"/>
      <c r="BC881" s="10"/>
      <c r="BD881" s="10"/>
      <c r="BE881" s="10"/>
      <c r="BF881" s="10"/>
      <c r="BG881" s="10"/>
      <c r="BH881" s="10"/>
      <c r="BI881" s="10"/>
      <c r="BJ881" s="10"/>
      <c r="BK881" s="10"/>
      <c r="BL881" s="10"/>
      <c r="BM881" s="10"/>
      <c r="BN881" s="10"/>
      <c r="BO881" s="10"/>
      <c r="BP881" s="10"/>
      <c r="BQ881" s="10"/>
      <c r="BR881" s="10"/>
      <c r="BS881" s="10"/>
      <c r="BT881" s="10"/>
      <c r="BU881" s="10"/>
      <c r="BV881" s="10"/>
      <c r="BW881" s="10"/>
      <c r="BX881" s="10"/>
      <c r="BY881" s="10"/>
      <c r="BZ881" s="10"/>
      <c r="CA881" s="10"/>
      <c r="CB881" s="10"/>
      <c r="CC881" s="10"/>
      <c r="CD881" s="10"/>
      <c r="CE881" s="10"/>
      <c r="CF881" s="10"/>
      <c r="CG881" s="10"/>
      <c r="CH881" s="10"/>
      <c r="CI881" s="10"/>
      <c r="CJ881" s="10"/>
      <c r="CK881" s="10"/>
      <c r="CL881" s="10"/>
      <c r="CM881" s="10"/>
      <c r="CN881" s="10"/>
      <c r="CO881" s="10"/>
    </row>
    <row r="882" spans="1:93">
      <c r="A882" s="10"/>
      <c r="B882" s="10"/>
      <c r="C882" s="17" t="s">
        <v>1186</v>
      </c>
      <c r="D882" s="10"/>
      <c r="E882" s="184">
        <f>Предпосылки!E517</f>
        <v>0</v>
      </c>
      <c r="F882" s="10"/>
      <c r="G882" s="142" t="s">
        <v>914</v>
      </c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  <c r="BB882" s="10"/>
      <c r="BC882" s="10"/>
      <c r="BD882" s="10"/>
      <c r="BE882" s="10"/>
      <c r="BF882" s="10"/>
      <c r="BG882" s="10"/>
      <c r="BH882" s="10"/>
      <c r="BI882" s="10"/>
      <c r="BJ882" s="10"/>
      <c r="BK882" s="10"/>
      <c r="BL882" s="10"/>
      <c r="BM882" s="10"/>
      <c r="BN882" s="10"/>
      <c r="BO882" s="10"/>
      <c r="BP882" s="10"/>
      <c r="BQ882" s="10"/>
      <c r="BR882" s="10"/>
      <c r="BS882" s="10"/>
      <c r="BT882" s="10"/>
      <c r="BU882" s="10"/>
      <c r="BV882" s="10"/>
      <c r="BW882" s="10"/>
      <c r="BX882" s="10"/>
      <c r="BY882" s="10"/>
      <c r="BZ882" s="10"/>
      <c r="CA882" s="10"/>
      <c r="CB882" s="10"/>
      <c r="CC882" s="10"/>
      <c r="CD882" s="10"/>
      <c r="CE882" s="10"/>
      <c r="CF882" s="10"/>
      <c r="CG882" s="10"/>
      <c r="CH882" s="10"/>
      <c r="CI882" s="10"/>
      <c r="CJ882" s="10"/>
      <c r="CK882" s="10"/>
      <c r="CL882" s="10"/>
      <c r="CM882" s="10"/>
      <c r="CN882" s="10"/>
      <c r="CO882" s="10"/>
    </row>
    <row r="883" spans="1:93"/>
    <row r="884" spans="1:93" ht="16" thickBot="1">
      <c r="C884" s="12" t="s">
        <v>760</v>
      </c>
      <c r="D884" s="12"/>
      <c r="E884" s="12"/>
      <c r="F884" s="12"/>
      <c r="G884" s="362"/>
      <c r="H884" s="12"/>
      <c r="I884" s="12"/>
    </row>
    <row r="885" spans="1:93"/>
    <row r="886" spans="1:93">
      <c r="C886" s="17" t="s">
        <v>1142</v>
      </c>
      <c r="G886" s="11" t="str">
        <f>Monetary_Unit</f>
        <v>тыс. руб.</v>
      </c>
      <c r="H886" s="10"/>
      <c r="I886" s="23">
        <f ca="1">SUM(L886:CO886)</f>
        <v>53957393.881024711</v>
      </c>
      <c r="L886" s="452">
        <f t="shared" ref="L886:AQ886" ca="1" si="5846" xml:space="preserve"> L707 - L692 * $I$514</f>
        <v>0</v>
      </c>
      <c r="M886" s="452">
        <f t="shared" ca="1" si="5846"/>
        <v>0</v>
      </c>
      <c r="N886" s="452">
        <f t="shared" ca="1" si="5846"/>
        <v>0</v>
      </c>
      <c r="O886" s="452">
        <f t="shared" ca="1" si="5846"/>
        <v>0</v>
      </c>
      <c r="P886" s="452">
        <f t="shared" ca="1" si="5846"/>
        <v>0</v>
      </c>
      <c r="Q886" s="452">
        <f t="shared" ca="1" si="5846"/>
        <v>0</v>
      </c>
      <c r="R886" s="452">
        <f t="shared" ca="1" si="5846"/>
        <v>0</v>
      </c>
      <c r="S886" s="452">
        <f t="shared" ca="1" si="5846"/>
        <v>0</v>
      </c>
      <c r="T886" s="452">
        <f t="shared" ca="1" si="5846"/>
        <v>0</v>
      </c>
      <c r="U886" s="452">
        <f t="shared" ca="1" si="5846"/>
        <v>0</v>
      </c>
      <c r="V886" s="452">
        <f t="shared" ca="1" si="5846"/>
        <v>0</v>
      </c>
      <c r="W886" s="452">
        <f t="shared" ca="1" si="5846"/>
        <v>0</v>
      </c>
      <c r="X886" s="452">
        <f t="shared" ca="1" si="5846"/>
        <v>0</v>
      </c>
      <c r="Y886" s="452">
        <f t="shared" ca="1" si="5846"/>
        <v>0</v>
      </c>
      <c r="Z886" s="452">
        <f t="shared" ca="1" si="5846"/>
        <v>0</v>
      </c>
      <c r="AA886" s="452">
        <f t="shared" ca="1" si="5846"/>
        <v>0</v>
      </c>
      <c r="AB886" s="452">
        <f t="shared" ca="1" si="5846"/>
        <v>0</v>
      </c>
      <c r="AC886" s="452">
        <f t="shared" ca="1" si="5846"/>
        <v>504137.53171197622</v>
      </c>
      <c r="AD886" s="452">
        <f t="shared" ca="1" si="5846"/>
        <v>656007.439913532</v>
      </c>
      <c r="AE886" s="452">
        <f t="shared" ca="1" si="5846"/>
        <v>388638.79879515519</v>
      </c>
      <c r="AF886" s="452">
        <f t="shared" ca="1" si="5846"/>
        <v>381391.95912979095</v>
      </c>
      <c r="AG886" s="452">
        <f t="shared" ca="1" si="5846"/>
        <v>601977.55638496729</v>
      </c>
      <c r="AH886" s="452">
        <f t="shared" ca="1" si="5846"/>
        <v>779711.70001151285</v>
      </c>
      <c r="AI886" s="452">
        <f t="shared" ca="1" si="5846"/>
        <v>459933.91636723204</v>
      </c>
      <c r="AJ886" s="452">
        <f t="shared" ca="1" si="5846"/>
        <v>449533.98916098045</v>
      </c>
      <c r="AK886" s="452">
        <f t="shared" ca="1" si="5846"/>
        <v>706838.1629810587</v>
      </c>
      <c r="AL886" s="452">
        <f t="shared" ca="1" si="5846"/>
        <v>912262.68901346996</v>
      </c>
      <c r="AM886" s="452">
        <f t="shared" ca="1" si="5846"/>
        <v>536310.82126700284</v>
      </c>
      <c r="AN886" s="452">
        <f t="shared" ca="1" si="5846"/>
        <v>528322.90062072454</v>
      </c>
      <c r="AO886" s="452">
        <f t="shared" ca="1" si="5846"/>
        <v>819124.45401462051</v>
      </c>
      <c r="AP886" s="452">
        <f t="shared" ca="1" si="5846"/>
        <v>1027815.9629551755</v>
      </c>
      <c r="AQ886" s="452">
        <f t="shared" ca="1" si="5846"/>
        <v>587912.61920512468</v>
      </c>
      <c r="AR886" s="452">
        <f t="shared" ref="AR886:BW886" ca="1" si="5847" xml:space="preserve"> AR707 - AR692 * $I$514</f>
        <v>557718.31012894504</v>
      </c>
      <c r="AS886" s="452">
        <f t="shared" ca="1" si="5847"/>
        <v>851889.43217520532</v>
      </c>
      <c r="AT886" s="452">
        <f t="shared" ca="1" si="5847"/>
        <v>1068928.6014733827</v>
      </c>
      <c r="AU886" s="452">
        <f t="shared" ca="1" si="5847"/>
        <v>611429.12397332978</v>
      </c>
      <c r="AV886" s="452">
        <f t="shared" ca="1" si="5847"/>
        <v>580027.0425341028</v>
      </c>
      <c r="AW886" s="452">
        <f t="shared" ca="1" si="5847"/>
        <v>805449.71915614884</v>
      </c>
      <c r="AX886" s="452">
        <f t="shared" ca="1" si="5847"/>
        <v>1010657.2629458774</v>
      </c>
      <c r="AY886" s="452">
        <f t="shared" ca="1" si="5847"/>
        <v>578097.81127431884</v>
      </c>
      <c r="AZ886" s="452">
        <f t="shared" ca="1" si="5847"/>
        <v>548407.57599159959</v>
      </c>
      <c r="BA886" s="452">
        <f t="shared" ca="1" si="5847"/>
        <v>837667.7079223945</v>
      </c>
      <c r="BB886" s="452">
        <f t="shared" ca="1" si="5847"/>
        <v>1051083.5534637121</v>
      </c>
      <c r="BC886" s="452">
        <f t="shared" ca="1" si="5847"/>
        <v>601221.72372529143</v>
      </c>
      <c r="BD886" s="452">
        <f t="shared" ca="1" si="5847"/>
        <v>576681.03324272193</v>
      </c>
      <c r="BE886" s="452">
        <f t="shared" ca="1" si="5847"/>
        <v>871174.41623929003</v>
      </c>
      <c r="BF886" s="452">
        <f t="shared" ca="1" si="5847"/>
        <v>1093126.8956022605</v>
      </c>
      <c r="BG886" s="452">
        <f t="shared" ca="1" si="5847"/>
        <v>625270.59267430298</v>
      </c>
      <c r="BH886" s="452">
        <f t="shared" ca="1" si="5847"/>
        <v>593157.63419251388</v>
      </c>
      <c r="BI886" s="452">
        <f t="shared" ca="1" si="5847"/>
        <v>906021.39288886171</v>
      </c>
      <c r="BJ886" s="452">
        <f t="shared" ca="1" si="5847"/>
        <v>1136851.9714263508</v>
      </c>
      <c r="BK886" s="452">
        <f t="shared" ca="1" si="5847"/>
        <v>650281.41638127505</v>
      </c>
      <c r="BL886" s="452">
        <f t="shared" ca="1" si="5847"/>
        <v>616883.93956021441</v>
      </c>
      <c r="BM886" s="452">
        <f t="shared" ca="1" si="5847"/>
        <v>942262.24860441603</v>
      </c>
      <c r="BN886" s="452">
        <f t="shared" ca="1" si="5847"/>
        <v>1182326.0502834048</v>
      </c>
      <c r="BO886" s="452">
        <f t="shared" ca="1" si="5847"/>
        <v>676292.67303652596</v>
      </c>
      <c r="BP886" s="452">
        <f t="shared" ca="1" si="5847"/>
        <v>641559.29714262288</v>
      </c>
      <c r="BQ886" s="452">
        <f t="shared" ca="1" si="5847"/>
        <v>979952.73854859243</v>
      </c>
      <c r="BR886" s="452">
        <f t="shared" ca="1" si="5847"/>
        <v>1229619.0922947407</v>
      </c>
      <c r="BS886" s="452">
        <f t="shared" ca="1" si="5847"/>
        <v>703344.37995798665</v>
      </c>
      <c r="BT886" s="452">
        <f t="shared" ca="1" si="5847"/>
        <v>674635.24312864244</v>
      </c>
      <c r="BU886" s="452">
        <f t="shared" ca="1" si="5847"/>
        <v>1019150.848090536</v>
      </c>
      <c r="BV886" s="452">
        <f t="shared" ca="1" si="5847"/>
        <v>1278803.85598653</v>
      </c>
      <c r="BW886" s="452">
        <f t="shared" ca="1" si="5847"/>
        <v>731478.15515630599</v>
      </c>
      <c r="BX886" s="452">
        <f t="shared" ref="BX886:CO886" ca="1" si="5848" xml:space="preserve"> BX707 - BX692 * $I$514</f>
        <v>693910.53578946064</v>
      </c>
      <c r="BY886" s="452">
        <f t="shared" ca="1" si="5848"/>
        <v>1059916.882014157</v>
      </c>
      <c r="BZ886" s="452">
        <f t="shared" ca="1" si="5848"/>
        <v>1329956.010225991</v>
      </c>
      <c r="CA886" s="452">
        <f t="shared" ca="1" si="5848"/>
        <v>760737.28136255825</v>
      </c>
      <c r="CB886" s="452">
        <f t="shared" ca="1" si="5848"/>
        <v>721666.95722103911</v>
      </c>
      <c r="CC886" s="452">
        <f t="shared" ca="1" si="5848"/>
        <v>1102313.5572947236</v>
      </c>
      <c r="CD886" s="452">
        <f t="shared" ca="1" si="5848"/>
        <v>1383154.2506350307</v>
      </c>
      <c r="CE886" s="452">
        <f t="shared" ca="1" si="5848"/>
        <v>791166.77261706057</v>
      </c>
      <c r="CF886" s="452">
        <f t="shared" ca="1" si="5848"/>
        <v>750533.63550988061</v>
      </c>
      <c r="CG886" s="452">
        <f t="shared" ca="1" si="5848"/>
        <v>1146406.0995865124</v>
      </c>
      <c r="CH886" s="452">
        <f t="shared" ca="1" si="5848"/>
        <v>1438480.4206604315</v>
      </c>
      <c r="CI886" s="452">
        <f t="shared" ca="1" si="5848"/>
        <v>822813.44352174317</v>
      </c>
      <c r="CJ886" s="452">
        <f t="shared" ca="1" si="5848"/>
        <v>789227.81405172311</v>
      </c>
      <c r="CK886" s="452">
        <f t="shared" ca="1" si="5848"/>
        <v>1192262.3435699726</v>
      </c>
      <c r="CL886" s="452">
        <f t="shared" ca="1" si="5848"/>
        <v>1496019.6374868487</v>
      </c>
      <c r="CM886" s="452">
        <f t="shared" ca="1" si="5848"/>
        <v>855725.98126261262</v>
      </c>
      <c r="CN886" s="452">
        <f t="shared" ca="1" si="5848"/>
        <v>811777.18016748666</v>
      </c>
      <c r="CO886" s="452">
        <f t="shared" ca="1" si="5848"/>
        <v>1239952.8373127715</v>
      </c>
    </row>
    <row r="887" spans="1:93">
      <c r="C887" s="17" t="s">
        <v>1140</v>
      </c>
      <c r="G887" s="11" t="str">
        <f>Monetary_Unit</f>
        <v>тыс. руб.</v>
      </c>
      <c r="H887" s="10"/>
      <c r="I887" s="23">
        <f ca="1">SUM(L887:CO887)</f>
        <v>19916110.400683798</v>
      </c>
      <c r="L887" s="452">
        <f t="shared" ref="L887:AQ887" ca="1" si="5849" xml:space="preserve"> L704 - L692 * $I$514</f>
        <v>0</v>
      </c>
      <c r="M887" s="452">
        <f t="shared" ca="1" si="5849"/>
        <v>0</v>
      </c>
      <c r="N887" s="452">
        <f t="shared" ca="1" si="5849"/>
        <v>0</v>
      </c>
      <c r="O887" s="452">
        <f t="shared" ca="1" si="5849"/>
        <v>0</v>
      </c>
      <c r="P887" s="452">
        <f t="shared" ca="1" si="5849"/>
        <v>0</v>
      </c>
      <c r="Q887" s="452">
        <f t="shared" ca="1" si="5849"/>
        <v>0</v>
      </c>
      <c r="R887" s="452">
        <f t="shared" ca="1" si="5849"/>
        <v>0</v>
      </c>
      <c r="S887" s="452">
        <f t="shared" ca="1" si="5849"/>
        <v>0</v>
      </c>
      <c r="T887" s="452">
        <f t="shared" ca="1" si="5849"/>
        <v>0</v>
      </c>
      <c r="U887" s="452">
        <f t="shared" ca="1" si="5849"/>
        <v>0</v>
      </c>
      <c r="V887" s="452">
        <f t="shared" ca="1" si="5849"/>
        <v>0</v>
      </c>
      <c r="W887" s="452">
        <f t="shared" ca="1" si="5849"/>
        <v>0</v>
      </c>
      <c r="X887" s="452">
        <f t="shared" ca="1" si="5849"/>
        <v>0</v>
      </c>
      <c r="Y887" s="452">
        <f t="shared" ca="1" si="5849"/>
        <v>0</v>
      </c>
      <c r="Z887" s="452">
        <f t="shared" ca="1" si="5849"/>
        <v>0</v>
      </c>
      <c r="AA887" s="452">
        <f t="shared" ca="1" si="5849"/>
        <v>0</v>
      </c>
      <c r="AB887" s="452">
        <f t="shared" ca="1" si="5849"/>
        <v>0</v>
      </c>
      <c r="AC887" s="452">
        <f t="shared" ca="1" si="5849"/>
        <v>172960.36610682571</v>
      </c>
      <c r="AD887" s="452">
        <f t="shared" ca="1" si="5849"/>
        <v>225064.15380529492</v>
      </c>
      <c r="AE887" s="452">
        <f t="shared" ca="1" si="5849"/>
        <v>133334.86339463937</v>
      </c>
      <c r="AF887" s="452">
        <f t="shared" ca="1" si="5849"/>
        <v>130848.60525515418</v>
      </c>
      <c r="AG887" s="452">
        <f t="shared" ca="1" si="5849"/>
        <v>206527.48901052083</v>
      </c>
      <c r="AH887" s="452">
        <f t="shared" ca="1" si="5849"/>
        <v>267504.82280857925</v>
      </c>
      <c r="AI887" s="452">
        <f t="shared" ca="1" si="5849"/>
        <v>157794.91419669046</v>
      </c>
      <c r="AJ887" s="452">
        <f t="shared" ca="1" si="5849"/>
        <v>154226.88939407511</v>
      </c>
      <c r="AK887" s="452">
        <f t="shared" ca="1" si="5849"/>
        <v>242503.24516074068</v>
      </c>
      <c r="AL887" s="452">
        <f t="shared" ca="1" si="5849"/>
        <v>312980.6426860377</v>
      </c>
      <c r="AM887" s="452">
        <f t="shared" ca="1" si="5849"/>
        <v>183998.43328147425</v>
      </c>
      <c r="AN887" s="452">
        <f t="shared" ca="1" si="5849"/>
        <v>181257.92381232034</v>
      </c>
      <c r="AO887" s="452">
        <f t="shared" ca="1" si="5849"/>
        <v>281026.61782056099</v>
      </c>
      <c r="AP887" s="452">
        <f t="shared" ca="1" si="5849"/>
        <v>352624.85742626898</v>
      </c>
      <c r="AQ887" s="452">
        <f t="shared" ca="1" si="5849"/>
        <v>201702.06632152945</v>
      </c>
      <c r="AR887" s="452">
        <f t="shared" ref="AR887:BW887" ca="1" si="5850" xml:space="preserve"> AR704 - AR692 * $I$514</f>
        <v>191342.95115225384</v>
      </c>
      <c r="AS887" s="452">
        <f t="shared" ca="1" si="5850"/>
        <v>292267.68253338343</v>
      </c>
      <c r="AT887" s="452">
        <f t="shared" ca="1" si="5850"/>
        <v>366729.85172331973</v>
      </c>
      <c r="AU887" s="452">
        <f t="shared" ca="1" si="5850"/>
        <v>209770.14897439064</v>
      </c>
      <c r="AV887" s="452">
        <f t="shared" ca="1" si="5850"/>
        <v>198996.66919834397</v>
      </c>
      <c r="AW887" s="452">
        <f t="shared" ca="1" si="5850"/>
        <v>303958.38983471878</v>
      </c>
      <c r="AX887" s="452">
        <f t="shared" ca="1" si="5850"/>
        <v>381399.04579225241</v>
      </c>
      <c r="AY887" s="452">
        <f t="shared" ca="1" si="5850"/>
        <v>218160.95493336624</v>
      </c>
      <c r="AZ887" s="452">
        <f t="shared" ca="1" si="5850"/>
        <v>206956.53596627768</v>
      </c>
      <c r="BA887" s="452">
        <f t="shared" ca="1" si="5850"/>
        <v>316116.72542810737</v>
      </c>
      <c r="BB887" s="452">
        <f t="shared" ca="1" si="5850"/>
        <v>396655.00762394245</v>
      </c>
      <c r="BC887" s="452">
        <f t="shared" ca="1" si="5850"/>
        <v>226887.39313070083</v>
      </c>
      <c r="BD887" s="452">
        <f t="shared" ca="1" si="5850"/>
        <v>217626.29515387243</v>
      </c>
      <c r="BE887" s="452">
        <f t="shared" ca="1" si="5850"/>
        <v>328761.39444523165</v>
      </c>
      <c r="BF887" s="452">
        <f t="shared" ca="1" si="5850"/>
        <v>412521.20792890008</v>
      </c>
      <c r="BG887" s="452">
        <f t="shared" ca="1" si="5850"/>
        <v>235962.88885592885</v>
      </c>
      <c r="BH887" s="452">
        <f t="shared" ca="1" si="5850"/>
        <v>223844.18930112588</v>
      </c>
      <c r="BI887" s="452">
        <f t="shared" ca="1" si="5850"/>
        <v>341911.85022304091</v>
      </c>
      <c r="BJ887" s="452">
        <f t="shared" ca="1" si="5850"/>
        <v>429022.05624605605</v>
      </c>
      <c r="BK887" s="452">
        <f t="shared" ca="1" si="5850"/>
        <v>245401.40441016597</v>
      </c>
      <c r="BL887" s="452">
        <f t="shared" ca="1" si="5850"/>
        <v>232797.95687317089</v>
      </c>
      <c r="BM887" s="452">
        <f t="shared" ca="1" si="5850"/>
        <v>355588.3242319625</v>
      </c>
      <c r="BN887" s="452">
        <f t="shared" ca="1" si="5850"/>
        <v>446182.93849589821</v>
      </c>
      <c r="BO887" s="452">
        <f t="shared" ca="1" si="5850"/>
        <v>255217.46058657256</v>
      </c>
      <c r="BP887" s="452">
        <f t="shared" ca="1" si="5850"/>
        <v>242109.87514809769</v>
      </c>
      <c r="BQ887" s="452">
        <f t="shared" ca="1" si="5850"/>
        <v>369811.8572012409</v>
      </c>
      <c r="BR887" s="452">
        <f t="shared" ca="1" si="5850"/>
        <v>464030.25603573408</v>
      </c>
      <c r="BS887" s="452">
        <f t="shared" ca="1" si="5850"/>
        <v>265426.15901003539</v>
      </c>
      <c r="BT887" s="452">
        <f t="shared" ca="1" si="5850"/>
        <v>254591.98426684403</v>
      </c>
      <c r="BU887" s="452">
        <f t="shared" ca="1" si="5850"/>
        <v>384604.33148929046</v>
      </c>
      <c r="BV887" s="452">
        <f t="shared" ca="1" si="5850"/>
        <v>482591.46627716324</v>
      </c>
      <c r="BW887" s="452">
        <f t="shared" ca="1" si="5850"/>
        <v>276043.20537043671</v>
      </c>
      <c r="BX887" s="452">
        <f t="shared" ref="BX887:CO887" ca="1" si="5851" xml:space="preserve"> BX704 - BX692 * $I$514</f>
        <v>261866.04096018238</v>
      </c>
      <c r="BY887" s="452">
        <f t="shared" ca="1" si="5851"/>
        <v>399988.504748862</v>
      </c>
      <c r="BZ887" s="452">
        <f t="shared" ca="1" si="5851"/>
        <v>501895.1249282498</v>
      </c>
      <c r="CA887" s="452">
        <f t="shared" ca="1" si="5851"/>
        <v>287084.93358525418</v>
      </c>
      <c r="CB887" s="452">
        <f t="shared" ca="1" si="5851"/>
        <v>272340.68259858969</v>
      </c>
      <c r="CC887" s="452">
        <f t="shared" ca="1" si="5851"/>
        <v>415988.04493881651</v>
      </c>
      <c r="CD887" s="452">
        <f t="shared" ca="1" si="5851"/>
        <v>521970.92992537975</v>
      </c>
      <c r="CE887" s="452">
        <f t="shared" ca="1" si="5851"/>
        <v>298568.33092866436</v>
      </c>
      <c r="CF887" s="452">
        <f t="shared" ca="1" si="5851"/>
        <v>283234.30990253319</v>
      </c>
      <c r="CG887" s="452">
        <f t="shared" ca="1" si="5851"/>
        <v>432627.56673636916</v>
      </c>
      <c r="CH887" s="452">
        <f t="shared" ca="1" si="5851"/>
        <v>542849.76712239487</v>
      </c>
      <c r="CI887" s="452">
        <f t="shared" ca="1" si="5851"/>
        <v>310511.06416581094</v>
      </c>
      <c r="CJ887" s="452">
        <f t="shared" ca="1" si="5851"/>
        <v>297836.61210195266</v>
      </c>
      <c r="CK887" s="452">
        <f t="shared" ca="1" si="5851"/>
        <v>449932.66940582386</v>
      </c>
      <c r="CL887" s="452">
        <f t="shared" ca="1" si="5851"/>
        <v>564563.75780729065</v>
      </c>
      <c r="CM887" s="452">
        <f t="shared" ca="1" si="5851"/>
        <v>322931.50673244335</v>
      </c>
      <c r="CN887" s="452">
        <f t="shared" ca="1" si="5851"/>
        <v>306346.22959057987</v>
      </c>
      <c r="CO887" s="452">
        <f t="shared" ca="1" si="5851"/>
        <v>467929.97618205677</v>
      </c>
    </row>
    <row r="888" spans="1:93">
      <c r="C888" s="17" t="s">
        <v>1143</v>
      </c>
      <c r="G888" s="11" t="str">
        <f>Monetary_Unit</f>
        <v>тыс. руб.</v>
      </c>
      <c r="H888" s="10"/>
      <c r="I888" s="23">
        <f ca="1">SUM(L888:CO888)</f>
        <v>18948748.48660006</v>
      </c>
      <c r="L888" s="452">
        <f ca="1" xml:space="preserve"> L886 - L854 - L873</f>
        <v>0</v>
      </c>
      <c r="M888" s="452">
        <f t="shared" ref="M888:BX888" ca="1" si="5852" xml:space="preserve"> M886 - M854 - M873</f>
        <v>0</v>
      </c>
      <c r="N888" s="452">
        <f t="shared" ca="1" si="5852"/>
        <v>0</v>
      </c>
      <c r="O888" s="452">
        <f t="shared" ca="1" si="5852"/>
        <v>0</v>
      </c>
      <c r="P888" s="452">
        <f t="shared" ca="1" si="5852"/>
        <v>0</v>
      </c>
      <c r="Q888" s="452">
        <f t="shared" ca="1" si="5852"/>
        <v>0</v>
      </c>
      <c r="R888" s="452">
        <f t="shared" ca="1" si="5852"/>
        <v>0</v>
      </c>
      <c r="S888" s="452">
        <f t="shared" ca="1" si="5852"/>
        <v>0</v>
      </c>
      <c r="T888" s="452">
        <f t="shared" ca="1" si="5852"/>
        <v>0</v>
      </c>
      <c r="U888" s="452">
        <f t="shared" ca="1" si="5852"/>
        <v>0</v>
      </c>
      <c r="V888" s="452">
        <f t="shared" ca="1" si="5852"/>
        <v>0</v>
      </c>
      <c r="W888" s="452">
        <f t="shared" ca="1" si="5852"/>
        <v>0</v>
      </c>
      <c r="X888" s="452">
        <f t="shared" ca="1" si="5852"/>
        <v>0</v>
      </c>
      <c r="Y888" s="452">
        <f t="shared" ca="1" si="5852"/>
        <v>0</v>
      </c>
      <c r="Z888" s="452">
        <f t="shared" ca="1" si="5852"/>
        <v>0</v>
      </c>
      <c r="AA888" s="452">
        <f t="shared" ca="1" si="5852"/>
        <v>0</v>
      </c>
      <c r="AB888" s="452">
        <f t="shared" ca="1" si="5852"/>
        <v>0</v>
      </c>
      <c r="AC888" s="452">
        <f t="shared" ca="1" si="5852"/>
        <v>200106.87499720743</v>
      </c>
      <c r="AD888" s="452">
        <f t="shared" ca="1" si="5852"/>
        <v>260388.46647706709</v>
      </c>
      <c r="AE888" s="452">
        <f t="shared" ca="1" si="5852"/>
        <v>154262.06270632939</v>
      </c>
      <c r="AF888" s="452">
        <f t="shared" ca="1" si="5852"/>
        <v>151385.58089765039</v>
      </c>
      <c r="AG888" s="452">
        <f t="shared" ca="1" si="5852"/>
        <v>238942.43147814707</v>
      </c>
      <c r="AH888" s="452">
        <f t="shared" ca="1" si="5852"/>
        <v>309490.29158417147</v>
      </c>
      <c r="AI888" s="452">
        <f t="shared" ca="1" si="5852"/>
        <v>182561.172140732</v>
      </c>
      <c r="AJ888" s="452">
        <f t="shared" ca="1" si="5852"/>
        <v>178433.13801803062</v>
      </c>
      <c r="AK888" s="452">
        <f t="shared" ca="1" si="5852"/>
        <v>280564.66147756635</v>
      </c>
      <c r="AL888" s="452">
        <f t="shared" ca="1" si="5852"/>
        <v>362103.64115348057</v>
      </c>
      <c r="AM888" s="452">
        <f t="shared" ca="1" si="5852"/>
        <v>212877.39102955663</v>
      </c>
      <c r="AN888" s="452">
        <f t="shared" ca="1" si="5852"/>
        <v>209706.75258725608</v>
      </c>
      <c r="AO888" s="452">
        <f t="shared" ca="1" si="5852"/>
        <v>325134.3619865739</v>
      </c>
      <c r="AP888" s="452">
        <f t="shared" ca="1" si="5852"/>
        <v>407970.10236625443</v>
      </c>
      <c r="AQ888" s="452">
        <f t="shared" ca="1" si="5852"/>
        <v>233359.64811240006</v>
      </c>
      <c r="AR888" s="452">
        <f t="shared" ca="1" si="5852"/>
        <v>221374.64709211097</v>
      </c>
      <c r="AS888" s="452">
        <f t="shared" ca="1" si="5852"/>
        <v>338139.73646603676</v>
      </c>
      <c r="AT888" s="452">
        <f t="shared" ca="1" si="5852"/>
        <v>424288.90646090463</v>
      </c>
      <c r="AU888" s="452">
        <f t="shared" ca="1" si="5852"/>
        <v>242694.03403689622</v>
      </c>
      <c r="AV888" s="452">
        <f t="shared" ca="1" si="5852"/>
        <v>230229.63297579542</v>
      </c>
      <c r="AW888" s="452">
        <f t="shared" ca="1" si="5852"/>
        <v>271150.03561861347</v>
      </c>
      <c r="AX888" s="452">
        <f t="shared" ca="1" si="5852"/>
        <v>340231.98013290064</v>
      </c>
      <c r="AY888" s="452">
        <f t="shared" ca="1" si="5852"/>
        <v>194613.31774042797</v>
      </c>
      <c r="AZ888" s="452">
        <f t="shared" ca="1" si="5852"/>
        <v>184618.27005095989</v>
      </c>
      <c r="BA888" s="452">
        <f t="shared" ca="1" si="5852"/>
        <v>281996.03704335802</v>
      </c>
      <c r="BB888" s="452">
        <f t="shared" ca="1" si="5852"/>
        <v>353841.25933821627</v>
      </c>
      <c r="BC888" s="452">
        <f t="shared" ca="1" si="5852"/>
        <v>202397.85045004496</v>
      </c>
      <c r="BD888" s="452">
        <f t="shared" ca="1" si="5852"/>
        <v>194136.36752914271</v>
      </c>
      <c r="BE888" s="452">
        <f t="shared" ca="1" si="5852"/>
        <v>293275.87852509227</v>
      </c>
      <c r="BF888" s="452">
        <f t="shared" ca="1" si="5852"/>
        <v>367994.90971174487</v>
      </c>
      <c r="BG888" s="452">
        <f t="shared" ca="1" si="5852"/>
        <v>210493.76446804666</v>
      </c>
      <c r="BH888" s="452">
        <f t="shared" ca="1" si="5852"/>
        <v>199683.12088711813</v>
      </c>
      <c r="BI888" s="452">
        <f t="shared" ca="1" si="5852"/>
        <v>305006.91366609582</v>
      </c>
      <c r="BJ888" s="452">
        <f t="shared" ca="1" si="5852"/>
        <v>382714.70610021462</v>
      </c>
      <c r="BK888" s="452">
        <f t="shared" ca="1" si="5852"/>
        <v>218913.51504676859</v>
      </c>
      <c r="BL888" s="452">
        <f t="shared" ca="1" si="5852"/>
        <v>207670.44572260289</v>
      </c>
      <c r="BM888" s="452">
        <f t="shared" ca="1" si="5852"/>
        <v>317207.19021273975</v>
      </c>
      <c r="BN888" s="452">
        <f t="shared" ca="1" si="5852"/>
        <v>398023.29434422345</v>
      </c>
      <c r="BO888" s="452">
        <f t="shared" ca="1" si="5852"/>
        <v>227670.05564863945</v>
      </c>
      <c r="BP888" s="452">
        <f t="shared" ca="1" si="5852"/>
        <v>215977.26355150691</v>
      </c>
      <c r="BQ888" s="452">
        <f t="shared" ca="1" si="5852"/>
        <v>329895.47782124917</v>
      </c>
      <c r="BR888" s="452">
        <f t="shared" ca="1" si="5852"/>
        <v>413944.22611799219</v>
      </c>
      <c r="BS888" s="452">
        <f t="shared" ca="1" si="5852"/>
        <v>236776.85787458485</v>
      </c>
      <c r="BT888" s="452">
        <f t="shared" ca="1" si="5852"/>
        <v>227112.09136127343</v>
      </c>
      <c r="BU888" s="452">
        <f t="shared" ca="1" si="5852"/>
        <v>343091.29693409917</v>
      </c>
      <c r="BV888" s="452">
        <f t="shared" ca="1" si="5852"/>
        <v>430501.99516271189</v>
      </c>
      <c r="BW888" s="452">
        <f t="shared" ca="1" si="5852"/>
        <v>246247.93218956818</v>
      </c>
      <c r="BX888" s="452">
        <f t="shared" ca="1" si="5852"/>
        <v>233601.00825730985</v>
      </c>
      <c r="BY888" s="452">
        <f t="shared" ref="BY888:CO888" ca="1" si="5853" xml:space="preserve"> BY886 - BY854 - BY873</f>
        <v>356814.94881146279</v>
      </c>
      <c r="BZ888" s="452">
        <f t="shared" ca="1" si="5853"/>
        <v>447722.07496921992</v>
      </c>
      <c r="CA888" s="452">
        <f t="shared" ca="1" si="5853"/>
        <v>256097.84947715094</v>
      </c>
      <c r="CB888" s="452">
        <f t="shared" ca="1" si="5853"/>
        <v>242945.04858760242</v>
      </c>
      <c r="CC888" s="452">
        <f t="shared" ca="1" si="5853"/>
        <v>371087.54676392156</v>
      </c>
      <c r="CD888" s="452">
        <f t="shared" ca="1" si="5853"/>
        <v>465630.9579679888</v>
      </c>
      <c r="CE888" s="452">
        <f t="shared" ca="1" si="5853"/>
        <v>266341.76345623692</v>
      </c>
      <c r="CF888" s="452">
        <f t="shared" ca="1" si="5853"/>
        <v>252662.85053110649</v>
      </c>
      <c r="CG888" s="452">
        <f t="shared" ca="1" si="5853"/>
        <v>385931.04863447847</v>
      </c>
      <c r="CH888" s="452">
        <f t="shared" ca="1" si="5853"/>
        <v>484256.19628670835</v>
      </c>
      <c r="CI888" s="452">
        <f t="shared" ca="1" si="5853"/>
        <v>276995.43399448658</v>
      </c>
      <c r="CJ888" s="452">
        <f t="shared" ca="1" si="5853"/>
        <v>265689.02415848768</v>
      </c>
      <c r="CK888" s="452">
        <f t="shared" ca="1" si="5853"/>
        <v>401368.29057985719</v>
      </c>
      <c r="CL888" s="452">
        <f t="shared" ca="1" si="5853"/>
        <v>503626.4441381768</v>
      </c>
      <c r="CM888" s="452">
        <f t="shared" ca="1" si="5853"/>
        <v>288075.25135426573</v>
      </c>
      <c r="CN888" s="452">
        <f t="shared" ca="1" si="5853"/>
        <v>273280.13913444459</v>
      </c>
      <c r="CO888" s="452">
        <f t="shared" ca="1" si="5853"/>
        <v>417423.02220305172</v>
      </c>
    </row>
    <row r="889" spans="1:93"/>
    <row r="890" spans="1:93">
      <c r="C890" s="17" t="s">
        <v>731</v>
      </c>
      <c r="E890" s="241">
        <f t="shared" ref="E890:E894" si="5854" xml:space="preserve"> E877</f>
        <v>1.4999999999999999E-2</v>
      </c>
      <c r="G890" s="243" t="str">
        <f t="shared" ref="G890:G986" si="5855">Monetary_Unit</f>
        <v>тыс. руб.</v>
      </c>
      <c r="I890" s="23">
        <f t="shared" ref="I890:I896" ca="1" si="5856">SUM(L890:CO890)</f>
        <v>809360.90821537119</v>
      </c>
      <c r="L890" s="10">
        <f ca="1" xml:space="preserve"> L$886 * $E890 * $I$775</f>
        <v>0</v>
      </c>
      <c r="M890" s="10">
        <f t="shared" ref="M890:BX891" ca="1" si="5857" xml:space="preserve"> M$886 * $E890 * $I$775</f>
        <v>0</v>
      </c>
      <c r="N890" s="10">
        <f t="shared" ca="1" si="5857"/>
        <v>0</v>
      </c>
      <c r="O890" s="10">
        <f t="shared" ca="1" si="5857"/>
        <v>0</v>
      </c>
      <c r="P890" s="10">
        <f t="shared" ca="1" si="5857"/>
        <v>0</v>
      </c>
      <c r="Q890" s="10">
        <f t="shared" ca="1" si="5857"/>
        <v>0</v>
      </c>
      <c r="R890" s="10">
        <f t="shared" ca="1" si="5857"/>
        <v>0</v>
      </c>
      <c r="S890" s="10">
        <f t="shared" ca="1" si="5857"/>
        <v>0</v>
      </c>
      <c r="T890" s="10">
        <f t="shared" ca="1" si="5857"/>
        <v>0</v>
      </c>
      <c r="U890" s="10">
        <f t="shared" ca="1" si="5857"/>
        <v>0</v>
      </c>
      <c r="V890" s="10">
        <f t="shared" ca="1" si="5857"/>
        <v>0</v>
      </c>
      <c r="W890" s="10">
        <f t="shared" ca="1" si="5857"/>
        <v>0</v>
      </c>
      <c r="X890" s="10">
        <f t="shared" ca="1" si="5857"/>
        <v>0</v>
      </c>
      <c r="Y890" s="10">
        <f t="shared" ca="1" si="5857"/>
        <v>0</v>
      </c>
      <c r="Z890" s="10">
        <f t="shared" ca="1" si="5857"/>
        <v>0</v>
      </c>
      <c r="AA890" s="10">
        <f t="shared" ca="1" si="5857"/>
        <v>0</v>
      </c>
      <c r="AB890" s="10">
        <f t="shared" ca="1" si="5857"/>
        <v>0</v>
      </c>
      <c r="AC890" s="10">
        <f t="shared" ca="1" si="5857"/>
        <v>7562.0629756796434</v>
      </c>
      <c r="AD890" s="10">
        <f t="shared" ca="1" si="5857"/>
        <v>9840.1115987029789</v>
      </c>
      <c r="AE890" s="10">
        <f t="shared" ca="1" si="5857"/>
        <v>5829.5819819273274</v>
      </c>
      <c r="AF890" s="10">
        <f t="shared" ca="1" si="5857"/>
        <v>5720.8793869468636</v>
      </c>
      <c r="AG890" s="10">
        <f t="shared" ca="1" si="5857"/>
        <v>9029.6633457745083</v>
      </c>
      <c r="AH890" s="10">
        <f t="shared" ca="1" si="5857"/>
        <v>11695.675500172692</v>
      </c>
      <c r="AI890" s="10">
        <f t="shared" ca="1" si="5857"/>
        <v>6899.0087455084804</v>
      </c>
      <c r="AJ890" s="10">
        <f t="shared" ca="1" si="5857"/>
        <v>6743.0098374147065</v>
      </c>
      <c r="AK890" s="10">
        <f t="shared" ca="1" si="5857"/>
        <v>10602.572444715881</v>
      </c>
      <c r="AL890" s="10">
        <f t="shared" ca="1" si="5857"/>
        <v>13683.940335202049</v>
      </c>
      <c r="AM890" s="10">
        <f t="shared" ca="1" si="5857"/>
        <v>8044.6623190050423</v>
      </c>
      <c r="AN890" s="10">
        <f t="shared" ca="1" si="5857"/>
        <v>7924.8435093108674</v>
      </c>
      <c r="AO890" s="10">
        <f t="shared" ca="1" si="5857"/>
        <v>12286.866810219308</v>
      </c>
      <c r="AP890" s="10">
        <f t="shared" ca="1" si="5857"/>
        <v>15417.239444327633</v>
      </c>
      <c r="AQ890" s="10">
        <f t="shared" ca="1" si="5857"/>
        <v>8818.6892880768701</v>
      </c>
      <c r="AR890" s="10">
        <f t="shared" ca="1" si="5857"/>
        <v>8365.7746519341745</v>
      </c>
      <c r="AS890" s="10">
        <f t="shared" ca="1" si="5857"/>
        <v>12778.341482628079</v>
      </c>
      <c r="AT890" s="10">
        <f t="shared" ca="1" si="5857"/>
        <v>16033.92902210074</v>
      </c>
      <c r="AU890" s="10">
        <f t="shared" ca="1" si="5857"/>
        <v>9171.4368595999458</v>
      </c>
      <c r="AV890" s="10">
        <f t="shared" ca="1" si="5857"/>
        <v>8700.4056380115417</v>
      </c>
      <c r="AW890" s="10">
        <f t="shared" ca="1" si="5857"/>
        <v>12081.745787342232</v>
      </c>
      <c r="AX890" s="10">
        <f t="shared" ca="1" si="5857"/>
        <v>15159.85894418816</v>
      </c>
      <c r="AY890" s="10">
        <f t="shared" ca="1" si="5857"/>
        <v>8671.4671691147814</v>
      </c>
      <c r="AZ890" s="10">
        <f t="shared" ca="1" si="5857"/>
        <v>8226.1136398739927</v>
      </c>
      <c r="BA890" s="10">
        <f t="shared" ca="1" si="5857"/>
        <v>12565.015618835918</v>
      </c>
      <c r="BB890" s="10">
        <f t="shared" ca="1" si="5857"/>
        <v>15766.253301955681</v>
      </c>
      <c r="BC890" s="10">
        <f t="shared" ca="1" si="5857"/>
        <v>9018.3258558793714</v>
      </c>
      <c r="BD890" s="10">
        <f t="shared" ca="1" si="5857"/>
        <v>8650.2154986408277</v>
      </c>
      <c r="BE890" s="10">
        <f t="shared" ca="1" si="5857"/>
        <v>13067.616243589349</v>
      </c>
      <c r="BF890" s="10">
        <f t="shared" ca="1" si="5857"/>
        <v>16396.903434033906</v>
      </c>
      <c r="BG890" s="10">
        <f t="shared" ca="1" si="5857"/>
        <v>9379.0588901145438</v>
      </c>
      <c r="BH890" s="10">
        <f t="shared" ca="1" si="5857"/>
        <v>8897.3645128877088</v>
      </c>
      <c r="BI890" s="10">
        <f t="shared" ca="1" si="5857"/>
        <v>13590.320893332924</v>
      </c>
      <c r="BJ890" s="10">
        <f t="shared" ca="1" si="5857"/>
        <v>17052.779571395262</v>
      </c>
      <c r="BK890" s="10">
        <f t="shared" ca="1" si="5857"/>
        <v>9754.2212457191254</v>
      </c>
      <c r="BL890" s="10">
        <f t="shared" ca="1" si="5857"/>
        <v>9253.259093403216</v>
      </c>
      <c r="BM890" s="10">
        <f t="shared" ca="1" si="5857"/>
        <v>14133.933729066241</v>
      </c>
      <c r="BN890" s="10">
        <f t="shared" ca="1" si="5857"/>
        <v>17734.890754251071</v>
      </c>
      <c r="BO890" s="10">
        <f t="shared" ca="1" si="5857"/>
        <v>10144.390095547889</v>
      </c>
      <c r="BP890" s="10">
        <f t="shared" ca="1" si="5857"/>
        <v>9623.389457139343</v>
      </c>
      <c r="BQ890" s="10">
        <f t="shared" ca="1" si="5857"/>
        <v>14699.291078228885</v>
      </c>
      <c r="BR890" s="10">
        <f t="shared" ca="1" si="5857"/>
        <v>18444.28638442111</v>
      </c>
      <c r="BS890" s="10">
        <f t="shared" ca="1" si="5857"/>
        <v>10550.1656993698</v>
      </c>
      <c r="BT890" s="10">
        <f t="shared" ca="1" si="5857"/>
        <v>10119.528646929637</v>
      </c>
      <c r="BU890" s="10">
        <f t="shared" ca="1" si="5857"/>
        <v>15287.262721358038</v>
      </c>
      <c r="BV890" s="10">
        <f t="shared" ca="1" si="5857"/>
        <v>19182.057839797948</v>
      </c>
      <c r="BW890" s="10">
        <f t="shared" ca="1" si="5857"/>
        <v>10972.17232734459</v>
      </c>
      <c r="BX890" s="10">
        <f t="shared" ca="1" si="5857"/>
        <v>10408.658036841909</v>
      </c>
      <c r="BY890" s="10">
        <f t="shared" ref="BY890:CO891" ca="1" si="5858" xml:space="preserve"> BY$886 * $E890 * $I$775</f>
        <v>15898.753230212355</v>
      </c>
      <c r="BZ890" s="10">
        <f t="shared" ca="1" si="5858"/>
        <v>19949.340153389865</v>
      </c>
      <c r="CA890" s="10">
        <f t="shared" ca="1" si="5858"/>
        <v>11411.059220438374</v>
      </c>
      <c r="CB890" s="10">
        <f t="shared" ca="1" si="5858"/>
        <v>10825.004358315586</v>
      </c>
      <c r="CC890" s="10">
        <f t="shared" ca="1" si="5858"/>
        <v>16534.703359420851</v>
      </c>
      <c r="CD890" s="10">
        <f t="shared" ca="1" si="5858"/>
        <v>20747.313759525459</v>
      </c>
      <c r="CE890" s="10">
        <f t="shared" ca="1" si="5858"/>
        <v>11867.501589255908</v>
      </c>
      <c r="CF890" s="10">
        <f t="shared" ca="1" si="5858"/>
        <v>11258.004532648209</v>
      </c>
      <c r="CG890" s="10">
        <f t="shared" ca="1" si="5858"/>
        <v>17196.091493797685</v>
      </c>
      <c r="CH890" s="10">
        <f t="shared" ca="1" si="5858"/>
        <v>21577.206309906473</v>
      </c>
      <c r="CI890" s="10">
        <f t="shared" ca="1" si="5858"/>
        <v>12342.201652826147</v>
      </c>
      <c r="CJ890" s="10">
        <f t="shared" ca="1" si="5858"/>
        <v>11838.417210775846</v>
      </c>
      <c r="CK890" s="10">
        <f t="shared" ca="1" si="5858"/>
        <v>17883.935153549588</v>
      </c>
      <c r="CL890" s="10">
        <f t="shared" ca="1" si="5858"/>
        <v>22440.29456230273</v>
      </c>
      <c r="CM890" s="10">
        <f t="shared" ca="1" si="5858"/>
        <v>12835.889718939188</v>
      </c>
      <c r="CN890" s="10">
        <f t="shared" ca="1" si="5858"/>
        <v>12176.657702512299</v>
      </c>
      <c r="CO890" s="10">
        <f t="shared" ca="1" si="5858"/>
        <v>18599.29255969157</v>
      </c>
    </row>
    <row r="891" spans="1:93">
      <c r="C891" s="17" t="s">
        <v>733</v>
      </c>
      <c r="E891" s="241">
        <f t="shared" si="5854"/>
        <v>0.02</v>
      </c>
      <c r="G891" s="243" t="str">
        <f t="shared" si="5855"/>
        <v>тыс. руб.</v>
      </c>
      <c r="I891" s="23">
        <f t="shared" ca="1" si="5856"/>
        <v>1079147.8776204949</v>
      </c>
      <c r="L891" s="10">
        <f ca="1" xml:space="preserve"> L$886 * $E891 * $I$775</f>
        <v>0</v>
      </c>
      <c r="M891" s="10">
        <f t="shared" ca="1" si="5857"/>
        <v>0</v>
      </c>
      <c r="N891" s="10">
        <f t="shared" ca="1" si="5857"/>
        <v>0</v>
      </c>
      <c r="O891" s="10">
        <f t="shared" ca="1" si="5857"/>
        <v>0</v>
      </c>
      <c r="P891" s="10">
        <f t="shared" ca="1" si="5857"/>
        <v>0</v>
      </c>
      <c r="Q891" s="10">
        <f t="shared" ca="1" si="5857"/>
        <v>0</v>
      </c>
      <c r="R891" s="10">
        <f t="shared" ca="1" si="5857"/>
        <v>0</v>
      </c>
      <c r="S891" s="10">
        <f t="shared" ca="1" si="5857"/>
        <v>0</v>
      </c>
      <c r="T891" s="10">
        <f t="shared" ca="1" si="5857"/>
        <v>0</v>
      </c>
      <c r="U891" s="10">
        <f t="shared" ca="1" si="5857"/>
        <v>0</v>
      </c>
      <c r="V891" s="10">
        <f t="shared" ca="1" si="5857"/>
        <v>0</v>
      </c>
      <c r="W891" s="10">
        <f t="shared" ca="1" si="5857"/>
        <v>0</v>
      </c>
      <c r="X891" s="10">
        <f t="shared" ca="1" si="5857"/>
        <v>0</v>
      </c>
      <c r="Y891" s="10">
        <f t="shared" ca="1" si="5857"/>
        <v>0</v>
      </c>
      <c r="Z891" s="10">
        <f t="shared" ca="1" si="5857"/>
        <v>0</v>
      </c>
      <c r="AA891" s="10">
        <f t="shared" ca="1" si="5857"/>
        <v>0</v>
      </c>
      <c r="AB891" s="10">
        <f t="shared" ca="1" si="5857"/>
        <v>0</v>
      </c>
      <c r="AC891" s="10">
        <f t="shared" ca="1" si="5857"/>
        <v>10082.750634239525</v>
      </c>
      <c r="AD891" s="10">
        <f t="shared" ca="1" si="5857"/>
        <v>13120.14879827064</v>
      </c>
      <c r="AE891" s="10">
        <f t="shared" ca="1" si="5857"/>
        <v>7772.7759759031042</v>
      </c>
      <c r="AF891" s="10">
        <f t="shared" ca="1" si="5857"/>
        <v>7627.8391825958188</v>
      </c>
      <c r="AG891" s="10">
        <f t="shared" ca="1" si="5857"/>
        <v>12039.551127699346</v>
      </c>
      <c r="AH891" s="10">
        <f t="shared" ca="1" si="5857"/>
        <v>15594.234000230257</v>
      </c>
      <c r="AI891" s="10">
        <f t="shared" ca="1" si="5857"/>
        <v>9198.6783273446417</v>
      </c>
      <c r="AJ891" s="10">
        <f t="shared" ca="1" si="5857"/>
        <v>8990.6797832196098</v>
      </c>
      <c r="AK891" s="10">
        <f t="shared" ca="1" si="5857"/>
        <v>14136.763259621175</v>
      </c>
      <c r="AL891" s="10">
        <f t="shared" ca="1" si="5857"/>
        <v>18245.253780269399</v>
      </c>
      <c r="AM891" s="10">
        <f t="shared" ca="1" si="5857"/>
        <v>10726.216425340057</v>
      </c>
      <c r="AN891" s="10">
        <f t="shared" ca="1" si="5857"/>
        <v>10566.45801241449</v>
      </c>
      <c r="AO891" s="10">
        <f t="shared" ca="1" si="5857"/>
        <v>16382.489080292411</v>
      </c>
      <c r="AP891" s="10">
        <f t="shared" ca="1" si="5857"/>
        <v>20556.319259103511</v>
      </c>
      <c r="AQ891" s="10">
        <f t="shared" ca="1" si="5857"/>
        <v>11758.252384102494</v>
      </c>
      <c r="AR891" s="10">
        <f t="shared" ca="1" si="5857"/>
        <v>11154.366202578902</v>
      </c>
      <c r="AS891" s="10">
        <f t="shared" ca="1" si="5857"/>
        <v>17037.788643504107</v>
      </c>
      <c r="AT891" s="10">
        <f t="shared" ca="1" si="5857"/>
        <v>21378.572029467654</v>
      </c>
      <c r="AU891" s="10">
        <f t="shared" ca="1" si="5857"/>
        <v>12228.582479466597</v>
      </c>
      <c r="AV891" s="10">
        <f t="shared" ca="1" si="5857"/>
        <v>11600.540850682057</v>
      </c>
      <c r="AW891" s="10">
        <f t="shared" ca="1" si="5857"/>
        <v>16108.994383122978</v>
      </c>
      <c r="AX891" s="10">
        <f t="shared" ca="1" si="5857"/>
        <v>20213.14525891755</v>
      </c>
      <c r="AY891" s="10">
        <f t="shared" ca="1" si="5857"/>
        <v>11561.956225486378</v>
      </c>
      <c r="AZ891" s="10">
        <f t="shared" ca="1" si="5857"/>
        <v>10968.151519831992</v>
      </c>
      <c r="BA891" s="10">
        <f t="shared" ca="1" si="5857"/>
        <v>16753.354158447892</v>
      </c>
      <c r="BB891" s="10">
        <f t="shared" ca="1" si="5857"/>
        <v>21021.671069274242</v>
      </c>
      <c r="BC891" s="10">
        <f t="shared" ca="1" si="5857"/>
        <v>12024.43447450583</v>
      </c>
      <c r="BD891" s="10">
        <f t="shared" ca="1" si="5857"/>
        <v>11533.620664854439</v>
      </c>
      <c r="BE891" s="10">
        <f t="shared" ca="1" si="5857"/>
        <v>17423.488324785802</v>
      </c>
      <c r="BF891" s="10">
        <f t="shared" ca="1" si="5857"/>
        <v>21862.537912045209</v>
      </c>
      <c r="BG891" s="10">
        <f t="shared" ca="1" si="5857"/>
        <v>12505.411853486061</v>
      </c>
      <c r="BH891" s="10">
        <f t="shared" ca="1" si="5857"/>
        <v>11863.152683850278</v>
      </c>
      <c r="BI891" s="10">
        <f t="shared" ca="1" si="5857"/>
        <v>18120.427857777235</v>
      </c>
      <c r="BJ891" s="10">
        <f t="shared" ca="1" si="5857"/>
        <v>22737.039428527016</v>
      </c>
      <c r="BK891" s="10">
        <f t="shared" ca="1" si="5857"/>
        <v>13005.628327625502</v>
      </c>
      <c r="BL891" s="10">
        <f t="shared" ca="1" si="5857"/>
        <v>12337.678791204289</v>
      </c>
      <c r="BM891" s="10">
        <f t="shared" ca="1" si="5857"/>
        <v>18845.24497208832</v>
      </c>
      <c r="BN891" s="10">
        <f t="shared" ca="1" si="5857"/>
        <v>23646.521005668095</v>
      </c>
      <c r="BO891" s="10">
        <f t="shared" ca="1" si="5857"/>
        <v>13525.853460730519</v>
      </c>
      <c r="BP891" s="10">
        <f t="shared" ca="1" si="5857"/>
        <v>12831.185942852459</v>
      </c>
      <c r="BQ891" s="10">
        <f t="shared" ca="1" si="5857"/>
        <v>19599.054770971848</v>
      </c>
      <c r="BR891" s="10">
        <f t="shared" ca="1" si="5857"/>
        <v>24592.381845894815</v>
      </c>
      <c r="BS891" s="10">
        <f t="shared" ca="1" si="5857"/>
        <v>14066.887599159732</v>
      </c>
      <c r="BT891" s="10">
        <f t="shared" ca="1" si="5857"/>
        <v>13492.704862572849</v>
      </c>
      <c r="BU891" s="10">
        <f t="shared" ca="1" si="5857"/>
        <v>20383.016961810721</v>
      </c>
      <c r="BV891" s="10">
        <f t="shared" ca="1" si="5857"/>
        <v>25576.077119730598</v>
      </c>
      <c r="BW891" s="10">
        <f t="shared" ca="1" si="5857"/>
        <v>14629.56310312612</v>
      </c>
      <c r="BX891" s="10">
        <f t="shared" ca="1" si="5857"/>
        <v>13878.210715789213</v>
      </c>
      <c r="BY891" s="10">
        <f t="shared" ca="1" si="5858"/>
        <v>21198.337640283142</v>
      </c>
      <c r="BZ891" s="10">
        <f t="shared" ca="1" si="5858"/>
        <v>26599.120204519822</v>
      </c>
      <c r="CA891" s="10">
        <f t="shared" ca="1" si="5858"/>
        <v>15214.745627251164</v>
      </c>
      <c r="CB891" s="10">
        <f t="shared" ca="1" si="5858"/>
        <v>14433.339144420783</v>
      </c>
      <c r="CC891" s="10">
        <f t="shared" ca="1" si="5858"/>
        <v>22046.271145894472</v>
      </c>
      <c r="CD891" s="10">
        <f t="shared" ca="1" si="5858"/>
        <v>27663.085012700612</v>
      </c>
      <c r="CE891" s="10">
        <f t="shared" ca="1" si="5858"/>
        <v>15823.335452341213</v>
      </c>
      <c r="CF891" s="10">
        <f t="shared" ca="1" si="5858"/>
        <v>15010.672710197612</v>
      </c>
      <c r="CG891" s="10">
        <f t="shared" ca="1" si="5858"/>
        <v>22928.121991730248</v>
      </c>
      <c r="CH891" s="10">
        <f t="shared" ca="1" si="5858"/>
        <v>28769.608413208629</v>
      </c>
      <c r="CI891" s="10">
        <f t="shared" ca="1" si="5858"/>
        <v>16456.268870434862</v>
      </c>
      <c r="CJ891" s="10">
        <f t="shared" ca="1" si="5858"/>
        <v>15784.556281034462</v>
      </c>
      <c r="CK891" s="10">
        <f t="shared" ca="1" si="5858"/>
        <v>23845.246871399453</v>
      </c>
      <c r="CL891" s="10">
        <f t="shared" ca="1" si="5858"/>
        <v>29920.392749736977</v>
      </c>
      <c r="CM891" s="10">
        <f t="shared" ca="1" si="5858"/>
        <v>17114.519625252251</v>
      </c>
      <c r="CN891" s="10">
        <f t="shared" ca="1" si="5858"/>
        <v>16235.543603349734</v>
      </c>
      <c r="CO891" s="10">
        <f t="shared" ca="1" si="5858"/>
        <v>24799.056746255432</v>
      </c>
    </row>
    <row r="892" spans="1:93">
      <c r="C892" s="17" t="s">
        <v>732</v>
      </c>
      <c r="E892" s="241">
        <f t="shared" si="5854"/>
        <v>0</v>
      </c>
      <c r="G892" s="243" t="str">
        <f t="shared" si="5855"/>
        <v>тыс. руб.</v>
      </c>
      <c r="I892" s="23">
        <f t="shared" ca="1" si="5856"/>
        <v>0</v>
      </c>
      <c r="L892" s="10">
        <f ca="1" xml:space="preserve"> L$887 * $E892 * $I$775</f>
        <v>0</v>
      </c>
      <c r="M892" s="10">
        <f t="shared" ref="M892:BX893" ca="1" si="5859" xml:space="preserve"> M$887 * $E892 * $I$775</f>
        <v>0</v>
      </c>
      <c r="N892" s="10">
        <f t="shared" ca="1" si="5859"/>
        <v>0</v>
      </c>
      <c r="O892" s="10">
        <f t="shared" ca="1" si="5859"/>
        <v>0</v>
      </c>
      <c r="P892" s="10">
        <f t="shared" ca="1" si="5859"/>
        <v>0</v>
      </c>
      <c r="Q892" s="10">
        <f t="shared" ca="1" si="5859"/>
        <v>0</v>
      </c>
      <c r="R892" s="10">
        <f t="shared" ca="1" si="5859"/>
        <v>0</v>
      </c>
      <c r="S892" s="10">
        <f t="shared" ca="1" si="5859"/>
        <v>0</v>
      </c>
      <c r="T892" s="10">
        <f t="shared" ca="1" si="5859"/>
        <v>0</v>
      </c>
      <c r="U892" s="10">
        <f t="shared" ca="1" si="5859"/>
        <v>0</v>
      </c>
      <c r="V892" s="10">
        <f t="shared" ca="1" si="5859"/>
        <v>0</v>
      </c>
      <c r="W892" s="10">
        <f t="shared" ca="1" si="5859"/>
        <v>0</v>
      </c>
      <c r="X892" s="10">
        <f t="shared" ca="1" si="5859"/>
        <v>0</v>
      </c>
      <c r="Y892" s="10">
        <f t="shared" ca="1" si="5859"/>
        <v>0</v>
      </c>
      <c r="Z892" s="10">
        <f t="shared" ca="1" si="5859"/>
        <v>0</v>
      </c>
      <c r="AA892" s="10">
        <f t="shared" ca="1" si="5859"/>
        <v>0</v>
      </c>
      <c r="AB892" s="10">
        <f t="shared" ca="1" si="5859"/>
        <v>0</v>
      </c>
      <c r="AC892" s="10">
        <f t="shared" ca="1" si="5859"/>
        <v>0</v>
      </c>
      <c r="AD892" s="10">
        <f t="shared" ca="1" si="5859"/>
        <v>0</v>
      </c>
      <c r="AE892" s="10">
        <f t="shared" ca="1" si="5859"/>
        <v>0</v>
      </c>
      <c r="AF892" s="10">
        <f t="shared" ca="1" si="5859"/>
        <v>0</v>
      </c>
      <c r="AG892" s="10">
        <f t="shared" ca="1" si="5859"/>
        <v>0</v>
      </c>
      <c r="AH892" s="10">
        <f t="shared" ca="1" si="5859"/>
        <v>0</v>
      </c>
      <c r="AI892" s="10">
        <f t="shared" ca="1" si="5859"/>
        <v>0</v>
      </c>
      <c r="AJ892" s="10">
        <f t="shared" ca="1" si="5859"/>
        <v>0</v>
      </c>
      <c r="AK892" s="10">
        <f t="shared" ca="1" si="5859"/>
        <v>0</v>
      </c>
      <c r="AL892" s="10">
        <f t="shared" ca="1" si="5859"/>
        <v>0</v>
      </c>
      <c r="AM892" s="10">
        <f t="shared" ca="1" si="5859"/>
        <v>0</v>
      </c>
      <c r="AN892" s="10">
        <f t="shared" ca="1" si="5859"/>
        <v>0</v>
      </c>
      <c r="AO892" s="10">
        <f t="shared" ca="1" si="5859"/>
        <v>0</v>
      </c>
      <c r="AP892" s="10">
        <f t="shared" ca="1" si="5859"/>
        <v>0</v>
      </c>
      <c r="AQ892" s="10">
        <f t="shared" ca="1" si="5859"/>
        <v>0</v>
      </c>
      <c r="AR892" s="10">
        <f t="shared" ca="1" si="5859"/>
        <v>0</v>
      </c>
      <c r="AS892" s="10">
        <f t="shared" ca="1" si="5859"/>
        <v>0</v>
      </c>
      <c r="AT892" s="10">
        <f t="shared" ca="1" si="5859"/>
        <v>0</v>
      </c>
      <c r="AU892" s="10">
        <f t="shared" ca="1" si="5859"/>
        <v>0</v>
      </c>
      <c r="AV892" s="10">
        <f t="shared" ca="1" si="5859"/>
        <v>0</v>
      </c>
      <c r="AW892" s="10">
        <f t="shared" ca="1" si="5859"/>
        <v>0</v>
      </c>
      <c r="AX892" s="10">
        <f t="shared" ca="1" si="5859"/>
        <v>0</v>
      </c>
      <c r="AY892" s="10">
        <f t="shared" ca="1" si="5859"/>
        <v>0</v>
      </c>
      <c r="AZ892" s="10">
        <f t="shared" ca="1" si="5859"/>
        <v>0</v>
      </c>
      <c r="BA892" s="10">
        <f t="shared" ca="1" si="5859"/>
        <v>0</v>
      </c>
      <c r="BB892" s="10">
        <f t="shared" ca="1" si="5859"/>
        <v>0</v>
      </c>
      <c r="BC892" s="10">
        <f t="shared" ca="1" si="5859"/>
        <v>0</v>
      </c>
      <c r="BD892" s="10">
        <f t="shared" ca="1" si="5859"/>
        <v>0</v>
      </c>
      <c r="BE892" s="10">
        <f t="shared" ca="1" si="5859"/>
        <v>0</v>
      </c>
      <c r="BF892" s="10">
        <f t="shared" ca="1" si="5859"/>
        <v>0</v>
      </c>
      <c r="BG892" s="10">
        <f t="shared" ca="1" si="5859"/>
        <v>0</v>
      </c>
      <c r="BH892" s="10">
        <f t="shared" ca="1" si="5859"/>
        <v>0</v>
      </c>
      <c r="BI892" s="10">
        <f t="shared" ca="1" si="5859"/>
        <v>0</v>
      </c>
      <c r="BJ892" s="10">
        <f t="shared" ca="1" si="5859"/>
        <v>0</v>
      </c>
      <c r="BK892" s="10">
        <f t="shared" ca="1" si="5859"/>
        <v>0</v>
      </c>
      <c r="BL892" s="10">
        <f t="shared" ca="1" si="5859"/>
        <v>0</v>
      </c>
      <c r="BM892" s="10">
        <f t="shared" ca="1" si="5859"/>
        <v>0</v>
      </c>
      <c r="BN892" s="10">
        <f t="shared" ca="1" si="5859"/>
        <v>0</v>
      </c>
      <c r="BO892" s="10">
        <f t="shared" ca="1" si="5859"/>
        <v>0</v>
      </c>
      <c r="BP892" s="10">
        <f t="shared" ca="1" si="5859"/>
        <v>0</v>
      </c>
      <c r="BQ892" s="10">
        <f t="shared" ca="1" si="5859"/>
        <v>0</v>
      </c>
      <c r="BR892" s="10">
        <f t="shared" ca="1" si="5859"/>
        <v>0</v>
      </c>
      <c r="BS892" s="10">
        <f t="shared" ca="1" si="5859"/>
        <v>0</v>
      </c>
      <c r="BT892" s="10">
        <f t="shared" ca="1" si="5859"/>
        <v>0</v>
      </c>
      <c r="BU892" s="10">
        <f t="shared" ca="1" si="5859"/>
        <v>0</v>
      </c>
      <c r="BV892" s="10">
        <f t="shared" ca="1" si="5859"/>
        <v>0</v>
      </c>
      <c r="BW892" s="10">
        <f t="shared" ca="1" si="5859"/>
        <v>0</v>
      </c>
      <c r="BX892" s="10">
        <f t="shared" ca="1" si="5859"/>
        <v>0</v>
      </c>
      <c r="BY892" s="10">
        <f t="shared" ref="BY892:CO893" ca="1" si="5860" xml:space="preserve"> BY$887 * $E892 * $I$775</f>
        <v>0</v>
      </c>
      <c r="BZ892" s="10">
        <f t="shared" ca="1" si="5860"/>
        <v>0</v>
      </c>
      <c r="CA892" s="10">
        <f t="shared" ca="1" si="5860"/>
        <v>0</v>
      </c>
      <c r="CB892" s="10">
        <f t="shared" ca="1" si="5860"/>
        <v>0</v>
      </c>
      <c r="CC892" s="10">
        <f t="shared" ca="1" si="5860"/>
        <v>0</v>
      </c>
      <c r="CD892" s="10">
        <f t="shared" ca="1" si="5860"/>
        <v>0</v>
      </c>
      <c r="CE892" s="10">
        <f t="shared" ca="1" si="5860"/>
        <v>0</v>
      </c>
      <c r="CF892" s="10">
        <f t="shared" ca="1" si="5860"/>
        <v>0</v>
      </c>
      <c r="CG892" s="10">
        <f t="shared" ca="1" si="5860"/>
        <v>0</v>
      </c>
      <c r="CH892" s="10">
        <f t="shared" ca="1" si="5860"/>
        <v>0</v>
      </c>
      <c r="CI892" s="10">
        <f t="shared" ca="1" si="5860"/>
        <v>0</v>
      </c>
      <c r="CJ892" s="10">
        <f t="shared" ca="1" si="5860"/>
        <v>0</v>
      </c>
      <c r="CK892" s="10">
        <f t="shared" ca="1" si="5860"/>
        <v>0</v>
      </c>
      <c r="CL892" s="10">
        <f t="shared" ca="1" si="5860"/>
        <v>0</v>
      </c>
      <c r="CM892" s="10">
        <f t="shared" ca="1" si="5860"/>
        <v>0</v>
      </c>
      <c r="CN892" s="10">
        <f t="shared" ca="1" si="5860"/>
        <v>0</v>
      </c>
      <c r="CO892" s="10">
        <f t="shared" ca="1" si="5860"/>
        <v>0</v>
      </c>
    </row>
    <row r="893" spans="1:93">
      <c r="C893" s="17" t="s">
        <v>735</v>
      </c>
      <c r="E893" s="241">
        <f t="shared" si="5854"/>
        <v>0.02</v>
      </c>
      <c r="G893" s="243" t="str">
        <f t="shared" si="5855"/>
        <v>тыс. руб.</v>
      </c>
      <c r="I893" s="23">
        <f t="shared" ca="1" si="5856"/>
        <v>398322.20801367582</v>
      </c>
      <c r="L893" s="10">
        <f ca="1" xml:space="preserve"> L$887 * $E893 * $I$775</f>
        <v>0</v>
      </c>
      <c r="M893" s="10">
        <f t="shared" ca="1" si="5859"/>
        <v>0</v>
      </c>
      <c r="N893" s="10">
        <f t="shared" ca="1" si="5859"/>
        <v>0</v>
      </c>
      <c r="O893" s="10">
        <f t="shared" ca="1" si="5859"/>
        <v>0</v>
      </c>
      <c r="P893" s="10">
        <f t="shared" ca="1" si="5859"/>
        <v>0</v>
      </c>
      <c r="Q893" s="10">
        <f t="shared" ca="1" si="5859"/>
        <v>0</v>
      </c>
      <c r="R893" s="10">
        <f t="shared" ca="1" si="5859"/>
        <v>0</v>
      </c>
      <c r="S893" s="10">
        <f t="shared" ca="1" si="5859"/>
        <v>0</v>
      </c>
      <c r="T893" s="10">
        <f t="shared" ca="1" si="5859"/>
        <v>0</v>
      </c>
      <c r="U893" s="10">
        <f t="shared" ca="1" si="5859"/>
        <v>0</v>
      </c>
      <c r="V893" s="10">
        <f t="shared" ca="1" si="5859"/>
        <v>0</v>
      </c>
      <c r="W893" s="10">
        <f t="shared" ca="1" si="5859"/>
        <v>0</v>
      </c>
      <c r="X893" s="10">
        <f t="shared" ca="1" si="5859"/>
        <v>0</v>
      </c>
      <c r="Y893" s="10">
        <f t="shared" ca="1" si="5859"/>
        <v>0</v>
      </c>
      <c r="Z893" s="10">
        <f t="shared" ca="1" si="5859"/>
        <v>0</v>
      </c>
      <c r="AA893" s="10">
        <f t="shared" ca="1" si="5859"/>
        <v>0</v>
      </c>
      <c r="AB893" s="10">
        <f t="shared" ca="1" si="5859"/>
        <v>0</v>
      </c>
      <c r="AC893" s="10">
        <f t="shared" ca="1" si="5859"/>
        <v>3459.207322136514</v>
      </c>
      <c r="AD893" s="10">
        <f t="shared" ca="1" si="5859"/>
        <v>4501.2830761058985</v>
      </c>
      <c r="AE893" s="10">
        <f t="shared" ca="1" si="5859"/>
        <v>2666.6972678927873</v>
      </c>
      <c r="AF893" s="10">
        <f t="shared" ca="1" si="5859"/>
        <v>2616.9721051030838</v>
      </c>
      <c r="AG893" s="10">
        <f t="shared" ca="1" si="5859"/>
        <v>4130.5497802104164</v>
      </c>
      <c r="AH893" s="10">
        <f t="shared" ca="1" si="5859"/>
        <v>5350.0964561715855</v>
      </c>
      <c r="AI893" s="10">
        <f t="shared" ca="1" si="5859"/>
        <v>3155.8982839338091</v>
      </c>
      <c r="AJ893" s="10">
        <f t="shared" ca="1" si="5859"/>
        <v>3084.5377878815025</v>
      </c>
      <c r="AK893" s="10">
        <f t="shared" ca="1" si="5859"/>
        <v>4850.064903214814</v>
      </c>
      <c r="AL893" s="10">
        <f t="shared" ca="1" si="5859"/>
        <v>6259.6128537207542</v>
      </c>
      <c r="AM893" s="10">
        <f t="shared" ca="1" si="5859"/>
        <v>3679.9686656294853</v>
      </c>
      <c r="AN893" s="10">
        <f t="shared" ca="1" si="5859"/>
        <v>3625.1584762464067</v>
      </c>
      <c r="AO893" s="10">
        <f t="shared" ca="1" si="5859"/>
        <v>5620.5323564112196</v>
      </c>
      <c r="AP893" s="10">
        <f t="shared" ca="1" si="5859"/>
        <v>7052.49714852538</v>
      </c>
      <c r="AQ893" s="10">
        <f t="shared" ca="1" si="5859"/>
        <v>4034.0413264305889</v>
      </c>
      <c r="AR893" s="10">
        <f t="shared" ca="1" si="5859"/>
        <v>3826.8590230450768</v>
      </c>
      <c r="AS893" s="10">
        <f t="shared" ca="1" si="5859"/>
        <v>5845.3536506676683</v>
      </c>
      <c r="AT893" s="10">
        <f t="shared" ca="1" si="5859"/>
        <v>7334.5970344663947</v>
      </c>
      <c r="AU893" s="10">
        <f t="shared" ca="1" si="5859"/>
        <v>4195.4029794878134</v>
      </c>
      <c r="AV893" s="10">
        <f t="shared" ca="1" si="5859"/>
        <v>3979.9333839668793</v>
      </c>
      <c r="AW893" s="10">
        <f t="shared" ca="1" si="5859"/>
        <v>6079.1677966943753</v>
      </c>
      <c r="AX893" s="10">
        <f t="shared" ca="1" si="5859"/>
        <v>7627.980915845048</v>
      </c>
      <c r="AY893" s="10">
        <f t="shared" ca="1" si="5859"/>
        <v>4363.2190986673249</v>
      </c>
      <c r="AZ893" s="10">
        <f t="shared" ca="1" si="5859"/>
        <v>4139.1307193255534</v>
      </c>
      <c r="BA893" s="10">
        <f t="shared" ca="1" si="5859"/>
        <v>6322.3345085621477</v>
      </c>
      <c r="BB893" s="10">
        <f t="shared" ca="1" si="5859"/>
        <v>7933.1001524788489</v>
      </c>
      <c r="BC893" s="10">
        <f t="shared" ca="1" si="5859"/>
        <v>4537.7478626140164</v>
      </c>
      <c r="BD893" s="10">
        <f t="shared" ca="1" si="5859"/>
        <v>4352.5259030774487</v>
      </c>
      <c r="BE893" s="10">
        <f t="shared" ca="1" si="5859"/>
        <v>6575.2278889046329</v>
      </c>
      <c r="BF893" s="10">
        <f t="shared" ca="1" si="5859"/>
        <v>8250.4241585780019</v>
      </c>
      <c r="BG893" s="10">
        <f t="shared" ca="1" si="5859"/>
        <v>4719.257777118577</v>
      </c>
      <c r="BH893" s="10">
        <f t="shared" ca="1" si="5859"/>
        <v>4476.8837860225176</v>
      </c>
      <c r="BI893" s="10">
        <f t="shared" ca="1" si="5859"/>
        <v>6838.2370044608178</v>
      </c>
      <c r="BJ893" s="10">
        <f t="shared" ca="1" si="5859"/>
        <v>8580.4411249211207</v>
      </c>
      <c r="BK893" s="10">
        <f t="shared" ca="1" si="5859"/>
        <v>4908.0280882033194</v>
      </c>
      <c r="BL893" s="10">
        <f t="shared" ca="1" si="5859"/>
        <v>4655.9591374634174</v>
      </c>
      <c r="BM893" s="10">
        <f t="shared" ca="1" si="5859"/>
        <v>7111.7664846392499</v>
      </c>
      <c r="BN893" s="10">
        <f t="shared" ca="1" si="5859"/>
        <v>8923.6587699179636</v>
      </c>
      <c r="BO893" s="10">
        <f t="shared" ca="1" si="5859"/>
        <v>5104.3492117314518</v>
      </c>
      <c r="BP893" s="10">
        <f t="shared" ca="1" si="5859"/>
        <v>4842.1975029619543</v>
      </c>
      <c r="BQ893" s="10">
        <f t="shared" ca="1" si="5859"/>
        <v>7396.237144024818</v>
      </c>
      <c r="BR893" s="10">
        <f t="shared" ca="1" si="5859"/>
        <v>9280.6051207146811</v>
      </c>
      <c r="BS893" s="10">
        <f t="shared" ca="1" si="5859"/>
        <v>5308.5231802007083</v>
      </c>
      <c r="BT893" s="10">
        <f t="shared" ca="1" si="5859"/>
        <v>5091.8396853368804</v>
      </c>
      <c r="BU893" s="10">
        <f t="shared" ca="1" si="5859"/>
        <v>7692.0866297858092</v>
      </c>
      <c r="BV893" s="10">
        <f t="shared" ca="1" si="5859"/>
        <v>9651.8293255432654</v>
      </c>
      <c r="BW893" s="10">
        <f t="shared" ca="1" si="5859"/>
        <v>5520.8641074087345</v>
      </c>
      <c r="BX893" s="10">
        <f t="shared" ca="1" si="5859"/>
        <v>5237.3208192036473</v>
      </c>
      <c r="BY893" s="10">
        <f t="shared" ca="1" si="5860"/>
        <v>7999.7700949772407</v>
      </c>
      <c r="BZ893" s="10">
        <f t="shared" ca="1" si="5860"/>
        <v>10037.902498564996</v>
      </c>
      <c r="CA893" s="10">
        <f t="shared" ca="1" si="5860"/>
        <v>5741.6986717050841</v>
      </c>
      <c r="CB893" s="10">
        <f t="shared" ca="1" si="5860"/>
        <v>5446.8136519717937</v>
      </c>
      <c r="CC893" s="10">
        <f t="shared" ca="1" si="5860"/>
        <v>8319.7608987763306</v>
      </c>
      <c r="CD893" s="10">
        <f t="shared" ca="1" si="5860"/>
        <v>10439.418598507595</v>
      </c>
      <c r="CE893" s="10">
        <f t="shared" ca="1" si="5860"/>
        <v>5971.3666185732873</v>
      </c>
      <c r="CF893" s="10">
        <f t="shared" ca="1" si="5860"/>
        <v>5664.6861980506637</v>
      </c>
      <c r="CG893" s="10">
        <f t="shared" ca="1" si="5860"/>
        <v>8652.5513347273827</v>
      </c>
      <c r="CH893" s="10">
        <f t="shared" ca="1" si="5860"/>
        <v>10856.995342447897</v>
      </c>
      <c r="CI893" s="10">
        <f t="shared" ca="1" si="5860"/>
        <v>6210.2212833162193</v>
      </c>
      <c r="CJ893" s="10">
        <f t="shared" ca="1" si="5860"/>
        <v>5956.7322420390537</v>
      </c>
      <c r="CK893" s="10">
        <f t="shared" ca="1" si="5860"/>
        <v>8998.6533881164778</v>
      </c>
      <c r="CL893" s="10">
        <f t="shared" ca="1" si="5860"/>
        <v>11291.275156145814</v>
      </c>
      <c r="CM893" s="10">
        <f t="shared" ca="1" si="5860"/>
        <v>6458.6301346488672</v>
      </c>
      <c r="CN893" s="10">
        <f t="shared" ca="1" si="5860"/>
        <v>6126.9245918115976</v>
      </c>
      <c r="CO893" s="10">
        <f t="shared" ca="1" si="5860"/>
        <v>9358.5995236411363</v>
      </c>
    </row>
    <row r="894" spans="1:93">
      <c r="C894" s="17" t="s">
        <v>734</v>
      </c>
      <c r="E894" s="241">
        <f t="shared" si="5854"/>
        <v>6.5000000000000002E-2</v>
      </c>
      <c r="G894" s="243" t="str">
        <f t="shared" si="5855"/>
        <v>тыс. руб.</v>
      </c>
      <c r="I894" s="23">
        <f t="shared" ca="1" si="5856"/>
        <v>1231668.6516290042</v>
      </c>
      <c r="L894" s="10">
        <f ca="1" xml:space="preserve"> L$888 * $E894 * $I$775</f>
        <v>0</v>
      </c>
      <c r="M894" s="10">
        <f t="shared" ref="M894:BX894" ca="1" si="5861" xml:space="preserve"> M$888 * $E894 * $I$775</f>
        <v>0</v>
      </c>
      <c r="N894" s="10">
        <f t="shared" ca="1" si="5861"/>
        <v>0</v>
      </c>
      <c r="O894" s="10">
        <f t="shared" ca="1" si="5861"/>
        <v>0</v>
      </c>
      <c r="P894" s="10">
        <f t="shared" ca="1" si="5861"/>
        <v>0</v>
      </c>
      <c r="Q894" s="10">
        <f t="shared" ca="1" si="5861"/>
        <v>0</v>
      </c>
      <c r="R894" s="10">
        <f t="shared" ca="1" si="5861"/>
        <v>0</v>
      </c>
      <c r="S894" s="10">
        <f t="shared" ca="1" si="5861"/>
        <v>0</v>
      </c>
      <c r="T894" s="10">
        <f t="shared" ca="1" si="5861"/>
        <v>0</v>
      </c>
      <c r="U894" s="10">
        <f t="shared" ca="1" si="5861"/>
        <v>0</v>
      </c>
      <c r="V894" s="10">
        <f t="shared" ca="1" si="5861"/>
        <v>0</v>
      </c>
      <c r="W894" s="10">
        <f t="shared" ca="1" si="5861"/>
        <v>0</v>
      </c>
      <c r="X894" s="10">
        <f t="shared" ca="1" si="5861"/>
        <v>0</v>
      </c>
      <c r="Y894" s="10">
        <f t="shared" ca="1" si="5861"/>
        <v>0</v>
      </c>
      <c r="Z894" s="10">
        <f t="shared" ca="1" si="5861"/>
        <v>0</v>
      </c>
      <c r="AA894" s="10">
        <f t="shared" ca="1" si="5861"/>
        <v>0</v>
      </c>
      <c r="AB894" s="10">
        <f t="shared" ca="1" si="5861"/>
        <v>0</v>
      </c>
      <c r="AC894" s="10">
        <f t="shared" ca="1" si="5861"/>
        <v>13006.946874818483</v>
      </c>
      <c r="AD894" s="10">
        <f t="shared" ca="1" si="5861"/>
        <v>16925.25032100936</v>
      </c>
      <c r="AE894" s="10">
        <f t="shared" ca="1" si="5861"/>
        <v>10027.034075911411</v>
      </c>
      <c r="AF894" s="10">
        <f t="shared" ca="1" si="5861"/>
        <v>9840.062758347276</v>
      </c>
      <c r="AG894" s="10">
        <f t="shared" ca="1" si="5861"/>
        <v>15531.25804607956</v>
      </c>
      <c r="AH894" s="10">
        <f t="shared" ca="1" si="5861"/>
        <v>20116.868952971145</v>
      </c>
      <c r="AI894" s="10">
        <f t="shared" ca="1" si="5861"/>
        <v>11866.476189147581</v>
      </c>
      <c r="AJ894" s="10">
        <f t="shared" ca="1" si="5861"/>
        <v>11598.153971171991</v>
      </c>
      <c r="AK894" s="10">
        <f t="shared" ca="1" si="5861"/>
        <v>18236.702996041815</v>
      </c>
      <c r="AL894" s="10">
        <f t="shared" ca="1" si="5861"/>
        <v>23536.736674976237</v>
      </c>
      <c r="AM894" s="10">
        <f t="shared" ca="1" si="5861"/>
        <v>13837.030416921181</v>
      </c>
      <c r="AN894" s="10">
        <f t="shared" ca="1" si="5861"/>
        <v>13630.938918171645</v>
      </c>
      <c r="AO894" s="10">
        <f t="shared" ca="1" si="5861"/>
        <v>21133.733529127305</v>
      </c>
      <c r="AP894" s="10">
        <f t="shared" ca="1" si="5861"/>
        <v>26518.05665380654</v>
      </c>
      <c r="AQ894" s="10">
        <f t="shared" ca="1" si="5861"/>
        <v>15168.377127306005</v>
      </c>
      <c r="AR894" s="10">
        <f t="shared" ca="1" si="5861"/>
        <v>14389.352060987214</v>
      </c>
      <c r="AS894" s="10">
        <f t="shared" ca="1" si="5861"/>
        <v>21979.08287029239</v>
      </c>
      <c r="AT894" s="10">
        <f t="shared" ca="1" si="5861"/>
        <v>27578.778919958801</v>
      </c>
      <c r="AU894" s="10">
        <f t="shared" ca="1" si="5861"/>
        <v>15775.112212398255</v>
      </c>
      <c r="AV894" s="10">
        <f t="shared" ca="1" si="5861"/>
        <v>14964.926143426703</v>
      </c>
      <c r="AW894" s="10">
        <f t="shared" ca="1" si="5861"/>
        <v>17624.752315209877</v>
      </c>
      <c r="AX894" s="10">
        <f t="shared" ca="1" si="5861"/>
        <v>22115.078708638543</v>
      </c>
      <c r="AY894" s="10">
        <f t="shared" ca="1" si="5861"/>
        <v>12649.865653127819</v>
      </c>
      <c r="AZ894" s="10">
        <f t="shared" ca="1" si="5861"/>
        <v>12000.187553312393</v>
      </c>
      <c r="BA894" s="10">
        <f t="shared" ca="1" si="5861"/>
        <v>18329.742407818274</v>
      </c>
      <c r="BB894" s="10">
        <f t="shared" ca="1" si="5861"/>
        <v>22999.681856984058</v>
      </c>
      <c r="BC894" s="10">
        <f t="shared" ca="1" si="5861"/>
        <v>13155.860279252924</v>
      </c>
      <c r="BD894" s="10">
        <f t="shared" ca="1" si="5861"/>
        <v>12618.863889394277</v>
      </c>
      <c r="BE894" s="10">
        <f t="shared" ca="1" si="5861"/>
        <v>19062.932104131</v>
      </c>
      <c r="BF894" s="10">
        <f t="shared" ca="1" si="5861"/>
        <v>23919.669131263418</v>
      </c>
      <c r="BG894" s="10">
        <f t="shared" ca="1" si="5861"/>
        <v>13682.094690423033</v>
      </c>
      <c r="BH894" s="10">
        <f t="shared" ca="1" si="5861"/>
        <v>12979.402857662679</v>
      </c>
      <c r="BI894" s="10">
        <f t="shared" ca="1" si="5861"/>
        <v>19825.449388296231</v>
      </c>
      <c r="BJ894" s="10">
        <f t="shared" ca="1" si="5861"/>
        <v>24876.455896513951</v>
      </c>
      <c r="BK894" s="10">
        <f t="shared" ca="1" si="5861"/>
        <v>14229.378478039958</v>
      </c>
      <c r="BL894" s="10">
        <f t="shared" ca="1" si="5861"/>
        <v>13498.578971969187</v>
      </c>
      <c r="BM894" s="10">
        <f t="shared" ca="1" si="5861"/>
        <v>20618.467363828084</v>
      </c>
      <c r="BN894" s="10">
        <f t="shared" ca="1" si="5861"/>
        <v>25871.514132374527</v>
      </c>
      <c r="BO894" s="10">
        <f t="shared" ca="1" si="5861"/>
        <v>14798.553617161564</v>
      </c>
      <c r="BP894" s="10">
        <f t="shared" ca="1" si="5861"/>
        <v>14038.52213084795</v>
      </c>
      <c r="BQ894" s="10">
        <f t="shared" ca="1" si="5861"/>
        <v>21443.206058381198</v>
      </c>
      <c r="BR894" s="10">
        <f t="shared" ca="1" si="5861"/>
        <v>26906.374697669493</v>
      </c>
      <c r="BS894" s="10">
        <f t="shared" ca="1" si="5861"/>
        <v>15390.495761848017</v>
      </c>
      <c r="BT894" s="10">
        <f t="shared" ca="1" si="5861"/>
        <v>14762.285938482773</v>
      </c>
      <c r="BU894" s="10">
        <f t="shared" ca="1" si="5861"/>
        <v>22300.934300716446</v>
      </c>
      <c r="BV894" s="10">
        <f t="shared" ca="1" si="5861"/>
        <v>27982.629685576274</v>
      </c>
      <c r="BW894" s="10">
        <f t="shared" ca="1" si="5861"/>
        <v>16006.115592321932</v>
      </c>
      <c r="BX894" s="10">
        <f t="shared" ca="1" si="5861"/>
        <v>15184.06553672514</v>
      </c>
      <c r="BY894" s="10">
        <f t="shared" ref="BY894:CO894" ca="1" si="5862" xml:space="preserve"> BY$888 * $E894 * $I$775</f>
        <v>23192.971672745083</v>
      </c>
      <c r="BZ894" s="10">
        <f t="shared" ca="1" si="5862"/>
        <v>29101.934872999296</v>
      </c>
      <c r="CA894" s="10">
        <f t="shared" ca="1" si="5862"/>
        <v>16646.360216014811</v>
      </c>
      <c r="CB894" s="10">
        <f t="shared" ca="1" si="5862"/>
        <v>15791.428158194158</v>
      </c>
      <c r="CC894" s="10">
        <f t="shared" ca="1" si="5862"/>
        <v>24120.690539654901</v>
      </c>
      <c r="CD894" s="10">
        <f t="shared" ca="1" si="5862"/>
        <v>30266.012267919272</v>
      </c>
      <c r="CE894" s="10">
        <f t="shared" ca="1" si="5862"/>
        <v>17312.2146246554</v>
      </c>
      <c r="CF894" s="10">
        <f t="shared" ca="1" si="5862"/>
        <v>16423.085284521923</v>
      </c>
      <c r="CG894" s="10">
        <f t="shared" ca="1" si="5862"/>
        <v>25085.518161241103</v>
      </c>
      <c r="CH894" s="10">
        <f t="shared" ca="1" si="5862"/>
        <v>31476.652758636043</v>
      </c>
      <c r="CI894" s="10">
        <f t="shared" ca="1" si="5862"/>
        <v>18004.70320964163</v>
      </c>
      <c r="CJ894" s="10">
        <f t="shared" ca="1" si="5862"/>
        <v>17269.786570301701</v>
      </c>
      <c r="CK894" s="10">
        <f t="shared" ca="1" si="5862"/>
        <v>26088.938887690718</v>
      </c>
      <c r="CL894" s="10">
        <f t="shared" ca="1" si="5862"/>
        <v>32735.718868981494</v>
      </c>
      <c r="CM894" s="10">
        <f t="shared" ca="1" si="5862"/>
        <v>18724.891338027272</v>
      </c>
      <c r="CN894" s="10">
        <f t="shared" ca="1" si="5862"/>
        <v>17763.209043738898</v>
      </c>
      <c r="CO894" s="10">
        <f t="shared" ca="1" si="5862"/>
        <v>27132.496443198361</v>
      </c>
    </row>
    <row r="895" spans="1:93" ht="15" thickBot="1">
      <c r="A895" s="10"/>
      <c r="B895" s="10"/>
      <c r="C895" s="17" t="s">
        <v>1186</v>
      </c>
      <c r="D895" s="10"/>
      <c r="E895" s="462">
        <f>E882</f>
        <v>0</v>
      </c>
      <c r="F895" s="10"/>
      <c r="G895" s="11" t="str">
        <f t="shared" si="5855"/>
        <v>тыс. руб.</v>
      </c>
      <c r="H895" s="10"/>
      <c r="I895" s="23">
        <f t="shared" ref="I895" ca="1" si="5863">SUM(L895:CO895)</f>
        <v>0</v>
      </c>
      <c r="K895" s="10"/>
      <c r="L895" s="10">
        <f t="shared" ref="L895:AQ895" ca="1" si="5864" xml:space="preserve"> $E895 * CPI_Accumulated_From_Date * (Period_length) * L$49 * $I$775</f>
        <v>0</v>
      </c>
      <c r="M895" s="10">
        <f t="shared" ca="1" si="5864"/>
        <v>0</v>
      </c>
      <c r="N895" s="10">
        <f t="shared" ca="1" si="5864"/>
        <v>0</v>
      </c>
      <c r="O895" s="10">
        <f t="shared" ca="1" si="5864"/>
        <v>0</v>
      </c>
      <c r="P895" s="10">
        <f t="shared" ca="1" si="5864"/>
        <v>0</v>
      </c>
      <c r="Q895" s="10">
        <f t="shared" ca="1" si="5864"/>
        <v>0</v>
      </c>
      <c r="R895" s="10">
        <f t="shared" ca="1" si="5864"/>
        <v>0</v>
      </c>
      <c r="S895" s="10">
        <f t="shared" ca="1" si="5864"/>
        <v>0</v>
      </c>
      <c r="T895" s="10">
        <f t="shared" ca="1" si="5864"/>
        <v>0</v>
      </c>
      <c r="U895" s="10">
        <f t="shared" ca="1" si="5864"/>
        <v>0</v>
      </c>
      <c r="V895" s="10">
        <f t="shared" ca="1" si="5864"/>
        <v>0</v>
      </c>
      <c r="W895" s="10">
        <f t="shared" ca="1" si="5864"/>
        <v>0</v>
      </c>
      <c r="X895" s="10">
        <f t="shared" ca="1" si="5864"/>
        <v>0</v>
      </c>
      <c r="Y895" s="10">
        <f t="shared" ca="1" si="5864"/>
        <v>0</v>
      </c>
      <c r="Z895" s="10">
        <f t="shared" ca="1" si="5864"/>
        <v>0</v>
      </c>
      <c r="AA895" s="10">
        <f t="shared" ca="1" si="5864"/>
        <v>0</v>
      </c>
      <c r="AB895" s="10">
        <f t="shared" ca="1" si="5864"/>
        <v>0</v>
      </c>
      <c r="AC895" s="10">
        <f t="shared" ca="1" si="5864"/>
        <v>0</v>
      </c>
      <c r="AD895" s="10">
        <f t="shared" ca="1" si="5864"/>
        <v>0</v>
      </c>
      <c r="AE895" s="10">
        <f t="shared" ca="1" si="5864"/>
        <v>0</v>
      </c>
      <c r="AF895" s="10">
        <f t="shared" ca="1" si="5864"/>
        <v>0</v>
      </c>
      <c r="AG895" s="10">
        <f t="shared" ca="1" si="5864"/>
        <v>0</v>
      </c>
      <c r="AH895" s="10">
        <f t="shared" ca="1" si="5864"/>
        <v>0</v>
      </c>
      <c r="AI895" s="10">
        <f t="shared" ca="1" si="5864"/>
        <v>0</v>
      </c>
      <c r="AJ895" s="10">
        <f t="shared" ca="1" si="5864"/>
        <v>0</v>
      </c>
      <c r="AK895" s="10">
        <f t="shared" ca="1" si="5864"/>
        <v>0</v>
      </c>
      <c r="AL895" s="10">
        <f t="shared" ca="1" si="5864"/>
        <v>0</v>
      </c>
      <c r="AM895" s="10">
        <f t="shared" ca="1" si="5864"/>
        <v>0</v>
      </c>
      <c r="AN895" s="10">
        <f t="shared" ca="1" si="5864"/>
        <v>0</v>
      </c>
      <c r="AO895" s="10">
        <f t="shared" ca="1" si="5864"/>
        <v>0</v>
      </c>
      <c r="AP895" s="10">
        <f t="shared" ca="1" si="5864"/>
        <v>0</v>
      </c>
      <c r="AQ895" s="10">
        <f t="shared" ca="1" si="5864"/>
        <v>0</v>
      </c>
      <c r="AR895" s="10">
        <f t="shared" ref="AR895:BW895" ca="1" si="5865" xml:space="preserve"> $E895 * CPI_Accumulated_From_Date * (Period_length) * AR$49 * $I$775</f>
        <v>0</v>
      </c>
      <c r="AS895" s="10">
        <f t="shared" ca="1" si="5865"/>
        <v>0</v>
      </c>
      <c r="AT895" s="10">
        <f t="shared" ca="1" si="5865"/>
        <v>0</v>
      </c>
      <c r="AU895" s="10">
        <f t="shared" ca="1" si="5865"/>
        <v>0</v>
      </c>
      <c r="AV895" s="10">
        <f t="shared" ca="1" si="5865"/>
        <v>0</v>
      </c>
      <c r="AW895" s="10">
        <f t="shared" ca="1" si="5865"/>
        <v>0</v>
      </c>
      <c r="AX895" s="10">
        <f t="shared" ca="1" si="5865"/>
        <v>0</v>
      </c>
      <c r="AY895" s="10">
        <f t="shared" ca="1" si="5865"/>
        <v>0</v>
      </c>
      <c r="AZ895" s="10">
        <f t="shared" ca="1" si="5865"/>
        <v>0</v>
      </c>
      <c r="BA895" s="10">
        <f t="shared" ca="1" si="5865"/>
        <v>0</v>
      </c>
      <c r="BB895" s="10">
        <f t="shared" ca="1" si="5865"/>
        <v>0</v>
      </c>
      <c r="BC895" s="10">
        <f t="shared" ca="1" si="5865"/>
        <v>0</v>
      </c>
      <c r="BD895" s="10">
        <f t="shared" ca="1" si="5865"/>
        <v>0</v>
      </c>
      <c r="BE895" s="10">
        <f t="shared" ca="1" si="5865"/>
        <v>0</v>
      </c>
      <c r="BF895" s="10">
        <f t="shared" ca="1" si="5865"/>
        <v>0</v>
      </c>
      <c r="BG895" s="10">
        <f t="shared" ca="1" si="5865"/>
        <v>0</v>
      </c>
      <c r="BH895" s="10">
        <f t="shared" ca="1" si="5865"/>
        <v>0</v>
      </c>
      <c r="BI895" s="10">
        <f t="shared" ca="1" si="5865"/>
        <v>0</v>
      </c>
      <c r="BJ895" s="10">
        <f t="shared" ca="1" si="5865"/>
        <v>0</v>
      </c>
      <c r="BK895" s="10">
        <f t="shared" ca="1" si="5865"/>
        <v>0</v>
      </c>
      <c r="BL895" s="10">
        <f t="shared" ca="1" si="5865"/>
        <v>0</v>
      </c>
      <c r="BM895" s="10">
        <f t="shared" ca="1" si="5865"/>
        <v>0</v>
      </c>
      <c r="BN895" s="10">
        <f t="shared" ca="1" si="5865"/>
        <v>0</v>
      </c>
      <c r="BO895" s="10">
        <f t="shared" ca="1" si="5865"/>
        <v>0</v>
      </c>
      <c r="BP895" s="10">
        <f t="shared" ca="1" si="5865"/>
        <v>0</v>
      </c>
      <c r="BQ895" s="10">
        <f t="shared" ca="1" si="5865"/>
        <v>0</v>
      </c>
      <c r="BR895" s="10">
        <f t="shared" ca="1" si="5865"/>
        <v>0</v>
      </c>
      <c r="BS895" s="10">
        <f t="shared" ca="1" si="5865"/>
        <v>0</v>
      </c>
      <c r="BT895" s="10">
        <f t="shared" ca="1" si="5865"/>
        <v>0</v>
      </c>
      <c r="BU895" s="10">
        <f t="shared" ca="1" si="5865"/>
        <v>0</v>
      </c>
      <c r="BV895" s="10">
        <f t="shared" ca="1" si="5865"/>
        <v>0</v>
      </c>
      <c r="BW895" s="10">
        <f t="shared" ca="1" si="5865"/>
        <v>0</v>
      </c>
      <c r="BX895" s="10">
        <f t="shared" ref="BX895:CO895" ca="1" si="5866" xml:space="preserve"> $E895 * CPI_Accumulated_From_Date * (Period_length) * BX$49 * $I$775</f>
        <v>0</v>
      </c>
      <c r="BY895" s="10">
        <f t="shared" ca="1" si="5866"/>
        <v>0</v>
      </c>
      <c r="BZ895" s="10">
        <f t="shared" ca="1" si="5866"/>
        <v>0</v>
      </c>
      <c r="CA895" s="10">
        <f t="shared" ca="1" si="5866"/>
        <v>0</v>
      </c>
      <c r="CB895" s="10">
        <f t="shared" ca="1" si="5866"/>
        <v>0</v>
      </c>
      <c r="CC895" s="10">
        <f t="shared" ca="1" si="5866"/>
        <v>0</v>
      </c>
      <c r="CD895" s="10">
        <f t="shared" ca="1" si="5866"/>
        <v>0</v>
      </c>
      <c r="CE895" s="10">
        <f t="shared" ca="1" si="5866"/>
        <v>0</v>
      </c>
      <c r="CF895" s="10">
        <f t="shared" ca="1" si="5866"/>
        <v>0</v>
      </c>
      <c r="CG895" s="10">
        <f t="shared" ca="1" si="5866"/>
        <v>0</v>
      </c>
      <c r="CH895" s="10">
        <f t="shared" ca="1" si="5866"/>
        <v>0</v>
      </c>
      <c r="CI895" s="10">
        <f t="shared" ca="1" si="5866"/>
        <v>0</v>
      </c>
      <c r="CJ895" s="10">
        <f t="shared" ca="1" si="5866"/>
        <v>0</v>
      </c>
      <c r="CK895" s="10">
        <f t="shared" ca="1" si="5866"/>
        <v>0</v>
      </c>
      <c r="CL895" s="10">
        <f t="shared" ca="1" si="5866"/>
        <v>0</v>
      </c>
      <c r="CM895" s="10">
        <f t="shared" ca="1" si="5866"/>
        <v>0</v>
      </c>
      <c r="CN895" s="10">
        <f t="shared" ca="1" si="5866"/>
        <v>0</v>
      </c>
      <c r="CO895" s="10">
        <f t="shared" ca="1" si="5866"/>
        <v>0</v>
      </c>
    </row>
    <row r="896" spans="1:93" ht="15" thickTop="1">
      <c r="A896" s="233"/>
      <c r="B896" s="101"/>
      <c r="C896" s="49" t="s">
        <v>768</v>
      </c>
      <c r="D896" s="49"/>
      <c r="E896" s="136"/>
      <c r="F896" s="49"/>
      <c r="G896" s="159" t="str">
        <f t="shared" si="5855"/>
        <v>тыс. руб.</v>
      </c>
      <c r="H896" s="49"/>
      <c r="I896" s="23">
        <f t="shared" ca="1" si="5856"/>
        <v>3518499.6454785452</v>
      </c>
      <c r="J896" s="49"/>
      <c r="K896" s="49"/>
      <c r="L896" s="49">
        <f ca="1">SUM(L890:L895)</f>
        <v>0</v>
      </c>
      <c r="M896" s="49">
        <f t="shared" ref="M896:BX896" ca="1" si="5867">SUM(M890:M895)</f>
        <v>0</v>
      </c>
      <c r="N896" s="49">
        <f t="shared" ca="1" si="5867"/>
        <v>0</v>
      </c>
      <c r="O896" s="49">
        <f t="shared" ca="1" si="5867"/>
        <v>0</v>
      </c>
      <c r="P896" s="49">
        <f t="shared" ca="1" si="5867"/>
        <v>0</v>
      </c>
      <c r="Q896" s="49">
        <f t="shared" ca="1" si="5867"/>
        <v>0</v>
      </c>
      <c r="R896" s="49">
        <f t="shared" ca="1" si="5867"/>
        <v>0</v>
      </c>
      <c r="S896" s="49">
        <f t="shared" ca="1" si="5867"/>
        <v>0</v>
      </c>
      <c r="T896" s="49">
        <f t="shared" ca="1" si="5867"/>
        <v>0</v>
      </c>
      <c r="U896" s="49">
        <f t="shared" ca="1" si="5867"/>
        <v>0</v>
      </c>
      <c r="V896" s="49">
        <f t="shared" ca="1" si="5867"/>
        <v>0</v>
      </c>
      <c r="W896" s="49">
        <f t="shared" ca="1" si="5867"/>
        <v>0</v>
      </c>
      <c r="X896" s="49">
        <f t="shared" ca="1" si="5867"/>
        <v>0</v>
      </c>
      <c r="Y896" s="49">
        <f t="shared" ca="1" si="5867"/>
        <v>0</v>
      </c>
      <c r="Z896" s="49">
        <f t="shared" ca="1" si="5867"/>
        <v>0</v>
      </c>
      <c r="AA896" s="49">
        <f t="shared" ca="1" si="5867"/>
        <v>0</v>
      </c>
      <c r="AB896" s="49">
        <f t="shared" ca="1" si="5867"/>
        <v>0</v>
      </c>
      <c r="AC896" s="49">
        <f t="shared" ca="1" si="5867"/>
        <v>34110.967806874163</v>
      </c>
      <c r="AD896" s="49">
        <f t="shared" ca="1" si="5867"/>
        <v>44386.793794088881</v>
      </c>
      <c r="AE896" s="49">
        <f t="shared" ca="1" si="5867"/>
        <v>26296.089301634631</v>
      </c>
      <c r="AF896" s="49">
        <f t="shared" ca="1" si="5867"/>
        <v>25805.753432993042</v>
      </c>
      <c r="AG896" s="49">
        <f t="shared" ca="1" si="5867"/>
        <v>40731.022299763827</v>
      </c>
      <c r="AH896" s="49">
        <f t="shared" ca="1" si="5867"/>
        <v>52756.874909545681</v>
      </c>
      <c r="AI896" s="49">
        <f t="shared" ca="1" si="5867"/>
        <v>31120.061545934514</v>
      </c>
      <c r="AJ896" s="49">
        <f t="shared" ca="1" si="5867"/>
        <v>30416.381379687809</v>
      </c>
      <c r="AK896" s="49">
        <f t="shared" ca="1" si="5867"/>
        <v>47826.103603593685</v>
      </c>
      <c r="AL896" s="49">
        <f t="shared" ca="1" si="5867"/>
        <v>61725.543644168436</v>
      </c>
      <c r="AM896" s="49">
        <f t="shared" ca="1" si="5867"/>
        <v>36287.877826895769</v>
      </c>
      <c r="AN896" s="49">
        <f t="shared" ca="1" si="5867"/>
        <v>35747.398916143407</v>
      </c>
      <c r="AO896" s="49">
        <f t="shared" ca="1" si="5867"/>
        <v>55423.62177605024</v>
      </c>
      <c r="AP896" s="49">
        <f t="shared" ca="1" si="5867"/>
        <v>69544.112505763071</v>
      </c>
      <c r="AQ896" s="49">
        <f t="shared" ca="1" si="5867"/>
        <v>39779.360125915962</v>
      </c>
      <c r="AR896" s="49">
        <f t="shared" ca="1" si="5867"/>
        <v>37736.351938545369</v>
      </c>
      <c r="AS896" s="49">
        <f t="shared" ca="1" si="5867"/>
        <v>57640.566647092244</v>
      </c>
      <c r="AT896" s="49">
        <f t="shared" ca="1" si="5867"/>
        <v>72325.877005993592</v>
      </c>
      <c r="AU896" s="49">
        <f t="shared" ca="1" si="5867"/>
        <v>41370.534530952616</v>
      </c>
      <c r="AV896" s="49">
        <f t="shared" ca="1" si="5867"/>
        <v>39245.806016087183</v>
      </c>
      <c r="AW896" s="49">
        <f t="shared" ca="1" si="5867"/>
        <v>51894.660282369456</v>
      </c>
      <c r="AX896" s="49">
        <f t="shared" ca="1" si="5867"/>
        <v>65116.0638275893</v>
      </c>
      <c r="AY896" s="49">
        <f t="shared" ca="1" si="5867"/>
        <v>37246.5081463963</v>
      </c>
      <c r="AZ896" s="49">
        <f t="shared" ca="1" si="5867"/>
        <v>35333.583432343934</v>
      </c>
      <c r="BA896" s="49">
        <f t="shared" ca="1" si="5867"/>
        <v>53970.446693664235</v>
      </c>
      <c r="BB896" s="49">
        <f t="shared" ca="1" si="5867"/>
        <v>67720.706380692835</v>
      </c>
      <c r="BC896" s="49">
        <f t="shared" ca="1" si="5867"/>
        <v>38736.368472252143</v>
      </c>
      <c r="BD896" s="49">
        <f t="shared" ca="1" si="5867"/>
        <v>37155.225955966991</v>
      </c>
      <c r="BE896" s="49">
        <f t="shared" ca="1" si="5867"/>
        <v>56129.26456141079</v>
      </c>
      <c r="BF896" s="49">
        <f t="shared" ca="1" si="5867"/>
        <v>70429.534635920529</v>
      </c>
      <c r="BG896" s="49">
        <f t="shared" ca="1" si="5867"/>
        <v>40285.823211142211</v>
      </c>
      <c r="BH896" s="49">
        <f t="shared" ca="1" si="5867"/>
        <v>38216.803840423185</v>
      </c>
      <c r="BI896" s="49">
        <f t="shared" ca="1" si="5867"/>
        <v>58374.435143867202</v>
      </c>
      <c r="BJ896" s="49">
        <f t="shared" ca="1" si="5867"/>
        <v>73246.716021357352</v>
      </c>
      <c r="BK896" s="49">
        <f t="shared" ca="1" si="5867"/>
        <v>41897.256139587902</v>
      </c>
      <c r="BL896" s="49">
        <f t="shared" ca="1" si="5867"/>
        <v>39745.475994040113</v>
      </c>
      <c r="BM896" s="49">
        <f t="shared" ca="1" si="5867"/>
        <v>60709.412549621891</v>
      </c>
      <c r="BN896" s="49">
        <f t="shared" ca="1" si="5867"/>
        <v>76176.584662211651</v>
      </c>
      <c r="BO896" s="49">
        <f t="shared" ca="1" si="5867"/>
        <v>43573.146385171422</v>
      </c>
      <c r="BP896" s="49">
        <f t="shared" ca="1" si="5867"/>
        <v>41335.295033801704</v>
      </c>
      <c r="BQ896" s="49">
        <f t="shared" ca="1" si="5867"/>
        <v>63137.789051606749</v>
      </c>
      <c r="BR896" s="49">
        <f t="shared" ca="1" si="5867"/>
        <v>79223.648048700095</v>
      </c>
      <c r="BS896" s="49">
        <f t="shared" ca="1" si="5867"/>
        <v>45316.072240578258</v>
      </c>
      <c r="BT896" s="49">
        <f t="shared" ca="1" si="5867"/>
        <v>43466.359133322141</v>
      </c>
      <c r="BU896" s="49">
        <f t="shared" ca="1" si="5867"/>
        <v>65663.300613671017</v>
      </c>
      <c r="BV896" s="49">
        <f t="shared" ca="1" si="5867"/>
        <v>82392.593970648086</v>
      </c>
      <c r="BW896" s="49">
        <f t="shared" ca="1" si="5867"/>
        <v>47128.715130201381</v>
      </c>
      <c r="BX896" s="49">
        <f t="shared" ca="1" si="5867"/>
        <v>44708.255108559912</v>
      </c>
      <c r="BY896" s="49">
        <f t="shared" ref="BY896:CO896" ca="1" si="5868">SUM(BY890:BY895)</f>
        <v>68289.83263821782</v>
      </c>
      <c r="BZ896" s="49">
        <f t="shared" ca="1" si="5868"/>
        <v>85688.297729473983</v>
      </c>
      <c r="CA896" s="49">
        <f t="shared" ca="1" si="5868"/>
        <v>49013.863735409439</v>
      </c>
      <c r="CB896" s="49">
        <f t="shared" ca="1" si="5868"/>
        <v>46496.585312902316</v>
      </c>
      <c r="CC896" s="49">
        <f t="shared" ca="1" si="5868"/>
        <v>71021.425943746552</v>
      </c>
      <c r="CD896" s="49">
        <f t="shared" ca="1" si="5868"/>
        <v>89115.82963865294</v>
      </c>
      <c r="CE896" s="49">
        <f t="shared" ca="1" si="5868"/>
        <v>50974.418284825806</v>
      </c>
      <c r="CF896" s="49">
        <f t="shared" ca="1" si="5868"/>
        <v>48356.448725418406</v>
      </c>
      <c r="CG896" s="49">
        <f t="shared" ca="1" si="5868"/>
        <v>73862.282981496421</v>
      </c>
      <c r="CH896" s="49">
        <f t="shared" ca="1" si="5868"/>
        <v>92680.462824199043</v>
      </c>
      <c r="CI896" s="49">
        <f t="shared" ca="1" si="5868"/>
        <v>53013.395016218856</v>
      </c>
      <c r="CJ896" s="49">
        <f t="shared" ca="1" si="5868"/>
        <v>50849.492304151063</v>
      </c>
      <c r="CK896" s="49">
        <f t="shared" ca="1" si="5868"/>
        <v>76816.774300756239</v>
      </c>
      <c r="CL896" s="49">
        <f t="shared" ca="1" si="5868"/>
        <v>96387.681337167014</v>
      </c>
      <c r="CM896" s="49">
        <f t="shared" ca="1" si="5868"/>
        <v>55133.930816867578</v>
      </c>
      <c r="CN896" s="49">
        <f t="shared" ca="1" si="5868"/>
        <v>52302.334941412526</v>
      </c>
      <c r="CO896" s="49">
        <f t="shared" ca="1" si="5868"/>
        <v>79889.445272786514</v>
      </c>
    </row>
    <row r="897" spans="1:93">
      <c r="A897" s="10"/>
      <c r="B897" s="10"/>
      <c r="C897" s="10"/>
      <c r="D897" s="10"/>
      <c r="E897" s="10"/>
      <c r="F897" s="10"/>
      <c r="G897" s="11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  <c r="BB897" s="10"/>
      <c r="BC897" s="10"/>
      <c r="BD897" s="10"/>
      <c r="BE897" s="10"/>
      <c r="BF897" s="10"/>
      <c r="BG897" s="10"/>
      <c r="BH897" s="10"/>
      <c r="BI897" s="10"/>
      <c r="BJ897" s="10"/>
      <c r="BK897" s="10"/>
      <c r="BL897" s="10"/>
      <c r="BM897" s="10"/>
      <c r="BN897" s="10"/>
      <c r="BO897" s="10"/>
      <c r="BP897" s="10"/>
      <c r="BQ897" s="10"/>
      <c r="BR897" s="10"/>
      <c r="BS897" s="10"/>
      <c r="BT897" s="10"/>
      <c r="BU897" s="10"/>
      <c r="BV897" s="10"/>
      <c r="BW897" s="10"/>
      <c r="BX897" s="10"/>
      <c r="BY897" s="10"/>
      <c r="BZ897" s="10"/>
      <c r="CA897" s="10"/>
      <c r="CB897" s="10"/>
      <c r="CC897" s="10"/>
      <c r="CD897" s="10"/>
      <c r="CE897" s="10"/>
      <c r="CF897" s="10"/>
      <c r="CG897" s="10"/>
      <c r="CH897" s="10"/>
      <c r="CI897" s="10"/>
      <c r="CJ897" s="10"/>
      <c r="CK897" s="10"/>
      <c r="CL897" s="10"/>
      <c r="CM897" s="10"/>
      <c r="CN897" s="10"/>
      <c r="CO897" s="10"/>
    </row>
    <row r="898" spans="1:93" ht="16" thickBot="1">
      <c r="A898" s="10"/>
      <c r="B898" s="10"/>
      <c r="C898" s="26" t="s">
        <v>898</v>
      </c>
      <c r="D898" s="26"/>
      <c r="E898" s="26"/>
      <c r="F898" s="26"/>
      <c r="G898" s="26"/>
      <c r="H898" s="26"/>
      <c r="I898" s="26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  <c r="BB898" s="10"/>
      <c r="BC898" s="10"/>
      <c r="BD898" s="10"/>
      <c r="BE898" s="10"/>
      <c r="BF898" s="10"/>
      <c r="BG898" s="10"/>
      <c r="BH898" s="10"/>
      <c r="BI898" s="10"/>
      <c r="BJ898" s="10"/>
      <c r="BK898" s="10"/>
      <c r="BL898" s="10"/>
      <c r="BM898" s="10"/>
      <c r="BN898" s="10"/>
      <c r="BO898" s="10"/>
      <c r="BP898" s="10"/>
      <c r="BQ898" s="10"/>
      <c r="BR898" s="10"/>
      <c r="BS898" s="10"/>
      <c r="BT898" s="10"/>
      <c r="BU898" s="10"/>
      <c r="BV898" s="10"/>
      <c r="BW898" s="10"/>
      <c r="BX898" s="10"/>
      <c r="BY898" s="10"/>
      <c r="BZ898" s="10"/>
      <c r="CA898" s="10"/>
      <c r="CB898" s="10"/>
      <c r="CC898" s="10"/>
      <c r="CD898" s="10"/>
      <c r="CE898" s="10"/>
      <c r="CF898" s="10"/>
      <c r="CG898" s="10"/>
      <c r="CH898" s="10"/>
      <c r="CI898" s="10"/>
      <c r="CJ898" s="10"/>
      <c r="CK898" s="10"/>
      <c r="CL898" s="10"/>
      <c r="CM898" s="10"/>
      <c r="CN898" s="10"/>
      <c r="CO898" s="10"/>
    </row>
    <row r="899" spans="1:93" ht="15" thickTop="1">
      <c r="A899" s="10"/>
      <c r="B899" s="10"/>
      <c r="C899" s="10"/>
      <c r="D899" s="10"/>
      <c r="E899" s="10"/>
      <c r="F899" s="10"/>
      <c r="G899" s="11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  <c r="BB899" s="10"/>
      <c r="BC899" s="10"/>
      <c r="BD899" s="10"/>
      <c r="BE899" s="10"/>
      <c r="BF899" s="10"/>
      <c r="BG899" s="10"/>
      <c r="BH899" s="10"/>
      <c r="BI899" s="10"/>
      <c r="BJ899" s="10"/>
      <c r="BK899" s="10"/>
      <c r="BL899" s="10"/>
      <c r="BM899" s="10"/>
      <c r="BN899" s="10"/>
      <c r="BO899" s="10"/>
      <c r="BP899" s="10"/>
      <c r="BQ899" s="10"/>
      <c r="BR899" s="10"/>
      <c r="BS899" s="10"/>
      <c r="BT899" s="10"/>
      <c r="BU899" s="10"/>
      <c r="BV899" s="10"/>
      <c r="BW899" s="10"/>
      <c r="BX899" s="10"/>
      <c r="BY899" s="10"/>
      <c r="BZ899" s="10"/>
      <c r="CA899" s="10"/>
      <c r="CB899" s="10"/>
      <c r="CC899" s="10"/>
      <c r="CD899" s="10"/>
      <c r="CE899" s="10"/>
      <c r="CF899" s="10"/>
      <c r="CG899" s="10"/>
      <c r="CH899" s="10"/>
      <c r="CI899" s="10"/>
      <c r="CJ899" s="10"/>
      <c r="CK899" s="10"/>
      <c r="CL899" s="10"/>
      <c r="CM899" s="10"/>
      <c r="CN899" s="10"/>
      <c r="CO899" s="10"/>
    </row>
    <row r="900" spans="1:93">
      <c r="A900" s="10"/>
      <c r="B900" s="10"/>
      <c r="C900" s="17" t="s">
        <v>722</v>
      </c>
      <c r="D900" s="10"/>
      <c r="E900" s="10"/>
      <c r="F900" s="10"/>
      <c r="G900" s="11" t="str">
        <f>Monetary_Unit</f>
        <v>тыс. руб.</v>
      </c>
      <c r="H900" s="10"/>
      <c r="I900" s="23">
        <f ca="1">SUM(L900:CO900)</f>
        <v>27356260.135517124</v>
      </c>
      <c r="J900" s="10"/>
      <c r="K900" s="10"/>
      <c r="L900" s="10">
        <f ca="1" xml:space="preserve"> L854</f>
        <v>0</v>
      </c>
      <c r="M900" s="10">
        <f t="shared" ref="M900:BX900" ca="1" si="5869" xml:space="preserve"> M854</f>
        <v>0</v>
      </c>
      <c r="N900" s="10">
        <f t="shared" ca="1" si="5869"/>
        <v>0</v>
      </c>
      <c r="O900" s="10">
        <f t="shared" ca="1" si="5869"/>
        <v>0</v>
      </c>
      <c r="P900" s="10">
        <f t="shared" ca="1" si="5869"/>
        <v>0</v>
      </c>
      <c r="Q900" s="10">
        <f t="shared" ca="1" si="5869"/>
        <v>0</v>
      </c>
      <c r="R900" s="10">
        <f t="shared" ca="1" si="5869"/>
        <v>0</v>
      </c>
      <c r="S900" s="10">
        <f t="shared" ca="1" si="5869"/>
        <v>0</v>
      </c>
      <c r="T900" s="10">
        <f t="shared" ca="1" si="5869"/>
        <v>0</v>
      </c>
      <c r="U900" s="10">
        <f t="shared" ca="1" si="5869"/>
        <v>0</v>
      </c>
      <c r="V900" s="10">
        <f t="shared" ca="1" si="5869"/>
        <v>0</v>
      </c>
      <c r="W900" s="10">
        <f t="shared" ca="1" si="5869"/>
        <v>0</v>
      </c>
      <c r="X900" s="10">
        <f t="shared" ca="1" si="5869"/>
        <v>0</v>
      </c>
      <c r="Y900" s="10">
        <f t="shared" ca="1" si="5869"/>
        <v>0</v>
      </c>
      <c r="Z900" s="10">
        <f t="shared" ca="1" si="5869"/>
        <v>0</v>
      </c>
      <c r="AA900" s="10">
        <f t="shared" ca="1" si="5869"/>
        <v>0</v>
      </c>
      <c r="AB900" s="10">
        <f t="shared" ca="1" si="5869"/>
        <v>0</v>
      </c>
      <c r="AC900" s="10">
        <f t="shared" ca="1" si="5869"/>
        <v>237573.93753903641</v>
      </c>
      <c r="AD900" s="10">
        <f t="shared" ca="1" si="5869"/>
        <v>309142.36840474111</v>
      </c>
      <c r="AE900" s="10">
        <f t="shared" ca="1" si="5869"/>
        <v>183145.35995101542</v>
      </c>
      <c r="AF900" s="10">
        <f t="shared" ca="1" si="5869"/>
        <v>179730.2993262526</v>
      </c>
      <c r="AG900" s="10">
        <f t="shared" ca="1" si="5869"/>
        <v>283680.87949105684</v>
      </c>
      <c r="AH900" s="10">
        <f t="shared" ca="1" si="5869"/>
        <v>367437.78644677816</v>
      </c>
      <c r="AI900" s="10">
        <f t="shared" ca="1" si="5869"/>
        <v>216743.0604661672</v>
      </c>
      <c r="AJ900" s="10">
        <f t="shared" ca="1" si="5869"/>
        <v>211842.11280587656</v>
      </c>
      <c r="AK900" s="10">
        <f t="shared" ca="1" si="5869"/>
        <v>333096.25849917659</v>
      </c>
      <c r="AL900" s="10">
        <f t="shared" ca="1" si="5869"/>
        <v>429902.21014273044</v>
      </c>
      <c r="AM900" s="10">
        <f t="shared" ca="1" si="5869"/>
        <v>252735.54444660959</v>
      </c>
      <c r="AN900" s="10">
        <f t="shared" ca="1" si="5869"/>
        <v>248971.25069478108</v>
      </c>
      <c r="AO900" s="10">
        <f t="shared" ca="1" si="5869"/>
        <v>386010.97842075967</v>
      </c>
      <c r="AP900" s="10">
        <f t="shared" ca="1" si="5869"/>
        <v>484356.49009414273</v>
      </c>
      <c r="AQ900" s="10">
        <f t="shared" ca="1" si="5869"/>
        <v>277052.80223660753</v>
      </c>
      <c r="AR900" s="10">
        <f t="shared" ca="1" si="5869"/>
        <v>262823.78644772351</v>
      </c>
      <c r="AS900" s="10">
        <f t="shared" ca="1" si="5869"/>
        <v>401451.41755759012</v>
      </c>
      <c r="AT900" s="10">
        <f t="shared" ca="1" si="5869"/>
        <v>503730.74969790847</v>
      </c>
      <c r="AU900" s="10">
        <f t="shared" ca="1" si="5869"/>
        <v>288134.9143260718</v>
      </c>
      <c r="AV900" s="10">
        <f t="shared" ca="1" si="5869"/>
        <v>273336.73790563241</v>
      </c>
      <c r="AW900" s="10">
        <f t="shared" ca="1" si="5869"/>
        <v>417509.47425989376</v>
      </c>
      <c r="AX900" s="10">
        <f t="shared" ca="1" si="5869"/>
        <v>523879.97968582454</v>
      </c>
      <c r="AY900" s="10">
        <f t="shared" ca="1" si="5869"/>
        <v>299660.31089911464</v>
      </c>
      <c r="AZ900" s="10">
        <f t="shared" ca="1" si="5869"/>
        <v>284270.20742185775</v>
      </c>
      <c r="BA900" s="10">
        <f t="shared" ca="1" si="5869"/>
        <v>434209.85323028924</v>
      </c>
      <c r="BB900" s="10">
        <f t="shared" ca="1" si="5869"/>
        <v>544835.1788732576</v>
      </c>
      <c r="BC900" s="10">
        <f t="shared" ca="1" si="5869"/>
        <v>311646.72333507921</v>
      </c>
      <c r="BD900" s="10">
        <f t="shared" ca="1" si="5869"/>
        <v>298925.91589338455</v>
      </c>
      <c r="BE900" s="10">
        <f t="shared" ca="1" si="5869"/>
        <v>451578.24735950073</v>
      </c>
      <c r="BF900" s="10">
        <f t="shared" ca="1" si="5869"/>
        <v>566628.58602818788</v>
      </c>
      <c r="BG900" s="10">
        <f t="shared" ca="1" si="5869"/>
        <v>324112.59226848237</v>
      </c>
      <c r="BH900" s="10">
        <f t="shared" ca="1" si="5869"/>
        <v>307466.65634748124</v>
      </c>
      <c r="BI900" s="10">
        <f t="shared" ca="1" si="5869"/>
        <v>469641.37725388096</v>
      </c>
      <c r="BJ900" s="10">
        <f t="shared" ca="1" si="5869"/>
        <v>589293.72946931527</v>
      </c>
      <c r="BK900" s="10">
        <f t="shared" ca="1" si="5869"/>
        <v>337077.09595922159</v>
      </c>
      <c r="BL900" s="10">
        <f t="shared" ca="1" si="5869"/>
        <v>319765.32260138041</v>
      </c>
      <c r="BM900" s="10">
        <f t="shared" ca="1" si="5869"/>
        <v>488427.03234403598</v>
      </c>
      <c r="BN900" s="10">
        <f t="shared" ca="1" si="5869"/>
        <v>612865.47864808759</v>
      </c>
      <c r="BO900" s="10">
        <f t="shared" ca="1" si="5869"/>
        <v>350560.17979759024</v>
      </c>
      <c r="BP900" s="10">
        <f t="shared" ca="1" si="5869"/>
        <v>332555.93550543563</v>
      </c>
      <c r="BQ900" s="10">
        <f t="shared" ca="1" si="5869"/>
        <v>507964.11363779736</v>
      </c>
      <c r="BR900" s="10">
        <f t="shared" ca="1" si="5869"/>
        <v>637380.09779401112</v>
      </c>
      <c r="BS900" s="10">
        <f t="shared" ca="1" si="5869"/>
        <v>364582.58698949375</v>
      </c>
      <c r="BT900" s="10">
        <f t="shared" ca="1" si="5869"/>
        <v>349701.04151371587</v>
      </c>
      <c r="BU900" s="10">
        <f t="shared" ca="1" si="5869"/>
        <v>528282.67818330904</v>
      </c>
      <c r="BV900" s="10">
        <f t="shared" ca="1" si="5869"/>
        <v>662875.30170577124</v>
      </c>
      <c r="BW900" s="10">
        <f t="shared" ca="1" si="5869"/>
        <v>379165.89046907343</v>
      </c>
      <c r="BX900" s="10">
        <f t="shared" ca="1" si="5869"/>
        <v>359692.49984267901</v>
      </c>
      <c r="BY900" s="10">
        <f t="shared" ref="BY900:CO900" ca="1" si="5870" xml:space="preserve"> BY854</f>
        <v>549413.98531064147</v>
      </c>
      <c r="BZ900" s="10">
        <f t="shared" ca="1" si="5870"/>
        <v>689390.31377400237</v>
      </c>
      <c r="CA900" s="10">
        <f t="shared" ca="1" si="5870"/>
        <v>394332.52608783636</v>
      </c>
      <c r="CB900" s="10">
        <f t="shared" ca="1" si="5870"/>
        <v>374080.19983638602</v>
      </c>
      <c r="CC900" s="10">
        <f t="shared" ca="1" si="5870"/>
        <v>571390.54472306708</v>
      </c>
      <c r="CD900" s="10">
        <f t="shared" ca="1" si="5870"/>
        <v>716965.92632496241</v>
      </c>
      <c r="CE900" s="10">
        <f t="shared" ca="1" si="5870"/>
        <v>410105.82713134988</v>
      </c>
      <c r="CF900" s="10">
        <f t="shared" ca="1" si="5870"/>
        <v>389043.40782984142</v>
      </c>
      <c r="CG900" s="10">
        <f t="shared" ca="1" si="5870"/>
        <v>594246.16651198966</v>
      </c>
      <c r="CH900" s="10">
        <f t="shared" ca="1" si="5870"/>
        <v>745644.56337796059</v>
      </c>
      <c r="CI900" s="10">
        <f t="shared" ca="1" si="5870"/>
        <v>426510.0602166038</v>
      </c>
      <c r="CJ900" s="10">
        <f t="shared" ca="1" si="5870"/>
        <v>409100.75685573556</v>
      </c>
      <c r="CK900" s="10">
        <f t="shared" ca="1" si="5870"/>
        <v>618016.01317246933</v>
      </c>
      <c r="CL900" s="10">
        <f t="shared" ca="1" si="5870"/>
        <v>775470.34591307887</v>
      </c>
      <c r="CM900" s="10">
        <f t="shared" ca="1" si="5870"/>
        <v>443570.46262526803</v>
      </c>
      <c r="CN900" s="10">
        <f t="shared" ca="1" si="5870"/>
        <v>420789.3499087565</v>
      </c>
      <c r="CO900" s="10">
        <f t="shared" ca="1" si="5870"/>
        <v>642736.65369936789</v>
      </c>
    </row>
    <row r="901" spans="1:93">
      <c r="A901" s="10"/>
      <c r="B901" s="10"/>
      <c r="C901" s="17" t="s">
        <v>751</v>
      </c>
      <c r="D901" s="10"/>
      <c r="E901" s="10"/>
      <c r="F901" s="10"/>
      <c r="G901" s="11" t="str">
        <f>Monetary_Unit</f>
        <v>тыс. руб.</v>
      </c>
      <c r="H901" s="10"/>
      <c r="I901" s="23">
        <f ca="1">SUM(L901:CO901)</f>
        <v>7652385.2589075426</v>
      </c>
      <c r="J901" s="10"/>
      <c r="K901" s="10"/>
      <c r="L901" s="10">
        <f ca="1" xml:space="preserve"> L873</f>
        <v>0</v>
      </c>
      <c r="M901" s="10">
        <f t="shared" ref="M901:BX901" ca="1" si="5871" xml:space="preserve"> M873</f>
        <v>0</v>
      </c>
      <c r="N901" s="10">
        <f t="shared" ca="1" si="5871"/>
        <v>0</v>
      </c>
      <c r="O901" s="10">
        <f t="shared" ca="1" si="5871"/>
        <v>0</v>
      </c>
      <c r="P901" s="10">
        <f t="shared" ca="1" si="5871"/>
        <v>0</v>
      </c>
      <c r="Q901" s="10">
        <f t="shared" ca="1" si="5871"/>
        <v>0</v>
      </c>
      <c r="R901" s="10">
        <f t="shared" ca="1" si="5871"/>
        <v>0</v>
      </c>
      <c r="S901" s="10">
        <f t="shared" ca="1" si="5871"/>
        <v>0</v>
      </c>
      <c r="T901" s="10">
        <f t="shared" ca="1" si="5871"/>
        <v>0</v>
      </c>
      <c r="U901" s="10">
        <f t="shared" ca="1" si="5871"/>
        <v>0</v>
      </c>
      <c r="V901" s="10">
        <f t="shared" ca="1" si="5871"/>
        <v>0</v>
      </c>
      <c r="W901" s="10">
        <f t="shared" ca="1" si="5871"/>
        <v>0</v>
      </c>
      <c r="X901" s="10">
        <f t="shared" ca="1" si="5871"/>
        <v>0</v>
      </c>
      <c r="Y901" s="10">
        <f t="shared" ca="1" si="5871"/>
        <v>0</v>
      </c>
      <c r="Z901" s="10">
        <f t="shared" ca="1" si="5871"/>
        <v>0</v>
      </c>
      <c r="AA901" s="10">
        <f t="shared" ca="1" si="5871"/>
        <v>0</v>
      </c>
      <c r="AB901" s="10">
        <f t="shared" ca="1" si="5871"/>
        <v>0</v>
      </c>
      <c r="AC901" s="10">
        <f t="shared" ca="1" si="5871"/>
        <v>66456.719175732345</v>
      </c>
      <c r="AD901" s="10">
        <f t="shared" ca="1" si="5871"/>
        <v>86476.605031723797</v>
      </c>
      <c r="AE901" s="10">
        <f t="shared" ca="1" si="5871"/>
        <v>51231.376137810395</v>
      </c>
      <c r="AF901" s="10">
        <f t="shared" ca="1" si="5871"/>
        <v>50276.078905887945</v>
      </c>
      <c r="AG901" s="10">
        <f t="shared" ca="1" si="5871"/>
        <v>79354.245415763377</v>
      </c>
      <c r="AH901" s="10">
        <f t="shared" ca="1" si="5871"/>
        <v>102783.6219805632</v>
      </c>
      <c r="AI901" s="10">
        <f t="shared" ca="1" si="5871"/>
        <v>60629.68376033286</v>
      </c>
      <c r="AJ901" s="10">
        <f t="shared" ca="1" si="5871"/>
        <v>59258.738337073271</v>
      </c>
      <c r="AK901" s="10">
        <f t="shared" ca="1" si="5871"/>
        <v>93177.243004315736</v>
      </c>
      <c r="AL901" s="10">
        <f t="shared" ca="1" si="5871"/>
        <v>120256.83771725895</v>
      </c>
      <c r="AM901" s="10">
        <f t="shared" ca="1" si="5871"/>
        <v>70697.885790836648</v>
      </c>
      <c r="AN901" s="10">
        <f t="shared" ca="1" si="5871"/>
        <v>69644.897338687384</v>
      </c>
      <c r="AO901" s="10">
        <f t="shared" ca="1" si="5871"/>
        <v>107979.11360728696</v>
      </c>
      <c r="AP901" s="10">
        <f t="shared" ca="1" si="5871"/>
        <v>135489.37049477836</v>
      </c>
      <c r="AQ901" s="10">
        <f t="shared" ca="1" si="5871"/>
        <v>77500.168856117089</v>
      </c>
      <c r="AR901" s="10">
        <f t="shared" ca="1" si="5871"/>
        <v>73519.876589110558</v>
      </c>
      <c r="AS901" s="10">
        <f t="shared" ca="1" si="5871"/>
        <v>112298.27815157843</v>
      </c>
      <c r="AT901" s="10">
        <f t="shared" ca="1" si="5871"/>
        <v>140908.94531456952</v>
      </c>
      <c r="AU901" s="10">
        <f t="shared" ca="1" si="5871"/>
        <v>80600.175610361766</v>
      </c>
      <c r="AV901" s="10">
        <f t="shared" ca="1" si="5871"/>
        <v>76460.671652674951</v>
      </c>
      <c r="AW901" s="10">
        <f t="shared" ca="1" si="5871"/>
        <v>116790.20927764158</v>
      </c>
      <c r="AX901" s="10">
        <f t="shared" ca="1" si="5871"/>
        <v>146545.30312715223</v>
      </c>
      <c r="AY901" s="10">
        <f t="shared" ca="1" si="5871"/>
        <v>83824.182634776225</v>
      </c>
      <c r="AZ901" s="10">
        <f t="shared" ca="1" si="5871"/>
        <v>79519.098518781946</v>
      </c>
      <c r="BA901" s="10">
        <f t="shared" ca="1" si="5871"/>
        <v>121461.81764874722</v>
      </c>
      <c r="BB901" s="10">
        <f t="shared" ca="1" si="5871"/>
        <v>152407.11525223826</v>
      </c>
      <c r="BC901" s="10">
        <f t="shared" ca="1" si="5871"/>
        <v>87177.149940167263</v>
      </c>
      <c r="BD901" s="10">
        <f t="shared" ca="1" si="5871"/>
        <v>83618.749820194673</v>
      </c>
      <c r="BE901" s="10">
        <f t="shared" ca="1" si="5871"/>
        <v>126320.29035469706</v>
      </c>
      <c r="BF901" s="10">
        <f t="shared" ca="1" si="5871"/>
        <v>158503.39986232776</v>
      </c>
      <c r="BG901" s="10">
        <f t="shared" ca="1" si="5871"/>
        <v>90664.235937773934</v>
      </c>
      <c r="BH901" s="10">
        <f t="shared" ca="1" si="5871"/>
        <v>86007.856957914511</v>
      </c>
      <c r="BI901" s="10">
        <f t="shared" ca="1" si="5871"/>
        <v>131373.10196888493</v>
      </c>
      <c r="BJ901" s="10">
        <f t="shared" ca="1" si="5871"/>
        <v>164843.53585682088</v>
      </c>
      <c r="BK901" s="10">
        <f t="shared" ca="1" si="5871"/>
        <v>94290.805375284879</v>
      </c>
      <c r="BL901" s="10">
        <f t="shared" ca="1" si="5871"/>
        <v>89448.171236231094</v>
      </c>
      <c r="BM901" s="10">
        <f t="shared" ca="1" si="5871"/>
        <v>136628.02604764031</v>
      </c>
      <c r="BN901" s="10">
        <f t="shared" ca="1" si="5871"/>
        <v>171437.27729109369</v>
      </c>
      <c r="BO901" s="10">
        <f t="shared" ca="1" si="5871"/>
        <v>98062.437590296264</v>
      </c>
      <c r="BP901" s="10">
        <f t="shared" ca="1" si="5871"/>
        <v>93026.098085680322</v>
      </c>
      <c r="BQ901" s="10">
        <f t="shared" ca="1" si="5871"/>
        <v>142093.14708954591</v>
      </c>
      <c r="BR901" s="10">
        <f t="shared" ca="1" si="5871"/>
        <v>178294.76838273741</v>
      </c>
      <c r="BS901" s="10">
        <f t="shared" ca="1" si="5871"/>
        <v>101984.93509390806</v>
      </c>
      <c r="BT901" s="10">
        <f t="shared" ca="1" si="5871"/>
        <v>97822.110253653154</v>
      </c>
      <c r="BU901" s="10">
        <f t="shared" ca="1" si="5871"/>
        <v>147776.87297312773</v>
      </c>
      <c r="BV901" s="10">
        <f t="shared" ca="1" si="5871"/>
        <v>185426.55911804683</v>
      </c>
      <c r="BW901" s="10">
        <f t="shared" ca="1" si="5871"/>
        <v>106064.33249766436</v>
      </c>
      <c r="BX901" s="10">
        <f t="shared" ca="1" si="5871"/>
        <v>100617.0276894718</v>
      </c>
      <c r="BY901" s="10">
        <f t="shared" ref="BY901:CO901" ca="1" si="5872" xml:space="preserve"> BY873</f>
        <v>153687.94789205276</v>
      </c>
      <c r="BZ901" s="10">
        <f t="shared" ca="1" si="5872"/>
        <v>192843.62148276874</v>
      </c>
      <c r="CA901" s="10">
        <f t="shared" ca="1" si="5872"/>
        <v>110306.90579757094</v>
      </c>
      <c r="CB901" s="10">
        <f t="shared" ca="1" si="5872"/>
        <v>104641.70879705067</v>
      </c>
      <c r="CC901" s="10">
        <f t="shared" ca="1" si="5872"/>
        <v>159835.46580773493</v>
      </c>
      <c r="CD901" s="10">
        <f t="shared" ca="1" si="5872"/>
        <v>200557.36634207945</v>
      </c>
      <c r="CE901" s="10">
        <f t="shared" ca="1" si="5872"/>
        <v>114719.18202947378</v>
      </c>
      <c r="CF901" s="10">
        <f t="shared" ca="1" si="5872"/>
        <v>108827.37714893269</v>
      </c>
      <c r="CG901" s="10">
        <f t="shared" ca="1" si="5872"/>
        <v>166228.88444004429</v>
      </c>
      <c r="CH901" s="10">
        <f t="shared" ca="1" si="5872"/>
        <v>208579.66099576256</v>
      </c>
      <c r="CI901" s="10">
        <f t="shared" ca="1" si="5872"/>
        <v>119307.94931065277</v>
      </c>
      <c r="CJ901" s="10">
        <f t="shared" ca="1" si="5872"/>
        <v>114438.03303749984</v>
      </c>
      <c r="CK901" s="10">
        <f t="shared" ca="1" si="5872"/>
        <v>172878.03981764603</v>
      </c>
      <c r="CL901" s="10">
        <f t="shared" ca="1" si="5872"/>
        <v>216922.84743559308</v>
      </c>
      <c r="CM901" s="10">
        <f t="shared" ca="1" si="5872"/>
        <v>124080.26728307884</v>
      </c>
      <c r="CN901" s="10">
        <f t="shared" ca="1" si="5872"/>
        <v>117707.69112428557</v>
      </c>
      <c r="CO901" s="10">
        <f t="shared" ca="1" si="5872"/>
        <v>179793.16141035187</v>
      </c>
    </row>
    <row r="902" spans="1:93" ht="15" thickBot="1">
      <c r="A902" s="10"/>
      <c r="B902" s="10"/>
      <c r="C902" s="17" t="s">
        <v>753</v>
      </c>
      <c r="D902" s="10"/>
      <c r="E902" s="10"/>
      <c r="F902" s="10"/>
      <c r="G902" s="11" t="str">
        <f>Monetary_Unit</f>
        <v>тыс. руб.</v>
      </c>
      <c r="H902" s="10"/>
      <c r="I902" s="23">
        <f ca="1">SUM(L902:CO902)</f>
        <v>3518499.6454785452</v>
      </c>
      <c r="J902" s="10"/>
      <c r="K902" s="10"/>
      <c r="L902" s="10">
        <f t="shared" ref="L902" ca="1" si="5873" xml:space="preserve"> L896</f>
        <v>0</v>
      </c>
      <c r="M902" s="10">
        <f t="shared" ref="M902:BX902" ca="1" si="5874" xml:space="preserve"> M896</f>
        <v>0</v>
      </c>
      <c r="N902" s="10">
        <f t="shared" ca="1" si="5874"/>
        <v>0</v>
      </c>
      <c r="O902" s="10">
        <f t="shared" ca="1" si="5874"/>
        <v>0</v>
      </c>
      <c r="P902" s="10">
        <f t="shared" ca="1" si="5874"/>
        <v>0</v>
      </c>
      <c r="Q902" s="10">
        <f t="shared" ca="1" si="5874"/>
        <v>0</v>
      </c>
      <c r="R902" s="10">
        <f t="shared" ca="1" si="5874"/>
        <v>0</v>
      </c>
      <c r="S902" s="10">
        <f t="shared" ca="1" si="5874"/>
        <v>0</v>
      </c>
      <c r="T902" s="10">
        <f t="shared" ca="1" si="5874"/>
        <v>0</v>
      </c>
      <c r="U902" s="10">
        <f t="shared" ca="1" si="5874"/>
        <v>0</v>
      </c>
      <c r="V902" s="10">
        <f t="shared" ca="1" si="5874"/>
        <v>0</v>
      </c>
      <c r="W902" s="10">
        <f t="shared" ca="1" si="5874"/>
        <v>0</v>
      </c>
      <c r="X902" s="10">
        <f t="shared" ca="1" si="5874"/>
        <v>0</v>
      </c>
      <c r="Y902" s="10">
        <f t="shared" ca="1" si="5874"/>
        <v>0</v>
      </c>
      <c r="Z902" s="10">
        <f t="shared" ca="1" si="5874"/>
        <v>0</v>
      </c>
      <c r="AA902" s="10">
        <f t="shared" ca="1" si="5874"/>
        <v>0</v>
      </c>
      <c r="AB902" s="10">
        <f t="shared" ca="1" si="5874"/>
        <v>0</v>
      </c>
      <c r="AC902" s="10">
        <f t="shared" ca="1" si="5874"/>
        <v>34110.967806874163</v>
      </c>
      <c r="AD902" s="10">
        <f t="shared" ca="1" si="5874"/>
        <v>44386.793794088881</v>
      </c>
      <c r="AE902" s="10">
        <f t="shared" ca="1" si="5874"/>
        <v>26296.089301634631</v>
      </c>
      <c r="AF902" s="10">
        <f t="shared" ca="1" si="5874"/>
        <v>25805.753432993042</v>
      </c>
      <c r="AG902" s="10">
        <f t="shared" ca="1" si="5874"/>
        <v>40731.022299763827</v>
      </c>
      <c r="AH902" s="10">
        <f t="shared" ca="1" si="5874"/>
        <v>52756.874909545681</v>
      </c>
      <c r="AI902" s="10">
        <f t="shared" ca="1" si="5874"/>
        <v>31120.061545934514</v>
      </c>
      <c r="AJ902" s="10">
        <f t="shared" ca="1" si="5874"/>
        <v>30416.381379687809</v>
      </c>
      <c r="AK902" s="10">
        <f t="shared" ca="1" si="5874"/>
        <v>47826.103603593685</v>
      </c>
      <c r="AL902" s="10">
        <f t="shared" ca="1" si="5874"/>
        <v>61725.543644168436</v>
      </c>
      <c r="AM902" s="10">
        <f t="shared" ca="1" si="5874"/>
        <v>36287.877826895769</v>
      </c>
      <c r="AN902" s="10">
        <f t="shared" ca="1" si="5874"/>
        <v>35747.398916143407</v>
      </c>
      <c r="AO902" s="10">
        <f t="shared" ca="1" si="5874"/>
        <v>55423.62177605024</v>
      </c>
      <c r="AP902" s="10">
        <f t="shared" ca="1" si="5874"/>
        <v>69544.112505763071</v>
      </c>
      <c r="AQ902" s="10">
        <f t="shared" ca="1" si="5874"/>
        <v>39779.360125915962</v>
      </c>
      <c r="AR902" s="10">
        <f t="shared" ca="1" si="5874"/>
        <v>37736.351938545369</v>
      </c>
      <c r="AS902" s="10">
        <f t="shared" ca="1" si="5874"/>
        <v>57640.566647092244</v>
      </c>
      <c r="AT902" s="10">
        <f t="shared" ca="1" si="5874"/>
        <v>72325.877005993592</v>
      </c>
      <c r="AU902" s="10">
        <f t="shared" ca="1" si="5874"/>
        <v>41370.534530952616</v>
      </c>
      <c r="AV902" s="10">
        <f t="shared" ca="1" si="5874"/>
        <v>39245.806016087183</v>
      </c>
      <c r="AW902" s="10">
        <f t="shared" ca="1" si="5874"/>
        <v>51894.660282369456</v>
      </c>
      <c r="AX902" s="10">
        <f t="shared" ca="1" si="5874"/>
        <v>65116.0638275893</v>
      </c>
      <c r="AY902" s="10">
        <f t="shared" ca="1" si="5874"/>
        <v>37246.5081463963</v>
      </c>
      <c r="AZ902" s="10">
        <f t="shared" ca="1" si="5874"/>
        <v>35333.583432343934</v>
      </c>
      <c r="BA902" s="10">
        <f t="shared" ca="1" si="5874"/>
        <v>53970.446693664235</v>
      </c>
      <c r="BB902" s="10">
        <f t="shared" ca="1" si="5874"/>
        <v>67720.706380692835</v>
      </c>
      <c r="BC902" s="10">
        <f t="shared" ca="1" si="5874"/>
        <v>38736.368472252143</v>
      </c>
      <c r="BD902" s="10">
        <f t="shared" ca="1" si="5874"/>
        <v>37155.225955966991</v>
      </c>
      <c r="BE902" s="10">
        <f t="shared" ca="1" si="5874"/>
        <v>56129.26456141079</v>
      </c>
      <c r="BF902" s="10">
        <f t="shared" ca="1" si="5874"/>
        <v>70429.534635920529</v>
      </c>
      <c r="BG902" s="10">
        <f t="shared" ca="1" si="5874"/>
        <v>40285.823211142211</v>
      </c>
      <c r="BH902" s="10">
        <f t="shared" ca="1" si="5874"/>
        <v>38216.803840423185</v>
      </c>
      <c r="BI902" s="10">
        <f t="shared" ca="1" si="5874"/>
        <v>58374.435143867202</v>
      </c>
      <c r="BJ902" s="10">
        <f t="shared" ca="1" si="5874"/>
        <v>73246.716021357352</v>
      </c>
      <c r="BK902" s="10">
        <f t="shared" ca="1" si="5874"/>
        <v>41897.256139587902</v>
      </c>
      <c r="BL902" s="10">
        <f t="shared" ca="1" si="5874"/>
        <v>39745.475994040113</v>
      </c>
      <c r="BM902" s="10">
        <f t="shared" ca="1" si="5874"/>
        <v>60709.412549621891</v>
      </c>
      <c r="BN902" s="10">
        <f t="shared" ca="1" si="5874"/>
        <v>76176.584662211651</v>
      </c>
      <c r="BO902" s="10">
        <f t="shared" ca="1" si="5874"/>
        <v>43573.146385171422</v>
      </c>
      <c r="BP902" s="10">
        <f t="shared" ca="1" si="5874"/>
        <v>41335.295033801704</v>
      </c>
      <c r="BQ902" s="10">
        <f t="shared" ca="1" si="5874"/>
        <v>63137.789051606749</v>
      </c>
      <c r="BR902" s="10">
        <f t="shared" ca="1" si="5874"/>
        <v>79223.648048700095</v>
      </c>
      <c r="BS902" s="10">
        <f t="shared" ca="1" si="5874"/>
        <v>45316.072240578258</v>
      </c>
      <c r="BT902" s="10">
        <f t="shared" ca="1" si="5874"/>
        <v>43466.359133322141</v>
      </c>
      <c r="BU902" s="10">
        <f t="shared" ca="1" si="5874"/>
        <v>65663.300613671017</v>
      </c>
      <c r="BV902" s="10">
        <f t="shared" ca="1" si="5874"/>
        <v>82392.593970648086</v>
      </c>
      <c r="BW902" s="10">
        <f t="shared" ca="1" si="5874"/>
        <v>47128.715130201381</v>
      </c>
      <c r="BX902" s="10">
        <f t="shared" ca="1" si="5874"/>
        <v>44708.255108559912</v>
      </c>
      <c r="BY902" s="10">
        <f t="shared" ref="BY902:CO902" ca="1" si="5875" xml:space="preserve"> BY896</f>
        <v>68289.83263821782</v>
      </c>
      <c r="BZ902" s="10">
        <f t="shared" ca="1" si="5875"/>
        <v>85688.297729473983</v>
      </c>
      <c r="CA902" s="10">
        <f t="shared" ca="1" si="5875"/>
        <v>49013.863735409439</v>
      </c>
      <c r="CB902" s="10">
        <f t="shared" ca="1" si="5875"/>
        <v>46496.585312902316</v>
      </c>
      <c r="CC902" s="10">
        <f t="shared" ca="1" si="5875"/>
        <v>71021.425943746552</v>
      </c>
      <c r="CD902" s="10">
        <f t="shared" ca="1" si="5875"/>
        <v>89115.82963865294</v>
      </c>
      <c r="CE902" s="10">
        <f t="shared" ca="1" si="5875"/>
        <v>50974.418284825806</v>
      </c>
      <c r="CF902" s="10">
        <f t="shared" ca="1" si="5875"/>
        <v>48356.448725418406</v>
      </c>
      <c r="CG902" s="10">
        <f t="shared" ca="1" si="5875"/>
        <v>73862.282981496421</v>
      </c>
      <c r="CH902" s="10">
        <f t="shared" ca="1" si="5875"/>
        <v>92680.462824199043</v>
      </c>
      <c r="CI902" s="10">
        <f t="shared" ca="1" si="5875"/>
        <v>53013.395016218856</v>
      </c>
      <c r="CJ902" s="10">
        <f t="shared" ca="1" si="5875"/>
        <v>50849.492304151063</v>
      </c>
      <c r="CK902" s="10">
        <f t="shared" ca="1" si="5875"/>
        <v>76816.774300756239</v>
      </c>
      <c r="CL902" s="10">
        <f t="shared" ca="1" si="5875"/>
        <v>96387.681337167014</v>
      </c>
      <c r="CM902" s="10">
        <f t="shared" ca="1" si="5875"/>
        <v>55133.930816867578</v>
      </c>
      <c r="CN902" s="10">
        <f t="shared" ca="1" si="5875"/>
        <v>52302.334941412526</v>
      </c>
      <c r="CO902" s="10">
        <f t="shared" ca="1" si="5875"/>
        <v>79889.445272786514</v>
      </c>
    </row>
    <row r="903" spans="1:93" ht="15" thickTop="1">
      <c r="B903" s="101"/>
      <c r="C903" s="49" t="str">
        <f xml:space="preserve"> "Итого: эксплуатационные расходы " &amp; C35 &amp; " в прогнозных ценах без НДС"</f>
        <v>Итого: эксплуатационные расходы Объект размещения (отель) в прогнозных ценах без НДС</v>
      </c>
      <c r="D903" s="49"/>
      <c r="E903" s="136"/>
      <c r="F903" s="49"/>
      <c r="G903" s="159" t="str">
        <f xml:space="preserve"> Monetary_Unit</f>
        <v>тыс. руб.</v>
      </c>
      <c r="H903" s="49"/>
      <c r="I903" s="23">
        <f ca="1">SUM(L903:CO903)</f>
        <v>38527145.039903209</v>
      </c>
      <c r="J903" s="49"/>
      <c r="K903" s="49"/>
      <c r="L903" s="49">
        <f t="shared" ref="L903" ca="1" si="5876">SUM(L900:L902)</f>
        <v>0</v>
      </c>
      <c r="M903" s="49">
        <f t="shared" ref="M903" ca="1" si="5877">SUM(M900:M902)</f>
        <v>0</v>
      </c>
      <c r="N903" s="49">
        <f t="shared" ref="N903" ca="1" si="5878">SUM(N900:N902)</f>
        <v>0</v>
      </c>
      <c r="O903" s="49">
        <f t="shared" ref="O903" ca="1" si="5879">SUM(O900:O902)</f>
        <v>0</v>
      </c>
      <c r="P903" s="49">
        <f t="shared" ref="P903" ca="1" si="5880">SUM(P900:P902)</f>
        <v>0</v>
      </c>
      <c r="Q903" s="49">
        <f t="shared" ref="Q903" ca="1" si="5881">SUM(Q900:Q902)</f>
        <v>0</v>
      </c>
      <c r="R903" s="49">
        <f t="shared" ref="R903" ca="1" si="5882">SUM(R900:R902)</f>
        <v>0</v>
      </c>
      <c r="S903" s="49">
        <f t="shared" ref="S903" ca="1" si="5883">SUM(S900:S902)</f>
        <v>0</v>
      </c>
      <c r="T903" s="49">
        <f t="shared" ref="T903" ca="1" si="5884">SUM(T900:T902)</f>
        <v>0</v>
      </c>
      <c r="U903" s="49">
        <f t="shared" ref="U903" ca="1" si="5885">SUM(U900:U902)</f>
        <v>0</v>
      </c>
      <c r="V903" s="49">
        <f t="shared" ref="V903" ca="1" si="5886">SUM(V900:V902)</f>
        <v>0</v>
      </c>
      <c r="W903" s="49">
        <f t="shared" ref="W903" ca="1" si="5887">SUM(W900:W902)</f>
        <v>0</v>
      </c>
      <c r="X903" s="49">
        <f t="shared" ref="X903" ca="1" si="5888">SUM(X900:X902)</f>
        <v>0</v>
      </c>
      <c r="Y903" s="49">
        <f t="shared" ref="Y903" ca="1" si="5889">SUM(Y900:Y902)</f>
        <v>0</v>
      </c>
      <c r="Z903" s="49">
        <f t="shared" ref="Z903" ca="1" si="5890">SUM(Z900:Z902)</f>
        <v>0</v>
      </c>
      <c r="AA903" s="49">
        <f t="shared" ref="AA903" ca="1" si="5891">SUM(AA900:AA902)</f>
        <v>0</v>
      </c>
      <c r="AB903" s="49">
        <f t="shared" ref="AB903" ca="1" si="5892">SUM(AB900:AB902)</f>
        <v>0</v>
      </c>
      <c r="AC903" s="49">
        <f t="shared" ref="AC903" ca="1" si="5893">SUM(AC900:AC902)</f>
        <v>338141.62452164292</v>
      </c>
      <c r="AD903" s="49">
        <f t="shared" ref="AD903" ca="1" si="5894">SUM(AD900:AD902)</f>
        <v>440005.76723055379</v>
      </c>
      <c r="AE903" s="49">
        <f t="shared" ref="AE903" ca="1" si="5895">SUM(AE900:AE902)</f>
        <v>260672.82539046044</v>
      </c>
      <c r="AF903" s="49">
        <f t="shared" ref="AF903" ca="1" si="5896">SUM(AF900:AF902)</f>
        <v>255812.13166513361</v>
      </c>
      <c r="AG903" s="49">
        <f t="shared" ref="AG903" ca="1" si="5897">SUM(AG900:AG902)</f>
        <v>403766.14720658405</v>
      </c>
      <c r="AH903" s="49">
        <f t="shared" ref="AH903" ca="1" si="5898">SUM(AH900:AH902)</f>
        <v>522978.28333688708</v>
      </c>
      <c r="AI903" s="49">
        <f t="shared" ref="AI903" ca="1" si="5899">SUM(AI900:AI902)</f>
        <v>308492.80577243457</v>
      </c>
      <c r="AJ903" s="49">
        <f t="shared" ref="AJ903" ca="1" si="5900">SUM(AJ900:AJ902)</f>
        <v>301517.23252263764</v>
      </c>
      <c r="AK903" s="49">
        <f t="shared" ref="AK903" ca="1" si="5901">SUM(AK900:AK902)</f>
        <v>474099.60510708601</v>
      </c>
      <c r="AL903" s="49">
        <f t="shared" ref="AL903" ca="1" si="5902">SUM(AL900:AL902)</f>
        <v>611884.59150415775</v>
      </c>
      <c r="AM903" s="49">
        <f t="shared" ref="AM903" ca="1" si="5903">SUM(AM900:AM902)</f>
        <v>359721.30806434201</v>
      </c>
      <c r="AN903" s="49">
        <f t="shared" ref="AN903" ca="1" si="5904">SUM(AN900:AN902)</f>
        <v>354363.54694961186</v>
      </c>
      <c r="AO903" s="49">
        <f t="shared" ref="AO903" ca="1" si="5905">SUM(AO900:AO902)</f>
        <v>549413.7138040968</v>
      </c>
      <c r="AP903" s="49">
        <f t="shared" ref="AP903" ca="1" si="5906">SUM(AP900:AP902)</f>
        <v>689389.97309468419</v>
      </c>
      <c r="AQ903" s="49">
        <f t="shared" ref="AQ903" ca="1" si="5907">SUM(AQ900:AQ902)</f>
        <v>394332.33121864055</v>
      </c>
      <c r="AR903" s="49">
        <f t="shared" ref="AR903" ca="1" si="5908">SUM(AR900:AR902)</f>
        <v>374080.01497537945</v>
      </c>
      <c r="AS903" s="49">
        <f t="shared" ref="AS903" ca="1" si="5909">SUM(AS900:AS902)</f>
        <v>571390.26235626079</v>
      </c>
      <c r="AT903" s="49">
        <f t="shared" ref="AT903" ca="1" si="5910">SUM(AT900:AT902)</f>
        <v>716965.57201847155</v>
      </c>
      <c r="AU903" s="49">
        <f t="shared" ref="AU903" ca="1" si="5911">SUM(AU900:AU902)</f>
        <v>410105.62446738622</v>
      </c>
      <c r="AV903" s="49">
        <f t="shared" ref="AV903" ca="1" si="5912">SUM(AV900:AV902)</f>
        <v>389043.21557439456</v>
      </c>
      <c r="AW903" s="49">
        <f t="shared" ref="AW903" ca="1" si="5913">SUM(AW900:AW902)</f>
        <v>586194.34381990484</v>
      </c>
      <c r="AX903" s="49">
        <f t="shared" ref="AX903" ca="1" si="5914">SUM(AX900:AX902)</f>
        <v>735541.34664056601</v>
      </c>
      <c r="AY903" s="49">
        <f t="shared" ref="AY903" ca="1" si="5915">SUM(AY900:AY902)</f>
        <v>420731.00168028718</v>
      </c>
      <c r="AZ903" s="49">
        <f t="shared" ref="AZ903" ca="1" si="5916">SUM(AZ900:AZ902)</f>
        <v>399122.8893729836</v>
      </c>
      <c r="BA903" s="49">
        <f t="shared" ref="BA903" ca="1" si="5917">SUM(BA900:BA902)</f>
        <v>609642.1175727006</v>
      </c>
      <c r="BB903" s="49">
        <f t="shared" ref="BB903" ca="1" si="5918">SUM(BB900:BB902)</f>
        <v>764963.00050618872</v>
      </c>
      <c r="BC903" s="49">
        <f t="shared" ref="BC903" ca="1" si="5919">SUM(BC900:BC902)</f>
        <v>437560.24174749863</v>
      </c>
      <c r="BD903" s="49">
        <f t="shared" ref="BD903" ca="1" si="5920">SUM(BD900:BD902)</f>
        <v>419699.8916695462</v>
      </c>
      <c r="BE903" s="49">
        <f t="shared" ref="BE903" ca="1" si="5921">SUM(BE900:BE902)</f>
        <v>634027.80227560853</v>
      </c>
      <c r="BF903" s="49">
        <f t="shared" ref="BF903" ca="1" si="5922">SUM(BF900:BF902)</f>
        <v>795561.52052643616</v>
      </c>
      <c r="BG903" s="49">
        <f t="shared" ref="BG903" ca="1" si="5923">SUM(BG900:BG902)</f>
        <v>455062.65141739853</v>
      </c>
      <c r="BH903" s="49">
        <f t="shared" ref="BH903" ca="1" si="5924">SUM(BH900:BH902)</f>
        <v>431691.3171458189</v>
      </c>
      <c r="BI903" s="49">
        <f t="shared" ref="BI903" ca="1" si="5925">SUM(BI900:BI902)</f>
        <v>659388.91436663305</v>
      </c>
      <c r="BJ903" s="49">
        <f t="shared" ref="BJ903" ca="1" si="5926">SUM(BJ900:BJ902)</f>
        <v>827383.98134749348</v>
      </c>
      <c r="BK903" s="49">
        <f t="shared" ref="BK903" ca="1" si="5927">SUM(BK900:BK902)</f>
        <v>473265.15747409436</v>
      </c>
      <c r="BL903" s="49">
        <f t="shared" ref="BL903" ca="1" si="5928">SUM(BL900:BL902)</f>
        <v>448958.96983165166</v>
      </c>
      <c r="BM903" s="49">
        <f t="shared" ref="BM903" ca="1" si="5929">SUM(BM900:BM902)</f>
        <v>685764.47094129818</v>
      </c>
      <c r="BN903" s="49">
        <f t="shared" ref="BN903" ca="1" si="5930">SUM(BN900:BN902)</f>
        <v>860479.34060139302</v>
      </c>
      <c r="BO903" s="49">
        <f t="shared" ref="BO903" ca="1" si="5931">SUM(BO900:BO902)</f>
        <v>492195.76377305796</v>
      </c>
      <c r="BP903" s="49">
        <f t="shared" ref="BP903" ca="1" si="5932">SUM(BP900:BP902)</f>
        <v>466917.32862491766</v>
      </c>
      <c r="BQ903" s="49">
        <f t="shared" ref="BQ903" ca="1" si="5933">SUM(BQ900:BQ902)</f>
        <v>713195.04977895005</v>
      </c>
      <c r="BR903" s="49">
        <f t="shared" ref="BR903" ca="1" si="5934">SUM(BR900:BR902)</f>
        <v>894898.5142254486</v>
      </c>
      <c r="BS903" s="49">
        <f t="shared" ref="BS903" ca="1" si="5935">SUM(BS900:BS902)</f>
        <v>511883.59432398004</v>
      </c>
      <c r="BT903" s="49">
        <f t="shared" ref="BT903" ca="1" si="5936">SUM(BT900:BT902)</f>
        <v>490989.51090069115</v>
      </c>
      <c r="BU903" s="49">
        <f t="shared" ref="BU903" ca="1" si="5937">SUM(BU900:BU902)</f>
        <v>741722.85177010787</v>
      </c>
      <c r="BV903" s="49">
        <f t="shared" ref="BV903" ca="1" si="5938">SUM(BV900:BV902)</f>
        <v>930694.45479446615</v>
      </c>
      <c r="BW903" s="49">
        <f t="shared" ref="BW903" ca="1" si="5939">SUM(BW900:BW902)</f>
        <v>532358.93809693924</v>
      </c>
      <c r="BX903" s="49">
        <f t="shared" ref="BX903" ca="1" si="5940">SUM(BX900:BX902)</f>
        <v>505017.78264071071</v>
      </c>
      <c r="BY903" s="49">
        <f t="shared" ref="BY903" ca="1" si="5941">SUM(BY900:BY902)</f>
        <v>771391.765840912</v>
      </c>
      <c r="BZ903" s="49">
        <f t="shared" ref="BZ903" ca="1" si="5942">SUM(BZ900:BZ902)</f>
        <v>967922.23298624507</v>
      </c>
      <c r="CA903" s="49">
        <f t="shared" ref="CA903" ca="1" si="5943">SUM(CA900:CA902)</f>
        <v>553653.29562081676</v>
      </c>
      <c r="CB903" s="49">
        <f t="shared" ref="CB903" ca="1" si="5944">SUM(CB900:CB902)</f>
        <v>525218.493946339</v>
      </c>
      <c r="CC903" s="49">
        <f t="shared" ref="CC903" ca="1" si="5945">SUM(CC900:CC902)</f>
        <v>802247.43647454854</v>
      </c>
      <c r="CD903" s="49">
        <f t="shared" ref="CD903" ca="1" si="5946">SUM(CD900:CD902)</f>
        <v>1006639.1223056949</v>
      </c>
      <c r="CE903" s="49">
        <f t="shared" ref="CE903" ca="1" si="5947">SUM(CE900:CE902)</f>
        <v>575799.4274456494</v>
      </c>
      <c r="CF903" s="49">
        <f t="shared" ref="CF903" ca="1" si="5948">SUM(CF900:CF902)</f>
        <v>546227.23370419256</v>
      </c>
      <c r="CG903" s="49">
        <f t="shared" ref="CG903" ca="1" si="5949">SUM(CG900:CG902)</f>
        <v>834337.33393353038</v>
      </c>
      <c r="CH903" s="49">
        <f t="shared" ref="CH903" ca="1" si="5950">SUM(CH900:CH902)</f>
        <v>1046904.6871979221</v>
      </c>
      <c r="CI903" s="49">
        <f t="shared" ref="CI903" ca="1" si="5951">SUM(CI900:CI902)</f>
        <v>598831.40454347548</v>
      </c>
      <c r="CJ903" s="49">
        <f t="shared" ref="CJ903" ca="1" si="5952">SUM(CJ900:CJ902)</f>
        <v>574388.28219738649</v>
      </c>
      <c r="CK903" s="49">
        <f t="shared" ref="CK903" ca="1" si="5953">SUM(CK900:CK902)</f>
        <v>867710.82729087165</v>
      </c>
      <c r="CL903" s="49">
        <f t="shared" ref="CL903" ca="1" si="5954">SUM(CL900:CL902)</f>
        <v>1088780.8746858391</v>
      </c>
      <c r="CM903" s="49">
        <f t="shared" ref="CM903" ca="1" si="5955">SUM(CM900:CM902)</f>
        <v>622784.66072521452</v>
      </c>
      <c r="CN903" s="49">
        <f t="shared" ref="CN903" ca="1" si="5956">SUM(CN900:CN902)</f>
        <v>590799.37597445468</v>
      </c>
      <c r="CO903" s="49">
        <f t="shared" ref="CO903" ca="1" si="5957">SUM(CO900:CO902)</f>
        <v>902419.2603825063</v>
      </c>
    </row>
    <row r="904" spans="1:93">
      <c r="A904" s="10"/>
      <c r="B904" s="10"/>
      <c r="C904" s="10"/>
      <c r="D904" s="10"/>
      <c r="E904" s="10"/>
      <c r="F904" s="10"/>
      <c r="G904" s="11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  <c r="BB904" s="10"/>
      <c r="BC904" s="10"/>
      <c r="BD904" s="10"/>
      <c r="BE904" s="10"/>
      <c r="BF904" s="10"/>
      <c r="BG904" s="10"/>
      <c r="BH904" s="10"/>
      <c r="BI904" s="10"/>
      <c r="BJ904" s="10"/>
      <c r="BK904" s="10"/>
      <c r="BL904" s="10"/>
      <c r="BM904" s="10"/>
      <c r="BN904" s="10"/>
      <c r="BO904" s="10"/>
      <c r="BP904" s="10"/>
      <c r="BQ904" s="10"/>
      <c r="BR904" s="10"/>
      <c r="BS904" s="10"/>
      <c r="BT904" s="10"/>
      <c r="BU904" s="10"/>
      <c r="BV904" s="10"/>
      <c r="BW904" s="10"/>
      <c r="BX904" s="10"/>
      <c r="BY904" s="10"/>
      <c r="BZ904" s="10"/>
      <c r="CA904" s="10"/>
      <c r="CB904" s="10"/>
      <c r="CC904" s="10"/>
      <c r="CD904" s="10"/>
      <c r="CE904" s="10"/>
      <c r="CF904" s="10"/>
      <c r="CG904" s="10"/>
      <c r="CH904" s="10"/>
      <c r="CI904" s="10"/>
      <c r="CJ904" s="10"/>
      <c r="CK904" s="10"/>
      <c r="CL904" s="10"/>
      <c r="CM904" s="10"/>
      <c r="CN904" s="10"/>
      <c r="CO904" s="10"/>
    </row>
    <row r="905" spans="1:93" ht="15" customHeight="1" thickBot="1">
      <c r="A905" s="10"/>
      <c r="B905" s="3"/>
      <c r="C905" s="384" t="str">
        <f>C770</f>
        <v>Сегмент 2: Развлекательный комплекс</v>
      </c>
      <c r="D905" s="273"/>
      <c r="E905" s="273"/>
      <c r="F905" s="273"/>
      <c r="G905" s="274"/>
      <c r="H905" s="273"/>
      <c r="I905" s="273"/>
      <c r="J905" s="273"/>
      <c r="K905" s="273"/>
      <c r="L905" s="273"/>
      <c r="M905" s="273"/>
      <c r="N905" s="273"/>
      <c r="O905" s="273"/>
      <c r="P905" s="273"/>
      <c r="Q905" s="273"/>
      <c r="R905" s="273"/>
      <c r="S905" s="273"/>
      <c r="T905" s="273"/>
      <c r="U905" s="273"/>
      <c r="V905" s="273"/>
      <c r="W905" s="273"/>
      <c r="X905" s="273"/>
      <c r="Y905" s="273"/>
      <c r="Z905" s="273"/>
      <c r="AA905" s="273"/>
      <c r="AB905" s="273"/>
      <c r="AC905" s="273"/>
      <c r="AD905" s="273"/>
      <c r="AE905" s="273"/>
      <c r="AF905" s="273"/>
      <c r="AG905" s="273"/>
      <c r="AH905" s="273"/>
      <c r="AI905" s="273"/>
      <c r="AJ905" s="273"/>
      <c r="AK905" s="273"/>
      <c r="AL905" s="273"/>
      <c r="AM905" s="273"/>
      <c r="AN905" s="273"/>
      <c r="AO905" s="273"/>
      <c r="AP905" s="273"/>
      <c r="AQ905" s="273"/>
      <c r="AR905" s="273"/>
      <c r="AS905" s="273"/>
      <c r="AT905" s="273"/>
      <c r="AU905" s="273"/>
      <c r="AV905" s="273"/>
      <c r="AW905" s="273"/>
      <c r="AX905" s="273"/>
      <c r="AY905" s="273"/>
      <c r="AZ905" s="273"/>
      <c r="BA905" s="273"/>
      <c r="BB905" s="273"/>
      <c r="BC905" s="273"/>
      <c r="BD905" s="273"/>
      <c r="BE905" s="273"/>
      <c r="BF905" s="273"/>
      <c r="BG905" s="273"/>
      <c r="BH905" s="273"/>
      <c r="BI905" s="273"/>
      <c r="BJ905" s="273"/>
      <c r="BK905" s="273"/>
      <c r="BL905" s="273"/>
      <c r="BM905" s="273"/>
      <c r="BN905" s="273"/>
      <c r="BO905" s="273"/>
      <c r="BP905" s="273"/>
      <c r="BQ905" s="273"/>
      <c r="BR905" s="273"/>
      <c r="BS905" s="273"/>
      <c r="BT905" s="273"/>
      <c r="BU905" s="273"/>
      <c r="BV905" s="273"/>
      <c r="BW905" s="273"/>
      <c r="BX905" s="273"/>
      <c r="BY905" s="273"/>
      <c r="BZ905" s="273"/>
      <c r="CA905" s="273"/>
      <c r="CB905" s="273"/>
      <c r="CC905" s="273"/>
      <c r="CD905" s="273"/>
      <c r="CE905" s="273"/>
      <c r="CF905" s="273"/>
      <c r="CG905" s="273"/>
      <c r="CH905" s="273"/>
      <c r="CI905" s="273"/>
      <c r="CJ905" s="273"/>
      <c r="CK905" s="273"/>
      <c r="CL905" s="273"/>
      <c r="CM905" s="273"/>
      <c r="CN905" s="273"/>
      <c r="CO905" s="273"/>
    </row>
    <row r="906" spans="1:93" hidden="1">
      <c r="A906" s="10"/>
      <c r="B906" s="10"/>
      <c r="C906" s="10"/>
      <c r="D906" s="10"/>
      <c r="E906" s="10"/>
      <c r="F906" s="10"/>
      <c r="G906" s="11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  <c r="BB906" s="10"/>
      <c r="BC906" s="10"/>
      <c r="BD906" s="10"/>
      <c r="BE906" s="10"/>
      <c r="BF906" s="10"/>
      <c r="BG906" s="10"/>
      <c r="BH906" s="10"/>
      <c r="BI906" s="10"/>
      <c r="BJ906" s="10"/>
      <c r="BK906" s="10"/>
      <c r="BL906" s="10"/>
      <c r="BM906" s="10"/>
      <c r="BN906" s="10"/>
      <c r="BO906" s="10"/>
      <c r="BP906" s="10"/>
      <c r="BQ906" s="10"/>
      <c r="BR906" s="10"/>
      <c r="BS906" s="10"/>
      <c r="BT906" s="10"/>
      <c r="BU906" s="10"/>
      <c r="BV906" s="10"/>
      <c r="BW906" s="10"/>
      <c r="BX906" s="10"/>
      <c r="BY906" s="10"/>
      <c r="BZ906" s="10"/>
      <c r="CA906" s="10"/>
      <c r="CB906" s="10"/>
      <c r="CC906" s="10"/>
      <c r="CD906" s="10"/>
      <c r="CE906" s="10"/>
      <c r="CF906" s="10"/>
      <c r="CG906" s="10"/>
      <c r="CH906" s="10"/>
      <c r="CI906" s="10"/>
      <c r="CJ906" s="10"/>
      <c r="CK906" s="10"/>
      <c r="CL906" s="10"/>
      <c r="CM906" s="10"/>
      <c r="CN906" s="10"/>
      <c r="CO906" s="10"/>
    </row>
    <row r="907" spans="1:93" ht="16" hidden="1" thickBot="1">
      <c r="A907" s="10"/>
      <c r="B907" s="10"/>
      <c r="C907" s="12" t="s">
        <v>915</v>
      </c>
      <c r="D907" s="12"/>
      <c r="E907" s="12"/>
      <c r="F907" s="12"/>
      <c r="G907" s="362"/>
      <c r="H907" s="12"/>
      <c r="I907" s="12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  <c r="BB907" s="10"/>
      <c r="BC907" s="10"/>
      <c r="BD907" s="10"/>
      <c r="BE907" s="10"/>
      <c r="BF907" s="10"/>
      <c r="BG907" s="10"/>
      <c r="BH907" s="10"/>
      <c r="BI907" s="10"/>
      <c r="BJ907" s="10"/>
      <c r="BK907" s="10"/>
      <c r="BL907" s="10"/>
      <c r="BM907" s="10"/>
      <c r="BN907" s="10"/>
      <c r="BO907" s="10"/>
      <c r="BP907" s="10"/>
      <c r="BQ907" s="10"/>
      <c r="BR907" s="10"/>
      <c r="BS907" s="10"/>
      <c r="BT907" s="10"/>
      <c r="BU907" s="10"/>
      <c r="BV907" s="10"/>
      <c r="BW907" s="10"/>
      <c r="BX907" s="10"/>
      <c r="BY907" s="10"/>
      <c r="BZ907" s="10"/>
      <c r="CA907" s="10"/>
      <c r="CB907" s="10"/>
      <c r="CC907" s="10"/>
      <c r="CD907" s="10"/>
      <c r="CE907" s="10"/>
      <c r="CF907" s="10"/>
      <c r="CG907" s="10"/>
      <c r="CH907" s="10"/>
      <c r="CI907" s="10"/>
      <c r="CJ907" s="10"/>
      <c r="CK907" s="10"/>
      <c r="CL907" s="10"/>
      <c r="CM907" s="10"/>
      <c r="CN907" s="10"/>
      <c r="CO907" s="10"/>
    </row>
    <row r="908" spans="1:93" hidden="1">
      <c r="A908" s="10"/>
      <c r="B908" s="10"/>
      <c r="C908" s="10"/>
      <c r="D908" s="10"/>
      <c r="E908" s="10"/>
      <c r="F908" s="10"/>
      <c r="G908" s="11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  <c r="BB908" s="10"/>
      <c r="BC908" s="10"/>
      <c r="BD908" s="10"/>
      <c r="BE908" s="10"/>
      <c r="BF908" s="10"/>
      <c r="BG908" s="10"/>
      <c r="BH908" s="10"/>
      <c r="BI908" s="10"/>
      <c r="BJ908" s="10"/>
      <c r="BK908" s="10"/>
      <c r="BL908" s="10"/>
      <c r="BM908" s="10"/>
      <c r="BN908" s="10"/>
      <c r="BO908" s="10"/>
      <c r="BP908" s="10"/>
      <c r="BQ908" s="10"/>
      <c r="BR908" s="10"/>
      <c r="BS908" s="10"/>
      <c r="BT908" s="10"/>
      <c r="BU908" s="10"/>
      <c r="BV908" s="10"/>
      <c r="BW908" s="10"/>
      <c r="BX908" s="10"/>
      <c r="BY908" s="10"/>
      <c r="BZ908" s="10"/>
      <c r="CA908" s="10"/>
      <c r="CB908" s="10"/>
      <c r="CC908" s="10"/>
      <c r="CD908" s="10"/>
      <c r="CE908" s="10"/>
      <c r="CF908" s="10"/>
      <c r="CG908" s="10"/>
      <c r="CH908" s="10"/>
      <c r="CI908" s="10"/>
      <c r="CJ908" s="10"/>
      <c r="CK908" s="10"/>
      <c r="CL908" s="10"/>
      <c r="CM908" s="10"/>
      <c r="CN908" s="10"/>
      <c r="CO908" s="10"/>
    </row>
    <row r="909" spans="1:93" hidden="1">
      <c r="A909" s="10"/>
      <c r="B909" s="10"/>
      <c r="C909" s="35" t="s">
        <v>910</v>
      </c>
      <c r="D909" s="10"/>
      <c r="E909" s="10"/>
      <c r="F909" s="10"/>
      <c r="G909" s="11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  <c r="BB909" s="10"/>
      <c r="BC909" s="10"/>
      <c r="BD909" s="10"/>
      <c r="BE909" s="10"/>
      <c r="BF909" s="10"/>
      <c r="BG909" s="10"/>
      <c r="BH909" s="10"/>
      <c r="BI909" s="10"/>
      <c r="BJ909" s="10"/>
      <c r="BK909" s="10"/>
      <c r="BL909" s="10"/>
      <c r="BM909" s="10"/>
      <c r="BN909" s="10"/>
      <c r="BO909" s="10"/>
      <c r="BP909" s="10"/>
      <c r="BQ909" s="10"/>
      <c r="BR909" s="10"/>
      <c r="BS909" s="10"/>
      <c r="BT909" s="10"/>
      <c r="BU909" s="10"/>
      <c r="BV909" s="10"/>
      <c r="BW909" s="10"/>
      <c r="BX909" s="10"/>
      <c r="BY909" s="10"/>
      <c r="BZ909" s="10"/>
      <c r="CA909" s="10"/>
      <c r="CB909" s="10"/>
      <c r="CC909" s="10"/>
      <c r="CD909" s="10"/>
      <c r="CE909" s="10"/>
      <c r="CF909" s="10"/>
      <c r="CG909" s="10"/>
      <c r="CH909" s="10"/>
      <c r="CI909" s="10"/>
      <c r="CJ909" s="10"/>
      <c r="CK909" s="10"/>
      <c r="CL909" s="10"/>
      <c r="CM909" s="10"/>
      <c r="CN909" s="10"/>
      <c r="CO909" s="10"/>
    </row>
    <row r="910" spans="1:93" hidden="1">
      <c r="A910" s="10"/>
      <c r="B910" s="10"/>
      <c r="C910" s="17" t="s">
        <v>911</v>
      </c>
      <c r="D910" s="10"/>
      <c r="E910" s="184">
        <f xml:space="preserve"> Предпосылки!E524</f>
        <v>0</v>
      </c>
      <c r="F910" s="10"/>
      <c r="G910" s="142" t="s">
        <v>914</v>
      </c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  <c r="BB910" s="10"/>
      <c r="BC910" s="10"/>
      <c r="BD910" s="10"/>
      <c r="BE910" s="10"/>
      <c r="BF910" s="10"/>
      <c r="BG910" s="10"/>
      <c r="BH910" s="10"/>
      <c r="BI910" s="10"/>
      <c r="BJ910" s="10"/>
      <c r="BK910" s="10"/>
      <c r="BL910" s="10"/>
      <c r="BM910" s="10"/>
      <c r="BN910" s="10"/>
      <c r="BO910" s="10"/>
      <c r="BP910" s="10"/>
      <c r="BQ910" s="10"/>
      <c r="BR910" s="10"/>
      <c r="BS910" s="10"/>
      <c r="BT910" s="10"/>
      <c r="BU910" s="10"/>
      <c r="BV910" s="10"/>
      <c r="BW910" s="10"/>
      <c r="BX910" s="10"/>
      <c r="BY910" s="10"/>
      <c r="BZ910" s="10"/>
      <c r="CA910" s="10"/>
      <c r="CB910" s="10"/>
      <c r="CC910" s="10"/>
      <c r="CD910" s="10"/>
      <c r="CE910" s="10"/>
      <c r="CF910" s="10"/>
      <c r="CG910" s="10"/>
      <c r="CH910" s="10"/>
      <c r="CI910" s="10"/>
      <c r="CJ910" s="10"/>
      <c r="CK910" s="10"/>
      <c r="CL910" s="10"/>
      <c r="CM910" s="10"/>
      <c r="CN910" s="10"/>
      <c r="CO910" s="10"/>
    </row>
    <row r="911" spans="1:93" hidden="1">
      <c r="A911" s="10"/>
      <c r="B911" s="10"/>
      <c r="C911" s="17" t="s">
        <v>912</v>
      </c>
      <c r="D911" s="10"/>
      <c r="E911" s="184">
        <f xml:space="preserve"> Предпосылки!E525</f>
        <v>0</v>
      </c>
      <c r="F911" s="10"/>
      <c r="G911" s="142" t="s">
        <v>914</v>
      </c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  <c r="BB911" s="10"/>
      <c r="BC911" s="10"/>
      <c r="BD911" s="10"/>
      <c r="BE911" s="10"/>
      <c r="BF911" s="10"/>
      <c r="BG911" s="10"/>
      <c r="BH911" s="10"/>
      <c r="BI911" s="10"/>
      <c r="BJ911" s="10"/>
      <c r="BK911" s="10"/>
      <c r="BL911" s="10"/>
      <c r="BM911" s="10"/>
      <c r="BN911" s="10"/>
      <c r="BO911" s="10"/>
      <c r="BP911" s="10"/>
      <c r="BQ911" s="10"/>
      <c r="BR911" s="10"/>
      <c r="BS911" s="10"/>
      <c r="BT911" s="10"/>
      <c r="BU911" s="10"/>
      <c r="BV911" s="10"/>
      <c r="BW911" s="10"/>
      <c r="BX911" s="10"/>
      <c r="BY911" s="10"/>
      <c r="BZ911" s="10"/>
      <c r="CA911" s="10"/>
      <c r="CB911" s="10"/>
      <c r="CC911" s="10"/>
      <c r="CD911" s="10"/>
      <c r="CE911" s="10"/>
      <c r="CF911" s="10"/>
      <c r="CG911" s="10"/>
      <c r="CH911" s="10"/>
      <c r="CI911" s="10"/>
      <c r="CJ911" s="10"/>
      <c r="CK911" s="10"/>
      <c r="CL911" s="10"/>
      <c r="CM911" s="10"/>
      <c r="CN911" s="10"/>
      <c r="CO911" s="10"/>
    </row>
    <row r="912" spans="1:93" hidden="1">
      <c r="A912" s="10"/>
      <c r="B912" s="10"/>
      <c r="C912" s="17" t="s">
        <v>934</v>
      </c>
      <c r="D912" s="10"/>
      <c r="E912" s="184">
        <f xml:space="preserve"> Предпосылки!E526</f>
        <v>0</v>
      </c>
      <c r="F912" s="10"/>
      <c r="G912" s="142" t="s">
        <v>914</v>
      </c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  <c r="BB912" s="10"/>
      <c r="BC912" s="10"/>
      <c r="BD912" s="10"/>
      <c r="BE912" s="10"/>
      <c r="BF912" s="10"/>
      <c r="BG912" s="10"/>
      <c r="BH912" s="10"/>
      <c r="BI912" s="10"/>
      <c r="BJ912" s="10"/>
      <c r="BK912" s="10"/>
      <c r="BL912" s="10"/>
      <c r="BM912" s="10"/>
      <c r="BN912" s="10"/>
      <c r="BO912" s="10"/>
      <c r="BP912" s="10"/>
      <c r="BQ912" s="10"/>
      <c r="BR912" s="10"/>
      <c r="BS912" s="10"/>
      <c r="BT912" s="10"/>
      <c r="BU912" s="10"/>
      <c r="BV912" s="10"/>
      <c r="BW912" s="10"/>
      <c r="BX912" s="10"/>
      <c r="BY912" s="10"/>
      <c r="BZ912" s="10"/>
      <c r="CA912" s="10"/>
      <c r="CB912" s="10"/>
      <c r="CC912" s="10"/>
      <c r="CD912" s="10"/>
      <c r="CE912" s="10"/>
      <c r="CF912" s="10"/>
      <c r="CG912" s="10"/>
      <c r="CH912" s="10"/>
      <c r="CI912" s="10"/>
      <c r="CJ912" s="10"/>
      <c r="CK912" s="10"/>
      <c r="CL912" s="10"/>
      <c r="CM912" s="10"/>
      <c r="CN912" s="10"/>
      <c r="CO912" s="10"/>
    </row>
    <row r="913" spans="1:93" hidden="1">
      <c r="A913" s="10"/>
      <c r="B913" s="10"/>
      <c r="C913" s="17" t="s">
        <v>913</v>
      </c>
      <c r="D913" s="10"/>
      <c r="E913" s="184">
        <f xml:space="preserve"> Предпосылки!E527</f>
        <v>0</v>
      </c>
      <c r="F913" s="10"/>
      <c r="G913" s="142" t="s">
        <v>914</v>
      </c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  <c r="BB913" s="10"/>
      <c r="BC913" s="10"/>
      <c r="BD913" s="10"/>
      <c r="BE913" s="10"/>
      <c r="BF913" s="10"/>
      <c r="BG913" s="10"/>
      <c r="BH913" s="10"/>
      <c r="BI913" s="10"/>
      <c r="BJ913" s="10"/>
      <c r="BK913" s="10"/>
      <c r="BL913" s="10"/>
      <c r="BM913" s="10"/>
      <c r="BN913" s="10"/>
      <c r="BO913" s="10"/>
      <c r="BP913" s="10"/>
      <c r="BQ913" s="10"/>
      <c r="BR913" s="10"/>
      <c r="BS913" s="10"/>
      <c r="BT913" s="10"/>
      <c r="BU913" s="10"/>
      <c r="BV913" s="10"/>
      <c r="BW913" s="10"/>
      <c r="BX913" s="10"/>
      <c r="BY913" s="10"/>
      <c r="BZ913" s="10"/>
      <c r="CA913" s="10"/>
      <c r="CB913" s="10"/>
      <c r="CC913" s="10"/>
      <c r="CD913" s="10"/>
      <c r="CE913" s="10"/>
      <c r="CF913" s="10"/>
      <c r="CG913" s="10"/>
      <c r="CH913" s="10"/>
      <c r="CI913" s="10"/>
      <c r="CJ913" s="10"/>
      <c r="CK913" s="10"/>
      <c r="CL913" s="10"/>
      <c r="CM913" s="10"/>
      <c r="CN913" s="10"/>
      <c r="CO913" s="10"/>
    </row>
    <row r="914" spans="1:93" hidden="1">
      <c r="A914" s="10"/>
      <c r="B914" s="10"/>
      <c r="C914" s="10"/>
      <c r="D914" s="10"/>
      <c r="E914" s="59"/>
      <c r="F914" s="3"/>
      <c r="G914" s="142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  <c r="BB914" s="10"/>
      <c r="BC914" s="10"/>
      <c r="BD914" s="10"/>
      <c r="BE914" s="10"/>
      <c r="BF914" s="10"/>
      <c r="BG914" s="10"/>
      <c r="BH914" s="10"/>
      <c r="BI914" s="10"/>
      <c r="BJ914" s="10"/>
      <c r="BK914" s="10"/>
      <c r="BL914" s="10"/>
      <c r="BM914" s="10"/>
      <c r="BN914" s="10"/>
      <c r="BO914" s="10"/>
      <c r="BP914" s="10"/>
      <c r="BQ914" s="10"/>
      <c r="BR914" s="10"/>
      <c r="BS914" s="10"/>
      <c r="BT914" s="10"/>
      <c r="BU914" s="10"/>
      <c r="BV914" s="10"/>
      <c r="BW914" s="10"/>
      <c r="BX914" s="10"/>
      <c r="BY914" s="10"/>
      <c r="BZ914" s="10"/>
      <c r="CA914" s="10"/>
      <c r="CB914" s="10"/>
      <c r="CC914" s="10"/>
      <c r="CD914" s="10"/>
      <c r="CE914" s="10"/>
      <c r="CF914" s="10"/>
      <c r="CG914" s="10"/>
      <c r="CH914" s="10"/>
      <c r="CI914" s="10"/>
      <c r="CJ914" s="10"/>
      <c r="CK914" s="10"/>
      <c r="CL914" s="10"/>
      <c r="CM914" s="10"/>
      <c r="CN914" s="10"/>
      <c r="CO914" s="10"/>
    </row>
    <row r="915" spans="1:93" hidden="1">
      <c r="A915" s="10"/>
      <c r="B915" s="10"/>
      <c r="C915" s="35" t="s">
        <v>1198</v>
      </c>
      <c r="D915" s="10"/>
      <c r="E915" s="59"/>
      <c r="F915" s="3"/>
      <c r="G915" s="142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  <c r="BB915" s="10"/>
      <c r="BC915" s="10"/>
      <c r="BD915" s="10"/>
      <c r="BE915" s="10"/>
      <c r="BF915" s="10"/>
      <c r="BG915" s="10"/>
      <c r="BH915" s="10"/>
      <c r="BI915" s="10"/>
      <c r="BJ915" s="10"/>
      <c r="BK915" s="10"/>
      <c r="BL915" s="10"/>
      <c r="BM915" s="10"/>
      <c r="BN915" s="10"/>
      <c r="BO915" s="10"/>
      <c r="BP915" s="10"/>
      <c r="BQ915" s="10"/>
      <c r="BR915" s="10"/>
      <c r="BS915" s="10"/>
      <c r="BT915" s="10"/>
      <c r="BU915" s="10"/>
      <c r="BV915" s="10"/>
      <c r="BW915" s="10"/>
      <c r="BX915" s="10"/>
      <c r="BY915" s="10"/>
      <c r="BZ915" s="10"/>
      <c r="CA915" s="10"/>
      <c r="CB915" s="10"/>
      <c r="CC915" s="10"/>
      <c r="CD915" s="10"/>
      <c r="CE915" s="10"/>
      <c r="CF915" s="10"/>
      <c r="CG915" s="10"/>
      <c r="CH915" s="10"/>
      <c r="CI915" s="10"/>
      <c r="CJ915" s="10"/>
      <c r="CK915" s="10"/>
      <c r="CL915" s="10"/>
      <c r="CM915" s="10"/>
      <c r="CN915" s="10"/>
      <c r="CO915" s="10"/>
    </row>
    <row r="916" spans="1:93" hidden="1">
      <c r="A916" s="10"/>
      <c r="B916" s="10"/>
      <c r="C916" s="17" t="s">
        <v>1056</v>
      </c>
      <c r="D916" s="10"/>
      <c r="E916" s="178">
        <f>Предпосылки!$E$666</f>
        <v>0.22</v>
      </c>
      <c r="F916" s="3"/>
      <c r="G916" s="142" t="s">
        <v>28</v>
      </c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  <c r="BB916" s="10"/>
      <c r="BC916" s="10"/>
      <c r="BD916" s="10"/>
      <c r="BE916" s="10"/>
      <c r="BF916" s="10"/>
      <c r="BG916" s="10"/>
      <c r="BH916" s="10"/>
      <c r="BI916" s="10"/>
      <c r="BJ916" s="10"/>
      <c r="BK916" s="10"/>
      <c r="BL916" s="10"/>
      <c r="BM916" s="10"/>
      <c r="BN916" s="10"/>
      <c r="BO916" s="10"/>
      <c r="BP916" s="10"/>
      <c r="BQ916" s="10"/>
      <c r="BR916" s="10"/>
      <c r="BS916" s="10"/>
      <c r="BT916" s="10"/>
      <c r="BU916" s="10"/>
      <c r="BV916" s="10"/>
      <c r="BW916" s="10"/>
      <c r="BX916" s="10"/>
      <c r="BY916" s="10"/>
      <c r="BZ916" s="10"/>
      <c r="CA916" s="10"/>
      <c r="CB916" s="10"/>
      <c r="CC916" s="10"/>
      <c r="CD916" s="10"/>
      <c r="CE916" s="10"/>
      <c r="CF916" s="10"/>
      <c r="CG916" s="10"/>
      <c r="CH916" s="10"/>
      <c r="CI916" s="10"/>
      <c r="CJ916" s="10"/>
      <c r="CK916" s="10"/>
      <c r="CL916" s="10"/>
      <c r="CM916" s="10"/>
      <c r="CN916" s="10"/>
      <c r="CO916" s="10"/>
    </row>
    <row r="917" spans="1:93" hidden="1">
      <c r="A917" s="10"/>
      <c r="B917" s="10"/>
      <c r="C917" s="17" t="s">
        <v>1057</v>
      </c>
      <c r="D917" s="10"/>
      <c r="E917" s="178">
        <f>Предпосылки!$E$667</f>
        <v>2.9000000000000001E-2</v>
      </c>
      <c r="F917" s="3"/>
      <c r="G917" s="142" t="s">
        <v>28</v>
      </c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  <c r="BB917" s="10"/>
      <c r="BC917" s="10"/>
      <c r="BD917" s="10"/>
      <c r="BE917" s="10"/>
      <c r="BF917" s="10"/>
      <c r="BG917" s="10"/>
      <c r="BH917" s="10"/>
      <c r="BI917" s="10"/>
      <c r="BJ917" s="10"/>
      <c r="BK917" s="10"/>
      <c r="BL917" s="10"/>
      <c r="BM917" s="10"/>
      <c r="BN917" s="10"/>
      <c r="BO917" s="10"/>
      <c r="BP917" s="10"/>
      <c r="BQ917" s="10"/>
      <c r="BR917" s="10"/>
      <c r="BS917" s="10"/>
      <c r="BT917" s="10"/>
      <c r="BU917" s="10"/>
      <c r="BV917" s="10"/>
      <c r="BW917" s="10"/>
      <c r="BX917" s="10"/>
      <c r="BY917" s="10"/>
      <c r="BZ917" s="10"/>
      <c r="CA917" s="10"/>
      <c r="CB917" s="10"/>
      <c r="CC917" s="10"/>
      <c r="CD917" s="10"/>
      <c r="CE917" s="10"/>
      <c r="CF917" s="10"/>
      <c r="CG917" s="10"/>
      <c r="CH917" s="10"/>
      <c r="CI917" s="10"/>
      <c r="CJ917" s="10"/>
      <c r="CK917" s="10"/>
      <c r="CL917" s="10"/>
      <c r="CM917" s="10"/>
      <c r="CN917" s="10"/>
      <c r="CO917" s="10"/>
    </row>
    <row r="918" spans="1:93" hidden="1">
      <c r="A918" s="10"/>
      <c r="B918" s="10"/>
      <c r="C918" s="17" t="s">
        <v>1058</v>
      </c>
      <c r="D918" s="10"/>
      <c r="E918" s="178">
        <f>Предпосылки!$E$668</f>
        <v>5.0999999999999997E-2</v>
      </c>
      <c r="F918" s="3"/>
      <c r="G918" s="142" t="s">
        <v>28</v>
      </c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  <c r="BB918" s="10"/>
      <c r="BC918" s="10"/>
      <c r="BD918" s="10"/>
      <c r="BE918" s="10"/>
      <c r="BF918" s="10"/>
      <c r="BG918" s="10"/>
      <c r="BH918" s="10"/>
      <c r="BI918" s="10"/>
      <c r="BJ918" s="10"/>
      <c r="BK918" s="10"/>
      <c r="BL918" s="10"/>
      <c r="BM918" s="10"/>
      <c r="BN918" s="10"/>
      <c r="BO918" s="10"/>
      <c r="BP918" s="10"/>
      <c r="BQ918" s="10"/>
      <c r="BR918" s="10"/>
      <c r="BS918" s="10"/>
      <c r="BT918" s="10"/>
      <c r="BU918" s="10"/>
      <c r="BV918" s="10"/>
      <c r="BW918" s="10"/>
      <c r="BX918" s="10"/>
      <c r="BY918" s="10"/>
      <c r="BZ918" s="10"/>
      <c r="CA918" s="10"/>
      <c r="CB918" s="10"/>
      <c r="CC918" s="10"/>
      <c r="CD918" s="10"/>
      <c r="CE918" s="10"/>
      <c r="CF918" s="10"/>
      <c r="CG918" s="10"/>
      <c r="CH918" s="10"/>
      <c r="CI918" s="10"/>
      <c r="CJ918" s="10"/>
      <c r="CK918" s="10"/>
      <c r="CL918" s="10"/>
      <c r="CM918" s="10"/>
      <c r="CN918" s="10"/>
      <c r="CO918" s="10"/>
    </row>
    <row r="919" spans="1:93" hidden="1">
      <c r="A919" s="10"/>
      <c r="B919" s="10"/>
      <c r="C919" s="17" t="s">
        <v>1059</v>
      </c>
      <c r="D919" s="10"/>
      <c r="E919" s="178">
        <f>Предпосылки!$E$669</f>
        <v>2E-3</v>
      </c>
      <c r="F919" s="3"/>
      <c r="G919" s="142" t="s">
        <v>28</v>
      </c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  <c r="BB919" s="10"/>
      <c r="BC919" s="10"/>
      <c r="BD919" s="10"/>
      <c r="BE919" s="10"/>
      <c r="BF919" s="10"/>
      <c r="BG919" s="10"/>
      <c r="BH919" s="10"/>
      <c r="BI919" s="10"/>
      <c r="BJ919" s="10"/>
      <c r="BK919" s="10"/>
      <c r="BL919" s="10"/>
      <c r="BM919" s="10"/>
      <c r="BN919" s="10"/>
      <c r="BO919" s="10"/>
      <c r="BP919" s="10"/>
      <c r="BQ919" s="10"/>
      <c r="BR919" s="10"/>
      <c r="BS919" s="10"/>
      <c r="BT919" s="10"/>
      <c r="BU919" s="10"/>
      <c r="BV919" s="10"/>
      <c r="BW919" s="10"/>
      <c r="BX919" s="10"/>
      <c r="BY919" s="10"/>
      <c r="BZ919" s="10"/>
      <c r="CA919" s="10"/>
      <c r="CB919" s="10"/>
      <c r="CC919" s="10"/>
      <c r="CD919" s="10"/>
      <c r="CE919" s="10"/>
      <c r="CF919" s="10"/>
      <c r="CG919" s="10"/>
      <c r="CH919" s="10"/>
      <c r="CI919" s="10"/>
      <c r="CJ919" s="10"/>
      <c r="CK919" s="10"/>
      <c r="CL919" s="10"/>
      <c r="CM919" s="10"/>
      <c r="CN919" s="10"/>
      <c r="CO919" s="10"/>
    </row>
    <row r="920" spans="1:93" hidden="1">
      <c r="A920" s="10"/>
      <c r="B920" s="10"/>
      <c r="C920" s="10"/>
      <c r="D920" s="10"/>
      <c r="E920" s="10"/>
      <c r="F920" s="10"/>
      <c r="G920" s="11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  <c r="BB920" s="10"/>
      <c r="BC920" s="10"/>
      <c r="BD920" s="10"/>
      <c r="BE920" s="10"/>
      <c r="BF920" s="10"/>
      <c r="BG920" s="10"/>
      <c r="BH920" s="10"/>
      <c r="BI920" s="10"/>
      <c r="BJ920" s="10"/>
      <c r="BK920" s="10"/>
      <c r="BL920" s="10"/>
      <c r="BM920" s="10"/>
      <c r="BN920" s="10"/>
      <c r="BO920" s="10"/>
      <c r="BP920" s="10"/>
      <c r="BQ920" s="10"/>
      <c r="BR920" s="10"/>
      <c r="BS920" s="10"/>
      <c r="BT920" s="10"/>
      <c r="BU920" s="10"/>
      <c r="BV920" s="10"/>
      <c r="BW920" s="10"/>
      <c r="BX920" s="10"/>
      <c r="BY920" s="10"/>
      <c r="BZ920" s="10"/>
      <c r="CA920" s="10"/>
      <c r="CB920" s="10"/>
      <c r="CC920" s="10"/>
      <c r="CD920" s="10"/>
      <c r="CE920" s="10"/>
      <c r="CF920" s="10"/>
      <c r="CG920" s="10"/>
      <c r="CH920" s="10"/>
      <c r="CI920" s="10"/>
      <c r="CJ920" s="10"/>
      <c r="CK920" s="10"/>
      <c r="CL920" s="10"/>
      <c r="CM920" s="10"/>
      <c r="CN920" s="10"/>
      <c r="CO920" s="10"/>
    </row>
    <row r="921" spans="1:93" hidden="1">
      <c r="A921" s="10"/>
      <c r="B921" s="10"/>
      <c r="C921" s="35" t="s">
        <v>935</v>
      </c>
      <c r="D921" s="10"/>
      <c r="E921" s="10"/>
      <c r="F921" s="10"/>
      <c r="G921" s="11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  <c r="BB921" s="10"/>
      <c r="BC921" s="10"/>
      <c r="BD921" s="10"/>
      <c r="BE921" s="10"/>
      <c r="BF921" s="10"/>
      <c r="BG921" s="10"/>
      <c r="BH921" s="10"/>
      <c r="BI921" s="10"/>
      <c r="BJ921" s="10"/>
      <c r="BK921" s="10"/>
      <c r="BL921" s="10"/>
      <c r="BM921" s="10"/>
      <c r="BN921" s="10"/>
      <c r="BO921" s="10"/>
      <c r="BP921" s="10"/>
      <c r="BQ921" s="10"/>
      <c r="BR921" s="10"/>
      <c r="BS921" s="10"/>
      <c r="BT921" s="10"/>
      <c r="BU921" s="10"/>
      <c r="BV921" s="10"/>
      <c r="BW921" s="10"/>
      <c r="BX921" s="10"/>
      <c r="BY921" s="10"/>
      <c r="BZ921" s="10"/>
      <c r="CA921" s="10"/>
      <c r="CB921" s="10"/>
      <c r="CC921" s="10"/>
      <c r="CD921" s="10"/>
      <c r="CE921" s="10"/>
      <c r="CF921" s="10"/>
      <c r="CG921" s="10"/>
      <c r="CH921" s="10"/>
      <c r="CI921" s="10"/>
      <c r="CJ921" s="10"/>
      <c r="CK921" s="10"/>
      <c r="CL921" s="10"/>
      <c r="CM921" s="10"/>
      <c r="CN921" s="10"/>
      <c r="CO921" s="10"/>
    </row>
    <row r="922" spans="1:93" hidden="1">
      <c r="A922" s="10"/>
      <c r="B922" s="10"/>
      <c r="C922" s="17" t="s">
        <v>918</v>
      </c>
      <c r="D922" s="10"/>
      <c r="E922" s="184">
        <f xml:space="preserve"> Предпосылки!E530</f>
        <v>0</v>
      </c>
      <c r="F922" s="10"/>
      <c r="G922" s="142" t="s">
        <v>914</v>
      </c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  <c r="BB922" s="10"/>
      <c r="BC922" s="10"/>
      <c r="BD922" s="10"/>
      <c r="BE922" s="10"/>
      <c r="BF922" s="10"/>
      <c r="BG922" s="10"/>
      <c r="BH922" s="10"/>
      <c r="BI922" s="10"/>
      <c r="BJ922" s="10"/>
      <c r="BK922" s="10"/>
      <c r="BL922" s="10"/>
      <c r="BM922" s="10"/>
      <c r="BN922" s="10"/>
      <c r="BO922" s="10"/>
      <c r="BP922" s="10"/>
      <c r="BQ922" s="10"/>
      <c r="BR922" s="10"/>
      <c r="BS922" s="10"/>
      <c r="BT922" s="10"/>
      <c r="BU922" s="10"/>
      <c r="BV922" s="10"/>
      <c r="BW922" s="10"/>
      <c r="BX922" s="10"/>
      <c r="BY922" s="10"/>
      <c r="BZ922" s="10"/>
      <c r="CA922" s="10"/>
      <c r="CB922" s="10"/>
      <c r="CC922" s="10"/>
      <c r="CD922" s="10"/>
      <c r="CE922" s="10"/>
      <c r="CF922" s="10"/>
      <c r="CG922" s="10"/>
      <c r="CH922" s="10"/>
      <c r="CI922" s="10"/>
      <c r="CJ922" s="10"/>
      <c r="CK922" s="10"/>
      <c r="CL922" s="10"/>
      <c r="CM922" s="10"/>
      <c r="CN922" s="10"/>
      <c r="CO922" s="10"/>
    </row>
    <row r="923" spans="1:93" hidden="1">
      <c r="A923" s="10"/>
      <c r="B923" s="10"/>
      <c r="C923" s="17" t="s">
        <v>919</v>
      </c>
      <c r="D923" s="10"/>
      <c r="E923" s="184">
        <f xml:space="preserve"> Предпосылки!E531</f>
        <v>0</v>
      </c>
      <c r="F923" s="10"/>
      <c r="G923" s="142" t="s">
        <v>914</v>
      </c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  <c r="BB923" s="10"/>
      <c r="BC923" s="10"/>
      <c r="BD923" s="10"/>
      <c r="BE923" s="10"/>
      <c r="BF923" s="10"/>
      <c r="BG923" s="10"/>
      <c r="BH923" s="10"/>
      <c r="BI923" s="10"/>
      <c r="BJ923" s="10"/>
      <c r="BK923" s="10"/>
      <c r="BL923" s="10"/>
      <c r="BM923" s="10"/>
      <c r="BN923" s="10"/>
      <c r="BO923" s="10"/>
      <c r="BP923" s="10"/>
      <c r="BQ923" s="10"/>
      <c r="BR923" s="10"/>
      <c r="BS923" s="10"/>
      <c r="BT923" s="10"/>
      <c r="BU923" s="10"/>
      <c r="BV923" s="10"/>
      <c r="BW923" s="10"/>
      <c r="BX923" s="10"/>
      <c r="BY923" s="10"/>
      <c r="BZ923" s="10"/>
      <c r="CA923" s="10"/>
      <c r="CB923" s="10"/>
      <c r="CC923" s="10"/>
      <c r="CD923" s="10"/>
      <c r="CE923" s="10"/>
      <c r="CF923" s="10"/>
      <c r="CG923" s="10"/>
      <c r="CH923" s="10"/>
      <c r="CI923" s="10"/>
      <c r="CJ923" s="10"/>
      <c r="CK923" s="10"/>
      <c r="CL923" s="10"/>
      <c r="CM923" s="10"/>
      <c r="CN923" s="10"/>
      <c r="CO923" s="10"/>
    </row>
    <row r="924" spans="1:93" hidden="1">
      <c r="A924" s="10"/>
      <c r="B924" s="10"/>
      <c r="C924" s="17" t="s">
        <v>936</v>
      </c>
      <c r="D924" s="10"/>
      <c r="E924" s="184">
        <f xml:space="preserve"> Предпосылки!E532</f>
        <v>0</v>
      </c>
      <c r="F924" s="10"/>
      <c r="G924" s="142" t="s">
        <v>914</v>
      </c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  <c r="BB924" s="10"/>
      <c r="BC924" s="10"/>
      <c r="BD924" s="10"/>
      <c r="BE924" s="10"/>
      <c r="BF924" s="10"/>
      <c r="BG924" s="10"/>
      <c r="BH924" s="10"/>
      <c r="BI924" s="10"/>
      <c r="BJ924" s="10"/>
      <c r="BK924" s="10"/>
      <c r="BL924" s="10"/>
      <c r="BM924" s="10"/>
      <c r="BN924" s="10"/>
      <c r="BO924" s="10"/>
      <c r="BP924" s="10"/>
      <c r="BQ924" s="10"/>
      <c r="BR924" s="10"/>
      <c r="BS924" s="10"/>
      <c r="BT924" s="10"/>
      <c r="BU924" s="10"/>
      <c r="BV924" s="10"/>
      <c r="BW924" s="10"/>
      <c r="BX924" s="10"/>
      <c r="BY924" s="10"/>
      <c r="BZ924" s="10"/>
      <c r="CA924" s="10"/>
      <c r="CB924" s="10"/>
      <c r="CC924" s="10"/>
      <c r="CD924" s="10"/>
      <c r="CE924" s="10"/>
      <c r="CF924" s="10"/>
      <c r="CG924" s="10"/>
      <c r="CH924" s="10"/>
      <c r="CI924" s="10"/>
      <c r="CJ924" s="10"/>
      <c r="CK924" s="10"/>
      <c r="CL924" s="10"/>
      <c r="CM924" s="10"/>
      <c r="CN924" s="10"/>
      <c r="CO924" s="10"/>
    </row>
    <row r="925" spans="1:93" hidden="1">
      <c r="A925" s="10"/>
      <c r="B925" s="10"/>
      <c r="C925" s="10"/>
      <c r="D925" s="10"/>
      <c r="E925" s="10"/>
      <c r="F925" s="10"/>
      <c r="G925" s="11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  <c r="BB925" s="10"/>
      <c r="BC925" s="10"/>
      <c r="BD925" s="10"/>
      <c r="BE925" s="10"/>
      <c r="BF925" s="10"/>
      <c r="BG925" s="10"/>
      <c r="BH925" s="10"/>
      <c r="BI925" s="10"/>
      <c r="BJ925" s="10"/>
      <c r="BK925" s="10"/>
      <c r="BL925" s="10"/>
      <c r="BM925" s="10"/>
      <c r="BN925" s="10"/>
      <c r="BO925" s="10"/>
      <c r="BP925" s="10"/>
      <c r="BQ925" s="10"/>
      <c r="BR925" s="10"/>
      <c r="BS925" s="10"/>
      <c r="BT925" s="10"/>
      <c r="BU925" s="10"/>
      <c r="BV925" s="10"/>
      <c r="BW925" s="10"/>
      <c r="BX925" s="10"/>
      <c r="BY925" s="10"/>
      <c r="BZ925" s="10"/>
      <c r="CA925" s="10"/>
      <c r="CB925" s="10"/>
      <c r="CC925" s="10"/>
      <c r="CD925" s="10"/>
      <c r="CE925" s="10"/>
      <c r="CF925" s="10"/>
      <c r="CG925" s="10"/>
      <c r="CH925" s="10"/>
      <c r="CI925" s="10"/>
      <c r="CJ925" s="10"/>
      <c r="CK925" s="10"/>
      <c r="CL925" s="10"/>
      <c r="CM925" s="10"/>
      <c r="CN925" s="10"/>
      <c r="CO925" s="10"/>
    </row>
    <row r="926" spans="1:93" hidden="1">
      <c r="A926" s="10"/>
      <c r="B926" s="10"/>
      <c r="C926" s="35" t="s">
        <v>920</v>
      </c>
      <c r="D926" s="10"/>
      <c r="E926" s="10"/>
      <c r="F926" s="10"/>
      <c r="G926" s="11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  <c r="BB926" s="10"/>
      <c r="BC926" s="10"/>
      <c r="BD926" s="10"/>
      <c r="BE926" s="10"/>
      <c r="BF926" s="10"/>
      <c r="BG926" s="10"/>
      <c r="BH926" s="10"/>
      <c r="BI926" s="10"/>
      <c r="BJ926" s="10"/>
      <c r="BK926" s="10"/>
      <c r="BL926" s="10"/>
      <c r="BM926" s="10"/>
      <c r="BN926" s="10"/>
      <c r="BO926" s="10"/>
      <c r="BP926" s="10"/>
      <c r="BQ926" s="10"/>
      <c r="BR926" s="10"/>
      <c r="BS926" s="10"/>
      <c r="BT926" s="10"/>
      <c r="BU926" s="10"/>
      <c r="BV926" s="10"/>
      <c r="BW926" s="10"/>
      <c r="BX926" s="10"/>
      <c r="BY926" s="10"/>
      <c r="BZ926" s="10"/>
      <c r="CA926" s="10"/>
      <c r="CB926" s="10"/>
      <c r="CC926" s="10"/>
      <c r="CD926" s="10"/>
      <c r="CE926" s="10"/>
      <c r="CF926" s="10"/>
      <c r="CG926" s="10"/>
      <c r="CH926" s="10"/>
      <c r="CI926" s="10"/>
      <c r="CJ926" s="10"/>
      <c r="CK926" s="10"/>
      <c r="CL926" s="10"/>
      <c r="CM926" s="10"/>
      <c r="CN926" s="10"/>
      <c r="CO926" s="10"/>
    </row>
    <row r="927" spans="1:93" hidden="1">
      <c r="A927" s="10"/>
      <c r="B927" s="10"/>
      <c r="C927" s="17" t="s">
        <v>918</v>
      </c>
      <c r="D927" s="10"/>
      <c r="E927" s="184">
        <f xml:space="preserve"> Предпосылки!E535</f>
        <v>0</v>
      </c>
      <c r="F927" s="10"/>
      <c r="G927" s="142" t="s">
        <v>914</v>
      </c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  <c r="BB927" s="10"/>
      <c r="BC927" s="10"/>
      <c r="BD927" s="10"/>
      <c r="BE927" s="10"/>
      <c r="BF927" s="10"/>
      <c r="BG927" s="10"/>
      <c r="BH927" s="10"/>
      <c r="BI927" s="10"/>
      <c r="BJ927" s="10"/>
      <c r="BK927" s="10"/>
      <c r="BL927" s="10"/>
      <c r="BM927" s="10"/>
      <c r="BN927" s="10"/>
      <c r="BO927" s="10"/>
      <c r="BP927" s="10"/>
      <c r="BQ927" s="10"/>
      <c r="BR927" s="10"/>
      <c r="BS927" s="10"/>
      <c r="BT927" s="10"/>
      <c r="BU927" s="10"/>
      <c r="BV927" s="10"/>
      <c r="BW927" s="10"/>
      <c r="BX927" s="10"/>
      <c r="BY927" s="10"/>
      <c r="BZ927" s="10"/>
      <c r="CA927" s="10"/>
      <c r="CB927" s="10"/>
      <c r="CC927" s="10"/>
      <c r="CD927" s="10"/>
      <c r="CE927" s="10"/>
      <c r="CF927" s="10"/>
      <c r="CG927" s="10"/>
      <c r="CH927" s="10"/>
      <c r="CI927" s="10"/>
      <c r="CJ927" s="10"/>
      <c r="CK927" s="10"/>
      <c r="CL927" s="10"/>
      <c r="CM927" s="10"/>
      <c r="CN927" s="10"/>
      <c r="CO927" s="10"/>
    </row>
    <row r="928" spans="1:93" hidden="1">
      <c r="A928" s="10"/>
      <c r="B928" s="10"/>
      <c r="C928" s="17" t="s">
        <v>919</v>
      </c>
      <c r="D928" s="10"/>
      <c r="E928" s="184">
        <f xml:space="preserve"> Предпосылки!E536</f>
        <v>0</v>
      </c>
      <c r="F928" s="10"/>
      <c r="G928" s="142" t="s">
        <v>914</v>
      </c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  <c r="BB928" s="10"/>
      <c r="BC928" s="10"/>
      <c r="BD928" s="10"/>
      <c r="BE928" s="10"/>
      <c r="BF928" s="10"/>
      <c r="BG928" s="10"/>
      <c r="BH928" s="10"/>
      <c r="BI928" s="10"/>
      <c r="BJ928" s="10"/>
      <c r="BK928" s="10"/>
      <c r="BL928" s="10"/>
      <c r="BM928" s="10"/>
      <c r="BN928" s="10"/>
      <c r="BO928" s="10"/>
      <c r="BP928" s="10"/>
      <c r="BQ928" s="10"/>
      <c r="BR928" s="10"/>
      <c r="BS928" s="10"/>
      <c r="BT928" s="10"/>
      <c r="BU928" s="10"/>
      <c r="BV928" s="10"/>
      <c r="BW928" s="10"/>
      <c r="BX928" s="10"/>
      <c r="BY928" s="10"/>
      <c r="BZ928" s="10"/>
      <c r="CA928" s="10"/>
      <c r="CB928" s="10"/>
      <c r="CC928" s="10"/>
      <c r="CD928" s="10"/>
      <c r="CE928" s="10"/>
      <c r="CF928" s="10"/>
      <c r="CG928" s="10"/>
      <c r="CH928" s="10"/>
      <c r="CI928" s="10"/>
      <c r="CJ928" s="10"/>
      <c r="CK928" s="10"/>
      <c r="CL928" s="10"/>
      <c r="CM928" s="10"/>
      <c r="CN928" s="10"/>
      <c r="CO928" s="10"/>
    </row>
    <row r="929" spans="1:93" hidden="1">
      <c r="A929" s="10"/>
      <c r="B929" s="10"/>
      <c r="C929" s="17" t="s">
        <v>936</v>
      </c>
      <c r="D929" s="10"/>
      <c r="E929" s="184">
        <f xml:space="preserve"> Предпосылки!E537</f>
        <v>0</v>
      </c>
      <c r="F929" s="10"/>
      <c r="G929" s="142" t="s">
        <v>914</v>
      </c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  <c r="BB929" s="10"/>
      <c r="BC929" s="10"/>
      <c r="BD929" s="10"/>
      <c r="BE929" s="10"/>
      <c r="BF929" s="10"/>
      <c r="BG929" s="10"/>
      <c r="BH929" s="10"/>
      <c r="BI929" s="10"/>
      <c r="BJ929" s="10"/>
      <c r="BK929" s="10"/>
      <c r="BL929" s="10"/>
      <c r="BM929" s="10"/>
      <c r="BN929" s="10"/>
      <c r="BO929" s="10"/>
      <c r="BP929" s="10"/>
      <c r="BQ929" s="10"/>
      <c r="BR929" s="10"/>
      <c r="BS929" s="10"/>
      <c r="BT929" s="10"/>
      <c r="BU929" s="10"/>
      <c r="BV929" s="10"/>
      <c r="BW929" s="10"/>
      <c r="BX929" s="10"/>
      <c r="BY929" s="10"/>
      <c r="BZ929" s="10"/>
      <c r="CA929" s="10"/>
      <c r="CB929" s="10"/>
      <c r="CC929" s="10"/>
      <c r="CD929" s="10"/>
      <c r="CE929" s="10"/>
      <c r="CF929" s="10"/>
      <c r="CG929" s="10"/>
      <c r="CH929" s="10"/>
      <c r="CI929" s="10"/>
      <c r="CJ929" s="10"/>
      <c r="CK929" s="10"/>
      <c r="CL929" s="10"/>
      <c r="CM929" s="10"/>
      <c r="CN929" s="10"/>
      <c r="CO929" s="10"/>
    </row>
    <row r="930" spans="1:93" hidden="1">
      <c r="A930" s="10"/>
      <c r="B930" s="10"/>
      <c r="C930" s="17" t="s">
        <v>921</v>
      </c>
      <c r="D930" s="10"/>
      <c r="E930" s="184">
        <f xml:space="preserve"> Предпосылки!E538</f>
        <v>0</v>
      </c>
      <c r="F930" s="10"/>
      <c r="G930" s="142" t="s">
        <v>914</v>
      </c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  <c r="BB930" s="10"/>
      <c r="BC930" s="10"/>
      <c r="BD930" s="10"/>
      <c r="BE930" s="10"/>
      <c r="BF930" s="10"/>
      <c r="BG930" s="10"/>
      <c r="BH930" s="10"/>
      <c r="BI930" s="10"/>
      <c r="BJ930" s="10"/>
      <c r="BK930" s="10"/>
      <c r="BL930" s="10"/>
      <c r="BM930" s="10"/>
      <c r="BN930" s="10"/>
      <c r="BO930" s="10"/>
      <c r="BP930" s="10"/>
      <c r="BQ930" s="10"/>
      <c r="BR930" s="10"/>
      <c r="BS930" s="10"/>
      <c r="BT930" s="10"/>
      <c r="BU930" s="10"/>
      <c r="BV930" s="10"/>
      <c r="BW930" s="10"/>
      <c r="BX930" s="10"/>
      <c r="BY930" s="10"/>
      <c r="BZ930" s="10"/>
      <c r="CA930" s="10"/>
      <c r="CB930" s="10"/>
      <c r="CC930" s="10"/>
      <c r="CD930" s="10"/>
      <c r="CE930" s="10"/>
      <c r="CF930" s="10"/>
      <c r="CG930" s="10"/>
      <c r="CH930" s="10"/>
      <c r="CI930" s="10"/>
      <c r="CJ930" s="10"/>
      <c r="CK930" s="10"/>
      <c r="CL930" s="10"/>
      <c r="CM930" s="10"/>
      <c r="CN930" s="10"/>
      <c r="CO930" s="10"/>
    </row>
    <row r="931" spans="1:93" hidden="1">
      <c r="A931" s="10"/>
      <c r="B931" s="10"/>
      <c r="C931" s="17" t="s">
        <v>922</v>
      </c>
      <c r="D931" s="10"/>
      <c r="E931" s="184">
        <f xml:space="preserve"> Предпосылки!E539</f>
        <v>0</v>
      </c>
      <c r="F931" s="10"/>
      <c r="G931" s="142" t="s">
        <v>914</v>
      </c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  <c r="BB931" s="10"/>
      <c r="BC931" s="10"/>
      <c r="BD931" s="10"/>
      <c r="BE931" s="10"/>
      <c r="BF931" s="10"/>
      <c r="BG931" s="10"/>
      <c r="BH931" s="10"/>
      <c r="BI931" s="10"/>
      <c r="BJ931" s="10"/>
      <c r="BK931" s="10"/>
      <c r="BL931" s="10"/>
      <c r="BM931" s="10"/>
      <c r="BN931" s="10"/>
      <c r="BO931" s="10"/>
      <c r="BP931" s="10"/>
      <c r="BQ931" s="10"/>
      <c r="BR931" s="10"/>
      <c r="BS931" s="10"/>
      <c r="BT931" s="10"/>
      <c r="BU931" s="10"/>
      <c r="BV931" s="10"/>
      <c r="BW931" s="10"/>
      <c r="BX931" s="10"/>
      <c r="BY931" s="10"/>
      <c r="BZ931" s="10"/>
      <c r="CA931" s="10"/>
      <c r="CB931" s="10"/>
      <c r="CC931" s="10"/>
      <c r="CD931" s="10"/>
      <c r="CE931" s="10"/>
      <c r="CF931" s="10"/>
      <c r="CG931" s="10"/>
      <c r="CH931" s="10"/>
      <c r="CI931" s="10"/>
      <c r="CJ931" s="10"/>
      <c r="CK931" s="10"/>
      <c r="CL931" s="10"/>
      <c r="CM931" s="10"/>
      <c r="CN931" s="10"/>
      <c r="CO931" s="10"/>
    </row>
    <row r="932" spans="1:93" hidden="1">
      <c r="A932" s="10"/>
      <c r="B932" s="10"/>
      <c r="C932" s="10"/>
      <c r="D932" s="10"/>
      <c r="E932" s="10"/>
      <c r="F932" s="10"/>
      <c r="G932" s="11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  <c r="BB932" s="10"/>
      <c r="BC932" s="10"/>
      <c r="BD932" s="10"/>
      <c r="BE932" s="10"/>
      <c r="BF932" s="10"/>
      <c r="BG932" s="10"/>
      <c r="BH932" s="10"/>
      <c r="BI932" s="10"/>
      <c r="BJ932" s="10"/>
      <c r="BK932" s="10"/>
      <c r="BL932" s="10"/>
      <c r="BM932" s="10"/>
      <c r="BN932" s="10"/>
      <c r="BO932" s="10"/>
      <c r="BP932" s="10"/>
      <c r="BQ932" s="10"/>
      <c r="BR932" s="10"/>
      <c r="BS932" s="10"/>
      <c r="BT932" s="10"/>
      <c r="BU932" s="10"/>
      <c r="BV932" s="10"/>
      <c r="BW932" s="10"/>
      <c r="BX932" s="10"/>
      <c r="BY932" s="10"/>
      <c r="BZ932" s="10"/>
      <c r="CA932" s="10"/>
      <c r="CB932" s="10"/>
      <c r="CC932" s="10"/>
      <c r="CD932" s="10"/>
      <c r="CE932" s="10"/>
      <c r="CF932" s="10"/>
      <c r="CG932" s="10"/>
      <c r="CH932" s="10"/>
      <c r="CI932" s="10"/>
      <c r="CJ932" s="10"/>
      <c r="CK932" s="10"/>
      <c r="CL932" s="10"/>
      <c r="CM932" s="10"/>
      <c r="CN932" s="10"/>
      <c r="CO932" s="10"/>
    </row>
    <row r="933" spans="1:93" ht="16" hidden="1" thickBot="1">
      <c r="A933" s="10"/>
      <c r="B933" s="10"/>
      <c r="C933" s="12" t="s">
        <v>898</v>
      </c>
      <c r="D933" s="12"/>
      <c r="E933" s="12"/>
      <c r="F933" s="12"/>
      <c r="G933" s="362"/>
      <c r="H933" s="12"/>
      <c r="I933" s="12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  <c r="BB933" s="10"/>
      <c r="BC933" s="10"/>
      <c r="BD933" s="10"/>
      <c r="BE933" s="10"/>
      <c r="BF933" s="10"/>
      <c r="BG933" s="10"/>
      <c r="BH933" s="10"/>
      <c r="BI933" s="10"/>
      <c r="BJ933" s="10"/>
      <c r="BK933" s="10"/>
      <c r="BL933" s="10"/>
      <c r="BM933" s="10"/>
      <c r="BN933" s="10"/>
      <c r="BO933" s="10"/>
      <c r="BP933" s="10"/>
      <c r="BQ933" s="10"/>
      <c r="BR933" s="10"/>
      <c r="BS933" s="10"/>
      <c r="BT933" s="10"/>
      <c r="BU933" s="10"/>
      <c r="BV933" s="10"/>
      <c r="BW933" s="10"/>
      <c r="BX933" s="10"/>
      <c r="BY933" s="10"/>
      <c r="BZ933" s="10"/>
      <c r="CA933" s="10"/>
      <c r="CB933" s="10"/>
      <c r="CC933" s="10"/>
      <c r="CD933" s="10"/>
      <c r="CE933" s="10"/>
      <c r="CF933" s="10"/>
      <c r="CG933" s="10"/>
      <c r="CH933" s="10"/>
      <c r="CI933" s="10"/>
      <c r="CJ933" s="10"/>
      <c r="CK933" s="10"/>
      <c r="CL933" s="10"/>
      <c r="CM933" s="10"/>
      <c r="CN933" s="10"/>
      <c r="CO933" s="10"/>
    </row>
    <row r="934" spans="1:93" hidden="1">
      <c r="A934" s="10"/>
      <c r="B934" s="10"/>
      <c r="C934" s="10"/>
      <c r="D934" s="10"/>
      <c r="E934" s="10"/>
      <c r="F934" s="10"/>
      <c r="G934" s="11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  <c r="BB934" s="10"/>
      <c r="BC934" s="10"/>
      <c r="BD934" s="10"/>
      <c r="BE934" s="10"/>
      <c r="BF934" s="10"/>
      <c r="BG934" s="10"/>
      <c r="BH934" s="10"/>
      <c r="BI934" s="10"/>
      <c r="BJ934" s="10"/>
      <c r="BK934" s="10"/>
      <c r="BL934" s="10"/>
      <c r="BM934" s="10"/>
      <c r="BN934" s="10"/>
      <c r="BO934" s="10"/>
      <c r="BP934" s="10"/>
      <c r="BQ934" s="10"/>
      <c r="BR934" s="10"/>
      <c r="BS934" s="10"/>
      <c r="BT934" s="10"/>
      <c r="BU934" s="10"/>
      <c r="BV934" s="10"/>
      <c r="BW934" s="10"/>
      <c r="BX934" s="10"/>
      <c r="BY934" s="10"/>
      <c r="BZ934" s="10"/>
      <c r="CA934" s="10"/>
      <c r="CB934" s="10"/>
      <c r="CC934" s="10"/>
      <c r="CD934" s="10"/>
      <c r="CE934" s="10"/>
      <c r="CF934" s="10"/>
      <c r="CG934" s="10"/>
      <c r="CH934" s="10"/>
      <c r="CI934" s="10"/>
      <c r="CJ934" s="10"/>
      <c r="CK934" s="10"/>
      <c r="CL934" s="10"/>
      <c r="CM934" s="10"/>
      <c r="CN934" s="10"/>
      <c r="CO934" s="10"/>
    </row>
    <row r="935" spans="1:93" hidden="1">
      <c r="A935" s="10"/>
      <c r="B935" s="10"/>
      <c r="C935" s="35" t="s">
        <v>910</v>
      </c>
      <c r="D935" s="10"/>
      <c r="E935" s="10"/>
      <c r="F935" s="10"/>
      <c r="G935" s="11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  <c r="BB935" s="10"/>
      <c r="BC935" s="10"/>
      <c r="BD935" s="10"/>
      <c r="BE935" s="10"/>
      <c r="BF935" s="10"/>
      <c r="BG935" s="10"/>
      <c r="BH935" s="10"/>
      <c r="BI935" s="10"/>
      <c r="BJ935" s="10"/>
      <c r="BK935" s="10"/>
      <c r="BL935" s="10"/>
      <c r="BM935" s="10"/>
      <c r="BN935" s="10"/>
      <c r="BO935" s="10"/>
      <c r="BP935" s="10"/>
      <c r="BQ935" s="10"/>
      <c r="BR935" s="10"/>
      <c r="BS935" s="10"/>
      <c r="BT935" s="10"/>
      <c r="BU935" s="10"/>
      <c r="BV935" s="10"/>
      <c r="BW935" s="10"/>
      <c r="BX935" s="10"/>
      <c r="BY935" s="10"/>
      <c r="BZ935" s="10"/>
      <c r="CA935" s="10"/>
      <c r="CB935" s="10"/>
      <c r="CC935" s="10"/>
      <c r="CD935" s="10"/>
      <c r="CE935" s="10"/>
      <c r="CF935" s="10"/>
      <c r="CG935" s="10"/>
      <c r="CH935" s="10"/>
      <c r="CI935" s="10"/>
      <c r="CJ935" s="10"/>
      <c r="CK935" s="10"/>
      <c r="CL935" s="10"/>
      <c r="CM935" s="10"/>
      <c r="CN935" s="10"/>
      <c r="CO935" s="10"/>
    </row>
    <row r="936" spans="1:93" hidden="1">
      <c r="A936" s="10"/>
      <c r="B936" s="10"/>
      <c r="C936" s="17" t="s">
        <v>911</v>
      </c>
      <c r="D936" s="10"/>
      <c r="E936" s="10"/>
      <c r="F936" s="10"/>
      <c r="G936" s="11" t="str">
        <f t="shared" ref="G936:G943" si="5958">Monetary_Unit</f>
        <v>тыс. руб.</v>
      </c>
      <c r="H936" s="10"/>
      <c r="I936" s="23">
        <f t="shared" ref="I936:I943" ca="1" si="5959">SUM(L936:CO936)</f>
        <v>0</v>
      </c>
      <c r="K936" s="10"/>
      <c r="L936" s="10">
        <f t="shared" ref="L936:AQ936" ca="1" si="5960" xml:space="preserve"> $E910 * CPI_Accumulated_From_Date * (Period_length) * L$50 * $I$776</f>
        <v>0</v>
      </c>
      <c r="M936" s="10">
        <f t="shared" ca="1" si="5960"/>
        <v>0</v>
      </c>
      <c r="N936" s="10">
        <f t="shared" ca="1" si="5960"/>
        <v>0</v>
      </c>
      <c r="O936" s="10">
        <f t="shared" ca="1" si="5960"/>
        <v>0</v>
      </c>
      <c r="P936" s="10">
        <f t="shared" ca="1" si="5960"/>
        <v>0</v>
      </c>
      <c r="Q936" s="10">
        <f t="shared" ca="1" si="5960"/>
        <v>0</v>
      </c>
      <c r="R936" s="10">
        <f t="shared" ca="1" si="5960"/>
        <v>0</v>
      </c>
      <c r="S936" s="10">
        <f t="shared" ca="1" si="5960"/>
        <v>0</v>
      </c>
      <c r="T936" s="10">
        <f t="shared" ca="1" si="5960"/>
        <v>0</v>
      </c>
      <c r="U936" s="10">
        <f t="shared" ca="1" si="5960"/>
        <v>0</v>
      </c>
      <c r="V936" s="10">
        <f t="shared" ca="1" si="5960"/>
        <v>0</v>
      </c>
      <c r="W936" s="10">
        <f t="shared" ca="1" si="5960"/>
        <v>0</v>
      </c>
      <c r="X936" s="10">
        <f t="shared" ca="1" si="5960"/>
        <v>0</v>
      </c>
      <c r="Y936" s="10">
        <f t="shared" ca="1" si="5960"/>
        <v>0</v>
      </c>
      <c r="Z936" s="10">
        <f t="shared" ca="1" si="5960"/>
        <v>0</v>
      </c>
      <c r="AA936" s="10">
        <f t="shared" ca="1" si="5960"/>
        <v>0</v>
      </c>
      <c r="AB936" s="10">
        <f t="shared" ca="1" si="5960"/>
        <v>0</v>
      </c>
      <c r="AC936" s="10">
        <f t="shared" ca="1" si="5960"/>
        <v>0</v>
      </c>
      <c r="AD936" s="10">
        <f t="shared" ca="1" si="5960"/>
        <v>0</v>
      </c>
      <c r="AE936" s="10">
        <f t="shared" ca="1" si="5960"/>
        <v>0</v>
      </c>
      <c r="AF936" s="10">
        <f t="shared" ca="1" si="5960"/>
        <v>0</v>
      </c>
      <c r="AG936" s="10">
        <f t="shared" ca="1" si="5960"/>
        <v>0</v>
      </c>
      <c r="AH936" s="10">
        <f t="shared" ca="1" si="5960"/>
        <v>0</v>
      </c>
      <c r="AI936" s="10">
        <f t="shared" ca="1" si="5960"/>
        <v>0</v>
      </c>
      <c r="AJ936" s="10">
        <f t="shared" ca="1" si="5960"/>
        <v>0</v>
      </c>
      <c r="AK936" s="10">
        <f t="shared" ca="1" si="5960"/>
        <v>0</v>
      </c>
      <c r="AL936" s="10">
        <f t="shared" ca="1" si="5960"/>
        <v>0</v>
      </c>
      <c r="AM936" s="10">
        <f t="shared" ca="1" si="5960"/>
        <v>0</v>
      </c>
      <c r="AN936" s="10">
        <f t="shared" ca="1" si="5960"/>
        <v>0</v>
      </c>
      <c r="AO936" s="10">
        <f t="shared" ca="1" si="5960"/>
        <v>0</v>
      </c>
      <c r="AP936" s="10">
        <f t="shared" ca="1" si="5960"/>
        <v>0</v>
      </c>
      <c r="AQ936" s="10">
        <f t="shared" ca="1" si="5960"/>
        <v>0</v>
      </c>
      <c r="AR936" s="10">
        <f t="shared" ref="AR936:BW936" ca="1" si="5961" xml:space="preserve"> $E910 * CPI_Accumulated_From_Date * (Period_length) * AR$50 * $I$776</f>
        <v>0</v>
      </c>
      <c r="AS936" s="10">
        <f t="shared" ca="1" si="5961"/>
        <v>0</v>
      </c>
      <c r="AT936" s="10">
        <f t="shared" ca="1" si="5961"/>
        <v>0</v>
      </c>
      <c r="AU936" s="10">
        <f t="shared" ca="1" si="5961"/>
        <v>0</v>
      </c>
      <c r="AV936" s="10">
        <f t="shared" ca="1" si="5961"/>
        <v>0</v>
      </c>
      <c r="AW936" s="10">
        <f t="shared" ca="1" si="5961"/>
        <v>0</v>
      </c>
      <c r="AX936" s="10">
        <f t="shared" ca="1" si="5961"/>
        <v>0</v>
      </c>
      <c r="AY936" s="10">
        <f t="shared" ca="1" si="5961"/>
        <v>0</v>
      </c>
      <c r="AZ936" s="10">
        <f t="shared" ca="1" si="5961"/>
        <v>0</v>
      </c>
      <c r="BA936" s="10">
        <f t="shared" ca="1" si="5961"/>
        <v>0</v>
      </c>
      <c r="BB936" s="10">
        <f t="shared" ca="1" si="5961"/>
        <v>0</v>
      </c>
      <c r="BC936" s="10">
        <f t="shared" ca="1" si="5961"/>
        <v>0</v>
      </c>
      <c r="BD936" s="10">
        <f t="shared" ca="1" si="5961"/>
        <v>0</v>
      </c>
      <c r="BE936" s="10">
        <f t="shared" ca="1" si="5961"/>
        <v>0</v>
      </c>
      <c r="BF936" s="10">
        <f t="shared" ca="1" si="5961"/>
        <v>0</v>
      </c>
      <c r="BG936" s="10">
        <f t="shared" ca="1" si="5961"/>
        <v>0</v>
      </c>
      <c r="BH936" s="10">
        <f t="shared" ca="1" si="5961"/>
        <v>0</v>
      </c>
      <c r="BI936" s="10">
        <f t="shared" ca="1" si="5961"/>
        <v>0</v>
      </c>
      <c r="BJ936" s="10">
        <f t="shared" ca="1" si="5961"/>
        <v>0</v>
      </c>
      <c r="BK936" s="10">
        <f t="shared" ca="1" si="5961"/>
        <v>0</v>
      </c>
      <c r="BL936" s="10">
        <f t="shared" ca="1" si="5961"/>
        <v>0</v>
      </c>
      <c r="BM936" s="10">
        <f t="shared" ca="1" si="5961"/>
        <v>0</v>
      </c>
      <c r="BN936" s="10">
        <f t="shared" ca="1" si="5961"/>
        <v>0</v>
      </c>
      <c r="BO936" s="10">
        <f t="shared" ca="1" si="5961"/>
        <v>0</v>
      </c>
      <c r="BP936" s="10">
        <f t="shared" ca="1" si="5961"/>
        <v>0</v>
      </c>
      <c r="BQ936" s="10">
        <f t="shared" ca="1" si="5961"/>
        <v>0</v>
      </c>
      <c r="BR936" s="10">
        <f t="shared" ca="1" si="5961"/>
        <v>0</v>
      </c>
      <c r="BS936" s="10">
        <f t="shared" ca="1" si="5961"/>
        <v>0</v>
      </c>
      <c r="BT936" s="10">
        <f t="shared" ca="1" si="5961"/>
        <v>0</v>
      </c>
      <c r="BU936" s="10">
        <f t="shared" ca="1" si="5961"/>
        <v>0</v>
      </c>
      <c r="BV936" s="10">
        <f t="shared" ca="1" si="5961"/>
        <v>0</v>
      </c>
      <c r="BW936" s="10">
        <f t="shared" ca="1" si="5961"/>
        <v>0</v>
      </c>
      <c r="BX936" s="10">
        <f t="shared" ref="BX936:CO936" ca="1" si="5962" xml:space="preserve"> $E910 * CPI_Accumulated_From_Date * (Period_length) * BX$50 * $I$776</f>
        <v>0</v>
      </c>
      <c r="BY936" s="10">
        <f t="shared" ca="1" si="5962"/>
        <v>0</v>
      </c>
      <c r="BZ936" s="10">
        <f t="shared" ca="1" si="5962"/>
        <v>0</v>
      </c>
      <c r="CA936" s="10">
        <f t="shared" ca="1" si="5962"/>
        <v>0</v>
      </c>
      <c r="CB936" s="10">
        <f t="shared" ca="1" si="5962"/>
        <v>0</v>
      </c>
      <c r="CC936" s="10">
        <f t="shared" ca="1" si="5962"/>
        <v>0</v>
      </c>
      <c r="CD936" s="10">
        <f t="shared" ca="1" si="5962"/>
        <v>0</v>
      </c>
      <c r="CE936" s="10">
        <f t="shared" ca="1" si="5962"/>
        <v>0</v>
      </c>
      <c r="CF936" s="10">
        <f t="shared" ca="1" si="5962"/>
        <v>0</v>
      </c>
      <c r="CG936" s="10">
        <f t="shared" ca="1" si="5962"/>
        <v>0</v>
      </c>
      <c r="CH936" s="10">
        <f t="shared" ca="1" si="5962"/>
        <v>0</v>
      </c>
      <c r="CI936" s="10">
        <f t="shared" ca="1" si="5962"/>
        <v>0</v>
      </c>
      <c r="CJ936" s="10">
        <f t="shared" ca="1" si="5962"/>
        <v>0</v>
      </c>
      <c r="CK936" s="10">
        <f t="shared" ca="1" si="5962"/>
        <v>0</v>
      </c>
      <c r="CL936" s="10">
        <f t="shared" ca="1" si="5962"/>
        <v>0</v>
      </c>
      <c r="CM936" s="10">
        <f t="shared" ca="1" si="5962"/>
        <v>0</v>
      </c>
      <c r="CN936" s="10">
        <f t="shared" ca="1" si="5962"/>
        <v>0</v>
      </c>
      <c r="CO936" s="10">
        <f t="shared" ca="1" si="5962"/>
        <v>0</v>
      </c>
    </row>
    <row r="937" spans="1:93" hidden="1">
      <c r="A937" s="10"/>
      <c r="B937" s="10"/>
      <c r="C937" s="17" t="s">
        <v>912</v>
      </c>
      <c r="D937" s="10"/>
      <c r="E937" s="10"/>
      <c r="F937" s="10"/>
      <c r="G937" s="11" t="str">
        <f t="shared" si="5958"/>
        <v>тыс. руб.</v>
      </c>
      <c r="H937" s="10"/>
      <c r="I937" s="23">
        <f t="shared" ca="1" si="5959"/>
        <v>0</v>
      </c>
      <c r="K937" s="10"/>
      <c r="L937" s="10">
        <f t="shared" ref="L937:AQ937" ca="1" si="5963" xml:space="preserve"> $E911 * CPI_Accumulated_From_Date * (Period_length) * L$50 * $I$776</f>
        <v>0</v>
      </c>
      <c r="M937" s="10">
        <f t="shared" ca="1" si="5963"/>
        <v>0</v>
      </c>
      <c r="N937" s="10">
        <f t="shared" ca="1" si="5963"/>
        <v>0</v>
      </c>
      <c r="O937" s="10">
        <f t="shared" ca="1" si="5963"/>
        <v>0</v>
      </c>
      <c r="P937" s="10">
        <f t="shared" ca="1" si="5963"/>
        <v>0</v>
      </c>
      <c r="Q937" s="10">
        <f t="shared" ca="1" si="5963"/>
        <v>0</v>
      </c>
      <c r="R937" s="10">
        <f t="shared" ca="1" si="5963"/>
        <v>0</v>
      </c>
      <c r="S937" s="10">
        <f t="shared" ca="1" si="5963"/>
        <v>0</v>
      </c>
      <c r="T937" s="10">
        <f t="shared" ca="1" si="5963"/>
        <v>0</v>
      </c>
      <c r="U937" s="10">
        <f t="shared" ca="1" si="5963"/>
        <v>0</v>
      </c>
      <c r="V937" s="10">
        <f t="shared" ca="1" si="5963"/>
        <v>0</v>
      </c>
      <c r="W937" s="10">
        <f t="shared" ca="1" si="5963"/>
        <v>0</v>
      </c>
      <c r="X937" s="10">
        <f t="shared" ca="1" si="5963"/>
        <v>0</v>
      </c>
      <c r="Y937" s="10">
        <f t="shared" ca="1" si="5963"/>
        <v>0</v>
      </c>
      <c r="Z937" s="10">
        <f t="shared" ca="1" si="5963"/>
        <v>0</v>
      </c>
      <c r="AA937" s="10">
        <f t="shared" ca="1" si="5963"/>
        <v>0</v>
      </c>
      <c r="AB937" s="10">
        <f t="shared" ca="1" si="5963"/>
        <v>0</v>
      </c>
      <c r="AC937" s="10">
        <f t="shared" ca="1" si="5963"/>
        <v>0</v>
      </c>
      <c r="AD937" s="10">
        <f t="shared" ca="1" si="5963"/>
        <v>0</v>
      </c>
      <c r="AE937" s="10">
        <f t="shared" ca="1" si="5963"/>
        <v>0</v>
      </c>
      <c r="AF937" s="10">
        <f t="shared" ca="1" si="5963"/>
        <v>0</v>
      </c>
      <c r="AG937" s="10">
        <f t="shared" ca="1" si="5963"/>
        <v>0</v>
      </c>
      <c r="AH937" s="10">
        <f t="shared" ca="1" si="5963"/>
        <v>0</v>
      </c>
      <c r="AI937" s="10">
        <f t="shared" ca="1" si="5963"/>
        <v>0</v>
      </c>
      <c r="AJ937" s="10">
        <f t="shared" ca="1" si="5963"/>
        <v>0</v>
      </c>
      <c r="AK937" s="10">
        <f t="shared" ca="1" si="5963"/>
        <v>0</v>
      </c>
      <c r="AL937" s="10">
        <f t="shared" ca="1" si="5963"/>
        <v>0</v>
      </c>
      <c r="AM937" s="10">
        <f t="shared" ca="1" si="5963"/>
        <v>0</v>
      </c>
      <c r="AN937" s="10">
        <f t="shared" ca="1" si="5963"/>
        <v>0</v>
      </c>
      <c r="AO937" s="10">
        <f t="shared" ca="1" si="5963"/>
        <v>0</v>
      </c>
      <c r="AP937" s="10">
        <f t="shared" ca="1" si="5963"/>
        <v>0</v>
      </c>
      <c r="AQ937" s="10">
        <f t="shared" ca="1" si="5963"/>
        <v>0</v>
      </c>
      <c r="AR937" s="10">
        <f t="shared" ref="AR937:BW937" ca="1" si="5964" xml:space="preserve"> $E911 * CPI_Accumulated_From_Date * (Period_length) * AR$50 * $I$776</f>
        <v>0</v>
      </c>
      <c r="AS937" s="10">
        <f t="shared" ca="1" si="5964"/>
        <v>0</v>
      </c>
      <c r="AT937" s="10">
        <f t="shared" ca="1" si="5964"/>
        <v>0</v>
      </c>
      <c r="AU937" s="10">
        <f t="shared" ca="1" si="5964"/>
        <v>0</v>
      </c>
      <c r="AV937" s="10">
        <f t="shared" ca="1" si="5964"/>
        <v>0</v>
      </c>
      <c r="AW937" s="10">
        <f t="shared" ca="1" si="5964"/>
        <v>0</v>
      </c>
      <c r="AX937" s="10">
        <f t="shared" ca="1" si="5964"/>
        <v>0</v>
      </c>
      <c r="AY937" s="10">
        <f t="shared" ca="1" si="5964"/>
        <v>0</v>
      </c>
      <c r="AZ937" s="10">
        <f t="shared" ca="1" si="5964"/>
        <v>0</v>
      </c>
      <c r="BA937" s="10">
        <f t="shared" ca="1" si="5964"/>
        <v>0</v>
      </c>
      <c r="BB937" s="10">
        <f t="shared" ca="1" si="5964"/>
        <v>0</v>
      </c>
      <c r="BC937" s="10">
        <f t="shared" ca="1" si="5964"/>
        <v>0</v>
      </c>
      <c r="BD937" s="10">
        <f t="shared" ca="1" si="5964"/>
        <v>0</v>
      </c>
      <c r="BE937" s="10">
        <f t="shared" ca="1" si="5964"/>
        <v>0</v>
      </c>
      <c r="BF937" s="10">
        <f t="shared" ca="1" si="5964"/>
        <v>0</v>
      </c>
      <c r="BG937" s="10">
        <f t="shared" ca="1" si="5964"/>
        <v>0</v>
      </c>
      <c r="BH937" s="10">
        <f t="shared" ca="1" si="5964"/>
        <v>0</v>
      </c>
      <c r="BI937" s="10">
        <f t="shared" ca="1" si="5964"/>
        <v>0</v>
      </c>
      <c r="BJ937" s="10">
        <f t="shared" ca="1" si="5964"/>
        <v>0</v>
      </c>
      <c r="BK937" s="10">
        <f t="shared" ca="1" si="5964"/>
        <v>0</v>
      </c>
      <c r="BL937" s="10">
        <f t="shared" ca="1" si="5964"/>
        <v>0</v>
      </c>
      <c r="BM937" s="10">
        <f t="shared" ca="1" si="5964"/>
        <v>0</v>
      </c>
      <c r="BN937" s="10">
        <f t="shared" ca="1" si="5964"/>
        <v>0</v>
      </c>
      <c r="BO937" s="10">
        <f t="shared" ca="1" si="5964"/>
        <v>0</v>
      </c>
      <c r="BP937" s="10">
        <f t="shared" ca="1" si="5964"/>
        <v>0</v>
      </c>
      <c r="BQ937" s="10">
        <f t="shared" ca="1" si="5964"/>
        <v>0</v>
      </c>
      <c r="BR937" s="10">
        <f t="shared" ca="1" si="5964"/>
        <v>0</v>
      </c>
      <c r="BS937" s="10">
        <f t="shared" ca="1" si="5964"/>
        <v>0</v>
      </c>
      <c r="BT937" s="10">
        <f t="shared" ca="1" si="5964"/>
        <v>0</v>
      </c>
      <c r="BU937" s="10">
        <f t="shared" ca="1" si="5964"/>
        <v>0</v>
      </c>
      <c r="BV937" s="10">
        <f t="shared" ca="1" si="5964"/>
        <v>0</v>
      </c>
      <c r="BW937" s="10">
        <f t="shared" ca="1" si="5964"/>
        <v>0</v>
      </c>
      <c r="BX937" s="10">
        <f t="shared" ref="BX937:CO937" ca="1" si="5965" xml:space="preserve"> $E911 * CPI_Accumulated_From_Date * (Period_length) * BX$50 * $I$776</f>
        <v>0</v>
      </c>
      <c r="BY937" s="10">
        <f t="shared" ca="1" si="5965"/>
        <v>0</v>
      </c>
      <c r="BZ937" s="10">
        <f t="shared" ca="1" si="5965"/>
        <v>0</v>
      </c>
      <c r="CA937" s="10">
        <f t="shared" ca="1" si="5965"/>
        <v>0</v>
      </c>
      <c r="CB937" s="10">
        <f t="shared" ca="1" si="5965"/>
        <v>0</v>
      </c>
      <c r="CC937" s="10">
        <f t="shared" ca="1" si="5965"/>
        <v>0</v>
      </c>
      <c r="CD937" s="10">
        <f t="shared" ca="1" si="5965"/>
        <v>0</v>
      </c>
      <c r="CE937" s="10">
        <f t="shared" ca="1" si="5965"/>
        <v>0</v>
      </c>
      <c r="CF937" s="10">
        <f t="shared" ca="1" si="5965"/>
        <v>0</v>
      </c>
      <c r="CG937" s="10">
        <f t="shared" ca="1" si="5965"/>
        <v>0</v>
      </c>
      <c r="CH937" s="10">
        <f t="shared" ca="1" si="5965"/>
        <v>0</v>
      </c>
      <c r="CI937" s="10">
        <f t="shared" ca="1" si="5965"/>
        <v>0</v>
      </c>
      <c r="CJ937" s="10">
        <f t="shared" ca="1" si="5965"/>
        <v>0</v>
      </c>
      <c r="CK937" s="10">
        <f t="shared" ca="1" si="5965"/>
        <v>0</v>
      </c>
      <c r="CL937" s="10">
        <f t="shared" ca="1" si="5965"/>
        <v>0</v>
      </c>
      <c r="CM937" s="10">
        <f t="shared" ca="1" si="5965"/>
        <v>0</v>
      </c>
      <c r="CN937" s="10">
        <f t="shared" ca="1" si="5965"/>
        <v>0</v>
      </c>
      <c r="CO937" s="10">
        <f t="shared" ca="1" si="5965"/>
        <v>0</v>
      </c>
    </row>
    <row r="938" spans="1:93" hidden="1">
      <c r="A938" s="10"/>
      <c r="B938" s="10"/>
      <c r="C938" s="17" t="s">
        <v>934</v>
      </c>
      <c r="D938" s="10"/>
      <c r="E938" s="10"/>
      <c r="F938" s="10"/>
      <c r="G938" s="11" t="str">
        <f t="shared" si="5958"/>
        <v>тыс. руб.</v>
      </c>
      <c r="H938" s="10"/>
      <c r="I938" s="23">
        <f t="shared" ca="1" si="5959"/>
        <v>0</v>
      </c>
      <c r="K938" s="10"/>
      <c r="L938" s="10">
        <f t="shared" ref="L938:AQ938" ca="1" si="5966" xml:space="preserve"> $E912 * CPI_Accumulated_From_Date * (Period_length) * L$50 * $I$776</f>
        <v>0</v>
      </c>
      <c r="M938" s="10">
        <f t="shared" ca="1" si="5966"/>
        <v>0</v>
      </c>
      <c r="N938" s="10">
        <f t="shared" ca="1" si="5966"/>
        <v>0</v>
      </c>
      <c r="O938" s="10">
        <f t="shared" ca="1" si="5966"/>
        <v>0</v>
      </c>
      <c r="P938" s="10">
        <f t="shared" ca="1" si="5966"/>
        <v>0</v>
      </c>
      <c r="Q938" s="10">
        <f t="shared" ca="1" si="5966"/>
        <v>0</v>
      </c>
      <c r="R938" s="10">
        <f t="shared" ca="1" si="5966"/>
        <v>0</v>
      </c>
      <c r="S938" s="10">
        <f t="shared" ca="1" si="5966"/>
        <v>0</v>
      </c>
      <c r="T938" s="10">
        <f t="shared" ca="1" si="5966"/>
        <v>0</v>
      </c>
      <c r="U938" s="10">
        <f t="shared" ca="1" si="5966"/>
        <v>0</v>
      </c>
      <c r="V938" s="10">
        <f t="shared" ca="1" si="5966"/>
        <v>0</v>
      </c>
      <c r="W938" s="10">
        <f t="shared" ca="1" si="5966"/>
        <v>0</v>
      </c>
      <c r="X938" s="10">
        <f t="shared" ca="1" si="5966"/>
        <v>0</v>
      </c>
      <c r="Y938" s="10">
        <f t="shared" ca="1" si="5966"/>
        <v>0</v>
      </c>
      <c r="Z938" s="10">
        <f t="shared" ca="1" si="5966"/>
        <v>0</v>
      </c>
      <c r="AA938" s="10">
        <f t="shared" ca="1" si="5966"/>
        <v>0</v>
      </c>
      <c r="AB938" s="10">
        <f t="shared" ca="1" si="5966"/>
        <v>0</v>
      </c>
      <c r="AC938" s="10">
        <f t="shared" ca="1" si="5966"/>
        <v>0</v>
      </c>
      <c r="AD938" s="10">
        <f t="shared" ca="1" si="5966"/>
        <v>0</v>
      </c>
      <c r="AE938" s="10">
        <f t="shared" ca="1" si="5966"/>
        <v>0</v>
      </c>
      <c r="AF938" s="10">
        <f t="shared" ca="1" si="5966"/>
        <v>0</v>
      </c>
      <c r="AG938" s="10">
        <f t="shared" ca="1" si="5966"/>
        <v>0</v>
      </c>
      <c r="AH938" s="10">
        <f t="shared" ca="1" si="5966"/>
        <v>0</v>
      </c>
      <c r="AI938" s="10">
        <f t="shared" ca="1" si="5966"/>
        <v>0</v>
      </c>
      <c r="AJ938" s="10">
        <f t="shared" ca="1" si="5966"/>
        <v>0</v>
      </c>
      <c r="AK938" s="10">
        <f t="shared" ca="1" si="5966"/>
        <v>0</v>
      </c>
      <c r="AL938" s="10">
        <f t="shared" ca="1" si="5966"/>
        <v>0</v>
      </c>
      <c r="AM938" s="10">
        <f t="shared" ca="1" si="5966"/>
        <v>0</v>
      </c>
      <c r="AN938" s="10">
        <f t="shared" ca="1" si="5966"/>
        <v>0</v>
      </c>
      <c r="AO938" s="10">
        <f t="shared" ca="1" si="5966"/>
        <v>0</v>
      </c>
      <c r="AP938" s="10">
        <f t="shared" ca="1" si="5966"/>
        <v>0</v>
      </c>
      <c r="AQ938" s="10">
        <f t="shared" ca="1" si="5966"/>
        <v>0</v>
      </c>
      <c r="AR938" s="10">
        <f t="shared" ref="AR938:BW938" ca="1" si="5967" xml:space="preserve"> $E912 * CPI_Accumulated_From_Date * (Period_length) * AR$50 * $I$776</f>
        <v>0</v>
      </c>
      <c r="AS938" s="10">
        <f t="shared" ca="1" si="5967"/>
        <v>0</v>
      </c>
      <c r="AT938" s="10">
        <f t="shared" ca="1" si="5967"/>
        <v>0</v>
      </c>
      <c r="AU938" s="10">
        <f t="shared" ca="1" si="5967"/>
        <v>0</v>
      </c>
      <c r="AV938" s="10">
        <f t="shared" ca="1" si="5967"/>
        <v>0</v>
      </c>
      <c r="AW938" s="10">
        <f t="shared" ca="1" si="5967"/>
        <v>0</v>
      </c>
      <c r="AX938" s="10">
        <f t="shared" ca="1" si="5967"/>
        <v>0</v>
      </c>
      <c r="AY938" s="10">
        <f t="shared" ca="1" si="5967"/>
        <v>0</v>
      </c>
      <c r="AZ938" s="10">
        <f t="shared" ca="1" si="5967"/>
        <v>0</v>
      </c>
      <c r="BA938" s="10">
        <f t="shared" ca="1" si="5967"/>
        <v>0</v>
      </c>
      <c r="BB938" s="10">
        <f t="shared" ca="1" si="5967"/>
        <v>0</v>
      </c>
      <c r="BC938" s="10">
        <f t="shared" ca="1" si="5967"/>
        <v>0</v>
      </c>
      <c r="BD938" s="10">
        <f t="shared" ca="1" si="5967"/>
        <v>0</v>
      </c>
      <c r="BE938" s="10">
        <f t="shared" ca="1" si="5967"/>
        <v>0</v>
      </c>
      <c r="BF938" s="10">
        <f t="shared" ca="1" si="5967"/>
        <v>0</v>
      </c>
      <c r="BG938" s="10">
        <f t="shared" ca="1" si="5967"/>
        <v>0</v>
      </c>
      <c r="BH938" s="10">
        <f t="shared" ca="1" si="5967"/>
        <v>0</v>
      </c>
      <c r="BI938" s="10">
        <f t="shared" ca="1" si="5967"/>
        <v>0</v>
      </c>
      <c r="BJ938" s="10">
        <f t="shared" ca="1" si="5967"/>
        <v>0</v>
      </c>
      <c r="BK938" s="10">
        <f t="shared" ca="1" si="5967"/>
        <v>0</v>
      </c>
      <c r="BL938" s="10">
        <f t="shared" ca="1" si="5967"/>
        <v>0</v>
      </c>
      <c r="BM938" s="10">
        <f t="shared" ca="1" si="5967"/>
        <v>0</v>
      </c>
      <c r="BN938" s="10">
        <f t="shared" ca="1" si="5967"/>
        <v>0</v>
      </c>
      <c r="BO938" s="10">
        <f t="shared" ca="1" si="5967"/>
        <v>0</v>
      </c>
      <c r="BP938" s="10">
        <f t="shared" ca="1" si="5967"/>
        <v>0</v>
      </c>
      <c r="BQ938" s="10">
        <f t="shared" ca="1" si="5967"/>
        <v>0</v>
      </c>
      <c r="BR938" s="10">
        <f t="shared" ca="1" si="5967"/>
        <v>0</v>
      </c>
      <c r="BS938" s="10">
        <f t="shared" ca="1" si="5967"/>
        <v>0</v>
      </c>
      <c r="BT938" s="10">
        <f t="shared" ca="1" si="5967"/>
        <v>0</v>
      </c>
      <c r="BU938" s="10">
        <f t="shared" ca="1" si="5967"/>
        <v>0</v>
      </c>
      <c r="BV938" s="10">
        <f t="shared" ca="1" si="5967"/>
        <v>0</v>
      </c>
      <c r="BW938" s="10">
        <f t="shared" ca="1" si="5967"/>
        <v>0</v>
      </c>
      <c r="BX938" s="10">
        <f t="shared" ref="BX938:CO938" ca="1" si="5968" xml:space="preserve"> $E912 * CPI_Accumulated_From_Date * (Period_length) * BX$50 * $I$776</f>
        <v>0</v>
      </c>
      <c r="BY938" s="10">
        <f t="shared" ca="1" si="5968"/>
        <v>0</v>
      </c>
      <c r="BZ938" s="10">
        <f t="shared" ca="1" si="5968"/>
        <v>0</v>
      </c>
      <c r="CA938" s="10">
        <f t="shared" ca="1" si="5968"/>
        <v>0</v>
      </c>
      <c r="CB938" s="10">
        <f t="shared" ca="1" si="5968"/>
        <v>0</v>
      </c>
      <c r="CC938" s="10">
        <f t="shared" ca="1" si="5968"/>
        <v>0</v>
      </c>
      <c r="CD938" s="10">
        <f t="shared" ca="1" si="5968"/>
        <v>0</v>
      </c>
      <c r="CE938" s="10">
        <f t="shared" ca="1" si="5968"/>
        <v>0</v>
      </c>
      <c r="CF938" s="10">
        <f t="shared" ca="1" si="5968"/>
        <v>0</v>
      </c>
      <c r="CG938" s="10">
        <f t="shared" ca="1" si="5968"/>
        <v>0</v>
      </c>
      <c r="CH938" s="10">
        <f t="shared" ca="1" si="5968"/>
        <v>0</v>
      </c>
      <c r="CI938" s="10">
        <f t="shared" ca="1" si="5968"/>
        <v>0</v>
      </c>
      <c r="CJ938" s="10">
        <f t="shared" ca="1" si="5968"/>
        <v>0</v>
      </c>
      <c r="CK938" s="10">
        <f t="shared" ca="1" si="5968"/>
        <v>0</v>
      </c>
      <c r="CL938" s="10">
        <f t="shared" ca="1" si="5968"/>
        <v>0</v>
      </c>
      <c r="CM938" s="10">
        <f t="shared" ca="1" si="5968"/>
        <v>0</v>
      </c>
      <c r="CN938" s="10">
        <f t="shared" ca="1" si="5968"/>
        <v>0</v>
      </c>
      <c r="CO938" s="10">
        <f t="shared" ca="1" si="5968"/>
        <v>0</v>
      </c>
    </row>
    <row r="939" spans="1:93" hidden="1">
      <c r="A939" s="10"/>
      <c r="B939" s="10"/>
      <c r="C939" s="17" t="s">
        <v>913</v>
      </c>
      <c r="D939" s="10"/>
      <c r="E939" s="10"/>
      <c r="F939" s="10"/>
      <c r="G939" s="11" t="str">
        <f t="shared" si="5958"/>
        <v>тыс. руб.</v>
      </c>
      <c r="H939" s="10"/>
      <c r="I939" s="23">
        <f t="shared" ca="1" si="5959"/>
        <v>0</v>
      </c>
      <c r="K939" s="10"/>
      <c r="L939" s="10">
        <f t="shared" ref="L939:AQ939" ca="1" si="5969" xml:space="preserve"> $E913 * CPI_Accumulated_From_Date * (Period_length) * L$50 * $I$776</f>
        <v>0</v>
      </c>
      <c r="M939" s="10">
        <f t="shared" ca="1" si="5969"/>
        <v>0</v>
      </c>
      <c r="N939" s="10">
        <f t="shared" ca="1" si="5969"/>
        <v>0</v>
      </c>
      <c r="O939" s="10">
        <f t="shared" ca="1" si="5969"/>
        <v>0</v>
      </c>
      <c r="P939" s="10">
        <f t="shared" ca="1" si="5969"/>
        <v>0</v>
      </c>
      <c r="Q939" s="10">
        <f t="shared" ca="1" si="5969"/>
        <v>0</v>
      </c>
      <c r="R939" s="10">
        <f t="shared" ca="1" si="5969"/>
        <v>0</v>
      </c>
      <c r="S939" s="10">
        <f t="shared" ca="1" si="5969"/>
        <v>0</v>
      </c>
      <c r="T939" s="10">
        <f t="shared" ca="1" si="5969"/>
        <v>0</v>
      </c>
      <c r="U939" s="10">
        <f t="shared" ca="1" si="5969"/>
        <v>0</v>
      </c>
      <c r="V939" s="10">
        <f t="shared" ca="1" si="5969"/>
        <v>0</v>
      </c>
      <c r="W939" s="10">
        <f t="shared" ca="1" si="5969"/>
        <v>0</v>
      </c>
      <c r="X939" s="10">
        <f t="shared" ca="1" si="5969"/>
        <v>0</v>
      </c>
      <c r="Y939" s="10">
        <f t="shared" ca="1" si="5969"/>
        <v>0</v>
      </c>
      <c r="Z939" s="10">
        <f t="shared" ca="1" si="5969"/>
        <v>0</v>
      </c>
      <c r="AA939" s="10">
        <f t="shared" ca="1" si="5969"/>
        <v>0</v>
      </c>
      <c r="AB939" s="10">
        <f t="shared" ca="1" si="5969"/>
        <v>0</v>
      </c>
      <c r="AC939" s="10">
        <f t="shared" ca="1" si="5969"/>
        <v>0</v>
      </c>
      <c r="AD939" s="10">
        <f t="shared" ca="1" si="5969"/>
        <v>0</v>
      </c>
      <c r="AE939" s="10">
        <f t="shared" ca="1" si="5969"/>
        <v>0</v>
      </c>
      <c r="AF939" s="10">
        <f t="shared" ca="1" si="5969"/>
        <v>0</v>
      </c>
      <c r="AG939" s="10">
        <f t="shared" ca="1" si="5969"/>
        <v>0</v>
      </c>
      <c r="AH939" s="10">
        <f t="shared" ca="1" si="5969"/>
        <v>0</v>
      </c>
      <c r="AI939" s="10">
        <f t="shared" ca="1" si="5969"/>
        <v>0</v>
      </c>
      <c r="AJ939" s="10">
        <f t="shared" ca="1" si="5969"/>
        <v>0</v>
      </c>
      <c r="AK939" s="10">
        <f t="shared" ca="1" si="5969"/>
        <v>0</v>
      </c>
      <c r="AL939" s="10">
        <f t="shared" ca="1" si="5969"/>
        <v>0</v>
      </c>
      <c r="AM939" s="10">
        <f t="shared" ca="1" si="5969"/>
        <v>0</v>
      </c>
      <c r="AN939" s="10">
        <f t="shared" ca="1" si="5969"/>
        <v>0</v>
      </c>
      <c r="AO939" s="10">
        <f t="shared" ca="1" si="5969"/>
        <v>0</v>
      </c>
      <c r="AP939" s="10">
        <f t="shared" ca="1" si="5969"/>
        <v>0</v>
      </c>
      <c r="AQ939" s="10">
        <f t="shared" ca="1" si="5969"/>
        <v>0</v>
      </c>
      <c r="AR939" s="10">
        <f t="shared" ref="AR939:BW939" ca="1" si="5970" xml:space="preserve"> $E913 * CPI_Accumulated_From_Date * (Period_length) * AR$50 * $I$776</f>
        <v>0</v>
      </c>
      <c r="AS939" s="10">
        <f t="shared" ca="1" si="5970"/>
        <v>0</v>
      </c>
      <c r="AT939" s="10">
        <f t="shared" ca="1" si="5970"/>
        <v>0</v>
      </c>
      <c r="AU939" s="10">
        <f t="shared" ca="1" si="5970"/>
        <v>0</v>
      </c>
      <c r="AV939" s="10">
        <f t="shared" ca="1" si="5970"/>
        <v>0</v>
      </c>
      <c r="AW939" s="10">
        <f t="shared" ca="1" si="5970"/>
        <v>0</v>
      </c>
      <c r="AX939" s="10">
        <f t="shared" ca="1" si="5970"/>
        <v>0</v>
      </c>
      <c r="AY939" s="10">
        <f t="shared" ca="1" si="5970"/>
        <v>0</v>
      </c>
      <c r="AZ939" s="10">
        <f t="shared" ca="1" si="5970"/>
        <v>0</v>
      </c>
      <c r="BA939" s="10">
        <f t="shared" ca="1" si="5970"/>
        <v>0</v>
      </c>
      <c r="BB939" s="10">
        <f t="shared" ca="1" si="5970"/>
        <v>0</v>
      </c>
      <c r="BC939" s="10">
        <f t="shared" ca="1" si="5970"/>
        <v>0</v>
      </c>
      <c r="BD939" s="10">
        <f t="shared" ca="1" si="5970"/>
        <v>0</v>
      </c>
      <c r="BE939" s="10">
        <f t="shared" ca="1" si="5970"/>
        <v>0</v>
      </c>
      <c r="BF939" s="10">
        <f t="shared" ca="1" si="5970"/>
        <v>0</v>
      </c>
      <c r="BG939" s="10">
        <f t="shared" ca="1" si="5970"/>
        <v>0</v>
      </c>
      <c r="BH939" s="10">
        <f t="shared" ca="1" si="5970"/>
        <v>0</v>
      </c>
      <c r="BI939" s="10">
        <f t="shared" ca="1" si="5970"/>
        <v>0</v>
      </c>
      <c r="BJ939" s="10">
        <f t="shared" ca="1" si="5970"/>
        <v>0</v>
      </c>
      <c r="BK939" s="10">
        <f t="shared" ca="1" si="5970"/>
        <v>0</v>
      </c>
      <c r="BL939" s="10">
        <f t="shared" ca="1" si="5970"/>
        <v>0</v>
      </c>
      <c r="BM939" s="10">
        <f t="shared" ca="1" si="5970"/>
        <v>0</v>
      </c>
      <c r="BN939" s="10">
        <f t="shared" ca="1" si="5970"/>
        <v>0</v>
      </c>
      <c r="BO939" s="10">
        <f t="shared" ca="1" si="5970"/>
        <v>0</v>
      </c>
      <c r="BP939" s="10">
        <f t="shared" ca="1" si="5970"/>
        <v>0</v>
      </c>
      <c r="BQ939" s="10">
        <f t="shared" ca="1" si="5970"/>
        <v>0</v>
      </c>
      <c r="BR939" s="10">
        <f t="shared" ca="1" si="5970"/>
        <v>0</v>
      </c>
      <c r="BS939" s="10">
        <f t="shared" ca="1" si="5970"/>
        <v>0</v>
      </c>
      <c r="BT939" s="10">
        <f t="shared" ca="1" si="5970"/>
        <v>0</v>
      </c>
      <c r="BU939" s="10">
        <f t="shared" ca="1" si="5970"/>
        <v>0</v>
      </c>
      <c r="BV939" s="10">
        <f t="shared" ca="1" si="5970"/>
        <v>0</v>
      </c>
      <c r="BW939" s="10">
        <f t="shared" ca="1" si="5970"/>
        <v>0</v>
      </c>
      <c r="BX939" s="10">
        <f t="shared" ref="BX939:CO939" ca="1" si="5971" xml:space="preserve"> $E913 * CPI_Accumulated_From_Date * (Period_length) * BX$50 * $I$776</f>
        <v>0</v>
      </c>
      <c r="BY939" s="10">
        <f t="shared" ca="1" si="5971"/>
        <v>0</v>
      </c>
      <c r="BZ939" s="10">
        <f t="shared" ca="1" si="5971"/>
        <v>0</v>
      </c>
      <c r="CA939" s="10">
        <f t="shared" ca="1" si="5971"/>
        <v>0</v>
      </c>
      <c r="CB939" s="10">
        <f t="shared" ca="1" si="5971"/>
        <v>0</v>
      </c>
      <c r="CC939" s="10">
        <f t="shared" ca="1" si="5971"/>
        <v>0</v>
      </c>
      <c r="CD939" s="10">
        <f t="shared" ca="1" si="5971"/>
        <v>0</v>
      </c>
      <c r="CE939" s="10">
        <f t="shared" ca="1" si="5971"/>
        <v>0</v>
      </c>
      <c r="CF939" s="10">
        <f t="shared" ca="1" si="5971"/>
        <v>0</v>
      </c>
      <c r="CG939" s="10">
        <f t="shared" ca="1" si="5971"/>
        <v>0</v>
      </c>
      <c r="CH939" s="10">
        <f t="shared" ca="1" si="5971"/>
        <v>0</v>
      </c>
      <c r="CI939" s="10">
        <f t="shared" ca="1" si="5971"/>
        <v>0</v>
      </c>
      <c r="CJ939" s="10">
        <f t="shared" ca="1" si="5971"/>
        <v>0</v>
      </c>
      <c r="CK939" s="10">
        <f t="shared" ca="1" si="5971"/>
        <v>0</v>
      </c>
      <c r="CL939" s="10">
        <f t="shared" ca="1" si="5971"/>
        <v>0</v>
      </c>
      <c r="CM939" s="10">
        <f t="shared" ca="1" si="5971"/>
        <v>0</v>
      </c>
      <c r="CN939" s="10">
        <f t="shared" ca="1" si="5971"/>
        <v>0</v>
      </c>
      <c r="CO939" s="10">
        <f t="shared" ca="1" si="5971"/>
        <v>0</v>
      </c>
    </row>
    <row r="940" spans="1:93" hidden="1">
      <c r="A940" s="10"/>
      <c r="B940" s="10"/>
      <c r="C940" s="17" t="s">
        <v>1056</v>
      </c>
      <c r="D940" s="10"/>
      <c r="E940" s="241">
        <f>E916</f>
        <v>0.22</v>
      </c>
      <c r="F940" s="10"/>
      <c r="G940" s="11" t="str">
        <f t="shared" si="5958"/>
        <v>тыс. руб.</v>
      </c>
      <c r="H940" s="10"/>
      <c r="I940" s="23">
        <f t="shared" ca="1" si="5959"/>
        <v>0</v>
      </c>
      <c r="J940" s="10"/>
      <c r="K940" s="10"/>
      <c r="L940" s="10">
        <f t="shared" ref="L940:AG940" ca="1" si="5972" xml:space="preserve"> SUM(L$936:L$939) * $E940</f>
        <v>0</v>
      </c>
      <c r="M940" s="10">
        <f t="shared" ca="1" si="5972"/>
        <v>0</v>
      </c>
      <c r="N940" s="10">
        <f t="shared" ca="1" si="5972"/>
        <v>0</v>
      </c>
      <c r="O940" s="10">
        <f t="shared" ca="1" si="5972"/>
        <v>0</v>
      </c>
      <c r="P940" s="10">
        <f t="shared" ca="1" si="5972"/>
        <v>0</v>
      </c>
      <c r="Q940" s="10">
        <f t="shared" ca="1" si="5972"/>
        <v>0</v>
      </c>
      <c r="R940" s="10">
        <f t="shared" ca="1" si="5972"/>
        <v>0</v>
      </c>
      <c r="S940" s="10">
        <f t="shared" ca="1" si="5972"/>
        <v>0</v>
      </c>
      <c r="T940" s="10">
        <f t="shared" ca="1" si="5972"/>
        <v>0</v>
      </c>
      <c r="U940" s="10">
        <f t="shared" ca="1" si="5972"/>
        <v>0</v>
      </c>
      <c r="V940" s="10">
        <f t="shared" ca="1" si="5972"/>
        <v>0</v>
      </c>
      <c r="W940" s="10">
        <f t="shared" ca="1" si="5972"/>
        <v>0</v>
      </c>
      <c r="X940" s="10">
        <f t="shared" ca="1" si="5972"/>
        <v>0</v>
      </c>
      <c r="Y940" s="10">
        <f t="shared" ca="1" si="5972"/>
        <v>0</v>
      </c>
      <c r="Z940" s="10">
        <f t="shared" ca="1" si="5972"/>
        <v>0</v>
      </c>
      <c r="AA940" s="10">
        <f t="shared" ca="1" si="5972"/>
        <v>0</v>
      </c>
      <c r="AB940" s="10">
        <f t="shared" ca="1" si="5972"/>
        <v>0</v>
      </c>
      <c r="AC940" s="10">
        <f t="shared" ca="1" si="5972"/>
        <v>0</v>
      </c>
      <c r="AD940" s="10">
        <f t="shared" ca="1" si="5972"/>
        <v>0</v>
      </c>
      <c r="AE940" s="10">
        <f t="shared" ca="1" si="5972"/>
        <v>0</v>
      </c>
      <c r="AF940" s="10">
        <f t="shared" ca="1" si="5972"/>
        <v>0</v>
      </c>
      <c r="AG940" s="10">
        <f t="shared" ca="1" si="5972"/>
        <v>0</v>
      </c>
      <c r="AH940" s="10">
        <f t="shared" ref="AH940:CO943" ca="1" si="5973" xml:space="preserve"> SUM(AH$936:AH$939) * $E940</f>
        <v>0</v>
      </c>
      <c r="AI940" s="10">
        <f t="shared" ca="1" si="5973"/>
        <v>0</v>
      </c>
      <c r="AJ940" s="10">
        <f t="shared" ca="1" si="5973"/>
        <v>0</v>
      </c>
      <c r="AK940" s="10">
        <f t="shared" ca="1" si="5973"/>
        <v>0</v>
      </c>
      <c r="AL940" s="10">
        <f t="shared" ca="1" si="5973"/>
        <v>0</v>
      </c>
      <c r="AM940" s="10">
        <f t="shared" ca="1" si="5973"/>
        <v>0</v>
      </c>
      <c r="AN940" s="10">
        <f t="shared" ca="1" si="5973"/>
        <v>0</v>
      </c>
      <c r="AO940" s="10">
        <f t="shared" ca="1" si="5973"/>
        <v>0</v>
      </c>
      <c r="AP940" s="10">
        <f t="shared" ca="1" si="5973"/>
        <v>0</v>
      </c>
      <c r="AQ940" s="10">
        <f t="shared" ca="1" si="5973"/>
        <v>0</v>
      </c>
      <c r="AR940" s="10">
        <f t="shared" ca="1" si="5973"/>
        <v>0</v>
      </c>
      <c r="AS940" s="10">
        <f t="shared" ca="1" si="5973"/>
        <v>0</v>
      </c>
      <c r="AT940" s="10">
        <f t="shared" ca="1" si="5973"/>
        <v>0</v>
      </c>
      <c r="AU940" s="10">
        <f t="shared" ca="1" si="5973"/>
        <v>0</v>
      </c>
      <c r="AV940" s="10">
        <f t="shared" ca="1" si="5973"/>
        <v>0</v>
      </c>
      <c r="AW940" s="10">
        <f t="shared" ca="1" si="5973"/>
        <v>0</v>
      </c>
      <c r="AX940" s="10">
        <f t="shared" ca="1" si="5973"/>
        <v>0</v>
      </c>
      <c r="AY940" s="10">
        <f t="shared" ca="1" si="5973"/>
        <v>0</v>
      </c>
      <c r="AZ940" s="10">
        <f t="shared" ca="1" si="5973"/>
        <v>0</v>
      </c>
      <c r="BA940" s="10">
        <f t="shared" ca="1" si="5973"/>
        <v>0</v>
      </c>
      <c r="BB940" s="10">
        <f t="shared" ca="1" si="5973"/>
        <v>0</v>
      </c>
      <c r="BC940" s="10">
        <f t="shared" ca="1" si="5973"/>
        <v>0</v>
      </c>
      <c r="BD940" s="10">
        <f t="shared" ca="1" si="5973"/>
        <v>0</v>
      </c>
      <c r="BE940" s="10">
        <f t="shared" ca="1" si="5973"/>
        <v>0</v>
      </c>
      <c r="BF940" s="10">
        <f t="shared" ca="1" si="5973"/>
        <v>0</v>
      </c>
      <c r="BG940" s="10">
        <f t="shared" ca="1" si="5973"/>
        <v>0</v>
      </c>
      <c r="BH940" s="10">
        <f t="shared" ca="1" si="5973"/>
        <v>0</v>
      </c>
      <c r="BI940" s="10">
        <f t="shared" ca="1" si="5973"/>
        <v>0</v>
      </c>
      <c r="BJ940" s="10">
        <f t="shared" ca="1" si="5973"/>
        <v>0</v>
      </c>
      <c r="BK940" s="10">
        <f t="shared" ca="1" si="5973"/>
        <v>0</v>
      </c>
      <c r="BL940" s="10">
        <f t="shared" ca="1" si="5973"/>
        <v>0</v>
      </c>
      <c r="BM940" s="10">
        <f t="shared" ca="1" si="5973"/>
        <v>0</v>
      </c>
      <c r="BN940" s="10">
        <f t="shared" ca="1" si="5973"/>
        <v>0</v>
      </c>
      <c r="BO940" s="10">
        <f t="shared" ca="1" si="5973"/>
        <v>0</v>
      </c>
      <c r="BP940" s="10">
        <f t="shared" ca="1" si="5973"/>
        <v>0</v>
      </c>
      <c r="BQ940" s="10">
        <f t="shared" ca="1" si="5973"/>
        <v>0</v>
      </c>
      <c r="BR940" s="10">
        <f t="shared" ca="1" si="5973"/>
        <v>0</v>
      </c>
      <c r="BS940" s="10">
        <f t="shared" ca="1" si="5973"/>
        <v>0</v>
      </c>
      <c r="BT940" s="10">
        <f t="shared" ca="1" si="5973"/>
        <v>0</v>
      </c>
      <c r="BU940" s="10">
        <f t="shared" ca="1" si="5973"/>
        <v>0</v>
      </c>
      <c r="BV940" s="10">
        <f t="shared" ca="1" si="5973"/>
        <v>0</v>
      </c>
      <c r="BW940" s="10">
        <f t="shared" ca="1" si="5973"/>
        <v>0</v>
      </c>
      <c r="BX940" s="10">
        <f t="shared" ca="1" si="5973"/>
        <v>0</v>
      </c>
      <c r="BY940" s="10">
        <f t="shared" ca="1" si="5973"/>
        <v>0</v>
      </c>
      <c r="BZ940" s="10">
        <f t="shared" ca="1" si="5973"/>
        <v>0</v>
      </c>
      <c r="CA940" s="10">
        <f t="shared" ca="1" si="5973"/>
        <v>0</v>
      </c>
      <c r="CB940" s="10">
        <f t="shared" ca="1" si="5973"/>
        <v>0</v>
      </c>
      <c r="CC940" s="10">
        <f t="shared" ca="1" si="5973"/>
        <v>0</v>
      </c>
      <c r="CD940" s="10">
        <f t="shared" ca="1" si="5973"/>
        <v>0</v>
      </c>
      <c r="CE940" s="10">
        <f t="shared" ca="1" si="5973"/>
        <v>0</v>
      </c>
      <c r="CF940" s="10">
        <f t="shared" ca="1" si="5973"/>
        <v>0</v>
      </c>
      <c r="CG940" s="10">
        <f t="shared" ca="1" si="5973"/>
        <v>0</v>
      </c>
      <c r="CH940" s="10">
        <f t="shared" ca="1" si="5973"/>
        <v>0</v>
      </c>
      <c r="CI940" s="10">
        <f t="shared" ca="1" si="5973"/>
        <v>0</v>
      </c>
      <c r="CJ940" s="10">
        <f t="shared" ca="1" si="5973"/>
        <v>0</v>
      </c>
      <c r="CK940" s="10">
        <f t="shared" ca="1" si="5973"/>
        <v>0</v>
      </c>
      <c r="CL940" s="10">
        <f t="shared" ca="1" si="5973"/>
        <v>0</v>
      </c>
      <c r="CM940" s="10">
        <f t="shared" ca="1" si="5973"/>
        <v>0</v>
      </c>
      <c r="CN940" s="10">
        <f t="shared" ca="1" si="5973"/>
        <v>0</v>
      </c>
      <c r="CO940" s="10">
        <f t="shared" ca="1" si="5973"/>
        <v>0</v>
      </c>
    </row>
    <row r="941" spans="1:93" hidden="1">
      <c r="A941" s="10"/>
      <c r="B941" s="10"/>
      <c r="C941" s="17" t="s">
        <v>1057</v>
      </c>
      <c r="D941" s="10"/>
      <c r="E941" s="241">
        <f t="shared" ref="E941:E943" si="5974">E917</f>
        <v>2.9000000000000001E-2</v>
      </c>
      <c r="F941" s="10"/>
      <c r="G941" s="11" t="str">
        <f t="shared" si="5958"/>
        <v>тыс. руб.</v>
      </c>
      <c r="H941" s="10"/>
      <c r="I941" s="23">
        <f t="shared" ca="1" si="5959"/>
        <v>0</v>
      </c>
      <c r="J941" s="10"/>
      <c r="K941" s="10"/>
      <c r="L941" s="10">
        <f t="shared" ref="L941:BI943" ca="1" si="5975" xml:space="preserve"> SUM(L$936:L$939) * $E941</f>
        <v>0</v>
      </c>
      <c r="M941" s="10">
        <f t="shared" ca="1" si="5975"/>
        <v>0</v>
      </c>
      <c r="N941" s="10">
        <f t="shared" ca="1" si="5975"/>
        <v>0</v>
      </c>
      <c r="O941" s="10">
        <f t="shared" ca="1" si="5975"/>
        <v>0</v>
      </c>
      <c r="P941" s="10">
        <f t="shared" ca="1" si="5975"/>
        <v>0</v>
      </c>
      <c r="Q941" s="10">
        <f t="shared" ca="1" si="5975"/>
        <v>0</v>
      </c>
      <c r="R941" s="10">
        <f t="shared" ca="1" si="5975"/>
        <v>0</v>
      </c>
      <c r="S941" s="10">
        <f t="shared" ca="1" si="5975"/>
        <v>0</v>
      </c>
      <c r="T941" s="10">
        <f t="shared" ca="1" si="5975"/>
        <v>0</v>
      </c>
      <c r="U941" s="10">
        <f t="shared" ca="1" si="5975"/>
        <v>0</v>
      </c>
      <c r="V941" s="10">
        <f t="shared" ca="1" si="5975"/>
        <v>0</v>
      </c>
      <c r="W941" s="10">
        <f t="shared" ca="1" si="5975"/>
        <v>0</v>
      </c>
      <c r="X941" s="10">
        <f t="shared" ca="1" si="5975"/>
        <v>0</v>
      </c>
      <c r="Y941" s="10">
        <f t="shared" ca="1" si="5975"/>
        <v>0</v>
      </c>
      <c r="Z941" s="10">
        <f t="shared" ca="1" si="5975"/>
        <v>0</v>
      </c>
      <c r="AA941" s="10">
        <f t="shared" ca="1" si="5975"/>
        <v>0</v>
      </c>
      <c r="AB941" s="10">
        <f t="shared" ca="1" si="5975"/>
        <v>0</v>
      </c>
      <c r="AC941" s="10">
        <f t="shared" ca="1" si="5975"/>
        <v>0</v>
      </c>
      <c r="AD941" s="10">
        <f t="shared" ca="1" si="5975"/>
        <v>0</v>
      </c>
      <c r="AE941" s="10">
        <f t="shared" ca="1" si="5975"/>
        <v>0</v>
      </c>
      <c r="AF941" s="10">
        <f t="shared" ca="1" si="5975"/>
        <v>0</v>
      </c>
      <c r="AG941" s="10">
        <f t="shared" ca="1" si="5975"/>
        <v>0</v>
      </c>
      <c r="AH941" s="10">
        <f t="shared" ca="1" si="5975"/>
        <v>0</v>
      </c>
      <c r="AI941" s="10">
        <f t="shared" ca="1" si="5975"/>
        <v>0</v>
      </c>
      <c r="AJ941" s="10">
        <f t="shared" ca="1" si="5975"/>
        <v>0</v>
      </c>
      <c r="AK941" s="10">
        <f t="shared" ca="1" si="5975"/>
        <v>0</v>
      </c>
      <c r="AL941" s="10">
        <f t="shared" ca="1" si="5975"/>
        <v>0</v>
      </c>
      <c r="AM941" s="10">
        <f t="shared" ca="1" si="5975"/>
        <v>0</v>
      </c>
      <c r="AN941" s="10">
        <f t="shared" ca="1" si="5975"/>
        <v>0</v>
      </c>
      <c r="AO941" s="10">
        <f t="shared" ca="1" si="5975"/>
        <v>0</v>
      </c>
      <c r="AP941" s="10">
        <f t="shared" ca="1" si="5975"/>
        <v>0</v>
      </c>
      <c r="AQ941" s="10">
        <f t="shared" ca="1" si="5975"/>
        <v>0</v>
      </c>
      <c r="AR941" s="10">
        <f t="shared" ca="1" si="5975"/>
        <v>0</v>
      </c>
      <c r="AS941" s="10">
        <f t="shared" ca="1" si="5975"/>
        <v>0</v>
      </c>
      <c r="AT941" s="10">
        <f t="shared" ca="1" si="5975"/>
        <v>0</v>
      </c>
      <c r="AU941" s="10">
        <f t="shared" ca="1" si="5975"/>
        <v>0</v>
      </c>
      <c r="AV941" s="10">
        <f t="shared" ca="1" si="5975"/>
        <v>0</v>
      </c>
      <c r="AW941" s="10">
        <f t="shared" ca="1" si="5975"/>
        <v>0</v>
      </c>
      <c r="AX941" s="10">
        <f t="shared" ca="1" si="5975"/>
        <v>0</v>
      </c>
      <c r="AY941" s="10">
        <f t="shared" ca="1" si="5975"/>
        <v>0</v>
      </c>
      <c r="AZ941" s="10">
        <f t="shared" ca="1" si="5975"/>
        <v>0</v>
      </c>
      <c r="BA941" s="10">
        <f t="shared" ca="1" si="5975"/>
        <v>0</v>
      </c>
      <c r="BB941" s="10">
        <f t="shared" ca="1" si="5975"/>
        <v>0</v>
      </c>
      <c r="BC941" s="10">
        <f t="shared" ca="1" si="5975"/>
        <v>0</v>
      </c>
      <c r="BD941" s="10">
        <f t="shared" ca="1" si="5975"/>
        <v>0</v>
      </c>
      <c r="BE941" s="10">
        <f t="shared" ca="1" si="5975"/>
        <v>0</v>
      </c>
      <c r="BF941" s="10">
        <f t="shared" ca="1" si="5975"/>
        <v>0</v>
      </c>
      <c r="BG941" s="10">
        <f t="shared" ca="1" si="5975"/>
        <v>0</v>
      </c>
      <c r="BH941" s="10">
        <f t="shared" ca="1" si="5975"/>
        <v>0</v>
      </c>
      <c r="BI941" s="10">
        <f t="shared" ca="1" si="5975"/>
        <v>0</v>
      </c>
      <c r="BJ941" s="10">
        <f t="shared" ca="1" si="5973"/>
        <v>0</v>
      </c>
      <c r="BK941" s="10">
        <f t="shared" ca="1" si="5973"/>
        <v>0</v>
      </c>
      <c r="BL941" s="10">
        <f t="shared" ca="1" si="5973"/>
        <v>0</v>
      </c>
      <c r="BM941" s="10">
        <f t="shared" ca="1" si="5973"/>
        <v>0</v>
      </c>
      <c r="BN941" s="10">
        <f t="shared" ca="1" si="5973"/>
        <v>0</v>
      </c>
      <c r="BO941" s="10">
        <f t="shared" ca="1" si="5973"/>
        <v>0</v>
      </c>
      <c r="BP941" s="10">
        <f t="shared" ca="1" si="5973"/>
        <v>0</v>
      </c>
      <c r="BQ941" s="10">
        <f t="shared" ca="1" si="5973"/>
        <v>0</v>
      </c>
      <c r="BR941" s="10">
        <f t="shared" ca="1" si="5973"/>
        <v>0</v>
      </c>
      <c r="BS941" s="10">
        <f t="shared" ca="1" si="5973"/>
        <v>0</v>
      </c>
      <c r="BT941" s="10">
        <f t="shared" ca="1" si="5973"/>
        <v>0</v>
      </c>
      <c r="BU941" s="10">
        <f t="shared" ca="1" si="5973"/>
        <v>0</v>
      </c>
      <c r="BV941" s="10">
        <f t="shared" ca="1" si="5973"/>
        <v>0</v>
      </c>
      <c r="BW941" s="10">
        <f t="shared" ca="1" si="5973"/>
        <v>0</v>
      </c>
      <c r="BX941" s="10">
        <f t="shared" ca="1" si="5973"/>
        <v>0</v>
      </c>
      <c r="BY941" s="10">
        <f t="shared" ca="1" si="5973"/>
        <v>0</v>
      </c>
      <c r="BZ941" s="10">
        <f t="shared" ca="1" si="5973"/>
        <v>0</v>
      </c>
      <c r="CA941" s="10">
        <f t="shared" ca="1" si="5973"/>
        <v>0</v>
      </c>
      <c r="CB941" s="10">
        <f t="shared" ca="1" si="5973"/>
        <v>0</v>
      </c>
      <c r="CC941" s="10">
        <f t="shared" ca="1" si="5973"/>
        <v>0</v>
      </c>
      <c r="CD941" s="10">
        <f t="shared" ca="1" si="5973"/>
        <v>0</v>
      </c>
      <c r="CE941" s="10">
        <f t="shared" ca="1" si="5973"/>
        <v>0</v>
      </c>
      <c r="CF941" s="10">
        <f t="shared" ca="1" si="5973"/>
        <v>0</v>
      </c>
      <c r="CG941" s="10">
        <f t="shared" ca="1" si="5973"/>
        <v>0</v>
      </c>
      <c r="CH941" s="10">
        <f t="shared" ca="1" si="5973"/>
        <v>0</v>
      </c>
      <c r="CI941" s="10">
        <f t="shared" ca="1" si="5973"/>
        <v>0</v>
      </c>
      <c r="CJ941" s="10">
        <f t="shared" ca="1" si="5973"/>
        <v>0</v>
      </c>
      <c r="CK941" s="10">
        <f t="shared" ca="1" si="5973"/>
        <v>0</v>
      </c>
      <c r="CL941" s="10">
        <f t="shared" ca="1" si="5973"/>
        <v>0</v>
      </c>
      <c r="CM941" s="10">
        <f t="shared" ca="1" si="5973"/>
        <v>0</v>
      </c>
      <c r="CN941" s="10">
        <f t="shared" ca="1" si="5973"/>
        <v>0</v>
      </c>
      <c r="CO941" s="10">
        <f t="shared" ca="1" si="5973"/>
        <v>0</v>
      </c>
    </row>
    <row r="942" spans="1:93" hidden="1">
      <c r="A942" s="10"/>
      <c r="B942" s="10"/>
      <c r="C942" s="17" t="s">
        <v>1058</v>
      </c>
      <c r="D942" s="10"/>
      <c r="E942" s="241">
        <f t="shared" si="5974"/>
        <v>5.0999999999999997E-2</v>
      </c>
      <c r="F942" s="10"/>
      <c r="G942" s="11" t="str">
        <f t="shared" si="5958"/>
        <v>тыс. руб.</v>
      </c>
      <c r="H942" s="10"/>
      <c r="I942" s="23">
        <f t="shared" ca="1" si="5959"/>
        <v>0</v>
      </c>
      <c r="J942" s="10"/>
      <c r="K942" s="10"/>
      <c r="L942" s="10">
        <f t="shared" ca="1" si="5975"/>
        <v>0</v>
      </c>
      <c r="M942" s="10">
        <f t="shared" ca="1" si="5975"/>
        <v>0</v>
      </c>
      <c r="N942" s="10">
        <f t="shared" ca="1" si="5975"/>
        <v>0</v>
      </c>
      <c r="O942" s="10">
        <f t="shared" ca="1" si="5975"/>
        <v>0</v>
      </c>
      <c r="P942" s="10">
        <f t="shared" ca="1" si="5975"/>
        <v>0</v>
      </c>
      <c r="Q942" s="10">
        <f t="shared" ca="1" si="5975"/>
        <v>0</v>
      </c>
      <c r="R942" s="10">
        <f t="shared" ca="1" si="5975"/>
        <v>0</v>
      </c>
      <c r="S942" s="10">
        <f t="shared" ca="1" si="5975"/>
        <v>0</v>
      </c>
      <c r="T942" s="10">
        <f t="shared" ref="T942:CE943" ca="1" si="5976" xml:space="preserve"> SUM(T$936:T$939) * $E942</f>
        <v>0</v>
      </c>
      <c r="U942" s="10">
        <f t="shared" ca="1" si="5976"/>
        <v>0</v>
      </c>
      <c r="V942" s="10">
        <f t="shared" ca="1" si="5976"/>
        <v>0</v>
      </c>
      <c r="W942" s="10">
        <f t="shared" ca="1" si="5976"/>
        <v>0</v>
      </c>
      <c r="X942" s="10">
        <f t="shared" ca="1" si="5976"/>
        <v>0</v>
      </c>
      <c r="Y942" s="10">
        <f t="shared" ca="1" si="5976"/>
        <v>0</v>
      </c>
      <c r="Z942" s="10">
        <f t="shared" ca="1" si="5976"/>
        <v>0</v>
      </c>
      <c r="AA942" s="10">
        <f t="shared" ca="1" si="5976"/>
        <v>0</v>
      </c>
      <c r="AB942" s="10">
        <f t="shared" ca="1" si="5976"/>
        <v>0</v>
      </c>
      <c r="AC942" s="10">
        <f t="shared" ca="1" si="5976"/>
        <v>0</v>
      </c>
      <c r="AD942" s="10">
        <f t="shared" ca="1" si="5976"/>
        <v>0</v>
      </c>
      <c r="AE942" s="10">
        <f t="shared" ca="1" si="5976"/>
        <v>0</v>
      </c>
      <c r="AF942" s="10">
        <f t="shared" ca="1" si="5976"/>
        <v>0</v>
      </c>
      <c r="AG942" s="10">
        <f t="shared" ca="1" si="5976"/>
        <v>0</v>
      </c>
      <c r="AH942" s="10">
        <f t="shared" ca="1" si="5976"/>
        <v>0</v>
      </c>
      <c r="AI942" s="10">
        <f t="shared" ca="1" si="5976"/>
        <v>0</v>
      </c>
      <c r="AJ942" s="10">
        <f t="shared" ca="1" si="5976"/>
        <v>0</v>
      </c>
      <c r="AK942" s="10">
        <f t="shared" ca="1" si="5976"/>
        <v>0</v>
      </c>
      <c r="AL942" s="10">
        <f t="shared" ca="1" si="5976"/>
        <v>0</v>
      </c>
      <c r="AM942" s="10">
        <f t="shared" ca="1" si="5976"/>
        <v>0</v>
      </c>
      <c r="AN942" s="10">
        <f t="shared" ca="1" si="5976"/>
        <v>0</v>
      </c>
      <c r="AO942" s="10">
        <f t="shared" ca="1" si="5976"/>
        <v>0</v>
      </c>
      <c r="AP942" s="10">
        <f t="shared" ca="1" si="5976"/>
        <v>0</v>
      </c>
      <c r="AQ942" s="10">
        <f t="shared" ca="1" si="5976"/>
        <v>0</v>
      </c>
      <c r="AR942" s="10">
        <f t="shared" ca="1" si="5976"/>
        <v>0</v>
      </c>
      <c r="AS942" s="10">
        <f t="shared" ca="1" si="5976"/>
        <v>0</v>
      </c>
      <c r="AT942" s="10">
        <f t="shared" ca="1" si="5976"/>
        <v>0</v>
      </c>
      <c r="AU942" s="10">
        <f t="shared" ca="1" si="5976"/>
        <v>0</v>
      </c>
      <c r="AV942" s="10">
        <f t="shared" ca="1" si="5976"/>
        <v>0</v>
      </c>
      <c r="AW942" s="10">
        <f t="shared" ca="1" si="5976"/>
        <v>0</v>
      </c>
      <c r="AX942" s="10">
        <f t="shared" ca="1" si="5976"/>
        <v>0</v>
      </c>
      <c r="AY942" s="10">
        <f t="shared" ca="1" si="5976"/>
        <v>0</v>
      </c>
      <c r="AZ942" s="10">
        <f t="shared" ca="1" si="5976"/>
        <v>0</v>
      </c>
      <c r="BA942" s="10">
        <f t="shared" ca="1" si="5976"/>
        <v>0</v>
      </c>
      <c r="BB942" s="10">
        <f t="shared" ca="1" si="5976"/>
        <v>0</v>
      </c>
      <c r="BC942" s="10">
        <f t="shared" ca="1" si="5976"/>
        <v>0</v>
      </c>
      <c r="BD942" s="10">
        <f t="shared" ca="1" si="5976"/>
        <v>0</v>
      </c>
      <c r="BE942" s="10">
        <f t="shared" ca="1" si="5976"/>
        <v>0</v>
      </c>
      <c r="BF942" s="10">
        <f t="shared" ca="1" si="5976"/>
        <v>0</v>
      </c>
      <c r="BG942" s="10">
        <f t="shared" ca="1" si="5976"/>
        <v>0</v>
      </c>
      <c r="BH942" s="10">
        <f t="shared" ca="1" si="5976"/>
        <v>0</v>
      </c>
      <c r="BI942" s="10">
        <f t="shared" ca="1" si="5976"/>
        <v>0</v>
      </c>
      <c r="BJ942" s="10">
        <f t="shared" ca="1" si="5976"/>
        <v>0</v>
      </c>
      <c r="BK942" s="10">
        <f t="shared" ca="1" si="5976"/>
        <v>0</v>
      </c>
      <c r="BL942" s="10">
        <f t="shared" ca="1" si="5976"/>
        <v>0</v>
      </c>
      <c r="BM942" s="10">
        <f t="shared" ca="1" si="5976"/>
        <v>0</v>
      </c>
      <c r="BN942" s="10">
        <f t="shared" ca="1" si="5976"/>
        <v>0</v>
      </c>
      <c r="BO942" s="10">
        <f t="shared" ca="1" si="5976"/>
        <v>0</v>
      </c>
      <c r="BP942" s="10">
        <f t="shared" ca="1" si="5976"/>
        <v>0</v>
      </c>
      <c r="BQ942" s="10">
        <f t="shared" ca="1" si="5976"/>
        <v>0</v>
      </c>
      <c r="BR942" s="10">
        <f t="shared" ca="1" si="5976"/>
        <v>0</v>
      </c>
      <c r="BS942" s="10">
        <f t="shared" ca="1" si="5976"/>
        <v>0</v>
      </c>
      <c r="BT942" s="10">
        <f t="shared" ca="1" si="5976"/>
        <v>0</v>
      </c>
      <c r="BU942" s="10">
        <f t="shared" ca="1" si="5976"/>
        <v>0</v>
      </c>
      <c r="BV942" s="10">
        <f t="shared" ca="1" si="5976"/>
        <v>0</v>
      </c>
      <c r="BW942" s="10">
        <f t="shared" ca="1" si="5976"/>
        <v>0</v>
      </c>
      <c r="BX942" s="10">
        <f t="shared" ca="1" si="5976"/>
        <v>0</v>
      </c>
      <c r="BY942" s="10">
        <f t="shared" ca="1" si="5976"/>
        <v>0</v>
      </c>
      <c r="BZ942" s="10">
        <f t="shared" ca="1" si="5976"/>
        <v>0</v>
      </c>
      <c r="CA942" s="10">
        <f t="shared" ca="1" si="5976"/>
        <v>0</v>
      </c>
      <c r="CB942" s="10">
        <f t="shared" ca="1" si="5976"/>
        <v>0</v>
      </c>
      <c r="CC942" s="10">
        <f t="shared" ca="1" si="5976"/>
        <v>0</v>
      </c>
      <c r="CD942" s="10">
        <f t="shared" ca="1" si="5976"/>
        <v>0</v>
      </c>
      <c r="CE942" s="10">
        <f t="shared" ca="1" si="5976"/>
        <v>0</v>
      </c>
      <c r="CF942" s="10">
        <f t="shared" ca="1" si="5973"/>
        <v>0</v>
      </c>
      <c r="CG942" s="10">
        <f t="shared" ca="1" si="5973"/>
        <v>0</v>
      </c>
      <c r="CH942" s="10">
        <f t="shared" ca="1" si="5973"/>
        <v>0</v>
      </c>
      <c r="CI942" s="10">
        <f t="shared" ca="1" si="5973"/>
        <v>0</v>
      </c>
      <c r="CJ942" s="10">
        <f t="shared" ca="1" si="5973"/>
        <v>0</v>
      </c>
      <c r="CK942" s="10">
        <f t="shared" ca="1" si="5973"/>
        <v>0</v>
      </c>
      <c r="CL942" s="10">
        <f t="shared" ca="1" si="5973"/>
        <v>0</v>
      </c>
      <c r="CM942" s="10">
        <f t="shared" ca="1" si="5973"/>
        <v>0</v>
      </c>
      <c r="CN942" s="10">
        <f t="shared" ca="1" si="5973"/>
        <v>0</v>
      </c>
      <c r="CO942" s="10">
        <f t="shared" ca="1" si="5973"/>
        <v>0</v>
      </c>
    </row>
    <row r="943" spans="1:93" hidden="1">
      <c r="A943" s="10"/>
      <c r="B943" s="10"/>
      <c r="C943" s="17" t="s">
        <v>1059</v>
      </c>
      <c r="D943" s="10"/>
      <c r="E943" s="241">
        <f t="shared" si="5974"/>
        <v>2E-3</v>
      </c>
      <c r="F943" s="10"/>
      <c r="G943" s="11" t="str">
        <f t="shared" si="5958"/>
        <v>тыс. руб.</v>
      </c>
      <c r="H943" s="10"/>
      <c r="I943" s="23">
        <f t="shared" ca="1" si="5959"/>
        <v>0</v>
      </c>
      <c r="J943" s="10"/>
      <c r="K943" s="10"/>
      <c r="L943" s="10">
        <f t="shared" ca="1" si="5975"/>
        <v>0</v>
      </c>
      <c r="M943" s="10">
        <f t="shared" ca="1" si="5975"/>
        <v>0</v>
      </c>
      <c r="N943" s="10">
        <f t="shared" ca="1" si="5975"/>
        <v>0</v>
      </c>
      <c r="O943" s="10">
        <f t="shared" ca="1" si="5975"/>
        <v>0</v>
      </c>
      <c r="P943" s="10">
        <f t="shared" ca="1" si="5975"/>
        <v>0</v>
      </c>
      <c r="Q943" s="10">
        <f t="shared" ca="1" si="5975"/>
        <v>0</v>
      </c>
      <c r="R943" s="10">
        <f t="shared" ca="1" si="5975"/>
        <v>0</v>
      </c>
      <c r="S943" s="10">
        <f t="shared" ca="1" si="5975"/>
        <v>0</v>
      </c>
      <c r="T943" s="10">
        <f t="shared" ca="1" si="5976"/>
        <v>0</v>
      </c>
      <c r="U943" s="10">
        <f t="shared" ca="1" si="5976"/>
        <v>0</v>
      </c>
      <c r="V943" s="10">
        <f t="shared" ca="1" si="5976"/>
        <v>0</v>
      </c>
      <c r="W943" s="10">
        <f t="shared" ca="1" si="5976"/>
        <v>0</v>
      </c>
      <c r="X943" s="10">
        <f t="shared" ca="1" si="5976"/>
        <v>0</v>
      </c>
      <c r="Y943" s="10">
        <f t="shared" ca="1" si="5976"/>
        <v>0</v>
      </c>
      <c r="Z943" s="10">
        <f t="shared" ca="1" si="5976"/>
        <v>0</v>
      </c>
      <c r="AA943" s="10">
        <f t="shared" ca="1" si="5976"/>
        <v>0</v>
      </c>
      <c r="AB943" s="10">
        <f t="shared" ca="1" si="5976"/>
        <v>0</v>
      </c>
      <c r="AC943" s="10">
        <f t="shared" ca="1" si="5976"/>
        <v>0</v>
      </c>
      <c r="AD943" s="10">
        <f t="shared" ca="1" si="5976"/>
        <v>0</v>
      </c>
      <c r="AE943" s="10">
        <f t="shared" ca="1" si="5976"/>
        <v>0</v>
      </c>
      <c r="AF943" s="10">
        <f t="shared" ca="1" si="5976"/>
        <v>0</v>
      </c>
      <c r="AG943" s="10">
        <f t="shared" ca="1" si="5976"/>
        <v>0</v>
      </c>
      <c r="AH943" s="10">
        <f t="shared" ca="1" si="5976"/>
        <v>0</v>
      </c>
      <c r="AI943" s="10">
        <f t="shared" ca="1" si="5976"/>
        <v>0</v>
      </c>
      <c r="AJ943" s="10">
        <f t="shared" ca="1" si="5976"/>
        <v>0</v>
      </c>
      <c r="AK943" s="10">
        <f t="shared" ca="1" si="5976"/>
        <v>0</v>
      </c>
      <c r="AL943" s="10">
        <f t="shared" ca="1" si="5976"/>
        <v>0</v>
      </c>
      <c r="AM943" s="10">
        <f t="shared" ca="1" si="5976"/>
        <v>0</v>
      </c>
      <c r="AN943" s="10">
        <f t="shared" ca="1" si="5976"/>
        <v>0</v>
      </c>
      <c r="AO943" s="10">
        <f t="shared" ca="1" si="5976"/>
        <v>0</v>
      </c>
      <c r="AP943" s="10">
        <f t="shared" ca="1" si="5976"/>
        <v>0</v>
      </c>
      <c r="AQ943" s="10">
        <f t="shared" ca="1" si="5976"/>
        <v>0</v>
      </c>
      <c r="AR943" s="10">
        <f t="shared" ca="1" si="5976"/>
        <v>0</v>
      </c>
      <c r="AS943" s="10">
        <f t="shared" ca="1" si="5976"/>
        <v>0</v>
      </c>
      <c r="AT943" s="10">
        <f t="shared" ca="1" si="5976"/>
        <v>0</v>
      </c>
      <c r="AU943" s="10">
        <f t="shared" ca="1" si="5976"/>
        <v>0</v>
      </c>
      <c r="AV943" s="10">
        <f t="shared" ca="1" si="5976"/>
        <v>0</v>
      </c>
      <c r="AW943" s="10">
        <f t="shared" ca="1" si="5976"/>
        <v>0</v>
      </c>
      <c r="AX943" s="10">
        <f t="shared" ca="1" si="5976"/>
        <v>0</v>
      </c>
      <c r="AY943" s="10">
        <f t="shared" ca="1" si="5976"/>
        <v>0</v>
      </c>
      <c r="AZ943" s="10">
        <f t="shared" ca="1" si="5976"/>
        <v>0</v>
      </c>
      <c r="BA943" s="10">
        <f t="shared" ca="1" si="5976"/>
        <v>0</v>
      </c>
      <c r="BB943" s="10">
        <f t="shared" ca="1" si="5976"/>
        <v>0</v>
      </c>
      <c r="BC943" s="10">
        <f t="shared" ca="1" si="5976"/>
        <v>0</v>
      </c>
      <c r="BD943" s="10">
        <f t="shared" ca="1" si="5976"/>
        <v>0</v>
      </c>
      <c r="BE943" s="10">
        <f t="shared" ca="1" si="5976"/>
        <v>0</v>
      </c>
      <c r="BF943" s="10">
        <f t="shared" ca="1" si="5976"/>
        <v>0</v>
      </c>
      <c r="BG943" s="10">
        <f t="shared" ca="1" si="5976"/>
        <v>0</v>
      </c>
      <c r="BH943" s="10">
        <f t="shared" ca="1" si="5976"/>
        <v>0</v>
      </c>
      <c r="BI943" s="10">
        <f t="shared" ca="1" si="5976"/>
        <v>0</v>
      </c>
      <c r="BJ943" s="10">
        <f t="shared" ca="1" si="5976"/>
        <v>0</v>
      </c>
      <c r="BK943" s="10">
        <f t="shared" ca="1" si="5976"/>
        <v>0</v>
      </c>
      <c r="BL943" s="10">
        <f t="shared" ca="1" si="5976"/>
        <v>0</v>
      </c>
      <c r="BM943" s="10">
        <f t="shared" ca="1" si="5976"/>
        <v>0</v>
      </c>
      <c r="BN943" s="10">
        <f t="shared" ca="1" si="5976"/>
        <v>0</v>
      </c>
      <c r="BO943" s="10">
        <f t="shared" ca="1" si="5976"/>
        <v>0</v>
      </c>
      <c r="BP943" s="10">
        <f t="shared" ca="1" si="5976"/>
        <v>0</v>
      </c>
      <c r="BQ943" s="10">
        <f t="shared" ca="1" si="5976"/>
        <v>0</v>
      </c>
      <c r="BR943" s="10">
        <f t="shared" ca="1" si="5976"/>
        <v>0</v>
      </c>
      <c r="BS943" s="10">
        <f t="shared" ca="1" si="5976"/>
        <v>0</v>
      </c>
      <c r="BT943" s="10">
        <f t="shared" ca="1" si="5976"/>
        <v>0</v>
      </c>
      <c r="BU943" s="10">
        <f t="shared" ca="1" si="5976"/>
        <v>0</v>
      </c>
      <c r="BV943" s="10">
        <f t="shared" ca="1" si="5976"/>
        <v>0</v>
      </c>
      <c r="BW943" s="10">
        <f t="shared" ca="1" si="5976"/>
        <v>0</v>
      </c>
      <c r="BX943" s="10">
        <f t="shared" ca="1" si="5976"/>
        <v>0</v>
      </c>
      <c r="BY943" s="10">
        <f t="shared" ca="1" si="5976"/>
        <v>0</v>
      </c>
      <c r="BZ943" s="10">
        <f t="shared" ca="1" si="5976"/>
        <v>0</v>
      </c>
      <c r="CA943" s="10">
        <f t="shared" ca="1" si="5976"/>
        <v>0</v>
      </c>
      <c r="CB943" s="10">
        <f t="shared" ca="1" si="5976"/>
        <v>0</v>
      </c>
      <c r="CC943" s="10">
        <f t="shared" ca="1" si="5976"/>
        <v>0</v>
      </c>
      <c r="CD943" s="10">
        <f t="shared" ca="1" si="5976"/>
        <v>0</v>
      </c>
      <c r="CE943" s="10">
        <f t="shared" ca="1" si="5976"/>
        <v>0</v>
      </c>
      <c r="CF943" s="10">
        <f t="shared" ca="1" si="5973"/>
        <v>0</v>
      </c>
      <c r="CG943" s="10">
        <f t="shared" ca="1" si="5973"/>
        <v>0</v>
      </c>
      <c r="CH943" s="10">
        <f t="shared" ca="1" si="5973"/>
        <v>0</v>
      </c>
      <c r="CI943" s="10">
        <f t="shared" ca="1" si="5973"/>
        <v>0</v>
      </c>
      <c r="CJ943" s="10">
        <f t="shared" ca="1" si="5973"/>
        <v>0</v>
      </c>
      <c r="CK943" s="10">
        <f t="shared" ca="1" si="5973"/>
        <v>0</v>
      </c>
      <c r="CL943" s="10">
        <f t="shared" ca="1" si="5973"/>
        <v>0</v>
      </c>
      <c r="CM943" s="10">
        <f t="shared" ca="1" si="5973"/>
        <v>0</v>
      </c>
      <c r="CN943" s="10">
        <f t="shared" ca="1" si="5973"/>
        <v>0</v>
      </c>
      <c r="CO943" s="10">
        <f t="shared" ca="1" si="5973"/>
        <v>0</v>
      </c>
    </row>
    <row r="944" spans="1:93" hidden="1">
      <c r="A944" s="10"/>
      <c r="B944" s="10"/>
      <c r="C944" s="10"/>
      <c r="D944" s="10"/>
      <c r="E944" s="10"/>
      <c r="F944" s="10"/>
      <c r="G944" s="11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  <c r="BB944" s="10"/>
      <c r="BC944" s="10"/>
      <c r="BD944" s="10"/>
      <c r="BE944" s="10"/>
      <c r="BF944" s="10"/>
      <c r="BG944" s="10"/>
      <c r="BH944" s="10"/>
      <c r="BI944" s="10"/>
      <c r="BJ944" s="10"/>
      <c r="BK944" s="10"/>
      <c r="BL944" s="10"/>
      <c r="BM944" s="10"/>
      <c r="BN944" s="10"/>
      <c r="BO944" s="10"/>
      <c r="BP944" s="10"/>
      <c r="BQ944" s="10"/>
      <c r="BR944" s="10"/>
      <c r="BS944" s="10"/>
      <c r="BT944" s="10"/>
      <c r="BU944" s="10"/>
      <c r="BV944" s="10"/>
      <c r="BW944" s="10"/>
      <c r="BX944" s="10"/>
      <c r="BY944" s="10"/>
      <c r="BZ944" s="10"/>
      <c r="CA944" s="10"/>
      <c r="CB944" s="10"/>
      <c r="CC944" s="10"/>
      <c r="CD944" s="10"/>
      <c r="CE944" s="10"/>
      <c r="CF944" s="10"/>
      <c r="CG944" s="10"/>
      <c r="CH944" s="10"/>
      <c r="CI944" s="10"/>
      <c r="CJ944" s="10"/>
      <c r="CK944" s="10"/>
      <c r="CL944" s="10"/>
      <c r="CM944" s="10"/>
      <c r="CN944" s="10"/>
      <c r="CO944" s="10"/>
    </row>
    <row r="945" spans="1:93" hidden="1">
      <c r="A945" s="10"/>
      <c r="B945" s="10"/>
      <c r="C945" s="35" t="s">
        <v>935</v>
      </c>
      <c r="D945" s="10"/>
      <c r="E945" s="10"/>
      <c r="F945" s="10"/>
      <c r="G945" s="11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  <c r="BB945" s="10"/>
      <c r="BC945" s="10"/>
      <c r="BD945" s="10"/>
      <c r="BE945" s="10"/>
      <c r="BF945" s="10"/>
      <c r="BG945" s="10"/>
      <c r="BH945" s="10"/>
      <c r="BI945" s="10"/>
      <c r="BJ945" s="10"/>
      <c r="BK945" s="10"/>
      <c r="BL945" s="10"/>
      <c r="BM945" s="10"/>
      <c r="BN945" s="10"/>
      <c r="BO945" s="10"/>
      <c r="BP945" s="10"/>
      <c r="BQ945" s="10"/>
      <c r="BR945" s="10"/>
      <c r="BS945" s="10"/>
      <c r="BT945" s="10"/>
      <c r="BU945" s="10"/>
      <c r="BV945" s="10"/>
      <c r="BW945" s="10"/>
      <c r="BX945" s="10"/>
      <c r="BY945" s="10"/>
      <c r="BZ945" s="10"/>
      <c r="CA945" s="10"/>
      <c r="CB945" s="10"/>
      <c r="CC945" s="10"/>
      <c r="CD945" s="10"/>
      <c r="CE945" s="10"/>
      <c r="CF945" s="10"/>
      <c r="CG945" s="10"/>
      <c r="CH945" s="10"/>
      <c r="CI945" s="10"/>
      <c r="CJ945" s="10"/>
      <c r="CK945" s="10"/>
      <c r="CL945" s="10"/>
      <c r="CM945" s="10"/>
      <c r="CN945" s="10"/>
      <c r="CO945" s="10"/>
    </row>
    <row r="946" spans="1:93" hidden="1">
      <c r="A946" s="10"/>
      <c r="B946" s="10"/>
      <c r="C946" s="17" t="s">
        <v>918</v>
      </c>
      <c r="D946" s="10"/>
      <c r="E946" s="10"/>
      <c r="F946" s="10"/>
      <c r="G946" s="11" t="str">
        <f>Monetary_Unit</f>
        <v>тыс. руб.</v>
      </c>
      <c r="H946" s="10"/>
      <c r="I946" s="23">
        <f ca="1">SUM(L946:CO946)</f>
        <v>0</v>
      </c>
      <c r="K946" s="10"/>
      <c r="L946" s="10">
        <f t="shared" ref="L946:AQ946" ca="1" si="5977" xml:space="preserve"> $E922 * CPI_Accumulated_From_Date * (Period_length) * L$50 * $I$776</f>
        <v>0</v>
      </c>
      <c r="M946" s="10">
        <f t="shared" ca="1" si="5977"/>
        <v>0</v>
      </c>
      <c r="N946" s="10">
        <f t="shared" ca="1" si="5977"/>
        <v>0</v>
      </c>
      <c r="O946" s="10">
        <f t="shared" ca="1" si="5977"/>
        <v>0</v>
      </c>
      <c r="P946" s="10">
        <f t="shared" ca="1" si="5977"/>
        <v>0</v>
      </c>
      <c r="Q946" s="10">
        <f t="shared" ca="1" si="5977"/>
        <v>0</v>
      </c>
      <c r="R946" s="10">
        <f t="shared" ca="1" si="5977"/>
        <v>0</v>
      </c>
      <c r="S946" s="10">
        <f t="shared" ca="1" si="5977"/>
        <v>0</v>
      </c>
      <c r="T946" s="10">
        <f t="shared" ca="1" si="5977"/>
        <v>0</v>
      </c>
      <c r="U946" s="10">
        <f t="shared" ca="1" si="5977"/>
        <v>0</v>
      </c>
      <c r="V946" s="10">
        <f t="shared" ca="1" si="5977"/>
        <v>0</v>
      </c>
      <c r="W946" s="10">
        <f t="shared" ca="1" si="5977"/>
        <v>0</v>
      </c>
      <c r="X946" s="10">
        <f t="shared" ca="1" si="5977"/>
        <v>0</v>
      </c>
      <c r="Y946" s="10">
        <f t="shared" ca="1" si="5977"/>
        <v>0</v>
      </c>
      <c r="Z946" s="10">
        <f t="shared" ca="1" si="5977"/>
        <v>0</v>
      </c>
      <c r="AA946" s="10">
        <f t="shared" ca="1" si="5977"/>
        <v>0</v>
      </c>
      <c r="AB946" s="10">
        <f t="shared" ca="1" si="5977"/>
        <v>0</v>
      </c>
      <c r="AC946" s="10">
        <f t="shared" ca="1" si="5977"/>
        <v>0</v>
      </c>
      <c r="AD946" s="10">
        <f t="shared" ca="1" si="5977"/>
        <v>0</v>
      </c>
      <c r="AE946" s="10">
        <f t="shared" ca="1" si="5977"/>
        <v>0</v>
      </c>
      <c r="AF946" s="10">
        <f t="shared" ca="1" si="5977"/>
        <v>0</v>
      </c>
      <c r="AG946" s="10">
        <f t="shared" ca="1" si="5977"/>
        <v>0</v>
      </c>
      <c r="AH946" s="10">
        <f t="shared" ca="1" si="5977"/>
        <v>0</v>
      </c>
      <c r="AI946" s="10">
        <f t="shared" ca="1" si="5977"/>
        <v>0</v>
      </c>
      <c r="AJ946" s="10">
        <f t="shared" ca="1" si="5977"/>
        <v>0</v>
      </c>
      <c r="AK946" s="10">
        <f t="shared" ca="1" si="5977"/>
        <v>0</v>
      </c>
      <c r="AL946" s="10">
        <f t="shared" ca="1" si="5977"/>
        <v>0</v>
      </c>
      <c r="AM946" s="10">
        <f t="shared" ca="1" si="5977"/>
        <v>0</v>
      </c>
      <c r="AN946" s="10">
        <f t="shared" ca="1" si="5977"/>
        <v>0</v>
      </c>
      <c r="AO946" s="10">
        <f t="shared" ca="1" si="5977"/>
        <v>0</v>
      </c>
      <c r="AP946" s="10">
        <f t="shared" ca="1" si="5977"/>
        <v>0</v>
      </c>
      <c r="AQ946" s="10">
        <f t="shared" ca="1" si="5977"/>
        <v>0</v>
      </c>
      <c r="AR946" s="10">
        <f t="shared" ref="AR946:BW946" ca="1" si="5978" xml:space="preserve"> $E922 * CPI_Accumulated_From_Date * (Period_length) * AR$50 * $I$776</f>
        <v>0</v>
      </c>
      <c r="AS946" s="10">
        <f t="shared" ca="1" si="5978"/>
        <v>0</v>
      </c>
      <c r="AT946" s="10">
        <f t="shared" ca="1" si="5978"/>
        <v>0</v>
      </c>
      <c r="AU946" s="10">
        <f t="shared" ca="1" si="5978"/>
        <v>0</v>
      </c>
      <c r="AV946" s="10">
        <f t="shared" ca="1" si="5978"/>
        <v>0</v>
      </c>
      <c r="AW946" s="10">
        <f t="shared" ca="1" si="5978"/>
        <v>0</v>
      </c>
      <c r="AX946" s="10">
        <f t="shared" ca="1" si="5978"/>
        <v>0</v>
      </c>
      <c r="AY946" s="10">
        <f t="shared" ca="1" si="5978"/>
        <v>0</v>
      </c>
      <c r="AZ946" s="10">
        <f t="shared" ca="1" si="5978"/>
        <v>0</v>
      </c>
      <c r="BA946" s="10">
        <f t="shared" ca="1" si="5978"/>
        <v>0</v>
      </c>
      <c r="BB946" s="10">
        <f t="shared" ca="1" si="5978"/>
        <v>0</v>
      </c>
      <c r="BC946" s="10">
        <f t="shared" ca="1" si="5978"/>
        <v>0</v>
      </c>
      <c r="BD946" s="10">
        <f t="shared" ca="1" si="5978"/>
        <v>0</v>
      </c>
      <c r="BE946" s="10">
        <f t="shared" ca="1" si="5978"/>
        <v>0</v>
      </c>
      <c r="BF946" s="10">
        <f t="shared" ca="1" si="5978"/>
        <v>0</v>
      </c>
      <c r="BG946" s="10">
        <f t="shared" ca="1" si="5978"/>
        <v>0</v>
      </c>
      <c r="BH946" s="10">
        <f t="shared" ca="1" si="5978"/>
        <v>0</v>
      </c>
      <c r="BI946" s="10">
        <f t="shared" ca="1" si="5978"/>
        <v>0</v>
      </c>
      <c r="BJ946" s="10">
        <f t="shared" ca="1" si="5978"/>
        <v>0</v>
      </c>
      <c r="BK946" s="10">
        <f t="shared" ca="1" si="5978"/>
        <v>0</v>
      </c>
      <c r="BL946" s="10">
        <f t="shared" ca="1" si="5978"/>
        <v>0</v>
      </c>
      <c r="BM946" s="10">
        <f t="shared" ca="1" si="5978"/>
        <v>0</v>
      </c>
      <c r="BN946" s="10">
        <f t="shared" ca="1" si="5978"/>
        <v>0</v>
      </c>
      <c r="BO946" s="10">
        <f t="shared" ca="1" si="5978"/>
        <v>0</v>
      </c>
      <c r="BP946" s="10">
        <f t="shared" ca="1" si="5978"/>
        <v>0</v>
      </c>
      <c r="BQ946" s="10">
        <f t="shared" ca="1" si="5978"/>
        <v>0</v>
      </c>
      <c r="BR946" s="10">
        <f t="shared" ca="1" si="5978"/>
        <v>0</v>
      </c>
      <c r="BS946" s="10">
        <f t="shared" ca="1" si="5978"/>
        <v>0</v>
      </c>
      <c r="BT946" s="10">
        <f t="shared" ca="1" si="5978"/>
        <v>0</v>
      </c>
      <c r="BU946" s="10">
        <f t="shared" ca="1" si="5978"/>
        <v>0</v>
      </c>
      <c r="BV946" s="10">
        <f t="shared" ca="1" si="5978"/>
        <v>0</v>
      </c>
      <c r="BW946" s="10">
        <f t="shared" ca="1" si="5978"/>
        <v>0</v>
      </c>
      <c r="BX946" s="10">
        <f t="shared" ref="BX946:CO946" ca="1" si="5979" xml:space="preserve"> $E922 * CPI_Accumulated_From_Date * (Period_length) * BX$50 * $I$776</f>
        <v>0</v>
      </c>
      <c r="BY946" s="10">
        <f t="shared" ca="1" si="5979"/>
        <v>0</v>
      </c>
      <c r="BZ946" s="10">
        <f t="shared" ca="1" si="5979"/>
        <v>0</v>
      </c>
      <c r="CA946" s="10">
        <f t="shared" ca="1" si="5979"/>
        <v>0</v>
      </c>
      <c r="CB946" s="10">
        <f t="shared" ca="1" si="5979"/>
        <v>0</v>
      </c>
      <c r="CC946" s="10">
        <f t="shared" ca="1" si="5979"/>
        <v>0</v>
      </c>
      <c r="CD946" s="10">
        <f t="shared" ca="1" si="5979"/>
        <v>0</v>
      </c>
      <c r="CE946" s="10">
        <f t="shared" ca="1" si="5979"/>
        <v>0</v>
      </c>
      <c r="CF946" s="10">
        <f t="shared" ca="1" si="5979"/>
        <v>0</v>
      </c>
      <c r="CG946" s="10">
        <f t="shared" ca="1" si="5979"/>
        <v>0</v>
      </c>
      <c r="CH946" s="10">
        <f t="shared" ca="1" si="5979"/>
        <v>0</v>
      </c>
      <c r="CI946" s="10">
        <f t="shared" ca="1" si="5979"/>
        <v>0</v>
      </c>
      <c r="CJ946" s="10">
        <f t="shared" ca="1" si="5979"/>
        <v>0</v>
      </c>
      <c r="CK946" s="10">
        <f t="shared" ca="1" si="5979"/>
        <v>0</v>
      </c>
      <c r="CL946" s="10">
        <f t="shared" ca="1" si="5979"/>
        <v>0</v>
      </c>
      <c r="CM946" s="10">
        <f t="shared" ca="1" si="5979"/>
        <v>0</v>
      </c>
      <c r="CN946" s="10">
        <f t="shared" ca="1" si="5979"/>
        <v>0</v>
      </c>
      <c r="CO946" s="10">
        <f t="shared" ca="1" si="5979"/>
        <v>0</v>
      </c>
    </row>
    <row r="947" spans="1:93" hidden="1">
      <c r="A947" s="10"/>
      <c r="B947" s="10"/>
      <c r="C947" s="17" t="s">
        <v>919</v>
      </c>
      <c r="D947" s="10"/>
      <c r="E947" s="10"/>
      <c r="F947" s="10"/>
      <c r="G947" s="11" t="str">
        <f>Monetary_Unit</f>
        <v>тыс. руб.</v>
      </c>
      <c r="H947" s="10"/>
      <c r="I947" s="23">
        <f ca="1">SUM(L947:CO947)</f>
        <v>0</v>
      </c>
      <c r="K947" s="10"/>
      <c r="L947" s="10">
        <f t="shared" ref="L947:AQ947" ca="1" si="5980" xml:space="preserve"> $E923 * CPI_Accumulated_From_Date * (Period_length) * L$50 * $I$776</f>
        <v>0</v>
      </c>
      <c r="M947" s="10">
        <f t="shared" ca="1" si="5980"/>
        <v>0</v>
      </c>
      <c r="N947" s="10">
        <f t="shared" ca="1" si="5980"/>
        <v>0</v>
      </c>
      <c r="O947" s="10">
        <f t="shared" ca="1" si="5980"/>
        <v>0</v>
      </c>
      <c r="P947" s="10">
        <f t="shared" ca="1" si="5980"/>
        <v>0</v>
      </c>
      <c r="Q947" s="10">
        <f t="shared" ca="1" si="5980"/>
        <v>0</v>
      </c>
      <c r="R947" s="10">
        <f t="shared" ca="1" si="5980"/>
        <v>0</v>
      </c>
      <c r="S947" s="10">
        <f t="shared" ca="1" si="5980"/>
        <v>0</v>
      </c>
      <c r="T947" s="10">
        <f t="shared" ca="1" si="5980"/>
        <v>0</v>
      </c>
      <c r="U947" s="10">
        <f t="shared" ca="1" si="5980"/>
        <v>0</v>
      </c>
      <c r="V947" s="10">
        <f t="shared" ca="1" si="5980"/>
        <v>0</v>
      </c>
      <c r="W947" s="10">
        <f t="shared" ca="1" si="5980"/>
        <v>0</v>
      </c>
      <c r="X947" s="10">
        <f t="shared" ca="1" si="5980"/>
        <v>0</v>
      </c>
      <c r="Y947" s="10">
        <f t="shared" ca="1" si="5980"/>
        <v>0</v>
      </c>
      <c r="Z947" s="10">
        <f t="shared" ca="1" si="5980"/>
        <v>0</v>
      </c>
      <c r="AA947" s="10">
        <f t="shared" ca="1" si="5980"/>
        <v>0</v>
      </c>
      <c r="AB947" s="10">
        <f t="shared" ca="1" si="5980"/>
        <v>0</v>
      </c>
      <c r="AC947" s="10">
        <f t="shared" ca="1" si="5980"/>
        <v>0</v>
      </c>
      <c r="AD947" s="10">
        <f t="shared" ca="1" si="5980"/>
        <v>0</v>
      </c>
      <c r="AE947" s="10">
        <f t="shared" ca="1" si="5980"/>
        <v>0</v>
      </c>
      <c r="AF947" s="10">
        <f t="shared" ca="1" si="5980"/>
        <v>0</v>
      </c>
      <c r="AG947" s="10">
        <f t="shared" ca="1" si="5980"/>
        <v>0</v>
      </c>
      <c r="AH947" s="10">
        <f t="shared" ca="1" si="5980"/>
        <v>0</v>
      </c>
      <c r="AI947" s="10">
        <f t="shared" ca="1" si="5980"/>
        <v>0</v>
      </c>
      <c r="AJ947" s="10">
        <f t="shared" ca="1" si="5980"/>
        <v>0</v>
      </c>
      <c r="AK947" s="10">
        <f t="shared" ca="1" si="5980"/>
        <v>0</v>
      </c>
      <c r="AL947" s="10">
        <f t="shared" ca="1" si="5980"/>
        <v>0</v>
      </c>
      <c r="AM947" s="10">
        <f t="shared" ca="1" si="5980"/>
        <v>0</v>
      </c>
      <c r="AN947" s="10">
        <f t="shared" ca="1" si="5980"/>
        <v>0</v>
      </c>
      <c r="AO947" s="10">
        <f t="shared" ca="1" si="5980"/>
        <v>0</v>
      </c>
      <c r="AP947" s="10">
        <f t="shared" ca="1" si="5980"/>
        <v>0</v>
      </c>
      <c r="AQ947" s="10">
        <f t="shared" ca="1" si="5980"/>
        <v>0</v>
      </c>
      <c r="AR947" s="10">
        <f t="shared" ref="AR947:BW947" ca="1" si="5981" xml:space="preserve"> $E923 * CPI_Accumulated_From_Date * (Period_length) * AR$50 * $I$776</f>
        <v>0</v>
      </c>
      <c r="AS947" s="10">
        <f t="shared" ca="1" si="5981"/>
        <v>0</v>
      </c>
      <c r="AT947" s="10">
        <f t="shared" ca="1" si="5981"/>
        <v>0</v>
      </c>
      <c r="AU947" s="10">
        <f t="shared" ca="1" si="5981"/>
        <v>0</v>
      </c>
      <c r="AV947" s="10">
        <f t="shared" ca="1" si="5981"/>
        <v>0</v>
      </c>
      <c r="AW947" s="10">
        <f t="shared" ca="1" si="5981"/>
        <v>0</v>
      </c>
      <c r="AX947" s="10">
        <f t="shared" ca="1" si="5981"/>
        <v>0</v>
      </c>
      <c r="AY947" s="10">
        <f t="shared" ca="1" si="5981"/>
        <v>0</v>
      </c>
      <c r="AZ947" s="10">
        <f t="shared" ca="1" si="5981"/>
        <v>0</v>
      </c>
      <c r="BA947" s="10">
        <f t="shared" ca="1" si="5981"/>
        <v>0</v>
      </c>
      <c r="BB947" s="10">
        <f t="shared" ca="1" si="5981"/>
        <v>0</v>
      </c>
      <c r="BC947" s="10">
        <f t="shared" ca="1" si="5981"/>
        <v>0</v>
      </c>
      <c r="BD947" s="10">
        <f t="shared" ca="1" si="5981"/>
        <v>0</v>
      </c>
      <c r="BE947" s="10">
        <f t="shared" ca="1" si="5981"/>
        <v>0</v>
      </c>
      <c r="BF947" s="10">
        <f t="shared" ca="1" si="5981"/>
        <v>0</v>
      </c>
      <c r="BG947" s="10">
        <f t="shared" ca="1" si="5981"/>
        <v>0</v>
      </c>
      <c r="BH947" s="10">
        <f t="shared" ca="1" si="5981"/>
        <v>0</v>
      </c>
      <c r="BI947" s="10">
        <f t="shared" ca="1" si="5981"/>
        <v>0</v>
      </c>
      <c r="BJ947" s="10">
        <f t="shared" ca="1" si="5981"/>
        <v>0</v>
      </c>
      <c r="BK947" s="10">
        <f t="shared" ca="1" si="5981"/>
        <v>0</v>
      </c>
      <c r="BL947" s="10">
        <f t="shared" ca="1" si="5981"/>
        <v>0</v>
      </c>
      <c r="BM947" s="10">
        <f t="shared" ca="1" si="5981"/>
        <v>0</v>
      </c>
      <c r="BN947" s="10">
        <f t="shared" ca="1" si="5981"/>
        <v>0</v>
      </c>
      <c r="BO947" s="10">
        <f t="shared" ca="1" si="5981"/>
        <v>0</v>
      </c>
      <c r="BP947" s="10">
        <f t="shared" ca="1" si="5981"/>
        <v>0</v>
      </c>
      <c r="BQ947" s="10">
        <f t="shared" ca="1" si="5981"/>
        <v>0</v>
      </c>
      <c r="BR947" s="10">
        <f t="shared" ca="1" si="5981"/>
        <v>0</v>
      </c>
      <c r="BS947" s="10">
        <f t="shared" ca="1" si="5981"/>
        <v>0</v>
      </c>
      <c r="BT947" s="10">
        <f t="shared" ca="1" si="5981"/>
        <v>0</v>
      </c>
      <c r="BU947" s="10">
        <f t="shared" ca="1" si="5981"/>
        <v>0</v>
      </c>
      <c r="BV947" s="10">
        <f t="shared" ca="1" si="5981"/>
        <v>0</v>
      </c>
      <c r="BW947" s="10">
        <f t="shared" ca="1" si="5981"/>
        <v>0</v>
      </c>
      <c r="BX947" s="10">
        <f t="shared" ref="BX947:CO947" ca="1" si="5982" xml:space="preserve"> $E923 * CPI_Accumulated_From_Date * (Period_length) * BX$50 * $I$776</f>
        <v>0</v>
      </c>
      <c r="BY947" s="10">
        <f t="shared" ca="1" si="5982"/>
        <v>0</v>
      </c>
      <c r="BZ947" s="10">
        <f t="shared" ca="1" si="5982"/>
        <v>0</v>
      </c>
      <c r="CA947" s="10">
        <f t="shared" ca="1" si="5982"/>
        <v>0</v>
      </c>
      <c r="CB947" s="10">
        <f t="shared" ca="1" si="5982"/>
        <v>0</v>
      </c>
      <c r="CC947" s="10">
        <f t="shared" ca="1" si="5982"/>
        <v>0</v>
      </c>
      <c r="CD947" s="10">
        <f t="shared" ca="1" si="5982"/>
        <v>0</v>
      </c>
      <c r="CE947" s="10">
        <f t="shared" ca="1" si="5982"/>
        <v>0</v>
      </c>
      <c r="CF947" s="10">
        <f t="shared" ca="1" si="5982"/>
        <v>0</v>
      </c>
      <c r="CG947" s="10">
        <f t="shared" ca="1" si="5982"/>
        <v>0</v>
      </c>
      <c r="CH947" s="10">
        <f t="shared" ca="1" si="5982"/>
        <v>0</v>
      </c>
      <c r="CI947" s="10">
        <f t="shared" ca="1" si="5982"/>
        <v>0</v>
      </c>
      <c r="CJ947" s="10">
        <f t="shared" ca="1" si="5982"/>
        <v>0</v>
      </c>
      <c r="CK947" s="10">
        <f t="shared" ca="1" si="5982"/>
        <v>0</v>
      </c>
      <c r="CL947" s="10">
        <f t="shared" ca="1" si="5982"/>
        <v>0</v>
      </c>
      <c r="CM947" s="10">
        <f t="shared" ca="1" si="5982"/>
        <v>0</v>
      </c>
      <c r="CN947" s="10">
        <f t="shared" ca="1" si="5982"/>
        <v>0</v>
      </c>
      <c r="CO947" s="10">
        <f t="shared" ca="1" si="5982"/>
        <v>0</v>
      </c>
    </row>
    <row r="948" spans="1:93" hidden="1">
      <c r="A948" s="10"/>
      <c r="B948" s="10"/>
      <c r="C948" s="17" t="s">
        <v>936</v>
      </c>
      <c r="D948" s="10"/>
      <c r="E948" s="10"/>
      <c r="F948" s="10"/>
      <c r="G948" s="11" t="str">
        <f>Monetary_Unit</f>
        <v>тыс. руб.</v>
      </c>
      <c r="H948" s="10"/>
      <c r="I948" s="23">
        <f ca="1">SUM(L948:CO948)</f>
        <v>0</v>
      </c>
      <c r="K948" s="10"/>
      <c r="L948" s="10">
        <f t="shared" ref="L948:AQ948" ca="1" si="5983" xml:space="preserve"> $E924 * CPI_Accumulated_From_Date * (Period_length) * L$50 * $I$776</f>
        <v>0</v>
      </c>
      <c r="M948" s="10">
        <f t="shared" ca="1" si="5983"/>
        <v>0</v>
      </c>
      <c r="N948" s="10">
        <f t="shared" ca="1" si="5983"/>
        <v>0</v>
      </c>
      <c r="O948" s="10">
        <f t="shared" ca="1" si="5983"/>
        <v>0</v>
      </c>
      <c r="P948" s="10">
        <f t="shared" ca="1" si="5983"/>
        <v>0</v>
      </c>
      <c r="Q948" s="10">
        <f t="shared" ca="1" si="5983"/>
        <v>0</v>
      </c>
      <c r="R948" s="10">
        <f t="shared" ca="1" si="5983"/>
        <v>0</v>
      </c>
      <c r="S948" s="10">
        <f t="shared" ca="1" si="5983"/>
        <v>0</v>
      </c>
      <c r="T948" s="10">
        <f t="shared" ca="1" si="5983"/>
        <v>0</v>
      </c>
      <c r="U948" s="10">
        <f t="shared" ca="1" si="5983"/>
        <v>0</v>
      </c>
      <c r="V948" s="10">
        <f t="shared" ca="1" si="5983"/>
        <v>0</v>
      </c>
      <c r="W948" s="10">
        <f t="shared" ca="1" si="5983"/>
        <v>0</v>
      </c>
      <c r="X948" s="10">
        <f t="shared" ca="1" si="5983"/>
        <v>0</v>
      </c>
      <c r="Y948" s="10">
        <f t="shared" ca="1" si="5983"/>
        <v>0</v>
      </c>
      <c r="Z948" s="10">
        <f t="shared" ca="1" si="5983"/>
        <v>0</v>
      </c>
      <c r="AA948" s="10">
        <f t="shared" ca="1" si="5983"/>
        <v>0</v>
      </c>
      <c r="AB948" s="10">
        <f t="shared" ca="1" si="5983"/>
        <v>0</v>
      </c>
      <c r="AC948" s="10">
        <f t="shared" ca="1" si="5983"/>
        <v>0</v>
      </c>
      <c r="AD948" s="10">
        <f t="shared" ca="1" si="5983"/>
        <v>0</v>
      </c>
      <c r="AE948" s="10">
        <f t="shared" ca="1" si="5983"/>
        <v>0</v>
      </c>
      <c r="AF948" s="10">
        <f t="shared" ca="1" si="5983"/>
        <v>0</v>
      </c>
      <c r="AG948" s="10">
        <f t="shared" ca="1" si="5983"/>
        <v>0</v>
      </c>
      <c r="AH948" s="10">
        <f t="shared" ca="1" si="5983"/>
        <v>0</v>
      </c>
      <c r="AI948" s="10">
        <f t="shared" ca="1" si="5983"/>
        <v>0</v>
      </c>
      <c r="AJ948" s="10">
        <f t="shared" ca="1" si="5983"/>
        <v>0</v>
      </c>
      <c r="AK948" s="10">
        <f t="shared" ca="1" si="5983"/>
        <v>0</v>
      </c>
      <c r="AL948" s="10">
        <f t="shared" ca="1" si="5983"/>
        <v>0</v>
      </c>
      <c r="AM948" s="10">
        <f t="shared" ca="1" si="5983"/>
        <v>0</v>
      </c>
      <c r="AN948" s="10">
        <f t="shared" ca="1" si="5983"/>
        <v>0</v>
      </c>
      <c r="AO948" s="10">
        <f t="shared" ca="1" si="5983"/>
        <v>0</v>
      </c>
      <c r="AP948" s="10">
        <f t="shared" ca="1" si="5983"/>
        <v>0</v>
      </c>
      <c r="AQ948" s="10">
        <f t="shared" ca="1" si="5983"/>
        <v>0</v>
      </c>
      <c r="AR948" s="10">
        <f t="shared" ref="AR948:BW948" ca="1" si="5984" xml:space="preserve"> $E924 * CPI_Accumulated_From_Date * (Period_length) * AR$50 * $I$776</f>
        <v>0</v>
      </c>
      <c r="AS948" s="10">
        <f t="shared" ca="1" si="5984"/>
        <v>0</v>
      </c>
      <c r="AT948" s="10">
        <f t="shared" ca="1" si="5984"/>
        <v>0</v>
      </c>
      <c r="AU948" s="10">
        <f t="shared" ca="1" si="5984"/>
        <v>0</v>
      </c>
      <c r="AV948" s="10">
        <f t="shared" ca="1" si="5984"/>
        <v>0</v>
      </c>
      <c r="AW948" s="10">
        <f t="shared" ca="1" si="5984"/>
        <v>0</v>
      </c>
      <c r="AX948" s="10">
        <f t="shared" ca="1" si="5984"/>
        <v>0</v>
      </c>
      <c r="AY948" s="10">
        <f t="shared" ca="1" si="5984"/>
        <v>0</v>
      </c>
      <c r="AZ948" s="10">
        <f t="shared" ca="1" si="5984"/>
        <v>0</v>
      </c>
      <c r="BA948" s="10">
        <f t="shared" ca="1" si="5984"/>
        <v>0</v>
      </c>
      <c r="BB948" s="10">
        <f t="shared" ca="1" si="5984"/>
        <v>0</v>
      </c>
      <c r="BC948" s="10">
        <f t="shared" ca="1" si="5984"/>
        <v>0</v>
      </c>
      <c r="BD948" s="10">
        <f t="shared" ca="1" si="5984"/>
        <v>0</v>
      </c>
      <c r="BE948" s="10">
        <f t="shared" ca="1" si="5984"/>
        <v>0</v>
      </c>
      <c r="BF948" s="10">
        <f t="shared" ca="1" si="5984"/>
        <v>0</v>
      </c>
      <c r="BG948" s="10">
        <f t="shared" ca="1" si="5984"/>
        <v>0</v>
      </c>
      <c r="BH948" s="10">
        <f t="shared" ca="1" si="5984"/>
        <v>0</v>
      </c>
      <c r="BI948" s="10">
        <f t="shared" ca="1" si="5984"/>
        <v>0</v>
      </c>
      <c r="BJ948" s="10">
        <f t="shared" ca="1" si="5984"/>
        <v>0</v>
      </c>
      <c r="BK948" s="10">
        <f t="shared" ca="1" si="5984"/>
        <v>0</v>
      </c>
      <c r="BL948" s="10">
        <f t="shared" ca="1" si="5984"/>
        <v>0</v>
      </c>
      <c r="BM948" s="10">
        <f t="shared" ca="1" si="5984"/>
        <v>0</v>
      </c>
      <c r="BN948" s="10">
        <f t="shared" ca="1" si="5984"/>
        <v>0</v>
      </c>
      <c r="BO948" s="10">
        <f t="shared" ca="1" si="5984"/>
        <v>0</v>
      </c>
      <c r="BP948" s="10">
        <f t="shared" ca="1" si="5984"/>
        <v>0</v>
      </c>
      <c r="BQ948" s="10">
        <f t="shared" ca="1" si="5984"/>
        <v>0</v>
      </c>
      <c r="BR948" s="10">
        <f t="shared" ca="1" si="5984"/>
        <v>0</v>
      </c>
      <c r="BS948" s="10">
        <f t="shared" ca="1" si="5984"/>
        <v>0</v>
      </c>
      <c r="BT948" s="10">
        <f t="shared" ca="1" si="5984"/>
        <v>0</v>
      </c>
      <c r="BU948" s="10">
        <f t="shared" ca="1" si="5984"/>
        <v>0</v>
      </c>
      <c r="BV948" s="10">
        <f t="shared" ca="1" si="5984"/>
        <v>0</v>
      </c>
      <c r="BW948" s="10">
        <f t="shared" ca="1" si="5984"/>
        <v>0</v>
      </c>
      <c r="BX948" s="10">
        <f t="shared" ref="BX948:CO948" ca="1" si="5985" xml:space="preserve"> $E924 * CPI_Accumulated_From_Date * (Period_length) * BX$50 * $I$776</f>
        <v>0</v>
      </c>
      <c r="BY948" s="10">
        <f t="shared" ca="1" si="5985"/>
        <v>0</v>
      </c>
      <c r="BZ948" s="10">
        <f t="shared" ca="1" si="5985"/>
        <v>0</v>
      </c>
      <c r="CA948" s="10">
        <f t="shared" ca="1" si="5985"/>
        <v>0</v>
      </c>
      <c r="CB948" s="10">
        <f t="shared" ca="1" si="5985"/>
        <v>0</v>
      </c>
      <c r="CC948" s="10">
        <f t="shared" ca="1" si="5985"/>
        <v>0</v>
      </c>
      <c r="CD948" s="10">
        <f t="shared" ca="1" si="5985"/>
        <v>0</v>
      </c>
      <c r="CE948" s="10">
        <f t="shared" ca="1" si="5985"/>
        <v>0</v>
      </c>
      <c r="CF948" s="10">
        <f t="shared" ca="1" si="5985"/>
        <v>0</v>
      </c>
      <c r="CG948" s="10">
        <f t="shared" ca="1" si="5985"/>
        <v>0</v>
      </c>
      <c r="CH948" s="10">
        <f t="shared" ca="1" si="5985"/>
        <v>0</v>
      </c>
      <c r="CI948" s="10">
        <f t="shared" ca="1" si="5985"/>
        <v>0</v>
      </c>
      <c r="CJ948" s="10">
        <f t="shared" ca="1" si="5985"/>
        <v>0</v>
      </c>
      <c r="CK948" s="10">
        <f t="shared" ca="1" si="5985"/>
        <v>0</v>
      </c>
      <c r="CL948" s="10">
        <f t="shared" ca="1" si="5985"/>
        <v>0</v>
      </c>
      <c r="CM948" s="10">
        <f t="shared" ca="1" si="5985"/>
        <v>0</v>
      </c>
      <c r="CN948" s="10">
        <f t="shared" ca="1" si="5985"/>
        <v>0</v>
      </c>
      <c r="CO948" s="10">
        <f t="shared" ca="1" si="5985"/>
        <v>0</v>
      </c>
    </row>
    <row r="949" spans="1:93" hidden="1">
      <c r="A949" s="10"/>
      <c r="B949" s="10"/>
      <c r="C949" s="10"/>
      <c r="D949" s="10"/>
      <c r="E949" s="10"/>
      <c r="F949" s="10"/>
      <c r="G949" s="11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  <c r="BB949" s="10"/>
      <c r="BC949" s="10"/>
      <c r="BD949" s="10"/>
      <c r="BE949" s="10"/>
      <c r="BF949" s="10"/>
      <c r="BG949" s="10"/>
      <c r="BH949" s="10"/>
      <c r="BI949" s="10"/>
      <c r="BJ949" s="10"/>
      <c r="BK949" s="10"/>
      <c r="BL949" s="10"/>
      <c r="BM949" s="10"/>
      <c r="BN949" s="10"/>
      <c r="BO949" s="10"/>
      <c r="BP949" s="10"/>
      <c r="BQ949" s="10"/>
      <c r="BR949" s="10"/>
      <c r="BS949" s="10"/>
      <c r="BT949" s="10"/>
      <c r="BU949" s="10"/>
      <c r="BV949" s="10"/>
      <c r="BW949" s="10"/>
      <c r="BX949" s="10"/>
      <c r="BY949" s="10"/>
      <c r="BZ949" s="10"/>
      <c r="CA949" s="10"/>
      <c r="CB949" s="10"/>
      <c r="CC949" s="10"/>
      <c r="CD949" s="10"/>
      <c r="CE949" s="10"/>
      <c r="CF949" s="10"/>
      <c r="CG949" s="10"/>
      <c r="CH949" s="10"/>
      <c r="CI949" s="10"/>
      <c r="CJ949" s="10"/>
      <c r="CK949" s="10"/>
      <c r="CL949" s="10"/>
      <c r="CM949" s="10"/>
      <c r="CN949" s="10"/>
      <c r="CO949" s="10"/>
    </row>
    <row r="950" spans="1:93" hidden="1">
      <c r="A950" s="10"/>
      <c r="B950" s="10"/>
      <c r="C950" s="35" t="s">
        <v>920</v>
      </c>
      <c r="D950" s="10"/>
      <c r="E950" s="10"/>
      <c r="F950" s="10"/>
      <c r="G950" s="11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  <c r="BB950" s="10"/>
      <c r="BC950" s="10"/>
      <c r="BD950" s="10"/>
      <c r="BE950" s="10"/>
      <c r="BF950" s="10"/>
      <c r="BG950" s="10"/>
      <c r="BH950" s="10"/>
      <c r="BI950" s="10"/>
      <c r="BJ950" s="10"/>
      <c r="BK950" s="10"/>
      <c r="BL950" s="10"/>
      <c r="BM950" s="10"/>
      <c r="BN950" s="10"/>
      <c r="BO950" s="10"/>
      <c r="BP950" s="10"/>
      <c r="BQ950" s="10"/>
      <c r="BR950" s="10"/>
      <c r="BS950" s="10"/>
      <c r="BT950" s="10"/>
      <c r="BU950" s="10"/>
      <c r="BV950" s="10"/>
      <c r="BW950" s="10"/>
      <c r="BX950" s="10"/>
      <c r="BY950" s="10"/>
      <c r="BZ950" s="10"/>
      <c r="CA950" s="10"/>
      <c r="CB950" s="10"/>
      <c r="CC950" s="10"/>
      <c r="CD950" s="10"/>
      <c r="CE950" s="10"/>
      <c r="CF950" s="10"/>
      <c r="CG950" s="10"/>
      <c r="CH950" s="10"/>
      <c r="CI950" s="10"/>
      <c r="CJ950" s="10"/>
      <c r="CK950" s="10"/>
      <c r="CL950" s="10"/>
      <c r="CM950" s="10"/>
      <c r="CN950" s="10"/>
      <c r="CO950" s="10"/>
    </row>
    <row r="951" spans="1:93" hidden="1">
      <c r="A951" s="10"/>
      <c r="B951" s="10"/>
      <c r="C951" s="17" t="s">
        <v>918</v>
      </c>
      <c r="D951" s="10"/>
      <c r="E951" s="10"/>
      <c r="F951" s="10"/>
      <c r="G951" s="11" t="str">
        <f>Monetary_Unit</f>
        <v>тыс. руб.</v>
      </c>
      <c r="H951" s="10"/>
      <c r="I951" s="23">
        <f t="shared" ref="I951:I956" ca="1" si="5986">SUM(L951:CO951)</f>
        <v>0</v>
      </c>
      <c r="K951" s="10"/>
      <c r="L951" s="10">
        <f t="shared" ref="L951:AQ951" ca="1" si="5987" xml:space="preserve"> $E927 * CPI_Accumulated_From_Date * (Period_length) * L$50 * $I$776</f>
        <v>0</v>
      </c>
      <c r="M951" s="10">
        <f t="shared" ca="1" si="5987"/>
        <v>0</v>
      </c>
      <c r="N951" s="10">
        <f t="shared" ca="1" si="5987"/>
        <v>0</v>
      </c>
      <c r="O951" s="10">
        <f t="shared" ca="1" si="5987"/>
        <v>0</v>
      </c>
      <c r="P951" s="10">
        <f t="shared" ca="1" si="5987"/>
        <v>0</v>
      </c>
      <c r="Q951" s="10">
        <f t="shared" ca="1" si="5987"/>
        <v>0</v>
      </c>
      <c r="R951" s="10">
        <f t="shared" ca="1" si="5987"/>
        <v>0</v>
      </c>
      <c r="S951" s="10">
        <f t="shared" ca="1" si="5987"/>
        <v>0</v>
      </c>
      <c r="T951" s="10">
        <f t="shared" ca="1" si="5987"/>
        <v>0</v>
      </c>
      <c r="U951" s="10">
        <f t="shared" ca="1" si="5987"/>
        <v>0</v>
      </c>
      <c r="V951" s="10">
        <f t="shared" ca="1" si="5987"/>
        <v>0</v>
      </c>
      <c r="W951" s="10">
        <f t="shared" ca="1" si="5987"/>
        <v>0</v>
      </c>
      <c r="X951" s="10">
        <f t="shared" ca="1" si="5987"/>
        <v>0</v>
      </c>
      <c r="Y951" s="10">
        <f t="shared" ca="1" si="5987"/>
        <v>0</v>
      </c>
      <c r="Z951" s="10">
        <f t="shared" ca="1" si="5987"/>
        <v>0</v>
      </c>
      <c r="AA951" s="10">
        <f t="shared" ca="1" si="5987"/>
        <v>0</v>
      </c>
      <c r="AB951" s="10">
        <f t="shared" ca="1" si="5987"/>
        <v>0</v>
      </c>
      <c r="AC951" s="10">
        <f t="shared" ca="1" si="5987"/>
        <v>0</v>
      </c>
      <c r="AD951" s="10">
        <f t="shared" ca="1" si="5987"/>
        <v>0</v>
      </c>
      <c r="AE951" s="10">
        <f t="shared" ca="1" si="5987"/>
        <v>0</v>
      </c>
      <c r="AF951" s="10">
        <f t="shared" ca="1" si="5987"/>
        <v>0</v>
      </c>
      <c r="AG951" s="10">
        <f t="shared" ca="1" si="5987"/>
        <v>0</v>
      </c>
      <c r="AH951" s="10">
        <f t="shared" ca="1" si="5987"/>
        <v>0</v>
      </c>
      <c r="AI951" s="10">
        <f t="shared" ca="1" si="5987"/>
        <v>0</v>
      </c>
      <c r="AJ951" s="10">
        <f t="shared" ca="1" si="5987"/>
        <v>0</v>
      </c>
      <c r="AK951" s="10">
        <f t="shared" ca="1" si="5987"/>
        <v>0</v>
      </c>
      <c r="AL951" s="10">
        <f t="shared" ca="1" si="5987"/>
        <v>0</v>
      </c>
      <c r="AM951" s="10">
        <f t="shared" ca="1" si="5987"/>
        <v>0</v>
      </c>
      <c r="AN951" s="10">
        <f t="shared" ca="1" si="5987"/>
        <v>0</v>
      </c>
      <c r="AO951" s="10">
        <f t="shared" ca="1" si="5987"/>
        <v>0</v>
      </c>
      <c r="AP951" s="10">
        <f t="shared" ca="1" si="5987"/>
        <v>0</v>
      </c>
      <c r="AQ951" s="10">
        <f t="shared" ca="1" si="5987"/>
        <v>0</v>
      </c>
      <c r="AR951" s="10">
        <f t="shared" ref="AR951:BW951" ca="1" si="5988" xml:space="preserve"> $E927 * CPI_Accumulated_From_Date * (Period_length) * AR$50 * $I$776</f>
        <v>0</v>
      </c>
      <c r="AS951" s="10">
        <f t="shared" ca="1" si="5988"/>
        <v>0</v>
      </c>
      <c r="AT951" s="10">
        <f t="shared" ca="1" si="5988"/>
        <v>0</v>
      </c>
      <c r="AU951" s="10">
        <f t="shared" ca="1" si="5988"/>
        <v>0</v>
      </c>
      <c r="AV951" s="10">
        <f t="shared" ca="1" si="5988"/>
        <v>0</v>
      </c>
      <c r="AW951" s="10">
        <f t="shared" ca="1" si="5988"/>
        <v>0</v>
      </c>
      <c r="AX951" s="10">
        <f t="shared" ca="1" si="5988"/>
        <v>0</v>
      </c>
      <c r="AY951" s="10">
        <f t="shared" ca="1" si="5988"/>
        <v>0</v>
      </c>
      <c r="AZ951" s="10">
        <f t="shared" ca="1" si="5988"/>
        <v>0</v>
      </c>
      <c r="BA951" s="10">
        <f t="shared" ca="1" si="5988"/>
        <v>0</v>
      </c>
      <c r="BB951" s="10">
        <f t="shared" ca="1" si="5988"/>
        <v>0</v>
      </c>
      <c r="BC951" s="10">
        <f t="shared" ca="1" si="5988"/>
        <v>0</v>
      </c>
      <c r="BD951" s="10">
        <f t="shared" ca="1" si="5988"/>
        <v>0</v>
      </c>
      <c r="BE951" s="10">
        <f t="shared" ca="1" si="5988"/>
        <v>0</v>
      </c>
      <c r="BF951" s="10">
        <f t="shared" ca="1" si="5988"/>
        <v>0</v>
      </c>
      <c r="BG951" s="10">
        <f t="shared" ca="1" si="5988"/>
        <v>0</v>
      </c>
      <c r="BH951" s="10">
        <f t="shared" ca="1" si="5988"/>
        <v>0</v>
      </c>
      <c r="BI951" s="10">
        <f t="shared" ca="1" si="5988"/>
        <v>0</v>
      </c>
      <c r="BJ951" s="10">
        <f t="shared" ca="1" si="5988"/>
        <v>0</v>
      </c>
      <c r="BK951" s="10">
        <f t="shared" ca="1" si="5988"/>
        <v>0</v>
      </c>
      <c r="BL951" s="10">
        <f t="shared" ca="1" si="5988"/>
        <v>0</v>
      </c>
      <c r="BM951" s="10">
        <f t="shared" ca="1" si="5988"/>
        <v>0</v>
      </c>
      <c r="BN951" s="10">
        <f t="shared" ca="1" si="5988"/>
        <v>0</v>
      </c>
      <c r="BO951" s="10">
        <f t="shared" ca="1" si="5988"/>
        <v>0</v>
      </c>
      <c r="BP951" s="10">
        <f t="shared" ca="1" si="5988"/>
        <v>0</v>
      </c>
      <c r="BQ951" s="10">
        <f t="shared" ca="1" si="5988"/>
        <v>0</v>
      </c>
      <c r="BR951" s="10">
        <f t="shared" ca="1" si="5988"/>
        <v>0</v>
      </c>
      <c r="BS951" s="10">
        <f t="shared" ca="1" si="5988"/>
        <v>0</v>
      </c>
      <c r="BT951" s="10">
        <f t="shared" ca="1" si="5988"/>
        <v>0</v>
      </c>
      <c r="BU951" s="10">
        <f t="shared" ca="1" si="5988"/>
        <v>0</v>
      </c>
      <c r="BV951" s="10">
        <f t="shared" ca="1" si="5988"/>
        <v>0</v>
      </c>
      <c r="BW951" s="10">
        <f t="shared" ca="1" si="5988"/>
        <v>0</v>
      </c>
      <c r="BX951" s="10">
        <f t="shared" ref="BX951:CO951" ca="1" si="5989" xml:space="preserve"> $E927 * CPI_Accumulated_From_Date * (Period_length) * BX$50 * $I$776</f>
        <v>0</v>
      </c>
      <c r="BY951" s="10">
        <f t="shared" ca="1" si="5989"/>
        <v>0</v>
      </c>
      <c r="BZ951" s="10">
        <f t="shared" ca="1" si="5989"/>
        <v>0</v>
      </c>
      <c r="CA951" s="10">
        <f t="shared" ca="1" si="5989"/>
        <v>0</v>
      </c>
      <c r="CB951" s="10">
        <f t="shared" ca="1" si="5989"/>
        <v>0</v>
      </c>
      <c r="CC951" s="10">
        <f t="shared" ca="1" si="5989"/>
        <v>0</v>
      </c>
      <c r="CD951" s="10">
        <f t="shared" ca="1" si="5989"/>
        <v>0</v>
      </c>
      <c r="CE951" s="10">
        <f t="shared" ca="1" si="5989"/>
        <v>0</v>
      </c>
      <c r="CF951" s="10">
        <f t="shared" ca="1" si="5989"/>
        <v>0</v>
      </c>
      <c r="CG951" s="10">
        <f t="shared" ca="1" si="5989"/>
        <v>0</v>
      </c>
      <c r="CH951" s="10">
        <f t="shared" ca="1" si="5989"/>
        <v>0</v>
      </c>
      <c r="CI951" s="10">
        <f t="shared" ca="1" si="5989"/>
        <v>0</v>
      </c>
      <c r="CJ951" s="10">
        <f t="shared" ca="1" si="5989"/>
        <v>0</v>
      </c>
      <c r="CK951" s="10">
        <f t="shared" ca="1" si="5989"/>
        <v>0</v>
      </c>
      <c r="CL951" s="10">
        <f t="shared" ca="1" si="5989"/>
        <v>0</v>
      </c>
      <c r="CM951" s="10">
        <f t="shared" ca="1" si="5989"/>
        <v>0</v>
      </c>
      <c r="CN951" s="10">
        <f t="shared" ca="1" si="5989"/>
        <v>0</v>
      </c>
      <c r="CO951" s="10">
        <f t="shared" ca="1" si="5989"/>
        <v>0</v>
      </c>
    </row>
    <row r="952" spans="1:93" hidden="1">
      <c r="A952" s="10"/>
      <c r="B952" s="10"/>
      <c r="C952" s="17" t="s">
        <v>919</v>
      </c>
      <c r="D952" s="10"/>
      <c r="E952" s="10"/>
      <c r="F952" s="10"/>
      <c r="G952" s="11" t="str">
        <f>Monetary_Unit</f>
        <v>тыс. руб.</v>
      </c>
      <c r="H952" s="10"/>
      <c r="I952" s="23">
        <f t="shared" ca="1" si="5986"/>
        <v>0</v>
      </c>
      <c r="K952" s="10"/>
      <c r="L952" s="10">
        <f t="shared" ref="L952:AQ952" ca="1" si="5990" xml:space="preserve"> $E928 * CPI_Accumulated_From_Date * (Period_length) * L$50 * $I$776</f>
        <v>0</v>
      </c>
      <c r="M952" s="10">
        <f t="shared" ca="1" si="5990"/>
        <v>0</v>
      </c>
      <c r="N952" s="10">
        <f t="shared" ca="1" si="5990"/>
        <v>0</v>
      </c>
      <c r="O952" s="10">
        <f t="shared" ca="1" si="5990"/>
        <v>0</v>
      </c>
      <c r="P952" s="10">
        <f t="shared" ca="1" si="5990"/>
        <v>0</v>
      </c>
      <c r="Q952" s="10">
        <f t="shared" ca="1" si="5990"/>
        <v>0</v>
      </c>
      <c r="R952" s="10">
        <f t="shared" ca="1" si="5990"/>
        <v>0</v>
      </c>
      <c r="S952" s="10">
        <f t="shared" ca="1" si="5990"/>
        <v>0</v>
      </c>
      <c r="T952" s="10">
        <f t="shared" ca="1" si="5990"/>
        <v>0</v>
      </c>
      <c r="U952" s="10">
        <f t="shared" ca="1" si="5990"/>
        <v>0</v>
      </c>
      <c r="V952" s="10">
        <f t="shared" ca="1" si="5990"/>
        <v>0</v>
      </c>
      <c r="W952" s="10">
        <f t="shared" ca="1" si="5990"/>
        <v>0</v>
      </c>
      <c r="X952" s="10">
        <f t="shared" ca="1" si="5990"/>
        <v>0</v>
      </c>
      <c r="Y952" s="10">
        <f t="shared" ca="1" si="5990"/>
        <v>0</v>
      </c>
      <c r="Z952" s="10">
        <f t="shared" ca="1" si="5990"/>
        <v>0</v>
      </c>
      <c r="AA952" s="10">
        <f t="shared" ca="1" si="5990"/>
        <v>0</v>
      </c>
      <c r="AB952" s="10">
        <f t="shared" ca="1" si="5990"/>
        <v>0</v>
      </c>
      <c r="AC952" s="10">
        <f t="shared" ca="1" si="5990"/>
        <v>0</v>
      </c>
      <c r="AD952" s="10">
        <f t="shared" ca="1" si="5990"/>
        <v>0</v>
      </c>
      <c r="AE952" s="10">
        <f t="shared" ca="1" si="5990"/>
        <v>0</v>
      </c>
      <c r="AF952" s="10">
        <f t="shared" ca="1" si="5990"/>
        <v>0</v>
      </c>
      <c r="AG952" s="10">
        <f t="shared" ca="1" si="5990"/>
        <v>0</v>
      </c>
      <c r="AH952" s="10">
        <f t="shared" ca="1" si="5990"/>
        <v>0</v>
      </c>
      <c r="AI952" s="10">
        <f t="shared" ca="1" si="5990"/>
        <v>0</v>
      </c>
      <c r="AJ952" s="10">
        <f t="shared" ca="1" si="5990"/>
        <v>0</v>
      </c>
      <c r="AK952" s="10">
        <f t="shared" ca="1" si="5990"/>
        <v>0</v>
      </c>
      <c r="AL952" s="10">
        <f t="shared" ca="1" si="5990"/>
        <v>0</v>
      </c>
      <c r="AM952" s="10">
        <f t="shared" ca="1" si="5990"/>
        <v>0</v>
      </c>
      <c r="AN952" s="10">
        <f t="shared" ca="1" si="5990"/>
        <v>0</v>
      </c>
      <c r="AO952" s="10">
        <f t="shared" ca="1" si="5990"/>
        <v>0</v>
      </c>
      <c r="AP952" s="10">
        <f t="shared" ca="1" si="5990"/>
        <v>0</v>
      </c>
      <c r="AQ952" s="10">
        <f t="shared" ca="1" si="5990"/>
        <v>0</v>
      </c>
      <c r="AR952" s="10">
        <f t="shared" ref="AR952:BW952" ca="1" si="5991" xml:space="preserve"> $E928 * CPI_Accumulated_From_Date * (Period_length) * AR$50 * $I$776</f>
        <v>0</v>
      </c>
      <c r="AS952" s="10">
        <f t="shared" ca="1" si="5991"/>
        <v>0</v>
      </c>
      <c r="AT952" s="10">
        <f t="shared" ca="1" si="5991"/>
        <v>0</v>
      </c>
      <c r="AU952" s="10">
        <f t="shared" ca="1" si="5991"/>
        <v>0</v>
      </c>
      <c r="AV952" s="10">
        <f t="shared" ca="1" si="5991"/>
        <v>0</v>
      </c>
      <c r="AW952" s="10">
        <f t="shared" ca="1" si="5991"/>
        <v>0</v>
      </c>
      <c r="AX952" s="10">
        <f t="shared" ca="1" si="5991"/>
        <v>0</v>
      </c>
      <c r="AY952" s="10">
        <f t="shared" ca="1" si="5991"/>
        <v>0</v>
      </c>
      <c r="AZ952" s="10">
        <f t="shared" ca="1" si="5991"/>
        <v>0</v>
      </c>
      <c r="BA952" s="10">
        <f t="shared" ca="1" si="5991"/>
        <v>0</v>
      </c>
      <c r="BB952" s="10">
        <f t="shared" ca="1" si="5991"/>
        <v>0</v>
      </c>
      <c r="BC952" s="10">
        <f t="shared" ca="1" si="5991"/>
        <v>0</v>
      </c>
      <c r="BD952" s="10">
        <f t="shared" ca="1" si="5991"/>
        <v>0</v>
      </c>
      <c r="BE952" s="10">
        <f t="shared" ca="1" si="5991"/>
        <v>0</v>
      </c>
      <c r="BF952" s="10">
        <f t="shared" ca="1" si="5991"/>
        <v>0</v>
      </c>
      <c r="BG952" s="10">
        <f t="shared" ca="1" si="5991"/>
        <v>0</v>
      </c>
      <c r="BH952" s="10">
        <f t="shared" ca="1" si="5991"/>
        <v>0</v>
      </c>
      <c r="BI952" s="10">
        <f t="shared" ca="1" si="5991"/>
        <v>0</v>
      </c>
      <c r="BJ952" s="10">
        <f t="shared" ca="1" si="5991"/>
        <v>0</v>
      </c>
      <c r="BK952" s="10">
        <f t="shared" ca="1" si="5991"/>
        <v>0</v>
      </c>
      <c r="BL952" s="10">
        <f t="shared" ca="1" si="5991"/>
        <v>0</v>
      </c>
      <c r="BM952" s="10">
        <f t="shared" ca="1" si="5991"/>
        <v>0</v>
      </c>
      <c r="BN952" s="10">
        <f t="shared" ca="1" si="5991"/>
        <v>0</v>
      </c>
      <c r="BO952" s="10">
        <f t="shared" ca="1" si="5991"/>
        <v>0</v>
      </c>
      <c r="BP952" s="10">
        <f t="shared" ca="1" si="5991"/>
        <v>0</v>
      </c>
      <c r="BQ952" s="10">
        <f t="shared" ca="1" si="5991"/>
        <v>0</v>
      </c>
      <c r="BR952" s="10">
        <f t="shared" ca="1" si="5991"/>
        <v>0</v>
      </c>
      <c r="BS952" s="10">
        <f t="shared" ca="1" si="5991"/>
        <v>0</v>
      </c>
      <c r="BT952" s="10">
        <f t="shared" ca="1" si="5991"/>
        <v>0</v>
      </c>
      <c r="BU952" s="10">
        <f t="shared" ca="1" si="5991"/>
        <v>0</v>
      </c>
      <c r="BV952" s="10">
        <f t="shared" ca="1" si="5991"/>
        <v>0</v>
      </c>
      <c r="BW952" s="10">
        <f t="shared" ca="1" si="5991"/>
        <v>0</v>
      </c>
      <c r="BX952" s="10">
        <f t="shared" ref="BX952:CO952" ca="1" si="5992" xml:space="preserve"> $E928 * CPI_Accumulated_From_Date * (Period_length) * BX$50 * $I$776</f>
        <v>0</v>
      </c>
      <c r="BY952" s="10">
        <f t="shared" ca="1" si="5992"/>
        <v>0</v>
      </c>
      <c r="BZ952" s="10">
        <f t="shared" ca="1" si="5992"/>
        <v>0</v>
      </c>
      <c r="CA952" s="10">
        <f t="shared" ca="1" si="5992"/>
        <v>0</v>
      </c>
      <c r="CB952" s="10">
        <f t="shared" ca="1" si="5992"/>
        <v>0</v>
      </c>
      <c r="CC952" s="10">
        <f t="shared" ca="1" si="5992"/>
        <v>0</v>
      </c>
      <c r="CD952" s="10">
        <f t="shared" ca="1" si="5992"/>
        <v>0</v>
      </c>
      <c r="CE952" s="10">
        <f t="shared" ca="1" si="5992"/>
        <v>0</v>
      </c>
      <c r="CF952" s="10">
        <f t="shared" ca="1" si="5992"/>
        <v>0</v>
      </c>
      <c r="CG952" s="10">
        <f t="shared" ca="1" si="5992"/>
        <v>0</v>
      </c>
      <c r="CH952" s="10">
        <f t="shared" ca="1" si="5992"/>
        <v>0</v>
      </c>
      <c r="CI952" s="10">
        <f t="shared" ca="1" si="5992"/>
        <v>0</v>
      </c>
      <c r="CJ952" s="10">
        <f t="shared" ca="1" si="5992"/>
        <v>0</v>
      </c>
      <c r="CK952" s="10">
        <f t="shared" ca="1" si="5992"/>
        <v>0</v>
      </c>
      <c r="CL952" s="10">
        <f t="shared" ca="1" si="5992"/>
        <v>0</v>
      </c>
      <c r="CM952" s="10">
        <f t="shared" ca="1" si="5992"/>
        <v>0</v>
      </c>
      <c r="CN952" s="10">
        <f t="shared" ca="1" si="5992"/>
        <v>0</v>
      </c>
      <c r="CO952" s="10">
        <f t="shared" ca="1" si="5992"/>
        <v>0</v>
      </c>
    </row>
    <row r="953" spans="1:93" hidden="1">
      <c r="A953" s="10"/>
      <c r="B953" s="10"/>
      <c r="C953" s="17" t="s">
        <v>936</v>
      </c>
      <c r="D953" s="10"/>
      <c r="E953" s="10"/>
      <c r="F953" s="10"/>
      <c r="G953" s="11" t="str">
        <f>Monetary_Unit</f>
        <v>тыс. руб.</v>
      </c>
      <c r="H953" s="10"/>
      <c r="I953" s="23">
        <f t="shared" ca="1" si="5986"/>
        <v>0</v>
      </c>
      <c r="K953" s="10"/>
      <c r="L953" s="10">
        <f t="shared" ref="L953:AQ953" ca="1" si="5993" xml:space="preserve"> $E929 * CPI_Accumulated_From_Date * (Period_length) * L$50 * $I$776</f>
        <v>0</v>
      </c>
      <c r="M953" s="10">
        <f t="shared" ca="1" si="5993"/>
        <v>0</v>
      </c>
      <c r="N953" s="10">
        <f t="shared" ca="1" si="5993"/>
        <v>0</v>
      </c>
      <c r="O953" s="10">
        <f t="shared" ca="1" si="5993"/>
        <v>0</v>
      </c>
      <c r="P953" s="10">
        <f t="shared" ca="1" si="5993"/>
        <v>0</v>
      </c>
      <c r="Q953" s="10">
        <f t="shared" ca="1" si="5993"/>
        <v>0</v>
      </c>
      <c r="R953" s="10">
        <f t="shared" ca="1" si="5993"/>
        <v>0</v>
      </c>
      <c r="S953" s="10">
        <f t="shared" ca="1" si="5993"/>
        <v>0</v>
      </c>
      <c r="T953" s="10">
        <f t="shared" ca="1" si="5993"/>
        <v>0</v>
      </c>
      <c r="U953" s="10">
        <f t="shared" ca="1" si="5993"/>
        <v>0</v>
      </c>
      <c r="V953" s="10">
        <f t="shared" ca="1" si="5993"/>
        <v>0</v>
      </c>
      <c r="W953" s="10">
        <f t="shared" ca="1" si="5993"/>
        <v>0</v>
      </c>
      <c r="X953" s="10">
        <f t="shared" ca="1" si="5993"/>
        <v>0</v>
      </c>
      <c r="Y953" s="10">
        <f t="shared" ca="1" si="5993"/>
        <v>0</v>
      </c>
      <c r="Z953" s="10">
        <f t="shared" ca="1" si="5993"/>
        <v>0</v>
      </c>
      <c r="AA953" s="10">
        <f t="shared" ca="1" si="5993"/>
        <v>0</v>
      </c>
      <c r="AB953" s="10">
        <f t="shared" ca="1" si="5993"/>
        <v>0</v>
      </c>
      <c r="AC953" s="10">
        <f t="shared" ca="1" si="5993"/>
        <v>0</v>
      </c>
      <c r="AD953" s="10">
        <f t="shared" ca="1" si="5993"/>
        <v>0</v>
      </c>
      <c r="AE953" s="10">
        <f t="shared" ca="1" si="5993"/>
        <v>0</v>
      </c>
      <c r="AF953" s="10">
        <f t="shared" ca="1" si="5993"/>
        <v>0</v>
      </c>
      <c r="AG953" s="10">
        <f t="shared" ca="1" si="5993"/>
        <v>0</v>
      </c>
      <c r="AH953" s="10">
        <f t="shared" ca="1" si="5993"/>
        <v>0</v>
      </c>
      <c r="AI953" s="10">
        <f t="shared" ca="1" si="5993"/>
        <v>0</v>
      </c>
      <c r="AJ953" s="10">
        <f t="shared" ca="1" si="5993"/>
        <v>0</v>
      </c>
      <c r="AK953" s="10">
        <f t="shared" ca="1" si="5993"/>
        <v>0</v>
      </c>
      <c r="AL953" s="10">
        <f t="shared" ca="1" si="5993"/>
        <v>0</v>
      </c>
      <c r="AM953" s="10">
        <f t="shared" ca="1" si="5993"/>
        <v>0</v>
      </c>
      <c r="AN953" s="10">
        <f t="shared" ca="1" si="5993"/>
        <v>0</v>
      </c>
      <c r="AO953" s="10">
        <f t="shared" ca="1" si="5993"/>
        <v>0</v>
      </c>
      <c r="AP953" s="10">
        <f t="shared" ca="1" si="5993"/>
        <v>0</v>
      </c>
      <c r="AQ953" s="10">
        <f t="shared" ca="1" si="5993"/>
        <v>0</v>
      </c>
      <c r="AR953" s="10">
        <f t="shared" ref="AR953:BW953" ca="1" si="5994" xml:space="preserve"> $E929 * CPI_Accumulated_From_Date * (Period_length) * AR$50 * $I$776</f>
        <v>0</v>
      </c>
      <c r="AS953" s="10">
        <f t="shared" ca="1" si="5994"/>
        <v>0</v>
      </c>
      <c r="AT953" s="10">
        <f t="shared" ca="1" si="5994"/>
        <v>0</v>
      </c>
      <c r="AU953" s="10">
        <f t="shared" ca="1" si="5994"/>
        <v>0</v>
      </c>
      <c r="AV953" s="10">
        <f t="shared" ca="1" si="5994"/>
        <v>0</v>
      </c>
      <c r="AW953" s="10">
        <f t="shared" ca="1" si="5994"/>
        <v>0</v>
      </c>
      <c r="AX953" s="10">
        <f t="shared" ca="1" si="5994"/>
        <v>0</v>
      </c>
      <c r="AY953" s="10">
        <f t="shared" ca="1" si="5994"/>
        <v>0</v>
      </c>
      <c r="AZ953" s="10">
        <f t="shared" ca="1" si="5994"/>
        <v>0</v>
      </c>
      <c r="BA953" s="10">
        <f t="shared" ca="1" si="5994"/>
        <v>0</v>
      </c>
      <c r="BB953" s="10">
        <f t="shared" ca="1" si="5994"/>
        <v>0</v>
      </c>
      <c r="BC953" s="10">
        <f t="shared" ca="1" si="5994"/>
        <v>0</v>
      </c>
      <c r="BD953" s="10">
        <f t="shared" ca="1" si="5994"/>
        <v>0</v>
      </c>
      <c r="BE953" s="10">
        <f t="shared" ca="1" si="5994"/>
        <v>0</v>
      </c>
      <c r="BF953" s="10">
        <f t="shared" ca="1" si="5994"/>
        <v>0</v>
      </c>
      <c r="BG953" s="10">
        <f t="shared" ca="1" si="5994"/>
        <v>0</v>
      </c>
      <c r="BH953" s="10">
        <f t="shared" ca="1" si="5994"/>
        <v>0</v>
      </c>
      <c r="BI953" s="10">
        <f t="shared" ca="1" si="5994"/>
        <v>0</v>
      </c>
      <c r="BJ953" s="10">
        <f t="shared" ca="1" si="5994"/>
        <v>0</v>
      </c>
      <c r="BK953" s="10">
        <f t="shared" ca="1" si="5994"/>
        <v>0</v>
      </c>
      <c r="BL953" s="10">
        <f t="shared" ca="1" si="5994"/>
        <v>0</v>
      </c>
      <c r="BM953" s="10">
        <f t="shared" ca="1" si="5994"/>
        <v>0</v>
      </c>
      <c r="BN953" s="10">
        <f t="shared" ca="1" si="5994"/>
        <v>0</v>
      </c>
      <c r="BO953" s="10">
        <f t="shared" ca="1" si="5994"/>
        <v>0</v>
      </c>
      <c r="BP953" s="10">
        <f t="shared" ca="1" si="5994"/>
        <v>0</v>
      </c>
      <c r="BQ953" s="10">
        <f t="shared" ca="1" si="5994"/>
        <v>0</v>
      </c>
      <c r="BR953" s="10">
        <f t="shared" ca="1" si="5994"/>
        <v>0</v>
      </c>
      <c r="BS953" s="10">
        <f t="shared" ca="1" si="5994"/>
        <v>0</v>
      </c>
      <c r="BT953" s="10">
        <f t="shared" ca="1" si="5994"/>
        <v>0</v>
      </c>
      <c r="BU953" s="10">
        <f t="shared" ca="1" si="5994"/>
        <v>0</v>
      </c>
      <c r="BV953" s="10">
        <f t="shared" ca="1" si="5994"/>
        <v>0</v>
      </c>
      <c r="BW953" s="10">
        <f t="shared" ca="1" si="5994"/>
        <v>0</v>
      </c>
      <c r="BX953" s="10">
        <f t="shared" ref="BX953:CO953" ca="1" si="5995" xml:space="preserve"> $E929 * CPI_Accumulated_From_Date * (Period_length) * BX$50 * $I$776</f>
        <v>0</v>
      </c>
      <c r="BY953" s="10">
        <f t="shared" ca="1" si="5995"/>
        <v>0</v>
      </c>
      <c r="BZ953" s="10">
        <f t="shared" ca="1" si="5995"/>
        <v>0</v>
      </c>
      <c r="CA953" s="10">
        <f t="shared" ca="1" si="5995"/>
        <v>0</v>
      </c>
      <c r="CB953" s="10">
        <f t="shared" ca="1" si="5995"/>
        <v>0</v>
      </c>
      <c r="CC953" s="10">
        <f t="shared" ca="1" si="5995"/>
        <v>0</v>
      </c>
      <c r="CD953" s="10">
        <f t="shared" ca="1" si="5995"/>
        <v>0</v>
      </c>
      <c r="CE953" s="10">
        <f t="shared" ca="1" si="5995"/>
        <v>0</v>
      </c>
      <c r="CF953" s="10">
        <f t="shared" ca="1" si="5995"/>
        <v>0</v>
      </c>
      <c r="CG953" s="10">
        <f t="shared" ca="1" si="5995"/>
        <v>0</v>
      </c>
      <c r="CH953" s="10">
        <f t="shared" ca="1" si="5995"/>
        <v>0</v>
      </c>
      <c r="CI953" s="10">
        <f t="shared" ca="1" si="5995"/>
        <v>0</v>
      </c>
      <c r="CJ953" s="10">
        <f t="shared" ca="1" si="5995"/>
        <v>0</v>
      </c>
      <c r="CK953" s="10">
        <f t="shared" ca="1" si="5995"/>
        <v>0</v>
      </c>
      <c r="CL953" s="10">
        <f t="shared" ca="1" si="5995"/>
        <v>0</v>
      </c>
      <c r="CM953" s="10">
        <f t="shared" ca="1" si="5995"/>
        <v>0</v>
      </c>
      <c r="CN953" s="10">
        <f t="shared" ca="1" si="5995"/>
        <v>0</v>
      </c>
      <c r="CO953" s="10">
        <f t="shared" ca="1" si="5995"/>
        <v>0</v>
      </c>
    </row>
    <row r="954" spans="1:93" hidden="1">
      <c r="A954" s="10"/>
      <c r="B954" s="10"/>
      <c r="C954" s="17" t="s">
        <v>921</v>
      </c>
      <c r="D954" s="10"/>
      <c r="E954" s="10"/>
      <c r="F954" s="10"/>
      <c r="G954" s="11" t="str">
        <f>Monetary_Unit</f>
        <v>тыс. руб.</v>
      </c>
      <c r="H954" s="10"/>
      <c r="I954" s="23">
        <f t="shared" ca="1" si="5986"/>
        <v>0</v>
      </c>
      <c r="K954" s="10"/>
      <c r="L954" s="10">
        <f t="shared" ref="L954:AQ954" ca="1" si="5996" xml:space="preserve"> $E930 * CPI_Accumulated_From_Date * (Period_length) * L$50 * $I$776</f>
        <v>0</v>
      </c>
      <c r="M954" s="10">
        <f t="shared" ca="1" si="5996"/>
        <v>0</v>
      </c>
      <c r="N954" s="10">
        <f t="shared" ca="1" si="5996"/>
        <v>0</v>
      </c>
      <c r="O954" s="10">
        <f t="shared" ca="1" si="5996"/>
        <v>0</v>
      </c>
      <c r="P954" s="10">
        <f t="shared" ca="1" si="5996"/>
        <v>0</v>
      </c>
      <c r="Q954" s="10">
        <f t="shared" ca="1" si="5996"/>
        <v>0</v>
      </c>
      <c r="R954" s="10">
        <f t="shared" ca="1" si="5996"/>
        <v>0</v>
      </c>
      <c r="S954" s="10">
        <f t="shared" ca="1" si="5996"/>
        <v>0</v>
      </c>
      <c r="T954" s="10">
        <f t="shared" ca="1" si="5996"/>
        <v>0</v>
      </c>
      <c r="U954" s="10">
        <f t="shared" ca="1" si="5996"/>
        <v>0</v>
      </c>
      <c r="V954" s="10">
        <f t="shared" ca="1" si="5996"/>
        <v>0</v>
      </c>
      <c r="W954" s="10">
        <f t="shared" ca="1" si="5996"/>
        <v>0</v>
      </c>
      <c r="X954" s="10">
        <f t="shared" ca="1" si="5996"/>
        <v>0</v>
      </c>
      <c r="Y954" s="10">
        <f t="shared" ca="1" si="5996"/>
        <v>0</v>
      </c>
      <c r="Z954" s="10">
        <f t="shared" ca="1" si="5996"/>
        <v>0</v>
      </c>
      <c r="AA954" s="10">
        <f t="shared" ca="1" si="5996"/>
        <v>0</v>
      </c>
      <c r="AB954" s="10">
        <f t="shared" ca="1" si="5996"/>
        <v>0</v>
      </c>
      <c r="AC954" s="10">
        <f t="shared" ca="1" si="5996"/>
        <v>0</v>
      </c>
      <c r="AD954" s="10">
        <f t="shared" ca="1" si="5996"/>
        <v>0</v>
      </c>
      <c r="AE954" s="10">
        <f t="shared" ca="1" si="5996"/>
        <v>0</v>
      </c>
      <c r="AF954" s="10">
        <f t="shared" ca="1" si="5996"/>
        <v>0</v>
      </c>
      <c r="AG954" s="10">
        <f t="shared" ca="1" si="5996"/>
        <v>0</v>
      </c>
      <c r="AH954" s="10">
        <f t="shared" ca="1" si="5996"/>
        <v>0</v>
      </c>
      <c r="AI954" s="10">
        <f t="shared" ca="1" si="5996"/>
        <v>0</v>
      </c>
      <c r="AJ954" s="10">
        <f t="shared" ca="1" si="5996"/>
        <v>0</v>
      </c>
      <c r="AK954" s="10">
        <f t="shared" ca="1" si="5996"/>
        <v>0</v>
      </c>
      <c r="AL954" s="10">
        <f t="shared" ca="1" si="5996"/>
        <v>0</v>
      </c>
      <c r="AM954" s="10">
        <f t="shared" ca="1" si="5996"/>
        <v>0</v>
      </c>
      <c r="AN954" s="10">
        <f t="shared" ca="1" si="5996"/>
        <v>0</v>
      </c>
      <c r="AO954" s="10">
        <f t="shared" ca="1" si="5996"/>
        <v>0</v>
      </c>
      <c r="AP954" s="10">
        <f t="shared" ca="1" si="5996"/>
        <v>0</v>
      </c>
      <c r="AQ954" s="10">
        <f t="shared" ca="1" si="5996"/>
        <v>0</v>
      </c>
      <c r="AR954" s="10">
        <f t="shared" ref="AR954:BW954" ca="1" si="5997" xml:space="preserve"> $E930 * CPI_Accumulated_From_Date * (Period_length) * AR$50 * $I$776</f>
        <v>0</v>
      </c>
      <c r="AS954" s="10">
        <f t="shared" ca="1" si="5997"/>
        <v>0</v>
      </c>
      <c r="AT954" s="10">
        <f t="shared" ca="1" si="5997"/>
        <v>0</v>
      </c>
      <c r="AU954" s="10">
        <f t="shared" ca="1" si="5997"/>
        <v>0</v>
      </c>
      <c r="AV954" s="10">
        <f t="shared" ca="1" si="5997"/>
        <v>0</v>
      </c>
      <c r="AW954" s="10">
        <f t="shared" ca="1" si="5997"/>
        <v>0</v>
      </c>
      <c r="AX954" s="10">
        <f t="shared" ca="1" si="5997"/>
        <v>0</v>
      </c>
      <c r="AY954" s="10">
        <f t="shared" ca="1" si="5997"/>
        <v>0</v>
      </c>
      <c r="AZ954" s="10">
        <f t="shared" ca="1" si="5997"/>
        <v>0</v>
      </c>
      <c r="BA954" s="10">
        <f t="shared" ca="1" si="5997"/>
        <v>0</v>
      </c>
      <c r="BB954" s="10">
        <f t="shared" ca="1" si="5997"/>
        <v>0</v>
      </c>
      <c r="BC954" s="10">
        <f t="shared" ca="1" si="5997"/>
        <v>0</v>
      </c>
      <c r="BD954" s="10">
        <f t="shared" ca="1" si="5997"/>
        <v>0</v>
      </c>
      <c r="BE954" s="10">
        <f t="shared" ca="1" si="5997"/>
        <v>0</v>
      </c>
      <c r="BF954" s="10">
        <f t="shared" ca="1" si="5997"/>
        <v>0</v>
      </c>
      <c r="BG954" s="10">
        <f t="shared" ca="1" si="5997"/>
        <v>0</v>
      </c>
      <c r="BH954" s="10">
        <f t="shared" ca="1" si="5997"/>
        <v>0</v>
      </c>
      <c r="BI954" s="10">
        <f t="shared" ca="1" si="5997"/>
        <v>0</v>
      </c>
      <c r="BJ954" s="10">
        <f t="shared" ca="1" si="5997"/>
        <v>0</v>
      </c>
      <c r="BK954" s="10">
        <f t="shared" ca="1" si="5997"/>
        <v>0</v>
      </c>
      <c r="BL954" s="10">
        <f t="shared" ca="1" si="5997"/>
        <v>0</v>
      </c>
      <c r="BM954" s="10">
        <f t="shared" ca="1" si="5997"/>
        <v>0</v>
      </c>
      <c r="BN954" s="10">
        <f t="shared" ca="1" si="5997"/>
        <v>0</v>
      </c>
      <c r="BO954" s="10">
        <f t="shared" ca="1" si="5997"/>
        <v>0</v>
      </c>
      <c r="BP954" s="10">
        <f t="shared" ca="1" si="5997"/>
        <v>0</v>
      </c>
      <c r="BQ954" s="10">
        <f t="shared" ca="1" si="5997"/>
        <v>0</v>
      </c>
      <c r="BR954" s="10">
        <f t="shared" ca="1" si="5997"/>
        <v>0</v>
      </c>
      <c r="BS954" s="10">
        <f t="shared" ca="1" si="5997"/>
        <v>0</v>
      </c>
      <c r="BT954" s="10">
        <f t="shared" ca="1" si="5997"/>
        <v>0</v>
      </c>
      <c r="BU954" s="10">
        <f t="shared" ca="1" si="5997"/>
        <v>0</v>
      </c>
      <c r="BV954" s="10">
        <f t="shared" ca="1" si="5997"/>
        <v>0</v>
      </c>
      <c r="BW954" s="10">
        <f t="shared" ca="1" si="5997"/>
        <v>0</v>
      </c>
      <c r="BX954" s="10">
        <f t="shared" ref="BX954:CO954" ca="1" si="5998" xml:space="preserve"> $E930 * CPI_Accumulated_From_Date * (Period_length) * BX$50 * $I$776</f>
        <v>0</v>
      </c>
      <c r="BY954" s="10">
        <f t="shared" ca="1" si="5998"/>
        <v>0</v>
      </c>
      <c r="BZ954" s="10">
        <f t="shared" ca="1" si="5998"/>
        <v>0</v>
      </c>
      <c r="CA954" s="10">
        <f t="shared" ca="1" si="5998"/>
        <v>0</v>
      </c>
      <c r="CB954" s="10">
        <f t="shared" ca="1" si="5998"/>
        <v>0</v>
      </c>
      <c r="CC954" s="10">
        <f t="shared" ca="1" si="5998"/>
        <v>0</v>
      </c>
      <c r="CD954" s="10">
        <f t="shared" ca="1" si="5998"/>
        <v>0</v>
      </c>
      <c r="CE954" s="10">
        <f t="shared" ca="1" si="5998"/>
        <v>0</v>
      </c>
      <c r="CF954" s="10">
        <f t="shared" ca="1" si="5998"/>
        <v>0</v>
      </c>
      <c r="CG954" s="10">
        <f t="shared" ca="1" si="5998"/>
        <v>0</v>
      </c>
      <c r="CH954" s="10">
        <f t="shared" ca="1" si="5998"/>
        <v>0</v>
      </c>
      <c r="CI954" s="10">
        <f t="shared" ca="1" si="5998"/>
        <v>0</v>
      </c>
      <c r="CJ954" s="10">
        <f t="shared" ca="1" si="5998"/>
        <v>0</v>
      </c>
      <c r="CK954" s="10">
        <f t="shared" ca="1" si="5998"/>
        <v>0</v>
      </c>
      <c r="CL954" s="10">
        <f t="shared" ca="1" si="5998"/>
        <v>0</v>
      </c>
      <c r="CM954" s="10">
        <f t="shared" ca="1" si="5998"/>
        <v>0</v>
      </c>
      <c r="CN954" s="10">
        <f t="shared" ca="1" si="5998"/>
        <v>0</v>
      </c>
      <c r="CO954" s="10">
        <f t="shared" ca="1" si="5998"/>
        <v>0</v>
      </c>
    </row>
    <row r="955" spans="1:93" ht="15" hidden="1" thickBot="1">
      <c r="A955" s="10"/>
      <c r="B955" s="10"/>
      <c r="C955" s="17" t="s">
        <v>922</v>
      </c>
      <c r="D955" s="10"/>
      <c r="E955" s="10"/>
      <c r="F955" s="10"/>
      <c r="G955" s="11" t="str">
        <f>Monetary_Unit</f>
        <v>тыс. руб.</v>
      </c>
      <c r="H955" s="10"/>
      <c r="I955" s="23">
        <f t="shared" ca="1" si="5986"/>
        <v>0</v>
      </c>
      <c r="K955" s="10"/>
      <c r="L955" s="10">
        <f t="shared" ref="L955:AQ955" ca="1" si="5999" xml:space="preserve"> $E931 * CPI_Accumulated_From_Date * (Period_length) * L$50 * $I$776</f>
        <v>0</v>
      </c>
      <c r="M955" s="10">
        <f t="shared" ca="1" si="5999"/>
        <v>0</v>
      </c>
      <c r="N955" s="10">
        <f t="shared" ca="1" si="5999"/>
        <v>0</v>
      </c>
      <c r="O955" s="10">
        <f t="shared" ca="1" si="5999"/>
        <v>0</v>
      </c>
      <c r="P955" s="10">
        <f t="shared" ca="1" si="5999"/>
        <v>0</v>
      </c>
      <c r="Q955" s="10">
        <f t="shared" ca="1" si="5999"/>
        <v>0</v>
      </c>
      <c r="R955" s="10">
        <f t="shared" ca="1" si="5999"/>
        <v>0</v>
      </c>
      <c r="S955" s="10">
        <f t="shared" ca="1" si="5999"/>
        <v>0</v>
      </c>
      <c r="T955" s="10">
        <f t="shared" ca="1" si="5999"/>
        <v>0</v>
      </c>
      <c r="U955" s="10">
        <f t="shared" ca="1" si="5999"/>
        <v>0</v>
      </c>
      <c r="V955" s="10">
        <f t="shared" ca="1" si="5999"/>
        <v>0</v>
      </c>
      <c r="W955" s="10">
        <f t="shared" ca="1" si="5999"/>
        <v>0</v>
      </c>
      <c r="X955" s="10">
        <f t="shared" ca="1" si="5999"/>
        <v>0</v>
      </c>
      <c r="Y955" s="10">
        <f t="shared" ca="1" si="5999"/>
        <v>0</v>
      </c>
      <c r="Z955" s="10">
        <f t="shared" ca="1" si="5999"/>
        <v>0</v>
      </c>
      <c r="AA955" s="10">
        <f t="shared" ca="1" si="5999"/>
        <v>0</v>
      </c>
      <c r="AB955" s="10">
        <f t="shared" ca="1" si="5999"/>
        <v>0</v>
      </c>
      <c r="AC955" s="10">
        <f t="shared" ca="1" si="5999"/>
        <v>0</v>
      </c>
      <c r="AD955" s="10">
        <f t="shared" ca="1" si="5999"/>
        <v>0</v>
      </c>
      <c r="AE955" s="10">
        <f t="shared" ca="1" si="5999"/>
        <v>0</v>
      </c>
      <c r="AF955" s="10">
        <f t="shared" ca="1" si="5999"/>
        <v>0</v>
      </c>
      <c r="AG955" s="10">
        <f t="shared" ca="1" si="5999"/>
        <v>0</v>
      </c>
      <c r="AH955" s="10">
        <f t="shared" ca="1" si="5999"/>
        <v>0</v>
      </c>
      <c r="AI955" s="10">
        <f t="shared" ca="1" si="5999"/>
        <v>0</v>
      </c>
      <c r="AJ955" s="10">
        <f t="shared" ca="1" si="5999"/>
        <v>0</v>
      </c>
      <c r="AK955" s="10">
        <f t="shared" ca="1" si="5999"/>
        <v>0</v>
      </c>
      <c r="AL955" s="10">
        <f t="shared" ca="1" si="5999"/>
        <v>0</v>
      </c>
      <c r="AM955" s="10">
        <f t="shared" ca="1" si="5999"/>
        <v>0</v>
      </c>
      <c r="AN955" s="10">
        <f t="shared" ca="1" si="5999"/>
        <v>0</v>
      </c>
      <c r="AO955" s="10">
        <f t="shared" ca="1" si="5999"/>
        <v>0</v>
      </c>
      <c r="AP955" s="10">
        <f t="shared" ca="1" si="5999"/>
        <v>0</v>
      </c>
      <c r="AQ955" s="10">
        <f t="shared" ca="1" si="5999"/>
        <v>0</v>
      </c>
      <c r="AR955" s="10">
        <f t="shared" ref="AR955:BW955" ca="1" si="6000" xml:space="preserve"> $E931 * CPI_Accumulated_From_Date * (Period_length) * AR$50 * $I$776</f>
        <v>0</v>
      </c>
      <c r="AS955" s="10">
        <f t="shared" ca="1" si="6000"/>
        <v>0</v>
      </c>
      <c r="AT955" s="10">
        <f t="shared" ca="1" si="6000"/>
        <v>0</v>
      </c>
      <c r="AU955" s="10">
        <f t="shared" ca="1" si="6000"/>
        <v>0</v>
      </c>
      <c r="AV955" s="10">
        <f t="shared" ca="1" si="6000"/>
        <v>0</v>
      </c>
      <c r="AW955" s="10">
        <f t="shared" ca="1" si="6000"/>
        <v>0</v>
      </c>
      <c r="AX955" s="10">
        <f t="shared" ca="1" si="6000"/>
        <v>0</v>
      </c>
      <c r="AY955" s="10">
        <f t="shared" ca="1" si="6000"/>
        <v>0</v>
      </c>
      <c r="AZ955" s="10">
        <f t="shared" ca="1" si="6000"/>
        <v>0</v>
      </c>
      <c r="BA955" s="10">
        <f t="shared" ca="1" si="6000"/>
        <v>0</v>
      </c>
      <c r="BB955" s="10">
        <f t="shared" ca="1" si="6000"/>
        <v>0</v>
      </c>
      <c r="BC955" s="10">
        <f t="shared" ca="1" si="6000"/>
        <v>0</v>
      </c>
      <c r="BD955" s="10">
        <f t="shared" ca="1" si="6000"/>
        <v>0</v>
      </c>
      <c r="BE955" s="10">
        <f t="shared" ca="1" si="6000"/>
        <v>0</v>
      </c>
      <c r="BF955" s="10">
        <f t="shared" ca="1" si="6000"/>
        <v>0</v>
      </c>
      <c r="BG955" s="10">
        <f t="shared" ca="1" si="6000"/>
        <v>0</v>
      </c>
      <c r="BH955" s="10">
        <f t="shared" ca="1" si="6000"/>
        <v>0</v>
      </c>
      <c r="BI955" s="10">
        <f t="shared" ca="1" si="6000"/>
        <v>0</v>
      </c>
      <c r="BJ955" s="10">
        <f t="shared" ca="1" si="6000"/>
        <v>0</v>
      </c>
      <c r="BK955" s="10">
        <f t="shared" ca="1" si="6000"/>
        <v>0</v>
      </c>
      <c r="BL955" s="10">
        <f t="shared" ca="1" si="6000"/>
        <v>0</v>
      </c>
      <c r="BM955" s="10">
        <f t="shared" ca="1" si="6000"/>
        <v>0</v>
      </c>
      <c r="BN955" s="10">
        <f t="shared" ca="1" si="6000"/>
        <v>0</v>
      </c>
      <c r="BO955" s="10">
        <f t="shared" ca="1" si="6000"/>
        <v>0</v>
      </c>
      <c r="BP955" s="10">
        <f t="shared" ca="1" si="6000"/>
        <v>0</v>
      </c>
      <c r="BQ955" s="10">
        <f t="shared" ca="1" si="6000"/>
        <v>0</v>
      </c>
      <c r="BR955" s="10">
        <f t="shared" ca="1" si="6000"/>
        <v>0</v>
      </c>
      <c r="BS955" s="10">
        <f t="shared" ca="1" si="6000"/>
        <v>0</v>
      </c>
      <c r="BT955" s="10">
        <f t="shared" ca="1" si="6000"/>
        <v>0</v>
      </c>
      <c r="BU955" s="10">
        <f t="shared" ca="1" si="6000"/>
        <v>0</v>
      </c>
      <c r="BV955" s="10">
        <f t="shared" ca="1" si="6000"/>
        <v>0</v>
      </c>
      <c r="BW955" s="10">
        <f t="shared" ca="1" si="6000"/>
        <v>0</v>
      </c>
      <c r="BX955" s="10">
        <f t="shared" ref="BX955:CO955" ca="1" si="6001" xml:space="preserve"> $E931 * CPI_Accumulated_From_Date * (Period_length) * BX$50 * $I$776</f>
        <v>0</v>
      </c>
      <c r="BY955" s="10">
        <f t="shared" ca="1" si="6001"/>
        <v>0</v>
      </c>
      <c r="BZ955" s="10">
        <f t="shared" ca="1" si="6001"/>
        <v>0</v>
      </c>
      <c r="CA955" s="10">
        <f t="shared" ca="1" si="6001"/>
        <v>0</v>
      </c>
      <c r="CB955" s="10">
        <f t="shared" ca="1" si="6001"/>
        <v>0</v>
      </c>
      <c r="CC955" s="10">
        <f t="shared" ca="1" si="6001"/>
        <v>0</v>
      </c>
      <c r="CD955" s="10">
        <f t="shared" ca="1" si="6001"/>
        <v>0</v>
      </c>
      <c r="CE955" s="10">
        <f t="shared" ca="1" si="6001"/>
        <v>0</v>
      </c>
      <c r="CF955" s="10">
        <f t="shared" ca="1" si="6001"/>
        <v>0</v>
      </c>
      <c r="CG955" s="10">
        <f t="shared" ca="1" si="6001"/>
        <v>0</v>
      </c>
      <c r="CH955" s="10">
        <f t="shared" ca="1" si="6001"/>
        <v>0</v>
      </c>
      <c r="CI955" s="10">
        <f t="shared" ca="1" si="6001"/>
        <v>0</v>
      </c>
      <c r="CJ955" s="10">
        <f t="shared" ca="1" si="6001"/>
        <v>0</v>
      </c>
      <c r="CK955" s="10">
        <f t="shared" ca="1" si="6001"/>
        <v>0</v>
      </c>
      <c r="CL955" s="10">
        <f t="shared" ca="1" si="6001"/>
        <v>0</v>
      </c>
      <c r="CM955" s="10">
        <f t="shared" ca="1" si="6001"/>
        <v>0</v>
      </c>
      <c r="CN955" s="10">
        <f t="shared" ca="1" si="6001"/>
        <v>0</v>
      </c>
      <c r="CO955" s="10">
        <f t="shared" ca="1" si="6001"/>
        <v>0</v>
      </c>
    </row>
    <row r="956" spans="1:93" ht="15" thickTop="1">
      <c r="B956" s="101"/>
      <c r="C956" s="49" t="str">
        <f xml:space="preserve"> "Итого: эксплуатационные расходы " &amp; C36 &amp; " в прогнозных ценах без НДС"</f>
        <v>Итого: эксплуатационные расходы Развлекательный комплекс в прогнозных ценах без НДС</v>
      </c>
      <c r="D956" s="49"/>
      <c r="E956" s="136"/>
      <c r="F956" s="49"/>
      <c r="G956" s="159" t="str">
        <f xml:space="preserve"> Monetary_Unit</f>
        <v>тыс. руб.</v>
      </c>
      <c r="H956" s="49"/>
      <c r="I956" s="23">
        <f t="shared" ca="1" si="5986"/>
        <v>0</v>
      </c>
      <c r="J956" s="49"/>
      <c r="K956" s="49"/>
      <c r="L956" s="49">
        <f t="shared" ref="L956" ca="1" si="6002">SUM(L936:L943,L946:L948,L951:L955)</f>
        <v>0</v>
      </c>
      <c r="M956" s="49">
        <f t="shared" ref="M956" ca="1" si="6003">SUM(M936:M943,M946:M948,M951:M955)</f>
        <v>0</v>
      </c>
      <c r="N956" s="49">
        <f t="shared" ref="N956" ca="1" si="6004">SUM(N936:N943,N946:N948,N951:N955)</f>
        <v>0</v>
      </c>
      <c r="O956" s="49">
        <f t="shared" ref="O956" ca="1" si="6005">SUM(O936:O943,O946:O948,O951:O955)</f>
        <v>0</v>
      </c>
      <c r="P956" s="49">
        <f t="shared" ref="P956" ca="1" si="6006">SUM(P936:P943,P946:P948,P951:P955)</f>
        <v>0</v>
      </c>
      <c r="Q956" s="49">
        <f t="shared" ref="Q956" ca="1" si="6007">SUM(Q936:Q943,Q946:Q948,Q951:Q955)</f>
        <v>0</v>
      </c>
      <c r="R956" s="49">
        <f t="shared" ref="R956" ca="1" si="6008">SUM(R936:R943,R946:R948,R951:R955)</f>
        <v>0</v>
      </c>
      <c r="S956" s="49">
        <f t="shared" ref="S956" ca="1" si="6009">SUM(S936:S943,S946:S948,S951:S955)</f>
        <v>0</v>
      </c>
      <c r="T956" s="49">
        <f t="shared" ref="T956" ca="1" si="6010">SUM(T936:T943,T946:T948,T951:T955)</f>
        <v>0</v>
      </c>
      <c r="U956" s="49">
        <f t="shared" ref="U956" ca="1" si="6011">SUM(U936:U943,U946:U948,U951:U955)</f>
        <v>0</v>
      </c>
      <c r="V956" s="49">
        <f t="shared" ref="V956" ca="1" si="6012">SUM(V936:V943,V946:V948,V951:V955)</f>
        <v>0</v>
      </c>
      <c r="W956" s="49">
        <f t="shared" ref="W956" ca="1" si="6013">SUM(W936:W943,W946:W948,W951:W955)</f>
        <v>0</v>
      </c>
      <c r="X956" s="49">
        <f t="shared" ref="X956" ca="1" si="6014">SUM(X936:X943,X946:X948,X951:X955)</f>
        <v>0</v>
      </c>
      <c r="Y956" s="49">
        <f t="shared" ref="Y956" ca="1" si="6015">SUM(Y936:Y943,Y946:Y948,Y951:Y955)</f>
        <v>0</v>
      </c>
      <c r="Z956" s="49">
        <f t="shared" ref="Z956" ca="1" si="6016">SUM(Z936:Z943,Z946:Z948,Z951:Z955)</f>
        <v>0</v>
      </c>
      <c r="AA956" s="49">
        <f t="shared" ref="AA956" ca="1" si="6017">SUM(AA936:AA943,AA946:AA948,AA951:AA955)</f>
        <v>0</v>
      </c>
      <c r="AB956" s="49">
        <f t="shared" ref="AB956" ca="1" si="6018">SUM(AB936:AB943,AB946:AB948,AB951:AB955)</f>
        <v>0</v>
      </c>
      <c r="AC956" s="49">
        <f t="shared" ref="AC956" ca="1" si="6019">SUM(AC936:AC943,AC946:AC948,AC951:AC955)</f>
        <v>0</v>
      </c>
      <c r="AD956" s="49">
        <f t="shared" ref="AD956" ca="1" si="6020">SUM(AD936:AD943,AD946:AD948,AD951:AD955)</f>
        <v>0</v>
      </c>
      <c r="AE956" s="49">
        <f t="shared" ref="AE956" ca="1" si="6021">SUM(AE936:AE943,AE946:AE948,AE951:AE955)</f>
        <v>0</v>
      </c>
      <c r="AF956" s="49">
        <f t="shared" ref="AF956" ca="1" si="6022">SUM(AF936:AF943,AF946:AF948,AF951:AF955)</f>
        <v>0</v>
      </c>
      <c r="AG956" s="49">
        <f t="shared" ref="AG956" ca="1" si="6023">SUM(AG936:AG943,AG946:AG948,AG951:AG955)</f>
        <v>0</v>
      </c>
      <c r="AH956" s="49">
        <f t="shared" ref="AH956" ca="1" si="6024">SUM(AH936:AH943,AH946:AH948,AH951:AH955)</f>
        <v>0</v>
      </c>
      <c r="AI956" s="49">
        <f t="shared" ref="AI956" ca="1" si="6025">SUM(AI936:AI943,AI946:AI948,AI951:AI955)</f>
        <v>0</v>
      </c>
      <c r="AJ956" s="49">
        <f t="shared" ref="AJ956" ca="1" si="6026">SUM(AJ936:AJ943,AJ946:AJ948,AJ951:AJ955)</f>
        <v>0</v>
      </c>
      <c r="AK956" s="49">
        <f t="shared" ref="AK956" ca="1" si="6027">SUM(AK936:AK943,AK946:AK948,AK951:AK955)</f>
        <v>0</v>
      </c>
      <c r="AL956" s="49">
        <f t="shared" ref="AL956" ca="1" si="6028">SUM(AL936:AL943,AL946:AL948,AL951:AL955)</f>
        <v>0</v>
      </c>
      <c r="AM956" s="49">
        <f t="shared" ref="AM956" ca="1" si="6029">SUM(AM936:AM943,AM946:AM948,AM951:AM955)</f>
        <v>0</v>
      </c>
      <c r="AN956" s="49">
        <f t="shared" ref="AN956" ca="1" si="6030">SUM(AN936:AN943,AN946:AN948,AN951:AN955)</f>
        <v>0</v>
      </c>
      <c r="AO956" s="49">
        <f t="shared" ref="AO956" ca="1" si="6031">SUM(AO936:AO943,AO946:AO948,AO951:AO955)</f>
        <v>0</v>
      </c>
      <c r="AP956" s="49">
        <f t="shared" ref="AP956" ca="1" si="6032">SUM(AP936:AP943,AP946:AP948,AP951:AP955)</f>
        <v>0</v>
      </c>
      <c r="AQ956" s="49">
        <f t="shared" ref="AQ956" ca="1" si="6033">SUM(AQ936:AQ943,AQ946:AQ948,AQ951:AQ955)</f>
        <v>0</v>
      </c>
      <c r="AR956" s="49">
        <f t="shared" ref="AR956" ca="1" si="6034">SUM(AR936:AR943,AR946:AR948,AR951:AR955)</f>
        <v>0</v>
      </c>
      <c r="AS956" s="49">
        <f t="shared" ref="AS956" ca="1" si="6035">SUM(AS936:AS943,AS946:AS948,AS951:AS955)</f>
        <v>0</v>
      </c>
      <c r="AT956" s="49">
        <f t="shared" ref="AT956" ca="1" si="6036">SUM(AT936:AT943,AT946:AT948,AT951:AT955)</f>
        <v>0</v>
      </c>
      <c r="AU956" s="49">
        <f t="shared" ref="AU956" ca="1" si="6037">SUM(AU936:AU943,AU946:AU948,AU951:AU955)</f>
        <v>0</v>
      </c>
      <c r="AV956" s="49">
        <f t="shared" ref="AV956" ca="1" si="6038">SUM(AV936:AV943,AV946:AV948,AV951:AV955)</f>
        <v>0</v>
      </c>
      <c r="AW956" s="49">
        <f t="shared" ref="AW956" ca="1" si="6039">SUM(AW936:AW943,AW946:AW948,AW951:AW955)</f>
        <v>0</v>
      </c>
      <c r="AX956" s="49">
        <f t="shared" ref="AX956" ca="1" si="6040">SUM(AX936:AX943,AX946:AX948,AX951:AX955)</f>
        <v>0</v>
      </c>
      <c r="AY956" s="49">
        <f t="shared" ref="AY956" ca="1" si="6041">SUM(AY936:AY943,AY946:AY948,AY951:AY955)</f>
        <v>0</v>
      </c>
      <c r="AZ956" s="49">
        <f t="shared" ref="AZ956" ca="1" si="6042">SUM(AZ936:AZ943,AZ946:AZ948,AZ951:AZ955)</f>
        <v>0</v>
      </c>
      <c r="BA956" s="49">
        <f t="shared" ref="BA956" ca="1" si="6043">SUM(BA936:BA943,BA946:BA948,BA951:BA955)</f>
        <v>0</v>
      </c>
      <c r="BB956" s="49">
        <f t="shared" ref="BB956" ca="1" si="6044">SUM(BB936:BB943,BB946:BB948,BB951:BB955)</f>
        <v>0</v>
      </c>
      <c r="BC956" s="49">
        <f t="shared" ref="BC956" ca="1" si="6045">SUM(BC936:BC943,BC946:BC948,BC951:BC955)</f>
        <v>0</v>
      </c>
      <c r="BD956" s="49">
        <f t="shared" ref="BD956" ca="1" si="6046">SUM(BD936:BD943,BD946:BD948,BD951:BD955)</f>
        <v>0</v>
      </c>
      <c r="BE956" s="49">
        <f t="shared" ref="BE956" ca="1" si="6047">SUM(BE936:BE943,BE946:BE948,BE951:BE955)</f>
        <v>0</v>
      </c>
      <c r="BF956" s="49">
        <f t="shared" ref="BF956" ca="1" si="6048">SUM(BF936:BF943,BF946:BF948,BF951:BF955)</f>
        <v>0</v>
      </c>
      <c r="BG956" s="49">
        <f t="shared" ref="BG956" ca="1" si="6049">SUM(BG936:BG943,BG946:BG948,BG951:BG955)</f>
        <v>0</v>
      </c>
      <c r="BH956" s="49">
        <f t="shared" ref="BH956" ca="1" si="6050">SUM(BH936:BH943,BH946:BH948,BH951:BH955)</f>
        <v>0</v>
      </c>
      <c r="BI956" s="49">
        <f t="shared" ref="BI956" ca="1" si="6051">SUM(BI936:BI943,BI946:BI948,BI951:BI955)</f>
        <v>0</v>
      </c>
      <c r="BJ956" s="49">
        <f t="shared" ref="BJ956" ca="1" si="6052">SUM(BJ936:BJ943,BJ946:BJ948,BJ951:BJ955)</f>
        <v>0</v>
      </c>
      <c r="BK956" s="49">
        <f t="shared" ref="BK956" ca="1" si="6053">SUM(BK936:BK943,BK946:BK948,BK951:BK955)</f>
        <v>0</v>
      </c>
      <c r="BL956" s="49">
        <f t="shared" ref="BL956" ca="1" si="6054">SUM(BL936:BL943,BL946:BL948,BL951:BL955)</f>
        <v>0</v>
      </c>
      <c r="BM956" s="49">
        <f t="shared" ref="BM956" ca="1" si="6055">SUM(BM936:BM943,BM946:BM948,BM951:BM955)</f>
        <v>0</v>
      </c>
      <c r="BN956" s="49">
        <f t="shared" ref="BN956" ca="1" si="6056">SUM(BN936:BN943,BN946:BN948,BN951:BN955)</f>
        <v>0</v>
      </c>
      <c r="BO956" s="49">
        <f t="shared" ref="BO956" ca="1" si="6057">SUM(BO936:BO943,BO946:BO948,BO951:BO955)</f>
        <v>0</v>
      </c>
      <c r="BP956" s="49">
        <f t="shared" ref="BP956" ca="1" si="6058">SUM(BP936:BP943,BP946:BP948,BP951:BP955)</f>
        <v>0</v>
      </c>
      <c r="BQ956" s="49">
        <f t="shared" ref="BQ956" ca="1" si="6059">SUM(BQ936:BQ943,BQ946:BQ948,BQ951:BQ955)</f>
        <v>0</v>
      </c>
      <c r="BR956" s="49">
        <f t="shared" ref="BR956" ca="1" si="6060">SUM(BR936:BR943,BR946:BR948,BR951:BR955)</f>
        <v>0</v>
      </c>
      <c r="BS956" s="49">
        <f t="shared" ref="BS956" ca="1" si="6061">SUM(BS936:BS943,BS946:BS948,BS951:BS955)</f>
        <v>0</v>
      </c>
      <c r="BT956" s="49">
        <f t="shared" ref="BT956" ca="1" si="6062">SUM(BT936:BT943,BT946:BT948,BT951:BT955)</f>
        <v>0</v>
      </c>
      <c r="BU956" s="49">
        <f t="shared" ref="BU956" ca="1" si="6063">SUM(BU936:BU943,BU946:BU948,BU951:BU955)</f>
        <v>0</v>
      </c>
      <c r="BV956" s="49">
        <f t="shared" ref="BV956" ca="1" si="6064">SUM(BV936:BV943,BV946:BV948,BV951:BV955)</f>
        <v>0</v>
      </c>
      <c r="BW956" s="49">
        <f t="shared" ref="BW956" ca="1" si="6065">SUM(BW936:BW943,BW946:BW948,BW951:BW955)</f>
        <v>0</v>
      </c>
      <c r="BX956" s="49">
        <f t="shared" ref="BX956" ca="1" si="6066">SUM(BX936:BX943,BX946:BX948,BX951:BX955)</f>
        <v>0</v>
      </c>
      <c r="BY956" s="49">
        <f t="shared" ref="BY956" ca="1" si="6067">SUM(BY936:BY943,BY946:BY948,BY951:BY955)</f>
        <v>0</v>
      </c>
      <c r="BZ956" s="49">
        <f t="shared" ref="BZ956" ca="1" si="6068">SUM(BZ936:BZ943,BZ946:BZ948,BZ951:BZ955)</f>
        <v>0</v>
      </c>
      <c r="CA956" s="49">
        <f t="shared" ref="CA956" ca="1" si="6069">SUM(CA936:CA943,CA946:CA948,CA951:CA955)</f>
        <v>0</v>
      </c>
      <c r="CB956" s="49">
        <f t="shared" ref="CB956" ca="1" si="6070">SUM(CB936:CB943,CB946:CB948,CB951:CB955)</f>
        <v>0</v>
      </c>
      <c r="CC956" s="49">
        <f t="shared" ref="CC956" ca="1" si="6071">SUM(CC936:CC943,CC946:CC948,CC951:CC955)</f>
        <v>0</v>
      </c>
      <c r="CD956" s="49">
        <f t="shared" ref="CD956" ca="1" si="6072">SUM(CD936:CD943,CD946:CD948,CD951:CD955)</f>
        <v>0</v>
      </c>
      <c r="CE956" s="49">
        <f t="shared" ref="CE956" ca="1" si="6073">SUM(CE936:CE943,CE946:CE948,CE951:CE955)</f>
        <v>0</v>
      </c>
      <c r="CF956" s="49">
        <f t="shared" ref="CF956" ca="1" si="6074">SUM(CF936:CF943,CF946:CF948,CF951:CF955)</f>
        <v>0</v>
      </c>
      <c r="CG956" s="49">
        <f t="shared" ref="CG956" ca="1" si="6075">SUM(CG936:CG943,CG946:CG948,CG951:CG955)</f>
        <v>0</v>
      </c>
      <c r="CH956" s="49">
        <f t="shared" ref="CH956" ca="1" si="6076">SUM(CH936:CH943,CH946:CH948,CH951:CH955)</f>
        <v>0</v>
      </c>
      <c r="CI956" s="49">
        <f t="shared" ref="CI956" ca="1" si="6077">SUM(CI936:CI943,CI946:CI948,CI951:CI955)</f>
        <v>0</v>
      </c>
      <c r="CJ956" s="49">
        <f t="shared" ref="CJ956" ca="1" si="6078">SUM(CJ936:CJ943,CJ946:CJ948,CJ951:CJ955)</f>
        <v>0</v>
      </c>
      <c r="CK956" s="49">
        <f t="shared" ref="CK956" ca="1" si="6079">SUM(CK936:CK943,CK946:CK948,CK951:CK955)</f>
        <v>0</v>
      </c>
      <c r="CL956" s="49">
        <f t="shared" ref="CL956" ca="1" si="6080">SUM(CL936:CL943,CL946:CL948,CL951:CL955)</f>
        <v>0</v>
      </c>
      <c r="CM956" s="49">
        <f t="shared" ref="CM956" ca="1" si="6081">SUM(CM936:CM943,CM946:CM948,CM951:CM955)</f>
        <v>0</v>
      </c>
      <c r="CN956" s="49">
        <f t="shared" ref="CN956" ca="1" si="6082">SUM(CN936:CN943,CN946:CN948,CN951:CN955)</f>
        <v>0</v>
      </c>
      <c r="CO956" s="49">
        <f t="shared" ref="CO956" ca="1" si="6083">SUM(CO936:CO943,CO946:CO948,CO951:CO955)</f>
        <v>0</v>
      </c>
    </row>
    <row r="957" spans="1:93">
      <c r="A957" s="10"/>
      <c r="B957" s="10"/>
      <c r="C957" s="10"/>
      <c r="D957" s="10"/>
      <c r="E957" s="10"/>
      <c r="F957" s="10"/>
      <c r="G957" s="11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  <c r="BB957" s="10"/>
      <c r="BC957" s="10"/>
      <c r="BD957" s="10"/>
      <c r="BE957" s="10"/>
      <c r="BF957" s="10"/>
      <c r="BG957" s="10"/>
      <c r="BH957" s="10"/>
      <c r="BI957" s="10"/>
      <c r="BJ957" s="10"/>
      <c r="BK957" s="10"/>
      <c r="BL957" s="10"/>
      <c r="BM957" s="10"/>
      <c r="BN957" s="10"/>
      <c r="BO957" s="10"/>
      <c r="BP957" s="10"/>
      <c r="BQ957" s="10"/>
      <c r="BR957" s="10"/>
      <c r="BS957" s="10"/>
      <c r="BT957" s="10"/>
      <c r="BU957" s="10"/>
      <c r="BV957" s="10"/>
      <c r="BW957" s="10"/>
      <c r="BX957" s="10"/>
      <c r="BY957" s="10"/>
      <c r="BZ957" s="10"/>
      <c r="CA957" s="10"/>
      <c r="CB957" s="10"/>
      <c r="CC957" s="10"/>
      <c r="CD957" s="10"/>
      <c r="CE957" s="10"/>
      <c r="CF957" s="10"/>
      <c r="CG957" s="10"/>
      <c r="CH957" s="10"/>
      <c r="CI957" s="10"/>
      <c r="CJ957" s="10"/>
      <c r="CK957" s="10"/>
      <c r="CL957" s="10"/>
      <c r="CM957" s="10"/>
      <c r="CN957" s="10"/>
      <c r="CO957" s="10"/>
    </row>
    <row r="958" spans="1:93" ht="15" customHeight="1">
      <c r="A958" s="10"/>
      <c r="B958" s="3"/>
      <c r="C958" s="384" t="str">
        <f>C771</f>
        <v>Сегмент 3: Крытый парк развлечений</v>
      </c>
      <c r="D958" s="273"/>
      <c r="E958" s="273"/>
      <c r="F958" s="273"/>
      <c r="G958" s="274"/>
      <c r="H958" s="273"/>
      <c r="I958" s="273"/>
      <c r="J958" s="273"/>
      <c r="K958" s="273"/>
      <c r="L958" s="273"/>
      <c r="M958" s="273"/>
      <c r="N958" s="273"/>
      <c r="O958" s="273"/>
      <c r="P958" s="273"/>
      <c r="Q958" s="273"/>
      <c r="R958" s="273"/>
      <c r="S958" s="273"/>
      <c r="T958" s="273"/>
      <c r="U958" s="273"/>
      <c r="V958" s="273"/>
      <c r="W958" s="273"/>
      <c r="X958" s="273"/>
      <c r="Y958" s="273"/>
      <c r="Z958" s="273"/>
      <c r="AA958" s="273"/>
      <c r="AB958" s="273"/>
      <c r="AC958" s="273"/>
      <c r="AD958" s="273"/>
      <c r="AE958" s="273"/>
      <c r="AF958" s="273"/>
      <c r="AG958" s="273"/>
      <c r="AH958" s="273"/>
      <c r="AI958" s="273"/>
      <c r="AJ958" s="273"/>
      <c r="AK958" s="273"/>
      <c r="AL958" s="273"/>
      <c r="AM958" s="273"/>
      <c r="AN958" s="273"/>
      <c r="AO958" s="273"/>
      <c r="AP958" s="273"/>
      <c r="AQ958" s="273"/>
      <c r="AR958" s="273"/>
      <c r="AS958" s="273"/>
      <c r="AT958" s="273"/>
      <c r="AU958" s="273"/>
      <c r="AV958" s="273"/>
      <c r="AW958" s="273"/>
      <c r="AX958" s="273"/>
      <c r="AY958" s="273"/>
      <c r="AZ958" s="273"/>
      <c r="BA958" s="273"/>
      <c r="BB958" s="273"/>
      <c r="BC958" s="273"/>
      <c r="BD958" s="273"/>
      <c r="BE958" s="273"/>
      <c r="BF958" s="273"/>
      <c r="BG958" s="273"/>
      <c r="BH958" s="273"/>
      <c r="BI958" s="273"/>
      <c r="BJ958" s="273"/>
      <c r="BK958" s="273"/>
      <c r="BL958" s="273"/>
      <c r="BM958" s="273"/>
      <c r="BN958" s="273"/>
      <c r="BO958" s="273"/>
      <c r="BP958" s="273"/>
      <c r="BQ958" s="273"/>
      <c r="BR958" s="273"/>
      <c r="BS958" s="273"/>
      <c r="BT958" s="273"/>
      <c r="BU958" s="273"/>
      <c r="BV958" s="273"/>
      <c r="BW958" s="273"/>
      <c r="BX958" s="273"/>
      <c r="BY958" s="273"/>
      <c r="BZ958" s="273"/>
      <c r="CA958" s="273"/>
      <c r="CB958" s="273"/>
      <c r="CC958" s="273"/>
      <c r="CD958" s="273"/>
      <c r="CE958" s="273"/>
      <c r="CF958" s="273"/>
      <c r="CG958" s="273"/>
      <c r="CH958" s="273"/>
      <c r="CI958" s="273"/>
      <c r="CJ958" s="273"/>
      <c r="CK958" s="273"/>
      <c r="CL958" s="273"/>
      <c r="CM958" s="273"/>
      <c r="CN958" s="273"/>
      <c r="CO958" s="273"/>
    </row>
    <row r="959" spans="1:93">
      <c r="A959" s="10"/>
      <c r="B959" s="10"/>
      <c r="C959" s="10"/>
      <c r="D959" s="10"/>
      <c r="E959" s="10"/>
      <c r="F959" s="10"/>
      <c r="G959" s="11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  <c r="BB959" s="10"/>
      <c r="BC959" s="10"/>
      <c r="BD959" s="10"/>
      <c r="BE959" s="10"/>
      <c r="BF959" s="10"/>
      <c r="BG959" s="10"/>
      <c r="BH959" s="10"/>
      <c r="BI959" s="10"/>
      <c r="BJ959" s="10"/>
      <c r="BK959" s="10"/>
      <c r="BL959" s="10"/>
      <c r="BM959" s="10"/>
      <c r="BN959" s="10"/>
      <c r="BO959" s="10"/>
      <c r="BP959" s="10"/>
      <c r="BQ959" s="10"/>
      <c r="BR959" s="10"/>
      <c r="BS959" s="10"/>
      <c r="BT959" s="10"/>
      <c r="BU959" s="10"/>
      <c r="BV959" s="10"/>
      <c r="BW959" s="10"/>
      <c r="BX959" s="10"/>
      <c r="BY959" s="10"/>
      <c r="BZ959" s="10"/>
      <c r="CA959" s="10"/>
      <c r="CB959" s="10"/>
      <c r="CC959" s="10"/>
      <c r="CD959" s="10"/>
      <c r="CE959" s="10"/>
      <c r="CF959" s="10"/>
      <c r="CG959" s="10"/>
      <c r="CH959" s="10"/>
      <c r="CI959" s="10"/>
      <c r="CJ959" s="10"/>
      <c r="CK959" s="10"/>
      <c r="CL959" s="10"/>
      <c r="CM959" s="10"/>
      <c r="CN959" s="10"/>
      <c r="CO959" s="10"/>
    </row>
    <row r="960" spans="1:93" ht="16" thickBot="1">
      <c r="A960" s="10"/>
      <c r="B960" s="10"/>
      <c r="C960" s="12" t="s">
        <v>915</v>
      </c>
      <c r="D960" s="12"/>
      <c r="E960" s="12"/>
      <c r="F960" s="12"/>
      <c r="G960" s="362"/>
      <c r="H960" s="12"/>
      <c r="I960" s="12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  <c r="BB960" s="10"/>
      <c r="BC960" s="10"/>
      <c r="BD960" s="10"/>
      <c r="BE960" s="10"/>
      <c r="BF960" s="10"/>
      <c r="BG960" s="10"/>
      <c r="BH960" s="10"/>
      <c r="BI960" s="10"/>
      <c r="BJ960" s="10"/>
      <c r="BK960" s="10"/>
      <c r="BL960" s="10"/>
      <c r="BM960" s="10"/>
      <c r="BN960" s="10"/>
      <c r="BO960" s="10"/>
      <c r="BP960" s="10"/>
      <c r="BQ960" s="10"/>
      <c r="BR960" s="10"/>
      <c r="BS960" s="10"/>
      <c r="BT960" s="10"/>
      <c r="BU960" s="10"/>
      <c r="BV960" s="10"/>
      <c r="BW960" s="10"/>
      <c r="BX960" s="10"/>
      <c r="BY960" s="10"/>
      <c r="BZ960" s="10"/>
      <c r="CA960" s="10"/>
      <c r="CB960" s="10"/>
      <c r="CC960" s="10"/>
      <c r="CD960" s="10"/>
      <c r="CE960" s="10"/>
      <c r="CF960" s="10"/>
      <c r="CG960" s="10"/>
      <c r="CH960" s="10"/>
      <c r="CI960" s="10"/>
      <c r="CJ960" s="10"/>
      <c r="CK960" s="10"/>
      <c r="CL960" s="10"/>
      <c r="CM960" s="10"/>
      <c r="CN960" s="10"/>
      <c r="CO960" s="10"/>
    </row>
    <row r="961" spans="1:93">
      <c r="A961" s="10"/>
      <c r="B961" s="10"/>
      <c r="C961" s="10"/>
      <c r="D961" s="10"/>
      <c r="E961" s="10"/>
      <c r="F961" s="10"/>
      <c r="G961" s="11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  <c r="BB961" s="10"/>
      <c r="BC961" s="10"/>
      <c r="BD961" s="10"/>
      <c r="BE961" s="10"/>
      <c r="BF961" s="10"/>
      <c r="BG961" s="10"/>
      <c r="BH961" s="10"/>
      <c r="BI961" s="10"/>
      <c r="BJ961" s="10"/>
      <c r="BK961" s="10"/>
      <c r="BL961" s="10"/>
      <c r="BM961" s="10"/>
      <c r="BN961" s="10"/>
      <c r="BO961" s="10"/>
      <c r="BP961" s="10"/>
      <c r="BQ961" s="10"/>
      <c r="BR961" s="10"/>
      <c r="BS961" s="10"/>
      <c r="BT961" s="10"/>
      <c r="BU961" s="10"/>
      <c r="BV961" s="10"/>
      <c r="BW961" s="10"/>
      <c r="BX961" s="10"/>
      <c r="BY961" s="10"/>
      <c r="BZ961" s="10"/>
      <c r="CA961" s="10"/>
      <c r="CB961" s="10"/>
      <c r="CC961" s="10"/>
      <c r="CD961" s="10"/>
      <c r="CE961" s="10"/>
      <c r="CF961" s="10"/>
      <c r="CG961" s="10"/>
      <c r="CH961" s="10"/>
      <c r="CI961" s="10"/>
      <c r="CJ961" s="10"/>
      <c r="CK961" s="10"/>
      <c r="CL961" s="10"/>
      <c r="CM961" s="10"/>
      <c r="CN961" s="10"/>
      <c r="CO961" s="10"/>
    </row>
    <row r="962" spans="1:93">
      <c r="A962" s="10"/>
      <c r="B962" s="10"/>
      <c r="C962" s="10" t="s">
        <v>923</v>
      </c>
      <c r="D962" s="10"/>
      <c r="E962" s="178"/>
      <c r="F962" s="3"/>
      <c r="G962" s="142" t="s">
        <v>738</v>
      </c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  <c r="BB962" s="10"/>
      <c r="BC962" s="10"/>
      <c r="BD962" s="10"/>
      <c r="BE962" s="10"/>
      <c r="BF962" s="10"/>
      <c r="BG962" s="10"/>
      <c r="BH962" s="10"/>
      <c r="BI962" s="10"/>
      <c r="BJ962" s="10"/>
      <c r="BK962" s="10"/>
      <c r="BL962" s="10"/>
      <c r="BM962" s="10"/>
      <c r="BN962" s="10"/>
      <c r="BO962" s="10"/>
      <c r="BP962" s="10"/>
      <c r="BQ962" s="10"/>
      <c r="BR962" s="10"/>
      <c r="BS962" s="10"/>
      <c r="BT962" s="10"/>
      <c r="BU962" s="10"/>
      <c r="BV962" s="10"/>
      <c r="BW962" s="10"/>
      <c r="BX962" s="10"/>
      <c r="BY962" s="10"/>
      <c r="BZ962" s="10"/>
      <c r="CA962" s="10"/>
      <c r="CB962" s="10"/>
      <c r="CC962" s="10"/>
      <c r="CD962" s="10"/>
      <c r="CE962" s="10"/>
      <c r="CF962" s="10"/>
      <c r="CG962" s="10"/>
      <c r="CH962" s="10"/>
      <c r="CI962" s="10"/>
      <c r="CJ962" s="10"/>
      <c r="CK962" s="10"/>
      <c r="CL962" s="10"/>
      <c r="CM962" s="10"/>
      <c r="CN962" s="10"/>
      <c r="CO962" s="10"/>
    </row>
    <row r="963" spans="1:93">
      <c r="A963" s="10"/>
      <c r="B963" s="10"/>
      <c r="C963" s="10"/>
      <c r="D963" s="10"/>
      <c r="E963" s="10"/>
      <c r="F963" s="10"/>
      <c r="G963" s="11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  <c r="BB963" s="10"/>
      <c r="BC963" s="10"/>
      <c r="BD963" s="10"/>
      <c r="BE963" s="10"/>
      <c r="BF963" s="10"/>
      <c r="BG963" s="10"/>
      <c r="BH963" s="10"/>
      <c r="BI963" s="10"/>
      <c r="BJ963" s="10"/>
      <c r="BK963" s="10"/>
      <c r="BL963" s="10"/>
      <c r="BM963" s="10"/>
      <c r="BN963" s="10"/>
      <c r="BO963" s="10"/>
      <c r="BP963" s="10"/>
      <c r="BQ963" s="10"/>
      <c r="BR963" s="10"/>
      <c r="BS963" s="10"/>
      <c r="BT963" s="10"/>
      <c r="BU963" s="10"/>
      <c r="BV963" s="10"/>
      <c r="BW963" s="10"/>
      <c r="BX963" s="10"/>
      <c r="BY963" s="10"/>
      <c r="BZ963" s="10"/>
      <c r="CA963" s="10"/>
      <c r="CB963" s="10"/>
      <c r="CC963" s="10"/>
      <c r="CD963" s="10"/>
      <c r="CE963" s="10"/>
      <c r="CF963" s="10"/>
      <c r="CG963" s="10"/>
      <c r="CH963" s="10"/>
      <c r="CI963" s="10"/>
      <c r="CJ963" s="10"/>
      <c r="CK963" s="10"/>
      <c r="CL963" s="10"/>
      <c r="CM963" s="10"/>
      <c r="CN963" s="10"/>
      <c r="CO963" s="10"/>
    </row>
    <row r="964" spans="1:93" ht="16" thickBot="1">
      <c r="A964" s="10"/>
      <c r="B964" s="10"/>
      <c r="C964" s="12" t="s">
        <v>898</v>
      </c>
      <c r="D964" s="12"/>
      <c r="E964" s="12"/>
      <c r="F964" s="12"/>
      <c r="G964" s="362"/>
      <c r="H964" s="12"/>
      <c r="I964" s="12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  <c r="BB964" s="10"/>
      <c r="BC964" s="10"/>
      <c r="BD964" s="10"/>
      <c r="BE964" s="10"/>
      <c r="BF964" s="10"/>
      <c r="BG964" s="10"/>
      <c r="BH964" s="10"/>
      <c r="BI964" s="10"/>
      <c r="BJ964" s="10"/>
      <c r="BK964" s="10"/>
      <c r="BL964" s="10"/>
      <c r="BM964" s="10"/>
      <c r="BN964" s="10"/>
      <c r="BO964" s="10"/>
      <c r="BP964" s="10"/>
      <c r="BQ964" s="10"/>
      <c r="BR964" s="10"/>
      <c r="BS964" s="10"/>
      <c r="BT964" s="10"/>
      <c r="BU964" s="10"/>
      <c r="BV964" s="10"/>
      <c r="BW964" s="10"/>
      <c r="BX964" s="10"/>
      <c r="BY964" s="10"/>
      <c r="BZ964" s="10"/>
      <c r="CA964" s="10"/>
      <c r="CB964" s="10"/>
      <c r="CC964" s="10"/>
      <c r="CD964" s="10"/>
      <c r="CE964" s="10"/>
      <c r="CF964" s="10"/>
      <c r="CG964" s="10"/>
      <c r="CH964" s="10"/>
      <c r="CI964" s="10"/>
      <c r="CJ964" s="10"/>
      <c r="CK964" s="10"/>
      <c r="CL964" s="10"/>
      <c r="CM964" s="10"/>
      <c r="CN964" s="10"/>
      <c r="CO964" s="10"/>
    </row>
    <row r="965" spans="1:93">
      <c r="A965" s="10"/>
      <c r="B965" s="10"/>
      <c r="C965" s="10"/>
      <c r="D965" s="10"/>
      <c r="E965" s="10"/>
      <c r="F965" s="10"/>
      <c r="G965" s="11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  <c r="BB965" s="10"/>
      <c r="BC965" s="10"/>
      <c r="BD965" s="10"/>
      <c r="BE965" s="10"/>
      <c r="BF965" s="10"/>
      <c r="BG965" s="10"/>
      <c r="BH965" s="10"/>
      <c r="BI965" s="10"/>
      <c r="BJ965" s="10"/>
      <c r="BK965" s="10"/>
      <c r="BL965" s="10"/>
      <c r="BM965" s="10"/>
      <c r="BN965" s="10"/>
      <c r="BO965" s="10"/>
      <c r="BP965" s="10"/>
      <c r="BQ965" s="10"/>
      <c r="BR965" s="10"/>
      <c r="BS965" s="10"/>
      <c r="BT965" s="10"/>
      <c r="BU965" s="10"/>
      <c r="BV965" s="10"/>
      <c r="BW965" s="10"/>
      <c r="BX965" s="10"/>
      <c r="BY965" s="10"/>
      <c r="BZ965" s="10"/>
      <c r="CA965" s="10"/>
      <c r="CB965" s="10"/>
      <c r="CC965" s="10"/>
      <c r="CD965" s="10"/>
      <c r="CE965" s="10"/>
      <c r="CF965" s="10"/>
      <c r="CG965" s="10"/>
      <c r="CH965" s="10"/>
      <c r="CI965" s="10"/>
      <c r="CJ965" s="10"/>
      <c r="CK965" s="10"/>
      <c r="CL965" s="10"/>
      <c r="CM965" s="10"/>
      <c r="CN965" s="10"/>
      <c r="CO965" s="10"/>
    </row>
    <row r="966" spans="1:93">
      <c r="A966" s="10"/>
      <c r="B966" s="10"/>
      <c r="C966" s="17" t="s">
        <v>924</v>
      </c>
      <c r="D966" s="10"/>
      <c r="E966" s="10"/>
      <c r="F966" s="10"/>
      <c r="G966" s="11" t="str">
        <f>Monetary_Unit</f>
        <v>тыс. руб.</v>
      </c>
      <c r="H966" s="10"/>
      <c r="I966" s="23">
        <f ca="1">SUM(L966:CO966)</f>
        <v>0</v>
      </c>
      <c r="J966" s="10"/>
      <c r="K966" s="10"/>
      <c r="L966" s="10">
        <f t="shared" ref="L966:AQ966" ca="1" si="6084" xml:space="preserve"> IF($I$516, L757 / $I$516, 0)</f>
        <v>0</v>
      </c>
      <c r="M966" s="10">
        <f t="shared" ca="1" si="6084"/>
        <v>0</v>
      </c>
      <c r="N966" s="10">
        <f t="shared" ca="1" si="6084"/>
        <v>0</v>
      </c>
      <c r="O966" s="10">
        <f t="shared" ca="1" si="6084"/>
        <v>0</v>
      </c>
      <c r="P966" s="10">
        <f t="shared" ca="1" si="6084"/>
        <v>0</v>
      </c>
      <c r="Q966" s="10">
        <f t="shared" ca="1" si="6084"/>
        <v>0</v>
      </c>
      <c r="R966" s="10">
        <f t="shared" ca="1" si="6084"/>
        <v>0</v>
      </c>
      <c r="S966" s="10">
        <f t="shared" ca="1" si="6084"/>
        <v>0</v>
      </c>
      <c r="T966" s="10">
        <f t="shared" ca="1" si="6084"/>
        <v>0</v>
      </c>
      <c r="U966" s="10">
        <f t="shared" ca="1" si="6084"/>
        <v>0</v>
      </c>
      <c r="V966" s="10">
        <f t="shared" ca="1" si="6084"/>
        <v>0</v>
      </c>
      <c r="W966" s="10">
        <f t="shared" ca="1" si="6084"/>
        <v>0</v>
      </c>
      <c r="X966" s="10">
        <f t="shared" ca="1" si="6084"/>
        <v>0</v>
      </c>
      <c r="Y966" s="10">
        <f t="shared" ca="1" si="6084"/>
        <v>0</v>
      </c>
      <c r="Z966" s="10">
        <f t="shared" ca="1" si="6084"/>
        <v>0</v>
      </c>
      <c r="AA966" s="10">
        <f t="shared" ca="1" si="6084"/>
        <v>0</v>
      </c>
      <c r="AB966" s="10">
        <f t="shared" ca="1" si="6084"/>
        <v>0</v>
      </c>
      <c r="AC966" s="10">
        <f t="shared" ca="1" si="6084"/>
        <v>0</v>
      </c>
      <c r="AD966" s="10">
        <f t="shared" ca="1" si="6084"/>
        <v>0</v>
      </c>
      <c r="AE966" s="10">
        <f t="shared" ca="1" si="6084"/>
        <v>0</v>
      </c>
      <c r="AF966" s="10">
        <f t="shared" ca="1" si="6084"/>
        <v>0</v>
      </c>
      <c r="AG966" s="10">
        <f t="shared" ca="1" si="6084"/>
        <v>0</v>
      </c>
      <c r="AH966" s="10">
        <f t="shared" ca="1" si="6084"/>
        <v>0</v>
      </c>
      <c r="AI966" s="10">
        <f t="shared" ca="1" si="6084"/>
        <v>0</v>
      </c>
      <c r="AJ966" s="10">
        <f t="shared" ca="1" si="6084"/>
        <v>0</v>
      </c>
      <c r="AK966" s="10">
        <f t="shared" ca="1" si="6084"/>
        <v>0</v>
      </c>
      <c r="AL966" s="10">
        <f t="shared" ca="1" si="6084"/>
        <v>0</v>
      </c>
      <c r="AM966" s="10">
        <f t="shared" ca="1" si="6084"/>
        <v>0</v>
      </c>
      <c r="AN966" s="10">
        <f t="shared" ca="1" si="6084"/>
        <v>0</v>
      </c>
      <c r="AO966" s="10">
        <f t="shared" ca="1" si="6084"/>
        <v>0</v>
      </c>
      <c r="AP966" s="10">
        <f t="shared" ca="1" si="6084"/>
        <v>0</v>
      </c>
      <c r="AQ966" s="10">
        <f t="shared" ca="1" si="6084"/>
        <v>0</v>
      </c>
      <c r="AR966" s="10">
        <f t="shared" ref="AR966:BW966" ca="1" si="6085" xml:space="preserve"> IF($I$516, AR757 / $I$516, 0)</f>
        <v>0</v>
      </c>
      <c r="AS966" s="10">
        <f t="shared" ca="1" si="6085"/>
        <v>0</v>
      </c>
      <c r="AT966" s="10">
        <f t="shared" ca="1" si="6085"/>
        <v>0</v>
      </c>
      <c r="AU966" s="10">
        <f t="shared" ca="1" si="6085"/>
        <v>0</v>
      </c>
      <c r="AV966" s="10">
        <f t="shared" ca="1" si="6085"/>
        <v>0</v>
      </c>
      <c r="AW966" s="10">
        <f t="shared" ca="1" si="6085"/>
        <v>0</v>
      </c>
      <c r="AX966" s="10">
        <f t="shared" ca="1" si="6085"/>
        <v>0</v>
      </c>
      <c r="AY966" s="10">
        <f t="shared" ca="1" si="6085"/>
        <v>0</v>
      </c>
      <c r="AZ966" s="10">
        <f t="shared" ca="1" si="6085"/>
        <v>0</v>
      </c>
      <c r="BA966" s="10">
        <f t="shared" ca="1" si="6085"/>
        <v>0</v>
      </c>
      <c r="BB966" s="10">
        <f t="shared" ca="1" si="6085"/>
        <v>0</v>
      </c>
      <c r="BC966" s="10">
        <f t="shared" ca="1" si="6085"/>
        <v>0</v>
      </c>
      <c r="BD966" s="10">
        <f t="shared" ca="1" si="6085"/>
        <v>0</v>
      </c>
      <c r="BE966" s="10">
        <f t="shared" ca="1" si="6085"/>
        <v>0</v>
      </c>
      <c r="BF966" s="10">
        <f t="shared" ca="1" si="6085"/>
        <v>0</v>
      </c>
      <c r="BG966" s="10">
        <f t="shared" ca="1" si="6085"/>
        <v>0</v>
      </c>
      <c r="BH966" s="10">
        <f t="shared" ca="1" si="6085"/>
        <v>0</v>
      </c>
      <c r="BI966" s="10">
        <f t="shared" ca="1" si="6085"/>
        <v>0</v>
      </c>
      <c r="BJ966" s="10">
        <f t="shared" ca="1" si="6085"/>
        <v>0</v>
      </c>
      <c r="BK966" s="10">
        <f t="shared" ca="1" si="6085"/>
        <v>0</v>
      </c>
      <c r="BL966" s="10">
        <f t="shared" ca="1" si="6085"/>
        <v>0</v>
      </c>
      <c r="BM966" s="10">
        <f t="shared" ca="1" si="6085"/>
        <v>0</v>
      </c>
      <c r="BN966" s="10">
        <f t="shared" ca="1" si="6085"/>
        <v>0</v>
      </c>
      <c r="BO966" s="10">
        <f t="shared" ca="1" si="6085"/>
        <v>0</v>
      </c>
      <c r="BP966" s="10">
        <f t="shared" ca="1" si="6085"/>
        <v>0</v>
      </c>
      <c r="BQ966" s="10">
        <f t="shared" ca="1" si="6085"/>
        <v>0</v>
      </c>
      <c r="BR966" s="10">
        <f t="shared" ca="1" si="6085"/>
        <v>0</v>
      </c>
      <c r="BS966" s="10">
        <f t="shared" ca="1" si="6085"/>
        <v>0</v>
      </c>
      <c r="BT966" s="10">
        <f t="shared" ca="1" si="6085"/>
        <v>0</v>
      </c>
      <c r="BU966" s="10">
        <f t="shared" ca="1" si="6085"/>
        <v>0</v>
      </c>
      <c r="BV966" s="10">
        <f t="shared" ca="1" si="6085"/>
        <v>0</v>
      </c>
      <c r="BW966" s="10">
        <f t="shared" ca="1" si="6085"/>
        <v>0</v>
      </c>
      <c r="BX966" s="10">
        <f t="shared" ref="BX966:CO966" ca="1" si="6086" xml:space="preserve"> IF($I$516, BX757 / $I$516, 0)</f>
        <v>0</v>
      </c>
      <c r="BY966" s="10">
        <f t="shared" ca="1" si="6086"/>
        <v>0</v>
      </c>
      <c r="BZ966" s="10">
        <f t="shared" ca="1" si="6086"/>
        <v>0</v>
      </c>
      <c r="CA966" s="10">
        <f t="shared" ca="1" si="6086"/>
        <v>0</v>
      </c>
      <c r="CB966" s="10">
        <f t="shared" ca="1" si="6086"/>
        <v>0</v>
      </c>
      <c r="CC966" s="10">
        <f t="shared" ca="1" si="6086"/>
        <v>0</v>
      </c>
      <c r="CD966" s="10">
        <f t="shared" ca="1" si="6086"/>
        <v>0</v>
      </c>
      <c r="CE966" s="10">
        <f t="shared" ca="1" si="6086"/>
        <v>0</v>
      </c>
      <c r="CF966" s="10">
        <f t="shared" ca="1" si="6086"/>
        <v>0</v>
      </c>
      <c r="CG966" s="10">
        <f t="shared" ca="1" si="6086"/>
        <v>0</v>
      </c>
      <c r="CH966" s="10">
        <f t="shared" ca="1" si="6086"/>
        <v>0</v>
      </c>
      <c r="CI966" s="10">
        <f t="shared" ca="1" si="6086"/>
        <v>0</v>
      </c>
      <c r="CJ966" s="10">
        <f t="shared" ca="1" si="6086"/>
        <v>0</v>
      </c>
      <c r="CK966" s="10">
        <f t="shared" ca="1" si="6086"/>
        <v>0</v>
      </c>
      <c r="CL966" s="10">
        <f t="shared" ca="1" si="6086"/>
        <v>0</v>
      </c>
      <c r="CM966" s="10">
        <f t="shared" ca="1" si="6086"/>
        <v>0</v>
      </c>
      <c r="CN966" s="10">
        <f t="shared" ca="1" si="6086"/>
        <v>0</v>
      </c>
      <c r="CO966" s="10">
        <f t="shared" ca="1" si="6086"/>
        <v>0</v>
      </c>
    </row>
    <row r="967" spans="1:93" ht="15" thickBot="1">
      <c r="A967" s="10"/>
      <c r="B967" s="10"/>
      <c r="C967" s="17" t="s">
        <v>897</v>
      </c>
      <c r="D967" s="10"/>
      <c r="E967" s="10"/>
      <c r="F967" s="10"/>
      <c r="G967" s="11" t="str">
        <f>Monetary_Unit</f>
        <v>тыс. руб.</v>
      </c>
      <c r="H967" s="10"/>
      <c r="I967" s="23">
        <f ca="1">SUM(L967:CO967)</f>
        <v>0</v>
      </c>
      <c r="J967" s="10"/>
      <c r="K967" s="10"/>
      <c r="L967" s="10">
        <f ca="1" xml:space="preserve"> L966 * $E$962 * $I$777</f>
        <v>0</v>
      </c>
      <c r="M967" s="10">
        <f t="shared" ref="M967:BX967" ca="1" si="6087" xml:space="preserve"> M966 * $E$962 * $I$777</f>
        <v>0</v>
      </c>
      <c r="N967" s="10">
        <f t="shared" ca="1" si="6087"/>
        <v>0</v>
      </c>
      <c r="O967" s="10">
        <f t="shared" ca="1" si="6087"/>
        <v>0</v>
      </c>
      <c r="P967" s="10">
        <f t="shared" ca="1" si="6087"/>
        <v>0</v>
      </c>
      <c r="Q967" s="10">
        <f t="shared" ca="1" si="6087"/>
        <v>0</v>
      </c>
      <c r="R967" s="10">
        <f t="shared" ca="1" si="6087"/>
        <v>0</v>
      </c>
      <c r="S967" s="10">
        <f t="shared" ca="1" si="6087"/>
        <v>0</v>
      </c>
      <c r="T967" s="10">
        <f t="shared" ca="1" si="6087"/>
        <v>0</v>
      </c>
      <c r="U967" s="10">
        <f t="shared" ca="1" si="6087"/>
        <v>0</v>
      </c>
      <c r="V967" s="10">
        <f t="shared" ca="1" si="6087"/>
        <v>0</v>
      </c>
      <c r="W967" s="10">
        <f t="shared" ca="1" si="6087"/>
        <v>0</v>
      </c>
      <c r="X967" s="10">
        <f t="shared" ca="1" si="6087"/>
        <v>0</v>
      </c>
      <c r="Y967" s="10">
        <f t="shared" ca="1" si="6087"/>
        <v>0</v>
      </c>
      <c r="Z967" s="10">
        <f t="shared" ca="1" si="6087"/>
        <v>0</v>
      </c>
      <c r="AA967" s="10">
        <f t="shared" ca="1" si="6087"/>
        <v>0</v>
      </c>
      <c r="AB967" s="10">
        <f t="shared" ca="1" si="6087"/>
        <v>0</v>
      </c>
      <c r="AC967" s="10">
        <f t="shared" ca="1" si="6087"/>
        <v>0</v>
      </c>
      <c r="AD967" s="10">
        <f t="shared" ca="1" si="6087"/>
        <v>0</v>
      </c>
      <c r="AE967" s="10">
        <f t="shared" ca="1" si="6087"/>
        <v>0</v>
      </c>
      <c r="AF967" s="10">
        <f t="shared" ca="1" si="6087"/>
        <v>0</v>
      </c>
      <c r="AG967" s="10">
        <f t="shared" ca="1" si="6087"/>
        <v>0</v>
      </c>
      <c r="AH967" s="10">
        <f t="shared" ca="1" si="6087"/>
        <v>0</v>
      </c>
      <c r="AI967" s="10">
        <f t="shared" ca="1" si="6087"/>
        <v>0</v>
      </c>
      <c r="AJ967" s="10">
        <f t="shared" ca="1" si="6087"/>
        <v>0</v>
      </c>
      <c r="AK967" s="10">
        <f t="shared" ca="1" si="6087"/>
        <v>0</v>
      </c>
      <c r="AL967" s="10">
        <f t="shared" ca="1" si="6087"/>
        <v>0</v>
      </c>
      <c r="AM967" s="10">
        <f t="shared" ca="1" si="6087"/>
        <v>0</v>
      </c>
      <c r="AN967" s="10">
        <f t="shared" ca="1" si="6087"/>
        <v>0</v>
      </c>
      <c r="AO967" s="10">
        <f t="shared" ca="1" si="6087"/>
        <v>0</v>
      </c>
      <c r="AP967" s="10">
        <f t="shared" ca="1" si="6087"/>
        <v>0</v>
      </c>
      <c r="AQ967" s="10">
        <f t="shared" ca="1" si="6087"/>
        <v>0</v>
      </c>
      <c r="AR967" s="10">
        <f t="shared" ca="1" si="6087"/>
        <v>0</v>
      </c>
      <c r="AS967" s="10">
        <f t="shared" ca="1" si="6087"/>
        <v>0</v>
      </c>
      <c r="AT967" s="10">
        <f t="shared" ca="1" si="6087"/>
        <v>0</v>
      </c>
      <c r="AU967" s="10">
        <f t="shared" ca="1" si="6087"/>
        <v>0</v>
      </c>
      <c r="AV967" s="10">
        <f t="shared" ca="1" si="6087"/>
        <v>0</v>
      </c>
      <c r="AW967" s="10">
        <f t="shared" ca="1" si="6087"/>
        <v>0</v>
      </c>
      <c r="AX967" s="10">
        <f t="shared" ca="1" si="6087"/>
        <v>0</v>
      </c>
      <c r="AY967" s="10">
        <f t="shared" ca="1" si="6087"/>
        <v>0</v>
      </c>
      <c r="AZ967" s="10">
        <f t="shared" ca="1" si="6087"/>
        <v>0</v>
      </c>
      <c r="BA967" s="10">
        <f t="shared" ca="1" si="6087"/>
        <v>0</v>
      </c>
      <c r="BB967" s="10">
        <f t="shared" ca="1" si="6087"/>
        <v>0</v>
      </c>
      <c r="BC967" s="10">
        <f t="shared" ca="1" si="6087"/>
        <v>0</v>
      </c>
      <c r="BD967" s="10">
        <f t="shared" ca="1" si="6087"/>
        <v>0</v>
      </c>
      <c r="BE967" s="10">
        <f t="shared" ca="1" si="6087"/>
        <v>0</v>
      </c>
      <c r="BF967" s="10">
        <f t="shared" ca="1" si="6087"/>
        <v>0</v>
      </c>
      <c r="BG967" s="10">
        <f t="shared" ca="1" si="6087"/>
        <v>0</v>
      </c>
      <c r="BH967" s="10">
        <f t="shared" ca="1" si="6087"/>
        <v>0</v>
      </c>
      <c r="BI967" s="10">
        <f t="shared" ca="1" si="6087"/>
        <v>0</v>
      </c>
      <c r="BJ967" s="10">
        <f t="shared" ca="1" si="6087"/>
        <v>0</v>
      </c>
      <c r="BK967" s="10">
        <f t="shared" ca="1" si="6087"/>
        <v>0</v>
      </c>
      <c r="BL967" s="10">
        <f t="shared" ca="1" si="6087"/>
        <v>0</v>
      </c>
      <c r="BM967" s="10">
        <f t="shared" ca="1" si="6087"/>
        <v>0</v>
      </c>
      <c r="BN967" s="10">
        <f t="shared" ca="1" si="6087"/>
        <v>0</v>
      </c>
      <c r="BO967" s="10">
        <f t="shared" ca="1" si="6087"/>
        <v>0</v>
      </c>
      <c r="BP967" s="10">
        <f t="shared" ca="1" si="6087"/>
        <v>0</v>
      </c>
      <c r="BQ967" s="10">
        <f t="shared" ca="1" si="6087"/>
        <v>0</v>
      </c>
      <c r="BR967" s="10">
        <f t="shared" ca="1" si="6087"/>
        <v>0</v>
      </c>
      <c r="BS967" s="10">
        <f t="shared" ca="1" si="6087"/>
        <v>0</v>
      </c>
      <c r="BT967" s="10">
        <f t="shared" ca="1" si="6087"/>
        <v>0</v>
      </c>
      <c r="BU967" s="10">
        <f t="shared" ca="1" si="6087"/>
        <v>0</v>
      </c>
      <c r="BV967" s="10">
        <f t="shared" ca="1" si="6087"/>
        <v>0</v>
      </c>
      <c r="BW967" s="10">
        <f t="shared" ca="1" si="6087"/>
        <v>0</v>
      </c>
      <c r="BX967" s="10">
        <f t="shared" ca="1" si="6087"/>
        <v>0</v>
      </c>
      <c r="BY967" s="10">
        <f t="shared" ref="BY967:CO967" ca="1" si="6088" xml:space="preserve"> BY966 * $E$962 * $I$777</f>
        <v>0</v>
      </c>
      <c r="BZ967" s="10">
        <f t="shared" ca="1" si="6088"/>
        <v>0</v>
      </c>
      <c r="CA967" s="10">
        <f t="shared" ca="1" si="6088"/>
        <v>0</v>
      </c>
      <c r="CB967" s="10">
        <f t="shared" ca="1" si="6088"/>
        <v>0</v>
      </c>
      <c r="CC967" s="10">
        <f t="shared" ca="1" si="6088"/>
        <v>0</v>
      </c>
      <c r="CD967" s="10">
        <f t="shared" ca="1" si="6088"/>
        <v>0</v>
      </c>
      <c r="CE967" s="10">
        <f t="shared" ca="1" si="6088"/>
        <v>0</v>
      </c>
      <c r="CF967" s="10">
        <f t="shared" ca="1" si="6088"/>
        <v>0</v>
      </c>
      <c r="CG967" s="10">
        <f t="shared" ca="1" si="6088"/>
        <v>0</v>
      </c>
      <c r="CH967" s="10">
        <f t="shared" ca="1" si="6088"/>
        <v>0</v>
      </c>
      <c r="CI967" s="10">
        <f t="shared" ca="1" si="6088"/>
        <v>0</v>
      </c>
      <c r="CJ967" s="10">
        <f t="shared" ca="1" si="6088"/>
        <v>0</v>
      </c>
      <c r="CK967" s="10">
        <f t="shared" ca="1" si="6088"/>
        <v>0</v>
      </c>
      <c r="CL967" s="10">
        <f t="shared" ca="1" si="6088"/>
        <v>0</v>
      </c>
      <c r="CM967" s="10">
        <f t="shared" ca="1" si="6088"/>
        <v>0</v>
      </c>
      <c r="CN967" s="10">
        <f t="shared" ca="1" si="6088"/>
        <v>0</v>
      </c>
      <c r="CO967" s="10">
        <f t="shared" ca="1" si="6088"/>
        <v>0</v>
      </c>
    </row>
    <row r="968" spans="1:93" ht="15" thickTop="1">
      <c r="B968" s="101"/>
      <c r="C968" s="49" t="str">
        <f xml:space="preserve"> "Итого: эксплуатационные расходы " &amp; C37 &amp; " в прогнозных ценах без НДС"</f>
        <v>Итого: эксплуатационные расходы Крытый парк развлечений в прогнозных ценах без НДС</v>
      </c>
      <c r="D968" s="49"/>
      <c r="E968" s="136"/>
      <c r="F968" s="49"/>
      <c r="G968" s="159" t="str">
        <f xml:space="preserve"> Monetary_Unit</f>
        <v>тыс. руб.</v>
      </c>
      <c r="H968" s="49"/>
      <c r="I968" s="23">
        <f ca="1">SUM(L968:CO968)</f>
        <v>0</v>
      </c>
      <c r="J968" s="49"/>
      <c r="K968" s="49"/>
      <c r="L968" s="49">
        <f t="shared" ref="L968:R968" ca="1" si="6089">SUM(L967)</f>
        <v>0</v>
      </c>
      <c r="M968" s="49">
        <f t="shared" ca="1" si="6089"/>
        <v>0</v>
      </c>
      <c r="N968" s="49">
        <f t="shared" ca="1" si="6089"/>
        <v>0</v>
      </c>
      <c r="O968" s="49">
        <f t="shared" ca="1" si="6089"/>
        <v>0</v>
      </c>
      <c r="P968" s="49">
        <f t="shared" ca="1" si="6089"/>
        <v>0</v>
      </c>
      <c r="Q968" s="49">
        <f t="shared" ca="1" si="6089"/>
        <v>0</v>
      </c>
      <c r="R968" s="49">
        <f t="shared" ca="1" si="6089"/>
        <v>0</v>
      </c>
      <c r="S968" s="49">
        <f t="shared" ref="S968" ca="1" si="6090">SUM(S967)</f>
        <v>0</v>
      </c>
      <c r="T968" s="49">
        <f t="shared" ref="T968:CE968" ca="1" si="6091">SUM(T967)</f>
        <v>0</v>
      </c>
      <c r="U968" s="49">
        <f t="shared" ca="1" si="6091"/>
        <v>0</v>
      </c>
      <c r="V968" s="49">
        <f t="shared" ca="1" si="6091"/>
        <v>0</v>
      </c>
      <c r="W968" s="49">
        <f t="shared" ca="1" si="6091"/>
        <v>0</v>
      </c>
      <c r="X968" s="49">
        <f t="shared" ca="1" si="6091"/>
        <v>0</v>
      </c>
      <c r="Y968" s="49">
        <f t="shared" ca="1" si="6091"/>
        <v>0</v>
      </c>
      <c r="Z968" s="49">
        <f t="shared" ca="1" si="6091"/>
        <v>0</v>
      </c>
      <c r="AA968" s="49">
        <f t="shared" ca="1" si="6091"/>
        <v>0</v>
      </c>
      <c r="AB968" s="49">
        <f t="shared" ca="1" si="6091"/>
        <v>0</v>
      </c>
      <c r="AC968" s="49">
        <f t="shared" ca="1" si="6091"/>
        <v>0</v>
      </c>
      <c r="AD968" s="49">
        <f t="shared" ca="1" si="6091"/>
        <v>0</v>
      </c>
      <c r="AE968" s="49">
        <f t="shared" ca="1" si="6091"/>
        <v>0</v>
      </c>
      <c r="AF968" s="49">
        <f t="shared" ca="1" si="6091"/>
        <v>0</v>
      </c>
      <c r="AG968" s="49">
        <f t="shared" ca="1" si="6091"/>
        <v>0</v>
      </c>
      <c r="AH968" s="49">
        <f t="shared" ca="1" si="6091"/>
        <v>0</v>
      </c>
      <c r="AI968" s="49">
        <f t="shared" ca="1" si="6091"/>
        <v>0</v>
      </c>
      <c r="AJ968" s="49">
        <f t="shared" ca="1" si="6091"/>
        <v>0</v>
      </c>
      <c r="AK968" s="49">
        <f t="shared" ca="1" si="6091"/>
        <v>0</v>
      </c>
      <c r="AL968" s="49">
        <f t="shared" ca="1" si="6091"/>
        <v>0</v>
      </c>
      <c r="AM968" s="49">
        <f t="shared" ca="1" si="6091"/>
        <v>0</v>
      </c>
      <c r="AN968" s="49">
        <f t="shared" ca="1" si="6091"/>
        <v>0</v>
      </c>
      <c r="AO968" s="49">
        <f t="shared" ca="1" si="6091"/>
        <v>0</v>
      </c>
      <c r="AP968" s="49">
        <f t="shared" ca="1" si="6091"/>
        <v>0</v>
      </c>
      <c r="AQ968" s="49">
        <f t="shared" ca="1" si="6091"/>
        <v>0</v>
      </c>
      <c r="AR968" s="49">
        <f t="shared" ca="1" si="6091"/>
        <v>0</v>
      </c>
      <c r="AS968" s="49">
        <f t="shared" ca="1" si="6091"/>
        <v>0</v>
      </c>
      <c r="AT968" s="49">
        <f t="shared" ca="1" si="6091"/>
        <v>0</v>
      </c>
      <c r="AU968" s="49">
        <f t="shared" ca="1" si="6091"/>
        <v>0</v>
      </c>
      <c r="AV968" s="49">
        <f t="shared" ca="1" si="6091"/>
        <v>0</v>
      </c>
      <c r="AW968" s="49">
        <f t="shared" ca="1" si="6091"/>
        <v>0</v>
      </c>
      <c r="AX968" s="49">
        <f t="shared" ca="1" si="6091"/>
        <v>0</v>
      </c>
      <c r="AY968" s="49">
        <f t="shared" ca="1" si="6091"/>
        <v>0</v>
      </c>
      <c r="AZ968" s="49">
        <f t="shared" ca="1" si="6091"/>
        <v>0</v>
      </c>
      <c r="BA968" s="49">
        <f t="shared" ca="1" si="6091"/>
        <v>0</v>
      </c>
      <c r="BB968" s="49">
        <f t="shared" ca="1" si="6091"/>
        <v>0</v>
      </c>
      <c r="BC968" s="49">
        <f t="shared" ca="1" si="6091"/>
        <v>0</v>
      </c>
      <c r="BD968" s="49">
        <f t="shared" ca="1" si="6091"/>
        <v>0</v>
      </c>
      <c r="BE968" s="49">
        <f t="shared" ca="1" si="6091"/>
        <v>0</v>
      </c>
      <c r="BF968" s="49">
        <f t="shared" ca="1" si="6091"/>
        <v>0</v>
      </c>
      <c r="BG968" s="49">
        <f t="shared" ca="1" si="6091"/>
        <v>0</v>
      </c>
      <c r="BH968" s="49">
        <f t="shared" ca="1" si="6091"/>
        <v>0</v>
      </c>
      <c r="BI968" s="49">
        <f t="shared" ca="1" si="6091"/>
        <v>0</v>
      </c>
      <c r="BJ968" s="49">
        <f t="shared" ca="1" si="6091"/>
        <v>0</v>
      </c>
      <c r="BK968" s="49">
        <f t="shared" ca="1" si="6091"/>
        <v>0</v>
      </c>
      <c r="BL968" s="49">
        <f t="shared" ca="1" si="6091"/>
        <v>0</v>
      </c>
      <c r="BM968" s="49">
        <f t="shared" ca="1" si="6091"/>
        <v>0</v>
      </c>
      <c r="BN968" s="49">
        <f t="shared" ca="1" si="6091"/>
        <v>0</v>
      </c>
      <c r="BO968" s="49">
        <f t="shared" ca="1" si="6091"/>
        <v>0</v>
      </c>
      <c r="BP968" s="49">
        <f t="shared" ca="1" si="6091"/>
        <v>0</v>
      </c>
      <c r="BQ968" s="49">
        <f t="shared" ca="1" si="6091"/>
        <v>0</v>
      </c>
      <c r="BR968" s="49">
        <f t="shared" ca="1" si="6091"/>
        <v>0</v>
      </c>
      <c r="BS968" s="49">
        <f t="shared" ca="1" si="6091"/>
        <v>0</v>
      </c>
      <c r="BT968" s="49">
        <f t="shared" ca="1" si="6091"/>
        <v>0</v>
      </c>
      <c r="BU968" s="49">
        <f t="shared" ca="1" si="6091"/>
        <v>0</v>
      </c>
      <c r="BV968" s="49">
        <f t="shared" ca="1" si="6091"/>
        <v>0</v>
      </c>
      <c r="BW968" s="49">
        <f t="shared" ca="1" si="6091"/>
        <v>0</v>
      </c>
      <c r="BX968" s="49">
        <f t="shared" ca="1" si="6091"/>
        <v>0</v>
      </c>
      <c r="BY968" s="49">
        <f t="shared" ca="1" si="6091"/>
        <v>0</v>
      </c>
      <c r="BZ968" s="49">
        <f t="shared" ca="1" si="6091"/>
        <v>0</v>
      </c>
      <c r="CA968" s="49">
        <f t="shared" ca="1" si="6091"/>
        <v>0</v>
      </c>
      <c r="CB968" s="49">
        <f t="shared" ca="1" si="6091"/>
        <v>0</v>
      </c>
      <c r="CC968" s="49">
        <f t="shared" ca="1" si="6091"/>
        <v>0</v>
      </c>
      <c r="CD968" s="49">
        <f t="shared" ca="1" si="6091"/>
        <v>0</v>
      </c>
      <c r="CE968" s="49">
        <f t="shared" ca="1" si="6091"/>
        <v>0</v>
      </c>
      <c r="CF968" s="49">
        <f t="shared" ref="CF968:CO968" ca="1" si="6092">SUM(CF967)</f>
        <v>0</v>
      </c>
      <c r="CG968" s="49">
        <f t="shared" ca="1" si="6092"/>
        <v>0</v>
      </c>
      <c r="CH968" s="49">
        <f t="shared" ca="1" si="6092"/>
        <v>0</v>
      </c>
      <c r="CI968" s="49">
        <f t="shared" ca="1" si="6092"/>
        <v>0</v>
      </c>
      <c r="CJ968" s="49">
        <f t="shared" ca="1" si="6092"/>
        <v>0</v>
      </c>
      <c r="CK968" s="49">
        <f t="shared" ca="1" si="6092"/>
        <v>0</v>
      </c>
      <c r="CL968" s="49">
        <f t="shared" ca="1" si="6092"/>
        <v>0</v>
      </c>
      <c r="CM968" s="49">
        <f t="shared" ca="1" si="6092"/>
        <v>0</v>
      </c>
      <c r="CN968" s="49">
        <f t="shared" ca="1" si="6092"/>
        <v>0</v>
      </c>
      <c r="CO968" s="49">
        <f t="shared" ca="1" si="6092"/>
        <v>0</v>
      </c>
    </row>
    <row r="969" spans="1:93">
      <c r="A969" s="10"/>
      <c r="B969" s="10"/>
      <c r="C969" s="10"/>
      <c r="D969" s="10"/>
      <c r="E969" s="10"/>
      <c r="F969" s="10"/>
      <c r="G969" s="11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  <c r="BB969" s="10"/>
      <c r="BC969" s="10"/>
      <c r="BD969" s="10"/>
      <c r="BE969" s="10"/>
      <c r="BF969" s="10"/>
      <c r="BG969" s="10"/>
      <c r="BH969" s="10"/>
      <c r="BI969" s="10"/>
      <c r="BJ969" s="10"/>
      <c r="BK969" s="10"/>
      <c r="BL969" s="10"/>
      <c r="BM969" s="10"/>
      <c r="BN969" s="10"/>
      <c r="BO969" s="10"/>
      <c r="BP969" s="10"/>
      <c r="BQ969" s="10"/>
      <c r="BR969" s="10"/>
      <c r="BS969" s="10"/>
      <c r="BT969" s="10"/>
      <c r="BU969" s="10"/>
      <c r="BV969" s="10"/>
      <c r="BW969" s="10"/>
      <c r="BX969" s="10"/>
      <c r="BY969" s="10"/>
      <c r="BZ969" s="10"/>
      <c r="CA969" s="10"/>
      <c r="CB969" s="10"/>
      <c r="CC969" s="10"/>
      <c r="CD969" s="10"/>
      <c r="CE969" s="10"/>
      <c r="CF969" s="10"/>
      <c r="CG969" s="10"/>
      <c r="CH969" s="10"/>
      <c r="CI969" s="10"/>
      <c r="CJ969" s="10"/>
      <c r="CK969" s="10"/>
      <c r="CL969" s="10"/>
      <c r="CM969" s="10"/>
      <c r="CN969" s="10"/>
      <c r="CO969" s="10"/>
    </row>
    <row r="970" spans="1:93">
      <c r="A970" s="10"/>
      <c r="B970" s="10"/>
      <c r="C970" s="24" t="s">
        <v>897</v>
      </c>
      <c r="D970" s="24"/>
      <c r="E970" s="24"/>
      <c r="F970" s="24"/>
      <c r="G970" s="135" t="str">
        <f>Monetary_Unit</f>
        <v>тыс. руб.</v>
      </c>
      <c r="H970" s="24"/>
      <c r="I970" s="23">
        <f ca="1">SUM(L970:CO970)</f>
        <v>-38547379.439622067</v>
      </c>
      <c r="J970" s="24"/>
      <c r="K970" s="24"/>
      <c r="L970" s="24">
        <f ca="1">-SUM(L796,L903,L956,L968)</f>
        <v>0</v>
      </c>
      <c r="M970" s="24">
        <f t="shared" ref="M970:AQ970" ca="1" si="6093">-SUM(M796,M903,M956,M968)</f>
        <v>0</v>
      </c>
      <c r="N970" s="24">
        <f t="shared" ca="1" si="6093"/>
        <v>0</v>
      </c>
      <c r="O970" s="24">
        <f t="shared" ca="1" si="6093"/>
        <v>0</v>
      </c>
      <c r="P970" s="24">
        <f t="shared" ca="1" si="6093"/>
        <v>0</v>
      </c>
      <c r="Q970" s="24">
        <f t="shared" ca="1" si="6093"/>
        <v>0</v>
      </c>
      <c r="R970" s="24">
        <f t="shared" ca="1" si="6093"/>
        <v>0</v>
      </c>
      <c r="S970" s="24">
        <f t="shared" ca="1" si="6093"/>
        <v>0</v>
      </c>
      <c r="T970" s="24">
        <f t="shared" ca="1" si="6093"/>
        <v>0</v>
      </c>
      <c r="U970" s="24">
        <f t="shared" ca="1" si="6093"/>
        <v>0</v>
      </c>
      <c r="V970" s="24">
        <f t="shared" ca="1" si="6093"/>
        <v>0</v>
      </c>
      <c r="W970" s="24">
        <f t="shared" ca="1" si="6093"/>
        <v>0</v>
      </c>
      <c r="X970" s="24">
        <f ca="1">-SUM(X796,X903,X956,X968)</f>
        <v>0</v>
      </c>
      <c r="Y970" s="24">
        <f t="shared" ca="1" si="6093"/>
        <v>0</v>
      </c>
      <c r="Z970" s="24">
        <f t="shared" ca="1" si="6093"/>
        <v>0</v>
      </c>
      <c r="AA970" s="24">
        <f t="shared" ca="1" si="6093"/>
        <v>0</v>
      </c>
      <c r="AB970" s="24">
        <f t="shared" ca="1" si="6093"/>
        <v>0</v>
      </c>
      <c r="AC970" s="24">
        <f t="shared" ca="1" si="6093"/>
        <v>-338364.69457748812</v>
      </c>
      <c r="AD970" s="24">
        <f t="shared" ca="1" si="6093"/>
        <v>-440233.51075948874</v>
      </c>
      <c r="AE970" s="24">
        <f t="shared" ca="1" si="6093"/>
        <v>-260902.81296897485</v>
      </c>
      <c r="AF970" s="24">
        <f t="shared" ca="1" si="6093"/>
        <v>-256039.33641042063</v>
      </c>
      <c r="AG970" s="24">
        <f t="shared" ca="1" si="6093"/>
        <v>-403998.14006466302</v>
      </c>
      <c r="AH970" s="24">
        <f t="shared" ca="1" si="6093"/>
        <v>-523215.13660697942</v>
      </c>
      <c r="AI970" s="24">
        <f t="shared" ca="1" si="6093"/>
        <v>-308731.99285408959</v>
      </c>
      <c r="AJ970" s="24">
        <f t="shared" ca="1" si="6093"/>
        <v>-301753.52545773616</v>
      </c>
      <c r="AK970" s="24">
        <f t="shared" ca="1" si="6093"/>
        <v>-474340.87767948816</v>
      </c>
      <c r="AL970" s="24">
        <f t="shared" ca="1" si="6093"/>
        <v>-612130.91890505375</v>
      </c>
      <c r="AM970" s="24">
        <f t="shared" ca="1" si="6093"/>
        <v>-359970.06262926321</v>
      </c>
      <c r="AN970" s="24">
        <f t="shared" ca="1" si="6093"/>
        <v>-354611.34320440446</v>
      </c>
      <c r="AO970" s="24">
        <f t="shared" ca="1" si="6093"/>
        <v>-549663.95169612917</v>
      </c>
      <c r="AP970" s="24">
        <f t="shared" ca="1" si="6093"/>
        <v>-689645.45364490314</v>
      </c>
      <c r="AQ970" s="24">
        <f t="shared" ca="1" si="6093"/>
        <v>-394590.32912258612</v>
      </c>
      <c r="AR970" s="24">
        <f t="shared" ref="AR970:BW970" ca="1" si="6094">-SUM(AR796,AR903,AR956,AR968)</f>
        <v>-374335.589413982</v>
      </c>
      <c r="AS970" s="24">
        <f t="shared" ca="1" si="6094"/>
        <v>-571651.22277057101</v>
      </c>
      <c r="AT970" s="24">
        <f t="shared" ca="1" si="6094"/>
        <v>-717231.99973528064</v>
      </c>
      <c r="AU970" s="24">
        <f t="shared" ca="1" si="6094"/>
        <v>-410374.67740480497</v>
      </c>
      <c r="AV970" s="24">
        <f t="shared" ca="1" si="6094"/>
        <v>-389309.01299054123</v>
      </c>
      <c r="AW970" s="24">
        <f t="shared" ca="1" si="6094"/>
        <v>-586465.74265078746</v>
      </c>
      <c r="AX970" s="24">
        <f t="shared" ca="1" si="6094"/>
        <v>-735818.43146604754</v>
      </c>
      <c r="AY970" s="24">
        <f t="shared" ca="1" si="6094"/>
        <v>-421010.81673520268</v>
      </c>
      <c r="AZ970" s="24">
        <f t="shared" ca="1" si="6094"/>
        <v>-399399.31868577609</v>
      </c>
      <c r="BA970" s="24">
        <f t="shared" ca="1" si="6094"/>
        <v>-609924.37235681852</v>
      </c>
      <c r="BB970" s="24">
        <f t="shared" ca="1" si="6094"/>
        <v>-765251.16872468952</v>
      </c>
      <c r="BC970" s="24">
        <f t="shared" ca="1" si="6094"/>
        <v>-437851.24940461077</v>
      </c>
      <c r="BD970" s="24">
        <f t="shared" ca="1" si="6094"/>
        <v>-419989.77823935129</v>
      </c>
      <c r="BE970" s="24">
        <f t="shared" ca="1" si="6094"/>
        <v>-634320.54521563894</v>
      </c>
      <c r="BF970" s="24">
        <f t="shared" ca="1" si="6094"/>
        <v>-795860.39663502329</v>
      </c>
      <c r="BG970" s="24">
        <f t="shared" ca="1" si="6094"/>
        <v>-455364.47247379133</v>
      </c>
      <c r="BH970" s="24">
        <f t="shared" ca="1" si="6094"/>
        <v>-431990.30309053528</v>
      </c>
      <c r="BI970" s="24">
        <f t="shared" ca="1" si="6094"/>
        <v>-659694.20114113495</v>
      </c>
      <c r="BJ970" s="24">
        <f t="shared" ca="1" si="6094"/>
        <v>-827695.66409262386</v>
      </c>
      <c r="BK970" s="24">
        <f t="shared" ca="1" si="6094"/>
        <v>-473579.91135602683</v>
      </c>
      <c r="BL970" s="24">
        <f t="shared" ca="1" si="6094"/>
        <v>-449269.91521415667</v>
      </c>
      <c r="BM970" s="24">
        <f t="shared" ca="1" si="6094"/>
        <v>-686081.96918678016</v>
      </c>
      <c r="BN970" s="24">
        <f t="shared" ca="1" si="6094"/>
        <v>-860803.49065632862</v>
      </c>
      <c r="BO970" s="24">
        <f t="shared" ca="1" si="6094"/>
        <v>-492523.10781026777</v>
      </c>
      <c r="BP970" s="24">
        <f t="shared" ca="1" si="6094"/>
        <v>-467240.71182272292</v>
      </c>
      <c r="BQ970" s="24">
        <f t="shared" ca="1" si="6094"/>
        <v>-713525.24795425136</v>
      </c>
      <c r="BR970" s="24">
        <f t="shared" ca="1" si="6094"/>
        <v>-895235.63028258167</v>
      </c>
      <c r="BS970" s="24">
        <f t="shared" ca="1" si="6094"/>
        <v>-512224.03212267824</v>
      </c>
      <c r="BT970" s="24">
        <f t="shared" ca="1" si="6094"/>
        <v>-491328.63718580664</v>
      </c>
      <c r="BU970" s="24">
        <f t="shared" ca="1" si="6094"/>
        <v>-742065.31960438204</v>
      </c>
      <c r="BV970" s="24">
        <f t="shared" ca="1" si="6094"/>
        <v>-931044.09756847634</v>
      </c>
      <c r="BW970" s="24">
        <f t="shared" ca="1" si="6094"/>
        <v>-532712.0260433486</v>
      </c>
      <c r="BX970" s="24">
        <f t="shared" ref="BX970:CO970" ca="1" si="6095">-SUM(BX796,BX903,BX956,BX968)</f>
        <v>-505367.55390745687</v>
      </c>
      <c r="BY970" s="24">
        <f t="shared" ca="1" si="6095"/>
        <v>-771748.90818731789</v>
      </c>
      <c r="BZ970" s="24">
        <f t="shared" ca="1" si="6095"/>
        <v>-968286.8577136402</v>
      </c>
      <c r="CA970" s="24">
        <f t="shared" ca="1" si="6095"/>
        <v>-554021.51314388867</v>
      </c>
      <c r="CB970" s="24">
        <f t="shared" ca="1" si="6095"/>
        <v>-525582.25606375502</v>
      </c>
      <c r="CC970" s="24">
        <f t="shared" ca="1" si="6095"/>
        <v>-802618.86451481062</v>
      </c>
      <c r="CD970" s="24">
        <f t="shared" ca="1" si="6095"/>
        <v>-1007018.3320221858</v>
      </c>
      <c r="CE970" s="24">
        <f t="shared" ca="1" si="6095"/>
        <v>-576182.37366964424</v>
      </c>
      <c r="CF970" s="24">
        <f t="shared" ca="1" si="6095"/>
        <v>-546605.54630630522</v>
      </c>
      <c r="CG970" s="24">
        <f t="shared" ca="1" si="6095"/>
        <v>-834723.61909540289</v>
      </c>
      <c r="CH970" s="24">
        <f t="shared" ca="1" si="6095"/>
        <v>-1047299.0653030727</v>
      </c>
      <c r="CI970" s="24">
        <f t="shared" ca="1" si="6095"/>
        <v>-599229.66861643014</v>
      </c>
      <c r="CJ970" s="24">
        <f t="shared" ca="1" si="6095"/>
        <v>-574785.01198494982</v>
      </c>
      <c r="CK970" s="24">
        <f t="shared" ca="1" si="6095"/>
        <v>-868111.46621832193</v>
      </c>
      <c r="CL970" s="24">
        <f t="shared" ca="1" si="6095"/>
        <v>-1089189.9072779571</v>
      </c>
      <c r="CM970" s="24">
        <f t="shared" ca="1" si="6095"/>
        <v>-623197.72368175432</v>
      </c>
      <c r="CN970" s="24">
        <f t="shared" ca="1" si="6095"/>
        <v>-591208.55888489971</v>
      </c>
      <c r="CO970" s="24">
        <f t="shared" ca="1" si="6095"/>
        <v>-902837.06641358766</v>
      </c>
    </row>
    <row r="971" spans="1:93">
      <c r="A971" s="10"/>
      <c r="B971" s="10"/>
      <c r="C971" s="21"/>
      <c r="D971" s="10"/>
      <c r="E971" s="10"/>
      <c r="F971" s="10"/>
      <c r="G971" s="11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  <c r="BB971" s="10"/>
      <c r="BC971" s="10"/>
      <c r="BD971" s="10"/>
      <c r="BE971" s="10"/>
      <c r="BF971" s="10"/>
      <c r="BG971" s="10"/>
      <c r="BH971" s="10"/>
      <c r="BI971" s="10"/>
      <c r="BJ971" s="10"/>
      <c r="BK971" s="10"/>
      <c r="BL971" s="10"/>
      <c r="BM971" s="10"/>
      <c r="BN971" s="10"/>
      <c r="BO971" s="10"/>
      <c r="BP971" s="10"/>
      <c r="BQ971" s="10"/>
      <c r="BR971" s="10"/>
      <c r="BS971" s="10"/>
      <c r="BT971" s="10"/>
      <c r="BU971" s="10"/>
      <c r="BV971" s="10"/>
      <c r="BW971" s="10"/>
      <c r="BX971" s="10"/>
      <c r="BY971" s="10"/>
      <c r="BZ971" s="10"/>
      <c r="CA971" s="10"/>
      <c r="CB971" s="10"/>
      <c r="CC971" s="10"/>
      <c r="CD971" s="10"/>
      <c r="CE971" s="10"/>
      <c r="CF971" s="10"/>
      <c r="CG971" s="10"/>
      <c r="CH971" s="10"/>
      <c r="CI971" s="10"/>
      <c r="CJ971" s="10"/>
      <c r="CK971" s="10"/>
      <c r="CL971" s="10"/>
      <c r="CM971" s="10"/>
      <c r="CN971" s="10"/>
      <c r="CO971" s="10"/>
    </row>
    <row r="972" spans="1:93">
      <c r="A972" s="10"/>
      <c r="B972" s="10"/>
      <c r="C972" s="17" t="s">
        <v>902</v>
      </c>
      <c r="D972" s="10"/>
      <c r="E972" s="10"/>
      <c r="F972" s="10"/>
      <c r="G972" s="134" t="str">
        <f>Monetary_Unit</f>
        <v>тыс. руб.</v>
      </c>
      <c r="H972" s="10"/>
      <c r="I972" s="23">
        <f ca="1">SUM(L972:CO972)</f>
        <v>26761477.348422304</v>
      </c>
      <c r="J972" s="10"/>
      <c r="K972" s="10"/>
      <c r="L972" s="452">
        <f ca="1" xml:space="preserve"> SUM(L796,L831,L839,L840,L848,L873,L890:L894,L946:L948,L951:L955,L968)</f>
        <v>0</v>
      </c>
      <c r="M972" s="452">
        <f t="shared" ref="M972:BX972" ca="1" si="6096" xml:space="preserve"> SUM(M796,M831,M839,M840,M848,M873,M890:M894,M946:M948,M951:M955,M968)</f>
        <v>0</v>
      </c>
      <c r="N972" s="452">
        <f t="shared" ca="1" si="6096"/>
        <v>0</v>
      </c>
      <c r="O972" s="452">
        <f t="shared" ca="1" si="6096"/>
        <v>0</v>
      </c>
      <c r="P972" s="452">
        <f t="shared" ca="1" si="6096"/>
        <v>0</v>
      </c>
      <c r="Q972" s="452">
        <f t="shared" ca="1" si="6096"/>
        <v>0</v>
      </c>
      <c r="R972" s="452">
        <f t="shared" ca="1" si="6096"/>
        <v>0</v>
      </c>
      <c r="S972" s="452">
        <f t="shared" ca="1" si="6096"/>
        <v>0</v>
      </c>
      <c r="T972" s="452">
        <f t="shared" ca="1" si="6096"/>
        <v>0</v>
      </c>
      <c r="U972" s="452">
        <f t="shared" ca="1" si="6096"/>
        <v>0</v>
      </c>
      <c r="V972" s="452">
        <f t="shared" ca="1" si="6096"/>
        <v>0</v>
      </c>
      <c r="W972" s="452">
        <f t="shared" ca="1" si="6096"/>
        <v>0</v>
      </c>
      <c r="X972" s="452">
        <f t="shared" ca="1" si="6096"/>
        <v>0</v>
      </c>
      <c r="Y972" s="452">
        <f t="shared" ca="1" si="6096"/>
        <v>0</v>
      </c>
      <c r="Z972" s="452">
        <f t="shared" ca="1" si="6096"/>
        <v>0</v>
      </c>
      <c r="AA972" s="452">
        <f t="shared" ca="1" si="6096"/>
        <v>0</v>
      </c>
      <c r="AB972" s="452">
        <f t="shared" ca="1" si="6096"/>
        <v>0</v>
      </c>
      <c r="AC972" s="452">
        <f t="shared" ca="1" si="6096"/>
        <v>236010.67566608838</v>
      </c>
      <c r="AD972" s="452">
        <f t="shared" ca="1" si="6096"/>
        <v>307045.65290864761</v>
      </c>
      <c r="AE972" s="452">
        <f t="shared" ca="1" si="6096"/>
        <v>181998.2671667604</v>
      </c>
      <c r="AF972" s="452">
        <f t="shared" ca="1" si="6096"/>
        <v>178606.1017435579</v>
      </c>
      <c r="AG972" s="452">
        <f t="shared" ca="1" si="6096"/>
        <v>281779.85970527312</v>
      </c>
      <c r="AH972" s="452">
        <f t="shared" ca="1" si="6096"/>
        <v>364911.85413283686</v>
      </c>
      <c r="AI972" s="452">
        <f t="shared" ca="1" si="6096"/>
        <v>215352.5441667792</v>
      </c>
      <c r="AJ972" s="452">
        <f t="shared" ca="1" si="6096"/>
        <v>210485.55286372724</v>
      </c>
      <c r="AK972" s="452">
        <f t="shared" ca="1" si="6096"/>
        <v>330832.96138652699</v>
      </c>
      <c r="AL972" s="452">
        <f t="shared" ca="1" si="6096"/>
        <v>426916.07841030706</v>
      </c>
      <c r="AM972" s="452">
        <f t="shared" ca="1" si="6096"/>
        <v>251083.96609933276</v>
      </c>
      <c r="AN972" s="452">
        <f t="shared" ca="1" si="6096"/>
        <v>247347.01797587951</v>
      </c>
      <c r="AO972" s="452">
        <f t="shared" ca="1" si="6096"/>
        <v>383358.77784348652</v>
      </c>
      <c r="AP972" s="452">
        <f t="shared" ca="1" si="6096"/>
        <v>480970.06668748846</v>
      </c>
      <c r="AQ972" s="452">
        <f t="shared" ca="1" si="6096"/>
        <v>275227.62438599224</v>
      </c>
      <c r="AR972" s="452">
        <f t="shared" ca="1" si="6096"/>
        <v>261103.17390958435</v>
      </c>
      <c r="AS972" s="452">
        <f t="shared" ca="1" si="6096"/>
        <v>398693.84196382237</v>
      </c>
      <c r="AT972" s="452">
        <f t="shared" ca="1" si="6096"/>
        <v>500209.59729956952</v>
      </c>
      <c r="AU972" s="452">
        <f t="shared" ca="1" si="6096"/>
        <v>286237.46447874728</v>
      </c>
      <c r="AV972" s="452">
        <f t="shared" ca="1" si="6096"/>
        <v>271547.3008659677</v>
      </c>
      <c r="AW972" s="452">
        <f t="shared" ca="1" si="6096"/>
        <v>406590.06661176897</v>
      </c>
      <c r="AX972" s="452">
        <f t="shared" ca="1" si="6096"/>
        <v>510115.13293290802</v>
      </c>
      <c r="AY972" s="452">
        <f t="shared" ca="1" si="6096"/>
        <v>291908.11529210274</v>
      </c>
      <c r="AZ972" s="452">
        <f t="shared" ca="1" si="6096"/>
        <v>276927.13807621965</v>
      </c>
      <c r="BA972" s="452">
        <f t="shared" ca="1" si="6096"/>
        <v>422853.66927623958</v>
      </c>
      <c r="BB972" s="452">
        <f t="shared" ca="1" si="6096"/>
        <v>530519.73825022427</v>
      </c>
      <c r="BC972" s="452">
        <f t="shared" ca="1" si="6096"/>
        <v>303584.4399037867</v>
      </c>
      <c r="BD972" s="452">
        <f t="shared" ca="1" si="6096"/>
        <v>291203.4763183688</v>
      </c>
      <c r="BE972" s="452">
        <f t="shared" ca="1" si="6096"/>
        <v>439767.01401183679</v>
      </c>
      <c r="BF972" s="452">
        <f t="shared" ca="1" si="6096"/>
        <v>551739.70894157945</v>
      </c>
      <c r="BG972" s="452">
        <f t="shared" ca="1" si="6096"/>
        <v>315726.99059293437</v>
      </c>
      <c r="BH972" s="452">
        <f t="shared" ca="1" si="6096"/>
        <v>299524.39254323911</v>
      </c>
      <c r="BI972" s="452">
        <f t="shared" ca="1" si="6096"/>
        <v>457358.52868918062</v>
      </c>
      <c r="BJ972" s="452">
        <f t="shared" ca="1" si="6096"/>
        <v>573810.14889144246</v>
      </c>
      <c r="BK972" s="452">
        <f t="shared" ca="1" si="6096"/>
        <v>328356.93019993568</v>
      </c>
      <c r="BL972" s="452">
        <f t="shared" ca="1" si="6096"/>
        <v>311505.36824496865</v>
      </c>
      <c r="BM972" s="452">
        <f t="shared" ca="1" si="6096"/>
        <v>475652.8698367477</v>
      </c>
      <c r="BN972" s="452">
        <f t="shared" ca="1" si="6096"/>
        <v>596762.55484710005</v>
      </c>
      <c r="BO972" s="452">
        <f t="shared" ca="1" si="6096"/>
        <v>341491.20740793308</v>
      </c>
      <c r="BP972" s="452">
        <f t="shared" ca="1" si="6096"/>
        <v>323965.58297476737</v>
      </c>
      <c r="BQ972" s="452">
        <f t="shared" ca="1" si="6096"/>
        <v>494678.98463021754</v>
      </c>
      <c r="BR972" s="452">
        <f t="shared" ca="1" si="6096"/>
        <v>620633.05704098393</v>
      </c>
      <c r="BS972" s="452">
        <f t="shared" ca="1" si="6096"/>
        <v>355150.85570425016</v>
      </c>
      <c r="BT972" s="452">
        <f t="shared" ca="1" si="6096"/>
        <v>340666.87947280094</v>
      </c>
      <c r="BU972" s="452">
        <f t="shared" ca="1" si="6096"/>
        <v>514465.20574738708</v>
      </c>
      <c r="BV972" s="452">
        <f t="shared" ca="1" si="6096"/>
        <v>645457.42139721487</v>
      </c>
      <c r="BW972" s="452">
        <f t="shared" ca="1" si="6096"/>
        <v>369355.92256818339</v>
      </c>
      <c r="BX972" s="452">
        <f t="shared" ca="1" si="6096"/>
        <v>350401.17454550823</v>
      </c>
      <c r="BY972" s="452">
        <f t="shared" ref="BY972:CO972" ca="1" si="6097" xml:space="preserve"> SUM(BY796,BY831,BY839,BY840,BY848,BY873,BY890:BY894,BY946:BY948,BY951:BY955,BY968)</f>
        <v>535044.78977604304</v>
      </c>
      <c r="BZ972" s="452">
        <f t="shared" ca="1" si="6097"/>
        <v>671276.71449552802</v>
      </c>
      <c r="CA972" s="452">
        <f t="shared" ca="1" si="6097"/>
        <v>384131.16552971693</v>
      </c>
      <c r="CB972" s="452">
        <f t="shared" ca="1" si="6097"/>
        <v>364417.22152732866</v>
      </c>
      <c r="CC972" s="452">
        <f t="shared" ca="1" si="6097"/>
        <v>556446.58136708487</v>
      </c>
      <c r="CD972" s="452">
        <f t="shared" ca="1" si="6097"/>
        <v>698127.78307534917</v>
      </c>
      <c r="CE972" s="452">
        <f t="shared" ca="1" si="6097"/>
        <v>399496.41215090564</v>
      </c>
      <c r="CF972" s="452">
        <f t="shared" ca="1" si="6097"/>
        <v>378993.91038842173</v>
      </c>
      <c r="CG972" s="452">
        <f t="shared" ca="1" si="6097"/>
        <v>578704.4446217682</v>
      </c>
      <c r="CH972" s="452">
        <f t="shared" ca="1" si="6097"/>
        <v>726052.89439836284</v>
      </c>
      <c r="CI972" s="452">
        <f t="shared" ca="1" si="6097"/>
        <v>415476.26863694185</v>
      </c>
      <c r="CJ972" s="452">
        <f t="shared" ca="1" si="6097"/>
        <v>398532.06505974423</v>
      </c>
      <c r="CK972" s="452">
        <f t="shared" ca="1" si="6097"/>
        <v>601851.52476574155</v>
      </c>
      <c r="CL972" s="452">
        <f t="shared" ca="1" si="6097"/>
        <v>755093.88953705877</v>
      </c>
      <c r="CM972" s="452">
        <f t="shared" ca="1" si="6097"/>
        <v>432094.18770308647</v>
      </c>
      <c r="CN972" s="452">
        <f t="shared" ca="1" si="6097"/>
        <v>409919.81347611669</v>
      </c>
      <c r="CO972" s="452">
        <f t="shared" ca="1" si="6097"/>
        <v>625926.72730290436</v>
      </c>
    </row>
    <row r="973" spans="1:93">
      <c r="A973" s="10"/>
      <c r="B973" s="10"/>
      <c r="C973" s="17" t="s">
        <v>1221</v>
      </c>
      <c r="D973" s="10"/>
      <c r="E973" s="10"/>
      <c r="F973" s="10"/>
      <c r="G973" s="134" t="str">
        <f>Monetary_Unit</f>
        <v>тыс. руб.</v>
      </c>
      <c r="H973" s="10"/>
      <c r="I973" s="23">
        <f ca="1">SUM(L973:CO973)</f>
        <v>0</v>
      </c>
      <c r="J973" s="10"/>
      <c r="K973" s="10"/>
      <c r="L973" s="452">
        <f t="shared" ref="L973:AQ973" ca="1" si="6098">-L895*Flag_Construction</f>
        <v>0</v>
      </c>
      <c r="M973" s="452">
        <f t="shared" ca="1" si="6098"/>
        <v>0</v>
      </c>
      <c r="N973" s="452">
        <f t="shared" ca="1" si="6098"/>
        <v>0</v>
      </c>
      <c r="O973" s="452">
        <f t="shared" ca="1" si="6098"/>
        <v>0</v>
      </c>
      <c r="P973" s="452">
        <f t="shared" ca="1" si="6098"/>
        <v>0</v>
      </c>
      <c r="Q973" s="452">
        <f t="shared" ca="1" si="6098"/>
        <v>0</v>
      </c>
      <c r="R973" s="452">
        <f t="shared" ca="1" si="6098"/>
        <v>0</v>
      </c>
      <c r="S973" s="452">
        <f t="shared" ca="1" si="6098"/>
        <v>0</v>
      </c>
      <c r="T973" s="452">
        <f t="shared" ca="1" si="6098"/>
        <v>0</v>
      </c>
      <c r="U973" s="452">
        <f t="shared" ca="1" si="6098"/>
        <v>0</v>
      </c>
      <c r="V973" s="452">
        <f t="shared" ca="1" si="6098"/>
        <v>0</v>
      </c>
      <c r="W973" s="452">
        <f t="shared" ca="1" si="6098"/>
        <v>0</v>
      </c>
      <c r="X973" s="452">
        <f t="shared" ca="1" si="6098"/>
        <v>0</v>
      </c>
      <c r="Y973" s="452">
        <f t="shared" ca="1" si="6098"/>
        <v>0</v>
      </c>
      <c r="Z973" s="452">
        <f t="shared" ca="1" si="6098"/>
        <v>0</v>
      </c>
      <c r="AA973" s="452">
        <f t="shared" ca="1" si="6098"/>
        <v>0</v>
      </c>
      <c r="AB973" s="452">
        <f t="shared" ca="1" si="6098"/>
        <v>0</v>
      </c>
      <c r="AC973" s="452">
        <f t="shared" ca="1" si="6098"/>
        <v>0</v>
      </c>
      <c r="AD973" s="452">
        <f t="shared" ca="1" si="6098"/>
        <v>0</v>
      </c>
      <c r="AE973" s="452">
        <f t="shared" ca="1" si="6098"/>
        <v>0</v>
      </c>
      <c r="AF973" s="452">
        <f t="shared" ca="1" si="6098"/>
        <v>0</v>
      </c>
      <c r="AG973" s="452">
        <f t="shared" ca="1" si="6098"/>
        <v>0</v>
      </c>
      <c r="AH973" s="452">
        <f t="shared" ca="1" si="6098"/>
        <v>0</v>
      </c>
      <c r="AI973" s="452">
        <f t="shared" ca="1" si="6098"/>
        <v>0</v>
      </c>
      <c r="AJ973" s="452">
        <f t="shared" ca="1" si="6098"/>
        <v>0</v>
      </c>
      <c r="AK973" s="452">
        <f t="shared" ca="1" si="6098"/>
        <v>0</v>
      </c>
      <c r="AL973" s="452">
        <f t="shared" ca="1" si="6098"/>
        <v>0</v>
      </c>
      <c r="AM973" s="452">
        <f t="shared" ca="1" si="6098"/>
        <v>0</v>
      </c>
      <c r="AN973" s="452">
        <f t="shared" ca="1" si="6098"/>
        <v>0</v>
      </c>
      <c r="AO973" s="452">
        <f t="shared" ca="1" si="6098"/>
        <v>0</v>
      </c>
      <c r="AP973" s="452">
        <f t="shared" ca="1" si="6098"/>
        <v>0</v>
      </c>
      <c r="AQ973" s="452">
        <f t="shared" ca="1" si="6098"/>
        <v>0</v>
      </c>
      <c r="AR973" s="452">
        <f t="shared" ref="AR973:BW973" ca="1" si="6099">-AR895*Flag_Construction</f>
        <v>0</v>
      </c>
      <c r="AS973" s="452">
        <f t="shared" ca="1" si="6099"/>
        <v>0</v>
      </c>
      <c r="AT973" s="452">
        <f t="shared" ca="1" si="6099"/>
        <v>0</v>
      </c>
      <c r="AU973" s="452">
        <f t="shared" ca="1" si="6099"/>
        <v>0</v>
      </c>
      <c r="AV973" s="452">
        <f t="shared" ca="1" si="6099"/>
        <v>0</v>
      </c>
      <c r="AW973" s="452">
        <f t="shared" ca="1" si="6099"/>
        <v>0</v>
      </c>
      <c r="AX973" s="452">
        <f t="shared" ca="1" si="6099"/>
        <v>0</v>
      </c>
      <c r="AY973" s="452">
        <f t="shared" ca="1" si="6099"/>
        <v>0</v>
      </c>
      <c r="AZ973" s="452">
        <f t="shared" ca="1" si="6099"/>
        <v>0</v>
      </c>
      <c r="BA973" s="452">
        <f t="shared" ca="1" si="6099"/>
        <v>0</v>
      </c>
      <c r="BB973" s="452">
        <f t="shared" ca="1" si="6099"/>
        <v>0</v>
      </c>
      <c r="BC973" s="452">
        <f t="shared" ca="1" si="6099"/>
        <v>0</v>
      </c>
      <c r="BD973" s="452">
        <f t="shared" ca="1" si="6099"/>
        <v>0</v>
      </c>
      <c r="BE973" s="452">
        <f t="shared" ca="1" si="6099"/>
        <v>0</v>
      </c>
      <c r="BF973" s="452">
        <f t="shared" ca="1" si="6099"/>
        <v>0</v>
      </c>
      <c r="BG973" s="452">
        <f t="shared" ca="1" si="6099"/>
        <v>0</v>
      </c>
      <c r="BH973" s="452">
        <f t="shared" ca="1" si="6099"/>
        <v>0</v>
      </c>
      <c r="BI973" s="452">
        <f t="shared" ca="1" si="6099"/>
        <v>0</v>
      </c>
      <c r="BJ973" s="452">
        <f t="shared" ca="1" si="6099"/>
        <v>0</v>
      </c>
      <c r="BK973" s="452">
        <f t="shared" ca="1" si="6099"/>
        <v>0</v>
      </c>
      <c r="BL973" s="452">
        <f t="shared" ca="1" si="6099"/>
        <v>0</v>
      </c>
      <c r="BM973" s="452">
        <f t="shared" ca="1" si="6099"/>
        <v>0</v>
      </c>
      <c r="BN973" s="452">
        <f t="shared" ca="1" si="6099"/>
        <v>0</v>
      </c>
      <c r="BO973" s="452">
        <f t="shared" ca="1" si="6099"/>
        <v>0</v>
      </c>
      <c r="BP973" s="452">
        <f t="shared" ca="1" si="6099"/>
        <v>0</v>
      </c>
      <c r="BQ973" s="452">
        <f t="shared" ca="1" si="6099"/>
        <v>0</v>
      </c>
      <c r="BR973" s="452">
        <f t="shared" ca="1" si="6099"/>
        <v>0</v>
      </c>
      <c r="BS973" s="452">
        <f t="shared" ca="1" si="6099"/>
        <v>0</v>
      </c>
      <c r="BT973" s="452">
        <f t="shared" ca="1" si="6099"/>
        <v>0</v>
      </c>
      <c r="BU973" s="452">
        <f t="shared" ca="1" si="6099"/>
        <v>0</v>
      </c>
      <c r="BV973" s="452">
        <f t="shared" ca="1" si="6099"/>
        <v>0</v>
      </c>
      <c r="BW973" s="452">
        <f t="shared" ca="1" si="6099"/>
        <v>0</v>
      </c>
      <c r="BX973" s="452">
        <f t="shared" ref="BX973:CO973" ca="1" si="6100">-BX895*Flag_Construction</f>
        <v>0</v>
      </c>
      <c r="BY973" s="452">
        <f t="shared" ca="1" si="6100"/>
        <v>0</v>
      </c>
      <c r="BZ973" s="452">
        <f t="shared" ca="1" si="6100"/>
        <v>0</v>
      </c>
      <c r="CA973" s="452">
        <f t="shared" ca="1" si="6100"/>
        <v>0</v>
      </c>
      <c r="CB973" s="452">
        <f t="shared" ca="1" si="6100"/>
        <v>0</v>
      </c>
      <c r="CC973" s="452">
        <f t="shared" ca="1" si="6100"/>
        <v>0</v>
      </c>
      <c r="CD973" s="452">
        <f t="shared" ca="1" si="6100"/>
        <v>0</v>
      </c>
      <c r="CE973" s="452">
        <f t="shared" ca="1" si="6100"/>
        <v>0</v>
      </c>
      <c r="CF973" s="452">
        <f t="shared" ca="1" si="6100"/>
        <v>0</v>
      </c>
      <c r="CG973" s="452">
        <f t="shared" ca="1" si="6100"/>
        <v>0</v>
      </c>
      <c r="CH973" s="452">
        <f t="shared" ca="1" si="6100"/>
        <v>0</v>
      </c>
      <c r="CI973" s="452">
        <f t="shared" ca="1" si="6100"/>
        <v>0</v>
      </c>
      <c r="CJ973" s="452">
        <f t="shared" ca="1" si="6100"/>
        <v>0</v>
      </c>
      <c r="CK973" s="452">
        <f t="shared" ca="1" si="6100"/>
        <v>0</v>
      </c>
      <c r="CL973" s="452">
        <f t="shared" ca="1" si="6100"/>
        <v>0</v>
      </c>
      <c r="CM973" s="452">
        <f t="shared" ca="1" si="6100"/>
        <v>0</v>
      </c>
      <c r="CN973" s="452">
        <f t="shared" ca="1" si="6100"/>
        <v>0</v>
      </c>
      <c r="CO973" s="452">
        <f t="shared" ca="1" si="6100"/>
        <v>0</v>
      </c>
    </row>
    <row r="974" spans="1:93">
      <c r="A974" s="10"/>
      <c r="B974" s="10"/>
      <c r="C974" s="17" t="s">
        <v>903</v>
      </c>
      <c r="D974" s="10"/>
      <c r="E974" s="10"/>
      <c r="F974" s="10"/>
      <c r="G974" s="134" t="str">
        <f>Monetary_Unit</f>
        <v>тыс. руб.</v>
      </c>
      <c r="H974" s="10"/>
      <c r="I974" s="23">
        <f ca="1">SUM(L974:CO974)</f>
        <v>-38547379.439622067</v>
      </c>
      <c r="J974" s="10"/>
      <c r="K974" s="10"/>
      <c r="L974" s="10">
        <f ca="1">L970-L973</f>
        <v>0</v>
      </c>
      <c r="M974" s="10">
        <f t="shared" ref="M974:BX974" ca="1" si="6101">M970-M973</f>
        <v>0</v>
      </c>
      <c r="N974" s="10">
        <f t="shared" ca="1" si="6101"/>
        <v>0</v>
      </c>
      <c r="O974" s="10">
        <f t="shared" ca="1" si="6101"/>
        <v>0</v>
      </c>
      <c r="P974" s="10">
        <f t="shared" ca="1" si="6101"/>
        <v>0</v>
      </c>
      <c r="Q974" s="10">
        <f t="shared" ca="1" si="6101"/>
        <v>0</v>
      </c>
      <c r="R974" s="10">
        <f t="shared" ca="1" si="6101"/>
        <v>0</v>
      </c>
      <c r="S974" s="10">
        <f t="shared" ca="1" si="6101"/>
        <v>0</v>
      </c>
      <c r="T974" s="10">
        <f t="shared" ca="1" si="6101"/>
        <v>0</v>
      </c>
      <c r="U974" s="10">
        <f t="shared" ca="1" si="6101"/>
        <v>0</v>
      </c>
      <c r="V974" s="10">
        <f t="shared" ca="1" si="6101"/>
        <v>0</v>
      </c>
      <c r="W974" s="10">
        <f t="shared" ca="1" si="6101"/>
        <v>0</v>
      </c>
      <c r="X974" s="10">
        <f t="shared" ca="1" si="6101"/>
        <v>0</v>
      </c>
      <c r="Y974" s="10">
        <f t="shared" ca="1" si="6101"/>
        <v>0</v>
      </c>
      <c r="Z974" s="10">
        <f t="shared" ca="1" si="6101"/>
        <v>0</v>
      </c>
      <c r="AA974" s="10">
        <f t="shared" ca="1" si="6101"/>
        <v>0</v>
      </c>
      <c r="AB974" s="10">
        <f t="shared" ca="1" si="6101"/>
        <v>0</v>
      </c>
      <c r="AC974" s="10">
        <f t="shared" ca="1" si="6101"/>
        <v>-338364.69457748812</v>
      </c>
      <c r="AD974" s="10">
        <f t="shared" ca="1" si="6101"/>
        <v>-440233.51075948874</v>
      </c>
      <c r="AE974" s="10">
        <f t="shared" ca="1" si="6101"/>
        <v>-260902.81296897485</v>
      </c>
      <c r="AF974" s="10">
        <f t="shared" ca="1" si="6101"/>
        <v>-256039.33641042063</v>
      </c>
      <c r="AG974" s="10">
        <f t="shared" ca="1" si="6101"/>
        <v>-403998.14006466302</v>
      </c>
      <c r="AH974" s="10">
        <f t="shared" ca="1" si="6101"/>
        <v>-523215.13660697942</v>
      </c>
      <c r="AI974" s="10">
        <f t="shared" ca="1" si="6101"/>
        <v>-308731.99285408959</v>
      </c>
      <c r="AJ974" s="10">
        <f t="shared" ca="1" si="6101"/>
        <v>-301753.52545773616</v>
      </c>
      <c r="AK974" s="10">
        <f t="shared" ca="1" si="6101"/>
        <v>-474340.87767948816</v>
      </c>
      <c r="AL974" s="10">
        <f t="shared" ca="1" si="6101"/>
        <v>-612130.91890505375</v>
      </c>
      <c r="AM974" s="10">
        <f t="shared" ca="1" si="6101"/>
        <v>-359970.06262926321</v>
      </c>
      <c r="AN974" s="10">
        <f t="shared" ca="1" si="6101"/>
        <v>-354611.34320440446</v>
      </c>
      <c r="AO974" s="10">
        <f t="shared" ca="1" si="6101"/>
        <v>-549663.95169612917</v>
      </c>
      <c r="AP974" s="10">
        <f t="shared" ca="1" si="6101"/>
        <v>-689645.45364490314</v>
      </c>
      <c r="AQ974" s="10">
        <f t="shared" ca="1" si="6101"/>
        <v>-394590.32912258612</v>
      </c>
      <c r="AR974" s="10">
        <f t="shared" ca="1" si="6101"/>
        <v>-374335.589413982</v>
      </c>
      <c r="AS974" s="10">
        <f t="shared" ca="1" si="6101"/>
        <v>-571651.22277057101</v>
      </c>
      <c r="AT974" s="10">
        <f t="shared" ca="1" si="6101"/>
        <v>-717231.99973528064</v>
      </c>
      <c r="AU974" s="10">
        <f t="shared" ca="1" si="6101"/>
        <v>-410374.67740480497</v>
      </c>
      <c r="AV974" s="10">
        <f t="shared" ca="1" si="6101"/>
        <v>-389309.01299054123</v>
      </c>
      <c r="AW974" s="10">
        <f t="shared" ca="1" si="6101"/>
        <v>-586465.74265078746</v>
      </c>
      <c r="AX974" s="10">
        <f t="shared" ca="1" si="6101"/>
        <v>-735818.43146604754</v>
      </c>
      <c r="AY974" s="10">
        <f t="shared" ca="1" si="6101"/>
        <v>-421010.81673520268</v>
      </c>
      <c r="AZ974" s="10">
        <f t="shared" ca="1" si="6101"/>
        <v>-399399.31868577609</v>
      </c>
      <c r="BA974" s="10">
        <f t="shared" ca="1" si="6101"/>
        <v>-609924.37235681852</v>
      </c>
      <c r="BB974" s="10">
        <f t="shared" ca="1" si="6101"/>
        <v>-765251.16872468952</v>
      </c>
      <c r="BC974" s="10">
        <f t="shared" ca="1" si="6101"/>
        <v>-437851.24940461077</v>
      </c>
      <c r="BD974" s="10">
        <f t="shared" ca="1" si="6101"/>
        <v>-419989.77823935129</v>
      </c>
      <c r="BE974" s="10">
        <f t="shared" ca="1" si="6101"/>
        <v>-634320.54521563894</v>
      </c>
      <c r="BF974" s="10">
        <f t="shared" ca="1" si="6101"/>
        <v>-795860.39663502329</v>
      </c>
      <c r="BG974" s="10">
        <f t="shared" ca="1" si="6101"/>
        <v>-455364.47247379133</v>
      </c>
      <c r="BH974" s="10">
        <f t="shared" ca="1" si="6101"/>
        <v>-431990.30309053528</v>
      </c>
      <c r="BI974" s="10">
        <f t="shared" ca="1" si="6101"/>
        <v>-659694.20114113495</v>
      </c>
      <c r="BJ974" s="10">
        <f t="shared" ca="1" si="6101"/>
        <v>-827695.66409262386</v>
      </c>
      <c r="BK974" s="10">
        <f t="shared" ca="1" si="6101"/>
        <v>-473579.91135602683</v>
      </c>
      <c r="BL974" s="10">
        <f t="shared" ca="1" si="6101"/>
        <v>-449269.91521415667</v>
      </c>
      <c r="BM974" s="10">
        <f t="shared" ca="1" si="6101"/>
        <v>-686081.96918678016</v>
      </c>
      <c r="BN974" s="10">
        <f t="shared" ca="1" si="6101"/>
        <v>-860803.49065632862</v>
      </c>
      <c r="BO974" s="10">
        <f t="shared" ca="1" si="6101"/>
        <v>-492523.10781026777</v>
      </c>
      <c r="BP974" s="10">
        <f t="shared" ca="1" si="6101"/>
        <v>-467240.71182272292</v>
      </c>
      <c r="BQ974" s="10">
        <f t="shared" ca="1" si="6101"/>
        <v>-713525.24795425136</v>
      </c>
      <c r="BR974" s="10">
        <f t="shared" ca="1" si="6101"/>
        <v>-895235.63028258167</v>
      </c>
      <c r="BS974" s="10">
        <f t="shared" ca="1" si="6101"/>
        <v>-512224.03212267824</v>
      </c>
      <c r="BT974" s="10">
        <f t="shared" ca="1" si="6101"/>
        <v>-491328.63718580664</v>
      </c>
      <c r="BU974" s="10">
        <f t="shared" ca="1" si="6101"/>
        <v>-742065.31960438204</v>
      </c>
      <c r="BV974" s="10">
        <f t="shared" ca="1" si="6101"/>
        <v>-931044.09756847634</v>
      </c>
      <c r="BW974" s="10">
        <f t="shared" ca="1" si="6101"/>
        <v>-532712.0260433486</v>
      </c>
      <c r="BX974" s="10">
        <f t="shared" ca="1" si="6101"/>
        <v>-505367.55390745687</v>
      </c>
      <c r="BY974" s="10">
        <f t="shared" ref="BY974:CO974" ca="1" si="6102">BY970-BY973</f>
        <v>-771748.90818731789</v>
      </c>
      <c r="BZ974" s="10">
        <f t="shared" ca="1" si="6102"/>
        <v>-968286.8577136402</v>
      </c>
      <c r="CA974" s="10">
        <f t="shared" ca="1" si="6102"/>
        <v>-554021.51314388867</v>
      </c>
      <c r="CB974" s="10">
        <f t="shared" ca="1" si="6102"/>
        <v>-525582.25606375502</v>
      </c>
      <c r="CC974" s="10">
        <f t="shared" ca="1" si="6102"/>
        <v>-802618.86451481062</v>
      </c>
      <c r="CD974" s="10">
        <f t="shared" ca="1" si="6102"/>
        <v>-1007018.3320221858</v>
      </c>
      <c r="CE974" s="10">
        <f t="shared" ca="1" si="6102"/>
        <v>-576182.37366964424</v>
      </c>
      <c r="CF974" s="10">
        <f t="shared" ca="1" si="6102"/>
        <v>-546605.54630630522</v>
      </c>
      <c r="CG974" s="10">
        <f t="shared" ca="1" si="6102"/>
        <v>-834723.61909540289</v>
      </c>
      <c r="CH974" s="10">
        <f t="shared" ca="1" si="6102"/>
        <v>-1047299.0653030727</v>
      </c>
      <c r="CI974" s="10">
        <f t="shared" ca="1" si="6102"/>
        <v>-599229.66861643014</v>
      </c>
      <c r="CJ974" s="10">
        <f t="shared" ca="1" si="6102"/>
        <v>-574785.01198494982</v>
      </c>
      <c r="CK974" s="10">
        <f t="shared" ca="1" si="6102"/>
        <v>-868111.46621832193</v>
      </c>
      <c r="CL974" s="10">
        <f t="shared" ca="1" si="6102"/>
        <v>-1089189.9072779571</v>
      </c>
      <c r="CM974" s="10">
        <f t="shared" ca="1" si="6102"/>
        <v>-623197.72368175432</v>
      </c>
      <c r="CN974" s="10">
        <f t="shared" ca="1" si="6102"/>
        <v>-591208.55888489971</v>
      </c>
      <c r="CO974" s="10">
        <f t="shared" ca="1" si="6102"/>
        <v>-902837.06641358766</v>
      </c>
    </row>
    <row r="975" spans="1:93">
      <c r="A975" s="10"/>
    </row>
    <row r="976" spans="1:93" ht="22.5" customHeight="1">
      <c r="A976" s="10"/>
      <c r="B976" s="5" t="s">
        <v>144</v>
      </c>
      <c r="C976" s="5"/>
      <c r="D976" s="15"/>
      <c r="E976" s="15"/>
      <c r="F976" s="31"/>
      <c r="G976" s="18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  <c r="BM976" s="31"/>
      <c r="BN976" s="31"/>
      <c r="BO976" s="31"/>
      <c r="BP976" s="31"/>
      <c r="BQ976" s="31"/>
      <c r="BR976" s="31"/>
      <c r="BS976" s="31"/>
      <c r="BT976" s="31"/>
      <c r="BU976" s="31"/>
      <c r="BV976" s="31"/>
      <c r="BW976" s="31"/>
      <c r="BX976" s="31"/>
      <c r="BY976" s="31"/>
      <c r="BZ976" s="31"/>
      <c r="CA976" s="31"/>
      <c r="CB976" s="31"/>
      <c r="CC976" s="31"/>
      <c r="CD976" s="31"/>
      <c r="CE976" s="31"/>
      <c r="CF976" s="31"/>
      <c r="CG976" s="31"/>
      <c r="CH976" s="31"/>
      <c r="CI976" s="31"/>
      <c r="CJ976" s="31"/>
      <c r="CK976" s="31"/>
      <c r="CL976" s="31"/>
      <c r="CM976" s="31"/>
      <c r="CN976" s="31"/>
      <c r="CO976" s="31"/>
    </row>
    <row r="977" spans="1:93">
      <c r="A977" s="10"/>
      <c r="B977" s="10"/>
      <c r="C977" s="10"/>
      <c r="D977" s="10"/>
      <c r="E977" s="10"/>
      <c r="F977" s="10"/>
      <c r="G977" s="11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  <c r="BB977" s="10"/>
      <c r="BC977" s="10"/>
      <c r="BD977" s="10"/>
      <c r="BE977" s="10"/>
      <c r="BF977" s="10"/>
      <c r="BG977" s="10"/>
      <c r="BH977" s="10"/>
      <c r="BI977" s="10"/>
      <c r="BJ977" s="10"/>
      <c r="BK977" s="10"/>
      <c r="BL977" s="10"/>
      <c r="BM977" s="10"/>
      <c r="BN977" s="10"/>
      <c r="BO977" s="10"/>
      <c r="BP977" s="10"/>
      <c r="BQ977" s="10"/>
      <c r="BR977" s="10"/>
      <c r="BS977" s="10"/>
      <c r="BT977" s="10"/>
      <c r="BU977" s="10"/>
      <c r="BV977" s="10"/>
      <c r="BW977" s="10"/>
      <c r="BX977" s="10"/>
      <c r="BY977" s="10"/>
      <c r="BZ977" s="10"/>
      <c r="CA977" s="10"/>
      <c r="CB977" s="10"/>
      <c r="CC977" s="10"/>
      <c r="CD977" s="10"/>
      <c r="CE977" s="10"/>
      <c r="CF977" s="10"/>
      <c r="CG977" s="10"/>
      <c r="CH977" s="10"/>
      <c r="CI977" s="10"/>
      <c r="CJ977" s="10"/>
      <c r="CK977" s="10"/>
      <c r="CL977" s="10"/>
      <c r="CM977" s="10"/>
      <c r="CN977" s="10"/>
      <c r="CO977" s="10"/>
    </row>
    <row r="978" spans="1:93">
      <c r="A978" s="10"/>
      <c r="B978" s="10"/>
      <c r="C978" s="17" t="s">
        <v>736</v>
      </c>
      <c r="D978" s="10"/>
      <c r="E978" s="178">
        <f>Предпосылки!E551</f>
        <v>3.0000000000000001E-3</v>
      </c>
      <c r="F978" s="3"/>
      <c r="G978" s="142" t="s">
        <v>737</v>
      </c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  <c r="BB978" s="10"/>
      <c r="BC978" s="10"/>
      <c r="BD978" s="10"/>
      <c r="BE978" s="10"/>
      <c r="BF978" s="10"/>
      <c r="BG978" s="10"/>
      <c r="BH978" s="10"/>
      <c r="BI978" s="10"/>
      <c r="BJ978" s="10"/>
      <c r="BK978" s="10"/>
      <c r="BL978" s="10"/>
      <c r="BM978" s="10"/>
      <c r="BN978" s="10"/>
      <c r="BO978" s="10"/>
      <c r="BP978" s="10"/>
      <c r="BQ978" s="10"/>
      <c r="BR978" s="10"/>
      <c r="BS978" s="10"/>
      <c r="BT978" s="10"/>
      <c r="BU978" s="10"/>
      <c r="BV978" s="10"/>
      <c r="BW978" s="10"/>
      <c r="BX978" s="10"/>
      <c r="BY978" s="10"/>
      <c r="BZ978" s="10"/>
      <c r="CA978" s="10"/>
      <c r="CB978" s="10"/>
      <c r="CC978" s="10"/>
      <c r="CD978" s="10"/>
      <c r="CE978" s="10"/>
      <c r="CF978" s="10"/>
      <c r="CG978" s="10"/>
      <c r="CH978" s="10"/>
      <c r="CI978" s="10"/>
      <c r="CJ978" s="10"/>
      <c r="CK978" s="10"/>
      <c r="CL978" s="10"/>
      <c r="CM978" s="10"/>
      <c r="CN978" s="10"/>
      <c r="CO978" s="10"/>
    </row>
    <row r="979" spans="1:93">
      <c r="A979" s="10"/>
      <c r="B979" s="10"/>
      <c r="C979" s="10"/>
      <c r="D979" s="10"/>
      <c r="E979" s="10"/>
      <c r="F979" s="10"/>
      <c r="G979" s="11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  <c r="BB979" s="10"/>
      <c r="BC979" s="10"/>
      <c r="BD979" s="10"/>
      <c r="BE979" s="10"/>
      <c r="BF979" s="10"/>
      <c r="BG979" s="10"/>
      <c r="BH979" s="10"/>
      <c r="BI979" s="10"/>
      <c r="BJ979" s="10"/>
      <c r="BK979" s="10"/>
      <c r="BL979" s="10"/>
      <c r="BM979" s="10"/>
      <c r="BN979" s="10"/>
      <c r="BO979" s="10"/>
      <c r="BP979" s="10"/>
      <c r="BQ979" s="10"/>
      <c r="BR979" s="10"/>
      <c r="BS979" s="10"/>
      <c r="BT979" s="10"/>
      <c r="BU979" s="10"/>
      <c r="BV979" s="10"/>
      <c r="BW979" s="10"/>
      <c r="BX979" s="10"/>
      <c r="BY979" s="10"/>
      <c r="BZ979" s="10"/>
      <c r="CA979" s="10"/>
      <c r="CB979" s="10"/>
      <c r="CC979" s="10"/>
      <c r="CD979" s="10"/>
      <c r="CE979" s="10"/>
      <c r="CF979" s="10"/>
      <c r="CG979" s="10"/>
      <c r="CH979" s="10"/>
      <c r="CI979" s="10"/>
      <c r="CJ979" s="10"/>
      <c r="CK979" s="10"/>
      <c r="CL979" s="10"/>
      <c r="CM979" s="10"/>
      <c r="CN979" s="10"/>
      <c r="CO979" s="10"/>
    </row>
    <row r="980" spans="1:93">
      <c r="A980" s="10"/>
      <c r="C980" s="17" t="s">
        <v>762</v>
      </c>
      <c r="E980" s="65">
        <f ca="1">SUM(CAPEX)+E273+E274</f>
        <v>4808399.504779838</v>
      </c>
      <c r="G980" s="207" t="str">
        <f>Monetary_Unit</f>
        <v>тыс. руб.</v>
      </c>
    </row>
    <row r="981" spans="1:93">
      <c r="A981" s="10"/>
      <c r="C981" s="17" t="s">
        <v>764</v>
      </c>
      <c r="E981" s="241">
        <f xml:space="preserve"> E978</f>
        <v>3.0000000000000001E-3</v>
      </c>
      <c r="G981" s="207" t="s">
        <v>28</v>
      </c>
    </row>
    <row r="982" spans="1:93">
      <c r="A982" s="10"/>
    </row>
    <row r="983" spans="1:93">
      <c r="A983" s="10"/>
      <c r="C983" s="17" t="s">
        <v>766</v>
      </c>
      <c r="G983" s="134" t="str">
        <f t="shared" si="5855"/>
        <v>тыс. руб.</v>
      </c>
      <c r="I983" s="23">
        <f ca="1">SUM(L983:CO983)</f>
        <v>234399.59558506194</v>
      </c>
      <c r="L983" s="10">
        <f t="shared" ref="L983:BW983" ca="1" si="6103" xml:space="preserve"> $E$980 * $E$981 * Period_length * Flag_Operations</f>
        <v>0</v>
      </c>
      <c r="M983" s="10">
        <f t="shared" ca="1" si="6103"/>
        <v>0</v>
      </c>
      <c r="N983" s="10">
        <f t="shared" ca="1" si="6103"/>
        <v>0</v>
      </c>
      <c r="O983" s="10">
        <f t="shared" ca="1" si="6103"/>
        <v>0</v>
      </c>
      <c r="P983" s="10">
        <f t="shared" ca="1" si="6103"/>
        <v>0</v>
      </c>
      <c r="Q983" s="10">
        <f t="shared" ca="1" si="6103"/>
        <v>0</v>
      </c>
      <c r="R983" s="10">
        <f t="shared" ca="1" si="6103"/>
        <v>0</v>
      </c>
      <c r="S983" s="10">
        <f t="shared" ca="1" si="6103"/>
        <v>0</v>
      </c>
      <c r="T983" s="10">
        <f t="shared" ca="1" si="6103"/>
        <v>0</v>
      </c>
      <c r="U983" s="10">
        <f t="shared" ca="1" si="6103"/>
        <v>0</v>
      </c>
      <c r="V983" s="10">
        <f t="shared" ca="1" si="6103"/>
        <v>0</v>
      </c>
      <c r="W983" s="10">
        <f t="shared" ca="1" si="6103"/>
        <v>0</v>
      </c>
      <c r="X983" s="10">
        <f t="shared" ca="1" si="6103"/>
        <v>0</v>
      </c>
      <c r="Y983" s="10">
        <f t="shared" ca="1" si="6103"/>
        <v>0</v>
      </c>
      <c r="Z983" s="10">
        <f t="shared" ca="1" si="6103"/>
        <v>0</v>
      </c>
      <c r="AA983" s="10">
        <f t="shared" ca="1" si="6103"/>
        <v>0</v>
      </c>
      <c r="AB983" s="10">
        <f t="shared" ca="1" si="6103"/>
        <v>0</v>
      </c>
      <c r="AC983" s="10">
        <f t="shared" ca="1" si="6103"/>
        <v>3596.4193556298515</v>
      </c>
      <c r="AD983" s="10">
        <f t="shared" ca="1" si="6103"/>
        <v>3635.9404474499602</v>
      </c>
      <c r="AE983" s="10">
        <f t="shared" ca="1" si="6103"/>
        <v>3635.9404474499602</v>
      </c>
      <c r="AF983" s="10">
        <f t="shared" ca="1" si="6103"/>
        <v>3556.8982638097432</v>
      </c>
      <c r="AG983" s="10">
        <f t="shared" ca="1" si="6103"/>
        <v>3596.4193556298515</v>
      </c>
      <c r="AH983" s="10">
        <f t="shared" ca="1" si="6103"/>
        <v>3635.9404474499602</v>
      </c>
      <c r="AI983" s="10">
        <f t="shared" ca="1" si="6103"/>
        <v>3635.9404474499602</v>
      </c>
      <c r="AJ983" s="10">
        <f t="shared" ca="1" si="6103"/>
        <v>3556.8982638097432</v>
      </c>
      <c r="AK983" s="10">
        <f t="shared" ca="1" si="6103"/>
        <v>3596.4193556298515</v>
      </c>
      <c r="AL983" s="10">
        <f t="shared" ca="1" si="6103"/>
        <v>3635.9404474499602</v>
      </c>
      <c r="AM983" s="10">
        <f t="shared" ca="1" si="6103"/>
        <v>3635.9404474499602</v>
      </c>
      <c r="AN983" s="10">
        <f t="shared" ca="1" si="6103"/>
        <v>3586.59307323742</v>
      </c>
      <c r="AO983" s="10">
        <f t="shared" ca="1" si="6103"/>
        <v>3586.59307323742</v>
      </c>
      <c r="AP983" s="10">
        <f t="shared" ca="1" si="6103"/>
        <v>3626.0061839323371</v>
      </c>
      <c r="AQ983" s="10">
        <f t="shared" ca="1" si="6103"/>
        <v>3626.0061839323371</v>
      </c>
      <c r="AR983" s="10">
        <f t="shared" ca="1" si="6103"/>
        <v>3556.8982638097432</v>
      </c>
      <c r="AS983" s="10">
        <f t="shared" ca="1" si="6103"/>
        <v>3596.4193556298515</v>
      </c>
      <c r="AT983" s="10">
        <f t="shared" ca="1" si="6103"/>
        <v>3635.9404474499602</v>
      </c>
      <c r="AU983" s="10">
        <f t="shared" ca="1" si="6103"/>
        <v>3635.9404474499602</v>
      </c>
      <c r="AV983" s="10">
        <f t="shared" ca="1" si="6103"/>
        <v>3556.8982638097432</v>
      </c>
      <c r="AW983" s="10">
        <f t="shared" ca="1" si="6103"/>
        <v>3596.4193556298515</v>
      </c>
      <c r="AX983" s="10">
        <f t="shared" ca="1" si="6103"/>
        <v>3635.9404474499602</v>
      </c>
      <c r="AY983" s="10">
        <f t="shared" ca="1" si="6103"/>
        <v>3635.9404474499602</v>
      </c>
      <c r="AZ983" s="10">
        <f t="shared" ca="1" si="6103"/>
        <v>3556.8982638097432</v>
      </c>
      <c r="BA983" s="10">
        <f t="shared" ca="1" si="6103"/>
        <v>3596.4193556298515</v>
      </c>
      <c r="BB983" s="10">
        <f t="shared" ca="1" si="6103"/>
        <v>3635.9404474499602</v>
      </c>
      <c r="BC983" s="10">
        <f t="shared" ca="1" si="6103"/>
        <v>3635.9404474499602</v>
      </c>
      <c r="BD983" s="10">
        <f t="shared" ca="1" si="6103"/>
        <v>3586.59307323742</v>
      </c>
      <c r="BE983" s="10">
        <f t="shared" ca="1" si="6103"/>
        <v>3586.59307323742</v>
      </c>
      <c r="BF983" s="10">
        <f t="shared" ca="1" si="6103"/>
        <v>3626.0061839323371</v>
      </c>
      <c r="BG983" s="10">
        <f t="shared" ca="1" si="6103"/>
        <v>3626.0061839323371</v>
      </c>
      <c r="BH983" s="10">
        <f t="shared" ca="1" si="6103"/>
        <v>3556.8982638097432</v>
      </c>
      <c r="BI983" s="10">
        <f t="shared" ca="1" si="6103"/>
        <v>3596.4193556298515</v>
      </c>
      <c r="BJ983" s="10">
        <f t="shared" ca="1" si="6103"/>
        <v>3635.9404474499602</v>
      </c>
      <c r="BK983" s="10">
        <f t="shared" ca="1" si="6103"/>
        <v>3635.9404474499602</v>
      </c>
      <c r="BL983" s="10">
        <f t="shared" ca="1" si="6103"/>
        <v>3556.8982638097432</v>
      </c>
      <c r="BM983" s="10">
        <f t="shared" ca="1" si="6103"/>
        <v>3596.4193556298515</v>
      </c>
      <c r="BN983" s="10">
        <f t="shared" ca="1" si="6103"/>
        <v>3635.9404474499602</v>
      </c>
      <c r="BO983" s="10">
        <f t="shared" ca="1" si="6103"/>
        <v>3635.9404474499602</v>
      </c>
      <c r="BP983" s="10">
        <f t="shared" ca="1" si="6103"/>
        <v>3556.8982638097432</v>
      </c>
      <c r="BQ983" s="10">
        <f t="shared" ca="1" si="6103"/>
        <v>3596.4193556298515</v>
      </c>
      <c r="BR983" s="10">
        <f t="shared" ca="1" si="6103"/>
        <v>3635.9404474499602</v>
      </c>
      <c r="BS983" s="10">
        <f t="shared" ca="1" si="6103"/>
        <v>3635.9404474499602</v>
      </c>
      <c r="BT983" s="10">
        <f t="shared" ca="1" si="6103"/>
        <v>3586.59307323742</v>
      </c>
      <c r="BU983" s="10">
        <f t="shared" ca="1" si="6103"/>
        <v>3586.59307323742</v>
      </c>
      <c r="BV983" s="10">
        <f t="shared" ca="1" si="6103"/>
        <v>3626.0061839323371</v>
      </c>
      <c r="BW983" s="10">
        <f t="shared" ca="1" si="6103"/>
        <v>3626.0061839323371</v>
      </c>
      <c r="BX983" s="10">
        <f t="shared" ref="BX983:CO983" ca="1" si="6104" xml:space="preserve"> $E$980 * $E$981 * Period_length * Flag_Operations</f>
        <v>3556.8982638097432</v>
      </c>
      <c r="BY983" s="10">
        <f t="shared" ca="1" si="6104"/>
        <v>3596.4193556298515</v>
      </c>
      <c r="BZ983" s="10">
        <f t="shared" ca="1" si="6104"/>
        <v>3635.9404474499602</v>
      </c>
      <c r="CA983" s="10">
        <f t="shared" ca="1" si="6104"/>
        <v>3635.9404474499602</v>
      </c>
      <c r="CB983" s="10">
        <f t="shared" ca="1" si="6104"/>
        <v>3556.8982638097432</v>
      </c>
      <c r="CC983" s="10">
        <f t="shared" ca="1" si="6104"/>
        <v>3596.4193556298515</v>
      </c>
      <c r="CD983" s="10">
        <f t="shared" ca="1" si="6104"/>
        <v>3635.9404474499602</v>
      </c>
      <c r="CE983" s="10">
        <f t="shared" ca="1" si="6104"/>
        <v>3635.9404474499602</v>
      </c>
      <c r="CF983" s="10">
        <f t="shared" ca="1" si="6104"/>
        <v>3556.8982638097432</v>
      </c>
      <c r="CG983" s="10">
        <f t="shared" ca="1" si="6104"/>
        <v>3596.4193556298515</v>
      </c>
      <c r="CH983" s="10">
        <f t="shared" ca="1" si="6104"/>
        <v>3635.9404474499602</v>
      </c>
      <c r="CI983" s="10">
        <f t="shared" ca="1" si="6104"/>
        <v>3635.9404474499602</v>
      </c>
      <c r="CJ983" s="10">
        <f t="shared" ca="1" si="6104"/>
        <v>3586.59307323742</v>
      </c>
      <c r="CK983" s="10">
        <f t="shared" ca="1" si="6104"/>
        <v>3586.59307323742</v>
      </c>
      <c r="CL983" s="10">
        <f t="shared" ca="1" si="6104"/>
        <v>3626.0061839323371</v>
      </c>
      <c r="CM983" s="10">
        <f t="shared" ca="1" si="6104"/>
        <v>3626.0061839323371</v>
      </c>
      <c r="CN983" s="10">
        <f t="shared" ca="1" si="6104"/>
        <v>3556.8982638097432</v>
      </c>
      <c r="CO983" s="10">
        <f t="shared" ca="1" si="6104"/>
        <v>3596.4193556298515</v>
      </c>
    </row>
    <row r="984" spans="1:93">
      <c r="A984" s="10"/>
      <c r="B984" s="10"/>
      <c r="C984" s="17" t="s">
        <v>767</v>
      </c>
      <c r="D984" s="10"/>
      <c r="E984" s="10"/>
      <c r="F984" s="10"/>
      <c r="G984" s="134" t="str">
        <f t="shared" si="5855"/>
        <v>тыс. руб.</v>
      </c>
      <c r="H984" s="10"/>
      <c r="I984" s="23">
        <f ca="1">SUM(L984:CO984)</f>
        <v>0</v>
      </c>
      <c r="J984" s="10"/>
      <c r="K984" s="10"/>
      <c r="L984" s="10">
        <f t="shared" ref="L984:BW984" ca="1" si="6105" xml:space="preserve"> Property_Tax * Flag_Operations</f>
        <v>0</v>
      </c>
      <c r="M984" s="10">
        <f t="shared" ca="1" si="6105"/>
        <v>0</v>
      </c>
      <c r="N984" s="10">
        <f t="shared" ca="1" si="6105"/>
        <v>0</v>
      </c>
      <c r="O984" s="10">
        <f t="shared" ca="1" si="6105"/>
        <v>0</v>
      </c>
      <c r="P984" s="10">
        <f t="shared" ca="1" si="6105"/>
        <v>0</v>
      </c>
      <c r="Q984" s="10">
        <f t="shared" ca="1" si="6105"/>
        <v>0</v>
      </c>
      <c r="R984" s="10">
        <f t="shared" ca="1" si="6105"/>
        <v>0</v>
      </c>
      <c r="S984" s="10">
        <f t="shared" ca="1" si="6105"/>
        <v>0</v>
      </c>
      <c r="T984" s="10">
        <f t="shared" ca="1" si="6105"/>
        <v>0</v>
      </c>
      <c r="U984" s="10">
        <f t="shared" ca="1" si="6105"/>
        <v>0</v>
      </c>
      <c r="V984" s="10">
        <f t="shared" ca="1" si="6105"/>
        <v>0</v>
      </c>
      <c r="W984" s="10">
        <f t="shared" ca="1" si="6105"/>
        <v>0</v>
      </c>
      <c r="X984" s="10">
        <f t="shared" ca="1" si="6105"/>
        <v>0</v>
      </c>
      <c r="Y984" s="10">
        <f t="shared" ca="1" si="6105"/>
        <v>0</v>
      </c>
      <c r="Z984" s="10">
        <f t="shared" ca="1" si="6105"/>
        <v>0</v>
      </c>
      <c r="AA984" s="10">
        <f t="shared" ca="1" si="6105"/>
        <v>0</v>
      </c>
      <c r="AB984" s="10">
        <f t="shared" ca="1" si="6105"/>
        <v>0</v>
      </c>
      <c r="AC984" s="10">
        <f t="shared" ca="1" si="6105"/>
        <v>0</v>
      </c>
      <c r="AD984" s="10">
        <f t="shared" ca="1" si="6105"/>
        <v>0</v>
      </c>
      <c r="AE984" s="10">
        <f t="shared" ca="1" si="6105"/>
        <v>0</v>
      </c>
      <c r="AF984" s="10">
        <f t="shared" ca="1" si="6105"/>
        <v>0</v>
      </c>
      <c r="AG984" s="10">
        <f t="shared" ca="1" si="6105"/>
        <v>0</v>
      </c>
      <c r="AH984" s="10">
        <f t="shared" ca="1" si="6105"/>
        <v>0</v>
      </c>
      <c r="AI984" s="10">
        <f t="shared" ca="1" si="6105"/>
        <v>0</v>
      </c>
      <c r="AJ984" s="10">
        <f t="shared" ca="1" si="6105"/>
        <v>0</v>
      </c>
      <c r="AK984" s="10">
        <f t="shared" ca="1" si="6105"/>
        <v>0</v>
      </c>
      <c r="AL984" s="10">
        <f t="shared" ca="1" si="6105"/>
        <v>0</v>
      </c>
      <c r="AM984" s="10">
        <f t="shared" ca="1" si="6105"/>
        <v>0</v>
      </c>
      <c r="AN984" s="10">
        <f t="shared" ca="1" si="6105"/>
        <v>0</v>
      </c>
      <c r="AO984" s="10">
        <f t="shared" ca="1" si="6105"/>
        <v>0</v>
      </c>
      <c r="AP984" s="10">
        <f t="shared" ca="1" si="6105"/>
        <v>0</v>
      </c>
      <c r="AQ984" s="10">
        <f t="shared" ca="1" si="6105"/>
        <v>0</v>
      </c>
      <c r="AR984" s="10">
        <f t="shared" ca="1" si="6105"/>
        <v>0</v>
      </c>
      <c r="AS984" s="10">
        <f t="shared" ca="1" si="6105"/>
        <v>0</v>
      </c>
      <c r="AT984" s="10">
        <f t="shared" ca="1" si="6105"/>
        <v>0</v>
      </c>
      <c r="AU984" s="10">
        <f t="shared" ca="1" si="6105"/>
        <v>0</v>
      </c>
      <c r="AV984" s="10">
        <f t="shared" ca="1" si="6105"/>
        <v>0</v>
      </c>
      <c r="AW984" s="10">
        <f t="shared" ca="1" si="6105"/>
        <v>0</v>
      </c>
      <c r="AX984" s="10">
        <f t="shared" ca="1" si="6105"/>
        <v>0</v>
      </c>
      <c r="AY984" s="10">
        <f t="shared" ca="1" si="6105"/>
        <v>0</v>
      </c>
      <c r="AZ984" s="10">
        <f t="shared" ca="1" si="6105"/>
        <v>0</v>
      </c>
      <c r="BA984" s="10">
        <f t="shared" ca="1" si="6105"/>
        <v>0</v>
      </c>
      <c r="BB984" s="10">
        <f t="shared" ca="1" si="6105"/>
        <v>0</v>
      </c>
      <c r="BC984" s="10">
        <f t="shared" ca="1" si="6105"/>
        <v>0</v>
      </c>
      <c r="BD984" s="10">
        <f t="shared" ca="1" si="6105"/>
        <v>0</v>
      </c>
      <c r="BE984" s="10">
        <f t="shared" ca="1" si="6105"/>
        <v>0</v>
      </c>
      <c r="BF984" s="10">
        <f t="shared" ca="1" si="6105"/>
        <v>0</v>
      </c>
      <c r="BG984" s="10">
        <f t="shared" ca="1" si="6105"/>
        <v>0</v>
      </c>
      <c r="BH984" s="10">
        <f t="shared" ca="1" si="6105"/>
        <v>0</v>
      </c>
      <c r="BI984" s="10">
        <f t="shared" ca="1" si="6105"/>
        <v>0</v>
      </c>
      <c r="BJ984" s="10">
        <f t="shared" ca="1" si="6105"/>
        <v>0</v>
      </c>
      <c r="BK984" s="10">
        <f t="shared" ca="1" si="6105"/>
        <v>0</v>
      </c>
      <c r="BL984" s="10">
        <f t="shared" ca="1" si="6105"/>
        <v>0</v>
      </c>
      <c r="BM984" s="10">
        <f t="shared" ca="1" si="6105"/>
        <v>0</v>
      </c>
      <c r="BN984" s="10">
        <f t="shared" ca="1" si="6105"/>
        <v>0</v>
      </c>
      <c r="BO984" s="10">
        <f t="shared" ca="1" si="6105"/>
        <v>0</v>
      </c>
      <c r="BP984" s="10">
        <f t="shared" ca="1" si="6105"/>
        <v>0</v>
      </c>
      <c r="BQ984" s="10">
        <f t="shared" ca="1" si="6105"/>
        <v>0</v>
      </c>
      <c r="BR984" s="10">
        <f t="shared" ca="1" si="6105"/>
        <v>0</v>
      </c>
      <c r="BS984" s="10">
        <f t="shared" ca="1" si="6105"/>
        <v>0</v>
      </c>
      <c r="BT984" s="10">
        <f t="shared" ca="1" si="6105"/>
        <v>0</v>
      </c>
      <c r="BU984" s="10">
        <f t="shared" ca="1" si="6105"/>
        <v>0</v>
      </c>
      <c r="BV984" s="10">
        <f t="shared" ca="1" si="6105"/>
        <v>0</v>
      </c>
      <c r="BW984" s="10">
        <f t="shared" ca="1" si="6105"/>
        <v>0</v>
      </c>
      <c r="BX984" s="10">
        <f t="shared" ref="BX984:CO984" ca="1" si="6106" xml:space="preserve"> Property_Tax * Flag_Operations</f>
        <v>0</v>
      </c>
      <c r="BY984" s="10">
        <f t="shared" ca="1" si="6106"/>
        <v>0</v>
      </c>
      <c r="BZ984" s="10">
        <f t="shared" ca="1" si="6106"/>
        <v>0</v>
      </c>
      <c r="CA984" s="10">
        <f t="shared" ca="1" si="6106"/>
        <v>0</v>
      </c>
      <c r="CB984" s="10">
        <f t="shared" ca="1" si="6106"/>
        <v>0</v>
      </c>
      <c r="CC984" s="10">
        <f t="shared" ca="1" si="6106"/>
        <v>0</v>
      </c>
      <c r="CD984" s="10">
        <f t="shared" ca="1" si="6106"/>
        <v>0</v>
      </c>
      <c r="CE984" s="10">
        <f t="shared" ca="1" si="6106"/>
        <v>0</v>
      </c>
      <c r="CF984" s="10">
        <f t="shared" ca="1" si="6106"/>
        <v>0</v>
      </c>
      <c r="CG984" s="10">
        <f t="shared" ca="1" si="6106"/>
        <v>0</v>
      </c>
      <c r="CH984" s="10">
        <f t="shared" ca="1" si="6106"/>
        <v>0</v>
      </c>
      <c r="CI984" s="10">
        <f t="shared" ca="1" si="6106"/>
        <v>0</v>
      </c>
      <c r="CJ984" s="10">
        <f t="shared" ca="1" si="6106"/>
        <v>0</v>
      </c>
      <c r="CK984" s="10">
        <f t="shared" ca="1" si="6106"/>
        <v>0</v>
      </c>
      <c r="CL984" s="10">
        <f t="shared" ca="1" si="6106"/>
        <v>0</v>
      </c>
      <c r="CM984" s="10">
        <f t="shared" ca="1" si="6106"/>
        <v>0</v>
      </c>
      <c r="CN984" s="10">
        <f t="shared" ca="1" si="6106"/>
        <v>0</v>
      </c>
      <c r="CO984" s="10">
        <f t="shared" ca="1" si="6106"/>
        <v>0</v>
      </c>
    </row>
    <row r="985" spans="1:93">
      <c r="A985" s="10"/>
      <c r="B985" s="10"/>
      <c r="C985" s="17" t="s">
        <v>1102</v>
      </c>
      <c r="D985" s="10"/>
      <c r="E985" s="10"/>
      <c r="F985" s="10"/>
      <c r="G985" s="134" t="str">
        <f t="shared" si="5855"/>
        <v>тыс. руб.</v>
      </c>
      <c r="H985" s="10"/>
      <c r="I985" s="23">
        <f t="shared" ref="I985" ca="1" si="6107">SUM(L985:CO985)</f>
        <v>0</v>
      </c>
      <c r="J985" s="10"/>
      <c r="K985" s="10"/>
      <c r="L985" s="10">
        <f t="shared" ref="L985:BW985" ca="1" si="6108" xml:space="preserve"> Land_Tax</f>
        <v>0</v>
      </c>
      <c r="M985" s="10">
        <f t="shared" ca="1" si="6108"/>
        <v>0</v>
      </c>
      <c r="N985" s="10">
        <f t="shared" ca="1" si="6108"/>
        <v>0</v>
      </c>
      <c r="O985" s="10">
        <f t="shared" ca="1" si="6108"/>
        <v>0</v>
      </c>
      <c r="P985" s="10">
        <f t="shared" ca="1" si="6108"/>
        <v>0</v>
      </c>
      <c r="Q985" s="10">
        <f t="shared" ca="1" si="6108"/>
        <v>0</v>
      </c>
      <c r="R985" s="10">
        <f t="shared" ca="1" si="6108"/>
        <v>0</v>
      </c>
      <c r="S985" s="10">
        <f t="shared" ca="1" si="6108"/>
        <v>0</v>
      </c>
      <c r="T985" s="10">
        <f t="shared" ca="1" si="6108"/>
        <v>0</v>
      </c>
      <c r="U985" s="10">
        <f t="shared" ca="1" si="6108"/>
        <v>0</v>
      </c>
      <c r="V985" s="10">
        <f t="shared" ca="1" si="6108"/>
        <v>0</v>
      </c>
      <c r="W985" s="10">
        <f t="shared" ca="1" si="6108"/>
        <v>0</v>
      </c>
      <c r="X985" s="10">
        <f t="shared" ca="1" si="6108"/>
        <v>0</v>
      </c>
      <c r="Y985" s="10">
        <f t="shared" ca="1" si="6108"/>
        <v>0</v>
      </c>
      <c r="Z985" s="10">
        <f t="shared" ca="1" si="6108"/>
        <v>0</v>
      </c>
      <c r="AA985" s="10">
        <f t="shared" ca="1" si="6108"/>
        <v>0</v>
      </c>
      <c r="AB985" s="10">
        <f t="shared" ca="1" si="6108"/>
        <v>0</v>
      </c>
      <c r="AC985" s="10">
        <f t="shared" ca="1" si="6108"/>
        <v>0</v>
      </c>
      <c r="AD985" s="10">
        <f t="shared" ca="1" si="6108"/>
        <v>0</v>
      </c>
      <c r="AE985" s="10">
        <f t="shared" ca="1" si="6108"/>
        <v>0</v>
      </c>
      <c r="AF985" s="10">
        <f t="shared" ca="1" si="6108"/>
        <v>0</v>
      </c>
      <c r="AG985" s="10">
        <f t="shared" ca="1" si="6108"/>
        <v>0</v>
      </c>
      <c r="AH985" s="10">
        <f t="shared" ca="1" si="6108"/>
        <v>0</v>
      </c>
      <c r="AI985" s="10">
        <f t="shared" ca="1" si="6108"/>
        <v>0</v>
      </c>
      <c r="AJ985" s="10">
        <f t="shared" ca="1" si="6108"/>
        <v>0</v>
      </c>
      <c r="AK985" s="10">
        <f t="shared" ca="1" si="6108"/>
        <v>0</v>
      </c>
      <c r="AL985" s="10">
        <f t="shared" ca="1" si="6108"/>
        <v>0</v>
      </c>
      <c r="AM985" s="10">
        <f t="shared" ca="1" si="6108"/>
        <v>0</v>
      </c>
      <c r="AN985" s="10">
        <f t="shared" ca="1" si="6108"/>
        <v>0</v>
      </c>
      <c r="AO985" s="10">
        <f t="shared" ca="1" si="6108"/>
        <v>0</v>
      </c>
      <c r="AP985" s="10">
        <f t="shared" ca="1" si="6108"/>
        <v>0</v>
      </c>
      <c r="AQ985" s="10">
        <f t="shared" ca="1" si="6108"/>
        <v>0</v>
      </c>
      <c r="AR985" s="10">
        <f t="shared" ca="1" si="6108"/>
        <v>0</v>
      </c>
      <c r="AS985" s="10">
        <f t="shared" ca="1" si="6108"/>
        <v>0</v>
      </c>
      <c r="AT985" s="10">
        <f t="shared" ca="1" si="6108"/>
        <v>0</v>
      </c>
      <c r="AU985" s="10">
        <f t="shared" ca="1" si="6108"/>
        <v>0</v>
      </c>
      <c r="AV985" s="10">
        <f t="shared" ca="1" si="6108"/>
        <v>0</v>
      </c>
      <c r="AW985" s="10">
        <f t="shared" ca="1" si="6108"/>
        <v>0</v>
      </c>
      <c r="AX985" s="10">
        <f t="shared" ca="1" si="6108"/>
        <v>0</v>
      </c>
      <c r="AY985" s="10">
        <f t="shared" ca="1" si="6108"/>
        <v>0</v>
      </c>
      <c r="AZ985" s="10">
        <f t="shared" ca="1" si="6108"/>
        <v>0</v>
      </c>
      <c r="BA985" s="10">
        <f t="shared" ca="1" si="6108"/>
        <v>0</v>
      </c>
      <c r="BB985" s="10">
        <f t="shared" ca="1" si="6108"/>
        <v>0</v>
      </c>
      <c r="BC985" s="10">
        <f t="shared" ca="1" si="6108"/>
        <v>0</v>
      </c>
      <c r="BD985" s="10">
        <f t="shared" ca="1" si="6108"/>
        <v>0</v>
      </c>
      <c r="BE985" s="10">
        <f t="shared" ca="1" si="6108"/>
        <v>0</v>
      </c>
      <c r="BF985" s="10">
        <f t="shared" ca="1" si="6108"/>
        <v>0</v>
      </c>
      <c r="BG985" s="10">
        <f t="shared" ca="1" si="6108"/>
        <v>0</v>
      </c>
      <c r="BH985" s="10">
        <f t="shared" ca="1" si="6108"/>
        <v>0</v>
      </c>
      <c r="BI985" s="10">
        <f t="shared" ca="1" si="6108"/>
        <v>0</v>
      </c>
      <c r="BJ985" s="10">
        <f t="shared" ca="1" si="6108"/>
        <v>0</v>
      </c>
      <c r="BK985" s="10">
        <f t="shared" ca="1" si="6108"/>
        <v>0</v>
      </c>
      <c r="BL985" s="10">
        <f t="shared" ca="1" si="6108"/>
        <v>0</v>
      </c>
      <c r="BM985" s="10">
        <f t="shared" ca="1" si="6108"/>
        <v>0</v>
      </c>
      <c r="BN985" s="10">
        <f t="shared" ca="1" si="6108"/>
        <v>0</v>
      </c>
      <c r="BO985" s="10">
        <f t="shared" ca="1" si="6108"/>
        <v>0</v>
      </c>
      <c r="BP985" s="10">
        <f t="shared" ca="1" si="6108"/>
        <v>0</v>
      </c>
      <c r="BQ985" s="10">
        <f t="shared" ca="1" si="6108"/>
        <v>0</v>
      </c>
      <c r="BR985" s="10">
        <f t="shared" ca="1" si="6108"/>
        <v>0</v>
      </c>
      <c r="BS985" s="10">
        <f t="shared" ca="1" si="6108"/>
        <v>0</v>
      </c>
      <c r="BT985" s="10">
        <f t="shared" ca="1" si="6108"/>
        <v>0</v>
      </c>
      <c r="BU985" s="10">
        <f t="shared" ca="1" si="6108"/>
        <v>0</v>
      </c>
      <c r="BV985" s="10">
        <f t="shared" ca="1" si="6108"/>
        <v>0</v>
      </c>
      <c r="BW985" s="10">
        <f t="shared" ca="1" si="6108"/>
        <v>0</v>
      </c>
      <c r="BX985" s="10">
        <f t="shared" ref="BX985:CO985" ca="1" si="6109" xml:space="preserve"> Land_Tax</f>
        <v>0</v>
      </c>
      <c r="BY985" s="10">
        <f t="shared" ca="1" si="6109"/>
        <v>0</v>
      </c>
      <c r="BZ985" s="10">
        <f t="shared" ca="1" si="6109"/>
        <v>0</v>
      </c>
      <c r="CA985" s="10">
        <f t="shared" ca="1" si="6109"/>
        <v>0</v>
      </c>
      <c r="CB985" s="10">
        <f t="shared" ca="1" si="6109"/>
        <v>0</v>
      </c>
      <c r="CC985" s="10">
        <f t="shared" ca="1" si="6109"/>
        <v>0</v>
      </c>
      <c r="CD985" s="10">
        <f t="shared" ca="1" si="6109"/>
        <v>0</v>
      </c>
      <c r="CE985" s="10">
        <f t="shared" ca="1" si="6109"/>
        <v>0</v>
      </c>
      <c r="CF985" s="10">
        <f t="shared" ca="1" si="6109"/>
        <v>0</v>
      </c>
      <c r="CG985" s="10">
        <f t="shared" ca="1" si="6109"/>
        <v>0</v>
      </c>
      <c r="CH985" s="10">
        <f t="shared" ca="1" si="6109"/>
        <v>0</v>
      </c>
      <c r="CI985" s="10">
        <f t="shared" ca="1" si="6109"/>
        <v>0</v>
      </c>
      <c r="CJ985" s="10">
        <f t="shared" ca="1" si="6109"/>
        <v>0</v>
      </c>
      <c r="CK985" s="10">
        <f t="shared" ca="1" si="6109"/>
        <v>0</v>
      </c>
      <c r="CL985" s="10">
        <f t="shared" ca="1" si="6109"/>
        <v>0</v>
      </c>
      <c r="CM985" s="10">
        <f t="shared" ca="1" si="6109"/>
        <v>0</v>
      </c>
      <c r="CN985" s="10">
        <f t="shared" ca="1" si="6109"/>
        <v>0</v>
      </c>
      <c r="CO985" s="10">
        <f t="shared" ca="1" si="6109"/>
        <v>0</v>
      </c>
    </row>
    <row r="986" spans="1:93">
      <c r="A986" s="10"/>
      <c r="B986" s="10"/>
      <c r="C986" s="17" t="s">
        <v>1201</v>
      </c>
      <c r="D986" s="10"/>
      <c r="E986" s="10"/>
      <c r="F986" s="10"/>
      <c r="G986" s="134" t="str">
        <f t="shared" si="5855"/>
        <v>тыс. руб.</v>
      </c>
      <c r="H986" s="10"/>
      <c r="I986" s="23">
        <f t="shared" ref="I986" si="6110">SUM(L986:CO986)</f>
        <v>0</v>
      </c>
      <c r="J986" s="10"/>
      <c r="K986" s="10"/>
      <c r="L986" s="10">
        <v>0</v>
      </c>
      <c r="M986" s="10">
        <v>0</v>
      </c>
      <c r="N986" s="10">
        <v>0</v>
      </c>
      <c r="O986" s="10">
        <v>0</v>
      </c>
      <c r="P986" s="10">
        <v>0</v>
      </c>
      <c r="Q986" s="10">
        <v>0</v>
      </c>
      <c r="R986" s="10">
        <v>0</v>
      </c>
      <c r="S986" s="10">
        <v>0</v>
      </c>
      <c r="T986" s="10">
        <v>0</v>
      </c>
      <c r="U986" s="10">
        <v>0</v>
      </c>
      <c r="V986" s="10">
        <v>0</v>
      </c>
      <c r="W986" s="10">
        <v>0</v>
      </c>
      <c r="X986" s="10">
        <v>0</v>
      </c>
      <c r="Y986" s="10">
        <v>0</v>
      </c>
      <c r="Z986" s="10">
        <v>0</v>
      </c>
      <c r="AA986" s="10">
        <v>0</v>
      </c>
      <c r="AB986" s="10">
        <v>0</v>
      </c>
      <c r="AC986" s="10">
        <v>0</v>
      </c>
      <c r="AD986" s="10">
        <v>0</v>
      </c>
      <c r="AE986" s="10">
        <v>0</v>
      </c>
      <c r="AF986" s="10">
        <v>0</v>
      </c>
      <c r="AG986" s="10">
        <v>0</v>
      </c>
      <c r="AH986" s="10">
        <v>0</v>
      </c>
      <c r="AI986" s="10">
        <v>0</v>
      </c>
      <c r="AJ986" s="10">
        <v>0</v>
      </c>
      <c r="AK986" s="10">
        <v>0</v>
      </c>
      <c r="AL986" s="10">
        <v>0</v>
      </c>
      <c r="AM986" s="10">
        <v>0</v>
      </c>
      <c r="AN986" s="10">
        <v>0</v>
      </c>
      <c r="AO986" s="10">
        <v>0</v>
      </c>
      <c r="AP986" s="10">
        <v>0</v>
      </c>
      <c r="AQ986" s="10">
        <v>0</v>
      </c>
      <c r="AR986" s="10">
        <v>0</v>
      </c>
      <c r="AS986" s="10">
        <v>0</v>
      </c>
      <c r="AT986" s="10">
        <v>0</v>
      </c>
      <c r="AU986" s="10">
        <v>0</v>
      </c>
      <c r="AV986" s="10">
        <v>0</v>
      </c>
      <c r="AW986" s="10">
        <v>0</v>
      </c>
      <c r="AX986" s="10">
        <v>0</v>
      </c>
      <c r="AY986" s="10">
        <v>0</v>
      </c>
      <c r="AZ986" s="10">
        <v>0</v>
      </c>
      <c r="BA986" s="10">
        <v>0</v>
      </c>
      <c r="BB986" s="10">
        <v>0</v>
      </c>
      <c r="BC986" s="10">
        <v>0</v>
      </c>
      <c r="BD986" s="10">
        <v>0</v>
      </c>
      <c r="BE986" s="10">
        <v>0</v>
      </c>
      <c r="BF986" s="10">
        <v>0</v>
      </c>
      <c r="BG986" s="10">
        <v>0</v>
      </c>
      <c r="BH986" s="10">
        <v>0</v>
      </c>
      <c r="BI986" s="10">
        <v>0</v>
      </c>
      <c r="BJ986" s="10">
        <v>0</v>
      </c>
      <c r="BK986" s="10">
        <v>0</v>
      </c>
      <c r="BL986" s="10">
        <v>0</v>
      </c>
      <c r="BM986" s="10">
        <v>0</v>
      </c>
      <c r="BN986" s="10">
        <v>0</v>
      </c>
      <c r="BO986" s="10">
        <v>0</v>
      </c>
      <c r="BP986" s="10">
        <v>0</v>
      </c>
      <c r="BQ986" s="10">
        <v>0</v>
      </c>
      <c r="BR986" s="10">
        <v>0</v>
      </c>
      <c r="BS986" s="10">
        <v>0</v>
      </c>
      <c r="BT986" s="10">
        <v>0</v>
      </c>
      <c r="BU986" s="10">
        <v>0</v>
      </c>
      <c r="BV986" s="10">
        <v>0</v>
      </c>
      <c r="BW986" s="10">
        <v>0</v>
      </c>
      <c r="BX986" s="10">
        <v>0</v>
      </c>
      <c r="BY986" s="10">
        <v>0</v>
      </c>
      <c r="BZ986" s="10">
        <v>0</v>
      </c>
      <c r="CA986" s="10">
        <v>0</v>
      </c>
      <c r="CB986" s="10">
        <v>0</v>
      </c>
      <c r="CC986" s="10">
        <v>0</v>
      </c>
      <c r="CD986" s="10">
        <v>0</v>
      </c>
      <c r="CE986" s="10">
        <v>0</v>
      </c>
      <c r="CF986" s="10">
        <v>0</v>
      </c>
      <c r="CG986" s="10">
        <v>0</v>
      </c>
      <c r="CH986" s="10">
        <v>0</v>
      </c>
      <c r="CI986" s="10">
        <v>0</v>
      </c>
      <c r="CJ986" s="10">
        <v>0</v>
      </c>
      <c r="CK986" s="10">
        <v>0</v>
      </c>
      <c r="CL986" s="10">
        <v>0</v>
      </c>
      <c r="CM986" s="10">
        <v>0</v>
      </c>
      <c r="CN986" s="10">
        <v>0</v>
      </c>
      <c r="CO986" s="10">
        <v>0</v>
      </c>
    </row>
    <row r="987" spans="1:93">
      <c r="A987" s="10"/>
      <c r="B987" s="10"/>
      <c r="C987" s="10"/>
      <c r="D987" s="10"/>
      <c r="E987" s="10"/>
      <c r="F987" s="10"/>
      <c r="G987" s="11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  <c r="BB987" s="10"/>
      <c r="BC987" s="10"/>
      <c r="BD987" s="10"/>
      <c r="BE987" s="10"/>
      <c r="BF987" s="10"/>
      <c r="BG987" s="10"/>
      <c r="BH987" s="10"/>
      <c r="BI987" s="10"/>
      <c r="BJ987" s="10"/>
      <c r="BK987" s="10"/>
      <c r="BL987" s="10"/>
      <c r="BM987" s="10"/>
      <c r="BN987" s="10"/>
      <c r="BO987" s="10"/>
      <c r="BP987" s="10"/>
      <c r="BQ987" s="10"/>
      <c r="BR987" s="10"/>
      <c r="BS987" s="10"/>
      <c r="BT987" s="10"/>
      <c r="BU987" s="10"/>
      <c r="BV987" s="10"/>
      <c r="BW987" s="10"/>
      <c r="BX987" s="10"/>
      <c r="BY987" s="10"/>
      <c r="BZ987" s="10"/>
      <c r="CA987" s="10"/>
      <c r="CB987" s="10"/>
      <c r="CC987" s="10"/>
      <c r="CD987" s="10"/>
      <c r="CE987" s="10"/>
      <c r="CF987" s="10"/>
      <c r="CG987" s="10"/>
      <c r="CH987" s="10"/>
      <c r="CI987" s="10"/>
      <c r="CJ987" s="10"/>
      <c r="CK987" s="10"/>
      <c r="CL987" s="10"/>
      <c r="CM987" s="10"/>
      <c r="CN987" s="10"/>
      <c r="CO987" s="10"/>
    </row>
    <row r="988" spans="1:93">
      <c r="A988" s="10"/>
      <c r="B988" s="10"/>
      <c r="C988" s="24" t="s">
        <v>144</v>
      </c>
      <c r="D988" s="24"/>
      <c r="E988" s="24"/>
      <c r="F988" s="24"/>
      <c r="G988" s="135" t="str">
        <f>Monetary_Unit</f>
        <v>тыс. руб.</v>
      </c>
      <c r="H988" s="24"/>
      <c r="I988" s="23">
        <f ca="1">SUM(L988:CO988)</f>
        <v>-234399.59558506194</v>
      </c>
      <c r="J988" s="36"/>
      <c r="K988" s="24"/>
      <c r="L988" s="24">
        <f ca="1" xml:space="preserve"> - SUM(L983:L986)</f>
        <v>0</v>
      </c>
      <c r="M988" s="24">
        <f t="shared" ref="M988:BX988" ca="1" si="6111" xml:space="preserve"> - SUM(M983:M986)</f>
        <v>0</v>
      </c>
      <c r="N988" s="24">
        <f t="shared" ca="1" si="6111"/>
        <v>0</v>
      </c>
      <c r="O988" s="24">
        <f t="shared" ca="1" si="6111"/>
        <v>0</v>
      </c>
      <c r="P988" s="24">
        <f t="shared" ca="1" si="6111"/>
        <v>0</v>
      </c>
      <c r="Q988" s="24">
        <f t="shared" ca="1" si="6111"/>
        <v>0</v>
      </c>
      <c r="R988" s="24">
        <f t="shared" ca="1" si="6111"/>
        <v>0</v>
      </c>
      <c r="S988" s="24">
        <f t="shared" ca="1" si="6111"/>
        <v>0</v>
      </c>
      <c r="T988" s="24">
        <f t="shared" ca="1" si="6111"/>
        <v>0</v>
      </c>
      <c r="U988" s="24">
        <f t="shared" ca="1" si="6111"/>
        <v>0</v>
      </c>
      <c r="V988" s="24">
        <f t="shared" ca="1" si="6111"/>
        <v>0</v>
      </c>
      <c r="W988" s="24">
        <f t="shared" ca="1" si="6111"/>
        <v>0</v>
      </c>
      <c r="X988" s="24">
        <f t="shared" ca="1" si="6111"/>
        <v>0</v>
      </c>
      <c r="Y988" s="24">
        <f t="shared" ca="1" si="6111"/>
        <v>0</v>
      </c>
      <c r="Z988" s="24">
        <f t="shared" ca="1" si="6111"/>
        <v>0</v>
      </c>
      <c r="AA988" s="24">
        <f t="shared" ca="1" si="6111"/>
        <v>0</v>
      </c>
      <c r="AB988" s="24">
        <f t="shared" ca="1" si="6111"/>
        <v>0</v>
      </c>
      <c r="AC988" s="24">
        <f t="shared" ca="1" si="6111"/>
        <v>-3596.4193556298515</v>
      </c>
      <c r="AD988" s="24">
        <f t="shared" ca="1" si="6111"/>
        <v>-3635.9404474499602</v>
      </c>
      <c r="AE988" s="24">
        <f t="shared" ca="1" si="6111"/>
        <v>-3635.9404474499602</v>
      </c>
      <c r="AF988" s="24">
        <f t="shared" ca="1" si="6111"/>
        <v>-3556.8982638097432</v>
      </c>
      <c r="AG988" s="24">
        <f t="shared" ca="1" si="6111"/>
        <v>-3596.4193556298515</v>
      </c>
      <c r="AH988" s="24">
        <f t="shared" ca="1" si="6111"/>
        <v>-3635.9404474499602</v>
      </c>
      <c r="AI988" s="24">
        <f t="shared" ca="1" si="6111"/>
        <v>-3635.9404474499602</v>
      </c>
      <c r="AJ988" s="24">
        <f t="shared" ca="1" si="6111"/>
        <v>-3556.8982638097432</v>
      </c>
      <c r="AK988" s="24">
        <f t="shared" ca="1" si="6111"/>
        <v>-3596.4193556298515</v>
      </c>
      <c r="AL988" s="24">
        <f t="shared" ca="1" si="6111"/>
        <v>-3635.9404474499602</v>
      </c>
      <c r="AM988" s="24">
        <f t="shared" ca="1" si="6111"/>
        <v>-3635.9404474499602</v>
      </c>
      <c r="AN988" s="24">
        <f t="shared" ca="1" si="6111"/>
        <v>-3586.59307323742</v>
      </c>
      <c r="AO988" s="24">
        <f t="shared" ca="1" si="6111"/>
        <v>-3586.59307323742</v>
      </c>
      <c r="AP988" s="24">
        <f t="shared" ca="1" si="6111"/>
        <v>-3626.0061839323371</v>
      </c>
      <c r="AQ988" s="24">
        <f t="shared" ca="1" si="6111"/>
        <v>-3626.0061839323371</v>
      </c>
      <c r="AR988" s="24">
        <f t="shared" ca="1" si="6111"/>
        <v>-3556.8982638097432</v>
      </c>
      <c r="AS988" s="24">
        <f t="shared" ca="1" si="6111"/>
        <v>-3596.4193556298515</v>
      </c>
      <c r="AT988" s="24">
        <f t="shared" ca="1" si="6111"/>
        <v>-3635.9404474499602</v>
      </c>
      <c r="AU988" s="24">
        <f t="shared" ca="1" si="6111"/>
        <v>-3635.9404474499602</v>
      </c>
      <c r="AV988" s="24">
        <f t="shared" ca="1" si="6111"/>
        <v>-3556.8982638097432</v>
      </c>
      <c r="AW988" s="24">
        <f t="shared" ca="1" si="6111"/>
        <v>-3596.4193556298515</v>
      </c>
      <c r="AX988" s="24">
        <f t="shared" ca="1" si="6111"/>
        <v>-3635.9404474499602</v>
      </c>
      <c r="AY988" s="24">
        <f t="shared" ca="1" si="6111"/>
        <v>-3635.9404474499602</v>
      </c>
      <c r="AZ988" s="24">
        <f t="shared" ca="1" si="6111"/>
        <v>-3556.8982638097432</v>
      </c>
      <c r="BA988" s="24">
        <f t="shared" ca="1" si="6111"/>
        <v>-3596.4193556298515</v>
      </c>
      <c r="BB988" s="24">
        <f t="shared" ca="1" si="6111"/>
        <v>-3635.9404474499602</v>
      </c>
      <c r="BC988" s="24">
        <f t="shared" ca="1" si="6111"/>
        <v>-3635.9404474499602</v>
      </c>
      <c r="BD988" s="24">
        <f t="shared" ca="1" si="6111"/>
        <v>-3586.59307323742</v>
      </c>
      <c r="BE988" s="24">
        <f t="shared" ca="1" si="6111"/>
        <v>-3586.59307323742</v>
      </c>
      <c r="BF988" s="24">
        <f t="shared" ca="1" si="6111"/>
        <v>-3626.0061839323371</v>
      </c>
      <c r="BG988" s="24">
        <f t="shared" ca="1" si="6111"/>
        <v>-3626.0061839323371</v>
      </c>
      <c r="BH988" s="24">
        <f t="shared" ca="1" si="6111"/>
        <v>-3556.8982638097432</v>
      </c>
      <c r="BI988" s="24">
        <f t="shared" ca="1" si="6111"/>
        <v>-3596.4193556298515</v>
      </c>
      <c r="BJ988" s="24">
        <f t="shared" ca="1" si="6111"/>
        <v>-3635.9404474499602</v>
      </c>
      <c r="BK988" s="24">
        <f t="shared" ca="1" si="6111"/>
        <v>-3635.9404474499602</v>
      </c>
      <c r="BL988" s="24">
        <f t="shared" ca="1" si="6111"/>
        <v>-3556.8982638097432</v>
      </c>
      <c r="BM988" s="24">
        <f t="shared" ca="1" si="6111"/>
        <v>-3596.4193556298515</v>
      </c>
      <c r="BN988" s="24">
        <f t="shared" ca="1" si="6111"/>
        <v>-3635.9404474499602</v>
      </c>
      <c r="BO988" s="24">
        <f t="shared" ca="1" si="6111"/>
        <v>-3635.9404474499602</v>
      </c>
      <c r="BP988" s="24">
        <f t="shared" ca="1" si="6111"/>
        <v>-3556.8982638097432</v>
      </c>
      <c r="BQ988" s="24">
        <f t="shared" ca="1" si="6111"/>
        <v>-3596.4193556298515</v>
      </c>
      <c r="BR988" s="24">
        <f t="shared" ca="1" si="6111"/>
        <v>-3635.9404474499602</v>
      </c>
      <c r="BS988" s="24">
        <f t="shared" ca="1" si="6111"/>
        <v>-3635.9404474499602</v>
      </c>
      <c r="BT988" s="24">
        <f t="shared" ca="1" si="6111"/>
        <v>-3586.59307323742</v>
      </c>
      <c r="BU988" s="24">
        <f t="shared" ca="1" si="6111"/>
        <v>-3586.59307323742</v>
      </c>
      <c r="BV988" s="24">
        <f t="shared" ca="1" si="6111"/>
        <v>-3626.0061839323371</v>
      </c>
      <c r="BW988" s="24">
        <f t="shared" ca="1" si="6111"/>
        <v>-3626.0061839323371</v>
      </c>
      <c r="BX988" s="24">
        <f t="shared" ca="1" si="6111"/>
        <v>-3556.8982638097432</v>
      </c>
      <c r="BY988" s="24">
        <f t="shared" ref="BY988:CO988" ca="1" si="6112" xml:space="preserve"> - SUM(BY983:BY986)</f>
        <v>-3596.4193556298515</v>
      </c>
      <c r="BZ988" s="24">
        <f t="shared" ca="1" si="6112"/>
        <v>-3635.9404474499602</v>
      </c>
      <c r="CA988" s="24">
        <f t="shared" ca="1" si="6112"/>
        <v>-3635.9404474499602</v>
      </c>
      <c r="CB988" s="24">
        <f t="shared" ca="1" si="6112"/>
        <v>-3556.8982638097432</v>
      </c>
      <c r="CC988" s="24">
        <f t="shared" ca="1" si="6112"/>
        <v>-3596.4193556298515</v>
      </c>
      <c r="CD988" s="24">
        <f t="shared" ca="1" si="6112"/>
        <v>-3635.9404474499602</v>
      </c>
      <c r="CE988" s="24">
        <f t="shared" ca="1" si="6112"/>
        <v>-3635.9404474499602</v>
      </c>
      <c r="CF988" s="24">
        <f t="shared" ca="1" si="6112"/>
        <v>-3556.8982638097432</v>
      </c>
      <c r="CG988" s="24">
        <f t="shared" ca="1" si="6112"/>
        <v>-3596.4193556298515</v>
      </c>
      <c r="CH988" s="24">
        <f t="shared" ca="1" si="6112"/>
        <v>-3635.9404474499602</v>
      </c>
      <c r="CI988" s="24">
        <f t="shared" ca="1" si="6112"/>
        <v>-3635.9404474499602</v>
      </c>
      <c r="CJ988" s="24">
        <f t="shared" ca="1" si="6112"/>
        <v>-3586.59307323742</v>
      </c>
      <c r="CK988" s="24">
        <f t="shared" ca="1" si="6112"/>
        <v>-3586.59307323742</v>
      </c>
      <c r="CL988" s="24">
        <f t="shared" ca="1" si="6112"/>
        <v>-3626.0061839323371</v>
      </c>
      <c r="CM988" s="24">
        <f t="shared" ca="1" si="6112"/>
        <v>-3626.0061839323371</v>
      </c>
      <c r="CN988" s="24">
        <f t="shared" ca="1" si="6112"/>
        <v>-3556.8982638097432</v>
      </c>
      <c r="CO988" s="24">
        <f t="shared" ca="1" si="6112"/>
        <v>-3596.4193556298515</v>
      </c>
    </row>
    <row r="989" spans="1:93">
      <c r="A989" s="10"/>
      <c r="B989" s="10"/>
      <c r="C989" s="21"/>
      <c r="D989" s="10"/>
      <c r="E989" s="10"/>
      <c r="F989" s="10"/>
      <c r="G989" s="11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  <c r="BB989" s="10"/>
      <c r="BC989" s="10"/>
      <c r="BD989" s="10"/>
      <c r="BE989" s="10"/>
      <c r="BF989" s="10"/>
      <c r="BG989" s="10"/>
      <c r="BH989" s="10"/>
      <c r="BI989" s="10"/>
      <c r="BJ989" s="10"/>
      <c r="BK989" s="10"/>
      <c r="BL989" s="10"/>
      <c r="BM989" s="10"/>
      <c r="BN989" s="10"/>
      <c r="BO989" s="10"/>
      <c r="BP989" s="10"/>
      <c r="BQ989" s="10"/>
      <c r="BR989" s="10"/>
      <c r="BS989" s="10"/>
      <c r="BT989" s="10"/>
      <c r="BU989" s="10"/>
      <c r="BV989" s="10"/>
      <c r="BW989" s="10"/>
      <c r="BX989" s="10"/>
      <c r="BY989" s="10"/>
      <c r="BZ989" s="10"/>
      <c r="CA989" s="10"/>
      <c r="CB989" s="10"/>
      <c r="CC989" s="10"/>
      <c r="CD989" s="10"/>
      <c r="CE989" s="10"/>
      <c r="CF989" s="10"/>
      <c r="CG989" s="10"/>
      <c r="CH989" s="10"/>
      <c r="CI989" s="10"/>
      <c r="CJ989" s="10"/>
      <c r="CK989" s="10"/>
      <c r="CL989" s="10"/>
      <c r="CM989" s="10"/>
      <c r="CN989" s="10"/>
      <c r="CO989" s="10"/>
    </row>
    <row r="990" spans="1:93">
      <c r="A990" s="10"/>
      <c r="B990" s="10"/>
      <c r="C990" s="17" t="s">
        <v>130</v>
      </c>
      <c r="D990" s="10"/>
      <c r="E990" s="10"/>
      <c r="F990" s="10"/>
      <c r="G990" s="11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  <c r="BB990" s="10"/>
      <c r="BC990" s="10"/>
      <c r="BD990" s="10"/>
      <c r="BE990" s="10"/>
      <c r="BF990" s="10"/>
      <c r="BG990" s="10"/>
      <c r="BH990" s="10"/>
      <c r="BI990" s="10"/>
      <c r="BJ990" s="10"/>
      <c r="BK990" s="10"/>
      <c r="BL990" s="10"/>
      <c r="BM990" s="10"/>
      <c r="BN990" s="10"/>
      <c r="BO990" s="10"/>
      <c r="BP990" s="10"/>
      <c r="BQ990" s="10"/>
      <c r="BR990" s="10"/>
      <c r="BS990" s="10"/>
      <c r="BT990" s="10"/>
      <c r="BU990" s="10"/>
      <c r="BV990" s="10"/>
      <c r="BW990" s="10"/>
      <c r="BX990" s="10"/>
      <c r="BY990" s="10"/>
      <c r="BZ990" s="10"/>
      <c r="CA990" s="10"/>
      <c r="CB990" s="10"/>
      <c r="CC990" s="10"/>
      <c r="CD990" s="10"/>
      <c r="CE990" s="10"/>
      <c r="CF990" s="10"/>
      <c r="CG990" s="10"/>
      <c r="CH990" s="10"/>
      <c r="CI990" s="10"/>
      <c r="CJ990" s="10"/>
      <c r="CK990" s="10"/>
      <c r="CL990" s="10"/>
      <c r="CM990" s="10"/>
      <c r="CN990" s="10"/>
      <c r="CO990" s="10"/>
    </row>
    <row r="991" spans="1:93">
      <c r="A991" s="10"/>
      <c r="B991" s="10"/>
      <c r="C991" s="21" t="s">
        <v>899</v>
      </c>
      <c r="D991" s="10"/>
      <c r="E991" s="10"/>
      <c r="F991" s="10"/>
      <c r="G991" s="134" t="str">
        <f>Monetary_Unit</f>
        <v>тыс. руб.</v>
      </c>
      <c r="H991" s="10"/>
      <c r="I991" s="23">
        <f ca="1">SUM(L991:CO991)</f>
        <v>0</v>
      </c>
      <c r="J991" s="10"/>
      <c r="K991" s="10"/>
      <c r="L991" s="52">
        <f t="shared" ref="L991:AQ991" ca="1" si="6113">-SUM(L983,L985,L986)*Flag_Construction</f>
        <v>0</v>
      </c>
      <c r="M991" s="52">
        <f t="shared" ca="1" si="6113"/>
        <v>0</v>
      </c>
      <c r="N991" s="52">
        <f t="shared" ca="1" si="6113"/>
        <v>0</v>
      </c>
      <c r="O991" s="52">
        <f t="shared" ca="1" si="6113"/>
        <v>0</v>
      </c>
      <c r="P991" s="52">
        <f t="shared" ca="1" si="6113"/>
        <v>0</v>
      </c>
      <c r="Q991" s="52">
        <f t="shared" ca="1" si="6113"/>
        <v>0</v>
      </c>
      <c r="R991" s="52">
        <f t="shared" ca="1" si="6113"/>
        <v>0</v>
      </c>
      <c r="S991" s="52">
        <f t="shared" ca="1" si="6113"/>
        <v>0</v>
      </c>
      <c r="T991" s="52">
        <f t="shared" ca="1" si="6113"/>
        <v>0</v>
      </c>
      <c r="U991" s="52">
        <f t="shared" ca="1" si="6113"/>
        <v>0</v>
      </c>
      <c r="V991" s="52">
        <f t="shared" ca="1" si="6113"/>
        <v>0</v>
      </c>
      <c r="W991" s="52">
        <f t="shared" ca="1" si="6113"/>
        <v>0</v>
      </c>
      <c r="X991" s="52">
        <f t="shared" ca="1" si="6113"/>
        <v>0</v>
      </c>
      <c r="Y991" s="52">
        <f t="shared" ca="1" si="6113"/>
        <v>0</v>
      </c>
      <c r="Z991" s="52">
        <f t="shared" ca="1" si="6113"/>
        <v>0</v>
      </c>
      <c r="AA991" s="52">
        <f t="shared" ca="1" si="6113"/>
        <v>0</v>
      </c>
      <c r="AB991" s="52">
        <f t="shared" ca="1" si="6113"/>
        <v>0</v>
      </c>
      <c r="AC991" s="52">
        <f t="shared" ca="1" si="6113"/>
        <v>0</v>
      </c>
      <c r="AD991" s="52">
        <f t="shared" ca="1" si="6113"/>
        <v>0</v>
      </c>
      <c r="AE991" s="52">
        <f t="shared" ca="1" si="6113"/>
        <v>0</v>
      </c>
      <c r="AF991" s="52">
        <f t="shared" ca="1" si="6113"/>
        <v>0</v>
      </c>
      <c r="AG991" s="52">
        <f t="shared" ca="1" si="6113"/>
        <v>0</v>
      </c>
      <c r="AH991" s="52">
        <f t="shared" ca="1" si="6113"/>
        <v>0</v>
      </c>
      <c r="AI991" s="52">
        <f t="shared" ca="1" si="6113"/>
        <v>0</v>
      </c>
      <c r="AJ991" s="52">
        <f t="shared" ca="1" si="6113"/>
        <v>0</v>
      </c>
      <c r="AK991" s="52">
        <f t="shared" ca="1" si="6113"/>
        <v>0</v>
      </c>
      <c r="AL991" s="52">
        <f t="shared" ca="1" si="6113"/>
        <v>0</v>
      </c>
      <c r="AM991" s="52">
        <f t="shared" ca="1" si="6113"/>
        <v>0</v>
      </c>
      <c r="AN991" s="52">
        <f t="shared" ca="1" si="6113"/>
        <v>0</v>
      </c>
      <c r="AO991" s="52">
        <f t="shared" ca="1" si="6113"/>
        <v>0</v>
      </c>
      <c r="AP991" s="52">
        <f t="shared" ca="1" si="6113"/>
        <v>0</v>
      </c>
      <c r="AQ991" s="52">
        <f t="shared" ca="1" si="6113"/>
        <v>0</v>
      </c>
      <c r="AR991" s="52">
        <f t="shared" ref="AR991:BW991" ca="1" si="6114">-SUM(AR983,AR985,AR986)*Flag_Construction</f>
        <v>0</v>
      </c>
      <c r="AS991" s="52">
        <f t="shared" ca="1" si="6114"/>
        <v>0</v>
      </c>
      <c r="AT991" s="52">
        <f t="shared" ca="1" si="6114"/>
        <v>0</v>
      </c>
      <c r="AU991" s="52">
        <f t="shared" ca="1" si="6114"/>
        <v>0</v>
      </c>
      <c r="AV991" s="52">
        <f t="shared" ca="1" si="6114"/>
        <v>0</v>
      </c>
      <c r="AW991" s="52">
        <f t="shared" ca="1" si="6114"/>
        <v>0</v>
      </c>
      <c r="AX991" s="52">
        <f t="shared" ca="1" si="6114"/>
        <v>0</v>
      </c>
      <c r="AY991" s="52">
        <f t="shared" ca="1" si="6114"/>
        <v>0</v>
      </c>
      <c r="AZ991" s="52">
        <f t="shared" ca="1" si="6114"/>
        <v>0</v>
      </c>
      <c r="BA991" s="52">
        <f t="shared" ca="1" si="6114"/>
        <v>0</v>
      </c>
      <c r="BB991" s="52">
        <f t="shared" ca="1" si="6114"/>
        <v>0</v>
      </c>
      <c r="BC991" s="52">
        <f t="shared" ca="1" si="6114"/>
        <v>0</v>
      </c>
      <c r="BD991" s="52">
        <f t="shared" ca="1" si="6114"/>
        <v>0</v>
      </c>
      <c r="BE991" s="52">
        <f t="shared" ca="1" si="6114"/>
        <v>0</v>
      </c>
      <c r="BF991" s="52">
        <f t="shared" ca="1" si="6114"/>
        <v>0</v>
      </c>
      <c r="BG991" s="52">
        <f t="shared" ca="1" si="6114"/>
        <v>0</v>
      </c>
      <c r="BH991" s="52">
        <f t="shared" ca="1" si="6114"/>
        <v>0</v>
      </c>
      <c r="BI991" s="52">
        <f t="shared" ca="1" si="6114"/>
        <v>0</v>
      </c>
      <c r="BJ991" s="52">
        <f t="shared" ca="1" si="6114"/>
        <v>0</v>
      </c>
      <c r="BK991" s="52">
        <f t="shared" ca="1" si="6114"/>
        <v>0</v>
      </c>
      <c r="BL991" s="52">
        <f t="shared" ca="1" si="6114"/>
        <v>0</v>
      </c>
      <c r="BM991" s="52">
        <f t="shared" ca="1" si="6114"/>
        <v>0</v>
      </c>
      <c r="BN991" s="52">
        <f t="shared" ca="1" si="6114"/>
        <v>0</v>
      </c>
      <c r="BO991" s="52">
        <f t="shared" ca="1" si="6114"/>
        <v>0</v>
      </c>
      <c r="BP991" s="52">
        <f t="shared" ca="1" si="6114"/>
        <v>0</v>
      </c>
      <c r="BQ991" s="52">
        <f t="shared" ca="1" si="6114"/>
        <v>0</v>
      </c>
      <c r="BR991" s="52">
        <f t="shared" ca="1" si="6114"/>
        <v>0</v>
      </c>
      <c r="BS991" s="52">
        <f t="shared" ca="1" si="6114"/>
        <v>0</v>
      </c>
      <c r="BT991" s="52">
        <f t="shared" ca="1" si="6114"/>
        <v>0</v>
      </c>
      <c r="BU991" s="52">
        <f t="shared" ca="1" si="6114"/>
        <v>0</v>
      </c>
      <c r="BV991" s="52">
        <f t="shared" ca="1" si="6114"/>
        <v>0</v>
      </c>
      <c r="BW991" s="52">
        <f t="shared" ca="1" si="6114"/>
        <v>0</v>
      </c>
      <c r="BX991" s="52">
        <f t="shared" ref="BX991:CO991" ca="1" si="6115">-SUM(BX983,BX985,BX986)*Flag_Construction</f>
        <v>0</v>
      </c>
      <c r="BY991" s="52">
        <f t="shared" ca="1" si="6115"/>
        <v>0</v>
      </c>
      <c r="BZ991" s="52">
        <f t="shared" ca="1" si="6115"/>
        <v>0</v>
      </c>
      <c r="CA991" s="52">
        <f t="shared" ca="1" si="6115"/>
        <v>0</v>
      </c>
      <c r="CB991" s="52">
        <f t="shared" ca="1" si="6115"/>
        <v>0</v>
      </c>
      <c r="CC991" s="52">
        <f t="shared" ca="1" si="6115"/>
        <v>0</v>
      </c>
      <c r="CD991" s="52">
        <f t="shared" ca="1" si="6115"/>
        <v>0</v>
      </c>
      <c r="CE991" s="52">
        <f t="shared" ca="1" si="6115"/>
        <v>0</v>
      </c>
      <c r="CF991" s="52">
        <f t="shared" ca="1" si="6115"/>
        <v>0</v>
      </c>
      <c r="CG991" s="52">
        <f t="shared" ca="1" si="6115"/>
        <v>0</v>
      </c>
      <c r="CH991" s="52">
        <f t="shared" ca="1" si="6115"/>
        <v>0</v>
      </c>
      <c r="CI991" s="52">
        <f t="shared" ca="1" si="6115"/>
        <v>0</v>
      </c>
      <c r="CJ991" s="52">
        <f t="shared" ca="1" si="6115"/>
        <v>0</v>
      </c>
      <c r="CK991" s="52">
        <f t="shared" ca="1" si="6115"/>
        <v>0</v>
      </c>
      <c r="CL991" s="52">
        <f t="shared" ca="1" si="6115"/>
        <v>0</v>
      </c>
      <c r="CM991" s="52">
        <f t="shared" ca="1" si="6115"/>
        <v>0</v>
      </c>
      <c r="CN991" s="52">
        <f t="shared" ca="1" si="6115"/>
        <v>0</v>
      </c>
      <c r="CO991" s="52">
        <f t="shared" ca="1" si="6115"/>
        <v>0</v>
      </c>
    </row>
    <row r="992" spans="1:93">
      <c r="A992" s="10"/>
      <c r="B992" s="10"/>
      <c r="C992" s="21" t="s">
        <v>900</v>
      </c>
      <c r="D992" s="10"/>
      <c r="E992" s="10"/>
      <c r="F992" s="10"/>
      <c r="G992" s="134" t="str">
        <f>Monetary_Unit</f>
        <v>тыс. руб.</v>
      </c>
      <c r="H992" s="10"/>
      <c r="I992" s="23">
        <f ca="1">SUM(L992:CO992)</f>
        <v>-234399.59558506194</v>
      </c>
      <c r="J992" s="10"/>
      <c r="K992" s="10"/>
      <c r="L992" s="52">
        <f ca="1">L988-L991</f>
        <v>0</v>
      </c>
      <c r="M992" s="52">
        <f t="shared" ref="M992:BX992" ca="1" si="6116">M988-M991</f>
        <v>0</v>
      </c>
      <c r="N992" s="52">
        <f t="shared" ca="1" si="6116"/>
        <v>0</v>
      </c>
      <c r="O992" s="52">
        <f t="shared" ca="1" si="6116"/>
        <v>0</v>
      </c>
      <c r="P992" s="52">
        <f t="shared" ca="1" si="6116"/>
        <v>0</v>
      </c>
      <c r="Q992" s="52">
        <f t="shared" ca="1" si="6116"/>
        <v>0</v>
      </c>
      <c r="R992" s="52">
        <f t="shared" ca="1" si="6116"/>
        <v>0</v>
      </c>
      <c r="S992" s="52">
        <f t="shared" ca="1" si="6116"/>
        <v>0</v>
      </c>
      <c r="T992" s="52">
        <f t="shared" ca="1" si="6116"/>
        <v>0</v>
      </c>
      <c r="U992" s="52">
        <f t="shared" ca="1" si="6116"/>
        <v>0</v>
      </c>
      <c r="V992" s="52">
        <f t="shared" ca="1" si="6116"/>
        <v>0</v>
      </c>
      <c r="W992" s="52">
        <f t="shared" ca="1" si="6116"/>
        <v>0</v>
      </c>
      <c r="X992" s="52">
        <f t="shared" ca="1" si="6116"/>
        <v>0</v>
      </c>
      <c r="Y992" s="52">
        <f t="shared" ca="1" si="6116"/>
        <v>0</v>
      </c>
      <c r="Z992" s="52">
        <f t="shared" ca="1" si="6116"/>
        <v>0</v>
      </c>
      <c r="AA992" s="52">
        <f t="shared" ca="1" si="6116"/>
        <v>0</v>
      </c>
      <c r="AB992" s="52">
        <f t="shared" ca="1" si="6116"/>
        <v>0</v>
      </c>
      <c r="AC992" s="52">
        <f t="shared" ca="1" si="6116"/>
        <v>-3596.4193556298515</v>
      </c>
      <c r="AD992" s="52">
        <f t="shared" ca="1" si="6116"/>
        <v>-3635.9404474499602</v>
      </c>
      <c r="AE992" s="52">
        <f t="shared" ca="1" si="6116"/>
        <v>-3635.9404474499602</v>
      </c>
      <c r="AF992" s="52">
        <f t="shared" ca="1" si="6116"/>
        <v>-3556.8982638097432</v>
      </c>
      <c r="AG992" s="52">
        <f t="shared" ca="1" si="6116"/>
        <v>-3596.4193556298515</v>
      </c>
      <c r="AH992" s="52">
        <f t="shared" ca="1" si="6116"/>
        <v>-3635.9404474499602</v>
      </c>
      <c r="AI992" s="52">
        <f t="shared" ca="1" si="6116"/>
        <v>-3635.9404474499602</v>
      </c>
      <c r="AJ992" s="52">
        <f t="shared" ca="1" si="6116"/>
        <v>-3556.8982638097432</v>
      </c>
      <c r="AK992" s="52">
        <f t="shared" ca="1" si="6116"/>
        <v>-3596.4193556298515</v>
      </c>
      <c r="AL992" s="52">
        <f t="shared" ca="1" si="6116"/>
        <v>-3635.9404474499602</v>
      </c>
      <c r="AM992" s="52">
        <f t="shared" ca="1" si="6116"/>
        <v>-3635.9404474499602</v>
      </c>
      <c r="AN992" s="52">
        <f t="shared" ca="1" si="6116"/>
        <v>-3586.59307323742</v>
      </c>
      <c r="AO992" s="52">
        <f t="shared" ca="1" si="6116"/>
        <v>-3586.59307323742</v>
      </c>
      <c r="AP992" s="52">
        <f t="shared" ca="1" si="6116"/>
        <v>-3626.0061839323371</v>
      </c>
      <c r="AQ992" s="52">
        <f t="shared" ca="1" si="6116"/>
        <v>-3626.0061839323371</v>
      </c>
      <c r="AR992" s="52">
        <f t="shared" ca="1" si="6116"/>
        <v>-3556.8982638097432</v>
      </c>
      <c r="AS992" s="52">
        <f t="shared" ca="1" si="6116"/>
        <v>-3596.4193556298515</v>
      </c>
      <c r="AT992" s="52">
        <f t="shared" ca="1" si="6116"/>
        <v>-3635.9404474499602</v>
      </c>
      <c r="AU992" s="52">
        <f t="shared" ca="1" si="6116"/>
        <v>-3635.9404474499602</v>
      </c>
      <c r="AV992" s="52">
        <f t="shared" ca="1" si="6116"/>
        <v>-3556.8982638097432</v>
      </c>
      <c r="AW992" s="52">
        <f t="shared" ca="1" si="6116"/>
        <v>-3596.4193556298515</v>
      </c>
      <c r="AX992" s="52">
        <f t="shared" ca="1" si="6116"/>
        <v>-3635.9404474499602</v>
      </c>
      <c r="AY992" s="52">
        <f t="shared" ca="1" si="6116"/>
        <v>-3635.9404474499602</v>
      </c>
      <c r="AZ992" s="52">
        <f t="shared" ca="1" si="6116"/>
        <v>-3556.8982638097432</v>
      </c>
      <c r="BA992" s="52">
        <f t="shared" ca="1" si="6116"/>
        <v>-3596.4193556298515</v>
      </c>
      <c r="BB992" s="52">
        <f t="shared" ca="1" si="6116"/>
        <v>-3635.9404474499602</v>
      </c>
      <c r="BC992" s="52">
        <f t="shared" ca="1" si="6116"/>
        <v>-3635.9404474499602</v>
      </c>
      <c r="BD992" s="52">
        <f t="shared" ca="1" si="6116"/>
        <v>-3586.59307323742</v>
      </c>
      <c r="BE992" s="52">
        <f t="shared" ca="1" si="6116"/>
        <v>-3586.59307323742</v>
      </c>
      <c r="BF992" s="52">
        <f t="shared" ca="1" si="6116"/>
        <v>-3626.0061839323371</v>
      </c>
      <c r="BG992" s="52">
        <f t="shared" ca="1" si="6116"/>
        <v>-3626.0061839323371</v>
      </c>
      <c r="BH992" s="52">
        <f t="shared" ca="1" si="6116"/>
        <v>-3556.8982638097432</v>
      </c>
      <c r="BI992" s="52">
        <f t="shared" ca="1" si="6116"/>
        <v>-3596.4193556298515</v>
      </c>
      <c r="BJ992" s="52">
        <f t="shared" ca="1" si="6116"/>
        <v>-3635.9404474499602</v>
      </c>
      <c r="BK992" s="52">
        <f t="shared" ca="1" si="6116"/>
        <v>-3635.9404474499602</v>
      </c>
      <c r="BL992" s="52">
        <f t="shared" ca="1" si="6116"/>
        <v>-3556.8982638097432</v>
      </c>
      <c r="BM992" s="52">
        <f t="shared" ca="1" si="6116"/>
        <v>-3596.4193556298515</v>
      </c>
      <c r="BN992" s="52">
        <f t="shared" ca="1" si="6116"/>
        <v>-3635.9404474499602</v>
      </c>
      <c r="BO992" s="52">
        <f t="shared" ca="1" si="6116"/>
        <v>-3635.9404474499602</v>
      </c>
      <c r="BP992" s="52">
        <f t="shared" ca="1" si="6116"/>
        <v>-3556.8982638097432</v>
      </c>
      <c r="BQ992" s="52">
        <f t="shared" ca="1" si="6116"/>
        <v>-3596.4193556298515</v>
      </c>
      <c r="BR992" s="52">
        <f t="shared" ca="1" si="6116"/>
        <v>-3635.9404474499602</v>
      </c>
      <c r="BS992" s="52">
        <f t="shared" ca="1" si="6116"/>
        <v>-3635.9404474499602</v>
      </c>
      <c r="BT992" s="52">
        <f t="shared" ca="1" si="6116"/>
        <v>-3586.59307323742</v>
      </c>
      <c r="BU992" s="52">
        <f t="shared" ca="1" si="6116"/>
        <v>-3586.59307323742</v>
      </c>
      <c r="BV992" s="52">
        <f t="shared" ca="1" si="6116"/>
        <v>-3626.0061839323371</v>
      </c>
      <c r="BW992" s="52">
        <f t="shared" ca="1" si="6116"/>
        <v>-3626.0061839323371</v>
      </c>
      <c r="BX992" s="52">
        <f t="shared" ca="1" si="6116"/>
        <v>-3556.8982638097432</v>
      </c>
      <c r="BY992" s="52">
        <f t="shared" ref="BY992:CO992" ca="1" si="6117">BY988-BY991</f>
        <v>-3596.4193556298515</v>
      </c>
      <c r="BZ992" s="52">
        <f t="shared" ca="1" si="6117"/>
        <v>-3635.9404474499602</v>
      </c>
      <c r="CA992" s="52">
        <f t="shared" ca="1" si="6117"/>
        <v>-3635.9404474499602</v>
      </c>
      <c r="CB992" s="52">
        <f t="shared" ca="1" si="6117"/>
        <v>-3556.8982638097432</v>
      </c>
      <c r="CC992" s="52">
        <f t="shared" ca="1" si="6117"/>
        <v>-3596.4193556298515</v>
      </c>
      <c r="CD992" s="52">
        <f t="shared" ca="1" si="6117"/>
        <v>-3635.9404474499602</v>
      </c>
      <c r="CE992" s="52">
        <f t="shared" ca="1" si="6117"/>
        <v>-3635.9404474499602</v>
      </c>
      <c r="CF992" s="52">
        <f t="shared" ca="1" si="6117"/>
        <v>-3556.8982638097432</v>
      </c>
      <c r="CG992" s="52">
        <f t="shared" ca="1" si="6117"/>
        <v>-3596.4193556298515</v>
      </c>
      <c r="CH992" s="52">
        <f t="shared" ca="1" si="6117"/>
        <v>-3635.9404474499602</v>
      </c>
      <c r="CI992" s="52">
        <f t="shared" ca="1" si="6117"/>
        <v>-3635.9404474499602</v>
      </c>
      <c r="CJ992" s="52">
        <f t="shared" ca="1" si="6117"/>
        <v>-3586.59307323742</v>
      </c>
      <c r="CK992" s="52">
        <f t="shared" ca="1" si="6117"/>
        <v>-3586.59307323742</v>
      </c>
      <c r="CL992" s="52">
        <f t="shared" ca="1" si="6117"/>
        <v>-3626.0061839323371</v>
      </c>
      <c r="CM992" s="52">
        <f t="shared" ca="1" si="6117"/>
        <v>-3626.0061839323371</v>
      </c>
      <c r="CN992" s="52">
        <f t="shared" ca="1" si="6117"/>
        <v>-3556.8982638097432</v>
      </c>
      <c r="CO992" s="52">
        <f t="shared" ca="1" si="6117"/>
        <v>-3596.4193556298515</v>
      </c>
    </row>
    <row r="993" spans="1:94">
      <c r="A993" s="10"/>
      <c r="B993" s="10"/>
      <c r="C993" s="21"/>
      <c r="D993" s="10"/>
      <c r="E993" s="10"/>
      <c r="F993" s="10"/>
      <c r="G993" s="11"/>
      <c r="H993" s="11"/>
      <c r="I993" s="11"/>
      <c r="J993" s="11"/>
      <c r="K993" s="11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  <c r="BB993" s="10"/>
      <c r="BC993" s="10"/>
      <c r="BD993" s="10"/>
      <c r="BE993" s="10"/>
      <c r="BF993" s="10"/>
      <c r="BG993" s="10"/>
      <c r="BH993" s="10"/>
      <c r="BI993" s="10"/>
      <c r="BJ993" s="10"/>
      <c r="BK993" s="10"/>
      <c r="BL993" s="10"/>
      <c r="BM993" s="10"/>
      <c r="BN993" s="10"/>
      <c r="BO993" s="10"/>
      <c r="BP993" s="10"/>
      <c r="BQ993" s="10"/>
      <c r="BR993" s="10"/>
      <c r="BS993" s="10"/>
      <c r="BT993" s="10"/>
      <c r="BU993" s="10"/>
      <c r="BV993" s="10"/>
      <c r="BW993" s="10"/>
      <c r="BX993" s="10"/>
      <c r="BY993" s="10"/>
      <c r="BZ993" s="10"/>
      <c r="CA993" s="10"/>
      <c r="CB993" s="10"/>
      <c r="CC993" s="10"/>
      <c r="CD993" s="10"/>
      <c r="CE993" s="10"/>
      <c r="CF993" s="10"/>
      <c r="CG993" s="10"/>
      <c r="CH993" s="10"/>
      <c r="CI993" s="10"/>
      <c r="CJ993" s="10"/>
      <c r="CK993" s="10"/>
      <c r="CL993" s="10"/>
      <c r="CM993" s="10"/>
      <c r="CN993" s="10"/>
      <c r="CO993" s="10"/>
    </row>
    <row r="994" spans="1:94">
      <c r="A994" s="10"/>
      <c r="B994" s="10"/>
      <c r="C994" s="21" t="s">
        <v>901</v>
      </c>
      <c r="D994" s="10"/>
      <c r="E994" s="10"/>
      <c r="F994" s="10"/>
      <c r="G994" s="134" t="str">
        <f>Monetary_Unit</f>
        <v>тыс. руб.</v>
      </c>
      <c r="H994" s="10"/>
      <c r="I994" s="23">
        <f>SUM(L994:CO994)</f>
        <v>0</v>
      </c>
      <c r="J994" s="11"/>
      <c r="K994" s="11"/>
      <c r="L994" s="10">
        <f>L986</f>
        <v>0</v>
      </c>
      <c r="M994" s="10">
        <f t="shared" ref="M994:BX994" si="6118">M986</f>
        <v>0</v>
      </c>
      <c r="N994" s="10">
        <f t="shared" si="6118"/>
        <v>0</v>
      </c>
      <c r="O994" s="10">
        <f t="shared" si="6118"/>
        <v>0</v>
      </c>
      <c r="P994" s="10">
        <f t="shared" si="6118"/>
        <v>0</v>
      </c>
      <c r="Q994" s="10">
        <f t="shared" si="6118"/>
        <v>0</v>
      </c>
      <c r="R994" s="10">
        <f t="shared" si="6118"/>
        <v>0</v>
      </c>
      <c r="S994" s="10">
        <f t="shared" si="6118"/>
        <v>0</v>
      </c>
      <c r="T994" s="10">
        <f t="shared" si="6118"/>
        <v>0</v>
      </c>
      <c r="U994" s="10">
        <f t="shared" si="6118"/>
        <v>0</v>
      </c>
      <c r="V994" s="10">
        <f t="shared" si="6118"/>
        <v>0</v>
      </c>
      <c r="W994" s="10">
        <f t="shared" si="6118"/>
        <v>0</v>
      </c>
      <c r="X994" s="10">
        <f t="shared" si="6118"/>
        <v>0</v>
      </c>
      <c r="Y994" s="10">
        <f t="shared" si="6118"/>
        <v>0</v>
      </c>
      <c r="Z994" s="10">
        <f t="shared" si="6118"/>
        <v>0</v>
      </c>
      <c r="AA994" s="10">
        <f t="shared" si="6118"/>
        <v>0</v>
      </c>
      <c r="AB994" s="10">
        <f t="shared" si="6118"/>
        <v>0</v>
      </c>
      <c r="AC994" s="10">
        <f t="shared" si="6118"/>
        <v>0</v>
      </c>
      <c r="AD994" s="10">
        <f t="shared" si="6118"/>
        <v>0</v>
      </c>
      <c r="AE994" s="10">
        <f t="shared" si="6118"/>
        <v>0</v>
      </c>
      <c r="AF994" s="10">
        <f t="shared" si="6118"/>
        <v>0</v>
      </c>
      <c r="AG994" s="10">
        <f t="shared" si="6118"/>
        <v>0</v>
      </c>
      <c r="AH994" s="10">
        <f t="shared" si="6118"/>
        <v>0</v>
      </c>
      <c r="AI994" s="10">
        <f t="shared" si="6118"/>
        <v>0</v>
      </c>
      <c r="AJ994" s="10">
        <f t="shared" si="6118"/>
        <v>0</v>
      </c>
      <c r="AK994" s="10">
        <f t="shared" si="6118"/>
        <v>0</v>
      </c>
      <c r="AL994" s="10">
        <f t="shared" si="6118"/>
        <v>0</v>
      </c>
      <c r="AM994" s="10">
        <f t="shared" si="6118"/>
        <v>0</v>
      </c>
      <c r="AN994" s="10">
        <f t="shared" si="6118"/>
        <v>0</v>
      </c>
      <c r="AO994" s="10">
        <f t="shared" si="6118"/>
        <v>0</v>
      </c>
      <c r="AP994" s="10">
        <f t="shared" si="6118"/>
        <v>0</v>
      </c>
      <c r="AQ994" s="10">
        <f t="shared" si="6118"/>
        <v>0</v>
      </c>
      <c r="AR994" s="10">
        <f t="shared" si="6118"/>
        <v>0</v>
      </c>
      <c r="AS994" s="10">
        <f t="shared" si="6118"/>
        <v>0</v>
      </c>
      <c r="AT994" s="10">
        <f t="shared" si="6118"/>
        <v>0</v>
      </c>
      <c r="AU994" s="10">
        <f t="shared" si="6118"/>
        <v>0</v>
      </c>
      <c r="AV994" s="10">
        <f t="shared" si="6118"/>
        <v>0</v>
      </c>
      <c r="AW994" s="10">
        <f t="shared" si="6118"/>
        <v>0</v>
      </c>
      <c r="AX994" s="10">
        <f t="shared" si="6118"/>
        <v>0</v>
      </c>
      <c r="AY994" s="10">
        <f t="shared" si="6118"/>
        <v>0</v>
      </c>
      <c r="AZ994" s="10">
        <f t="shared" si="6118"/>
        <v>0</v>
      </c>
      <c r="BA994" s="10">
        <f t="shared" si="6118"/>
        <v>0</v>
      </c>
      <c r="BB994" s="10">
        <f t="shared" si="6118"/>
        <v>0</v>
      </c>
      <c r="BC994" s="10">
        <f t="shared" si="6118"/>
        <v>0</v>
      </c>
      <c r="BD994" s="10">
        <f t="shared" si="6118"/>
        <v>0</v>
      </c>
      <c r="BE994" s="10">
        <f t="shared" si="6118"/>
        <v>0</v>
      </c>
      <c r="BF994" s="10">
        <f t="shared" si="6118"/>
        <v>0</v>
      </c>
      <c r="BG994" s="10">
        <f t="shared" si="6118"/>
        <v>0</v>
      </c>
      <c r="BH994" s="10">
        <f t="shared" si="6118"/>
        <v>0</v>
      </c>
      <c r="BI994" s="10">
        <f t="shared" si="6118"/>
        <v>0</v>
      </c>
      <c r="BJ994" s="10">
        <f t="shared" si="6118"/>
        <v>0</v>
      </c>
      <c r="BK994" s="10">
        <f t="shared" si="6118"/>
        <v>0</v>
      </c>
      <c r="BL994" s="10">
        <f t="shared" si="6118"/>
        <v>0</v>
      </c>
      <c r="BM994" s="10">
        <f t="shared" si="6118"/>
        <v>0</v>
      </c>
      <c r="BN994" s="10">
        <f t="shared" si="6118"/>
        <v>0</v>
      </c>
      <c r="BO994" s="10">
        <f t="shared" si="6118"/>
        <v>0</v>
      </c>
      <c r="BP994" s="10">
        <f t="shared" si="6118"/>
        <v>0</v>
      </c>
      <c r="BQ994" s="10">
        <f t="shared" si="6118"/>
        <v>0</v>
      </c>
      <c r="BR994" s="10">
        <f t="shared" si="6118"/>
        <v>0</v>
      </c>
      <c r="BS994" s="10">
        <f t="shared" si="6118"/>
        <v>0</v>
      </c>
      <c r="BT994" s="10">
        <f t="shared" si="6118"/>
        <v>0</v>
      </c>
      <c r="BU994" s="10">
        <f t="shared" si="6118"/>
        <v>0</v>
      </c>
      <c r="BV994" s="10">
        <f t="shared" si="6118"/>
        <v>0</v>
      </c>
      <c r="BW994" s="10">
        <f t="shared" si="6118"/>
        <v>0</v>
      </c>
      <c r="BX994" s="10">
        <f t="shared" si="6118"/>
        <v>0</v>
      </c>
      <c r="BY994" s="10">
        <f t="shared" ref="BY994:CP994" si="6119">BY986</f>
        <v>0</v>
      </c>
      <c r="BZ994" s="10">
        <f t="shared" si="6119"/>
        <v>0</v>
      </c>
      <c r="CA994" s="10">
        <f t="shared" si="6119"/>
        <v>0</v>
      </c>
      <c r="CB994" s="10">
        <f t="shared" si="6119"/>
        <v>0</v>
      </c>
      <c r="CC994" s="10">
        <f t="shared" si="6119"/>
        <v>0</v>
      </c>
      <c r="CD994" s="10">
        <f t="shared" si="6119"/>
        <v>0</v>
      </c>
      <c r="CE994" s="10">
        <f t="shared" si="6119"/>
        <v>0</v>
      </c>
      <c r="CF994" s="10">
        <f t="shared" si="6119"/>
        <v>0</v>
      </c>
      <c r="CG994" s="10">
        <f t="shared" si="6119"/>
        <v>0</v>
      </c>
      <c r="CH994" s="10">
        <f t="shared" si="6119"/>
        <v>0</v>
      </c>
      <c r="CI994" s="10">
        <f t="shared" si="6119"/>
        <v>0</v>
      </c>
      <c r="CJ994" s="10">
        <f t="shared" si="6119"/>
        <v>0</v>
      </c>
      <c r="CK994" s="10">
        <f t="shared" si="6119"/>
        <v>0</v>
      </c>
      <c r="CL994" s="10">
        <f t="shared" si="6119"/>
        <v>0</v>
      </c>
      <c r="CM994" s="10">
        <f t="shared" si="6119"/>
        <v>0</v>
      </c>
      <c r="CN994" s="10">
        <f t="shared" si="6119"/>
        <v>0</v>
      </c>
      <c r="CO994" s="10">
        <f t="shared" si="6119"/>
        <v>0</v>
      </c>
      <c r="CP994" s="10">
        <f t="shared" si="6119"/>
        <v>0</v>
      </c>
    </row>
    <row r="995" spans="1:94">
      <c r="A995" s="10"/>
    </row>
    <row r="996" spans="1:94" ht="22.5" customHeight="1">
      <c r="A996" s="10" t="s">
        <v>113</v>
      </c>
      <c r="B996" s="5" t="s">
        <v>98</v>
      </c>
      <c r="C996" s="5"/>
      <c r="D996" s="15"/>
      <c r="E996" s="15"/>
      <c r="F996" s="31"/>
      <c r="G996" s="18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  <c r="BM996" s="31"/>
      <c r="BN996" s="31"/>
      <c r="BO996" s="31"/>
      <c r="BP996" s="31"/>
      <c r="BQ996" s="31"/>
      <c r="BR996" s="31"/>
      <c r="BS996" s="31"/>
      <c r="BT996" s="31"/>
      <c r="BU996" s="31"/>
      <c r="BV996" s="31"/>
      <c r="BW996" s="31"/>
      <c r="BX996" s="31"/>
      <c r="BY996" s="31"/>
      <c r="BZ996" s="31"/>
      <c r="CA996" s="31"/>
      <c r="CB996" s="31"/>
      <c r="CC996" s="31"/>
      <c r="CD996" s="31"/>
      <c r="CE996" s="31"/>
      <c r="CF996" s="31"/>
      <c r="CG996" s="31"/>
      <c r="CH996" s="31"/>
      <c r="CI996" s="31"/>
      <c r="CJ996" s="31"/>
      <c r="CK996" s="31"/>
      <c r="CL996" s="31"/>
      <c r="CM996" s="31"/>
      <c r="CN996" s="31"/>
      <c r="CO996" s="31"/>
    </row>
    <row r="997" spans="1:94">
      <c r="A997" s="10"/>
      <c r="B997" s="10"/>
      <c r="C997" s="17"/>
      <c r="D997" s="10"/>
      <c r="E997" s="10"/>
      <c r="F997" s="10"/>
      <c r="G997" s="11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  <c r="BB997" s="10"/>
      <c r="BC997" s="10"/>
      <c r="BD997" s="10"/>
      <c r="BE997" s="10"/>
      <c r="BF997" s="10"/>
      <c r="BG997" s="10"/>
      <c r="BH997" s="10"/>
      <c r="BI997" s="10"/>
      <c r="BJ997" s="10"/>
      <c r="BK997" s="10"/>
      <c r="BL997" s="10"/>
      <c r="BM997" s="10"/>
      <c r="BN997" s="10"/>
      <c r="BO997" s="10"/>
      <c r="BP997" s="10"/>
      <c r="BQ997" s="10"/>
      <c r="BR997" s="10"/>
      <c r="BS997" s="10"/>
      <c r="BT997" s="10"/>
      <c r="BU997" s="10"/>
      <c r="BV997" s="10"/>
      <c r="BW997" s="10"/>
      <c r="BX997" s="10"/>
      <c r="BY997" s="10"/>
      <c r="BZ997" s="10"/>
      <c r="CA997" s="10"/>
      <c r="CB997" s="10"/>
      <c r="CC997" s="10"/>
      <c r="CD997" s="10"/>
      <c r="CE997" s="10"/>
      <c r="CF997" s="10"/>
      <c r="CG997" s="10"/>
      <c r="CH997" s="10"/>
      <c r="CI997" s="10"/>
      <c r="CJ997" s="10"/>
      <c r="CK997" s="10"/>
      <c r="CL997" s="10"/>
      <c r="CM997" s="10"/>
      <c r="CN997" s="10"/>
      <c r="CO997" s="10"/>
    </row>
    <row r="998" spans="1:94">
      <c r="A998" s="10"/>
      <c r="B998" s="10"/>
      <c r="C998" s="41" t="s">
        <v>1097</v>
      </c>
      <c r="D998" s="10"/>
      <c r="E998" s="10"/>
      <c r="F998" s="10"/>
      <c r="G998" s="11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  <c r="BB998" s="10"/>
      <c r="BC998" s="10"/>
      <c r="BD998" s="10"/>
      <c r="BE998" s="10"/>
      <c r="BF998" s="10"/>
      <c r="BG998" s="10"/>
      <c r="BH998" s="10"/>
      <c r="BI998" s="10"/>
      <c r="BJ998" s="10"/>
      <c r="BK998" s="10"/>
      <c r="BL998" s="10"/>
      <c r="BM998" s="10"/>
      <c r="BN998" s="10"/>
      <c r="BO998" s="10"/>
      <c r="BP998" s="10"/>
      <c r="BQ998" s="10"/>
      <c r="BR998" s="10"/>
      <c r="BS998" s="10"/>
      <c r="BT998" s="10"/>
      <c r="BU998" s="10"/>
      <c r="BV998" s="10"/>
      <c r="BW998" s="10"/>
      <c r="BX998" s="10"/>
      <c r="BY998" s="10"/>
      <c r="BZ998" s="10"/>
      <c r="CA998" s="10"/>
      <c r="CB998" s="10"/>
      <c r="CC998" s="10"/>
      <c r="CD998" s="10"/>
      <c r="CE998" s="10"/>
      <c r="CF998" s="10"/>
      <c r="CG998" s="10"/>
      <c r="CH998" s="10"/>
      <c r="CI998" s="10"/>
      <c r="CJ998" s="10"/>
      <c r="CK998" s="10"/>
      <c r="CL998" s="10"/>
      <c r="CM998" s="10"/>
      <c r="CN998" s="10"/>
      <c r="CO998" s="10"/>
    </row>
    <row r="999" spans="1:94">
      <c r="A999" s="10"/>
      <c r="B999" s="10"/>
      <c r="C999" s="17" t="s">
        <v>1095</v>
      </c>
      <c r="D999" s="10"/>
      <c r="E999" s="1" t="str">
        <f>Предпосылки!E556</f>
        <v>нет</v>
      </c>
      <c r="F999" s="10"/>
      <c r="G999" s="11" t="s">
        <v>1096</v>
      </c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  <c r="BB999" s="10"/>
      <c r="BC999" s="10"/>
      <c r="BD999" s="10"/>
      <c r="BE999" s="10"/>
      <c r="BF999" s="10"/>
      <c r="BG999" s="10"/>
      <c r="BH999" s="10"/>
      <c r="BI999" s="10"/>
      <c r="BJ999" s="10"/>
      <c r="BK999" s="10"/>
      <c r="BL999" s="10"/>
      <c r="BM999" s="10"/>
      <c r="BN999" s="10"/>
      <c r="BO999" s="10"/>
      <c r="BP999" s="10"/>
      <c r="BQ999" s="10"/>
      <c r="BR999" s="10"/>
      <c r="BS999" s="10"/>
      <c r="BT999" s="10"/>
      <c r="BU999" s="10"/>
      <c r="BV999" s="10"/>
      <c r="BW999" s="10"/>
      <c r="BX999" s="10"/>
      <c r="BY999" s="10"/>
      <c r="BZ999" s="10"/>
      <c r="CA999" s="10"/>
      <c r="CB999" s="10"/>
      <c r="CC999" s="10"/>
      <c r="CD999" s="10"/>
      <c r="CE999" s="10"/>
      <c r="CF999" s="10"/>
      <c r="CG999" s="10"/>
      <c r="CH999" s="10"/>
      <c r="CI999" s="10"/>
      <c r="CJ999" s="10"/>
      <c r="CK999" s="10"/>
      <c r="CL999" s="10"/>
      <c r="CM999" s="10"/>
      <c r="CN999" s="10"/>
      <c r="CO999" s="10"/>
    </row>
    <row r="1000" spans="1:94">
      <c r="A1000" s="10"/>
      <c r="B1000" s="10"/>
      <c r="C1000" s="17" t="s">
        <v>1098</v>
      </c>
      <c r="D1000" s="10"/>
      <c r="E1000" s="65">
        <f xml:space="preserve"> (E999 = "да") * 1</f>
        <v>0</v>
      </c>
      <c r="F1000" s="10"/>
      <c r="G1000" s="11" t="s">
        <v>347</v>
      </c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  <c r="BB1000" s="10"/>
      <c r="BC1000" s="10"/>
      <c r="BD1000" s="10"/>
      <c r="BE1000" s="10"/>
      <c r="BF1000" s="10"/>
      <c r="BG1000" s="10"/>
      <c r="BH1000" s="10"/>
      <c r="BI1000" s="10"/>
      <c r="BJ1000" s="10"/>
      <c r="BK1000" s="10"/>
      <c r="BL1000" s="10"/>
      <c r="BM1000" s="10"/>
      <c r="BN1000" s="10"/>
      <c r="BO1000" s="10"/>
      <c r="BP1000" s="10"/>
      <c r="BQ1000" s="10"/>
      <c r="BR1000" s="10"/>
      <c r="BS1000" s="10"/>
      <c r="BT1000" s="10"/>
      <c r="BU1000" s="10"/>
      <c r="BV1000" s="10"/>
      <c r="BW1000" s="10"/>
      <c r="BX1000" s="10"/>
      <c r="BY1000" s="10"/>
      <c r="BZ1000" s="10"/>
      <c r="CA1000" s="10"/>
      <c r="CB1000" s="10"/>
      <c r="CC1000" s="10"/>
      <c r="CD1000" s="10"/>
      <c r="CE1000" s="10"/>
      <c r="CF1000" s="10"/>
      <c r="CG1000" s="10"/>
      <c r="CH1000" s="10"/>
      <c r="CI1000" s="10"/>
      <c r="CJ1000" s="10"/>
      <c r="CK1000" s="10"/>
      <c r="CL1000" s="10"/>
      <c r="CM1000" s="10"/>
      <c r="CN1000" s="10"/>
      <c r="CO1000" s="10"/>
    </row>
    <row r="1001" spans="1:94">
      <c r="A1001" s="10"/>
      <c r="B1001" s="10"/>
      <c r="C1001" s="17"/>
      <c r="D1001" s="10"/>
      <c r="E1001" s="10"/>
      <c r="F1001" s="10"/>
      <c r="G1001" s="11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  <c r="BI1001" s="10"/>
      <c r="BJ1001" s="10"/>
      <c r="BK1001" s="10"/>
      <c r="BL1001" s="10"/>
      <c r="BM1001" s="10"/>
      <c r="BN1001" s="10"/>
      <c r="BO1001" s="10"/>
      <c r="BP1001" s="10"/>
      <c r="BQ1001" s="10"/>
      <c r="BR1001" s="10"/>
      <c r="BS1001" s="10"/>
      <c r="BT1001" s="10"/>
      <c r="BU1001" s="10"/>
      <c r="BV1001" s="10"/>
      <c r="BW1001" s="10"/>
      <c r="BX1001" s="10"/>
      <c r="BY1001" s="10"/>
      <c r="BZ1001" s="10"/>
      <c r="CA1001" s="10"/>
      <c r="CB1001" s="10"/>
      <c r="CC1001" s="10"/>
      <c r="CD1001" s="10"/>
      <c r="CE1001" s="10"/>
      <c r="CF1001" s="10"/>
      <c r="CG1001" s="10"/>
      <c r="CH1001" s="10"/>
      <c r="CI1001" s="10"/>
      <c r="CJ1001" s="10"/>
      <c r="CK1001" s="10"/>
      <c r="CL1001" s="10"/>
      <c r="CM1001" s="10"/>
      <c r="CN1001" s="10"/>
      <c r="CO1001" s="10"/>
    </row>
    <row r="1002" spans="1:94">
      <c r="A1002" s="10"/>
      <c r="B1002" s="10"/>
      <c r="C1002" s="41" t="s">
        <v>109</v>
      </c>
      <c r="D1002" s="10"/>
      <c r="E1002" s="62"/>
      <c r="F1002" s="10"/>
      <c r="G1002" s="11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  <c r="BB1002" s="10"/>
      <c r="BC1002" s="10"/>
      <c r="BD1002" s="10"/>
      <c r="BE1002" s="10"/>
      <c r="BF1002" s="10"/>
      <c r="BG1002" s="10"/>
      <c r="BH1002" s="10"/>
      <c r="BI1002" s="10"/>
      <c r="BJ1002" s="10"/>
      <c r="BK1002" s="10"/>
      <c r="BL1002" s="10"/>
      <c r="BM1002" s="10"/>
      <c r="BN1002" s="10"/>
      <c r="BO1002" s="10"/>
      <c r="BP1002" s="10"/>
      <c r="BQ1002" s="10"/>
      <c r="BR1002" s="10"/>
      <c r="BS1002" s="10"/>
      <c r="BT1002" s="10"/>
      <c r="BU1002" s="10"/>
      <c r="BV1002" s="10"/>
      <c r="BW1002" s="10"/>
      <c r="BX1002" s="10"/>
      <c r="BY1002" s="10"/>
      <c r="BZ1002" s="10"/>
      <c r="CA1002" s="10"/>
      <c r="CB1002" s="10"/>
      <c r="CC1002" s="10"/>
      <c r="CD1002" s="10"/>
      <c r="CE1002" s="10"/>
      <c r="CF1002" s="10"/>
      <c r="CG1002" s="10"/>
      <c r="CH1002" s="10"/>
      <c r="CI1002" s="10"/>
      <c r="CJ1002" s="10"/>
      <c r="CK1002" s="10"/>
      <c r="CL1002" s="10"/>
      <c r="CM1002" s="10"/>
      <c r="CN1002" s="10"/>
      <c r="CO1002" s="10"/>
    </row>
    <row r="1003" spans="1:94">
      <c r="A1003" s="10"/>
      <c r="B1003" s="10"/>
      <c r="C1003" s="17" t="s">
        <v>213</v>
      </c>
      <c r="D1003" s="10"/>
      <c r="E1003" s="184">
        <f xml:space="preserve"> Предпосылки!E559</f>
        <v>30</v>
      </c>
      <c r="F1003" s="10"/>
      <c r="G1003" s="11" t="s">
        <v>99</v>
      </c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  <c r="BI1003" s="10"/>
      <c r="BJ1003" s="10"/>
      <c r="BK1003" s="10"/>
      <c r="BL1003" s="10"/>
      <c r="BM1003" s="10"/>
      <c r="BN1003" s="10"/>
      <c r="BO1003" s="10"/>
      <c r="BP1003" s="10"/>
      <c r="BQ1003" s="10"/>
      <c r="BR1003" s="10"/>
      <c r="BS1003" s="10"/>
      <c r="BT1003" s="10"/>
      <c r="BU1003" s="10"/>
      <c r="BV1003" s="10"/>
      <c r="BW1003" s="10"/>
      <c r="BX1003" s="10"/>
      <c r="BY1003" s="10"/>
      <c r="BZ1003" s="10"/>
      <c r="CA1003" s="10"/>
      <c r="CB1003" s="10"/>
      <c r="CC1003" s="10"/>
      <c r="CD1003" s="10"/>
      <c r="CE1003" s="10"/>
      <c r="CF1003" s="10"/>
      <c r="CG1003" s="10"/>
      <c r="CH1003" s="10"/>
      <c r="CI1003" s="10"/>
      <c r="CJ1003" s="10"/>
      <c r="CK1003" s="10"/>
      <c r="CL1003" s="10"/>
      <c r="CM1003" s="10"/>
      <c r="CN1003" s="10"/>
      <c r="CO1003" s="10"/>
    </row>
    <row r="1004" spans="1:94">
      <c r="A1004" s="10"/>
      <c r="B1004" s="10"/>
      <c r="C1004" s="17" t="s">
        <v>180</v>
      </c>
      <c r="D1004" s="10"/>
      <c r="E1004" s="53"/>
      <c r="F1004" s="10"/>
      <c r="G1004" s="134" t="str">
        <f>Monetary_Unit</f>
        <v>тыс. руб.</v>
      </c>
      <c r="H1004" s="10"/>
      <c r="I1004" s="10"/>
      <c r="J1004" s="10"/>
      <c r="K1004" s="10"/>
      <c r="L1004" s="52">
        <f t="shared" ref="L1004" si="6120">K1007</f>
        <v>0</v>
      </c>
      <c r="M1004" s="52">
        <f t="shared" ref="M1004" ca="1" si="6121">L1007</f>
        <v>0</v>
      </c>
      <c r="N1004" s="52">
        <f t="shared" ref="N1004" ca="1" si="6122">M1007</f>
        <v>0</v>
      </c>
      <c r="O1004" s="52">
        <f t="shared" ref="O1004" ca="1" si="6123">N1007</f>
        <v>0</v>
      </c>
      <c r="P1004" s="52">
        <f t="shared" ref="P1004" ca="1" si="6124">O1007</f>
        <v>0</v>
      </c>
      <c r="Q1004" s="52">
        <f t="shared" ref="Q1004" ca="1" si="6125">P1007</f>
        <v>0</v>
      </c>
      <c r="R1004" s="52">
        <f t="shared" ref="R1004" ca="1" si="6126">Q1007</f>
        <v>0</v>
      </c>
      <c r="S1004" s="52">
        <f t="shared" ref="S1004" ca="1" si="6127">R1007</f>
        <v>0</v>
      </c>
      <c r="T1004" s="52">
        <f t="shared" ref="T1004" ca="1" si="6128">S1007</f>
        <v>0</v>
      </c>
      <c r="U1004" s="52">
        <f t="shared" ref="U1004" ca="1" si="6129">T1007</f>
        <v>0</v>
      </c>
      <c r="V1004" s="52">
        <f t="shared" ref="V1004" ca="1" si="6130">U1007</f>
        <v>0</v>
      </c>
      <c r="W1004" s="52">
        <f t="shared" ref="W1004" ca="1" si="6131">V1007</f>
        <v>0</v>
      </c>
      <c r="X1004" s="52">
        <f t="shared" ref="X1004" ca="1" si="6132">W1007</f>
        <v>0</v>
      </c>
      <c r="Y1004" s="52">
        <f t="shared" ref="Y1004" ca="1" si="6133">X1007</f>
        <v>0</v>
      </c>
      <c r="Z1004" s="52">
        <f t="shared" ref="Z1004" ca="1" si="6134">Y1007</f>
        <v>0</v>
      </c>
      <c r="AA1004" s="52">
        <f t="shared" ref="AA1004" ca="1" si="6135">Z1007</f>
        <v>0</v>
      </c>
      <c r="AB1004" s="52">
        <f t="shared" ref="AB1004" ca="1" si="6136">AA1007</f>
        <v>0</v>
      </c>
      <c r="AC1004" s="52">
        <f t="shared" ref="AC1004" ca="1" si="6137">AB1007</f>
        <v>0</v>
      </c>
      <c r="AD1004" s="52">
        <f t="shared" ref="AD1004" ca="1" si="6138">AC1007</f>
        <v>177603.16646154114</v>
      </c>
      <c r="AE1004" s="52">
        <f t="shared" ref="AE1004" ca="1" si="6139">AD1007</f>
        <v>228593.56652432308</v>
      </c>
      <c r="AF1004" s="52">
        <f t="shared" ref="AF1004" ca="1" si="6140">AE1007</f>
        <v>135425.79504589667</v>
      </c>
      <c r="AG1004" s="52">
        <f t="shared" ref="AG1004" ca="1" si="6141">AF1007</f>
        <v>135853.89339360723</v>
      </c>
      <c r="AH1004" s="52">
        <f t="shared" ref="AH1004" ca="1" si="6142">AG1007</f>
        <v>212071.33654518845</v>
      </c>
      <c r="AI1004" s="52">
        <f t="shared" ref="AI1004" ca="1" si="6143">AH1007</f>
        <v>271699.78192605288</v>
      </c>
      <c r="AJ1004" s="52">
        <f t="shared" ref="AJ1004" ca="1" si="6144">AI1007</f>
        <v>160269.42365431634</v>
      </c>
      <c r="AK1004" s="52">
        <f t="shared" ref="AK1004" ca="1" si="6145">AJ1007</f>
        <v>160126.45567993185</v>
      </c>
      <c r="AL1004" s="52">
        <f t="shared" ref="AL1004" ca="1" si="6146">AK1007</f>
        <v>249012.79516918899</v>
      </c>
      <c r="AM1004" s="52">
        <f t="shared" ref="AM1004" ca="1" si="6147">AL1007</f>
        <v>317888.74485348177</v>
      </c>
      <c r="AN1004" s="52">
        <f t="shared" ref="AN1004" ca="1" si="6148">AM1007</f>
        <v>186883.86127933627</v>
      </c>
      <c r="AO1004" s="52">
        <f t="shared" ref="AO1004" ca="1" si="6149">AN1007</f>
        <v>186123.45671973249</v>
      </c>
      <c r="AP1004" s="52">
        <f t="shared" ref="AP1004" ca="1" si="6150">AO1007</f>
        <v>288570.25634463725</v>
      </c>
      <c r="AQ1004" s="52">
        <f t="shared" ref="AQ1004" ca="1" si="6151">AP1007</f>
        <v>358154.6525349227</v>
      </c>
      <c r="AR1004" s="52">
        <f t="shared" ref="AR1004" ca="1" si="6152">AQ1007</f>
        <v>204865.11928350991</v>
      </c>
      <c r="AS1004" s="52">
        <f t="shared" ref="AS1004" ca="1" si="6153">AR1007</f>
        <v>198662.30011979851</v>
      </c>
      <c r="AT1004" s="52">
        <f t="shared" ref="AT1004" ca="1" si="6154">AS1007</f>
        <v>300113.06659842259</v>
      </c>
      <c r="AU1004" s="52">
        <f t="shared" ref="AU1004" ca="1" si="6155">AT1007</f>
        <v>372480.83863631962</v>
      </c>
      <c r="AV1004" s="52">
        <f t="shared" ref="AV1004" ca="1" si="6156">AU1007</f>
        <v>213059.72405485041</v>
      </c>
      <c r="AW1004" s="52">
        <f t="shared" ref="AW1004" ca="1" si="6157">AV1007</f>
        <v>206608.7921245906</v>
      </c>
      <c r="AX1004" s="52">
        <f t="shared" ref="AX1004" ca="1" si="6158">AW1007</f>
        <v>265532.87444708205</v>
      </c>
      <c r="AY1004" s="52">
        <f t="shared" ref="AY1004" ca="1" si="6159">AX1007</f>
        <v>329562.15096061223</v>
      </c>
      <c r="AZ1004" s="52">
        <f t="shared" ref="AZ1004" ca="1" si="6160">AY1007</f>
        <v>188510.1558503214</v>
      </c>
      <c r="BA1004" s="52">
        <f t="shared" ref="BA1004" ca="1" si="6161">AZ1007</f>
        <v>182802.52533053316</v>
      </c>
      <c r="BB1004" s="52">
        <f t="shared" ref="BB1004" ca="1" si="6162">BA1007</f>
        <v>276154.18942496518</v>
      </c>
      <c r="BC1004" s="52">
        <f t="shared" ref="BC1004" ca="1" si="6163">BB1007</f>
        <v>342744.63699903665</v>
      </c>
      <c r="BD1004" s="52">
        <f t="shared" ref="BD1004" ca="1" si="6164">BC1007</f>
        <v>196050.5620843342</v>
      </c>
      <c r="BE1004" s="52">
        <f t="shared" ref="BE1004" ca="1" si="6165">BD1007</f>
        <v>190114.62634375447</v>
      </c>
      <c r="BF1004" s="52">
        <f t="shared" ref="BF1004" ca="1" si="6166">BE1007</f>
        <v>287200.35700196377</v>
      </c>
      <c r="BG1004" s="52">
        <f t="shared" ref="BG1004" ca="1" si="6167">BF1007</f>
        <v>356454.42247899808</v>
      </c>
      <c r="BH1004" s="52">
        <f t="shared" ref="BH1004" ca="1" si="6168">BG1007</f>
        <v>203892.5845677075</v>
      </c>
      <c r="BI1004" s="52">
        <f t="shared" ref="BI1004" ca="1" si="6169">BH1007</f>
        <v>197719.21139750455</v>
      </c>
      <c r="BJ1004" s="52">
        <f t="shared" ref="BJ1004" ca="1" si="6170">BI1007</f>
        <v>298688.37128204224</v>
      </c>
      <c r="BK1004" s="52">
        <f t="shared" ref="BK1004" ca="1" si="6171">BJ1007</f>
        <v>370712.59937815787</v>
      </c>
      <c r="BL1004" s="52">
        <f t="shared" ref="BL1004" ca="1" si="6172">BK1007</f>
        <v>212048.28795041575</v>
      </c>
      <c r="BM1004" s="52">
        <f t="shared" ref="BM1004" ca="1" si="6173">BL1007</f>
        <v>205627.9798534048</v>
      </c>
      <c r="BN1004" s="52">
        <f t="shared" ref="BN1004" ca="1" si="6174">BM1007</f>
        <v>310635.90613332402</v>
      </c>
      <c r="BO1004" s="52">
        <f t="shared" ref="BO1004" ca="1" si="6175">BN1007</f>
        <v>385541.1033532843</v>
      </c>
      <c r="BP1004" s="52">
        <f t="shared" ref="BP1004" ca="1" si="6176">BO1007</f>
        <v>220530.21946843248</v>
      </c>
      <c r="BQ1004" s="52">
        <f t="shared" ref="BQ1004" ca="1" si="6177">BP1007</f>
        <v>213853.09904754104</v>
      </c>
      <c r="BR1004" s="52">
        <f t="shared" ref="BR1004" ca="1" si="6178">BQ1007</f>
        <v>323061.34237865673</v>
      </c>
      <c r="BS1004" s="52">
        <f t="shared" ref="BS1004" ca="1" si="6179">BR1007</f>
        <v>400962.74748741533</v>
      </c>
      <c r="BT1004" s="52">
        <f t="shared" ref="BT1004" ca="1" si="6180">BS1007</f>
        <v>229351.42824716959</v>
      </c>
      <c r="BU1004" s="52">
        <f t="shared" ref="BU1004" ca="1" si="6181">BT1007</f>
        <v>222407.22300944256</v>
      </c>
      <c r="BV1004" s="52">
        <f t="shared" ref="BV1004" ca="1" si="6182">BU1007</f>
        <v>335983.79607380298</v>
      </c>
      <c r="BW1004" s="52">
        <f t="shared" ref="BW1004" ca="1" si="6183">BV1007</f>
        <v>417001.25738691189</v>
      </c>
      <c r="BX1004" s="52">
        <f t="shared" ref="BX1004" ca="1" si="6184">BW1007</f>
        <v>238525.48537705629</v>
      </c>
      <c r="BY1004" s="52">
        <f t="shared" ref="BY1004" ca="1" si="6185">BX1007</f>
        <v>231303.51192982018</v>
      </c>
      <c r="BZ1004" s="52">
        <f t="shared" ref="BZ1004" ca="1" si="6186">BY1007</f>
        <v>349423.14791675494</v>
      </c>
      <c r="CA1004" s="52">
        <f t="shared" ref="CA1004" ca="1" si="6187">BZ1007</f>
        <v>433681.30768238846</v>
      </c>
      <c r="CB1004" s="52">
        <f t="shared" ref="CB1004" ca="1" si="6188">CA1007</f>
        <v>248066.50479213858</v>
      </c>
      <c r="CC1004" s="52">
        <f t="shared" ref="CC1004" ca="1" si="6189">CB1007</f>
        <v>240555.652407013</v>
      </c>
      <c r="CD1004" s="52">
        <f t="shared" ref="CD1004" ca="1" si="6190">CC1007</f>
        <v>363400.07383342518</v>
      </c>
      <c r="CE1004" s="52">
        <f t="shared" ref="CE1004" ca="1" si="6191">CD1007</f>
        <v>451028.5599896838</v>
      </c>
      <c r="CF1004" s="52">
        <f t="shared" ref="CF1004" ca="1" si="6192">CE1007</f>
        <v>257989.16498382424</v>
      </c>
      <c r="CG1004" s="52">
        <f t="shared" ref="CG1004" ca="1" si="6193">CF1007</f>
        <v>250177.8785032935</v>
      </c>
      <c r="CH1004" s="52">
        <f t="shared" ref="CH1004" ca="1" si="6194">CG1007</f>
        <v>377936.07678676234</v>
      </c>
      <c r="CI1004" s="52">
        <f t="shared" ref="CI1004" ca="1" si="6195">CH1007</f>
        <v>469069.70238927123</v>
      </c>
      <c r="CJ1004" s="52">
        <f t="shared" ref="CJ1004" ca="1" si="6196">CI1007</f>
        <v>268308.73158317711</v>
      </c>
      <c r="CK1004" s="52">
        <f t="shared" ref="CK1004" ca="1" si="6197">CJ1007</f>
        <v>260184.99364342517</v>
      </c>
      <c r="CL1004" s="52">
        <f t="shared" ref="CL1004" ca="1" si="6198">CK1007</f>
        <v>393053.51985823293</v>
      </c>
      <c r="CM1004" s="52">
        <f t="shared" ref="CM1004" ca="1" si="6199">CL1007</f>
        <v>487832.49048484187</v>
      </c>
      <c r="CN1004" s="52">
        <f t="shared" ref="CN1004" ca="1" si="6200">CM1007</f>
        <v>279041.08084650408</v>
      </c>
      <c r="CO1004" s="52">
        <f t="shared" ref="CO1004" ca="1" si="6201">CN1007</f>
        <v>270592.39338916226</v>
      </c>
    </row>
    <row r="1005" spans="1:94">
      <c r="A1005" s="10"/>
      <c r="B1005" s="10"/>
      <c r="C1005" s="17" t="s">
        <v>945</v>
      </c>
      <c r="D1005" s="10"/>
      <c r="E1005" s="62"/>
      <c r="F1005" s="10"/>
      <c r="G1005" s="134" t="str">
        <f>Monetary_Unit</f>
        <v>тыс. руб.</v>
      </c>
      <c r="H1005" s="10"/>
      <c r="I1005" s="23">
        <f ca="1">SUM(L1005:CO1005)</f>
        <v>54850086.519837193</v>
      </c>
      <c r="J1005" s="10"/>
      <c r="K1005" s="10"/>
      <c r="L1005" s="52">
        <f t="shared" ref="L1005:BW1005" ca="1" si="6202">Revenue</f>
        <v>0</v>
      </c>
      <c r="M1005" s="52">
        <f t="shared" ca="1" si="6202"/>
        <v>0</v>
      </c>
      <c r="N1005" s="52">
        <f t="shared" ca="1" si="6202"/>
        <v>0</v>
      </c>
      <c r="O1005" s="52">
        <f t="shared" ca="1" si="6202"/>
        <v>0</v>
      </c>
      <c r="P1005" s="52">
        <f t="shared" ca="1" si="6202"/>
        <v>0</v>
      </c>
      <c r="Q1005" s="52">
        <f t="shared" ca="1" si="6202"/>
        <v>0</v>
      </c>
      <c r="R1005" s="52">
        <f t="shared" ca="1" si="6202"/>
        <v>0</v>
      </c>
      <c r="S1005" s="52">
        <f t="shared" ca="1" si="6202"/>
        <v>0</v>
      </c>
      <c r="T1005" s="52">
        <f t="shared" ca="1" si="6202"/>
        <v>0</v>
      </c>
      <c r="U1005" s="52">
        <f t="shared" ca="1" si="6202"/>
        <v>0</v>
      </c>
      <c r="V1005" s="52">
        <f t="shared" ca="1" si="6202"/>
        <v>0</v>
      </c>
      <c r="W1005" s="52">
        <f t="shared" ca="1" si="6202"/>
        <v>0</v>
      </c>
      <c r="X1005" s="52">
        <f t="shared" ca="1" si="6202"/>
        <v>0</v>
      </c>
      <c r="Y1005" s="52">
        <f t="shared" ca="1" si="6202"/>
        <v>0</v>
      </c>
      <c r="Z1005" s="52">
        <f t="shared" ca="1" si="6202"/>
        <v>0</v>
      </c>
      <c r="AA1005" s="52">
        <f t="shared" ca="1" si="6202"/>
        <v>0</v>
      </c>
      <c r="AB1005" s="52">
        <f t="shared" ca="1" si="6202"/>
        <v>0</v>
      </c>
      <c r="AC1005" s="52">
        <f t="shared" ca="1" si="6202"/>
        <v>538729.60493334138</v>
      </c>
      <c r="AD1005" s="52">
        <f t="shared" ca="1" si="6202"/>
        <v>701020.27067459095</v>
      </c>
      <c r="AE1005" s="52">
        <f t="shared" ca="1" si="6202"/>
        <v>415305.77147408307</v>
      </c>
      <c r="AF1005" s="52">
        <f t="shared" ca="1" si="6202"/>
        <v>407561.6801808218</v>
      </c>
      <c r="AG1005" s="52">
        <f t="shared" ca="1" si="6202"/>
        <v>643283.05418707151</v>
      </c>
      <c r="AH1005" s="52">
        <f t="shared" ca="1" si="6202"/>
        <v>833212.66457322869</v>
      </c>
      <c r="AI1005" s="52">
        <f t="shared" ca="1" si="6202"/>
        <v>491492.89920657012</v>
      </c>
      <c r="AJ1005" s="52">
        <f t="shared" ca="1" si="6202"/>
        <v>480379.3670397955</v>
      </c>
      <c r="AK1005" s="52">
        <f t="shared" ca="1" si="6202"/>
        <v>755338.81201320689</v>
      </c>
      <c r="AL1005" s="52">
        <f t="shared" ca="1" si="6202"/>
        <v>974858.81755067746</v>
      </c>
      <c r="AM1005" s="52">
        <f t="shared" ca="1" si="6202"/>
        <v>573110.5079232977</v>
      </c>
      <c r="AN1005" s="52">
        <f t="shared" ca="1" si="6202"/>
        <v>564574.48538318858</v>
      </c>
      <c r="AO1005" s="52">
        <f t="shared" ca="1" si="6202"/>
        <v>875329.7775787327</v>
      </c>
      <c r="AP1005" s="52">
        <f t="shared" ca="1" si="6202"/>
        <v>1098340.9344404293</v>
      </c>
      <c r="AQ1005" s="52">
        <f t="shared" ca="1" si="6202"/>
        <v>628253.03246943059</v>
      </c>
      <c r="AR1005" s="52">
        <f t="shared" ca="1" si="6202"/>
        <v>595986.90035939578</v>
      </c>
      <c r="AS1005" s="52">
        <f t="shared" ca="1" si="6202"/>
        <v>910342.96868188202</v>
      </c>
      <c r="AT1005" s="52">
        <f t="shared" ca="1" si="6202"/>
        <v>1142274.5718180465</v>
      </c>
      <c r="AU1005" s="52">
        <f t="shared" ca="1" si="6202"/>
        <v>653383.15376820788</v>
      </c>
      <c r="AV1005" s="52">
        <f t="shared" ca="1" si="6202"/>
        <v>619826.37637377158</v>
      </c>
      <c r="AW1005" s="52">
        <f t="shared" ca="1" si="6202"/>
        <v>805449.71915614884</v>
      </c>
      <c r="AX1005" s="52">
        <f t="shared" ca="1" si="6202"/>
        <v>1010657.2629458774</v>
      </c>
      <c r="AY1005" s="52">
        <f t="shared" ca="1" si="6202"/>
        <v>578097.81127431884</v>
      </c>
      <c r="AZ1005" s="52">
        <f t="shared" ca="1" si="6202"/>
        <v>548407.57599159959</v>
      </c>
      <c r="BA1005" s="52">
        <f t="shared" ca="1" si="6202"/>
        <v>837667.7079223945</v>
      </c>
      <c r="BB1005" s="52">
        <f t="shared" ca="1" si="6202"/>
        <v>1051083.5534637121</v>
      </c>
      <c r="BC1005" s="52">
        <f t="shared" ca="1" si="6202"/>
        <v>601221.72372529143</v>
      </c>
      <c r="BD1005" s="52">
        <f t="shared" ca="1" si="6202"/>
        <v>576681.03324272193</v>
      </c>
      <c r="BE1005" s="52">
        <f t="shared" ca="1" si="6202"/>
        <v>871174.41623929003</v>
      </c>
      <c r="BF1005" s="52">
        <f t="shared" ca="1" si="6202"/>
        <v>1093126.8956022605</v>
      </c>
      <c r="BG1005" s="52">
        <f t="shared" ca="1" si="6202"/>
        <v>625270.59267430298</v>
      </c>
      <c r="BH1005" s="52">
        <f t="shared" ca="1" si="6202"/>
        <v>593157.63419251388</v>
      </c>
      <c r="BI1005" s="52">
        <f t="shared" ca="1" si="6202"/>
        <v>906021.39288886171</v>
      </c>
      <c r="BJ1005" s="52">
        <f t="shared" ca="1" si="6202"/>
        <v>1136851.9714263508</v>
      </c>
      <c r="BK1005" s="52">
        <f t="shared" ca="1" si="6202"/>
        <v>650281.41638127505</v>
      </c>
      <c r="BL1005" s="52">
        <f t="shared" ca="1" si="6202"/>
        <v>616883.93956021441</v>
      </c>
      <c r="BM1005" s="52">
        <f t="shared" ca="1" si="6202"/>
        <v>942262.24860441603</v>
      </c>
      <c r="BN1005" s="52">
        <f t="shared" ca="1" si="6202"/>
        <v>1182326.0502834048</v>
      </c>
      <c r="BO1005" s="52">
        <f t="shared" ca="1" si="6202"/>
        <v>676292.67303652596</v>
      </c>
      <c r="BP1005" s="52">
        <f t="shared" ca="1" si="6202"/>
        <v>641559.29714262288</v>
      </c>
      <c r="BQ1005" s="52">
        <f t="shared" ca="1" si="6202"/>
        <v>979952.73854859243</v>
      </c>
      <c r="BR1005" s="52">
        <f t="shared" ca="1" si="6202"/>
        <v>1229619.0922947407</v>
      </c>
      <c r="BS1005" s="52">
        <f t="shared" ca="1" si="6202"/>
        <v>703344.37995798665</v>
      </c>
      <c r="BT1005" s="52">
        <f t="shared" ca="1" si="6202"/>
        <v>674635.24312864244</v>
      </c>
      <c r="BU1005" s="52">
        <f t="shared" ca="1" si="6202"/>
        <v>1019150.848090536</v>
      </c>
      <c r="BV1005" s="52">
        <f t="shared" ca="1" si="6202"/>
        <v>1278803.85598653</v>
      </c>
      <c r="BW1005" s="52">
        <f t="shared" ca="1" si="6202"/>
        <v>731478.15515630599</v>
      </c>
      <c r="BX1005" s="52">
        <f t="shared" ref="BX1005:CO1005" ca="1" si="6203">Revenue</f>
        <v>693910.53578946064</v>
      </c>
      <c r="BY1005" s="52">
        <f t="shared" ca="1" si="6203"/>
        <v>1059916.882014157</v>
      </c>
      <c r="BZ1005" s="52">
        <f t="shared" ca="1" si="6203"/>
        <v>1329956.010225991</v>
      </c>
      <c r="CA1005" s="52">
        <f t="shared" ca="1" si="6203"/>
        <v>760737.28136255825</v>
      </c>
      <c r="CB1005" s="52">
        <f t="shared" ca="1" si="6203"/>
        <v>721666.95722103911</v>
      </c>
      <c r="CC1005" s="52">
        <f t="shared" ca="1" si="6203"/>
        <v>1102313.5572947236</v>
      </c>
      <c r="CD1005" s="52">
        <f t="shared" ca="1" si="6203"/>
        <v>1383154.2506350307</v>
      </c>
      <c r="CE1005" s="52">
        <f t="shared" ca="1" si="6203"/>
        <v>791166.77261706057</v>
      </c>
      <c r="CF1005" s="52">
        <f t="shared" ca="1" si="6203"/>
        <v>750533.63550988061</v>
      </c>
      <c r="CG1005" s="52">
        <f t="shared" ca="1" si="6203"/>
        <v>1146406.0995865124</v>
      </c>
      <c r="CH1005" s="52">
        <f t="shared" ca="1" si="6203"/>
        <v>1438480.4206604315</v>
      </c>
      <c r="CI1005" s="52">
        <f t="shared" ca="1" si="6203"/>
        <v>822813.44352174317</v>
      </c>
      <c r="CJ1005" s="52">
        <f t="shared" ca="1" si="6203"/>
        <v>789227.81405172311</v>
      </c>
      <c r="CK1005" s="52">
        <f t="shared" ca="1" si="6203"/>
        <v>1192262.3435699726</v>
      </c>
      <c r="CL1005" s="52">
        <f t="shared" ca="1" si="6203"/>
        <v>1496019.6374868487</v>
      </c>
      <c r="CM1005" s="52">
        <f t="shared" ca="1" si="6203"/>
        <v>855725.98126261262</v>
      </c>
      <c r="CN1005" s="52">
        <f t="shared" ca="1" si="6203"/>
        <v>811777.18016748666</v>
      </c>
      <c r="CO1005" s="52">
        <f t="shared" ca="1" si="6203"/>
        <v>1239952.8373127715</v>
      </c>
    </row>
    <row r="1006" spans="1:94">
      <c r="A1006" s="10"/>
      <c r="B1006" s="10"/>
      <c r="C1006" s="17" t="s">
        <v>946</v>
      </c>
      <c r="D1006" s="10"/>
      <c r="E1006" s="62"/>
      <c r="F1006" s="10"/>
      <c r="G1006" s="134" t="str">
        <f>Monetary_Unit</f>
        <v>тыс. руб.</v>
      </c>
      <c r="H1006" s="10"/>
      <c r="I1006" s="23">
        <f ca="1">SUM(L1006:CO1006)</f>
        <v>-54441310.859184638</v>
      </c>
      <c r="J1006" s="10"/>
      <c r="K1006" s="10"/>
      <c r="L1006" s="52">
        <f t="shared" ref="L1006" ca="1" si="6204">IF(Flag_Last_Operations*$E1000,-L1004-L1005,-(L1004+L1005*(Days_In_Period-$E1003)/Days_In_Period))</f>
        <v>0</v>
      </c>
      <c r="M1006" s="52">
        <f t="shared" ref="M1006" ca="1" si="6205">IF(Flag_Last_Operations*$E1000,-M1004-M1005,-(M1004+M1005*(Days_In_Period-$E1003)/Days_In_Period))</f>
        <v>0</v>
      </c>
      <c r="N1006" s="52">
        <f t="shared" ref="N1006" ca="1" si="6206">IF(Flag_Last_Operations*$E1000,-N1004-N1005,-(N1004+N1005*(Days_In_Period-$E1003)/Days_In_Period))</f>
        <v>0</v>
      </c>
      <c r="O1006" s="52">
        <f t="shared" ref="O1006" ca="1" si="6207">IF(Flag_Last_Operations*$E1000,-O1004-O1005,-(O1004+O1005*(Days_In_Period-$E1003)/Days_In_Period))</f>
        <v>0</v>
      </c>
      <c r="P1006" s="52">
        <f t="shared" ref="P1006" ca="1" si="6208">IF(Flag_Last_Operations*$E1000,-P1004-P1005,-(P1004+P1005*(Days_In_Period-$E1003)/Days_In_Period))</f>
        <v>0</v>
      </c>
      <c r="Q1006" s="52">
        <f t="shared" ref="Q1006" ca="1" si="6209">IF(Flag_Last_Operations*$E1000,-Q1004-Q1005,-(Q1004+Q1005*(Days_In_Period-$E1003)/Days_In_Period))</f>
        <v>0</v>
      </c>
      <c r="R1006" s="52">
        <f t="shared" ref="R1006" ca="1" si="6210">IF(Flag_Last_Operations*$E1000,-R1004-R1005,-(R1004+R1005*(Days_In_Period-$E1003)/Days_In_Period))</f>
        <v>0</v>
      </c>
      <c r="S1006" s="52">
        <f t="shared" ref="S1006" ca="1" si="6211">IF(Flag_Last_Operations*$E1000,-S1004-S1005,-(S1004+S1005*(Days_In_Period-$E1003)/Days_In_Period))</f>
        <v>0</v>
      </c>
      <c r="T1006" s="52">
        <f t="shared" ref="T1006" ca="1" si="6212">IF(Flag_Last_Operations*$E1000,-T1004-T1005,-(T1004+T1005*(Days_In_Period-$E1003)/Days_In_Period))</f>
        <v>0</v>
      </c>
      <c r="U1006" s="52">
        <f t="shared" ref="U1006" ca="1" si="6213">IF(Flag_Last_Operations*$E1000,-U1004-U1005,-(U1004+U1005*(Days_In_Period-$E1003)/Days_In_Period))</f>
        <v>0</v>
      </c>
      <c r="V1006" s="52">
        <f t="shared" ref="V1006" ca="1" si="6214">IF(Flag_Last_Operations*$E1000,-V1004-V1005,-(V1004+V1005*(Days_In_Period-$E1003)/Days_In_Period))</f>
        <v>0</v>
      </c>
      <c r="W1006" s="52">
        <f t="shared" ref="W1006" ca="1" si="6215">IF(Flag_Last_Operations*$E1000,-W1004-W1005,-(W1004+W1005*(Days_In_Period-$E1003)/Days_In_Period))</f>
        <v>0</v>
      </c>
      <c r="X1006" s="52">
        <f t="shared" ref="X1006" ca="1" si="6216">IF(Flag_Last_Operations*$E1000,-X1004-X1005,-(X1004+X1005*(Days_In_Period-$E1003)/Days_In_Period))</f>
        <v>0</v>
      </c>
      <c r="Y1006" s="52">
        <f t="shared" ref="Y1006" ca="1" si="6217">IF(Flag_Last_Operations*$E1000,-Y1004-Y1005,-(Y1004+Y1005*(Days_In_Period-$E1003)/Days_In_Period))</f>
        <v>0</v>
      </c>
      <c r="Z1006" s="52">
        <f t="shared" ref="Z1006" ca="1" si="6218">IF(Flag_Last_Operations*$E1000,-Z1004-Z1005,-(Z1004+Z1005*(Days_In_Period-$E1003)/Days_In_Period))</f>
        <v>0</v>
      </c>
      <c r="AA1006" s="52">
        <f t="shared" ref="AA1006" ca="1" si="6219">IF(Flag_Last_Operations*$E1000,-AA1004-AA1005,-(AA1004+AA1005*(Days_In_Period-$E1003)/Days_In_Period))</f>
        <v>0</v>
      </c>
      <c r="AB1006" s="52">
        <f t="shared" ref="AB1006" ca="1" si="6220">IF(Flag_Last_Operations*$E1000,-AB1004-AB1005,-(AB1004+AB1005*(Days_In_Period-$E1003)/Days_In_Period))</f>
        <v>0</v>
      </c>
      <c r="AC1006" s="52">
        <f t="shared" ref="AC1006" ca="1" si="6221">IF(Flag_Last_Operations*$E1000,-AC1004-AC1005,-(AC1004+AC1005*(Days_In_Period-$E1003)/Days_In_Period))</f>
        <v>-361126.43847180024</v>
      </c>
      <c r="AD1006" s="52">
        <f t="shared" ref="AD1006" ca="1" si="6222">IF(Flag_Last_Operations*$E1000,-AD1004-AD1005,-(AD1004+AD1005*(Days_In_Period-$E1003)/Days_In_Period))</f>
        <v>-650029.87061180896</v>
      </c>
      <c r="AE1006" s="52">
        <f t="shared" ref="AE1006" ca="1" si="6223">IF(Flag_Last_Operations*$E1000,-AE1004-AE1005,-(AE1004+AE1005*(Days_In_Period-$E1003)/Days_In_Period))</f>
        <v>-508473.54295250948</v>
      </c>
      <c r="AF1006" s="52">
        <f t="shared" ref="AF1006" ca="1" si="6224">IF(Flag_Last_Operations*$E1000,-AF1004-AF1005,-(AF1004+AF1005*(Days_In_Period-$E1003)/Days_In_Period))</f>
        <v>-407133.58183311124</v>
      </c>
      <c r="AG1006" s="52">
        <f t="shared" ref="AG1006" ca="1" si="6225">IF(Flag_Last_Operations*$E1000,-AG1004-AG1005,-(AG1004+AG1005*(Days_In_Period-$E1003)/Days_In_Period))</f>
        <v>-567065.61103549029</v>
      </c>
      <c r="AH1006" s="52">
        <f t="shared" ref="AH1006" ca="1" si="6226">IF(Flag_Last_Operations*$E1000,-AH1004-AH1005,-(AH1004+AH1005*(Days_In_Period-$E1003)/Days_In_Period))</f>
        <v>-773584.21919236425</v>
      </c>
      <c r="AI1006" s="52">
        <f t="shared" ref="AI1006" ca="1" si="6227">IF(Flag_Last_Operations*$E1000,-AI1004-AI1005,-(AI1004+AI1005*(Days_In_Period-$E1003)/Days_In_Period))</f>
        <v>-602923.25747830665</v>
      </c>
      <c r="AJ1006" s="52">
        <f t="shared" ref="AJ1006" ca="1" si="6228">IF(Flag_Last_Operations*$E1000,-AJ1004-AJ1005,-(AJ1004+AJ1005*(Days_In_Period-$E1003)/Days_In_Period))</f>
        <v>-480522.33501417999</v>
      </c>
      <c r="AK1006" s="52">
        <f t="shared" ref="AK1006" ca="1" si="6229">IF(Flag_Last_Operations*$E1000,-AK1004-AK1005,-(AK1004+AK1005*(Days_In_Period-$E1003)/Days_In_Period))</f>
        <v>-666452.47252394969</v>
      </c>
      <c r="AL1006" s="52">
        <f t="shared" ref="AL1006" ca="1" si="6230">IF(Flag_Last_Operations*$E1000,-AL1004-AL1005,-(AL1004+AL1005*(Days_In_Period-$E1003)/Days_In_Period))</f>
        <v>-905982.86786638468</v>
      </c>
      <c r="AM1006" s="52">
        <f t="shared" ref="AM1006" ca="1" si="6231">IF(Flag_Last_Operations*$E1000,-AM1004-AM1005,-(AM1004+AM1005*(Days_In_Period-$E1003)/Days_In_Period))</f>
        <v>-704115.3914974432</v>
      </c>
      <c r="AN1006" s="52">
        <f t="shared" ref="AN1006" ca="1" si="6232">IF(Flag_Last_Operations*$E1000,-AN1004-AN1005,-(AN1004+AN1005*(Days_In_Period-$E1003)/Days_In_Period))</f>
        <v>-565334.88994279236</v>
      </c>
      <c r="AO1006" s="52">
        <f t="shared" ref="AO1006" ca="1" si="6233">IF(Flag_Last_Operations*$E1000,-AO1004-AO1005,-(AO1004+AO1005*(Days_In_Period-$E1003)/Days_In_Period))</f>
        <v>-772882.97795382806</v>
      </c>
      <c r="AP1006" s="52">
        <f t="shared" ref="AP1006" ca="1" si="6234">IF(Flag_Last_Operations*$E1000,-AP1004-AP1005,-(AP1004+AP1005*(Days_In_Period-$E1003)/Days_In_Period))</f>
        <v>-1028756.538250144</v>
      </c>
      <c r="AQ1006" s="52">
        <f t="shared" ref="AQ1006" ca="1" si="6235">IF(Flag_Last_Operations*$E1000,-AQ1004-AQ1005,-(AQ1004+AQ1005*(Days_In_Period-$E1003)/Days_In_Period))</f>
        <v>-781542.56572084338</v>
      </c>
      <c r="AR1006" s="52">
        <f t="shared" ref="AR1006" ca="1" si="6236">IF(Flag_Last_Operations*$E1000,-AR1004-AR1005,-(AR1004+AR1005*(Days_In_Period-$E1003)/Days_In_Period))</f>
        <v>-602189.71952310717</v>
      </c>
      <c r="AS1006" s="52">
        <f t="shared" ref="AS1006" ca="1" si="6237">IF(Flag_Last_Operations*$E1000,-AS1004-AS1005,-(AS1004+AS1005*(Days_In_Period-$E1003)/Days_In_Period))</f>
        <v>-808892.20220325794</v>
      </c>
      <c r="AT1006" s="52">
        <f t="shared" ref="AT1006" ca="1" si="6238">IF(Flag_Last_Operations*$E1000,-AT1004-AT1005,-(AT1004+AT1005*(Days_In_Period-$E1003)/Days_In_Period))</f>
        <v>-1069906.7997801495</v>
      </c>
      <c r="AU1006" s="52">
        <f t="shared" ref="AU1006" ca="1" si="6239">IF(Flag_Last_Operations*$E1000,-AU1004-AU1005,-(AU1004+AU1005*(Days_In_Period-$E1003)/Days_In_Period))</f>
        <v>-812804.26834967709</v>
      </c>
      <c r="AV1006" s="52">
        <f t="shared" ref="AV1006" ca="1" si="6240">IF(Flag_Last_Operations*$E1000,-AV1004-AV1005,-(AV1004+AV1005*(Days_In_Period-$E1003)/Days_In_Period))</f>
        <v>-626277.30830403138</v>
      </c>
      <c r="AW1006" s="52">
        <f t="shared" ref="AW1006" ca="1" si="6241">IF(Flag_Last_Operations*$E1000,-AW1004-AW1005,-(AW1004+AW1005*(Days_In_Period-$E1003)/Days_In_Period))</f>
        <v>-746525.63683365739</v>
      </c>
      <c r="AX1006" s="52">
        <f t="shared" ref="AX1006" ca="1" si="6242">IF(Flag_Last_Operations*$E1000,-AX1004-AX1005,-(AX1004+AX1005*(Days_In_Period-$E1003)/Days_In_Period))</f>
        <v>-946627.98643234733</v>
      </c>
      <c r="AY1006" s="52">
        <f t="shared" ref="AY1006" ca="1" si="6243">IF(Flag_Last_Operations*$E1000,-AY1004-AY1005,-(AY1004+AY1005*(Days_In_Period-$E1003)/Days_In_Period))</f>
        <v>-719149.80638460966</v>
      </c>
      <c r="AZ1006" s="52">
        <f t="shared" ref="AZ1006" ca="1" si="6244">IF(Flag_Last_Operations*$E1000,-AZ1004-AZ1005,-(AZ1004+AZ1005*(Days_In_Period-$E1003)/Days_In_Period))</f>
        <v>-554115.20651138783</v>
      </c>
      <c r="BA1006" s="52">
        <f t="shared" ref="BA1006" ca="1" si="6245">IF(Flag_Last_Operations*$E1000,-BA1004-BA1005,-(BA1004+BA1005*(Days_In_Period-$E1003)/Days_In_Period))</f>
        <v>-744316.04382796248</v>
      </c>
      <c r="BB1006" s="52">
        <f t="shared" ref="BB1006" ca="1" si="6246">IF(Flag_Last_Operations*$E1000,-BB1004-BB1005,-(BB1004+BB1005*(Days_In_Period-$E1003)/Days_In_Period))</f>
        <v>-984493.10588964075</v>
      </c>
      <c r="BC1006" s="52">
        <f t="shared" ref="BC1006" ca="1" si="6247">IF(Flag_Last_Operations*$E1000,-BC1004-BC1005,-(BC1004+BC1005*(Days_In_Period-$E1003)/Days_In_Period))</f>
        <v>-747915.79863999388</v>
      </c>
      <c r="BD1006" s="52">
        <f t="shared" ref="BD1006" ca="1" si="6248">IF(Flag_Last_Operations*$E1000,-BD1004-BD1005,-(BD1004+BD1005*(Days_In_Period-$E1003)/Days_In_Period))</f>
        <v>-582616.96898330166</v>
      </c>
      <c r="BE1006" s="52">
        <f t="shared" ref="BE1006" ca="1" si="6249">IF(Flag_Last_Operations*$E1000,-BE1004-BE1005,-(BE1004+BE1005*(Days_In_Period-$E1003)/Days_In_Period))</f>
        <v>-774088.68558108085</v>
      </c>
      <c r="BF1006" s="52">
        <f t="shared" ref="BF1006" ca="1" si="6250">IF(Flag_Last_Operations*$E1000,-BF1004-BF1005,-(BF1004+BF1005*(Days_In_Period-$E1003)/Days_In_Period))</f>
        <v>-1023872.8301252262</v>
      </c>
      <c r="BG1006" s="52">
        <f t="shared" ref="BG1006" ca="1" si="6251">IF(Flag_Last_Operations*$E1000,-BG1004-BG1005,-(BG1004+BG1005*(Days_In_Period-$E1003)/Days_In_Period))</f>
        <v>-777832.43058559357</v>
      </c>
      <c r="BH1006" s="52">
        <f t="shared" ref="BH1006" ca="1" si="6252">IF(Flag_Last_Operations*$E1000,-BH1004-BH1005,-(BH1004+BH1005*(Days_In_Period-$E1003)/Days_In_Period))</f>
        <v>-599331.00736271683</v>
      </c>
      <c r="BI1006" s="52">
        <f t="shared" ref="BI1006" ca="1" si="6253">IF(Flag_Last_Operations*$E1000,-BI1004-BI1005,-(BI1004+BI1005*(Days_In_Period-$E1003)/Days_In_Period))</f>
        <v>-805052.23300432391</v>
      </c>
      <c r="BJ1006" s="52">
        <f t="shared" ref="BJ1006" ca="1" si="6254">IF(Flag_Last_Operations*$E1000,-BJ1004-BJ1005,-(BJ1004+BJ1005*(Days_In_Period-$E1003)/Days_In_Period))</f>
        <v>-1064827.7433302351</v>
      </c>
      <c r="BK1006" s="52">
        <f t="shared" ref="BK1006" ca="1" si="6255">IF(Flag_Last_Operations*$E1000,-BK1004-BK1005,-(BK1004+BK1005*(Days_In_Period-$E1003)/Days_In_Period))</f>
        <v>-808945.72780901717</v>
      </c>
      <c r="BL1006" s="52">
        <f t="shared" ref="BL1006" ca="1" si="6256">IF(Flag_Last_Operations*$E1000,-BL1004-BL1005,-(BL1004+BL1005*(Days_In_Period-$E1003)/Days_In_Period))</f>
        <v>-623304.24765722535</v>
      </c>
      <c r="BM1006" s="52">
        <f t="shared" ref="BM1006" ca="1" si="6257">IF(Flag_Last_Operations*$E1000,-BM1004-BM1005,-(BM1004+BM1005*(Days_In_Period-$E1003)/Days_In_Period))</f>
        <v>-837254.32232449681</v>
      </c>
      <c r="BN1006" s="52">
        <f t="shared" ref="BN1006" ca="1" si="6258">IF(Flag_Last_Operations*$E1000,-BN1004-BN1005,-(BN1004+BN1005*(Days_In_Period-$E1003)/Days_In_Period))</f>
        <v>-1107420.8530634446</v>
      </c>
      <c r="BO1006" s="52">
        <f t="shared" ref="BO1006" ca="1" si="6259">IF(Flag_Last_Operations*$E1000,-BO1004-BO1005,-(BO1004+BO1005*(Days_In_Period-$E1003)/Days_In_Period))</f>
        <v>-841303.55692137778</v>
      </c>
      <c r="BP1006" s="52">
        <f t="shared" ref="BP1006" ca="1" si="6260">IF(Flag_Last_Operations*$E1000,-BP1004-BP1005,-(BP1004+BP1005*(Days_In_Period-$E1003)/Days_In_Period))</f>
        <v>-648236.41756351432</v>
      </c>
      <c r="BQ1006" s="52">
        <f t="shared" ref="BQ1006" ca="1" si="6261">IF(Flag_Last_Operations*$E1000,-BQ1004-BQ1005,-(BQ1004+BQ1005*(Days_In_Period-$E1003)/Days_In_Period))</f>
        <v>-870744.49521747662</v>
      </c>
      <c r="BR1006" s="52">
        <f t="shared" ref="BR1006" ca="1" si="6262">IF(Flag_Last_Operations*$E1000,-BR1004-BR1005,-(BR1004+BR1005*(Days_In_Period-$E1003)/Days_In_Period))</f>
        <v>-1151717.687185982</v>
      </c>
      <c r="BS1006" s="52">
        <f t="shared" ref="BS1006" ca="1" si="6263">IF(Flag_Last_Operations*$E1000,-BS1004-BS1005,-(BS1004+BS1005*(Days_In_Period-$E1003)/Days_In_Period))</f>
        <v>-874955.6991982325</v>
      </c>
      <c r="BT1006" s="52">
        <f t="shared" ref="BT1006" ca="1" si="6264">IF(Flag_Last_Operations*$E1000,-BT1004-BT1005,-(BT1004+BT1005*(Days_In_Period-$E1003)/Days_In_Period))</f>
        <v>-681579.44836636947</v>
      </c>
      <c r="BU1006" s="52">
        <f t="shared" ref="BU1006" ca="1" si="6265">IF(Flag_Last_Operations*$E1000,-BU1004-BU1005,-(BU1004+BU1005*(Days_In_Period-$E1003)/Days_In_Period))</f>
        <v>-905574.27502617543</v>
      </c>
      <c r="BV1006" s="52">
        <f t="shared" ref="BV1006" ca="1" si="6266">IF(Flag_Last_Operations*$E1000,-BV1004-BV1005,-(BV1004+BV1005*(Days_In_Period-$E1003)/Days_In_Period))</f>
        <v>-1197786.394673421</v>
      </c>
      <c r="BW1006" s="52">
        <f t="shared" ref="BW1006" ca="1" si="6267">IF(Flag_Last_Operations*$E1000,-BW1004-BW1005,-(BW1004+BW1005*(Days_In_Period-$E1003)/Days_In_Period))</f>
        <v>-909953.92716616159</v>
      </c>
      <c r="BX1006" s="52">
        <f t="shared" ref="BX1006" ca="1" si="6268">IF(Flag_Last_Operations*$E1000,-BX1004-BX1005,-(BX1004+BX1005*(Days_In_Period-$E1003)/Days_In_Period))</f>
        <v>-701132.50923669676</v>
      </c>
      <c r="BY1006" s="52">
        <f t="shared" ref="BY1006" ca="1" si="6269">IF(Flag_Last_Operations*$E1000,-BY1004-BY1005,-(BY1004+BY1005*(Days_In_Period-$E1003)/Days_In_Period))</f>
        <v>-941797.24602722214</v>
      </c>
      <c r="BZ1006" s="52">
        <f t="shared" ref="BZ1006" ca="1" si="6270">IF(Flag_Last_Operations*$E1000,-BZ1004-BZ1005,-(BZ1004+BZ1005*(Days_In_Period-$E1003)/Days_In_Period))</f>
        <v>-1245697.8504603575</v>
      </c>
      <c r="CA1006" s="52">
        <f t="shared" ref="CA1006" ca="1" si="6271">IF(Flag_Last_Operations*$E1000,-CA1004-CA1005,-(CA1004+CA1005*(Days_In_Period-$E1003)/Days_In_Period))</f>
        <v>-946352.08425280813</v>
      </c>
      <c r="CB1006" s="52">
        <f t="shared" ref="CB1006" ca="1" si="6272">IF(Flag_Last_Operations*$E1000,-CB1004-CB1005,-(CB1004+CB1005*(Days_In_Period-$E1003)/Days_In_Period))</f>
        <v>-729177.80960616469</v>
      </c>
      <c r="CC1006" s="52">
        <f t="shared" ref="CC1006" ca="1" si="6273">IF(Flag_Last_Operations*$E1000,-CC1004-CC1005,-(CC1004+CC1005*(Days_In_Period-$E1003)/Days_In_Period))</f>
        <v>-979469.13586831128</v>
      </c>
      <c r="CD1006" s="52">
        <f t="shared" ref="CD1006" ca="1" si="6274">IF(Flag_Last_Operations*$E1000,-CD1004-CD1005,-(CD1004+CD1005*(Days_In_Period-$E1003)/Days_In_Period))</f>
        <v>-1295525.7644787719</v>
      </c>
      <c r="CE1006" s="52">
        <f t="shared" ref="CE1006" ca="1" si="6275">IF(Flag_Last_Operations*$E1000,-CE1004-CE1005,-(CE1004+CE1005*(Days_In_Period-$E1003)/Days_In_Period))</f>
        <v>-984206.16762292024</v>
      </c>
      <c r="CF1006" s="52">
        <f t="shared" ref="CF1006" ca="1" si="6276">IF(Flag_Last_Operations*$E1000,-CF1004-CF1005,-(CF1004+CF1005*(Days_In_Period-$E1003)/Days_In_Period))</f>
        <v>-758344.92199041136</v>
      </c>
      <c r="CG1006" s="52">
        <f t="shared" ref="CG1006" ca="1" si="6277">IF(Flag_Last_Operations*$E1000,-CG1004-CG1005,-(CG1004+CG1005*(Days_In_Period-$E1003)/Days_In_Period))</f>
        <v>-1018647.9013030436</v>
      </c>
      <c r="CH1006" s="52">
        <f t="shared" ref="CH1006" ca="1" si="6278">IF(Flag_Last_Operations*$E1000,-CH1004-CH1005,-(CH1004+CH1005*(Days_In_Period-$E1003)/Days_In_Period))</f>
        <v>-1347346.7950579226</v>
      </c>
      <c r="CI1006" s="52">
        <f ca="1">IF(Flag_Last_Operations*$E1000,-CI1004-CI1005,-(CI1004+CI1005*(Days_In_Period-$E1003)/Days_In_Period))</f>
        <v>-1023574.4143278373</v>
      </c>
      <c r="CJ1006" s="52">
        <f ca="1">IF(Flag_Last_Operations*$E1000,-CJ1004-CJ1005,-(CJ1004+CJ1005*(Days_In_Period-$E1003)/Days_In_Period))</f>
        <v>-797351.55199147505</v>
      </c>
      <c r="CK1006" s="52">
        <f ca="1">IF(Flag_Last_Operations*$E1000,-CK1004-CK1005,-(CK1004+CK1005*(Days_In_Period-$E1003)/Days_In_Period))</f>
        <v>-1059393.8173551648</v>
      </c>
      <c r="CL1006" s="52">
        <f ca="1">IF(Flag_Last_Operations*$E1000,-CL1004-CL1005,-(CL1004+CL1005*(Days_In_Period-$E1003)/Days_In_Period))</f>
        <v>-1401240.6668602398</v>
      </c>
      <c r="CM1006" s="52">
        <f ca="1">IF(Flag_Last_Operations*$E1000,-CM1004-CM1005,-(CM1004+CM1005*(Days_In_Period-$E1003)/Days_In_Period))</f>
        <v>-1064517.3909009504</v>
      </c>
      <c r="CN1006" s="52">
        <f t="shared" ref="CN1006" ca="1" si="6279">IF(Flag_Last_Operations*$E1000,-CN1004-CN1005,-(CN1004+CN1005*(Days_In_Period-$E1003)/Days_In_Period))</f>
        <v>-820225.86762482848</v>
      </c>
      <c r="CO1006" s="52">
        <f t="shared" ref="CO1006" ca="1" si="6280">IF(Flag_Last_Operations*$E1000,-CO1004-CO1005,-(CO1004+CO1005*(Days_In_Period-$E1003)/Days_In_Period))</f>
        <v>-1101769.5700493716</v>
      </c>
    </row>
    <row r="1007" spans="1:94">
      <c r="A1007" s="10"/>
      <c r="B1007" s="10"/>
      <c r="C1007" s="17" t="s">
        <v>179</v>
      </c>
      <c r="D1007" s="10"/>
      <c r="E1007" s="62"/>
      <c r="F1007" s="10"/>
      <c r="G1007" s="134" t="str">
        <f>Monetary_Unit</f>
        <v>тыс. руб.</v>
      </c>
      <c r="H1007" s="10"/>
      <c r="I1007" s="10"/>
      <c r="J1007" s="10"/>
      <c r="K1007" s="10"/>
      <c r="L1007" s="52">
        <f t="shared" ref="L1007:R1007" ca="1" si="6281">SUM(L1004:L1006)</f>
        <v>0</v>
      </c>
      <c r="M1007" s="52">
        <f t="shared" ca="1" si="6281"/>
        <v>0</v>
      </c>
      <c r="N1007" s="52">
        <f t="shared" ca="1" si="6281"/>
        <v>0</v>
      </c>
      <c r="O1007" s="52">
        <f t="shared" ca="1" si="6281"/>
        <v>0</v>
      </c>
      <c r="P1007" s="52">
        <f t="shared" ca="1" si="6281"/>
        <v>0</v>
      </c>
      <c r="Q1007" s="52">
        <f t="shared" ca="1" si="6281"/>
        <v>0</v>
      </c>
      <c r="R1007" s="52">
        <f t="shared" ca="1" si="6281"/>
        <v>0</v>
      </c>
      <c r="S1007" s="52">
        <f t="shared" ref="S1007" ca="1" si="6282">SUM(S1004:S1006)</f>
        <v>0</v>
      </c>
      <c r="T1007" s="52">
        <f t="shared" ref="T1007:CE1007" ca="1" si="6283">SUM(T1004:T1006)</f>
        <v>0</v>
      </c>
      <c r="U1007" s="52">
        <f t="shared" ca="1" si="6283"/>
        <v>0</v>
      </c>
      <c r="V1007" s="52">
        <f t="shared" ca="1" si="6283"/>
        <v>0</v>
      </c>
      <c r="W1007" s="52">
        <f t="shared" ca="1" si="6283"/>
        <v>0</v>
      </c>
      <c r="X1007" s="52">
        <f t="shared" ca="1" si="6283"/>
        <v>0</v>
      </c>
      <c r="Y1007" s="52">
        <f t="shared" ca="1" si="6283"/>
        <v>0</v>
      </c>
      <c r="Z1007" s="52">
        <f t="shared" ca="1" si="6283"/>
        <v>0</v>
      </c>
      <c r="AA1007" s="52">
        <f t="shared" ca="1" si="6283"/>
        <v>0</v>
      </c>
      <c r="AB1007" s="52">
        <f t="shared" ca="1" si="6283"/>
        <v>0</v>
      </c>
      <c r="AC1007" s="52">
        <f t="shared" ca="1" si="6283"/>
        <v>177603.16646154114</v>
      </c>
      <c r="AD1007" s="52">
        <f t="shared" ca="1" si="6283"/>
        <v>228593.56652432308</v>
      </c>
      <c r="AE1007" s="52">
        <f t="shared" ca="1" si="6283"/>
        <v>135425.79504589667</v>
      </c>
      <c r="AF1007" s="52">
        <f t="shared" ca="1" si="6283"/>
        <v>135853.89339360723</v>
      </c>
      <c r="AG1007" s="52">
        <f t="shared" ca="1" si="6283"/>
        <v>212071.33654518845</v>
      </c>
      <c r="AH1007" s="52">
        <f t="shared" ca="1" si="6283"/>
        <v>271699.78192605288</v>
      </c>
      <c r="AI1007" s="52">
        <f t="shared" ca="1" si="6283"/>
        <v>160269.42365431634</v>
      </c>
      <c r="AJ1007" s="52">
        <f t="shared" ca="1" si="6283"/>
        <v>160126.45567993185</v>
      </c>
      <c r="AK1007" s="52">
        <f t="shared" ca="1" si="6283"/>
        <v>249012.79516918899</v>
      </c>
      <c r="AL1007" s="52">
        <f t="shared" ca="1" si="6283"/>
        <v>317888.74485348177</v>
      </c>
      <c r="AM1007" s="52">
        <f t="shared" ca="1" si="6283"/>
        <v>186883.86127933627</v>
      </c>
      <c r="AN1007" s="52">
        <f t="shared" ca="1" si="6283"/>
        <v>186123.45671973249</v>
      </c>
      <c r="AO1007" s="52">
        <f t="shared" ca="1" si="6283"/>
        <v>288570.25634463725</v>
      </c>
      <c r="AP1007" s="52">
        <f t="shared" ca="1" si="6283"/>
        <v>358154.6525349227</v>
      </c>
      <c r="AQ1007" s="52">
        <f t="shared" ca="1" si="6283"/>
        <v>204865.11928350991</v>
      </c>
      <c r="AR1007" s="52">
        <f t="shared" ca="1" si="6283"/>
        <v>198662.30011979851</v>
      </c>
      <c r="AS1007" s="52">
        <f t="shared" ca="1" si="6283"/>
        <v>300113.06659842259</v>
      </c>
      <c r="AT1007" s="52">
        <f t="shared" ca="1" si="6283"/>
        <v>372480.83863631962</v>
      </c>
      <c r="AU1007" s="52">
        <f t="shared" ca="1" si="6283"/>
        <v>213059.72405485041</v>
      </c>
      <c r="AV1007" s="52">
        <f t="shared" ca="1" si="6283"/>
        <v>206608.7921245906</v>
      </c>
      <c r="AW1007" s="52">
        <f t="shared" ca="1" si="6283"/>
        <v>265532.87444708205</v>
      </c>
      <c r="AX1007" s="52">
        <f t="shared" ca="1" si="6283"/>
        <v>329562.15096061223</v>
      </c>
      <c r="AY1007" s="52">
        <f t="shared" ca="1" si="6283"/>
        <v>188510.1558503214</v>
      </c>
      <c r="AZ1007" s="52">
        <f t="shared" ca="1" si="6283"/>
        <v>182802.52533053316</v>
      </c>
      <c r="BA1007" s="52">
        <f t="shared" ca="1" si="6283"/>
        <v>276154.18942496518</v>
      </c>
      <c r="BB1007" s="52">
        <f t="shared" ca="1" si="6283"/>
        <v>342744.63699903665</v>
      </c>
      <c r="BC1007" s="52">
        <f t="shared" ca="1" si="6283"/>
        <v>196050.5620843342</v>
      </c>
      <c r="BD1007" s="52">
        <f t="shared" ca="1" si="6283"/>
        <v>190114.62634375447</v>
      </c>
      <c r="BE1007" s="52">
        <f t="shared" ca="1" si="6283"/>
        <v>287200.35700196377</v>
      </c>
      <c r="BF1007" s="52">
        <f t="shared" ca="1" si="6283"/>
        <v>356454.42247899808</v>
      </c>
      <c r="BG1007" s="52">
        <f t="shared" ca="1" si="6283"/>
        <v>203892.5845677075</v>
      </c>
      <c r="BH1007" s="52">
        <f t="shared" ca="1" si="6283"/>
        <v>197719.21139750455</v>
      </c>
      <c r="BI1007" s="52">
        <f t="shared" ca="1" si="6283"/>
        <v>298688.37128204224</v>
      </c>
      <c r="BJ1007" s="52">
        <f t="shared" ca="1" si="6283"/>
        <v>370712.59937815787</v>
      </c>
      <c r="BK1007" s="52">
        <f t="shared" ca="1" si="6283"/>
        <v>212048.28795041575</v>
      </c>
      <c r="BL1007" s="52">
        <f t="shared" ca="1" si="6283"/>
        <v>205627.9798534048</v>
      </c>
      <c r="BM1007" s="52">
        <f t="shared" ca="1" si="6283"/>
        <v>310635.90613332402</v>
      </c>
      <c r="BN1007" s="52">
        <f t="shared" ca="1" si="6283"/>
        <v>385541.1033532843</v>
      </c>
      <c r="BO1007" s="52">
        <f t="shared" ca="1" si="6283"/>
        <v>220530.21946843248</v>
      </c>
      <c r="BP1007" s="52">
        <f t="shared" ca="1" si="6283"/>
        <v>213853.09904754104</v>
      </c>
      <c r="BQ1007" s="52">
        <f t="shared" ca="1" si="6283"/>
        <v>323061.34237865673</v>
      </c>
      <c r="BR1007" s="52">
        <f t="shared" ca="1" si="6283"/>
        <v>400962.74748741533</v>
      </c>
      <c r="BS1007" s="52">
        <f t="shared" ca="1" si="6283"/>
        <v>229351.42824716959</v>
      </c>
      <c r="BT1007" s="52">
        <f t="shared" ca="1" si="6283"/>
        <v>222407.22300944256</v>
      </c>
      <c r="BU1007" s="52">
        <f t="shared" ca="1" si="6283"/>
        <v>335983.79607380298</v>
      </c>
      <c r="BV1007" s="52">
        <f t="shared" ca="1" si="6283"/>
        <v>417001.25738691189</v>
      </c>
      <c r="BW1007" s="52">
        <f t="shared" ca="1" si="6283"/>
        <v>238525.48537705629</v>
      </c>
      <c r="BX1007" s="52">
        <f t="shared" ca="1" si="6283"/>
        <v>231303.51192982018</v>
      </c>
      <c r="BY1007" s="52">
        <f t="shared" ca="1" si="6283"/>
        <v>349423.14791675494</v>
      </c>
      <c r="BZ1007" s="52">
        <f t="shared" ca="1" si="6283"/>
        <v>433681.30768238846</v>
      </c>
      <c r="CA1007" s="52">
        <f t="shared" ca="1" si="6283"/>
        <v>248066.50479213858</v>
      </c>
      <c r="CB1007" s="52">
        <f t="shared" ca="1" si="6283"/>
        <v>240555.652407013</v>
      </c>
      <c r="CC1007" s="52">
        <f t="shared" ca="1" si="6283"/>
        <v>363400.07383342518</v>
      </c>
      <c r="CD1007" s="52">
        <f t="shared" ca="1" si="6283"/>
        <v>451028.5599896838</v>
      </c>
      <c r="CE1007" s="52">
        <f t="shared" ca="1" si="6283"/>
        <v>257989.16498382424</v>
      </c>
      <c r="CF1007" s="52">
        <f t="shared" ref="CF1007:CO1007" ca="1" si="6284">SUM(CF1004:CF1006)</f>
        <v>250177.8785032935</v>
      </c>
      <c r="CG1007" s="52">
        <f t="shared" ca="1" si="6284"/>
        <v>377936.07678676234</v>
      </c>
      <c r="CH1007" s="52">
        <f t="shared" ca="1" si="6284"/>
        <v>469069.70238927123</v>
      </c>
      <c r="CI1007" s="52">
        <f t="shared" ca="1" si="6284"/>
        <v>268308.73158317711</v>
      </c>
      <c r="CJ1007" s="52">
        <f t="shared" ca="1" si="6284"/>
        <v>260184.99364342517</v>
      </c>
      <c r="CK1007" s="52">
        <f t="shared" ca="1" si="6284"/>
        <v>393053.51985823293</v>
      </c>
      <c r="CL1007" s="52">
        <f t="shared" ca="1" si="6284"/>
        <v>487832.49048484187</v>
      </c>
      <c r="CM1007" s="52">
        <f t="shared" ca="1" si="6284"/>
        <v>279041.08084650408</v>
      </c>
      <c r="CN1007" s="52">
        <f t="shared" ca="1" si="6284"/>
        <v>270592.39338916226</v>
      </c>
      <c r="CO1007" s="52">
        <f t="shared" ca="1" si="6284"/>
        <v>408775.66065256204</v>
      </c>
    </row>
    <row r="1008" spans="1:94">
      <c r="A1008" s="10"/>
      <c r="B1008" s="10"/>
      <c r="C1008" s="17" t="s">
        <v>206</v>
      </c>
      <c r="D1008" s="10"/>
      <c r="E1008" s="62"/>
      <c r="F1008" s="10"/>
      <c r="G1008" s="134" t="str">
        <f>Monetary_Unit</f>
        <v>тыс. руб.</v>
      </c>
      <c r="H1008" s="10"/>
      <c r="I1008" s="23">
        <f ca="1">SUM(L1008:CO1008)</f>
        <v>-408775.66065256204</v>
      </c>
      <c r="J1008" s="10"/>
      <c r="K1008" s="10"/>
      <c r="L1008" s="52">
        <f t="shared" ref="L1008:R1008" ca="1" si="6285">L1004-L1007</f>
        <v>0</v>
      </c>
      <c r="M1008" s="52">
        <f t="shared" ca="1" si="6285"/>
        <v>0</v>
      </c>
      <c r="N1008" s="52">
        <f t="shared" ca="1" si="6285"/>
        <v>0</v>
      </c>
      <c r="O1008" s="52">
        <f t="shared" ca="1" si="6285"/>
        <v>0</v>
      </c>
      <c r="P1008" s="52">
        <f t="shared" ca="1" si="6285"/>
        <v>0</v>
      </c>
      <c r="Q1008" s="52">
        <f t="shared" ca="1" si="6285"/>
        <v>0</v>
      </c>
      <c r="R1008" s="52">
        <f t="shared" ca="1" si="6285"/>
        <v>0</v>
      </c>
      <c r="S1008" s="52">
        <f t="shared" ref="S1008" ca="1" si="6286">S1004-S1007</f>
        <v>0</v>
      </c>
      <c r="T1008" s="52">
        <f t="shared" ref="T1008:CE1008" ca="1" si="6287">T1004-T1007</f>
        <v>0</v>
      </c>
      <c r="U1008" s="52">
        <f t="shared" ca="1" si="6287"/>
        <v>0</v>
      </c>
      <c r="V1008" s="52">
        <f t="shared" ca="1" si="6287"/>
        <v>0</v>
      </c>
      <c r="W1008" s="52">
        <f t="shared" ca="1" si="6287"/>
        <v>0</v>
      </c>
      <c r="X1008" s="52">
        <f t="shared" ca="1" si="6287"/>
        <v>0</v>
      </c>
      <c r="Y1008" s="52">
        <f t="shared" ca="1" si="6287"/>
        <v>0</v>
      </c>
      <c r="Z1008" s="52">
        <f t="shared" ca="1" si="6287"/>
        <v>0</v>
      </c>
      <c r="AA1008" s="52">
        <f t="shared" ca="1" si="6287"/>
        <v>0</v>
      </c>
      <c r="AB1008" s="52">
        <f t="shared" ca="1" si="6287"/>
        <v>0</v>
      </c>
      <c r="AC1008" s="52">
        <f t="shared" ca="1" si="6287"/>
        <v>-177603.16646154114</v>
      </c>
      <c r="AD1008" s="52">
        <f t="shared" ca="1" si="6287"/>
        <v>-50990.400062781933</v>
      </c>
      <c r="AE1008" s="52">
        <f t="shared" ca="1" si="6287"/>
        <v>93167.77147842641</v>
      </c>
      <c r="AF1008" s="52">
        <f t="shared" ca="1" si="6287"/>
        <v>-428.09834771056194</v>
      </c>
      <c r="AG1008" s="52">
        <f t="shared" ca="1" si="6287"/>
        <v>-76217.443151581218</v>
      </c>
      <c r="AH1008" s="52">
        <f t="shared" ca="1" si="6287"/>
        <v>-59628.445380864432</v>
      </c>
      <c r="AI1008" s="52">
        <f t="shared" ca="1" si="6287"/>
        <v>111430.35827173654</v>
      </c>
      <c r="AJ1008" s="52">
        <f t="shared" ca="1" si="6287"/>
        <v>142.96797438448993</v>
      </c>
      <c r="AK1008" s="52">
        <f t="shared" ca="1" si="6287"/>
        <v>-88886.339489257138</v>
      </c>
      <c r="AL1008" s="52">
        <f t="shared" ca="1" si="6287"/>
        <v>-68875.949684292777</v>
      </c>
      <c r="AM1008" s="52">
        <f t="shared" ca="1" si="6287"/>
        <v>131004.8835741455</v>
      </c>
      <c r="AN1008" s="52">
        <f t="shared" ca="1" si="6287"/>
        <v>760.40455960377585</v>
      </c>
      <c r="AO1008" s="52">
        <f t="shared" ca="1" si="6287"/>
        <v>-102446.79962490476</v>
      </c>
      <c r="AP1008" s="52">
        <f t="shared" ca="1" si="6287"/>
        <v>-69584.39619028545</v>
      </c>
      <c r="AQ1008" s="52">
        <f t="shared" ca="1" si="6287"/>
        <v>153289.53325141279</v>
      </c>
      <c r="AR1008" s="52">
        <f t="shared" ca="1" si="6287"/>
        <v>6202.8191637113923</v>
      </c>
      <c r="AS1008" s="52">
        <f t="shared" ca="1" si="6287"/>
        <v>-101450.76647862408</v>
      </c>
      <c r="AT1008" s="52">
        <f t="shared" ca="1" si="6287"/>
        <v>-72367.772037897026</v>
      </c>
      <c r="AU1008" s="52">
        <f t="shared" ca="1" si="6287"/>
        <v>159421.11458146921</v>
      </c>
      <c r="AV1008" s="52">
        <f t="shared" ca="1" si="6287"/>
        <v>6450.9319302598014</v>
      </c>
      <c r="AW1008" s="52">
        <f t="shared" ca="1" si="6287"/>
        <v>-58924.082322491449</v>
      </c>
      <c r="AX1008" s="52">
        <f t="shared" ca="1" si="6287"/>
        <v>-64029.276513530174</v>
      </c>
      <c r="AY1008" s="52">
        <f t="shared" ca="1" si="6287"/>
        <v>141051.99511029082</v>
      </c>
      <c r="AZ1008" s="52">
        <f t="shared" ca="1" si="6287"/>
        <v>5707.6305197882466</v>
      </c>
      <c r="BA1008" s="52">
        <f t="shared" ca="1" si="6287"/>
        <v>-93351.664094432024</v>
      </c>
      <c r="BB1008" s="52">
        <f t="shared" ca="1" si="6287"/>
        <v>-66590.44757407147</v>
      </c>
      <c r="BC1008" s="52">
        <f t="shared" ca="1" si="6287"/>
        <v>146694.07491470245</v>
      </c>
      <c r="BD1008" s="52">
        <f t="shared" ca="1" si="6287"/>
        <v>5935.9357405797346</v>
      </c>
      <c r="BE1008" s="52">
        <f t="shared" ca="1" si="6287"/>
        <v>-97085.730658209301</v>
      </c>
      <c r="BF1008" s="52">
        <f t="shared" ca="1" si="6287"/>
        <v>-69254.06547703431</v>
      </c>
      <c r="BG1008" s="52">
        <f t="shared" ca="1" si="6287"/>
        <v>152561.83791129058</v>
      </c>
      <c r="BH1008" s="52">
        <f t="shared" ca="1" si="6287"/>
        <v>6173.3731702029472</v>
      </c>
      <c r="BI1008" s="52">
        <f t="shared" ca="1" si="6287"/>
        <v>-100969.15988453769</v>
      </c>
      <c r="BJ1008" s="52">
        <f t="shared" ca="1" si="6287"/>
        <v>-72024.228096115636</v>
      </c>
      <c r="BK1008" s="52">
        <f t="shared" ca="1" si="6287"/>
        <v>158664.31142774213</v>
      </c>
      <c r="BL1008" s="52">
        <f t="shared" ca="1" si="6287"/>
        <v>6420.308097010944</v>
      </c>
      <c r="BM1008" s="52">
        <f t="shared" ca="1" si="6287"/>
        <v>-105007.92627991922</v>
      </c>
      <c r="BN1008" s="52">
        <f t="shared" ca="1" si="6287"/>
        <v>-74905.197219960275</v>
      </c>
      <c r="BO1008" s="52">
        <f t="shared" ca="1" si="6287"/>
        <v>165010.88388485182</v>
      </c>
      <c r="BP1008" s="52">
        <f t="shared" ca="1" si="6287"/>
        <v>6677.1204208914423</v>
      </c>
      <c r="BQ1008" s="52">
        <f t="shared" ca="1" si="6287"/>
        <v>-109208.24333111569</v>
      </c>
      <c r="BR1008" s="52">
        <f t="shared" ca="1" si="6287"/>
        <v>-77901.405108758598</v>
      </c>
      <c r="BS1008" s="52">
        <f t="shared" ca="1" si="6287"/>
        <v>171611.31924024574</v>
      </c>
      <c r="BT1008" s="52">
        <f t="shared" ca="1" si="6287"/>
        <v>6944.2052377270302</v>
      </c>
      <c r="BU1008" s="52">
        <f t="shared" ca="1" si="6287"/>
        <v>-113576.57306436042</v>
      </c>
      <c r="BV1008" s="52">
        <f t="shared" ca="1" si="6287"/>
        <v>-81017.461313108914</v>
      </c>
      <c r="BW1008" s="52">
        <f t="shared" ca="1" si="6287"/>
        <v>178475.7720098556</v>
      </c>
      <c r="BX1008" s="52">
        <f t="shared" ca="1" si="6287"/>
        <v>7221.973447236116</v>
      </c>
      <c r="BY1008" s="52">
        <f t="shared" ca="1" si="6287"/>
        <v>-118119.63598693477</v>
      </c>
      <c r="BZ1008" s="52">
        <f t="shared" ca="1" si="6287"/>
        <v>-84258.159765633522</v>
      </c>
      <c r="CA1008" s="52">
        <f t="shared" ca="1" si="6287"/>
        <v>185614.80289024988</v>
      </c>
      <c r="CB1008" s="52">
        <f t="shared" ca="1" si="6287"/>
        <v>7510.8523851255886</v>
      </c>
      <c r="CC1008" s="52">
        <f t="shared" ca="1" si="6287"/>
        <v>-122844.42142641218</v>
      </c>
      <c r="CD1008" s="52">
        <f t="shared" ca="1" si="6287"/>
        <v>-87628.486156258616</v>
      </c>
      <c r="CE1008" s="52">
        <f t="shared" ca="1" si="6287"/>
        <v>193039.39500585955</v>
      </c>
      <c r="CF1008" s="52">
        <f t="shared" ref="CF1008:CO1008" ca="1" si="6288">CF1004-CF1007</f>
        <v>7811.2864805307472</v>
      </c>
      <c r="CG1008" s="52">
        <f t="shared" ca="1" si="6288"/>
        <v>-127758.19828346884</v>
      </c>
      <c r="CH1008" s="52">
        <f t="shared" ca="1" si="6288"/>
        <v>-91133.625602508895</v>
      </c>
      <c r="CI1008" s="52">
        <f t="shared" ca="1" si="6288"/>
        <v>200760.97080609412</v>
      </c>
      <c r="CJ1008" s="52">
        <f t="shared" ca="1" si="6288"/>
        <v>8123.7379397519398</v>
      </c>
      <c r="CK1008" s="52">
        <f t="shared" ca="1" si="6288"/>
        <v>-132868.52621480776</v>
      </c>
      <c r="CL1008" s="52">
        <f t="shared" ca="1" si="6288"/>
        <v>-94778.970626608934</v>
      </c>
      <c r="CM1008" s="52">
        <f t="shared" ca="1" si="6288"/>
        <v>208791.40963833779</v>
      </c>
      <c r="CN1008" s="52">
        <f t="shared" ca="1" si="6288"/>
        <v>8448.6874573418172</v>
      </c>
      <c r="CO1008" s="52">
        <f t="shared" ca="1" si="6288"/>
        <v>-138183.26726339979</v>
      </c>
    </row>
    <row r="1009" spans="1:93">
      <c r="A1009" s="10"/>
      <c r="B1009" s="10"/>
      <c r="C1009" s="10"/>
      <c r="D1009" s="10"/>
      <c r="E1009" s="10"/>
      <c r="F1009" s="10"/>
      <c r="G1009" s="11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  <c r="BB1009" s="10"/>
      <c r="BC1009" s="10"/>
      <c r="BD1009" s="10"/>
      <c r="BE1009" s="10"/>
      <c r="BF1009" s="10"/>
      <c r="BG1009" s="10"/>
      <c r="BH1009" s="10"/>
      <c r="BI1009" s="10"/>
      <c r="BJ1009" s="10"/>
      <c r="BK1009" s="10"/>
      <c r="BL1009" s="10"/>
      <c r="BM1009" s="10"/>
      <c r="BN1009" s="10"/>
      <c r="BO1009" s="10"/>
      <c r="BP1009" s="10"/>
      <c r="BQ1009" s="10"/>
      <c r="BR1009" s="10"/>
      <c r="BS1009" s="10"/>
      <c r="BT1009" s="10"/>
      <c r="BU1009" s="10"/>
      <c r="BV1009" s="10"/>
      <c r="BW1009" s="10"/>
      <c r="BX1009" s="10"/>
      <c r="BY1009" s="10"/>
      <c r="BZ1009" s="10"/>
      <c r="CA1009" s="10"/>
      <c r="CB1009" s="10"/>
      <c r="CC1009" s="10"/>
      <c r="CD1009" s="10"/>
      <c r="CE1009" s="10"/>
      <c r="CF1009" s="10"/>
      <c r="CG1009" s="10"/>
      <c r="CH1009" s="10"/>
      <c r="CI1009" s="10"/>
      <c r="CJ1009" s="10"/>
      <c r="CK1009" s="10"/>
      <c r="CL1009" s="10"/>
      <c r="CM1009" s="10"/>
      <c r="CN1009" s="10"/>
      <c r="CO1009" s="10"/>
    </row>
    <row r="1010" spans="1:93">
      <c r="A1010" s="10"/>
      <c r="B1010" s="10"/>
      <c r="C1010" s="41" t="s">
        <v>100</v>
      </c>
      <c r="D1010" s="10"/>
      <c r="E1010" s="62"/>
      <c r="F1010" s="10"/>
      <c r="G1010" s="11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  <c r="BB1010" s="10"/>
      <c r="BC1010" s="10"/>
      <c r="BD1010" s="10"/>
      <c r="BE1010" s="10"/>
      <c r="BF1010" s="10"/>
      <c r="BG1010" s="10"/>
      <c r="BH1010" s="10"/>
      <c r="BI1010" s="10"/>
      <c r="BJ1010" s="10"/>
      <c r="BK1010" s="10"/>
      <c r="BL1010" s="10"/>
      <c r="BM1010" s="10"/>
      <c r="BN1010" s="10"/>
      <c r="BO1010" s="10"/>
      <c r="BP1010" s="10"/>
      <c r="BQ1010" s="10"/>
      <c r="BR1010" s="10"/>
      <c r="BS1010" s="10"/>
      <c r="BT1010" s="10"/>
      <c r="BU1010" s="10"/>
      <c r="BV1010" s="10"/>
      <c r="BW1010" s="10"/>
      <c r="BX1010" s="10"/>
      <c r="BY1010" s="10"/>
      <c r="BZ1010" s="10"/>
      <c r="CA1010" s="10"/>
      <c r="CB1010" s="10"/>
      <c r="CC1010" s="10"/>
      <c r="CD1010" s="10"/>
      <c r="CE1010" s="10"/>
      <c r="CF1010" s="10"/>
      <c r="CG1010" s="10"/>
      <c r="CH1010" s="10"/>
      <c r="CI1010" s="10"/>
      <c r="CJ1010" s="10"/>
      <c r="CK1010" s="10"/>
      <c r="CL1010" s="10"/>
      <c r="CM1010" s="10"/>
      <c r="CN1010" s="10"/>
      <c r="CO1010" s="10"/>
    </row>
    <row r="1011" spans="1:93">
      <c r="A1011" s="10"/>
      <c r="B1011" s="10"/>
      <c r="C1011" s="17" t="s">
        <v>208</v>
      </c>
      <c r="D1011" s="10"/>
      <c r="E1011" s="184">
        <f xml:space="preserve"> Предпосылки!E560</f>
        <v>30</v>
      </c>
      <c r="F1011" s="10"/>
      <c r="G1011" s="11" t="s">
        <v>99</v>
      </c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  <c r="BB1011" s="10"/>
      <c r="BC1011" s="10"/>
      <c r="BD1011" s="10"/>
      <c r="BE1011" s="10"/>
      <c r="BF1011" s="10"/>
      <c r="BG1011" s="10"/>
      <c r="BH1011" s="10"/>
      <c r="BI1011" s="10"/>
      <c r="BJ1011" s="10"/>
      <c r="BK1011" s="10"/>
      <c r="BL1011" s="10"/>
      <c r="BM1011" s="10"/>
      <c r="BN1011" s="10"/>
      <c r="BO1011" s="10"/>
      <c r="BP1011" s="10"/>
      <c r="BQ1011" s="10"/>
      <c r="BR1011" s="10"/>
      <c r="BS1011" s="10"/>
      <c r="BT1011" s="10"/>
      <c r="BU1011" s="10"/>
      <c r="BV1011" s="10"/>
      <c r="BW1011" s="10"/>
      <c r="BX1011" s="10"/>
      <c r="BY1011" s="10"/>
      <c r="BZ1011" s="10"/>
      <c r="CA1011" s="10"/>
      <c r="CB1011" s="10"/>
      <c r="CC1011" s="10"/>
      <c r="CD1011" s="10"/>
      <c r="CE1011" s="10"/>
      <c r="CF1011" s="10"/>
      <c r="CG1011" s="10"/>
      <c r="CH1011" s="10"/>
      <c r="CI1011" s="10"/>
      <c r="CJ1011" s="10"/>
      <c r="CK1011" s="10"/>
      <c r="CL1011" s="10"/>
      <c r="CM1011" s="10"/>
      <c r="CN1011" s="10"/>
      <c r="CO1011" s="10"/>
    </row>
    <row r="1012" spans="1:93">
      <c r="A1012" s="10"/>
      <c r="B1012" s="10"/>
      <c r="C1012" s="17" t="s">
        <v>180</v>
      </c>
      <c r="D1012" s="10"/>
      <c r="E1012" s="62"/>
      <c r="F1012" s="10"/>
      <c r="G1012" s="134" t="str">
        <f>Monetary_Unit</f>
        <v>тыс. руб.</v>
      </c>
      <c r="H1012" s="10"/>
      <c r="I1012" s="10"/>
      <c r="J1012" s="10"/>
      <c r="K1012" s="10"/>
      <c r="L1012" s="52">
        <f t="shared" ref="L1012" si="6289">K1015</f>
        <v>0</v>
      </c>
      <c r="M1012" s="52">
        <f t="shared" ref="M1012" ca="1" si="6290">L1015</f>
        <v>0</v>
      </c>
      <c r="N1012" s="52">
        <f t="shared" ref="N1012" ca="1" si="6291">M1015</f>
        <v>0</v>
      </c>
      <c r="O1012" s="52">
        <f t="shared" ref="O1012" ca="1" si="6292">N1015</f>
        <v>0</v>
      </c>
      <c r="P1012" s="52">
        <f t="shared" ref="P1012" ca="1" si="6293">O1015</f>
        <v>0</v>
      </c>
      <c r="Q1012" s="52">
        <f t="shared" ref="Q1012" ca="1" si="6294">P1015</f>
        <v>0</v>
      </c>
      <c r="R1012" s="52">
        <f t="shared" ref="R1012" ca="1" si="6295">Q1015</f>
        <v>0</v>
      </c>
      <c r="S1012" s="52">
        <f t="shared" ref="S1012" ca="1" si="6296">R1015</f>
        <v>0</v>
      </c>
      <c r="T1012" s="52">
        <f t="shared" ref="T1012" ca="1" si="6297">S1015</f>
        <v>0</v>
      </c>
      <c r="U1012" s="52">
        <f t="shared" ref="U1012" ca="1" si="6298">T1015</f>
        <v>0</v>
      </c>
      <c r="V1012" s="52">
        <f t="shared" ref="V1012" ca="1" si="6299">U1015</f>
        <v>0</v>
      </c>
      <c r="W1012" s="52">
        <f t="shared" ref="W1012" ca="1" si="6300">V1015</f>
        <v>0</v>
      </c>
      <c r="X1012" s="52">
        <f t="shared" ref="X1012" ca="1" si="6301">W1015</f>
        <v>0</v>
      </c>
      <c r="Y1012" s="52">
        <f t="shared" ref="Y1012" ca="1" si="6302">X1015</f>
        <v>0</v>
      </c>
      <c r="Z1012" s="52">
        <f t="shared" ref="Z1012" ca="1" si="6303">Y1015</f>
        <v>0</v>
      </c>
      <c r="AA1012" s="52">
        <f t="shared" ref="AA1012" ca="1" si="6304">Z1015</f>
        <v>0</v>
      </c>
      <c r="AB1012" s="52">
        <f t="shared" ref="AB1012" ca="1" si="6305">AA1015</f>
        <v>0</v>
      </c>
      <c r="AC1012" s="52">
        <f t="shared" ref="AC1012" ca="1" si="6306">AB1015</f>
        <v>0</v>
      </c>
      <c r="AD1012" s="52">
        <f t="shared" ref="AD1012" ca="1" si="6307">AC1015</f>
        <v>111548.80041016091</v>
      </c>
      <c r="AE1012" s="52">
        <f t="shared" ref="AE1012" ca="1" si="6308">AD1015</f>
        <v>143554.40568244207</v>
      </c>
      <c r="AF1012" s="52">
        <f t="shared" ref="AF1012" ca="1" si="6309">AE1015</f>
        <v>85077.004229013575</v>
      </c>
      <c r="AG1012" s="52">
        <f t="shared" ref="AG1012" ca="1" si="6310">AF1015</f>
        <v>85346.44547014017</v>
      </c>
      <c r="AH1012" s="52">
        <f t="shared" ref="AH1012" ca="1" si="6311">AG1015</f>
        <v>133186.20002131746</v>
      </c>
      <c r="AI1012" s="52">
        <f t="shared" ref="AI1012" ca="1" si="6312">AH1015</f>
        <v>170613.63150227594</v>
      </c>
      <c r="AJ1012" s="52">
        <f t="shared" ref="AJ1012" ca="1" si="6313">AI1015</f>
        <v>100673.47593068139</v>
      </c>
      <c r="AK1012" s="52">
        <f t="shared" ref="AK1012" ca="1" si="6314">AJ1015</f>
        <v>100584.50848591205</v>
      </c>
      <c r="AL1012" s="52">
        <f t="shared" ref="AL1012" ca="1" si="6315">AK1015</f>
        <v>156376.11352071044</v>
      </c>
      <c r="AM1012" s="52">
        <f t="shared" ref="AM1012" ca="1" si="6316">AL1015</f>
        <v>199607.90833860449</v>
      </c>
      <c r="AN1012" s="52">
        <f t="shared" ref="AN1012" ca="1" si="6317">AM1015</f>
        <v>117381.54216171621</v>
      </c>
      <c r="AO1012" s="52">
        <f t="shared" ref="AO1012" ca="1" si="6318">AN1015</f>
        <v>116904.83841903444</v>
      </c>
      <c r="AP1012" s="52">
        <f t="shared" ref="AP1012" ca="1" si="6319">AO1015</f>
        <v>181207.89616355911</v>
      </c>
      <c r="AQ1012" s="52">
        <f t="shared" ref="AQ1012" ca="1" si="6320">AP1015</f>
        <v>224884.38705812045</v>
      </c>
      <c r="AR1012" s="52">
        <f t="shared" ref="AR1012" ca="1" si="6321">AQ1015</f>
        <v>128670.75949649554</v>
      </c>
      <c r="AS1012" s="52">
        <f t="shared" ref="AS1012" ca="1" si="6322">AR1015</f>
        <v>124778.52980466065</v>
      </c>
      <c r="AT1012" s="52">
        <f t="shared" ref="AT1012" ca="1" si="6323">AS1015</f>
        <v>188456.44706722128</v>
      </c>
      <c r="AU1012" s="52">
        <f t="shared" ref="AU1012" ca="1" si="6324">AT1015</f>
        <v>233879.99991367839</v>
      </c>
      <c r="AV1012" s="52">
        <f t="shared" ref="AV1012" ca="1" si="6325">AU1015</f>
        <v>133817.82958852337</v>
      </c>
      <c r="AW1012" s="52">
        <f t="shared" ref="AW1012" ca="1" si="6326">AV1015</f>
        <v>129769.67099684704</v>
      </c>
      <c r="AX1012" s="52">
        <f t="shared" ref="AX1012" ca="1" si="6327">AW1015</f>
        <v>193340.35472003976</v>
      </c>
      <c r="AY1012" s="52">
        <f t="shared" ref="AY1012" ca="1" si="6328">AX1015</f>
        <v>239940.79286936333</v>
      </c>
      <c r="AZ1012" s="52">
        <f t="shared" ref="AZ1012" ca="1" si="6329">AY1015</f>
        <v>137286.1358919139</v>
      </c>
      <c r="BA1012" s="52">
        <f t="shared" ref="BA1012" ca="1" si="6330">AZ1015</f>
        <v>133133.10622859199</v>
      </c>
      <c r="BB1012" s="52">
        <f t="shared" ref="BB1012" ca="1" si="6331">BA1015</f>
        <v>201073.96890884137</v>
      </c>
      <c r="BC1012" s="52">
        <f t="shared" ref="BC1012" ca="1" si="6332">BB1015</f>
        <v>249538.42458413797</v>
      </c>
      <c r="BD1012" s="52">
        <f t="shared" ref="BD1012" ca="1" si="6333">BC1015</f>
        <v>142777.58132759051</v>
      </c>
      <c r="BE1012" s="52">
        <f t="shared" ref="BE1012" ca="1" si="6334">BD1015</f>
        <v>138458.16865033563</v>
      </c>
      <c r="BF1012" s="52">
        <f t="shared" ref="BF1012" ca="1" si="6335">BE1015</f>
        <v>209116.66325790295</v>
      </c>
      <c r="BG1012" s="52">
        <f t="shared" ref="BG1012" ca="1" si="6336">BF1015</f>
        <v>259519.69455489889</v>
      </c>
      <c r="BH1012" s="52">
        <f t="shared" ref="BH1012" ca="1" si="6337">BG1015</f>
        <v>148488.41493710584</v>
      </c>
      <c r="BI1012" s="52">
        <f t="shared" ref="BI1012" ca="1" si="6338">BH1015</f>
        <v>143996.76769684505</v>
      </c>
      <c r="BJ1012" s="52">
        <f t="shared" ref="BJ1012" ca="1" si="6339">BI1015</f>
        <v>217481.60477180267</v>
      </c>
      <c r="BK1012" s="52">
        <f t="shared" ref="BK1012" ca="1" si="6340">BJ1015</f>
        <v>269900.76003020338</v>
      </c>
      <c r="BL1012" s="52">
        <f t="shared" ref="BL1012" ca="1" si="6341">BK1015</f>
        <v>154428.2319639218</v>
      </c>
      <c r="BM1012" s="52">
        <f t="shared" ref="BM1012" ca="1" si="6342">BL1015</f>
        <v>149756.63840471895</v>
      </c>
      <c r="BN1012" s="52">
        <f t="shared" ref="BN1012" ca="1" si="6343">BM1015</f>
        <v>226180.86896267487</v>
      </c>
      <c r="BO1012" s="52">
        <f t="shared" ref="BO1012" ca="1" si="6344">BN1015</f>
        <v>280696.79043141147</v>
      </c>
      <c r="BP1012" s="52">
        <f t="shared" ref="BP1012" ca="1" si="6345">BO1015</f>
        <v>160605.3612424786</v>
      </c>
      <c r="BQ1012" s="52">
        <f t="shared" ref="BQ1012" ca="1" si="6346">BP1015</f>
        <v>155746.90394090762</v>
      </c>
      <c r="BR1012" s="52">
        <f t="shared" ref="BR1012" ca="1" si="6347">BQ1015</f>
        <v>235228.10372118175</v>
      </c>
      <c r="BS1012" s="52">
        <f t="shared" ref="BS1012" ca="1" si="6348">BR1015</f>
        <v>291924.6620486679</v>
      </c>
      <c r="BT1012" s="52">
        <f t="shared" ref="BT1012" ca="1" si="6349">BS1015</f>
        <v>167029.57569217763</v>
      </c>
      <c r="BU1012" s="52">
        <f t="shared" ref="BU1012" ca="1" si="6350">BT1015</f>
        <v>161976.4737975187</v>
      </c>
      <c r="BV1012" s="52">
        <f t="shared" ref="BV1012" ca="1" si="6351">BU1015</f>
        <v>244636.91855089506</v>
      </c>
      <c r="BW1012" s="52">
        <f t="shared" ref="BW1012" ca="1" si="6352">BV1015</f>
        <v>303601.3361636335</v>
      </c>
      <c r="BX1012" s="52">
        <f t="shared" ref="BX1012" ca="1" si="6353">BW1015</f>
        <v>173710.44327500497</v>
      </c>
      <c r="BY1012" s="52">
        <f t="shared" ref="BY1012" ca="1" si="6354">BX1015</f>
        <v>168455.85130248568</v>
      </c>
      <c r="BZ1012" s="52">
        <f t="shared" ref="BZ1012" ca="1" si="6355">BY1015</f>
        <v>254422.7169848301</v>
      </c>
      <c r="CA1012" s="52">
        <f t="shared" ref="CA1012" ca="1" si="6356">BZ1015</f>
        <v>315745.71447183914</v>
      </c>
      <c r="CB1012" s="52">
        <f t="shared" ref="CB1012" ca="1" si="6357">CA1015</f>
        <v>180659.18906865944</v>
      </c>
      <c r="CC1012" s="52">
        <f t="shared" ref="CC1012" ca="1" si="6358">CB1015</f>
        <v>175194.08535458497</v>
      </c>
      <c r="CD1012" s="52">
        <f t="shared" ref="CD1012" ca="1" si="6359">CC1015</f>
        <v>264599.62566422322</v>
      </c>
      <c r="CE1012" s="52">
        <f t="shared" ref="CE1012" ca="1" si="6360">CD1015</f>
        <v>328375.54305071267</v>
      </c>
      <c r="CF1012" s="52">
        <f t="shared" ref="CF1012" ca="1" si="6361">CE1015</f>
        <v>187885.55663140572</v>
      </c>
      <c r="CG1012" s="52">
        <f t="shared" ref="CG1012" ca="1" si="6362">CF1015</f>
        <v>182201.84876876837</v>
      </c>
      <c r="CH1012" s="52">
        <f t="shared" ref="CH1012" ca="1" si="6363">CG1015</f>
        <v>275183.61069079209</v>
      </c>
      <c r="CI1012" s="52">
        <f t="shared" ref="CI1012" ca="1" si="6364">CH1015</f>
        <v>341510.56477274117</v>
      </c>
      <c r="CJ1012" s="52">
        <f t="shared" ref="CJ1012" ca="1" si="6365">CI1015</f>
        <v>195400.97889666189</v>
      </c>
      <c r="CK1012" s="52">
        <f t="shared" ref="CK1012" ca="1" si="6366">CJ1015</f>
        <v>189489.5643906428</v>
      </c>
      <c r="CL1012" s="52">
        <f t="shared" ref="CL1012" ca="1" si="6367">CK1015</f>
        <v>286190.5932587873</v>
      </c>
      <c r="CM1012" s="52">
        <f t="shared" ref="CM1012" ca="1" si="6368">CL1015</f>
        <v>355170.62193846435</v>
      </c>
      <c r="CN1012" s="52">
        <f t="shared" ref="CN1012" ca="1" si="6369">CM1015</f>
        <v>203216.64902665908</v>
      </c>
      <c r="CO1012" s="52">
        <f t="shared" ref="CO1012" ca="1" si="6370">CN1015</f>
        <v>197069.51962829998</v>
      </c>
    </row>
    <row r="1013" spans="1:93">
      <c r="A1013" s="10"/>
      <c r="B1013" s="10"/>
      <c r="C1013" s="17" t="s">
        <v>55</v>
      </c>
      <c r="D1013" s="10"/>
      <c r="E1013" s="62"/>
      <c r="F1013" s="10"/>
      <c r="G1013" s="134" t="str">
        <f>Monetary_Unit</f>
        <v>тыс. руб.</v>
      </c>
      <c r="H1013" s="10"/>
      <c r="I1013" s="23">
        <f ca="1">SUM(L1013:CO1013)</f>
        <v>38547379.439622067</v>
      </c>
      <c r="J1013" s="10"/>
      <c r="K1013" s="10"/>
      <c r="L1013" s="52">
        <f t="shared" ref="L1013:AQ1013" ca="1" si="6371" xml:space="preserve"> - COGS</f>
        <v>0</v>
      </c>
      <c r="M1013" s="52">
        <f t="shared" ca="1" si="6371"/>
        <v>0</v>
      </c>
      <c r="N1013" s="52">
        <f t="shared" ca="1" si="6371"/>
        <v>0</v>
      </c>
      <c r="O1013" s="52">
        <f t="shared" ca="1" si="6371"/>
        <v>0</v>
      </c>
      <c r="P1013" s="52">
        <f t="shared" ca="1" si="6371"/>
        <v>0</v>
      </c>
      <c r="Q1013" s="52">
        <f t="shared" ca="1" si="6371"/>
        <v>0</v>
      </c>
      <c r="R1013" s="52">
        <f t="shared" ca="1" si="6371"/>
        <v>0</v>
      </c>
      <c r="S1013" s="52">
        <f t="shared" ca="1" si="6371"/>
        <v>0</v>
      </c>
      <c r="T1013" s="52">
        <f t="shared" ca="1" si="6371"/>
        <v>0</v>
      </c>
      <c r="U1013" s="52">
        <f t="shared" ca="1" si="6371"/>
        <v>0</v>
      </c>
      <c r="V1013" s="52">
        <f t="shared" ca="1" si="6371"/>
        <v>0</v>
      </c>
      <c r="W1013" s="52">
        <f t="shared" ca="1" si="6371"/>
        <v>0</v>
      </c>
      <c r="X1013" s="52">
        <f t="shared" ca="1" si="6371"/>
        <v>0</v>
      </c>
      <c r="Y1013" s="52">
        <f t="shared" ca="1" si="6371"/>
        <v>0</v>
      </c>
      <c r="Z1013" s="52">
        <f t="shared" ca="1" si="6371"/>
        <v>0</v>
      </c>
      <c r="AA1013" s="52">
        <f t="shared" ca="1" si="6371"/>
        <v>0</v>
      </c>
      <c r="AB1013" s="52">
        <f t="shared" ca="1" si="6371"/>
        <v>0</v>
      </c>
      <c r="AC1013" s="52">
        <f t="shared" ca="1" si="6371"/>
        <v>338364.69457748812</v>
      </c>
      <c r="AD1013" s="52">
        <f t="shared" ca="1" si="6371"/>
        <v>440233.51075948874</v>
      </c>
      <c r="AE1013" s="52">
        <f t="shared" ca="1" si="6371"/>
        <v>260902.81296897485</v>
      </c>
      <c r="AF1013" s="52">
        <f t="shared" ca="1" si="6371"/>
        <v>256039.33641042063</v>
      </c>
      <c r="AG1013" s="52">
        <f t="shared" ca="1" si="6371"/>
        <v>403998.14006466302</v>
      </c>
      <c r="AH1013" s="52">
        <f t="shared" ca="1" si="6371"/>
        <v>523215.13660697942</v>
      </c>
      <c r="AI1013" s="52">
        <f t="shared" ca="1" si="6371"/>
        <v>308731.99285408959</v>
      </c>
      <c r="AJ1013" s="52">
        <f t="shared" ca="1" si="6371"/>
        <v>301753.52545773616</v>
      </c>
      <c r="AK1013" s="52">
        <f t="shared" ca="1" si="6371"/>
        <v>474340.87767948816</v>
      </c>
      <c r="AL1013" s="52">
        <f t="shared" ca="1" si="6371"/>
        <v>612130.91890505375</v>
      </c>
      <c r="AM1013" s="52">
        <f t="shared" ca="1" si="6371"/>
        <v>359970.06262926321</v>
      </c>
      <c r="AN1013" s="52">
        <f t="shared" ca="1" si="6371"/>
        <v>354611.34320440446</v>
      </c>
      <c r="AO1013" s="52">
        <f t="shared" ca="1" si="6371"/>
        <v>549663.95169612917</v>
      </c>
      <c r="AP1013" s="52">
        <f t="shared" ca="1" si="6371"/>
        <v>689645.45364490314</v>
      </c>
      <c r="AQ1013" s="52">
        <f t="shared" ca="1" si="6371"/>
        <v>394590.32912258612</v>
      </c>
      <c r="AR1013" s="52">
        <f t="shared" ref="AR1013:BW1013" ca="1" si="6372" xml:space="preserve"> - COGS</f>
        <v>374335.589413982</v>
      </c>
      <c r="AS1013" s="52">
        <f t="shared" ca="1" si="6372"/>
        <v>571651.22277057101</v>
      </c>
      <c r="AT1013" s="52">
        <f t="shared" ca="1" si="6372"/>
        <v>717231.99973528064</v>
      </c>
      <c r="AU1013" s="52">
        <f t="shared" ca="1" si="6372"/>
        <v>410374.67740480497</v>
      </c>
      <c r="AV1013" s="52">
        <f t="shared" ca="1" si="6372"/>
        <v>389309.01299054123</v>
      </c>
      <c r="AW1013" s="52">
        <f t="shared" ca="1" si="6372"/>
        <v>586465.74265078746</v>
      </c>
      <c r="AX1013" s="52">
        <f t="shared" ca="1" si="6372"/>
        <v>735818.43146604754</v>
      </c>
      <c r="AY1013" s="52">
        <f t="shared" ca="1" si="6372"/>
        <v>421010.81673520268</v>
      </c>
      <c r="AZ1013" s="52">
        <f t="shared" ca="1" si="6372"/>
        <v>399399.31868577609</v>
      </c>
      <c r="BA1013" s="52">
        <f t="shared" ca="1" si="6372"/>
        <v>609924.37235681852</v>
      </c>
      <c r="BB1013" s="52">
        <f t="shared" ca="1" si="6372"/>
        <v>765251.16872468952</v>
      </c>
      <c r="BC1013" s="52">
        <f t="shared" ca="1" si="6372"/>
        <v>437851.24940461077</v>
      </c>
      <c r="BD1013" s="52">
        <f t="shared" ca="1" si="6372"/>
        <v>419989.77823935129</v>
      </c>
      <c r="BE1013" s="52">
        <f t="shared" ca="1" si="6372"/>
        <v>634320.54521563894</v>
      </c>
      <c r="BF1013" s="52">
        <f t="shared" ca="1" si="6372"/>
        <v>795860.39663502329</v>
      </c>
      <c r="BG1013" s="52">
        <f t="shared" ca="1" si="6372"/>
        <v>455364.47247379133</v>
      </c>
      <c r="BH1013" s="52">
        <f t="shared" ca="1" si="6372"/>
        <v>431990.30309053528</v>
      </c>
      <c r="BI1013" s="52">
        <f t="shared" ca="1" si="6372"/>
        <v>659694.20114113495</v>
      </c>
      <c r="BJ1013" s="52">
        <f t="shared" ca="1" si="6372"/>
        <v>827695.66409262386</v>
      </c>
      <c r="BK1013" s="52">
        <f t="shared" ca="1" si="6372"/>
        <v>473579.91135602683</v>
      </c>
      <c r="BL1013" s="52">
        <f t="shared" ca="1" si="6372"/>
        <v>449269.91521415667</v>
      </c>
      <c r="BM1013" s="52">
        <f t="shared" ca="1" si="6372"/>
        <v>686081.96918678016</v>
      </c>
      <c r="BN1013" s="52">
        <f t="shared" ca="1" si="6372"/>
        <v>860803.49065632862</v>
      </c>
      <c r="BO1013" s="52">
        <f t="shared" ca="1" si="6372"/>
        <v>492523.10781026777</v>
      </c>
      <c r="BP1013" s="52">
        <f t="shared" ca="1" si="6372"/>
        <v>467240.71182272292</v>
      </c>
      <c r="BQ1013" s="52">
        <f t="shared" ca="1" si="6372"/>
        <v>713525.24795425136</v>
      </c>
      <c r="BR1013" s="52">
        <f t="shared" ca="1" si="6372"/>
        <v>895235.63028258167</v>
      </c>
      <c r="BS1013" s="52">
        <f t="shared" ca="1" si="6372"/>
        <v>512224.03212267824</v>
      </c>
      <c r="BT1013" s="52">
        <f t="shared" ca="1" si="6372"/>
        <v>491328.63718580664</v>
      </c>
      <c r="BU1013" s="52">
        <f t="shared" ca="1" si="6372"/>
        <v>742065.31960438204</v>
      </c>
      <c r="BV1013" s="52">
        <f t="shared" ca="1" si="6372"/>
        <v>931044.09756847634</v>
      </c>
      <c r="BW1013" s="52">
        <f t="shared" ca="1" si="6372"/>
        <v>532712.0260433486</v>
      </c>
      <c r="BX1013" s="52">
        <f t="shared" ref="BX1013:CO1013" ca="1" si="6373" xml:space="preserve"> - COGS</f>
        <v>505367.55390745687</v>
      </c>
      <c r="BY1013" s="52">
        <f t="shared" ca="1" si="6373"/>
        <v>771748.90818731789</v>
      </c>
      <c r="BZ1013" s="52">
        <f t="shared" ca="1" si="6373"/>
        <v>968286.8577136402</v>
      </c>
      <c r="CA1013" s="52">
        <f t="shared" ca="1" si="6373"/>
        <v>554021.51314388867</v>
      </c>
      <c r="CB1013" s="52">
        <f t="shared" ca="1" si="6373"/>
        <v>525582.25606375502</v>
      </c>
      <c r="CC1013" s="52">
        <f t="shared" ca="1" si="6373"/>
        <v>802618.86451481062</v>
      </c>
      <c r="CD1013" s="52">
        <f t="shared" ca="1" si="6373"/>
        <v>1007018.3320221858</v>
      </c>
      <c r="CE1013" s="52">
        <f t="shared" ca="1" si="6373"/>
        <v>576182.37366964424</v>
      </c>
      <c r="CF1013" s="52">
        <f t="shared" ca="1" si="6373"/>
        <v>546605.54630630522</v>
      </c>
      <c r="CG1013" s="52">
        <f t="shared" ca="1" si="6373"/>
        <v>834723.61909540289</v>
      </c>
      <c r="CH1013" s="52">
        <f t="shared" ca="1" si="6373"/>
        <v>1047299.0653030727</v>
      </c>
      <c r="CI1013" s="52">
        <f t="shared" ca="1" si="6373"/>
        <v>599229.66861643014</v>
      </c>
      <c r="CJ1013" s="52">
        <f t="shared" ca="1" si="6373"/>
        <v>574785.01198494982</v>
      </c>
      <c r="CK1013" s="52">
        <f t="shared" ca="1" si="6373"/>
        <v>868111.46621832193</v>
      </c>
      <c r="CL1013" s="52">
        <f t="shared" ca="1" si="6373"/>
        <v>1089189.9072779571</v>
      </c>
      <c r="CM1013" s="52">
        <f t="shared" ca="1" si="6373"/>
        <v>623197.72368175432</v>
      </c>
      <c r="CN1013" s="52">
        <f t="shared" ca="1" si="6373"/>
        <v>591208.55888489971</v>
      </c>
      <c r="CO1013" s="52">
        <f t="shared" ca="1" si="6373"/>
        <v>902837.06641358766</v>
      </c>
    </row>
    <row r="1014" spans="1:93">
      <c r="A1014" s="10"/>
      <c r="B1014" s="10"/>
      <c r="C1014" s="17" t="s">
        <v>207</v>
      </c>
      <c r="D1014" s="10"/>
      <c r="E1014" s="62"/>
      <c r="F1014" s="10"/>
      <c r="G1014" s="134" t="str">
        <f>Monetary_Unit</f>
        <v>тыс. руб.</v>
      </c>
      <c r="H1014" s="10"/>
      <c r="I1014" s="23">
        <f ca="1">SUM(L1014:CO1014)</f>
        <v>-38249740.846298918</v>
      </c>
      <c r="J1014" s="10"/>
      <c r="K1014" s="10"/>
      <c r="L1014" s="52">
        <f t="shared" ref="L1014" ca="1" si="6374">IF(Flag_Last_Operations*$E1000,-L1012-L1013,-(L1012+L1013*(Days_In_Period-$E1011)/Days_In_Period))</f>
        <v>0</v>
      </c>
      <c r="M1014" s="52">
        <f t="shared" ref="M1014" ca="1" si="6375">IF(Flag_Last_Operations*$E1000,-M1012-M1013,-(M1012+M1013*(Days_In_Period-$E1011)/Days_In_Period))</f>
        <v>0</v>
      </c>
      <c r="N1014" s="52">
        <f t="shared" ref="N1014" ca="1" si="6376">IF(Flag_Last_Operations*$E1000,-N1012-N1013,-(N1012+N1013*(Days_In_Period-$E1011)/Days_In_Period))</f>
        <v>0</v>
      </c>
      <c r="O1014" s="52">
        <f t="shared" ref="O1014" ca="1" si="6377">IF(Flag_Last_Operations*$E1000,-O1012-O1013,-(O1012+O1013*(Days_In_Period-$E1011)/Days_In_Period))</f>
        <v>0</v>
      </c>
      <c r="P1014" s="52">
        <f t="shared" ref="P1014" ca="1" si="6378">IF(Flag_Last_Operations*$E1000,-P1012-P1013,-(P1012+P1013*(Days_In_Period-$E1011)/Days_In_Period))</f>
        <v>0</v>
      </c>
      <c r="Q1014" s="52">
        <f t="shared" ref="Q1014" ca="1" si="6379">IF(Flag_Last_Operations*$E1000,-Q1012-Q1013,-(Q1012+Q1013*(Days_In_Period-$E1011)/Days_In_Period))</f>
        <v>0</v>
      </c>
      <c r="R1014" s="52">
        <f t="shared" ref="R1014" ca="1" si="6380">IF(Flag_Last_Operations*$E1000,-R1012-R1013,-(R1012+R1013*(Days_In_Period-$E1011)/Days_In_Period))</f>
        <v>0</v>
      </c>
      <c r="S1014" s="52">
        <f t="shared" ref="S1014" ca="1" si="6381">IF(Flag_Last_Operations*$E1000,-S1012-S1013,-(S1012+S1013*(Days_In_Period-$E1011)/Days_In_Period))</f>
        <v>0</v>
      </c>
      <c r="T1014" s="52">
        <f t="shared" ref="T1014" ca="1" si="6382">IF(Flag_Last_Operations*$E1000,-T1012-T1013,-(T1012+T1013*(Days_In_Period-$E1011)/Days_In_Period))</f>
        <v>0</v>
      </c>
      <c r="U1014" s="52">
        <f t="shared" ref="U1014" ca="1" si="6383">IF(Flag_Last_Operations*$E1000,-U1012-U1013,-(U1012+U1013*(Days_In_Period-$E1011)/Days_In_Period))</f>
        <v>0</v>
      </c>
      <c r="V1014" s="52">
        <f t="shared" ref="V1014" ca="1" si="6384">IF(Flag_Last_Operations*$E1000,-V1012-V1013,-(V1012+V1013*(Days_In_Period-$E1011)/Days_In_Period))</f>
        <v>0</v>
      </c>
      <c r="W1014" s="52">
        <f t="shared" ref="W1014" ca="1" si="6385">IF(Flag_Last_Operations*$E1000,-W1012-W1013,-(W1012+W1013*(Days_In_Period-$E1011)/Days_In_Period))</f>
        <v>0</v>
      </c>
      <c r="X1014" s="52">
        <f t="shared" ref="X1014" ca="1" si="6386">IF(Flag_Last_Operations*$E1000,-X1012-X1013,-(X1012+X1013*(Days_In_Period-$E1011)/Days_In_Period))</f>
        <v>0</v>
      </c>
      <c r="Y1014" s="52">
        <f t="shared" ref="Y1014" ca="1" si="6387">IF(Flag_Last_Operations*$E1000,-Y1012-Y1013,-(Y1012+Y1013*(Days_In_Period-$E1011)/Days_In_Period))</f>
        <v>0</v>
      </c>
      <c r="Z1014" s="52">
        <f t="shared" ref="Z1014" ca="1" si="6388">IF(Flag_Last_Operations*$E1000,-Z1012-Z1013,-(Z1012+Z1013*(Days_In_Period-$E1011)/Days_In_Period))</f>
        <v>0</v>
      </c>
      <c r="AA1014" s="52">
        <f t="shared" ref="AA1014" ca="1" si="6389">IF(Flag_Last_Operations*$E1000,-AA1012-AA1013,-(AA1012+AA1013*(Days_In_Period-$E1011)/Days_In_Period))</f>
        <v>0</v>
      </c>
      <c r="AB1014" s="52">
        <f t="shared" ref="AB1014" ca="1" si="6390">IF(Flag_Last_Operations*$E1000,-AB1012-AB1013,-(AB1012+AB1013*(Days_In_Period-$E1011)/Days_In_Period))</f>
        <v>0</v>
      </c>
      <c r="AC1014" s="52">
        <f t="shared" ref="AC1014" ca="1" si="6391">IF(Flag_Last_Operations*$E1000,-AC1012-AC1013,-(AC1012+AC1013*(Days_In_Period-$E1011)/Days_In_Period))</f>
        <v>-226815.89416732721</v>
      </c>
      <c r="AD1014" s="52">
        <f t="shared" ref="AD1014" ca="1" si="6392">IF(Flag_Last_Operations*$E1000,-AD1012-AD1013,-(AD1012+AD1013*(Days_In_Period-$E1011)/Days_In_Period))</f>
        <v>-408227.90548720764</v>
      </c>
      <c r="AE1014" s="52">
        <f t="shared" ref="AE1014" ca="1" si="6393">IF(Flag_Last_Operations*$E1000,-AE1012-AE1013,-(AE1012+AE1013*(Days_In_Period-$E1011)/Days_In_Period))</f>
        <v>-319380.21442240337</v>
      </c>
      <c r="AF1014" s="52">
        <f t="shared" ref="AF1014" ca="1" si="6394">IF(Flag_Last_Operations*$E1000,-AF1012-AF1013,-(AF1012+AF1013*(Days_In_Period-$E1011)/Days_In_Period))</f>
        <v>-255769.895169294</v>
      </c>
      <c r="AG1014" s="52">
        <f t="shared" ref="AG1014" ca="1" si="6395">IF(Flag_Last_Operations*$E1000,-AG1012-AG1013,-(AG1012+AG1013*(Days_In_Period-$E1011)/Days_In_Period))</f>
        <v>-356158.38551348576</v>
      </c>
      <c r="AH1014" s="52">
        <f t="shared" ref="AH1014" ca="1" si="6396">IF(Flag_Last_Operations*$E1000,-AH1012-AH1013,-(AH1012+AH1013*(Days_In_Period-$E1011)/Days_In_Period))</f>
        <v>-485787.70512602094</v>
      </c>
      <c r="AI1014" s="52">
        <f t="shared" ref="AI1014" ca="1" si="6397">IF(Flag_Last_Operations*$E1000,-AI1012-AI1013,-(AI1012+AI1013*(Days_In_Period-$E1011)/Days_In_Period))</f>
        <v>-378672.14842568414</v>
      </c>
      <c r="AJ1014" s="52">
        <f t="shared" ref="AJ1014" ca="1" si="6398">IF(Flag_Last_Operations*$E1000,-AJ1012-AJ1013,-(AJ1012+AJ1013*(Days_In_Period-$E1011)/Days_In_Period))</f>
        <v>-301842.4929025055</v>
      </c>
      <c r="AK1014" s="52">
        <f t="shared" ref="AK1014" ca="1" si="6399">IF(Flag_Last_Operations*$E1000,-AK1012-AK1013,-(AK1012+AK1013*(Days_In_Period-$E1011)/Days_In_Period))</f>
        <v>-418549.27264468983</v>
      </c>
      <c r="AL1014" s="52">
        <f t="shared" ref="AL1014" ca="1" si="6400">IF(Flag_Last_Operations*$E1000,-AL1012-AL1013,-(AL1012+AL1013*(Days_In_Period-$E1011)/Days_In_Period))</f>
        <v>-568899.12408715975</v>
      </c>
      <c r="AM1014" s="52">
        <f t="shared" ref="AM1014" ca="1" si="6401">IF(Flag_Last_Operations*$E1000,-AM1012-AM1013,-(AM1012+AM1013*(Days_In_Period-$E1011)/Days_In_Period))</f>
        <v>-442196.42880615144</v>
      </c>
      <c r="AN1014" s="52">
        <f t="shared" ref="AN1014" ca="1" si="6402">IF(Flag_Last_Operations*$E1000,-AN1012-AN1013,-(AN1012+AN1013*(Days_In_Period-$E1011)/Days_In_Period))</f>
        <v>-355088.04694708623</v>
      </c>
      <c r="AO1014" s="52">
        <f t="shared" ref="AO1014" ca="1" si="6403">IF(Flag_Last_Operations*$E1000,-AO1012-AO1013,-(AO1012+AO1013*(Days_In_Period-$E1011)/Days_In_Period))</f>
        <v>-485360.89395160455</v>
      </c>
      <c r="AP1014" s="52">
        <f t="shared" ref="AP1014" ca="1" si="6404">IF(Flag_Last_Operations*$E1000,-AP1012-AP1013,-(AP1012+AP1013*(Days_In_Period-$E1011)/Days_In_Period))</f>
        <v>-645968.96275034174</v>
      </c>
      <c r="AQ1014" s="52">
        <f t="shared" ref="AQ1014" ca="1" si="6405">IF(Flag_Last_Operations*$E1000,-AQ1012-AQ1013,-(AQ1012+AQ1013*(Days_In_Period-$E1011)/Days_In_Period))</f>
        <v>-490803.95668421109</v>
      </c>
      <c r="AR1014" s="52">
        <f t="shared" ref="AR1014" ca="1" si="6406">IF(Flag_Last_Operations*$E1000,-AR1012-AR1013,-(AR1012+AR1013*(Days_In_Period-$E1011)/Days_In_Period))</f>
        <v>-378227.81910581689</v>
      </c>
      <c r="AS1014" s="52">
        <f t="shared" ref="AS1014" ca="1" si="6407">IF(Flag_Last_Operations*$E1000,-AS1012-AS1013,-(AS1012+AS1013*(Days_In_Period-$E1011)/Days_In_Period))</f>
        <v>-507973.30550801044</v>
      </c>
      <c r="AT1014" s="52">
        <f t="shared" ref="AT1014" ca="1" si="6408">IF(Flag_Last_Operations*$E1000,-AT1012-AT1013,-(AT1012+AT1013*(Days_In_Period-$E1011)/Days_In_Period))</f>
        <v>-671808.44688882353</v>
      </c>
      <c r="AU1014" s="52">
        <f t="shared" ref="AU1014" ca="1" si="6409">IF(Flag_Last_Operations*$E1000,-AU1012-AU1013,-(AU1012+AU1013*(Days_In_Period-$E1011)/Days_In_Period))</f>
        <v>-510436.84772995999</v>
      </c>
      <c r="AV1014" s="52">
        <f t="shared" ref="AV1014" ca="1" si="6410">IF(Flag_Last_Operations*$E1000,-AV1012-AV1013,-(AV1012+AV1013*(Days_In_Period-$E1011)/Days_In_Period))</f>
        <v>-393357.17158221756</v>
      </c>
      <c r="AW1014" s="52">
        <f t="shared" ref="AW1014" ca="1" si="6411">IF(Flag_Last_Operations*$E1000,-AW1012-AW1013,-(AW1012+AW1013*(Days_In_Period-$E1011)/Days_In_Period))</f>
        <v>-522895.05892759468</v>
      </c>
      <c r="AX1014" s="52">
        <f t="shared" ref="AX1014" ca="1" si="6412">IF(Flag_Last_Operations*$E1000,-AX1012-AX1013,-(AX1012+AX1013*(Days_In_Period-$E1011)/Days_In_Period))</f>
        <v>-689217.99331672397</v>
      </c>
      <c r="AY1014" s="52">
        <f t="shared" ref="AY1014" ca="1" si="6413">IF(Flag_Last_Operations*$E1000,-AY1012-AY1013,-(AY1012+AY1013*(Days_In_Period-$E1011)/Days_In_Period))</f>
        <v>-523665.47371265211</v>
      </c>
      <c r="AZ1014" s="52">
        <f t="shared" ref="AZ1014" ca="1" si="6414">IF(Flag_Last_Operations*$E1000,-AZ1012-AZ1013,-(AZ1012+AZ1013*(Days_In_Period-$E1011)/Days_In_Period))</f>
        <v>-403552.348349098</v>
      </c>
      <c r="BA1014" s="52">
        <f t="shared" ref="BA1014" ca="1" si="6415">IF(Flag_Last_Operations*$E1000,-BA1012-BA1013,-(BA1012+BA1013*(Days_In_Period-$E1011)/Days_In_Period))</f>
        <v>-541983.50967656914</v>
      </c>
      <c r="BB1014" s="52">
        <f t="shared" ref="BB1014" ca="1" si="6416">IF(Flag_Last_Operations*$E1000,-BB1012-BB1013,-(BB1012+BB1013*(Days_In_Period-$E1011)/Days_In_Period))</f>
        <v>-716786.71304939291</v>
      </c>
      <c r="BC1014" s="52">
        <f t="shared" ref="BC1014" ca="1" si="6417">IF(Flag_Last_Operations*$E1000,-BC1012-BC1013,-(BC1012+BC1013*(Days_In_Period-$E1011)/Days_In_Period))</f>
        <v>-544612.0926611583</v>
      </c>
      <c r="BD1014" s="52">
        <f t="shared" ref="BD1014" ca="1" si="6418">IF(Flag_Last_Operations*$E1000,-BD1012-BD1013,-(BD1012+BD1013*(Days_In_Period-$E1011)/Days_In_Period))</f>
        <v>-424309.19091660623</v>
      </c>
      <c r="BE1014" s="52">
        <f t="shared" ref="BE1014" ca="1" si="6419">IF(Flag_Last_Operations*$E1000,-BE1012-BE1013,-(BE1012+BE1013*(Days_In_Period-$E1011)/Days_In_Period))</f>
        <v>-563662.05060807161</v>
      </c>
      <c r="BF1014" s="52">
        <f t="shared" ref="BF1014" ca="1" si="6420">IF(Flag_Last_Operations*$E1000,-BF1012-BF1013,-(BF1012+BF1013*(Days_In_Period-$E1011)/Days_In_Period))</f>
        <v>-745457.36533802736</v>
      </c>
      <c r="BG1014" s="52">
        <f t="shared" ref="BG1014" ca="1" si="6421">IF(Flag_Last_Operations*$E1000,-BG1012-BG1013,-(BG1012+BG1013*(Days_In_Period-$E1011)/Days_In_Period))</f>
        <v>-566395.75209158438</v>
      </c>
      <c r="BH1014" s="52">
        <f t="shared" ref="BH1014" ca="1" si="6422">IF(Flag_Last_Operations*$E1000,-BH1012-BH1013,-(BH1012+BH1013*(Days_In_Period-$E1011)/Days_In_Period))</f>
        <v>-436481.95033079601</v>
      </c>
      <c r="BI1014" s="52">
        <f t="shared" ref="BI1014" ca="1" si="6423">IF(Flag_Last_Operations*$E1000,-BI1012-BI1013,-(BI1012+BI1013*(Days_In_Period-$E1011)/Days_In_Period))</f>
        <v>-586209.36406617728</v>
      </c>
      <c r="BJ1014" s="52">
        <f t="shared" ref="BJ1014" ca="1" si="6424">IF(Flag_Last_Operations*$E1000,-BJ1012-BJ1013,-(BJ1012+BJ1013*(Days_In_Period-$E1011)/Days_In_Period))</f>
        <v>-775276.50883422315</v>
      </c>
      <c r="BK1014" s="52">
        <f t="shared" ref="BK1014" ca="1" si="6425">IF(Flag_Last_Operations*$E1000,-BK1012-BK1013,-(BK1012+BK1013*(Days_In_Period-$E1011)/Days_In_Period))</f>
        <v>-589052.43942230847</v>
      </c>
      <c r="BL1014" s="52">
        <f t="shared" ref="BL1014" ca="1" si="6426">IF(Flag_Last_Operations*$E1000,-BL1012-BL1013,-(BL1012+BL1013*(Days_In_Period-$E1011)/Days_In_Period))</f>
        <v>-453941.50877335959</v>
      </c>
      <c r="BM1014" s="52">
        <f t="shared" ref="BM1014" ca="1" si="6427">IF(Flag_Last_Operations*$E1000,-BM1012-BM1013,-(BM1012+BM1013*(Days_In_Period-$E1011)/Days_In_Period))</f>
        <v>-609657.73862882424</v>
      </c>
      <c r="BN1014" s="52">
        <f t="shared" ref="BN1014" ca="1" si="6428">IF(Flag_Last_Operations*$E1000,-BN1012-BN1013,-(BN1012+BN1013*(Days_In_Period-$E1011)/Days_In_Period))</f>
        <v>-806287.56918759202</v>
      </c>
      <c r="BO1014" s="52">
        <f t="shared" ref="BO1014" ca="1" si="6429">IF(Flag_Last_Operations*$E1000,-BO1012-BO1013,-(BO1012+BO1013*(Days_In_Period-$E1011)/Days_In_Period))</f>
        <v>-612614.53699920059</v>
      </c>
      <c r="BP1014" s="52">
        <f t="shared" ref="BP1014" ca="1" si="6430">IF(Flag_Last_Operations*$E1000,-BP1012-BP1013,-(BP1012+BP1013*(Days_In_Period-$E1011)/Days_In_Period))</f>
        <v>-472099.1691242939</v>
      </c>
      <c r="BQ1014" s="52">
        <f t="shared" ref="BQ1014" ca="1" si="6431">IF(Flag_Last_Operations*$E1000,-BQ1012-BQ1013,-(BQ1012+BQ1013*(Days_In_Period-$E1011)/Days_In_Period))</f>
        <v>-634044.04817397718</v>
      </c>
      <c r="BR1014" s="52">
        <f t="shared" ref="BR1014" ca="1" si="6432">IF(Flag_Last_Operations*$E1000,-BR1012-BR1013,-(BR1012+BR1013*(Days_In_Period-$E1011)/Days_In_Period))</f>
        <v>-838539.07195509551</v>
      </c>
      <c r="BS1014" s="52">
        <f t="shared" ref="BS1014" ca="1" si="6433">IF(Flag_Last_Operations*$E1000,-BS1012-BS1013,-(BS1012+BS1013*(Days_In_Period-$E1011)/Days_In_Period))</f>
        <v>-637119.11847916851</v>
      </c>
      <c r="BT1014" s="52">
        <f t="shared" ref="BT1014" ca="1" si="6434">IF(Flag_Last_Operations*$E1000,-BT1012-BT1013,-(BT1012+BT1013*(Days_In_Period-$E1011)/Days_In_Period))</f>
        <v>-496381.73908046557</v>
      </c>
      <c r="BU1014" s="52">
        <f t="shared" ref="BU1014" ca="1" si="6435">IF(Flag_Last_Operations*$E1000,-BU1012-BU1013,-(BU1012+BU1013*(Days_In_Period-$E1011)/Days_In_Period))</f>
        <v>-659404.87485100562</v>
      </c>
      <c r="BV1014" s="52">
        <f t="shared" ref="BV1014" ca="1" si="6436">IF(Flag_Last_Operations*$E1000,-BV1012-BV1013,-(BV1012+BV1013*(Days_In_Period-$E1011)/Days_In_Period))</f>
        <v>-872079.6799557379</v>
      </c>
      <c r="BW1014" s="52">
        <f t="shared" ref="BW1014" ca="1" si="6437">IF(Flag_Last_Operations*$E1000,-BW1012-BW1013,-(BW1012+BW1013*(Days_In_Period-$E1011)/Days_In_Period))</f>
        <v>-662602.91893197712</v>
      </c>
      <c r="BX1014" s="52">
        <f t="shared" ref="BX1014" ca="1" si="6438">IF(Flag_Last_Operations*$E1000,-BX1012-BX1013,-(BX1012+BX1013*(Days_In_Period-$E1011)/Days_In_Period))</f>
        <v>-510622.14587997622</v>
      </c>
      <c r="BY1014" s="52">
        <f t="shared" ref="BY1014" ca="1" si="6439">IF(Flag_Last_Operations*$E1000,-BY1012-BY1013,-(BY1012+BY1013*(Days_In_Period-$E1011)/Days_In_Period))</f>
        <v>-685782.04250497348</v>
      </c>
      <c r="BZ1014" s="52">
        <f t="shared" ref="BZ1014" ca="1" si="6440">IF(Flag_Last_Operations*$E1000,-BZ1012-BZ1013,-(BZ1012+BZ1013*(Days_In_Period-$E1011)/Days_In_Period))</f>
        <v>-906963.86022663116</v>
      </c>
      <c r="CA1014" s="52">
        <f t="shared" ref="CA1014" ca="1" si="6441">IF(Flag_Last_Operations*$E1000,-CA1012-CA1013,-(CA1012+CA1013*(Days_In_Period-$E1011)/Days_In_Period))</f>
        <v>-689108.03854706837</v>
      </c>
      <c r="CB1014" s="52">
        <f t="shared" ref="CB1014" ca="1" si="6442">IF(Flag_Last_Operations*$E1000,-CB1012-CB1013,-(CB1012+CB1013*(Days_In_Period-$E1011)/Days_In_Period))</f>
        <v>-531047.35977782949</v>
      </c>
      <c r="CC1014" s="52">
        <f t="shared" ref="CC1014" ca="1" si="6443">IF(Flag_Last_Operations*$E1000,-CC1012-CC1013,-(CC1012+CC1013*(Days_In_Period-$E1011)/Days_In_Period))</f>
        <v>-713213.32420517236</v>
      </c>
      <c r="CD1014" s="52">
        <f t="shared" ref="CD1014" ca="1" si="6444">IF(Flag_Last_Operations*$E1000,-CD1012-CD1013,-(CD1012+CD1013*(Days_In_Period-$E1011)/Days_In_Period))</f>
        <v>-943242.41463569622</v>
      </c>
      <c r="CE1014" s="52">
        <f t="shared" ref="CE1014" ca="1" si="6445">IF(Flag_Last_Operations*$E1000,-CE1012-CE1013,-(CE1012+CE1013*(Days_In_Period-$E1011)/Days_In_Period))</f>
        <v>-716672.36008895119</v>
      </c>
      <c r="CF1014" s="52">
        <f t="shared" ref="CF1014" ca="1" si="6446">IF(Flag_Last_Operations*$E1000,-CF1012-CF1013,-(CF1012+CF1013*(Days_In_Period-$E1011)/Days_In_Period))</f>
        <v>-552289.25416894257</v>
      </c>
      <c r="CG1014" s="52">
        <f t="shared" ref="CG1014" ca="1" si="6447">IF(Flag_Last_Operations*$E1000,-CG1012-CG1013,-(CG1012+CG1013*(Days_In_Period-$E1011)/Days_In_Period))</f>
        <v>-741741.85717337916</v>
      </c>
      <c r="CH1014" s="52">
        <f t="shared" ref="CH1014" ca="1" si="6448">IF(Flag_Last_Operations*$E1000,-CH1012-CH1013,-(CH1012+CH1013*(Days_In_Period-$E1011)/Days_In_Period))</f>
        <v>-980972.11122112372</v>
      </c>
      <c r="CI1014" s="52">
        <f t="shared" ref="CI1014" ca="1" si="6449">IF(Flag_Last_Operations*$E1000,-CI1012-CI1013,-(CI1012+CI1013*(Days_In_Period-$E1011)/Days_In_Period))</f>
        <v>-745339.25449250941</v>
      </c>
      <c r="CJ1014" s="52">
        <f t="shared" ref="CJ1014" ca="1" si="6450">IF(Flag_Last_Operations*$E1000,-CJ1012-CJ1013,-(CJ1012+CJ1013*(Days_In_Period-$E1011)/Days_In_Period))</f>
        <v>-580696.42649096891</v>
      </c>
      <c r="CK1014" s="52">
        <f t="shared" ref="CK1014" ca="1" si="6451">IF(Flag_Last_Operations*$E1000,-CK1012-CK1013,-(CK1012+CK1013*(Days_In_Period-$E1011)/Days_In_Period))</f>
        <v>-771410.43735017732</v>
      </c>
      <c r="CL1014" s="52">
        <f t="shared" ref="CL1014" ca="1" si="6452">IF(Flag_Last_Operations*$E1000,-CL1012-CL1013,-(CL1012+CL1013*(Days_In_Period-$E1011)/Days_In_Period))</f>
        <v>-1020209.8785982801</v>
      </c>
      <c r="CM1014" s="52">
        <f t="shared" ref="CM1014" ca="1" si="6453">IF(Flag_Last_Operations*$E1000,-CM1012-CM1013,-(CM1012+CM1013*(Days_In_Period-$E1011)/Days_In_Period))</f>
        <v>-775151.69659355958</v>
      </c>
      <c r="CN1014" s="52">
        <f t="shared" ref="CN1014" ca="1" si="6454">IF(Flag_Last_Operations*$E1000,-CN1012-CN1013,-(CN1012+CN1013*(Days_In_Period-$E1011)/Days_In_Period))</f>
        <v>-597355.68828325882</v>
      </c>
      <c r="CO1014" s="52">
        <f t="shared" ref="CO1014" ca="1" si="6455">IF(Flag_Last_Operations*$E1000,-CO1012-CO1013,-(CO1012+CO1013*(Days_In_Period-$E1011)/Days_In_Period))</f>
        <v>-802267.99271872686</v>
      </c>
    </row>
    <row r="1015" spans="1:93">
      <c r="A1015" s="10"/>
      <c r="B1015" s="10"/>
      <c r="C1015" s="17" t="s">
        <v>179</v>
      </c>
      <c r="D1015" s="10"/>
      <c r="E1015" s="62"/>
      <c r="F1015" s="10"/>
      <c r="G1015" s="134" t="str">
        <f>Monetary_Unit</f>
        <v>тыс. руб.</v>
      </c>
      <c r="H1015" s="10"/>
      <c r="I1015" s="10"/>
      <c r="J1015" s="10"/>
      <c r="K1015" s="10"/>
      <c r="L1015" s="52">
        <f t="shared" ref="L1015:R1015" ca="1" si="6456">SUM(L1012:L1014)</f>
        <v>0</v>
      </c>
      <c r="M1015" s="52">
        <f t="shared" ca="1" si="6456"/>
        <v>0</v>
      </c>
      <c r="N1015" s="52">
        <f t="shared" ca="1" si="6456"/>
        <v>0</v>
      </c>
      <c r="O1015" s="52">
        <f t="shared" ca="1" si="6456"/>
        <v>0</v>
      </c>
      <c r="P1015" s="52">
        <f t="shared" ca="1" si="6456"/>
        <v>0</v>
      </c>
      <c r="Q1015" s="52">
        <f t="shared" ca="1" si="6456"/>
        <v>0</v>
      </c>
      <c r="R1015" s="52">
        <f t="shared" ca="1" si="6456"/>
        <v>0</v>
      </c>
      <c r="S1015" s="52">
        <f t="shared" ref="S1015" ca="1" si="6457">SUM(S1012:S1014)</f>
        <v>0</v>
      </c>
      <c r="T1015" s="52">
        <f t="shared" ref="T1015:CE1015" ca="1" si="6458">SUM(T1012:T1014)</f>
        <v>0</v>
      </c>
      <c r="U1015" s="52">
        <f t="shared" ca="1" si="6458"/>
        <v>0</v>
      </c>
      <c r="V1015" s="52">
        <f t="shared" ca="1" si="6458"/>
        <v>0</v>
      </c>
      <c r="W1015" s="52">
        <f t="shared" ca="1" si="6458"/>
        <v>0</v>
      </c>
      <c r="X1015" s="52">
        <f t="shared" ca="1" si="6458"/>
        <v>0</v>
      </c>
      <c r="Y1015" s="52">
        <f t="shared" ca="1" si="6458"/>
        <v>0</v>
      </c>
      <c r="Z1015" s="52">
        <f t="shared" ca="1" si="6458"/>
        <v>0</v>
      </c>
      <c r="AA1015" s="52">
        <f t="shared" ca="1" si="6458"/>
        <v>0</v>
      </c>
      <c r="AB1015" s="52">
        <f t="shared" ca="1" si="6458"/>
        <v>0</v>
      </c>
      <c r="AC1015" s="52">
        <f t="shared" ca="1" si="6458"/>
        <v>111548.80041016091</v>
      </c>
      <c r="AD1015" s="52">
        <f t="shared" ca="1" si="6458"/>
        <v>143554.40568244207</v>
      </c>
      <c r="AE1015" s="52">
        <f t="shared" ca="1" si="6458"/>
        <v>85077.004229013575</v>
      </c>
      <c r="AF1015" s="52">
        <f t="shared" ca="1" si="6458"/>
        <v>85346.44547014017</v>
      </c>
      <c r="AG1015" s="52">
        <f t="shared" ca="1" si="6458"/>
        <v>133186.20002131746</v>
      </c>
      <c r="AH1015" s="52">
        <f t="shared" ca="1" si="6458"/>
        <v>170613.63150227594</v>
      </c>
      <c r="AI1015" s="52">
        <f t="shared" ca="1" si="6458"/>
        <v>100673.47593068139</v>
      </c>
      <c r="AJ1015" s="52">
        <f t="shared" ca="1" si="6458"/>
        <v>100584.50848591205</v>
      </c>
      <c r="AK1015" s="52">
        <f t="shared" ca="1" si="6458"/>
        <v>156376.11352071044</v>
      </c>
      <c r="AL1015" s="52">
        <f t="shared" ca="1" si="6458"/>
        <v>199607.90833860449</v>
      </c>
      <c r="AM1015" s="52">
        <f t="shared" ca="1" si="6458"/>
        <v>117381.54216171621</v>
      </c>
      <c r="AN1015" s="52">
        <f t="shared" ca="1" si="6458"/>
        <v>116904.83841903444</v>
      </c>
      <c r="AO1015" s="52">
        <f t="shared" ca="1" si="6458"/>
        <v>181207.89616355911</v>
      </c>
      <c r="AP1015" s="52">
        <f t="shared" ca="1" si="6458"/>
        <v>224884.38705812045</v>
      </c>
      <c r="AQ1015" s="52">
        <f t="shared" ca="1" si="6458"/>
        <v>128670.75949649554</v>
      </c>
      <c r="AR1015" s="52">
        <f t="shared" ca="1" si="6458"/>
        <v>124778.52980466065</v>
      </c>
      <c r="AS1015" s="52">
        <f t="shared" ca="1" si="6458"/>
        <v>188456.44706722128</v>
      </c>
      <c r="AT1015" s="52">
        <f t="shared" ca="1" si="6458"/>
        <v>233879.99991367839</v>
      </c>
      <c r="AU1015" s="52">
        <f t="shared" ca="1" si="6458"/>
        <v>133817.82958852337</v>
      </c>
      <c r="AV1015" s="52">
        <f t="shared" ca="1" si="6458"/>
        <v>129769.67099684704</v>
      </c>
      <c r="AW1015" s="52">
        <f t="shared" ca="1" si="6458"/>
        <v>193340.35472003976</v>
      </c>
      <c r="AX1015" s="52">
        <f t="shared" ca="1" si="6458"/>
        <v>239940.79286936333</v>
      </c>
      <c r="AY1015" s="52">
        <f t="shared" ca="1" si="6458"/>
        <v>137286.1358919139</v>
      </c>
      <c r="AZ1015" s="52">
        <f t="shared" ca="1" si="6458"/>
        <v>133133.10622859199</v>
      </c>
      <c r="BA1015" s="52">
        <f t="shared" ca="1" si="6458"/>
        <v>201073.96890884137</v>
      </c>
      <c r="BB1015" s="52">
        <f t="shared" ca="1" si="6458"/>
        <v>249538.42458413797</v>
      </c>
      <c r="BC1015" s="52">
        <f t="shared" ca="1" si="6458"/>
        <v>142777.58132759051</v>
      </c>
      <c r="BD1015" s="52">
        <f t="shared" ca="1" si="6458"/>
        <v>138458.16865033563</v>
      </c>
      <c r="BE1015" s="52">
        <f t="shared" ca="1" si="6458"/>
        <v>209116.66325790295</v>
      </c>
      <c r="BF1015" s="52">
        <f t="shared" ca="1" si="6458"/>
        <v>259519.69455489889</v>
      </c>
      <c r="BG1015" s="52">
        <f t="shared" ca="1" si="6458"/>
        <v>148488.41493710584</v>
      </c>
      <c r="BH1015" s="52">
        <f t="shared" ca="1" si="6458"/>
        <v>143996.76769684505</v>
      </c>
      <c r="BI1015" s="52">
        <f t="shared" ca="1" si="6458"/>
        <v>217481.60477180267</v>
      </c>
      <c r="BJ1015" s="52">
        <f t="shared" ca="1" si="6458"/>
        <v>269900.76003020338</v>
      </c>
      <c r="BK1015" s="52">
        <f t="shared" ca="1" si="6458"/>
        <v>154428.2319639218</v>
      </c>
      <c r="BL1015" s="52">
        <f t="shared" ca="1" si="6458"/>
        <v>149756.63840471895</v>
      </c>
      <c r="BM1015" s="52">
        <f t="shared" ca="1" si="6458"/>
        <v>226180.86896267487</v>
      </c>
      <c r="BN1015" s="52">
        <f t="shared" ca="1" si="6458"/>
        <v>280696.79043141147</v>
      </c>
      <c r="BO1015" s="52">
        <f t="shared" ca="1" si="6458"/>
        <v>160605.3612424786</v>
      </c>
      <c r="BP1015" s="52">
        <f t="shared" ca="1" si="6458"/>
        <v>155746.90394090762</v>
      </c>
      <c r="BQ1015" s="52">
        <f t="shared" ca="1" si="6458"/>
        <v>235228.10372118175</v>
      </c>
      <c r="BR1015" s="52">
        <f t="shared" ca="1" si="6458"/>
        <v>291924.6620486679</v>
      </c>
      <c r="BS1015" s="52">
        <f t="shared" ca="1" si="6458"/>
        <v>167029.57569217763</v>
      </c>
      <c r="BT1015" s="52">
        <f t="shared" ca="1" si="6458"/>
        <v>161976.4737975187</v>
      </c>
      <c r="BU1015" s="52">
        <f t="shared" ca="1" si="6458"/>
        <v>244636.91855089506</v>
      </c>
      <c r="BV1015" s="52">
        <f t="shared" ca="1" si="6458"/>
        <v>303601.3361636335</v>
      </c>
      <c r="BW1015" s="52">
        <f t="shared" ca="1" si="6458"/>
        <v>173710.44327500497</v>
      </c>
      <c r="BX1015" s="52">
        <f t="shared" ca="1" si="6458"/>
        <v>168455.85130248568</v>
      </c>
      <c r="BY1015" s="52">
        <f t="shared" ca="1" si="6458"/>
        <v>254422.7169848301</v>
      </c>
      <c r="BZ1015" s="52">
        <f t="shared" ca="1" si="6458"/>
        <v>315745.71447183914</v>
      </c>
      <c r="CA1015" s="52">
        <f t="shared" ca="1" si="6458"/>
        <v>180659.18906865944</v>
      </c>
      <c r="CB1015" s="52">
        <f t="shared" ca="1" si="6458"/>
        <v>175194.08535458497</v>
      </c>
      <c r="CC1015" s="52">
        <f t="shared" ca="1" si="6458"/>
        <v>264599.62566422322</v>
      </c>
      <c r="CD1015" s="52">
        <f t="shared" ca="1" si="6458"/>
        <v>328375.54305071267</v>
      </c>
      <c r="CE1015" s="52">
        <f t="shared" ca="1" si="6458"/>
        <v>187885.55663140572</v>
      </c>
      <c r="CF1015" s="52">
        <f t="shared" ref="CF1015:CO1015" ca="1" si="6459">SUM(CF1012:CF1014)</f>
        <v>182201.84876876837</v>
      </c>
      <c r="CG1015" s="52">
        <f t="shared" ca="1" si="6459"/>
        <v>275183.61069079209</v>
      </c>
      <c r="CH1015" s="52">
        <f t="shared" ca="1" si="6459"/>
        <v>341510.56477274117</v>
      </c>
      <c r="CI1015" s="52">
        <f t="shared" ca="1" si="6459"/>
        <v>195400.97889666189</v>
      </c>
      <c r="CJ1015" s="52">
        <f t="shared" ca="1" si="6459"/>
        <v>189489.5643906428</v>
      </c>
      <c r="CK1015" s="52">
        <f t="shared" ca="1" si="6459"/>
        <v>286190.5932587873</v>
      </c>
      <c r="CL1015" s="52">
        <f t="shared" ca="1" si="6459"/>
        <v>355170.62193846435</v>
      </c>
      <c r="CM1015" s="52">
        <f t="shared" ca="1" si="6459"/>
        <v>203216.64902665908</v>
      </c>
      <c r="CN1015" s="52">
        <f t="shared" ca="1" si="6459"/>
        <v>197069.51962829998</v>
      </c>
      <c r="CO1015" s="52">
        <f t="shared" ca="1" si="6459"/>
        <v>297638.59332316089</v>
      </c>
    </row>
    <row r="1016" spans="1:93">
      <c r="A1016" s="10"/>
      <c r="B1016" s="10"/>
      <c r="C1016" s="17" t="s">
        <v>206</v>
      </c>
      <c r="D1016" s="10"/>
      <c r="E1016" s="62"/>
      <c r="F1016" s="10"/>
      <c r="G1016" s="134" t="str">
        <f>Monetary_Unit</f>
        <v>тыс. руб.</v>
      </c>
      <c r="H1016" s="10"/>
      <c r="I1016" s="23">
        <f ca="1">SUM(L1016:CO1016)</f>
        <v>-297638.59332316089</v>
      </c>
      <c r="J1016" s="10"/>
      <c r="K1016" s="10"/>
      <c r="L1016" s="52">
        <f t="shared" ref="L1016:R1016" ca="1" si="6460">L1012-L1015</f>
        <v>0</v>
      </c>
      <c r="M1016" s="52">
        <f t="shared" ca="1" si="6460"/>
        <v>0</v>
      </c>
      <c r="N1016" s="52">
        <f t="shared" ca="1" si="6460"/>
        <v>0</v>
      </c>
      <c r="O1016" s="52">
        <f t="shared" ca="1" si="6460"/>
        <v>0</v>
      </c>
      <c r="P1016" s="52">
        <f t="shared" ca="1" si="6460"/>
        <v>0</v>
      </c>
      <c r="Q1016" s="52">
        <f t="shared" ca="1" si="6460"/>
        <v>0</v>
      </c>
      <c r="R1016" s="52">
        <f t="shared" ca="1" si="6460"/>
        <v>0</v>
      </c>
      <c r="S1016" s="52">
        <f t="shared" ref="S1016" ca="1" si="6461">S1012-S1015</f>
        <v>0</v>
      </c>
      <c r="T1016" s="52">
        <f t="shared" ref="T1016:CE1016" ca="1" si="6462">T1012-T1015</f>
        <v>0</v>
      </c>
      <c r="U1016" s="52">
        <f t="shared" ca="1" si="6462"/>
        <v>0</v>
      </c>
      <c r="V1016" s="52">
        <f t="shared" ca="1" si="6462"/>
        <v>0</v>
      </c>
      <c r="W1016" s="52">
        <f t="shared" ca="1" si="6462"/>
        <v>0</v>
      </c>
      <c r="X1016" s="52">
        <f t="shared" ca="1" si="6462"/>
        <v>0</v>
      </c>
      <c r="Y1016" s="52">
        <f t="shared" ca="1" si="6462"/>
        <v>0</v>
      </c>
      <c r="Z1016" s="52">
        <f t="shared" ca="1" si="6462"/>
        <v>0</v>
      </c>
      <c r="AA1016" s="52">
        <f t="shared" ca="1" si="6462"/>
        <v>0</v>
      </c>
      <c r="AB1016" s="52">
        <f t="shared" ca="1" si="6462"/>
        <v>0</v>
      </c>
      <c r="AC1016" s="52">
        <f t="shared" ca="1" si="6462"/>
        <v>-111548.80041016091</v>
      </c>
      <c r="AD1016" s="52">
        <f t="shared" ca="1" si="6462"/>
        <v>-32005.605272281158</v>
      </c>
      <c r="AE1016" s="52">
        <f t="shared" ca="1" si="6462"/>
        <v>58477.401453428494</v>
      </c>
      <c r="AF1016" s="52">
        <f t="shared" ca="1" si="6462"/>
        <v>-269.44124112659483</v>
      </c>
      <c r="AG1016" s="52">
        <f t="shared" ca="1" si="6462"/>
        <v>-47839.754551177291</v>
      </c>
      <c r="AH1016" s="52">
        <f t="shared" ca="1" si="6462"/>
        <v>-37427.431480958476</v>
      </c>
      <c r="AI1016" s="52">
        <f t="shared" ca="1" si="6462"/>
        <v>69940.155571594543</v>
      </c>
      <c r="AJ1016" s="52">
        <f t="shared" ca="1" si="6462"/>
        <v>88.967444769339636</v>
      </c>
      <c r="AK1016" s="52">
        <f t="shared" ca="1" si="6462"/>
        <v>-55791.605034798384</v>
      </c>
      <c r="AL1016" s="52">
        <f t="shared" ca="1" si="6462"/>
        <v>-43231.794817894057</v>
      </c>
      <c r="AM1016" s="52">
        <f t="shared" ca="1" si="6462"/>
        <v>82226.366176888288</v>
      </c>
      <c r="AN1016" s="52">
        <f t="shared" ca="1" si="6462"/>
        <v>476.70374268176965</v>
      </c>
      <c r="AO1016" s="52">
        <f t="shared" ca="1" si="6462"/>
        <v>-64303.057744524674</v>
      </c>
      <c r="AP1016" s="52">
        <f t="shared" ca="1" si="6462"/>
        <v>-43676.490894561342</v>
      </c>
      <c r="AQ1016" s="52">
        <f t="shared" ca="1" si="6462"/>
        <v>96213.627561624919</v>
      </c>
      <c r="AR1016" s="52">
        <f t="shared" ca="1" si="6462"/>
        <v>3892.2296918348875</v>
      </c>
      <c r="AS1016" s="52">
        <f t="shared" ca="1" si="6462"/>
        <v>-63677.91726256063</v>
      </c>
      <c r="AT1016" s="52">
        <f t="shared" ca="1" si="6462"/>
        <v>-45423.552846457111</v>
      </c>
      <c r="AU1016" s="52">
        <f t="shared" ca="1" si="6462"/>
        <v>100062.17032515502</v>
      </c>
      <c r="AV1016" s="52">
        <f t="shared" ca="1" si="6462"/>
        <v>4048.1585916763288</v>
      </c>
      <c r="AW1016" s="52">
        <f t="shared" ca="1" si="6462"/>
        <v>-63570.68372319272</v>
      </c>
      <c r="AX1016" s="52">
        <f t="shared" ca="1" si="6462"/>
        <v>-46600.438149323571</v>
      </c>
      <c r="AY1016" s="52">
        <f t="shared" ca="1" si="6462"/>
        <v>102654.65697744943</v>
      </c>
      <c r="AZ1016" s="52">
        <f t="shared" ca="1" si="6462"/>
        <v>4153.0296633219114</v>
      </c>
      <c r="BA1016" s="52">
        <f t="shared" ca="1" si="6462"/>
        <v>-67940.862680249382</v>
      </c>
      <c r="BB1016" s="52">
        <f t="shared" ca="1" si="6462"/>
        <v>-48464.455675296602</v>
      </c>
      <c r="BC1016" s="52">
        <f t="shared" ca="1" si="6462"/>
        <v>106760.84325654746</v>
      </c>
      <c r="BD1016" s="52">
        <f t="shared" ca="1" si="6462"/>
        <v>4319.4126772548771</v>
      </c>
      <c r="BE1016" s="52">
        <f t="shared" ca="1" si="6462"/>
        <v>-70658.494607567322</v>
      </c>
      <c r="BF1016" s="52">
        <f t="shared" ca="1" si="6462"/>
        <v>-50403.031296995934</v>
      </c>
      <c r="BG1016" s="52">
        <f t="shared" ca="1" si="6462"/>
        <v>111031.27961779304</v>
      </c>
      <c r="BH1016" s="52">
        <f t="shared" ca="1" si="6462"/>
        <v>4491.6472402607906</v>
      </c>
      <c r="BI1016" s="52">
        <f t="shared" ca="1" si="6462"/>
        <v>-73484.837074957613</v>
      </c>
      <c r="BJ1016" s="52">
        <f t="shared" ca="1" si="6462"/>
        <v>-52419.155258400715</v>
      </c>
      <c r="BK1016" s="52">
        <f t="shared" ca="1" si="6462"/>
        <v>115472.52806628158</v>
      </c>
      <c r="BL1016" s="52">
        <f t="shared" ca="1" si="6462"/>
        <v>4671.5935592028545</v>
      </c>
      <c r="BM1016" s="52">
        <f t="shared" ca="1" si="6462"/>
        <v>-76424.230557955918</v>
      </c>
      <c r="BN1016" s="52">
        <f t="shared" ca="1" si="6462"/>
        <v>-54515.921468736604</v>
      </c>
      <c r="BO1016" s="52">
        <f t="shared" ca="1" si="6462"/>
        <v>120091.42918893287</v>
      </c>
      <c r="BP1016" s="52">
        <f t="shared" ca="1" si="6462"/>
        <v>4858.4573015709757</v>
      </c>
      <c r="BQ1016" s="52">
        <f t="shared" ca="1" si="6462"/>
        <v>-79481.199780274124</v>
      </c>
      <c r="BR1016" s="52">
        <f t="shared" ca="1" si="6462"/>
        <v>-56696.558327486156</v>
      </c>
      <c r="BS1016" s="52">
        <f t="shared" ca="1" si="6462"/>
        <v>124895.08635649027</v>
      </c>
      <c r="BT1016" s="52">
        <f t="shared" ca="1" si="6462"/>
        <v>5053.101894658932</v>
      </c>
      <c r="BU1016" s="52">
        <f t="shared" ca="1" si="6462"/>
        <v>-82660.44475337636</v>
      </c>
      <c r="BV1016" s="52">
        <f t="shared" ca="1" si="6462"/>
        <v>-58964.417612738442</v>
      </c>
      <c r="BW1016" s="52">
        <f t="shared" ca="1" si="6462"/>
        <v>129890.89288862853</v>
      </c>
      <c r="BX1016" s="52">
        <f t="shared" ca="1" si="6462"/>
        <v>5254.5919725192944</v>
      </c>
      <c r="BY1016" s="52">
        <f t="shared" ca="1" si="6462"/>
        <v>-85966.865682344418</v>
      </c>
      <c r="BZ1016" s="52">
        <f t="shared" ca="1" si="6462"/>
        <v>-61322.997487009037</v>
      </c>
      <c r="CA1016" s="52">
        <f t="shared" ca="1" si="6462"/>
        <v>135086.52540317969</v>
      </c>
      <c r="CB1016" s="52">
        <f t="shared" ca="1" si="6462"/>
        <v>5465.1037140744738</v>
      </c>
      <c r="CC1016" s="52">
        <f t="shared" ca="1" si="6462"/>
        <v>-89405.540309638251</v>
      </c>
      <c r="CD1016" s="52">
        <f t="shared" ca="1" si="6462"/>
        <v>-63775.917386489455</v>
      </c>
      <c r="CE1016" s="52">
        <f t="shared" ca="1" si="6462"/>
        <v>140489.98641930695</v>
      </c>
      <c r="CF1016" s="52">
        <f t="shared" ref="CF1016:CO1016" ca="1" si="6463">CF1012-CF1015</f>
        <v>5683.707862637355</v>
      </c>
      <c r="CG1016" s="52">
        <f t="shared" ca="1" si="6463"/>
        <v>-92981.761922023725</v>
      </c>
      <c r="CH1016" s="52">
        <f t="shared" ca="1" si="6463"/>
        <v>-66326.954081949079</v>
      </c>
      <c r="CI1016" s="52">
        <f t="shared" ca="1" si="6463"/>
        <v>146109.58587607928</v>
      </c>
      <c r="CJ1016" s="52">
        <f t="shared" ca="1" si="6463"/>
        <v>5911.4145060190931</v>
      </c>
      <c r="CK1016" s="52">
        <f t="shared" ca="1" si="6463"/>
        <v>-96701.028868144494</v>
      </c>
      <c r="CL1016" s="52">
        <f t="shared" ca="1" si="6463"/>
        <v>-68980.028679677052</v>
      </c>
      <c r="CM1016" s="52">
        <f t="shared" ca="1" si="6463"/>
        <v>151953.97291180526</v>
      </c>
      <c r="CN1016" s="52">
        <f t="shared" ca="1" si="6463"/>
        <v>6147.1293983591022</v>
      </c>
      <c r="CO1016" s="52">
        <f t="shared" ca="1" si="6463"/>
        <v>-100569.07369486091</v>
      </c>
    </row>
    <row r="1017" spans="1:93">
      <c r="A1017" s="10"/>
      <c r="B1017" s="10"/>
      <c r="C1017" s="17"/>
      <c r="D1017" s="22"/>
      <c r="E1017" s="150"/>
      <c r="F1017" s="22"/>
      <c r="G1017" s="182"/>
      <c r="H1017" s="22"/>
      <c r="I1017" s="22"/>
      <c r="J1017" s="22"/>
      <c r="K1017" s="10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22"/>
      <c r="BC1017" s="22"/>
      <c r="BD1017" s="22"/>
      <c r="BE1017" s="22"/>
      <c r="BF1017" s="22"/>
      <c r="BG1017" s="22"/>
      <c r="BH1017" s="22"/>
      <c r="BI1017" s="22"/>
      <c r="BJ1017" s="22"/>
      <c r="BK1017" s="22"/>
      <c r="BL1017" s="22"/>
      <c r="BM1017" s="22"/>
      <c r="BN1017" s="22"/>
      <c r="BO1017" s="22"/>
      <c r="BP1017" s="22"/>
      <c r="BQ1017" s="22"/>
      <c r="BR1017" s="22"/>
      <c r="BS1017" s="22"/>
      <c r="BT1017" s="22"/>
      <c r="BU1017" s="22"/>
      <c r="BV1017" s="22"/>
      <c r="BW1017" s="22"/>
      <c r="BX1017" s="22"/>
      <c r="BY1017" s="22"/>
      <c r="BZ1017" s="22"/>
      <c r="CA1017" s="22"/>
      <c r="CB1017" s="22"/>
      <c r="CC1017" s="22"/>
      <c r="CD1017" s="22"/>
      <c r="CE1017" s="22"/>
      <c r="CF1017" s="22"/>
      <c r="CG1017" s="22"/>
      <c r="CH1017" s="22"/>
      <c r="CI1017" s="22"/>
      <c r="CJ1017" s="22"/>
      <c r="CK1017" s="22"/>
      <c r="CL1017" s="22"/>
      <c r="CM1017" s="22"/>
      <c r="CN1017" s="22"/>
      <c r="CO1017" s="22"/>
    </row>
    <row r="1018" spans="1:93">
      <c r="A1018" s="10"/>
      <c r="B1018" s="10"/>
      <c r="C1018" s="41" t="s">
        <v>108</v>
      </c>
      <c r="D1018" s="10"/>
      <c r="E1018" s="62"/>
      <c r="F1018" s="10"/>
      <c r="G1018" s="11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  <c r="BB1018" s="10"/>
      <c r="BC1018" s="10"/>
      <c r="BD1018" s="10"/>
      <c r="BE1018" s="10"/>
      <c r="BF1018" s="10"/>
      <c r="BG1018" s="10"/>
      <c r="BH1018" s="10"/>
      <c r="BI1018" s="10"/>
      <c r="BJ1018" s="10"/>
      <c r="BK1018" s="10"/>
      <c r="BL1018" s="10"/>
      <c r="BM1018" s="10"/>
      <c r="BN1018" s="10"/>
      <c r="BO1018" s="10"/>
      <c r="BP1018" s="10"/>
      <c r="BQ1018" s="10"/>
      <c r="BR1018" s="10"/>
      <c r="BS1018" s="10"/>
      <c r="BT1018" s="10"/>
      <c r="BU1018" s="10"/>
      <c r="BV1018" s="10"/>
      <c r="BW1018" s="10"/>
      <c r="BX1018" s="10"/>
      <c r="BY1018" s="10"/>
      <c r="BZ1018" s="10"/>
      <c r="CA1018" s="10"/>
      <c r="CB1018" s="10"/>
      <c r="CC1018" s="10"/>
      <c r="CD1018" s="10"/>
      <c r="CE1018" s="10"/>
      <c r="CF1018" s="10"/>
      <c r="CG1018" s="10"/>
      <c r="CH1018" s="10"/>
      <c r="CI1018" s="10"/>
      <c r="CJ1018" s="10"/>
      <c r="CK1018" s="10"/>
      <c r="CL1018" s="10"/>
      <c r="CM1018" s="10"/>
      <c r="CN1018" s="10"/>
      <c r="CO1018" s="10"/>
    </row>
    <row r="1019" spans="1:93">
      <c r="A1019" s="10"/>
      <c r="B1019" s="10"/>
      <c r="C1019" s="17" t="s">
        <v>212</v>
      </c>
      <c r="D1019" s="10"/>
      <c r="E1019" s="184">
        <f xml:space="preserve"> Предпосылки!E561</f>
        <v>45</v>
      </c>
      <c r="F1019" s="10"/>
      <c r="G1019" s="11" t="s">
        <v>99</v>
      </c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  <c r="BB1019" s="10"/>
      <c r="BC1019" s="10"/>
      <c r="BD1019" s="10"/>
      <c r="BE1019" s="10"/>
      <c r="BF1019" s="10"/>
      <c r="BG1019" s="10"/>
      <c r="BH1019" s="10"/>
      <c r="BI1019" s="10"/>
      <c r="BJ1019" s="10"/>
      <c r="BK1019" s="10"/>
      <c r="BL1019" s="10"/>
      <c r="BM1019" s="10"/>
      <c r="BN1019" s="10"/>
      <c r="BO1019" s="10"/>
      <c r="BP1019" s="10"/>
      <c r="BQ1019" s="10"/>
      <c r="BR1019" s="10"/>
      <c r="BS1019" s="10"/>
      <c r="BT1019" s="10"/>
      <c r="BU1019" s="10"/>
      <c r="BV1019" s="10"/>
      <c r="BW1019" s="10"/>
      <c r="BX1019" s="10"/>
      <c r="BY1019" s="10"/>
      <c r="BZ1019" s="10"/>
      <c r="CA1019" s="10"/>
      <c r="CB1019" s="10"/>
      <c r="CC1019" s="10"/>
      <c r="CD1019" s="10"/>
      <c r="CE1019" s="10"/>
      <c r="CF1019" s="10"/>
      <c r="CG1019" s="10"/>
      <c r="CH1019" s="10"/>
      <c r="CI1019" s="10"/>
      <c r="CJ1019" s="10"/>
      <c r="CK1019" s="10"/>
      <c r="CL1019" s="10"/>
      <c r="CM1019" s="10"/>
      <c r="CN1019" s="10"/>
      <c r="CO1019" s="10"/>
    </row>
    <row r="1020" spans="1:93">
      <c r="A1020" s="10"/>
      <c r="B1020" s="10"/>
      <c r="C1020" s="17" t="s">
        <v>180</v>
      </c>
      <c r="D1020" s="10"/>
      <c r="E1020" s="62"/>
      <c r="F1020" s="10"/>
      <c r="G1020" s="134" t="str">
        <f>Monetary_Unit</f>
        <v>тыс. руб.</v>
      </c>
      <c r="H1020" s="10"/>
      <c r="I1020" s="10"/>
      <c r="J1020" s="10"/>
      <c r="K1020" s="10"/>
      <c r="L1020" s="52">
        <f t="shared" ref="L1020" si="6464">K1023</f>
        <v>0</v>
      </c>
      <c r="M1020" s="52">
        <f t="shared" ref="M1020" ca="1" si="6465">L1023</f>
        <v>0</v>
      </c>
      <c r="N1020" s="52">
        <f t="shared" ref="N1020" ca="1" si="6466">M1023</f>
        <v>0</v>
      </c>
      <c r="O1020" s="52">
        <f t="shared" ref="O1020" ca="1" si="6467">N1023</f>
        <v>0</v>
      </c>
      <c r="P1020" s="52">
        <f t="shared" ref="P1020" ca="1" si="6468">O1023</f>
        <v>0</v>
      </c>
      <c r="Q1020" s="52">
        <f t="shared" ref="Q1020" ca="1" si="6469">P1023</f>
        <v>0</v>
      </c>
      <c r="R1020" s="52">
        <f t="shared" ref="R1020" ca="1" si="6470">Q1023</f>
        <v>0</v>
      </c>
      <c r="S1020" s="52">
        <f t="shared" ref="S1020" ca="1" si="6471">R1023</f>
        <v>0</v>
      </c>
      <c r="T1020" s="52">
        <f t="shared" ref="T1020" ca="1" si="6472">S1023</f>
        <v>0</v>
      </c>
      <c r="U1020" s="52">
        <f t="shared" ref="U1020" ca="1" si="6473">T1023</f>
        <v>0</v>
      </c>
      <c r="V1020" s="52">
        <f t="shared" ref="V1020" ca="1" si="6474">U1023</f>
        <v>0</v>
      </c>
      <c r="W1020" s="52">
        <f t="shared" ref="W1020" ca="1" si="6475">V1023</f>
        <v>0</v>
      </c>
      <c r="X1020" s="52">
        <f t="shared" ref="X1020" ca="1" si="6476">W1023</f>
        <v>0</v>
      </c>
      <c r="Y1020" s="52">
        <f t="shared" ref="Y1020" ca="1" si="6477">X1023</f>
        <v>0</v>
      </c>
      <c r="Z1020" s="52">
        <f t="shared" ref="Z1020" ca="1" si="6478">Y1023</f>
        <v>0</v>
      </c>
      <c r="AA1020" s="52">
        <f t="shared" ref="AA1020" ca="1" si="6479">Z1023</f>
        <v>0</v>
      </c>
      <c r="AB1020" s="52">
        <f t="shared" ref="AB1020" ca="1" si="6480">AA1023</f>
        <v>0</v>
      </c>
      <c r="AC1020" s="52">
        <f t="shared" ref="AC1020" ca="1" si="6481">AB1023</f>
        <v>0</v>
      </c>
      <c r="AD1020" s="52">
        <f t="shared" ref="AD1020" ca="1" si="6482">AC1023</f>
        <v>167323.20061524137</v>
      </c>
      <c r="AE1020" s="52">
        <f t="shared" ref="AE1020" ca="1" si="6483">AD1023</f>
        <v>215331.60852366302</v>
      </c>
      <c r="AF1020" s="52">
        <f t="shared" ref="AF1020" ca="1" si="6484">AE1023</f>
        <v>127615.50634352025</v>
      </c>
      <c r="AG1020" s="52">
        <f t="shared" ref="AG1020" ca="1" si="6485">AF1023</f>
        <v>128019.6682052103</v>
      </c>
      <c r="AH1020" s="52">
        <f t="shared" ref="AH1020" ca="1" si="6486">AG1023</f>
        <v>199779.30003197613</v>
      </c>
      <c r="AI1020" s="52">
        <f t="shared" ref="AI1020" ca="1" si="6487">AH1023</f>
        <v>255920.44725341379</v>
      </c>
      <c r="AJ1020" s="52">
        <f t="shared" ref="AJ1020" ca="1" si="6488">AI1023</f>
        <v>151010.21389602218</v>
      </c>
      <c r="AK1020" s="52">
        <f t="shared" ref="AK1020" ca="1" si="6489">AJ1023</f>
        <v>150876.76272886811</v>
      </c>
      <c r="AL1020" s="52">
        <f t="shared" ref="AL1020" ca="1" si="6490">AK1023</f>
        <v>234564.17028106551</v>
      </c>
      <c r="AM1020" s="52">
        <f t="shared" ref="AM1020" ca="1" si="6491">AL1023</f>
        <v>299411.86250790674</v>
      </c>
      <c r="AN1020" s="52">
        <f t="shared" ref="AN1020" ca="1" si="6492">AM1023</f>
        <v>176072.31324257434</v>
      </c>
      <c r="AO1020" s="52">
        <f t="shared" ref="AO1020" ca="1" si="6493">AN1023</f>
        <v>175357.25762855168</v>
      </c>
      <c r="AP1020" s="52">
        <f t="shared" ref="AP1020" ca="1" si="6494">AO1023</f>
        <v>271811.84424533858</v>
      </c>
      <c r="AQ1020" s="52">
        <f t="shared" ref="AQ1020" ca="1" si="6495">AP1023</f>
        <v>337326.5805871808</v>
      </c>
      <c r="AR1020" s="52">
        <f t="shared" ref="AR1020" ca="1" si="6496">AQ1023</f>
        <v>193006.13924474327</v>
      </c>
      <c r="AS1020" s="52">
        <f t="shared" ref="AS1020" ca="1" si="6497">AR1023</f>
        <v>187167.79470699106</v>
      </c>
      <c r="AT1020" s="52">
        <f t="shared" ref="AT1020" ca="1" si="6498">AS1023</f>
        <v>282684.67060083186</v>
      </c>
      <c r="AU1020" s="52">
        <f t="shared" ref="AU1020" ca="1" si="6499">AT1023</f>
        <v>350819.99987051764</v>
      </c>
      <c r="AV1020" s="52">
        <f t="shared" ref="AV1020" ca="1" si="6500">AU1023</f>
        <v>200726.74438278505</v>
      </c>
      <c r="AW1020" s="52">
        <f t="shared" ref="AW1020" ca="1" si="6501">AV1023</f>
        <v>194654.50649527053</v>
      </c>
      <c r="AX1020" s="52">
        <f t="shared" ref="AX1020" ca="1" si="6502">AW1023</f>
        <v>290010.53208005975</v>
      </c>
      <c r="AY1020" s="52">
        <f t="shared" ref="AY1020" ca="1" si="6503">AX1023</f>
        <v>359911.18930404494</v>
      </c>
      <c r="AZ1020" s="52">
        <f t="shared" ref="AZ1020" ca="1" si="6504">AY1023</f>
        <v>205929.20383787085</v>
      </c>
      <c r="BA1020" s="52">
        <f t="shared" ref="BA1020" ca="1" si="6505">AZ1023</f>
        <v>199699.65934288804</v>
      </c>
      <c r="BB1020" s="52">
        <f t="shared" ref="BB1020" ca="1" si="6506">BA1023</f>
        <v>301610.95336326194</v>
      </c>
      <c r="BC1020" s="52">
        <f t="shared" ref="BC1020" ca="1" si="6507">BB1023</f>
        <v>374307.63687620685</v>
      </c>
      <c r="BD1020" s="52">
        <f t="shared" ref="BD1020" ca="1" si="6508">BC1023</f>
        <v>214166.37199138571</v>
      </c>
      <c r="BE1020" s="52">
        <f t="shared" ref="BE1020" ca="1" si="6509">BD1023</f>
        <v>207687.25297550333</v>
      </c>
      <c r="BF1020" s="52">
        <f t="shared" ref="BF1020" ca="1" si="6510">BE1023</f>
        <v>313674.99488685443</v>
      </c>
      <c r="BG1020" s="52">
        <f t="shared" ref="BG1020" ca="1" si="6511">BF1023</f>
        <v>389279.54183234822</v>
      </c>
      <c r="BH1020" s="52">
        <f t="shared" ref="BH1020" ca="1" si="6512">BG1023</f>
        <v>222732.62240565883</v>
      </c>
      <c r="BI1020" s="52">
        <f t="shared" ref="BI1020" ca="1" si="6513">BH1023</f>
        <v>215995.15154526755</v>
      </c>
      <c r="BJ1020" s="52">
        <f t="shared" ref="BJ1020" ca="1" si="6514">BI1023</f>
        <v>326222.40715770412</v>
      </c>
      <c r="BK1020" s="52">
        <f t="shared" ref="BK1020" ca="1" si="6515">BJ1023</f>
        <v>404851.14004530502</v>
      </c>
      <c r="BL1020" s="52">
        <f t="shared" ref="BL1020" ca="1" si="6516">BK1023</f>
        <v>231642.34794588271</v>
      </c>
      <c r="BM1020" s="52">
        <f t="shared" ref="BM1020" ca="1" si="6517">BL1023</f>
        <v>224634.95760707837</v>
      </c>
      <c r="BN1020" s="52">
        <f t="shared" ref="BN1020" ca="1" si="6518">BM1023</f>
        <v>339271.30344401218</v>
      </c>
      <c r="BO1020" s="52">
        <f t="shared" ref="BO1020" ca="1" si="6519">BN1023</f>
        <v>421045.18564711744</v>
      </c>
      <c r="BP1020" s="52">
        <f t="shared" ref="BP1020" ca="1" si="6520">BO1023</f>
        <v>240908.04186371784</v>
      </c>
      <c r="BQ1020" s="52">
        <f t="shared" ref="BQ1020" ca="1" si="6521">BP1023</f>
        <v>233620.35591136146</v>
      </c>
      <c r="BR1020" s="52">
        <f t="shared" ref="BR1020" ca="1" si="6522">BQ1023</f>
        <v>352842.15558177256</v>
      </c>
      <c r="BS1020" s="52">
        <f t="shared" ref="BS1020" ca="1" si="6523">BR1023</f>
        <v>437886.99307300174</v>
      </c>
      <c r="BT1020" s="52">
        <f t="shared" ref="BT1020" ca="1" si="6524">BS1023</f>
        <v>250544.36353826651</v>
      </c>
      <c r="BU1020" s="52">
        <f t="shared" ref="BU1020" ca="1" si="6525">BT1023</f>
        <v>242964.71069627802</v>
      </c>
      <c r="BV1020" s="52">
        <f t="shared" ref="BV1020" ca="1" si="6526">BU1023</f>
        <v>366955.37782634282</v>
      </c>
      <c r="BW1020" s="52">
        <f t="shared" ref="BW1020" ca="1" si="6527">BV1023</f>
        <v>455402.00424545049</v>
      </c>
      <c r="BX1020" s="52">
        <f t="shared" ref="BX1020" ca="1" si="6528">BW1023</f>
        <v>260565.66491250752</v>
      </c>
      <c r="BY1020" s="52">
        <f t="shared" ref="BY1020" ca="1" si="6529">BX1023</f>
        <v>252683.77695372852</v>
      </c>
      <c r="BZ1020" s="52">
        <f t="shared" ref="BZ1020" ca="1" si="6530">BY1023</f>
        <v>381634.07547724515</v>
      </c>
      <c r="CA1020" s="52">
        <f t="shared" ref="CA1020" ca="1" si="6531">BZ1023</f>
        <v>473618.57170775882</v>
      </c>
      <c r="CB1020" s="52">
        <f t="shared" ref="CB1020" ca="1" si="6532">CA1023</f>
        <v>270988.78360298905</v>
      </c>
      <c r="CC1020" s="52">
        <f t="shared" ref="CC1020" ca="1" si="6533">CB1023</f>
        <v>262791.12803187745</v>
      </c>
      <c r="CD1020" s="52">
        <f t="shared" ref="CD1020" ca="1" si="6534">CC1023</f>
        <v>396899.43849633494</v>
      </c>
      <c r="CE1020" s="52">
        <f t="shared" ref="CE1020" ca="1" si="6535">CD1023</f>
        <v>492563.31457606924</v>
      </c>
      <c r="CF1020" s="52">
        <f t="shared" ref="CF1020" ca="1" si="6536">CE1023</f>
        <v>281828.33494710852</v>
      </c>
      <c r="CG1020" s="52">
        <f t="shared" ref="CG1020" ca="1" si="6537">CF1023</f>
        <v>273302.77315315267</v>
      </c>
      <c r="CH1020" s="52">
        <f t="shared" ref="CH1020" ca="1" si="6538">CG1023</f>
        <v>412775.41603618825</v>
      </c>
      <c r="CI1020" s="52">
        <f t="shared" ref="CI1020" ca="1" si="6539">CH1023</f>
        <v>512265.84715911164</v>
      </c>
      <c r="CJ1020" s="52">
        <f t="shared" ref="CJ1020" ca="1" si="6540">CI1023</f>
        <v>293101.46834499296</v>
      </c>
      <c r="CK1020" s="52">
        <f t="shared" ref="CK1020" ca="1" si="6541">CJ1023</f>
        <v>284234.3465859642</v>
      </c>
      <c r="CL1020" s="52">
        <f t="shared" ref="CL1020" ca="1" si="6542">CK1023</f>
        <v>429285.88988818123</v>
      </c>
      <c r="CM1020" s="52">
        <f t="shared" ref="CM1020" ca="1" si="6543">CL1023</f>
        <v>532755.93290769646</v>
      </c>
      <c r="CN1020" s="52">
        <f t="shared" ref="CN1020" ca="1" si="6544">CM1023</f>
        <v>304824.97353998851</v>
      </c>
      <c r="CO1020" s="52">
        <f t="shared" ref="CO1020" ca="1" si="6545">CN1023</f>
        <v>295604.27944244992</v>
      </c>
    </row>
    <row r="1021" spans="1:93">
      <c r="A1021" s="10"/>
      <c r="B1021" s="10"/>
      <c r="C1021" s="17" t="s">
        <v>55</v>
      </c>
      <c r="D1021" s="10"/>
      <c r="E1021" s="62"/>
      <c r="F1021" s="10"/>
      <c r="G1021" s="134" t="str">
        <f>Monetary_Unit</f>
        <v>тыс. руб.</v>
      </c>
      <c r="H1021" s="10"/>
      <c r="I1021" s="23">
        <f ca="1">SUM(L1021:CO1021)</f>
        <v>38547379.439622067</v>
      </c>
      <c r="J1021" s="10"/>
      <c r="K1021" s="10"/>
      <c r="L1021" s="52">
        <f t="shared" ref="L1021:BW1021" ca="1" si="6546">-COGS</f>
        <v>0</v>
      </c>
      <c r="M1021" s="52">
        <f t="shared" ca="1" si="6546"/>
        <v>0</v>
      </c>
      <c r="N1021" s="52">
        <f t="shared" ca="1" si="6546"/>
        <v>0</v>
      </c>
      <c r="O1021" s="52">
        <f t="shared" ca="1" si="6546"/>
        <v>0</v>
      </c>
      <c r="P1021" s="52">
        <f t="shared" ca="1" si="6546"/>
        <v>0</v>
      </c>
      <c r="Q1021" s="52">
        <f t="shared" ca="1" si="6546"/>
        <v>0</v>
      </c>
      <c r="R1021" s="52">
        <f t="shared" ca="1" si="6546"/>
        <v>0</v>
      </c>
      <c r="S1021" s="52">
        <f t="shared" ca="1" si="6546"/>
        <v>0</v>
      </c>
      <c r="T1021" s="52">
        <f t="shared" ca="1" si="6546"/>
        <v>0</v>
      </c>
      <c r="U1021" s="52">
        <f t="shared" ca="1" si="6546"/>
        <v>0</v>
      </c>
      <c r="V1021" s="52">
        <f t="shared" ca="1" si="6546"/>
        <v>0</v>
      </c>
      <c r="W1021" s="52">
        <f t="shared" ca="1" si="6546"/>
        <v>0</v>
      </c>
      <c r="X1021" s="52">
        <f t="shared" ca="1" si="6546"/>
        <v>0</v>
      </c>
      <c r="Y1021" s="52">
        <f t="shared" ca="1" si="6546"/>
        <v>0</v>
      </c>
      <c r="Z1021" s="52">
        <f t="shared" ca="1" si="6546"/>
        <v>0</v>
      </c>
      <c r="AA1021" s="52">
        <f t="shared" ca="1" si="6546"/>
        <v>0</v>
      </c>
      <c r="AB1021" s="52">
        <f t="shared" ca="1" si="6546"/>
        <v>0</v>
      </c>
      <c r="AC1021" s="52">
        <f t="shared" ca="1" si="6546"/>
        <v>338364.69457748812</v>
      </c>
      <c r="AD1021" s="52">
        <f t="shared" ca="1" si="6546"/>
        <v>440233.51075948874</v>
      </c>
      <c r="AE1021" s="52">
        <f t="shared" ca="1" si="6546"/>
        <v>260902.81296897485</v>
      </c>
      <c r="AF1021" s="52">
        <f t="shared" ca="1" si="6546"/>
        <v>256039.33641042063</v>
      </c>
      <c r="AG1021" s="52">
        <f t="shared" ca="1" si="6546"/>
        <v>403998.14006466302</v>
      </c>
      <c r="AH1021" s="52">
        <f t="shared" ca="1" si="6546"/>
        <v>523215.13660697942</v>
      </c>
      <c r="AI1021" s="52">
        <f t="shared" ca="1" si="6546"/>
        <v>308731.99285408959</v>
      </c>
      <c r="AJ1021" s="52">
        <f t="shared" ca="1" si="6546"/>
        <v>301753.52545773616</v>
      </c>
      <c r="AK1021" s="52">
        <f t="shared" ca="1" si="6546"/>
        <v>474340.87767948816</v>
      </c>
      <c r="AL1021" s="52">
        <f t="shared" ca="1" si="6546"/>
        <v>612130.91890505375</v>
      </c>
      <c r="AM1021" s="52">
        <f t="shared" ca="1" si="6546"/>
        <v>359970.06262926321</v>
      </c>
      <c r="AN1021" s="52">
        <f t="shared" ca="1" si="6546"/>
        <v>354611.34320440446</v>
      </c>
      <c r="AO1021" s="52">
        <f t="shared" ca="1" si="6546"/>
        <v>549663.95169612917</v>
      </c>
      <c r="AP1021" s="52">
        <f t="shared" ca="1" si="6546"/>
        <v>689645.45364490314</v>
      </c>
      <c r="AQ1021" s="52">
        <f t="shared" ca="1" si="6546"/>
        <v>394590.32912258612</v>
      </c>
      <c r="AR1021" s="52">
        <f t="shared" ca="1" si="6546"/>
        <v>374335.589413982</v>
      </c>
      <c r="AS1021" s="52">
        <f t="shared" ca="1" si="6546"/>
        <v>571651.22277057101</v>
      </c>
      <c r="AT1021" s="52">
        <f t="shared" ca="1" si="6546"/>
        <v>717231.99973528064</v>
      </c>
      <c r="AU1021" s="52">
        <f t="shared" ca="1" si="6546"/>
        <v>410374.67740480497</v>
      </c>
      <c r="AV1021" s="52">
        <f t="shared" ca="1" si="6546"/>
        <v>389309.01299054123</v>
      </c>
      <c r="AW1021" s="52">
        <f t="shared" ca="1" si="6546"/>
        <v>586465.74265078746</v>
      </c>
      <c r="AX1021" s="52">
        <f t="shared" ca="1" si="6546"/>
        <v>735818.43146604754</v>
      </c>
      <c r="AY1021" s="52">
        <f t="shared" ca="1" si="6546"/>
        <v>421010.81673520268</v>
      </c>
      <c r="AZ1021" s="52">
        <f t="shared" ca="1" si="6546"/>
        <v>399399.31868577609</v>
      </c>
      <c r="BA1021" s="52">
        <f t="shared" ca="1" si="6546"/>
        <v>609924.37235681852</v>
      </c>
      <c r="BB1021" s="52">
        <f t="shared" ca="1" si="6546"/>
        <v>765251.16872468952</v>
      </c>
      <c r="BC1021" s="52">
        <f t="shared" ca="1" si="6546"/>
        <v>437851.24940461077</v>
      </c>
      <c r="BD1021" s="52">
        <f t="shared" ca="1" si="6546"/>
        <v>419989.77823935129</v>
      </c>
      <c r="BE1021" s="52">
        <f t="shared" ca="1" si="6546"/>
        <v>634320.54521563894</v>
      </c>
      <c r="BF1021" s="52">
        <f t="shared" ca="1" si="6546"/>
        <v>795860.39663502329</v>
      </c>
      <c r="BG1021" s="52">
        <f t="shared" ca="1" si="6546"/>
        <v>455364.47247379133</v>
      </c>
      <c r="BH1021" s="52">
        <f t="shared" ca="1" si="6546"/>
        <v>431990.30309053528</v>
      </c>
      <c r="BI1021" s="52">
        <f t="shared" ca="1" si="6546"/>
        <v>659694.20114113495</v>
      </c>
      <c r="BJ1021" s="52">
        <f t="shared" ca="1" si="6546"/>
        <v>827695.66409262386</v>
      </c>
      <c r="BK1021" s="52">
        <f t="shared" ca="1" si="6546"/>
        <v>473579.91135602683</v>
      </c>
      <c r="BL1021" s="52">
        <f t="shared" ca="1" si="6546"/>
        <v>449269.91521415667</v>
      </c>
      <c r="BM1021" s="52">
        <f t="shared" ca="1" si="6546"/>
        <v>686081.96918678016</v>
      </c>
      <c r="BN1021" s="52">
        <f t="shared" ca="1" si="6546"/>
        <v>860803.49065632862</v>
      </c>
      <c r="BO1021" s="52">
        <f t="shared" ca="1" si="6546"/>
        <v>492523.10781026777</v>
      </c>
      <c r="BP1021" s="52">
        <f t="shared" ca="1" si="6546"/>
        <v>467240.71182272292</v>
      </c>
      <c r="BQ1021" s="52">
        <f t="shared" ca="1" si="6546"/>
        <v>713525.24795425136</v>
      </c>
      <c r="BR1021" s="52">
        <f t="shared" ca="1" si="6546"/>
        <v>895235.63028258167</v>
      </c>
      <c r="BS1021" s="52">
        <f t="shared" ca="1" si="6546"/>
        <v>512224.03212267824</v>
      </c>
      <c r="BT1021" s="52">
        <f t="shared" ca="1" si="6546"/>
        <v>491328.63718580664</v>
      </c>
      <c r="BU1021" s="52">
        <f t="shared" ca="1" si="6546"/>
        <v>742065.31960438204</v>
      </c>
      <c r="BV1021" s="52">
        <f t="shared" ca="1" si="6546"/>
        <v>931044.09756847634</v>
      </c>
      <c r="BW1021" s="52">
        <f t="shared" ca="1" si="6546"/>
        <v>532712.0260433486</v>
      </c>
      <c r="BX1021" s="52">
        <f t="shared" ref="BX1021:CO1021" ca="1" si="6547">-COGS</f>
        <v>505367.55390745687</v>
      </c>
      <c r="BY1021" s="52">
        <f t="shared" ca="1" si="6547"/>
        <v>771748.90818731789</v>
      </c>
      <c r="BZ1021" s="52">
        <f t="shared" ca="1" si="6547"/>
        <v>968286.8577136402</v>
      </c>
      <c r="CA1021" s="52">
        <f t="shared" ca="1" si="6547"/>
        <v>554021.51314388867</v>
      </c>
      <c r="CB1021" s="52">
        <f t="shared" ca="1" si="6547"/>
        <v>525582.25606375502</v>
      </c>
      <c r="CC1021" s="52">
        <f t="shared" ca="1" si="6547"/>
        <v>802618.86451481062</v>
      </c>
      <c r="CD1021" s="52">
        <f t="shared" ca="1" si="6547"/>
        <v>1007018.3320221858</v>
      </c>
      <c r="CE1021" s="52">
        <f t="shared" ca="1" si="6547"/>
        <v>576182.37366964424</v>
      </c>
      <c r="CF1021" s="52">
        <f t="shared" ca="1" si="6547"/>
        <v>546605.54630630522</v>
      </c>
      <c r="CG1021" s="52">
        <f t="shared" ca="1" si="6547"/>
        <v>834723.61909540289</v>
      </c>
      <c r="CH1021" s="52">
        <f t="shared" ca="1" si="6547"/>
        <v>1047299.0653030727</v>
      </c>
      <c r="CI1021" s="52">
        <f t="shared" ca="1" si="6547"/>
        <v>599229.66861643014</v>
      </c>
      <c r="CJ1021" s="52">
        <f t="shared" ca="1" si="6547"/>
        <v>574785.01198494982</v>
      </c>
      <c r="CK1021" s="52">
        <f t="shared" ca="1" si="6547"/>
        <v>868111.46621832193</v>
      </c>
      <c r="CL1021" s="52">
        <f t="shared" ca="1" si="6547"/>
        <v>1089189.9072779571</v>
      </c>
      <c r="CM1021" s="52">
        <f t="shared" ca="1" si="6547"/>
        <v>623197.72368175432</v>
      </c>
      <c r="CN1021" s="52">
        <f t="shared" ca="1" si="6547"/>
        <v>591208.55888489971</v>
      </c>
      <c r="CO1021" s="52">
        <f t="shared" ca="1" si="6547"/>
        <v>902837.06641358766</v>
      </c>
    </row>
    <row r="1022" spans="1:93">
      <c r="A1022" s="10"/>
      <c r="B1022" s="10"/>
      <c r="C1022" s="17" t="s">
        <v>207</v>
      </c>
      <c r="D1022" s="10"/>
      <c r="E1022" s="62"/>
      <c r="F1022" s="10"/>
      <c r="G1022" s="134" t="str">
        <f>Monetary_Unit</f>
        <v>тыс. руб.</v>
      </c>
      <c r="H1022" s="10"/>
      <c r="I1022" s="23">
        <f ca="1">SUM(L1022:CO1022)</f>
        <v>-38100921.549637325</v>
      </c>
      <c r="J1022" s="10"/>
      <c r="K1022" s="10"/>
      <c r="L1022" s="52">
        <f t="shared" ref="L1022" ca="1" si="6548">IF(Flag_Last_Operations*$E1000,-L1020-L1021,-(L1020+L1021*(Days_In_Period-$E1019)/Days_In_Period))</f>
        <v>0</v>
      </c>
      <c r="M1022" s="52">
        <f t="shared" ref="M1022" ca="1" si="6549">IF(Flag_Last_Operations*$E1000,-M1020-M1021,-(M1020+M1021*(Days_In_Period-$E1019)/Days_In_Period))</f>
        <v>0</v>
      </c>
      <c r="N1022" s="52">
        <f t="shared" ref="N1022" ca="1" si="6550">IF(Flag_Last_Operations*$E1000,-N1020-N1021,-(N1020+N1021*(Days_In_Period-$E1019)/Days_In_Period))</f>
        <v>0</v>
      </c>
      <c r="O1022" s="52">
        <f t="shared" ref="O1022" ca="1" si="6551">IF(Flag_Last_Operations*$E1000,-O1020-O1021,-(O1020+O1021*(Days_In_Period-$E1019)/Days_In_Period))</f>
        <v>0</v>
      </c>
      <c r="P1022" s="52">
        <f t="shared" ref="P1022" ca="1" si="6552">IF(Flag_Last_Operations*$E1000,-P1020-P1021,-(P1020+P1021*(Days_In_Period-$E1019)/Days_In_Period))</f>
        <v>0</v>
      </c>
      <c r="Q1022" s="52">
        <f t="shared" ref="Q1022" ca="1" si="6553">IF(Flag_Last_Operations*$E1000,-Q1020-Q1021,-(Q1020+Q1021*(Days_In_Period-$E1019)/Days_In_Period))</f>
        <v>0</v>
      </c>
      <c r="R1022" s="52">
        <f t="shared" ref="R1022" ca="1" si="6554">IF(Flag_Last_Operations*$E1000,-R1020-R1021,-(R1020+R1021*(Days_In_Period-$E1019)/Days_In_Period))</f>
        <v>0</v>
      </c>
      <c r="S1022" s="52">
        <f t="shared" ref="S1022" ca="1" si="6555">IF(Flag_Last_Operations*$E1000,-S1020-S1021,-(S1020+S1021*(Days_In_Period-$E1019)/Days_In_Period))</f>
        <v>0</v>
      </c>
      <c r="T1022" s="52">
        <f t="shared" ref="T1022" ca="1" si="6556">IF(Flag_Last_Operations*$E1000,-T1020-T1021,-(T1020+T1021*(Days_In_Period-$E1019)/Days_In_Period))</f>
        <v>0</v>
      </c>
      <c r="U1022" s="52">
        <f t="shared" ref="U1022" ca="1" si="6557">IF(Flag_Last_Operations*$E1000,-U1020-U1021,-(U1020+U1021*(Days_In_Period-$E1019)/Days_In_Period))</f>
        <v>0</v>
      </c>
      <c r="V1022" s="52">
        <f t="shared" ref="V1022" ca="1" si="6558">IF(Flag_Last_Operations*$E1000,-V1020-V1021,-(V1020+V1021*(Days_In_Period-$E1019)/Days_In_Period))</f>
        <v>0</v>
      </c>
      <c r="W1022" s="52">
        <f t="shared" ref="W1022" ca="1" si="6559">IF(Flag_Last_Operations*$E1000,-W1020-W1021,-(W1020+W1021*(Days_In_Period-$E1019)/Days_In_Period))</f>
        <v>0</v>
      </c>
      <c r="X1022" s="52">
        <f t="shared" ref="X1022" ca="1" si="6560">IF(Flag_Last_Operations*$E1000,-X1020-X1021,-(X1020+X1021*(Days_In_Period-$E1019)/Days_In_Period))</f>
        <v>0</v>
      </c>
      <c r="Y1022" s="52">
        <f t="shared" ref="Y1022" ca="1" si="6561">IF(Flag_Last_Operations*$E1000,-Y1020-Y1021,-(Y1020+Y1021*(Days_In_Period-$E1019)/Days_In_Period))</f>
        <v>0</v>
      </c>
      <c r="Z1022" s="52">
        <f t="shared" ref="Z1022" ca="1" si="6562">IF(Flag_Last_Operations*$E1000,-Z1020-Z1021,-(Z1020+Z1021*(Days_In_Period-$E1019)/Days_In_Period))</f>
        <v>0</v>
      </c>
      <c r="AA1022" s="52">
        <f t="shared" ref="AA1022" ca="1" si="6563">IF(Flag_Last_Operations*$E1000,-AA1020-AA1021,-(AA1020+AA1021*(Days_In_Period-$E1019)/Days_In_Period))</f>
        <v>0</v>
      </c>
      <c r="AB1022" s="52">
        <f t="shared" ref="AB1022" ca="1" si="6564">IF(Flag_Last_Operations*$E1000,-AB1020-AB1021,-(AB1020+AB1021*(Days_In_Period-$E1019)/Days_In_Period))</f>
        <v>0</v>
      </c>
      <c r="AC1022" s="52">
        <f t="shared" ref="AC1022" ca="1" si="6565">IF(Flag_Last_Operations*$E1000,-AC1020-AC1021,-(AC1020+AC1021*(Days_In_Period-$E1019)/Days_In_Period))</f>
        <v>-171041.49396224675</v>
      </c>
      <c r="AD1022" s="52">
        <f t="shared" ref="AD1022" ca="1" si="6566">IF(Flag_Last_Operations*$E1000,-AD1020-AD1021,-(AD1020+AD1021*(Days_In_Period-$E1019)/Days_In_Period))</f>
        <v>-392225.10285106709</v>
      </c>
      <c r="AE1022" s="52">
        <f t="shared" ref="AE1022" ca="1" si="6567">IF(Flag_Last_Operations*$E1000,-AE1020-AE1021,-(AE1020+AE1021*(Days_In_Period-$E1019)/Days_In_Period))</f>
        <v>-348618.91514911759</v>
      </c>
      <c r="AF1022" s="52">
        <f t="shared" ref="AF1022" ca="1" si="6568">IF(Flag_Last_Operations*$E1000,-AF1020-AF1021,-(AF1020+AF1021*(Days_In_Period-$E1019)/Days_In_Period))</f>
        <v>-255635.17454873055</v>
      </c>
      <c r="AG1022" s="52">
        <f t="shared" ref="AG1022" ca="1" si="6569">IF(Flag_Last_Operations*$E1000,-AG1020-AG1021,-(AG1020+AG1021*(Days_In_Period-$E1019)/Days_In_Period))</f>
        <v>-332238.50823789713</v>
      </c>
      <c r="AH1022" s="52">
        <f t="shared" ref="AH1022" ca="1" si="6570">IF(Flag_Last_Operations*$E1000,-AH1020-AH1021,-(AH1020+AH1021*(Days_In_Period-$E1019)/Days_In_Period))</f>
        <v>-467073.9893855417</v>
      </c>
      <c r="AI1022" s="52">
        <f t="shared" ref="AI1022" ca="1" si="6571">IF(Flag_Last_Operations*$E1000,-AI1020-AI1021,-(AI1020+AI1021*(Days_In_Period-$E1019)/Days_In_Period))</f>
        <v>-413642.22621148126</v>
      </c>
      <c r="AJ1022" s="52">
        <f t="shared" ref="AJ1022" ca="1" si="6572">IF(Flag_Last_Operations*$E1000,-AJ1020-AJ1021,-(AJ1020+AJ1021*(Days_In_Period-$E1019)/Days_In_Period))</f>
        <v>-301886.97662489023</v>
      </c>
      <c r="AK1022" s="52">
        <f t="shared" ref="AK1022" ca="1" si="6573">IF(Flag_Last_Operations*$E1000,-AK1020-AK1021,-(AK1020+AK1021*(Days_In_Period-$E1019)/Days_In_Period))</f>
        <v>-390653.4701272907</v>
      </c>
      <c r="AL1022" s="52">
        <f t="shared" ref="AL1022" ca="1" si="6574">IF(Flag_Last_Operations*$E1000,-AL1020-AL1021,-(AL1020+AL1021*(Days_In_Period-$E1019)/Days_In_Period))</f>
        <v>-547283.22667821252</v>
      </c>
      <c r="AM1022" s="52">
        <f t="shared" ref="AM1022" ca="1" si="6575">IF(Flag_Last_Operations*$E1000,-AM1020-AM1021,-(AM1020+AM1021*(Days_In_Period-$E1019)/Days_In_Period))</f>
        <v>-483309.61189459555</v>
      </c>
      <c r="AN1022" s="52">
        <f t="shared" ref="AN1022" ca="1" si="6576">IF(Flag_Last_Operations*$E1000,-AN1020-AN1021,-(AN1020+AN1021*(Days_In_Period-$E1019)/Days_In_Period))</f>
        <v>-355326.39881842711</v>
      </c>
      <c r="AO1022" s="52">
        <f t="shared" ref="AO1022" ca="1" si="6577">IF(Flag_Last_Operations*$E1000,-AO1020-AO1021,-(AO1020+AO1021*(Days_In_Period-$E1019)/Days_In_Period))</f>
        <v>-453209.36507934227</v>
      </c>
      <c r="AP1022" s="52">
        <f t="shared" ref="AP1022" ca="1" si="6578">IF(Flag_Last_Operations*$E1000,-AP1020-AP1021,-(AP1020+AP1021*(Days_In_Period-$E1019)/Days_In_Period))</f>
        <v>-624130.71730306093</v>
      </c>
      <c r="AQ1022" s="52">
        <f t="shared" ref="AQ1022" ca="1" si="6579">IF(Flag_Last_Operations*$E1000,-AQ1020-AQ1021,-(AQ1020+AQ1021*(Days_In_Period-$E1019)/Days_In_Period))</f>
        <v>-538910.7704650237</v>
      </c>
      <c r="AR1022" s="52">
        <f t="shared" ref="AR1022" ca="1" si="6580">IF(Flag_Last_Operations*$E1000,-AR1020-AR1021,-(AR1020+AR1021*(Days_In_Period-$E1019)/Days_In_Period))</f>
        <v>-380173.93395173422</v>
      </c>
      <c r="AS1022" s="52">
        <f t="shared" ref="AS1022" ca="1" si="6581">IF(Flag_Last_Operations*$E1000,-AS1020-AS1021,-(AS1020+AS1021*(Days_In_Period-$E1019)/Days_In_Period))</f>
        <v>-476134.34687673021</v>
      </c>
      <c r="AT1022" s="52">
        <f t="shared" ref="AT1022" ca="1" si="6582">IF(Flag_Last_Operations*$E1000,-AT1020-AT1021,-(AT1020+AT1021*(Days_In_Period-$E1019)/Days_In_Period))</f>
        <v>-649096.67046559486</v>
      </c>
      <c r="AU1022" s="52">
        <f t="shared" ref="AU1022" ca="1" si="6583">IF(Flag_Last_Operations*$E1000,-AU1020-AU1021,-(AU1020+AU1021*(Days_In_Period-$E1019)/Days_In_Period))</f>
        <v>-560467.93289253756</v>
      </c>
      <c r="AV1022" s="52">
        <f t="shared" ref="AV1022" ca="1" si="6584">IF(Flag_Last_Operations*$E1000,-AV1020-AV1021,-(AV1020+AV1021*(Days_In_Period-$E1019)/Days_In_Period))</f>
        <v>-395381.2508780557</v>
      </c>
      <c r="AW1022" s="52">
        <f t="shared" ref="AW1022" ca="1" si="6585">IF(Flag_Last_Operations*$E1000,-AW1020-AW1021,-(AW1020+AW1021*(Days_In_Period-$E1019)/Days_In_Period))</f>
        <v>-491109.71706599824</v>
      </c>
      <c r="AX1022" s="52">
        <f t="shared" ref="AX1022" ca="1" si="6586">IF(Flag_Last_Operations*$E1000,-AX1020-AX1021,-(AX1020+AX1021*(Days_In_Period-$E1019)/Days_In_Period))</f>
        <v>-665917.77424206235</v>
      </c>
      <c r="AY1022" s="52">
        <f t="shared" ref="AY1022" ca="1" si="6587">IF(Flag_Last_Operations*$E1000,-AY1020-AY1021,-(AY1020+AY1021*(Days_In_Period-$E1019)/Days_In_Period))</f>
        <v>-574992.80220137676</v>
      </c>
      <c r="AZ1022" s="52">
        <f t="shared" ref="AZ1022" ca="1" si="6588">IF(Flag_Last_Operations*$E1000,-AZ1020-AZ1021,-(AZ1020+AZ1021*(Days_In_Period-$E1019)/Days_In_Period))</f>
        <v>-405628.8631807589</v>
      </c>
      <c r="BA1022" s="52">
        <f t="shared" ref="BA1022" ca="1" si="6589">IF(Flag_Last_Operations*$E1000,-BA1020-BA1021,-(BA1020+BA1021*(Days_In_Period-$E1019)/Days_In_Period))</f>
        <v>-508013.07833644463</v>
      </c>
      <c r="BB1022" s="52">
        <f t="shared" ref="BB1022" ca="1" si="6590">IF(Flag_Last_Operations*$E1000,-BB1020-BB1021,-(BB1020+BB1021*(Days_In_Period-$E1019)/Days_In_Period))</f>
        <v>-692554.48521174467</v>
      </c>
      <c r="BC1022" s="52">
        <f t="shared" ref="BC1022" ca="1" si="6591">IF(Flag_Last_Operations*$E1000,-BC1020-BC1021,-(BC1020+BC1021*(Days_In_Period-$E1019)/Days_In_Period))</f>
        <v>-597992.51428943197</v>
      </c>
      <c r="BD1022" s="52">
        <f t="shared" ref="BD1022" ca="1" si="6592">IF(Flag_Last_Operations*$E1000,-BD1020-BD1021,-(BD1020+BD1021*(Days_In_Period-$E1019)/Days_In_Period))</f>
        <v>-426468.89725523361</v>
      </c>
      <c r="BE1022" s="52">
        <f t="shared" ref="BE1022" ca="1" si="6593">IF(Flag_Last_Operations*$E1000,-BE1020-BE1021,-(BE1020+BE1021*(Days_In_Period-$E1019)/Days_In_Period))</f>
        <v>-528332.80330428784</v>
      </c>
      <c r="BF1022" s="52">
        <f t="shared" ref="BF1022" ca="1" si="6594">IF(Flag_Last_Operations*$E1000,-BF1020-BF1021,-(BF1020+BF1021*(Days_In_Period-$E1019)/Days_In_Period))</f>
        <v>-720255.84968952939</v>
      </c>
      <c r="BG1022" s="52">
        <f t="shared" ref="BG1022" ca="1" si="6595">IF(Flag_Last_Operations*$E1000,-BG1020-BG1021,-(BG1020+BG1021*(Days_In_Period-$E1019)/Days_In_Period))</f>
        <v>-621911.39190048072</v>
      </c>
      <c r="BH1022" s="52">
        <f t="shared" ref="BH1022" ca="1" si="6596">IF(Flag_Last_Operations*$E1000,-BH1020-BH1021,-(BH1020+BH1021*(Days_In_Period-$E1019)/Days_In_Period))</f>
        <v>-438727.77395092649</v>
      </c>
      <c r="BI1022" s="52">
        <f t="shared" ref="BI1022" ca="1" si="6597">IF(Flag_Last_Operations*$E1000,-BI1020-BI1021,-(BI1020+BI1021*(Days_In_Period-$E1019)/Days_In_Period))</f>
        <v>-549466.94552869839</v>
      </c>
      <c r="BJ1022" s="52">
        <f t="shared" ref="BJ1022" ca="1" si="6598">IF(Flag_Last_Operations*$E1000,-BJ1020-BJ1021,-(BJ1020+BJ1021*(Days_In_Period-$E1019)/Days_In_Period))</f>
        <v>-749066.93120502285</v>
      </c>
      <c r="BK1022" s="52">
        <f t="shared" ref="BK1022" ca="1" si="6599">IF(Flag_Last_Operations*$E1000,-BK1020-BK1021,-(BK1020+BK1021*(Days_In_Period-$E1019)/Days_In_Period))</f>
        <v>-646788.70345544908</v>
      </c>
      <c r="BL1022" s="52">
        <f t="shared" ref="BL1022" ca="1" si="6600">IF(Flag_Last_Operations*$E1000,-BL1020-BL1021,-(BL1020+BL1021*(Days_In_Period-$E1019)/Days_In_Period))</f>
        <v>-456277.30555296107</v>
      </c>
      <c r="BM1022" s="52">
        <f t="shared" ref="BM1022" ca="1" si="6601">IF(Flag_Last_Operations*$E1000,-BM1020-BM1021,-(BM1020+BM1021*(Days_In_Period-$E1019)/Days_In_Period))</f>
        <v>-571445.62334984634</v>
      </c>
      <c r="BN1022" s="52">
        <f t="shared" ref="BN1022" ca="1" si="6602">IF(Flag_Last_Operations*$E1000,-BN1020-BN1021,-(BN1020+BN1021*(Days_In_Period-$E1019)/Days_In_Period))</f>
        <v>-779029.60845322348</v>
      </c>
      <c r="BO1022" s="52">
        <f t="shared" ref="BO1022" ca="1" si="6603">IF(Flag_Last_Operations*$E1000,-BO1020-BO1021,-(BO1020+BO1021*(Days_In_Period-$E1019)/Days_In_Period))</f>
        <v>-672660.25159366732</v>
      </c>
      <c r="BP1022" s="52">
        <f t="shared" ref="BP1022" ca="1" si="6604">IF(Flag_Last_Operations*$E1000,-BP1020-BP1021,-(BP1020+BP1021*(Days_In_Period-$E1019)/Days_In_Period))</f>
        <v>-474528.3977750793</v>
      </c>
      <c r="BQ1022" s="52">
        <f t="shared" ref="BQ1022" ca="1" si="6605">IF(Flag_Last_Operations*$E1000,-BQ1020-BQ1021,-(BQ1020+BQ1021*(Days_In_Period-$E1019)/Days_In_Period))</f>
        <v>-594303.4482838402</v>
      </c>
      <c r="BR1022" s="52">
        <f t="shared" ref="BR1022" ca="1" si="6606">IF(Flag_Last_Operations*$E1000,-BR1020-BR1021,-(BR1020+BR1021*(Days_In_Period-$E1019)/Days_In_Period))</f>
        <v>-810190.79279135237</v>
      </c>
      <c r="BS1022" s="52">
        <f t="shared" ref="BS1022" ca="1" si="6607">IF(Flag_Last_Operations*$E1000,-BS1020-BS1021,-(BS1020+BS1021*(Days_In_Period-$E1019)/Days_In_Period))</f>
        <v>-699566.66165741347</v>
      </c>
      <c r="BT1022" s="52">
        <f t="shared" ref="BT1022" ca="1" si="6608">IF(Flag_Last_Operations*$E1000,-BT1020-BT1021,-(BT1020+BT1021*(Days_In_Period-$E1019)/Days_In_Period))</f>
        <v>-498908.29002779513</v>
      </c>
      <c r="BU1022" s="52">
        <f t="shared" ref="BU1022" ca="1" si="6609">IF(Flag_Last_Operations*$E1000,-BU1020-BU1021,-(BU1020+BU1021*(Days_In_Period-$E1019)/Days_In_Period))</f>
        <v>-618074.65247431723</v>
      </c>
      <c r="BV1022" s="52">
        <f t="shared" ref="BV1022" ca="1" si="6610">IF(Flag_Last_Operations*$E1000,-BV1020-BV1021,-(BV1020+BV1021*(Days_In_Period-$E1019)/Days_In_Period))</f>
        <v>-842597.47114936868</v>
      </c>
      <c r="BW1022" s="52">
        <f t="shared" ref="BW1022" ca="1" si="6611">IF(Flag_Last_Operations*$E1000,-BW1020-BW1021,-(BW1020+BW1021*(Days_In_Period-$E1019)/Days_In_Period))</f>
        <v>-727548.36537629156</v>
      </c>
      <c r="BX1022" s="52">
        <f t="shared" ref="BX1022" ca="1" si="6612">IF(Flag_Last_Operations*$E1000,-BX1020-BX1021,-(BX1020+BX1021*(Days_In_Period-$E1019)/Days_In_Period))</f>
        <v>-513249.44186623592</v>
      </c>
      <c r="BY1022" s="52">
        <f t="shared" ref="BY1022" ca="1" si="6613">IF(Flag_Last_Operations*$E1000,-BY1020-BY1021,-(BY1020+BY1021*(Days_In_Period-$E1019)/Days_In_Period))</f>
        <v>-642798.60966380127</v>
      </c>
      <c r="BZ1022" s="52">
        <f t="shared" ref="BZ1022" ca="1" si="6614">IF(Flag_Last_Operations*$E1000,-BZ1020-BZ1021,-(BZ1020+BZ1021*(Days_In_Period-$E1019)/Days_In_Period))</f>
        <v>-876302.36148312665</v>
      </c>
      <c r="CA1022" s="52">
        <f t="shared" ref="CA1022" ca="1" si="6615">IF(Flag_Last_Operations*$E1000,-CA1020-CA1021,-(CA1020+CA1021*(Days_In_Period-$E1019)/Days_In_Period))</f>
        <v>-756651.30124865845</v>
      </c>
      <c r="CB1022" s="52">
        <f t="shared" ref="CB1022" ca="1" si="6616">IF(Flag_Last_Operations*$E1000,-CB1020-CB1021,-(CB1020+CB1021*(Days_In_Period-$E1019)/Days_In_Period))</f>
        <v>-533779.91163486661</v>
      </c>
      <c r="CC1022" s="52">
        <f t="shared" ref="CC1022" ca="1" si="6617">IF(Flag_Last_Operations*$E1000,-CC1020-CC1021,-(CC1020+CC1021*(Days_In_Period-$E1019)/Days_In_Period))</f>
        <v>-668510.55405035312</v>
      </c>
      <c r="CD1022" s="52">
        <f t="shared" ref="CD1022" ca="1" si="6618">IF(Flag_Last_Operations*$E1000,-CD1020-CD1021,-(CD1020+CD1021*(Days_In_Period-$E1019)/Days_In_Period))</f>
        <v>-911354.4559424516</v>
      </c>
      <c r="CE1022" s="52">
        <f t="shared" ref="CE1022" ca="1" si="6619">IF(Flag_Last_Operations*$E1000,-CE1020-CE1021,-(CE1020+CE1021*(Days_In_Period-$E1019)/Days_In_Period))</f>
        <v>-786917.35329860495</v>
      </c>
      <c r="CF1022" s="52">
        <f t="shared" ref="CF1022" ca="1" si="6620">IF(Flag_Last_Operations*$E1000,-CF1020-CF1021,-(CF1020+CF1021*(Days_In_Period-$E1019)/Days_In_Period))</f>
        <v>-555131.10810026107</v>
      </c>
      <c r="CG1022" s="52">
        <f t="shared" ref="CG1022" ca="1" si="6621">IF(Flag_Last_Operations*$E1000,-CG1020-CG1021,-(CG1020+CG1021*(Days_In_Period-$E1019)/Days_In_Period))</f>
        <v>-695250.9762123673</v>
      </c>
      <c r="CH1022" s="52">
        <f t="shared" ref="CH1022" ca="1" si="6622">IF(Flag_Last_Operations*$E1000,-CH1020-CH1021,-(CH1020+CH1021*(Days_In_Period-$E1019)/Days_In_Period))</f>
        <v>-947808.6341801493</v>
      </c>
      <c r="CI1022" s="52">
        <f t="shared" ref="CI1022" ca="1" si="6623">IF(Flag_Last_Operations*$E1000,-CI1020-CI1021,-(CI1020+CI1021*(Days_In_Period-$E1019)/Days_In_Period))</f>
        <v>-818394.04743054882</v>
      </c>
      <c r="CJ1022" s="52">
        <f t="shared" ref="CJ1022" ca="1" si="6624">IF(Flag_Last_Operations*$E1000,-CJ1020-CJ1021,-(CJ1020+CJ1021*(Days_In_Period-$E1019)/Days_In_Period))</f>
        <v>-583652.13374397857</v>
      </c>
      <c r="CK1022" s="52">
        <f t="shared" ref="CK1022" ca="1" si="6625">IF(Flag_Last_Operations*$E1000,-CK1020-CK1021,-(CK1020+CK1021*(Days_In_Period-$E1019)/Days_In_Period))</f>
        <v>-723059.9229161049</v>
      </c>
      <c r="CL1022" s="52">
        <f t="shared" ref="CL1022" ca="1" si="6626">IF(Flag_Last_Operations*$E1000,-CL1020-CL1021,-(CL1020+CL1021*(Days_In_Period-$E1019)/Days_In_Period))</f>
        <v>-985719.86425844196</v>
      </c>
      <c r="CM1022" s="52">
        <f t="shared" ref="CM1022" ca="1" si="6627">IF(Flag_Last_Operations*$E1000,-CM1020-CM1021,-(CM1020+CM1021*(Days_In_Period-$E1019)/Days_In_Period))</f>
        <v>-851128.68304946227</v>
      </c>
      <c r="CN1022" s="52">
        <f t="shared" ref="CN1022" ca="1" si="6628">IF(Flag_Last_Operations*$E1000,-CN1020-CN1021,-(CN1020+CN1021*(Days_In_Period-$E1019)/Days_In_Period))</f>
        <v>-600429.25298243831</v>
      </c>
      <c r="CO1022" s="52">
        <f t="shared" ref="CO1022" ca="1" si="6629">IF(Flag_Last_Operations*$E1000,-CO1020-CO1021,-(CO1020+CO1021*(Days_In_Period-$E1019)/Days_In_Period))</f>
        <v>-751983.45587129646</v>
      </c>
    </row>
    <row r="1023" spans="1:93">
      <c r="A1023" s="10"/>
      <c r="B1023" s="10"/>
      <c r="C1023" s="17" t="s">
        <v>179</v>
      </c>
      <c r="D1023" s="10"/>
      <c r="E1023" s="62"/>
      <c r="F1023" s="10"/>
      <c r="G1023" s="134" t="str">
        <f>Monetary_Unit</f>
        <v>тыс. руб.</v>
      </c>
      <c r="H1023" s="10"/>
      <c r="I1023" s="10"/>
      <c r="J1023" s="10"/>
      <c r="K1023" s="10"/>
      <c r="L1023" s="52">
        <f t="shared" ref="L1023:R1023" ca="1" si="6630">SUM(L1020:L1022)</f>
        <v>0</v>
      </c>
      <c r="M1023" s="52">
        <f t="shared" ca="1" si="6630"/>
        <v>0</v>
      </c>
      <c r="N1023" s="52">
        <f t="shared" ca="1" si="6630"/>
        <v>0</v>
      </c>
      <c r="O1023" s="52">
        <f t="shared" ca="1" si="6630"/>
        <v>0</v>
      </c>
      <c r="P1023" s="52">
        <f t="shared" ca="1" si="6630"/>
        <v>0</v>
      </c>
      <c r="Q1023" s="52">
        <f t="shared" ca="1" si="6630"/>
        <v>0</v>
      </c>
      <c r="R1023" s="52">
        <f t="shared" ca="1" si="6630"/>
        <v>0</v>
      </c>
      <c r="S1023" s="52">
        <f t="shared" ref="S1023" ca="1" si="6631">SUM(S1020:S1022)</f>
        <v>0</v>
      </c>
      <c r="T1023" s="52">
        <f t="shared" ref="T1023:CE1023" ca="1" si="6632">SUM(T1020:T1022)</f>
        <v>0</v>
      </c>
      <c r="U1023" s="52">
        <f t="shared" ca="1" si="6632"/>
        <v>0</v>
      </c>
      <c r="V1023" s="52">
        <f t="shared" ca="1" si="6632"/>
        <v>0</v>
      </c>
      <c r="W1023" s="52">
        <f t="shared" ca="1" si="6632"/>
        <v>0</v>
      </c>
      <c r="X1023" s="52">
        <f t="shared" ca="1" si="6632"/>
        <v>0</v>
      </c>
      <c r="Y1023" s="52">
        <f t="shared" ca="1" si="6632"/>
        <v>0</v>
      </c>
      <c r="Z1023" s="52">
        <f t="shared" ca="1" si="6632"/>
        <v>0</v>
      </c>
      <c r="AA1023" s="52">
        <f t="shared" ca="1" si="6632"/>
        <v>0</v>
      </c>
      <c r="AB1023" s="52">
        <f t="shared" ca="1" si="6632"/>
        <v>0</v>
      </c>
      <c r="AC1023" s="52">
        <f t="shared" ca="1" si="6632"/>
        <v>167323.20061524137</v>
      </c>
      <c r="AD1023" s="52">
        <f t="shared" ca="1" si="6632"/>
        <v>215331.60852366302</v>
      </c>
      <c r="AE1023" s="52">
        <f t="shared" ca="1" si="6632"/>
        <v>127615.50634352025</v>
      </c>
      <c r="AF1023" s="52">
        <f t="shared" ca="1" si="6632"/>
        <v>128019.6682052103</v>
      </c>
      <c r="AG1023" s="52">
        <f t="shared" ca="1" si="6632"/>
        <v>199779.30003197613</v>
      </c>
      <c r="AH1023" s="52">
        <f t="shared" ca="1" si="6632"/>
        <v>255920.44725341379</v>
      </c>
      <c r="AI1023" s="52">
        <f t="shared" ca="1" si="6632"/>
        <v>151010.21389602218</v>
      </c>
      <c r="AJ1023" s="52">
        <f t="shared" ca="1" si="6632"/>
        <v>150876.76272886811</v>
      </c>
      <c r="AK1023" s="52">
        <f t="shared" ca="1" si="6632"/>
        <v>234564.17028106551</v>
      </c>
      <c r="AL1023" s="52">
        <f t="shared" ca="1" si="6632"/>
        <v>299411.86250790674</v>
      </c>
      <c r="AM1023" s="52">
        <f t="shared" ca="1" si="6632"/>
        <v>176072.31324257434</v>
      </c>
      <c r="AN1023" s="52">
        <f t="shared" ca="1" si="6632"/>
        <v>175357.25762855168</v>
      </c>
      <c r="AO1023" s="52">
        <f t="shared" ca="1" si="6632"/>
        <v>271811.84424533858</v>
      </c>
      <c r="AP1023" s="52">
        <f t="shared" ca="1" si="6632"/>
        <v>337326.5805871808</v>
      </c>
      <c r="AQ1023" s="52">
        <f t="shared" ca="1" si="6632"/>
        <v>193006.13924474327</v>
      </c>
      <c r="AR1023" s="52">
        <f t="shared" ca="1" si="6632"/>
        <v>187167.79470699106</v>
      </c>
      <c r="AS1023" s="52">
        <f t="shared" ca="1" si="6632"/>
        <v>282684.67060083186</v>
      </c>
      <c r="AT1023" s="52">
        <f t="shared" ca="1" si="6632"/>
        <v>350819.99987051764</v>
      </c>
      <c r="AU1023" s="52">
        <f t="shared" ca="1" si="6632"/>
        <v>200726.74438278505</v>
      </c>
      <c r="AV1023" s="52">
        <f t="shared" ca="1" si="6632"/>
        <v>194654.50649527053</v>
      </c>
      <c r="AW1023" s="52">
        <f t="shared" ca="1" si="6632"/>
        <v>290010.53208005975</v>
      </c>
      <c r="AX1023" s="52">
        <f t="shared" ca="1" si="6632"/>
        <v>359911.18930404494</v>
      </c>
      <c r="AY1023" s="52">
        <f t="shared" ca="1" si="6632"/>
        <v>205929.20383787085</v>
      </c>
      <c r="AZ1023" s="52">
        <f t="shared" ca="1" si="6632"/>
        <v>199699.65934288804</v>
      </c>
      <c r="BA1023" s="52">
        <f t="shared" ca="1" si="6632"/>
        <v>301610.95336326194</v>
      </c>
      <c r="BB1023" s="52">
        <f t="shared" ca="1" si="6632"/>
        <v>374307.63687620685</v>
      </c>
      <c r="BC1023" s="52">
        <f t="shared" ca="1" si="6632"/>
        <v>214166.37199138571</v>
      </c>
      <c r="BD1023" s="52">
        <f t="shared" ca="1" si="6632"/>
        <v>207687.25297550333</v>
      </c>
      <c r="BE1023" s="52">
        <f t="shared" ca="1" si="6632"/>
        <v>313674.99488685443</v>
      </c>
      <c r="BF1023" s="52">
        <f t="shared" ca="1" si="6632"/>
        <v>389279.54183234822</v>
      </c>
      <c r="BG1023" s="52">
        <f t="shared" ca="1" si="6632"/>
        <v>222732.62240565883</v>
      </c>
      <c r="BH1023" s="52">
        <f t="shared" ca="1" si="6632"/>
        <v>215995.15154526755</v>
      </c>
      <c r="BI1023" s="52">
        <f t="shared" ca="1" si="6632"/>
        <v>326222.40715770412</v>
      </c>
      <c r="BJ1023" s="52">
        <f t="shared" ca="1" si="6632"/>
        <v>404851.14004530502</v>
      </c>
      <c r="BK1023" s="52">
        <f t="shared" ca="1" si="6632"/>
        <v>231642.34794588271</v>
      </c>
      <c r="BL1023" s="52">
        <f t="shared" ca="1" si="6632"/>
        <v>224634.95760707837</v>
      </c>
      <c r="BM1023" s="52">
        <f t="shared" ca="1" si="6632"/>
        <v>339271.30344401218</v>
      </c>
      <c r="BN1023" s="52">
        <f t="shared" ca="1" si="6632"/>
        <v>421045.18564711744</v>
      </c>
      <c r="BO1023" s="52">
        <f t="shared" ca="1" si="6632"/>
        <v>240908.04186371784</v>
      </c>
      <c r="BP1023" s="52">
        <f t="shared" ca="1" si="6632"/>
        <v>233620.35591136146</v>
      </c>
      <c r="BQ1023" s="52">
        <f t="shared" ca="1" si="6632"/>
        <v>352842.15558177256</v>
      </c>
      <c r="BR1023" s="52">
        <f t="shared" ca="1" si="6632"/>
        <v>437886.99307300174</v>
      </c>
      <c r="BS1023" s="52">
        <f t="shared" ca="1" si="6632"/>
        <v>250544.36353826651</v>
      </c>
      <c r="BT1023" s="52">
        <f t="shared" ca="1" si="6632"/>
        <v>242964.71069627802</v>
      </c>
      <c r="BU1023" s="52">
        <f t="shared" ca="1" si="6632"/>
        <v>366955.37782634282</v>
      </c>
      <c r="BV1023" s="52">
        <f t="shared" ca="1" si="6632"/>
        <v>455402.00424545049</v>
      </c>
      <c r="BW1023" s="52">
        <f t="shared" ca="1" si="6632"/>
        <v>260565.66491250752</v>
      </c>
      <c r="BX1023" s="52">
        <f t="shared" ca="1" si="6632"/>
        <v>252683.77695372852</v>
      </c>
      <c r="BY1023" s="52">
        <f t="shared" ca="1" si="6632"/>
        <v>381634.07547724515</v>
      </c>
      <c r="BZ1023" s="52">
        <f t="shared" ca="1" si="6632"/>
        <v>473618.57170775882</v>
      </c>
      <c r="CA1023" s="52">
        <f t="shared" ca="1" si="6632"/>
        <v>270988.78360298905</v>
      </c>
      <c r="CB1023" s="52">
        <f t="shared" ca="1" si="6632"/>
        <v>262791.12803187745</v>
      </c>
      <c r="CC1023" s="52">
        <f t="shared" ca="1" si="6632"/>
        <v>396899.43849633494</v>
      </c>
      <c r="CD1023" s="52">
        <f t="shared" ca="1" si="6632"/>
        <v>492563.31457606924</v>
      </c>
      <c r="CE1023" s="52">
        <f t="shared" ca="1" si="6632"/>
        <v>281828.33494710852</v>
      </c>
      <c r="CF1023" s="52">
        <f t="shared" ref="CF1023:CO1023" ca="1" si="6633">SUM(CF1020:CF1022)</f>
        <v>273302.77315315267</v>
      </c>
      <c r="CG1023" s="52">
        <f t="shared" ca="1" si="6633"/>
        <v>412775.41603618825</v>
      </c>
      <c r="CH1023" s="52">
        <f t="shared" ca="1" si="6633"/>
        <v>512265.84715911164</v>
      </c>
      <c r="CI1023" s="52">
        <f t="shared" ca="1" si="6633"/>
        <v>293101.46834499296</v>
      </c>
      <c r="CJ1023" s="52">
        <f t="shared" ca="1" si="6633"/>
        <v>284234.3465859642</v>
      </c>
      <c r="CK1023" s="52">
        <f t="shared" ca="1" si="6633"/>
        <v>429285.88988818123</v>
      </c>
      <c r="CL1023" s="52">
        <f t="shared" ca="1" si="6633"/>
        <v>532755.93290769646</v>
      </c>
      <c r="CM1023" s="52">
        <f t="shared" ca="1" si="6633"/>
        <v>304824.97353998851</v>
      </c>
      <c r="CN1023" s="52">
        <f t="shared" ca="1" si="6633"/>
        <v>295604.27944244992</v>
      </c>
      <c r="CO1023" s="52">
        <f t="shared" ca="1" si="6633"/>
        <v>446457.88998474099</v>
      </c>
    </row>
    <row r="1024" spans="1:93">
      <c r="A1024" s="10"/>
      <c r="B1024" s="10"/>
      <c r="C1024" s="17" t="s">
        <v>206</v>
      </c>
      <c r="D1024" s="10"/>
      <c r="E1024" s="62"/>
      <c r="F1024" s="10"/>
      <c r="G1024" s="134" t="str">
        <f>Monetary_Unit</f>
        <v>тыс. руб.</v>
      </c>
      <c r="H1024" s="10"/>
      <c r="I1024" s="23">
        <f ca="1">SUM(L1024:CO1024)</f>
        <v>-446457.88998474099</v>
      </c>
      <c r="J1024" s="10"/>
      <c r="K1024" s="10"/>
      <c r="L1024" s="52">
        <f t="shared" ref="L1024:R1024" ca="1" si="6634">L1020-L1023</f>
        <v>0</v>
      </c>
      <c r="M1024" s="52">
        <f t="shared" ca="1" si="6634"/>
        <v>0</v>
      </c>
      <c r="N1024" s="52">
        <f t="shared" ca="1" si="6634"/>
        <v>0</v>
      </c>
      <c r="O1024" s="52">
        <f t="shared" ca="1" si="6634"/>
        <v>0</v>
      </c>
      <c r="P1024" s="52">
        <f t="shared" ca="1" si="6634"/>
        <v>0</v>
      </c>
      <c r="Q1024" s="52">
        <f t="shared" ca="1" si="6634"/>
        <v>0</v>
      </c>
      <c r="R1024" s="52">
        <f t="shared" ca="1" si="6634"/>
        <v>0</v>
      </c>
      <c r="S1024" s="52">
        <f t="shared" ref="S1024" ca="1" si="6635">S1020-S1023</f>
        <v>0</v>
      </c>
      <c r="T1024" s="52">
        <f t="shared" ref="T1024:CE1024" ca="1" si="6636">T1020-T1023</f>
        <v>0</v>
      </c>
      <c r="U1024" s="52">
        <f t="shared" ca="1" si="6636"/>
        <v>0</v>
      </c>
      <c r="V1024" s="52">
        <f t="shared" ca="1" si="6636"/>
        <v>0</v>
      </c>
      <c r="W1024" s="52">
        <f t="shared" ca="1" si="6636"/>
        <v>0</v>
      </c>
      <c r="X1024" s="52">
        <f t="shared" ca="1" si="6636"/>
        <v>0</v>
      </c>
      <c r="Y1024" s="52">
        <f t="shared" ca="1" si="6636"/>
        <v>0</v>
      </c>
      <c r="Z1024" s="52">
        <f t="shared" ca="1" si="6636"/>
        <v>0</v>
      </c>
      <c r="AA1024" s="52">
        <f t="shared" ca="1" si="6636"/>
        <v>0</v>
      </c>
      <c r="AB1024" s="52">
        <f t="shared" ca="1" si="6636"/>
        <v>0</v>
      </c>
      <c r="AC1024" s="52">
        <f t="shared" ca="1" si="6636"/>
        <v>-167323.20061524137</v>
      </c>
      <c r="AD1024" s="52">
        <f t="shared" ca="1" si="6636"/>
        <v>-48008.40790842165</v>
      </c>
      <c r="AE1024" s="52">
        <f t="shared" ca="1" si="6636"/>
        <v>87716.102180142771</v>
      </c>
      <c r="AF1024" s="52">
        <f t="shared" ca="1" si="6636"/>
        <v>-404.16186169005232</v>
      </c>
      <c r="AG1024" s="52">
        <f t="shared" ca="1" si="6636"/>
        <v>-71759.631826765835</v>
      </c>
      <c r="AH1024" s="52">
        <f t="shared" ca="1" si="6636"/>
        <v>-56141.147221437655</v>
      </c>
      <c r="AI1024" s="52">
        <f t="shared" ca="1" si="6636"/>
        <v>104910.23335739161</v>
      </c>
      <c r="AJ1024" s="52">
        <f t="shared" ca="1" si="6636"/>
        <v>133.45116715406766</v>
      </c>
      <c r="AK1024" s="52">
        <f t="shared" ca="1" si="6636"/>
        <v>-83687.407552197401</v>
      </c>
      <c r="AL1024" s="52">
        <f t="shared" ca="1" si="6636"/>
        <v>-64847.692226841231</v>
      </c>
      <c r="AM1024" s="52">
        <f t="shared" ca="1" si="6636"/>
        <v>123339.5492653324</v>
      </c>
      <c r="AN1024" s="52">
        <f t="shared" ca="1" si="6636"/>
        <v>715.05561402265448</v>
      </c>
      <c r="AO1024" s="52">
        <f t="shared" ca="1" si="6636"/>
        <v>-96454.586616786895</v>
      </c>
      <c r="AP1024" s="52">
        <f t="shared" ca="1" si="6636"/>
        <v>-65514.736341842217</v>
      </c>
      <c r="AQ1024" s="52">
        <f t="shared" ca="1" si="6636"/>
        <v>144320.44134243752</v>
      </c>
      <c r="AR1024" s="52">
        <f t="shared" ca="1" si="6636"/>
        <v>5838.3445377522148</v>
      </c>
      <c r="AS1024" s="52">
        <f t="shared" ca="1" si="6636"/>
        <v>-95516.875893840799</v>
      </c>
      <c r="AT1024" s="52">
        <f t="shared" ca="1" si="6636"/>
        <v>-68135.329269685782</v>
      </c>
      <c r="AU1024" s="52">
        <f t="shared" ca="1" si="6636"/>
        <v>150093.25548773259</v>
      </c>
      <c r="AV1024" s="52">
        <f t="shared" ca="1" si="6636"/>
        <v>6072.2378875145223</v>
      </c>
      <c r="AW1024" s="52">
        <f t="shared" ca="1" si="6636"/>
        <v>-95356.025584789226</v>
      </c>
      <c r="AX1024" s="52">
        <f t="shared" ca="1" si="6636"/>
        <v>-69900.657223985181</v>
      </c>
      <c r="AY1024" s="52">
        <f t="shared" ca="1" si="6636"/>
        <v>153981.98546617408</v>
      </c>
      <c r="AZ1024" s="52">
        <f t="shared" ca="1" si="6636"/>
        <v>6229.5444949828088</v>
      </c>
      <c r="BA1024" s="52">
        <f t="shared" ca="1" si="6636"/>
        <v>-101911.2940203739</v>
      </c>
      <c r="BB1024" s="52">
        <f t="shared" ca="1" si="6636"/>
        <v>-72696.683512944903</v>
      </c>
      <c r="BC1024" s="52">
        <f t="shared" ca="1" si="6636"/>
        <v>160141.26488482114</v>
      </c>
      <c r="BD1024" s="52">
        <f t="shared" ca="1" si="6636"/>
        <v>6479.1190158823738</v>
      </c>
      <c r="BE1024" s="52">
        <f t="shared" ca="1" si="6636"/>
        <v>-105987.7419113511</v>
      </c>
      <c r="BF1024" s="52">
        <f t="shared" ca="1" si="6636"/>
        <v>-75604.546945493785</v>
      </c>
      <c r="BG1024" s="52">
        <f t="shared" ca="1" si="6636"/>
        <v>166546.91942668939</v>
      </c>
      <c r="BH1024" s="52">
        <f t="shared" ca="1" si="6636"/>
        <v>6737.4708603912732</v>
      </c>
      <c r="BI1024" s="52">
        <f t="shared" ca="1" si="6636"/>
        <v>-110227.25561243657</v>
      </c>
      <c r="BJ1024" s="52">
        <f t="shared" ca="1" si="6636"/>
        <v>-78628.732887600898</v>
      </c>
      <c r="BK1024" s="52">
        <f t="shared" ca="1" si="6636"/>
        <v>173208.79209942231</v>
      </c>
      <c r="BL1024" s="52">
        <f t="shared" ca="1" si="6636"/>
        <v>7007.39033880434</v>
      </c>
      <c r="BM1024" s="52">
        <f t="shared" ca="1" si="6636"/>
        <v>-114636.34583693382</v>
      </c>
      <c r="BN1024" s="52">
        <f t="shared" ca="1" si="6636"/>
        <v>-81773.882203105255</v>
      </c>
      <c r="BO1024" s="52">
        <f t="shared" ca="1" si="6636"/>
        <v>180137.1437833996</v>
      </c>
      <c r="BP1024" s="52">
        <f t="shared" ca="1" si="6636"/>
        <v>7287.6859523563762</v>
      </c>
      <c r="BQ1024" s="52">
        <f t="shared" ca="1" si="6636"/>
        <v>-119221.7996704111</v>
      </c>
      <c r="BR1024" s="52">
        <f t="shared" ca="1" si="6636"/>
        <v>-85044.837491229177</v>
      </c>
      <c r="BS1024" s="52">
        <f t="shared" ca="1" si="6636"/>
        <v>187342.62953473523</v>
      </c>
      <c r="BT1024" s="52">
        <f t="shared" ca="1" si="6636"/>
        <v>7579.6528419884853</v>
      </c>
      <c r="BU1024" s="52">
        <f t="shared" ca="1" si="6636"/>
        <v>-123990.6671300648</v>
      </c>
      <c r="BV1024" s="52">
        <f t="shared" ca="1" si="6636"/>
        <v>-88446.626419107663</v>
      </c>
      <c r="BW1024" s="52">
        <f t="shared" ca="1" si="6636"/>
        <v>194836.33933294297</v>
      </c>
      <c r="BX1024" s="52">
        <f t="shared" ca="1" si="6636"/>
        <v>7881.8879587789997</v>
      </c>
      <c r="BY1024" s="52">
        <f t="shared" ca="1" si="6636"/>
        <v>-128950.29852351663</v>
      </c>
      <c r="BZ1024" s="52">
        <f t="shared" ca="1" si="6636"/>
        <v>-91984.496230513672</v>
      </c>
      <c r="CA1024" s="52">
        <f t="shared" ca="1" si="6636"/>
        <v>202629.78810476977</v>
      </c>
      <c r="CB1024" s="52">
        <f t="shared" ca="1" si="6636"/>
        <v>8197.6555711115943</v>
      </c>
      <c r="CC1024" s="52">
        <f t="shared" ca="1" si="6636"/>
        <v>-134108.31046445749</v>
      </c>
      <c r="CD1024" s="52">
        <f t="shared" ca="1" si="6636"/>
        <v>-95663.876079734298</v>
      </c>
      <c r="CE1024" s="52">
        <f t="shared" ca="1" si="6636"/>
        <v>210734.97962896072</v>
      </c>
      <c r="CF1024" s="52">
        <f t="shared" ref="CF1024:CO1024" ca="1" si="6637">CF1020-CF1023</f>
        <v>8525.5617939558579</v>
      </c>
      <c r="CG1024" s="52">
        <f t="shared" ca="1" si="6637"/>
        <v>-139472.64288303559</v>
      </c>
      <c r="CH1024" s="52">
        <f t="shared" ca="1" si="6637"/>
        <v>-99490.431122923386</v>
      </c>
      <c r="CI1024" s="52">
        <f t="shared" ca="1" si="6637"/>
        <v>219164.37881411868</v>
      </c>
      <c r="CJ1024" s="52">
        <f t="shared" ca="1" si="6637"/>
        <v>8867.1217590287561</v>
      </c>
      <c r="CK1024" s="52">
        <f t="shared" ca="1" si="6637"/>
        <v>-145051.54330221703</v>
      </c>
      <c r="CL1024" s="52">
        <f t="shared" ca="1" si="6637"/>
        <v>-103470.04301951523</v>
      </c>
      <c r="CM1024" s="52">
        <f t="shared" ca="1" si="6637"/>
        <v>227930.95936770795</v>
      </c>
      <c r="CN1024" s="52">
        <f t="shared" ca="1" si="6637"/>
        <v>9220.6940975385951</v>
      </c>
      <c r="CO1024" s="52">
        <f t="shared" ca="1" si="6637"/>
        <v>-150853.61054229108</v>
      </c>
    </row>
    <row r="1025" spans="1:93">
      <c r="A1025" s="10"/>
      <c r="B1025" s="10"/>
      <c r="C1025" s="17"/>
      <c r="D1025" s="10"/>
      <c r="E1025" s="62"/>
      <c r="F1025" s="10"/>
      <c r="G1025" s="11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  <c r="BB1025" s="10"/>
      <c r="BC1025" s="10"/>
      <c r="BD1025" s="10"/>
      <c r="BE1025" s="10"/>
      <c r="BF1025" s="10"/>
      <c r="BG1025" s="10"/>
      <c r="BH1025" s="10"/>
      <c r="BI1025" s="10"/>
      <c r="BJ1025" s="10"/>
      <c r="BK1025" s="10"/>
      <c r="BL1025" s="10"/>
      <c r="BM1025" s="10"/>
      <c r="BN1025" s="10"/>
      <c r="BO1025" s="10"/>
      <c r="BP1025" s="10"/>
      <c r="BQ1025" s="10"/>
      <c r="BR1025" s="10"/>
      <c r="BS1025" s="10"/>
      <c r="BT1025" s="10"/>
      <c r="BU1025" s="10"/>
      <c r="BV1025" s="10"/>
      <c r="BW1025" s="10"/>
      <c r="BX1025" s="10"/>
      <c r="BY1025" s="10"/>
      <c r="BZ1025" s="10"/>
      <c r="CA1025" s="10"/>
      <c r="CB1025" s="10"/>
      <c r="CC1025" s="10"/>
      <c r="CD1025" s="10"/>
      <c r="CE1025" s="10"/>
      <c r="CF1025" s="10"/>
      <c r="CG1025" s="10"/>
      <c r="CH1025" s="10"/>
      <c r="CI1025" s="10"/>
      <c r="CJ1025" s="10"/>
      <c r="CK1025" s="10"/>
      <c r="CL1025" s="10"/>
      <c r="CM1025" s="10"/>
      <c r="CN1025" s="10"/>
      <c r="CO1025" s="10"/>
    </row>
    <row r="1026" spans="1:93">
      <c r="A1026" s="10"/>
      <c r="B1026" s="10"/>
      <c r="C1026" s="41" t="s">
        <v>209</v>
      </c>
      <c r="D1026" s="10"/>
      <c r="E1026" s="62"/>
      <c r="F1026" s="10"/>
      <c r="G1026" s="11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  <c r="BB1026" s="10"/>
      <c r="BC1026" s="10"/>
      <c r="BD1026" s="10"/>
      <c r="BE1026" s="10"/>
      <c r="BF1026" s="10"/>
      <c r="BG1026" s="10"/>
      <c r="BH1026" s="10"/>
      <c r="BI1026" s="10"/>
      <c r="BJ1026" s="10"/>
      <c r="BK1026" s="10"/>
      <c r="BL1026" s="10"/>
      <c r="BM1026" s="10"/>
      <c r="BN1026" s="10"/>
      <c r="BO1026" s="10"/>
      <c r="BP1026" s="10"/>
      <c r="BQ1026" s="10"/>
      <c r="BR1026" s="10"/>
      <c r="BS1026" s="10"/>
      <c r="BT1026" s="10"/>
      <c r="BU1026" s="10"/>
      <c r="BV1026" s="10"/>
      <c r="BW1026" s="10"/>
      <c r="BX1026" s="10"/>
      <c r="BY1026" s="10"/>
      <c r="BZ1026" s="10"/>
      <c r="CA1026" s="10"/>
      <c r="CB1026" s="10"/>
      <c r="CC1026" s="10"/>
      <c r="CD1026" s="10"/>
      <c r="CE1026" s="10"/>
      <c r="CF1026" s="10"/>
      <c r="CG1026" s="10"/>
      <c r="CH1026" s="10"/>
      <c r="CI1026" s="10"/>
      <c r="CJ1026" s="10"/>
      <c r="CK1026" s="10"/>
      <c r="CL1026" s="10"/>
      <c r="CM1026" s="10"/>
      <c r="CN1026" s="10"/>
      <c r="CO1026" s="10"/>
    </row>
    <row r="1027" spans="1:93">
      <c r="A1027" s="10"/>
      <c r="B1027" s="10"/>
      <c r="C1027" s="17" t="s">
        <v>210</v>
      </c>
      <c r="D1027" s="10"/>
      <c r="E1027" s="62"/>
      <c r="F1027" s="10"/>
      <c r="G1027" s="134" t="str">
        <f>Monetary_Unit</f>
        <v>тыс. руб.</v>
      </c>
      <c r="H1027" s="10"/>
      <c r="I1027" s="10"/>
      <c r="J1027" s="10"/>
      <c r="K1027" s="10"/>
      <c r="L1027" s="52">
        <f t="shared" ref="L1027:R1027" ca="1" si="6638">L1007+L1015-L1023</f>
        <v>0</v>
      </c>
      <c r="M1027" s="52">
        <f t="shared" ca="1" si="6638"/>
        <v>0</v>
      </c>
      <c r="N1027" s="52">
        <f t="shared" ca="1" si="6638"/>
        <v>0</v>
      </c>
      <c r="O1027" s="52">
        <f t="shared" ca="1" si="6638"/>
        <v>0</v>
      </c>
      <c r="P1027" s="52">
        <f t="shared" ca="1" si="6638"/>
        <v>0</v>
      </c>
      <c r="Q1027" s="52">
        <f t="shared" ca="1" si="6638"/>
        <v>0</v>
      </c>
      <c r="R1027" s="52">
        <f t="shared" ca="1" si="6638"/>
        <v>0</v>
      </c>
      <c r="S1027" s="52">
        <f t="shared" ref="S1027" ca="1" si="6639">S1007+S1015-S1023</f>
        <v>0</v>
      </c>
      <c r="T1027" s="52">
        <f t="shared" ref="T1027:CE1027" ca="1" si="6640">T1007+T1015-T1023</f>
        <v>0</v>
      </c>
      <c r="U1027" s="52">
        <f t="shared" ca="1" si="6640"/>
        <v>0</v>
      </c>
      <c r="V1027" s="52">
        <f t="shared" ca="1" si="6640"/>
        <v>0</v>
      </c>
      <c r="W1027" s="52">
        <f t="shared" ca="1" si="6640"/>
        <v>0</v>
      </c>
      <c r="X1027" s="52">
        <f t="shared" ca="1" si="6640"/>
        <v>0</v>
      </c>
      <c r="Y1027" s="52">
        <f t="shared" ca="1" si="6640"/>
        <v>0</v>
      </c>
      <c r="Z1027" s="52">
        <f t="shared" ca="1" si="6640"/>
        <v>0</v>
      </c>
      <c r="AA1027" s="52">
        <f t="shared" ca="1" si="6640"/>
        <v>0</v>
      </c>
      <c r="AB1027" s="52">
        <f t="shared" ca="1" si="6640"/>
        <v>0</v>
      </c>
      <c r="AC1027" s="52">
        <f t="shared" ca="1" si="6640"/>
        <v>121828.76625646069</v>
      </c>
      <c r="AD1027" s="52">
        <f t="shared" ca="1" si="6640"/>
        <v>156816.36368310213</v>
      </c>
      <c r="AE1027" s="52">
        <f t="shared" ca="1" si="6640"/>
        <v>92887.292931389995</v>
      </c>
      <c r="AF1027" s="52">
        <f t="shared" ca="1" si="6640"/>
        <v>93180.670658537099</v>
      </c>
      <c r="AG1027" s="52">
        <f t="shared" ca="1" si="6640"/>
        <v>145478.23653452977</v>
      </c>
      <c r="AH1027" s="52">
        <f t="shared" ca="1" si="6640"/>
        <v>186392.96617491503</v>
      </c>
      <c r="AI1027" s="52">
        <f t="shared" ca="1" si="6640"/>
        <v>109932.68568897556</v>
      </c>
      <c r="AJ1027" s="52">
        <f t="shared" ca="1" si="6640"/>
        <v>109834.2014369758</v>
      </c>
      <c r="AK1027" s="52">
        <f t="shared" ca="1" si="6640"/>
        <v>170824.73840883392</v>
      </c>
      <c r="AL1027" s="52">
        <f t="shared" ca="1" si="6640"/>
        <v>218084.79068417952</v>
      </c>
      <c r="AM1027" s="52">
        <f t="shared" ca="1" si="6640"/>
        <v>128193.09019847814</v>
      </c>
      <c r="AN1027" s="52">
        <f t="shared" ca="1" si="6640"/>
        <v>127671.03751021525</v>
      </c>
      <c r="AO1027" s="52">
        <f t="shared" ca="1" si="6640"/>
        <v>197966.30826285778</v>
      </c>
      <c r="AP1027" s="52">
        <f t="shared" ca="1" si="6640"/>
        <v>245712.45900586236</v>
      </c>
      <c r="AQ1027" s="52">
        <f t="shared" ca="1" si="6640"/>
        <v>140529.73953526217</v>
      </c>
      <c r="AR1027" s="52">
        <f t="shared" ca="1" si="6640"/>
        <v>136273.0352174681</v>
      </c>
      <c r="AS1027" s="52">
        <f t="shared" ca="1" si="6640"/>
        <v>205884.84306481201</v>
      </c>
      <c r="AT1027" s="52">
        <f t="shared" ca="1" si="6640"/>
        <v>255540.83867948037</v>
      </c>
      <c r="AU1027" s="52">
        <f t="shared" ca="1" si="6640"/>
        <v>146150.80926058872</v>
      </c>
      <c r="AV1027" s="52">
        <f t="shared" ca="1" si="6640"/>
        <v>141723.95662616711</v>
      </c>
      <c r="AW1027" s="52">
        <f t="shared" ca="1" si="6640"/>
        <v>168862.69708706206</v>
      </c>
      <c r="AX1027" s="52">
        <f t="shared" ca="1" si="6640"/>
        <v>209591.75452593062</v>
      </c>
      <c r="AY1027" s="52">
        <f t="shared" ca="1" si="6640"/>
        <v>119867.08790436445</v>
      </c>
      <c r="AZ1027" s="52">
        <f t="shared" ca="1" si="6640"/>
        <v>116235.9722162371</v>
      </c>
      <c r="BA1027" s="52">
        <f t="shared" ca="1" si="6640"/>
        <v>175617.20497054461</v>
      </c>
      <c r="BB1027" s="52">
        <f t="shared" ca="1" si="6640"/>
        <v>217975.42470696778</v>
      </c>
      <c r="BC1027" s="52">
        <f t="shared" ca="1" si="6640"/>
        <v>124661.77142053901</v>
      </c>
      <c r="BD1027" s="52">
        <f t="shared" ca="1" si="6640"/>
        <v>120885.54201858677</v>
      </c>
      <c r="BE1027" s="52">
        <f t="shared" ca="1" si="6640"/>
        <v>182642.02537301229</v>
      </c>
      <c r="BF1027" s="52">
        <f t="shared" ca="1" si="6640"/>
        <v>226694.57520154875</v>
      </c>
      <c r="BG1027" s="52">
        <f t="shared" ca="1" si="6640"/>
        <v>129648.37709915452</v>
      </c>
      <c r="BH1027" s="52">
        <f t="shared" ca="1" si="6640"/>
        <v>125720.82754908205</v>
      </c>
      <c r="BI1027" s="52">
        <f t="shared" ca="1" si="6640"/>
        <v>189947.56889614079</v>
      </c>
      <c r="BJ1027" s="52">
        <f t="shared" ca="1" si="6640"/>
        <v>235762.21936305624</v>
      </c>
      <c r="BK1027" s="52">
        <f t="shared" ca="1" si="6640"/>
        <v>134834.17196845484</v>
      </c>
      <c r="BL1027" s="52">
        <f t="shared" ca="1" si="6640"/>
        <v>130749.66065104539</v>
      </c>
      <c r="BM1027" s="52">
        <f t="shared" ca="1" si="6640"/>
        <v>197545.47165198671</v>
      </c>
      <c r="BN1027" s="52">
        <f t="shared" ca="1" si="6640"/>
        <v>245192.70813757833</v>
      </c>
      <c r="BO1027" s="52">
        <f t="shared" ca="1" si="6640"/>
        <v>140227.53884719324</v>
      </c>
      <c r="BP1027" s="52">
        <f t="shared" ca="1" si="6640"/>
        <v>135979.6470770872</v>
      </c>
      <c r="BQ1027" s="52">
        <f t="shared" ca="1" si="6640"/>
        <v>205447.29051806591</v>
      </c>
      <c r="BR1027" s="52">
        <f t="shared" ca="1" si="6640"/>
        <v>255000.41646308149</v>
      </c>
      <c r="BS1027" s="52">
        <f t="shared" ca="1" si="6640"/>
        <v>145836.64040108072</v>
      </c>
      <c r="BT1027" s="52">
        <f t="shared" ca="1" si="6640"/>
        <v>141418.98611068324</v>
      </c>
      <c r="BU1027" s="52">
        <f t="shared" ca="1" si="6640"/>
        <v>213665.33679835522</v>
      </c>
      <c r="BV1027" s="52">
        <f t="shared" ca="1" si="6640"/>
        <v>265200.58930509491</v>
      </c>
      <c r="BW1027" s="52">
        <f t="shared" ca="1" si="6640"/>
        <v>151670.26373955375</v>
      </c>
      <c r="BX1027" s="52">
        <f t="shared" ca="1" si="6640"/>
        <v>147075.58627857734</v>
      </c>
      <c r="BY1027" s="52">
        <f t="shared" ca="1" si="6640"/>
        <v>222211.78942433989</v>
      </c>
      <c r="BZ1027" s="52">
        <f t="shared" ca="1" si="6640"/>
        <v>275808.45044646878</v>
      </c>
      <c r="CA1027" s="52">
        <f t="shared" ca="1" si="6640"/>
        <v>157736.91025780898</v>
      </c>
      <c r="CB1027" s="52">
        <f t="shared" ca="1" si="6640"/>
        <v>152958.60972972051</v>
      </c>
      <c r="CC1027" s="52">
        <f t="shared" ca="1" si="6640"/>
        <v>231100.26100131345</v>
      </c>
      <c r="CD1027" s="52">
        <f t="shared" ca="1" si="6640"/>
        <v>286840.78846432723</v>
      </c>
      <c r="CE1027" s="52">
        <f t="shared" ca="1" si="6640"/>
        <v>164046.38666812144</v>
      </c>
      <c r="CF1027" s="52">
        <f t="shared" ref="CF1027:CO1027" ca="1" si="6641">CF1007+CF1015-CF1023</f>
        <v>159076.9541189092</v>
      </c>
      <c r="CG1027" s="52">
        <f t="shared" ca="1" si="6641"/>
        <v>240344.27144136617</v>
      </c>
      <c r="CH1027" s="52">
        <f t="shared" ca="1" si="6641"/>
        <v>298314.42000290076</v>
      </c>
      <c r="CI1027" s="52">
        <f t="shared" ca="1" si="6641"/>
        <v>170608.24213484605</v>
      </c>
      <c r="CJ1027" s="52">
        <f t="shared" ca="1" si="6641"/>
        <v>165440.21144810377</v>
      </c>
      <c r="CK1027" s="52">
        <f t="shared" ca="1" si="6641"/>
        <v>249958.22322883899</v>
      </c>
      <c r="CL1027" s="52">
        <f t="shared" ca="1" si="6641"/>
        <v>310247.17951560975</v>
      </c>
      <c r="CM1027" s="52">
        <f t="shared" ca="1" si="6641"/>
        <v>177432.75633317465</v>
      </c>
      <c r="CN1027" s="52">
        <f t="shared" ca="1" si="6641"/>
        <v>172057.63357501233</v>
      </c>
      <c r="CO1027" s="52">
        <f t="shared" ca="1" si="6641"/>
        <v>259956.36399098195</v>
      </c>
    </row>
    <row r="1028" spans="1:93">
      <c r="A1028" s="10"/>
      <c r="B1028" s="10"/>
      <c r="C1028" s="17" t="s">
        <v>211</v>
      </c>
      <c r="D1028" s="10"/>
      <c r="E1028" s="62"/>
      <c r="F1028" s="10"/>
      <c r="G1028" s="134" t="str">
        <f>Monetary_Unit</f>
        <v>тыс. руб.</v>
      </c>
      <c r="H1028" s="10"/>
      <c r="I1028" s="23">
        <f ca="1">SUM(L1028:CO1028)</f>
        <v>-259956.36399098195</v>
      </c>
      <c r="J1028" s="10"/>
      <c r="K1028" s="10"/>
      <c r="L1028" s="52">
        <f t="shared" ref="L1028:R1028" ca="1" si="6642" xml:space="preserve"> (L1008+L1016-L1024) * Flag_Forecast</f>
        <v>0</v>
      </c>
      <c r="M1028" s="52">
        <f t="shared" ca="1" si="6642"/>
        <v>0</v>
      </c>
      <c r="N1028" s="52">
        <f t="shared" ca="1" si="6642"/>
        <v>0</v>
      </c>
      <c r="O1028" s="52">
        <f t="shared" ca="1" si="6642"/>
        <v>0</v>
      </c>
      <c r="P1028" s="52">
        <f t="shared" ca="1" si="6642"/>
        <v>0</v>
      </c>
      <c r="Q1028" s="52">
        <f t="shared" ca="1" si="6642"/>
        <v>0</v>
      </c>
      <c r="R1028" s="52">
        <f t="shared" ca="1" si="6642"/>
        <v>0</v>
      </c>
      <c r="S1028" s="52">
        <f t="shared" ref="S1028" ca="1" si="6643" xml:space="preserve"> (S1008+S1016-S1024) * Flag_Forecast</f>
        <v>0</v>
      </c>
      <c r="T1028" s="52">
        <f t="shared" ref="T1028:CE1028" ca="1" si="6644" xml:space="preserve"> (T1008+T1016-T1024) * Flag_Forecast</f>
        <v>0</v>
      </c>
      <c r="U1028" s="52">
        <f t="shared" ca="1" si="6644"/>
        <v>0</v>
      </c>
      <c r="V1028" s="52">
        <f t="shared" ca="1" si="6644"/>
        <v>0</v>
      </c>
      <c r="W1028" s="52">
        <f t="shared" ca="1" si="6644"/>
        <v>0</v>
      </c>
      <c r="X1028" s="52">
        <f t="shared" ca="1" si="6644"/>
        <v>0</v>
      </c>
      <c r="Y1028" s="52">
        <f t="shared" ca="1" si="6644"/>
        <v>0</v>
      </c>
      <c r="Z1028" s="52">
        <f t="shared" ca="1" si="6644"/>
        <v>0</v>
      </c>
      <c r="AA1028" s="52">
        <f t="shared" ca="1" si="6644"/>
        <v>0</v>
      </c>
      <c r="AB1028" s="52">
        <f t="shared" ca="1" si="6644"/>
        <v>0</v>
      </c>
      <c r="AC1028" s="52">
        <f t="shared" ca="1" si="6644"/>
        <v>-121828.76625646069</v>
      </c>
      <c r="AD1028" s="52">
        <f t="shared" ca="1" si="6644"/>
        <v>-34987.597426641441</v>
      </c>
      <c r="AE1028" s="52">
        <f t="shared" ca="1" si="6644"/>
        <v>63929.070751712134</v>
      </c>
      <c r="AF1028" s="52">
        <f t="shared" ca="1" si="6644"/>
        <v>-293.37772714710445</v>
      </c>
      <c r="AG1028" s="52">
        <f t="shared" ca="1" si="6644"/>
        <v>-52297.565875992674</v>
      </c>
      <c r="AH1028" s="52">
        <f t="shared" ca="1" si="6644"/>
        <v>-40914.729640385252</v>
      </c>
      <c r="AI1028" s="52">
        <f t="shared" ca="1" si="6644"/>
        <v>76460.280485939467</v>
      </c>
      <c r="AJ1028" s="52">
        <f t="shared" ca="1" si="6644"/>
        <v>98.484251999761909</v>
      </c>
      <c r="AK1028" s="52">
        <f t="shared" ca="1" si="6644"/>
        <v>-60990.536971858121</v>
      </c>
      <c r="AL1028" s="52">
        <f t="shared" ca="1" si="6644"/>
        <v>-47260.052275345603</v>
      </c>
      <c r="AM1028" s="52">
        <f t="shared" ca="1" si="6644"/>
        <v>89891.700485701382</v>
      </c>
      <c r="AN1028" s="52">
        <f t="shared" ca="1" si="6644"/>
        <v>522.05268826289102</v>
      </c>
      <c r="AO1028" s="52">
        <f t="shared" ca="1" si="6644"/>
        <v>-70295.270752642537</v>
      </c>
      <c r="AP1028" s="52">
        <f t="shared" ca="1" si="6644"/>
        <v>-47746.150743004575</v>
      </c>
      <c r="AQ1028" s="52">
        <f t="shared" ca="1" si="6644"/>
        <v>105182.71947060019</v>
      </c>
      <c r="AR1028" s="52">
        <f t="shared" ca="1" si="6644"/>
        <v>4256.704317794065</v>
      </c>
      <c r="AS1028" s="52">
        <f t="shared" ca="1" si="6644"/>
        <v>-69611.807847343909</v>
      </c>
      <c r="AT1028" s="52">
        <f t="shared" ca="1" si="6644"/>
        <v>-49655.995614668354</v>
      </c>
      <c r="AU1028" s="52">
        <f t="shared" ca="1" si="6644"/>
        <v>109390.02941889165</v>
      </c>
      <c r="AV1028" s="52">
        <f t="shared" ca="1" si="6644"/>
        <v>4426.8526344216079</v>
      </c>
      <c r="AW1028" s="52">
        <f t="shared" ca="1" si="6644"/>
        <v>-27138.740460894944</v>
      </c>
      <c r="AX1028" s="52">
        <f t="shared" ca="1" si="6644"/>
        <v>-40729.057438868564</v>
      </c>
      <c r="AY1028" s="52">
        <f t="shared" ca="1" si="6644"/>
        <v>89724.666621566168</v>
      </c>
      <c r="AZ1028" s="52">
        <f t="shared" ca="1" si="6644"/>
        <v>3631.1156881273491</v>
      </c>
      <c r="BA1028" s="52">
        <f t="shared" ca="1" si="6644"/>
        <v>-59381.232754307508</v>
      </c>
      <c r="BB1028" s="52">
        <f t="shared" ca="1" si="6644"/>
        <v>-42358.219736423169</v>
      </c>
      <c r="BC1028" s="52">
        <f t="shared" ca="1" si="6644"/>
        <v>93313.653286428773</v>
      </c>
      <c r="BD1028" s="52">
        <f t="shared" ca="1" si="6644"/>
        <v>3776.2294019522378</v>
      </c>
      <c r="BE1028" s="52">
        <f t="shared" ca="1" si="6644"/>
        <v>-61756.483354425523</v>
      </c>
      <c r="BF1028" s="52">
        <f t="shared" ca="1" si="6644"/>
        <v>-44052.549828536459</v>
      </c>
      <c r="BG1028" s="52">
        <f t="shared" ca="1" si="6644"/>
        <v>97046.198102394235</v>
      </c>
      <c r="BH1028" s="52">
        <f t="shared" ca="1" si="6644"/>
        <v>3927.5495500724646</v>
      </c>
      <c r="BI1028" s="52">
        <f t="shared" ca="1" si="6644"/>
        <v>-64226.741347058734</v>
      </c>
      <c r="BJ1028" s="52">
        <f t="shared" ca="1" si="6644"/>
        <v>-45814.650466915453</v>
      </c>
      <c r="BK1028" s="52">
        <f t="shared" ca="1" si="6644"/>
        <v>100928.0473946014</v>
      </c>
      <c r="BL1028" s="52">
        <f t="shared" ca="1" si="6644"/>
        <v>4084.5113174094586</v>
      </c>
      <c r="BM1028" s="52">
        <f t="shared" ca="1" si="6644"/>
        <v>-66795.811000941321</v>
      </c>
      <c r="BN1028" s="52">
        <f t="shared" ca="1" si="6644"/>
        <v>-47647.236485591624</v>
      </c>
      <c r="BO1028" s="52">
        <f t="shared" ca="1" si="6644"/>
        <v>104965.16929038509</v>
      </c>
      <c r="BP1028" s="52">
        <f t="shared" ca="1" si="6644"/>
        <v>4247.8917701060418</v>
      </c>
      <c r="BQ1028" s="52">
        <f t="shared" ca="1" si="6644"/>
        <v>-69467.643440978718</v>
      </c>
      <c r="BR1028" s="52">
        <f t="shared" ca="1" si="6644"/>
        <v>-49553.125945015578</v>
      </c>
      <c r="BS1028" s="52">
        <f t="shared" ca="1" si="6644"/>
        <v>109163.77606200078</v>
      </c>
      <c r="BT1028" s="52">
        <f t="shared" ca="1" si="6644"/>
        <v>4417.6542903974769</v>
      </c>
      <c r="BU1028" s="52">
        <f t="shared" ca="1" si="6644"/>
        <v>-72246.350687671977</v>
      </c>
      <c r="BV1028" s="52">
        <f t="shared" ca="1" si="6644"/>
        <v>-51535.252506739693</v>
      </c>
      <c r="BW1028" s="52">
        <f t="shared" ca="1" si="6644"/>
        <v>113530.32556554116</v>
      </c>
      <c r="BX1028" s="52">
        <f t="shared" ca="1" si="6644"/>
        <v>4594.6774609764107</v>
      </c>
      <c r="BY1028" s="52">
        <f t="shared" ca="1" si="6644"/>
        <v>-75136.203145762556</v>
      </c>
      <c r="BZ1028" s="52">
        <f t="shared" ca="1" si="6644"/>
        <v>-53596.661022128887</v>
      </c>
      <c r="CA1028" s="52">
        <f t="shared" ca="1" si="6644"/>
        <v>118071.5401886598</v>
      </c>
      <c r="CB1028" s="52">
        <f t="shared" ca="1" si="6644"/>
        <v>4778.3005280884681</v>
      </c>
      <c r="CC1028" s="52">
        <f t="shared" ca="1" si="6644"/>
        <v>-78141.651271592942</v>
      </c>
      <c r="CD1028" s="52">
        <f t="shared" ca="1" si="6644"/>
        <v>-55740.527463013772</v>
      </c>
      <c r="CE1028" s="52">
        <f t="shared" ca="1" si="6644"/>
        <v>122794.40179620578</v>
      </c>
      <c r="CF1028" s="52">
        <f t="shared" ref="CF1028:CO1028" ca="1" si="6645" xml:space="preserve"> (CF1008+CF1016-CF1024) * Flag_Forecast</f>
        <v>4969.4325492122443</v>
      </c>
      <c r="CG1028" s="52">
        <f t="shared" ca="1" si="6645"/>
        <v>-81267.317322456976</v>
      </c>
      <c r="CH1028" s="52">
        <f t="shared" ca="1" si="6645"/>
        <v>-57970.148561534588</v>
      </c>
      <c r="CI1028" s="52">
        <f t="shared" ca="1" si="6645"/>
        <v>127706.17786805471</v>
      </c>
      <c r="CJ1028" s="52">
        <f t="shared" ca="1" si="6645"/>
        <v>5168.0306867422769</v>
      </c>
      <c r="CK1028" s="52">
        <f t="shared" ca="1" si="6645"/>
        <v>-84518.011780735222</v>
      </c>
      <c r="CL1028" s="52">
        <f t="shared" ca="1" si="6645"/>
        <v>-60288.956286770757</v>
      </c>
      <c r="CM1028" s="52">
        <f t="shared" ca="1" si="6645"/>
        <v>132814.4231824351</v>
      </c>
      <c r="CN1028" s="52">
        <f t="shared" ca="1" si="6645"/>
        <v>5375.1227581623243</v>
      </c>
      <c r="CO1028" s="52">
        <f t="shared" ca="1" si="6645"/>
        <v>-87898.730415969621</v>
      </c>
    </row>
    <row r="1029" spans="1:93"/>
    <row r="1030" spans="1:93" ht="22.5" customHeight="1">
      <c r="A1030" s="10"/>
      <c r="B1030" s="5" t="s">
        <v>498</v>
      </c>
      <c r="C1030" s="5"/>
      <c r="D1030" s="15"/>
      <c r="E1030" s="15"/>
      <c r="F1030" s="31"/>
      <c r="G1030" s="18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31"/>
      <c r="BO1030" s="31"/>
      <c r="BP1030" s="31"/>
      <c r="BQ1030" s="31"/>
      <c r="BR1030" s="31"/>
      <c r="BS1030" s="31"/>
      <c r="BT1030" s="31"/>
      <c r="BU1030" s="31"/>
      <c r="BV1030" s="31"/>
      <c r="BW1030" s="31"/>
      <c r="BX1030" s="31"/>
      <c r="BY1030" s="31"/>
      <c r="BZ1030" s="31"/>
      <c r="CA1030" s="31"/>
      <c r="CB1030" s="31"/>
      <c r="CC1030" s="31"/>
      <c r="CD1030" s="31"/>
      <c r="CE1030" s="31"/>
      <c r="CF1030" s="31"/>
      <c r="CG1030" s="31"/>
      <c r="CH1030" s="31"/>
      <c r="CI1030" s="31"/>
      <c r="CJ1030" s="31"/>
      <c r="CK1030" s="31"/>
      <c r="CL1030" s="31"/>
      <c r="CM1030" s="31"/>
      <c r="CN1030" s="31"/>
      <c r="CO1030" s="31"/>
    </row>
    <row r="1031" spans="1:93">
      <c r="A1031" s="10"/>
      <c r="B1031" s="10"/>
      <c r="C1031" s="10"/>
      <c r="D1031" s="10"/>
      <c r="E1031" s="10"/>
      <c r="F1031" s="10"/>
      <c r="G1031" s="11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  <c r="BB1031" s="10"/>
      <c r="BC1031" s="10"/>
      <c r="BD1031" s="10"/>
      <c r="BE1031" s="10"/>
      <c r="BF1031" s="10"/>
      <c r="BG1031" s="10"/>
      <c r="BH1031" s="10"/>
      <c r="BI1031" s="10"/>
      <c r="BJ1031" s="10"/>
      <c r="BK1031" s="10"/>
      <c r="BL1031" s="10"/>
      <c r="BM1031" s="10"/>
      <c r="BN1031" s="10"/>
      <c r="BO1031" s="10"/>
      <c r="BP1031" s="10"/>
      <c r="BQ1031" s="10"/>
      <c r="BR1031" s="10"/>
      <c r="BS1031" s="10"/>
      <c r="BT1031" s="10"/>
      <c r="BU1031" s="10"/>
      <c r="BV1031" s="10"/>
      <c r="BW1031" s="10"/>
      <c r="BX1031" s="10"/>
      <c r="BY1031" s="10"/>
      <c r="BZ1031" s="10"/>
      <c r="CA1031" s="10"/>
      <c r="CB1031" s="10"/>
      <c r="CC1031" s="10"/>
      <c r="CD1031" s="10"/>
      <c r="CE1031" s="10"/>
      <c r="CF1031" s="10"/>
      <c r="CG1031" s="10"/>
      <c r="CH1031" s="10"/>
      <c r="CI1031" s="10"/>
      <c r="CJ1031" s="10"/>
      <c r="CK1031" s="10"/>
      <c r="CL1031" s="10"/>
      <c r="CM1031" s="10"/>
      <c r="CN1031" s="10"/>
      <c r="CO1031" s="10"/>
    </row>
    <row r="1032" spans="1:93">
      <c r="A1032" s="10"/>
      <c r="B1032" s="10"/>
      <c r="C1032" s="87" t="s">
        <v>398</v>
      </c>
      <c r="D1032" s="10"/>
      <c r="E1032" s="62"/>
      <c r="F1032" s="10"/>
      <c r="G1032" s="11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  <c r="BB1032" s="10"/>
      <c r="BC1032" s="10"/>
      <c r="BD1032" s="10"/>
      <c r="BE1032" s="10"/>
      <c r="BF1032" s="10"/>
      <c r="BG1032" s="10"/>
      <c r="BH1032" s="10"/>
      <c r="BI1032" s="10"/>
      <c r="BJ1032" s="10"/>
      <c r="BK1032" s="10"/>
      <c r="BL1032" s="10"/>
      <c r="BM1032" s="10"/>
      <c r="BN1032" s="10"/>
      <c r="BO1032" s="10"/>
      <c r="BP1032" s="10"/>
      <c r="BQ1032" s="10"/>
      <c r="BR1032" s="10"/>
      <c r="BS1032" s="10"/>
      <c r="BT1032" s="10"/>
      <c r="BU1032" s="10"/>
      <c r="BV1032" s="10"/>
      <c r="BW1032" s="10"/>
      <c r="BX1032" s="10"/>
      <c r="BY1032" s="10"/>
      <c r="BZ1032" s="10"/>
      <c r="CA1032" s="10"/>
      <c r="CB1032" s="10"/>
      <c r="CC1032" s="10"/>
      <c r="CD1032" s="10"/>
      <c r="CE1032" s="10"/>
      <c r="CF1032" s="10"/>
      <c r="CG1032" s="10"/>
      <c r="CH1032" s="10"/>
      <c r="CI1032" s="10"/>
      <c r="CJ1032" s="10"/>
      <c r="CK1032" s="10"/>
      <c r="CL1032" s="10"/>
      <c r="CM1032" s="10"/>
      <c r="CN1032" s="10"/>
      <c r="CO1032" s="10"/>
    </row>
    <row r="1033" spans="1:93">
      <c r="A1033" s="10"/>
      <c r="B1033" s="10"/>
      <c r="C1033" s="17" t="s">
        <v>501</v>
      </c>
      <c r="D1033" s="10"/>
      <c r="E1033" s="62"/>
      <c r="F1033" s="10"/>
      <c r="G1033" s="134" t="str">
        <f t="shared" ref="G1033:G1038" si="6646">Monetary_Unit</f>
        <v>тыс. руб.</v>
      </c>
      <c r="H1033" s="10"/>
      <c r="I1033" s="23">
        <f t="shared" ref="I1033:I1038" ca="1" si="6647">SUM(L1033:CO1033)</f>
        <v>8693861.2963201944</v>
      </c>
      <c r="J1033" s="10"/>
      <c r="K1033" s="10"/>
      <c r="L1033" s="452">
        <f t="shared" ref="L1033:AQ1033" ca="1" si="6648" xml:space="preserve"> Revenue_for_VAT * VAT_Rate_Periods + Revenue_for_VAT_Zero * VAT_Rate_Zero_Periods</f>
        <v>0</v>
      </c>
      <c r="M1033" s="452">
        <f t="shared" ca="1" si="6648"/>
        <v>0</v>
      </c>
      <c r="N1033" s="452">
        <f t="shared" ca="1" si="6648"/>
        <v>0</v>
      </c>
      <c r="O1033" s="452">
        <f t="shared" ca="1" si="6648"/>
        <v>0</v>
      </c>
      <c r="P1033" s="452">
        <f t="shared" ca="1" si="6648"/>
        <v>0</v>
      </c>
      <c r="Q1033" s="452">
        <f t="shared" ca="1" si="6648"/>
        <v>0</v>
      </c>
      <c r="R1033" s="452">
        <f t="shared" ca="1" si="6648"/>
        <v>0</v>
      </c>
      <c r="S1033" s="452">
        <f t="shared" ca="1" si="6648"/>
        <v>0</v>
      </c>
      <c r="T1033" s="452">
        <f t="shared" ca="1" si="6648"/>
        <v>0</v>
      </c>
      <c r="U1033" s="452">
        <f t="shared" ca="1" si="6648"/>
        <v>0</v>
      </c>
      <c r="V1033" s="452">
        <f t="shared" ca="1" si="6648"/>
        <v>0</v>
      </c>
      <c r="W1033" s="452">
        <f t="shared" ca="1" si="6648"/>
        <v>0</v>
      </c>
      <c r="X1033" s="452">
        <f t="shared" ca="1" si="6648"/>
        <v>0</v>
      </c>
      <c r="Y1033" s="452">
        <f t="shared" ca="1" si="6648"/>
        <v>0</v>
      </c>
      <c r="Z1033" s="452">
        <f t="shared" ca="1" si="6648"/>
        <v>0</v>
      </c>
      <c r="AA1033" s="452">
        <f t="shared" ca="1" si="6648"/>
        <v>0</v>
      </c>
      <c r="AB1033" s="452">
        <f t="shared" ca="1" si="6648"/>
        <v>0</v>
      </c>
      <c r="AC1033" s="452">
        <f t="shared" ca="1" si="6648"/>
        <v>19544.280403494056</v>
      </c>
      <c r="AD1033" s="452">
        <f t="shared" ca="1" si="6648"/>
        <v>25431.935822967767</v>
      </c>
      <c r="AE1033" s="452">
        <f t="shared" ca="1" si="6648"/>
        <v>15066.653802853893</v>
      </c>
      <c r="AF1033" s="452">
        <f t="shared" ca="1" si="6648"/>
        <v>14785.71009692097</v>
      </c>
      <c r="AG1033" s="452">
        <f t="shared" ca="1" si="6648"/>
        <v>23337.318526246261</v>
      </c>
      <c r="AH1033" s="452">
        <f t="shared" ca="1" si="6648"/>
        <v>30227.672292441712</v>
      </c>
      <c r="AI1033" s="452">
        <f t="shared" ca="1" si="6648"/>
        <v>17830.605465998127</v>
      </c>
      <c r="AJ1033" s="452">
        <f t="shared" ca="1" si="6648"/>
        <v>17427.42363423753</v>
      </c>
      <c r="AK1033" s="452">
        <f t="shared" ca="1" si="6648"/>
        <v>27402.528850173043</v>
      </c>
      <c r="AL1033" s="452">
        <f t="shared" ca="1" si="6648"/>
        <v>35366.376582156801</v>
      </c>
      <c r="AM1033" s="452">
        <f t="shared" ca="1" si="6648"/>
        <v>20791.56661610934</v>
      </c>
      <c r="AN1033" s="452">
        <f t="shared" ca="1" si="6648"/>
        <v>20481.892864144131</v>
      </c>
      <c r="AO1033" s="452">
        <f t="shared" ca="1" si="6648"/>
        <v>31755.616290371912</v>
      </c>
      <c r="AP1033" s="452">
        <f t="shared" ca="1" si="6648"/>
        <v>39846.117615896626</v>
      </c>
      <c r="AQ1033" s="452">
        <f t="shared" ca="1" si="6648"/>
        <v>22792.052485118751</v>
      </c>
      <c r="AR1033" s="452">
        <f t="shared" ref="AR1033:BW1033" ca="1" si="6649" xml:space="preserve"> Revenue_for_VAT * VAT_Rate_Periods + Revenue_for_VAT_Zero * VAT_Rate_Zero_Periods</f>
        <v>21621.486903201778</v>
      </c>
      <c r="AS1033" s="452">
        <f t="shared" ca="1" si="6649"/>
        <v>33025.840941986789</v>
      </c>
      <c r="AT1033" s="452">
        <f t="shared" ca="1" si="6649"/>
        <v>41439.962320532468</v>
      </c>
      <c r="AU1033" s="452">
        <f t="shared" ca="1" si="6649"/>
        <v>23703.734584523507</v>
      </c>
      <c r="AV1033" s="452">
        <f t="shared" ca="1" si="6649"/>
        <v>22486.346379329847</v>
      </c>
      <c r="AW1033" s="452">
        <f t="shared" ca="1" si="6649"/>
        <v>161089.94383122979</v>
      </c>
      <c r="AX1033" s="452">
        <f t="shared" ca="1" si="6649"/>
        <v>202131.45258917549</v>
      </c>
      <c r="AY1033" s="452">
        <f t="shared" ca="1" si="6649"/>
        <v>115619.56225486376</v>
      </c>
      <c r="AZ1033" s="452">
        <f t="shared" ca="1" si="6649"/>
        <v>109681.51519831992</v>
      </c>
      <c r="BA1033" s="452">
        <f t="shared" ca="1" si="6649"/>
        <v>167533.54158447892</v>
      </c>
      <c r="BB1033" s="452">
        <f t="shared" ca="1" si="6649"/>
        <v>210216.71069274243</v>
      </c>
      <c r="BC1033" s="452">
        <f t="shared" ca="1" si="6649"/>
        <v>120244.34474505829</v>
      </c>
      <c r="BD1033" s="452">
        <f t="shared" ca="1" si="6649"/>
        <v>115336.20664854438</v>
      </c>
      <c r="BE1033" s="452">
        <f t="shared" ca="1" si="6649"/>
        <v>174234.883247858</v>
      </c>
      <c r="BF1033" s="452">
        <f t="shared" ca="1" si="6649"/>
        <v>218625.37912045213</v>
      </c>
      <c r="BG1033" s="452">
        <f t="shared" ca="1" si="6649"/>
        <v>125054.11853486061</v>
      </c>
      <c r="BH1033" s="452">
        <f t="shared" ca="1" si="6649"/>
        <v>118631.52683850277</v>
      </c>
      <c r="BI1033" s="452">
        <f t="shared" ca="1" si="6649"/>
        <v>181204.27857777235</v>
      </c>
      <c r="BJ1033" s="452">
        <f t="shared" ca="1" si="6649"/>
        <v>227370.39428527016</v>
      </c>
      <c r="BK1033" s="452">
        <f t="shared" ca="1" si="6649"/>
        <v>130056.28327625502</v>
      </c>
      <c r="BL1033" s="452">
        <f t="shared" ca="1" si="6649"/>
        <v>123376.78791204288</v>
      </c>
      <c r="BM1033" s="452">
        <f t="shared" ca="1" si="6649"/>
        <v>188452.44972088322</v>
      </c>
      <c r="BN1033" s="452">
        <f t="shared" ca="1" si="6649"/>
        <v>236465.21005668098</v>
      </c>
      <c r="BO1033" s="452">
        <f t="shared" ca="1" si="6649"/>
        <v>135258.53460730519</v>
      </c>
      <c r="BP1033" s="452">
        <f t="shared" ca="1" si="6649"/>
        <v>128311.85942852458</v>
      </c>
      <c r="BQ1033" s="452">
        <f t="shared" ca="1" si="6649"/>
        <v>195990.54770971849</v>
      </c>
      <c r="BR1033" s="452">
        <f t="shared" ca="1" si="6649"/>
        <v>245923.81845894817</v>
      </c>
      <c r="BS1033" s="452">
        <f t="shared" ca="1" si="6649"/>
        <v>140668.87599159734</v>
      </c>
      <c r="BT1033" s="452">
        <f t="shared" ca="1" si="6649"/>
        <v>134927.04862572849</v>
      </c>
      <c r="BU1033" s="452">
        <f t="shared" ca="1" si="6649"/>
        <v>203830.1696181072</v>
      </c>
      <c r="BV1033" s="452">
        <f t="shared" ca="1" si="6649"/>
        <v>255760.77119730599</v>
      </c>
      <c r="BW1033" s="452">
        <f t="shared" ca="1" si="6649"/>
        <v>146295.6310312612</v>
      </c>
      <c r="BX1033" s="452">
        <f t="shared" ref="BX1033:CO1033" ca="1" si="6650" xml:space="preserve"> Revenue_for_VAT * VAT_Rate_Periods + Revenue_for_VAT_Zero * VAT_Rate_Zero_Periods</f>
        <v>138782.10715789214</v>
      </c>
      <c r="BY1033" s="452">
        <f t="shared" ca="1" si="6650"/>
        <v>211983.3764028314</v>
      </c>
      <c r="BZ1033" s="452">
        <f t="shared" ca="1" si="6650"/>
        <v>265991.20204519818</v>
      </c>
      <c r="CA1033" s="452">
        <f t="shared" ca="1" si="6650"/>
        <v>152147.45627251166</v>
      </c>
      <c r="CB1033" s="452">
        <f t="shared" ca="1" si="6650"/>
        <v>144333.39144420781</v>
      </c>
      <c r="CC1033" s="452">
        <f t="shared" ca="1" si="6650"/>
        <v>220462.71145894474</v>
      </c>
      <c r="CD1033" s="452">
        <f t="shared" ca="1" si="6650"/>
        <v>276630.85012700618</v>
      </c>
      <c r="CE1033" s="452">
        <f t="shared" ca="1" si="6650"/>
        <v>158233.35452341213</v>
      </c>
      <c r="CF1033" s="452">
        <f t="shared" ca="1" si="6650"/>
        <v>150106.72710197611</v>
      </c>
      <c r="CG1033" s="452">
        <f t="shared" ca="1" si="6650"/>
        <v>229281.21991730249</v>
      </c>
      <c r="CH1033" s="452">
        <f t="shared" ca="1" si="6650"/>
        <v>287696.08413208631</v>
      </c>
      <c r="CI1033" s="452">
        <f t="shared" ca="1" si="6650"/>
        <v>164562.68870434863</v>
      </c>
      <c r="CJ1033" s="452">
        <f t="shared" ca="1" si="6650"/>
        <v>157845.56281034462</v>
      </c>
      <c r="CK1033" s="452">
        <f t="shared" ca="1" si="6650"/>
        <v>238452.46871399455</v>
      </c>
      <c r="CL1033" s="452">
        <f t="shared" ca="1" si="6650"/>
        <v>299203.92749736976</v>
      </c>
      <c r="CM1033" s="452">
        <f t="shared" ca="1" si="6650"/>
        <v>171145.19625252252</v>
      </c>
      <c r="CN1033" s="452">
        <f t="shared" ca="1" si="6650"/>
        <v>162355.43603349733</v>
      </c>
      <c r="CO1033" s="452">
        <f t="shared" ca="1" si="6650"/>
        <v>247990.56746255432</v>
      </c>
    </row>
    <row r="1034" spans="1:93">
      <c r="A1034" s="10"/>
      <c r="B1034" s="10"/>
      <c r="C1034" s="17" t="s">
        <v>755</v>
      </c>
      <c r="D1034" s="10"/>
      <c r="E1034" s="62"/>
      <c r="F1034" s="10"/>
      <c r="G1034" s="134" t="str">
        <f t="shared" si="6646"/>
        <v>тыс. руб.</v>
      </c>
      <c r="H1034" s="10"/>
      <c r="I1034" s="23">
        <f t="shared" ca="1" si="6647"/>
        <v>-5352295.469684463</v>
      </c>
      <c r="J1034" s="10"/>
      <c r="K1034" s="10"/>
      <c r="L1034" s="52">
        <f t="shared" ref="L1034:AQ1034" ca="1" si="6651" xml:space="preserve"> - COGS_for_VAT * VAT_Rate_Periods</f>
        <v>0</v>
      </c>
      <c r="M1034" s="52">
        <f t="shared" ca="1" si="6651"/>
        <v>0</v>
      </c>
      <c r="N1034" s="52">
        <f t="shared" ca="1" si="6651"/>
        <v>0</v>
      </c>
      <c r="O1034" s="52">
        <f t="shared" ca="1" si="6651"/>
        <v>0</v>
      </c>
      <c r="P1034" s="52">
        <f t="shared" ca="1" si="6651"/>
        <v>0</v>
      </c>
      <c r="Q1034" s="52">
        <f t="shared" ca="1" si="6651"/>
        <v>0</v>
      </c>
      <c r="R1034" s="52">
        <f t="shared" ca="1" si="6651"/>
        <v>0</v>
      </c>
      <c r="S1034" s="52">
        <f t="shared" ca="1" si="6651"/>
        <v>0</v>
      </c>
      <c r="T1034" s="52">
        <f t="shared" ca="1" si="6651"/>
        <v>0</v>
      </c>
      <c r="U1034" s="52">
        <f t="shared" ca="1" si="6651"/>
        <v>0</v>
      </c>
      <c r="V1034" s="52">
        <f t="shared" ca="1" si="6651"/>
        <v>0</v>
      </c>
      <c r="W1034" s="52">
        <f t="shared" ca="1" si="6651"/>
        <v>0</v>
      </c>
      <c r="X1034" s="52">
        <f t="shared" ca="1" si="6651"/>
        <v>0</v>
      </c>
      <c r="Y1034" s="52">
        <f t="shared" ca="1" si="6651"/>
        <v>0</v>
      </c>
      <c r="Z1034" s="52">
        <f t="shared" ca="1" si="6651"/>
        <v>0</v>
      </c>
      <c r="AA1034" s="52">
        <f t="shared" ca="1" si="6651"/>
        <v>0</v>
      </c>
      <c r="AB1034" s="52">
        <f t="shared" ca="1" si="6651"/>
        <v>0</v>
      </c>
      <c r="AC1034" s="52">
        <f t="shared" ca="1" si="6651"/>
        <v>-47202.135133217678</v>
      </c>
      <c r="AD1034" s="52">
        <f t="shared" ca="1" si="6651"/>
        <v>-61409.130581729522</v>
      </c>
      <c r="AE1034" s="52">
        <f t="shared" ca="1" si="6651"/>
        <v>-36399.653433352083</v>
      </c>
      <c r="AF1034" s="52">
        <f t="shared" ca="1" si="6651"/>
        <v>-35721.220348711584</v>
      </c>
      <c r="AG1034" s="52">
        <f t="shared" ca="1" si="6651"/>
        <v>-56355.971941054624</v>
      </c>
      <c r="AH1034" s="52">
        <f t="shared" ca="1" si="6651"/>
        <v>-72982.370826567378</v>
      </c>
      <c r="AI1034" s="52">
        <f t="shared" ca="1" si="6651"/>
        <v>-43070.508833355845</v>
      </c>
      <c r="AJ1034" s="52">
        <f t="shared" ca="1" si="6651"/>
        <v>-42097.110572745449</v>
      </c>
      <c r="AK1034" s="52">
        <f t="shared" ca="1" si="6651"/>
        <v>-66166.592277305404</v>
      </c>
      <c r="AL1034" s="52">
        <f t="shared" ca="1" si="6651"/>
        <v>-85383.215682061418</v>
      </c>
      <c r="AM1034" s="52">
        <f t="shared" ca="1" si="6651"/>
        <v>-50216.793219866551</v>
      </c>
      <c r="AN1034" s="52">
        <f t="shared" ca="1" si="6651"/>
        <v>-49469.403595175907</v>
      </c>
      <c r="AO1034" s="52">
        <f t="shared" ca="1" si="6651"/>
        <v>-76671.755568697306</v>
      </c>
      <c r="AP1034" s="52">
        <f t="shared" ca="1" si="6651"/>
        <v>-96194.013337497701</v>
      </c>
      <c r="AQ1034" s="52">
        <f t="shared" ca="1" si="6651"/>
        <v>-55045.524877198448</v>
      </c>
      <c r="AR1034" s="52">
        <f t="shared" ref="AR1034:BW1034" ca="1" si="6652" xml:space="preserve"> - COGS_for_VAT * VAT_Rate_Periods</f>
        <v>-52220.634781916873</v>
      </c>
      <c r="AS1034" s="52">
        <f t="shared" ca="1" si="6652"/>
        <v>-79738.768392764483</v>
      </c>
      <c r="AT1034" s="52">
        <f t="shared" ca="1" si="6652"/>
        <v>-100041.91945991392</v>
      </c>
      <c r="AU1034" s="52">
        <f t="shared" ca="1" si="6652"/>
        <v>-57247.492895749456</v>
      </c>
      <c r="AV1034" s="52">
        <f t="shared" ca="1" si="6652"/>
        <v>-54309.46017319354</v>
      </c>
      <c r="AW1034" s="52">
        <f t="shared" ca="1" si="6652"/>
        <v>-81318.0133223538</v>
      </c>
      <c r="AX1034" s="52">
        <f t="shared" ca="1" si="6652"/>
        <v>-102023.0265865816</v>
      </c>
      <c r="AY1034" s="52">
        <f t="shared" ca="1" si="6652"/>
        <v>-58381.623058420548</v>
      </c>
      <c r="AZ1034" s="52">
        <f t="shared" ca="1" si="6652"/>
        <v>-55385.427615243934</v>
      </c>
      <c r="BA1034" s="52">
        <f t="shared" ca="1" si="6652"/>
        <v>-84570.73385524792</v>
      </c>
      <c r="BB1034" s="52">
        <f t="shared" ca="1" si="6652"/>
        <v>-106103.94765004487</v>
      </c>
      <c r="BC1034" s="52">
        <f t="shared" ca="1" si="6652"/>
        <v>-60716.887980757339</v>
      </c>
      <c r="BD1034" s="52">
        <f t="shared" ca="1" si="6652"/>
        <v>-58240.695263673762</v>
      </c>
      <c r="BE1034" s="52">
        <f t="shared" ca="1" si="6652"/>
        <v>-87953.40280236736</v>
      </c>
      <c r="BF1034" s="52">
        <f t="shared" ca="1" si="6652"/>
        <v>-110347.94178831589</v>
      </c>
      <c r="BG1034" s="52">
        <f t="shared" ca="1" si="6652"/>
        <v>-63145.398118586876</v>
      </c>
      <c r="BH1034" s="52">
        <f t="shared" ca="1" si="6652"/>
        <v>-59904.878508647824</v>
      </c>
      <c r="BI1034" s="52">
        <f t="shared" ca="1" si="6652"/>
        <v>-91471.705737836135</v>
      </c>
      <c r="BJ1034" s="52">
        <f t="shared" ca="1" si="6652"/>
        <v>-114762.0297782885</v>
      </c>
      <c r="BK1034" s="52">
        <f t="shared" ca="1" si="6652"/>
        <v>-65671.386039987134</v>
      </c>
      <c r="BL1034" s="52">
        <f t="shared" ca="1" si="6652"/>
        <v>-62301.073648993734</v>
      </c>
      <c r="BM1034" s="52">
        <f t="shared" ca="1" si="6652"/>
        <v>-95130.573967349541</v>
      </c>
      <c r="BN1034" s="52">
        <f t="shared" ca="1" si="6652"/>
        <v>-119352.51096942002</v>
      </c>
      <c r="BO1034" s="52">
        <f t="shared" ca="1" si="6652"/>
        <v>-68298.241481586621</v>
      </c>
      <c r="BP1034" s="52">
        <f t="shared" ca="1" si="6652"/>
        <v>-64793.116594953477</v>
      </c>
      <c r="BQ1034" s="52">
        <f t="shared" ca="1" si="6652"/>
        <v>-98935.79692604352</v>
      </c>
      <c r="BR1034" s="52">
        <f t="shared" ca="1" si="6652"/>
        <v>-124126.6114081968</v>
      </c>
      <c r="BS1034" s="52">
        <f t="shared" ca="1" si="6652"/>
        <v>-71030.171140850041</v>
      </c>
      <c r="BT1034" s="52">
        <f t="shared" ca="1" si="6652"/>
        <v>-68133.375894560188</v>
      </c>
      <c r="BU1034" s="52">
        <f t="shared" ca="1" si="6652"/>
        <v>-102893.04114947742</v>
      </c>
      <c r="BV1034" s="52">
        <f t="shared" ca="1" si="6652"/>
        <v>-129091.48427944299</v>
      </c>
      <c r="BW1034" s="52">
        <f t="shared" ca="1" si="6652"/>
        <v>-73871.184513636676</v>
      </c>
      <c r="BX1034" s="52">
        <f t="shared" ref="BX1034:CO1034" ca="1" si="6653" xml:space="preserve"> - COGS_for_VAT * VAT_Rate_Periods</f>
        <v>-70080.234909101651</v>
      </c>
      <c r="BY1034" s="52">
        <f t="shared" ca="1" si="6653"/>
        <v>-107008.95795520861</v>
      </c>
      <c r="BZ1034" s="52">
        <f t="shared" ca="1" si="6653"/>
        <v>-134255.3428991056</v>
      </c>
      <c r="CA1034" s="52">
        <f t="shared" ca="1" si="6653"/>
        <v>-76826.233105943393</v>
      </c>
      <c r="CB1034" s="52">
        <f t="shared" ca="1" si="6653"/>
        <v>-72883.444305465731</v>
      </c>
      <c r="CC1034" s="52">
        <f t="shared" ca="1" si="6653"/>
        <v>-111289.31627341697</v>
      </c>
      <c r="CD1034" s="52">
        <f t="shared" ca="1" si="6653"/>
        <v>-139625.55661506983</v>
      </c>
      <c r="CE1034" s="52">
        <f t="shared" ca="1" si="6653"/>
        <v>-79899.282430181134</v>
      </c>
      <c r="CF1034" s="52">
        <f t="shared" ca="1" si="6653"/>
        <v>-75798.782077684344</v>
      </c>
      <c r="CG1034" s="52">
        <f t="shared" ca="1" si="6653"/>
        <v>-115740.88892435364</v>
      </c>
      <c r="CH1034" s="52">
        <f t="shared" ca="1" si="6653"/>
        <v>-145210.57887967257</v>
      </c>
      <c r="CI1034" s="52">
        <f t="shared" ca="1" si="6653"/>
        <v>-83095.253727388379</v>
      </c>
      <c r="CJ1034" s="52">
        <f t="shared" ca="1" si="6653"/>
        <v>-79706.413011948855</v>
      </c>
      <c r="CK1034" s="52">
        <f t="shared" ca="1" si="6653"/>
        <v>-120370.30495314831</v>
      </c>
      <c r="CL1034" s="52">
        <f t="shared" ca="1" si="6653"/>
        <v>-151018.77790741177</v>
      </c>
      <c r="CM1034" s="52">
        <f t="shared" ca="1" si="6653"/>
        <v>-86418.8375406173</v>
      </c>
      <c r="CN1034" s="52">
        <f t="shared" ca="1" si="6653"/>
        <v>-81983.962695223338</v>
      </c>
      <c r="CO1034" s="52">
        <f t="shared" ca="1" si="6653"/>
        <v>-125185.34546058088</v>
      </c>
    </row>
    <row r="1035" spans="1:93">
      <c r="A1035" s="10"/>
      <c r="B1035" s="10"/>
      <c r="C1035" s="17" t="s">
        <v>1126</v>
      </c>
      <c r="D1035" s="10"/>
      <c r="E1035" s="62"/>
      <c r="F1035" s="10"/>
      <c r="G1035" s="134" t="str">
        <f t="shared" si="6646"/>
        <v>тыс. руб.</v>
      </c>
      <c r="H1035" s="10"/>
      <c r="I1035" s="23">
        <f t="shared" si="6647"/>
        <v>0</v>
      </c>
      <c r="J1035" s="10"/>
      <c r="K1035" s="10"/>
      <c r="L1035" s="52">
        <f t="shared" ref="L1035:AQ1035" si="6654" xml:space="preserve"> SGA_for_VAT * VAT_Rate_Periods</f>
        <v>0</v>
      </c>
      <c r="M1035" s="52">
        <f t="shared" si="6654"/>
        <v>0</v>
      </c>
      <c r="N1035" s="52">
        <f t="shared" si="6654"/>
        <v>0</v>
      </c>
      <c r="O1035" s="52">
        <f t="shared" si="6654"/>
        <v>0</v>
      </c>
      <c r="P1035" s="52">
        <f t="shared" si="6654"/>
        <v>0</v>
      </c>
      <c r="Q1035" s="52">
        <f t="shared" si="6654"/>
        <v>0</v>
      </c>
      <c r="R1035" s="52">
        <f t="shared" si="6654"/>
        <v>0</v>
      </c>
      <c r="S1035" s="52">
        <f t="shared" si="6654"/>
        <v>0</v>
      </c>
      <c r="T1035" s="52">
        <f t="shared" si="6654"/>
        <v>0</v>
      </c>
      <c r="U1035" s="52">
        <f t="shared" si="6654"/>
        <v>0</v>
      </c>
      <c r="V1035" s="52">
        <f t="shared" si="6654"/>
        <v>0</v>
      </c>
      <c r="W1035" s="52">
        <f t="shared" si="6654"/>
        <v>0</v>
      </c>
      <c r="X1035" s="52">
        <f t="shared" si="6654"/>
        <v>0</v>
      </c>
      <c r="Y1035" s="52">
        <f t="shared" si="6654"/>
        <v>0</v>
      </c>
      <c r="Z1035" s="52">
        <f t="shared" si="6654"/>
        <v>0</v>
      </c>
      <c r="AA1035" s="52">
        <f t="shared" si="6654"/>
        <v>0</v>
      </c>
      <c r="AB1035" s="52">
        <f t="shared" si="6654"/>
        <v>0</v>
      </c>
      <c r="AC1035" s="52">
        <f t="shared" si="6654"/>
        <v>0</v>
      </c>
      <c r="AD1035" s="52">
        <f t="shared" si="6654"/>
        <v>0</v>
      </c>
      <c r="AE1035" s="52">
        <f t="shared" si="6654"/>
        <v>0</v>
      </c>
      <c r="AF1035" s="52">
        <f t="shared" si="6654"/>
        <v>0</v>
      </c>
      <c r="AG1035" s="52">
        <f t="shared" si="6654"/>
        <v>0</v>
      </c>
      <c r="AH1035" s="52">
        <f t="shared" si="6654"/>
        <v>0</v>
      </c>
      <c r="AI1035" s="52">
        <f t="shared" si="6654"/>
        <v>0</v>
      </c>
      <c r="AJ1035" s="52">
        <f t="shared" si="6654"/>
        <v>0</v>
      </c>
      <c r="AK1035" s="52">
        <f t="shared" si="6654"/>
        <v>0</v>
      </c>
      <c r="AL1035" s="52">
        <f t="shared" si="6654"/>
        <v>0</v>
      </c>
      <c r="AM1035" s="52">
        <f t="shared" si="6654"/>
        <v>0</v>
      </c>
      <c r="AN1035" s="52">
        <f t="shared" si="6654"/>
        <v>0</v>
      </c>
      <c r="AO1035" s="52">
        <f t="shared" si="6654"/>
        <v>0</v>
      </c>
      <c r="AP1035" s="52">
        <f t="shared" si="6654"/>
        <v>0</v>
      </c>
      <c r="AQ1035" s="52">
        <f t="shared" si="6654"/>
        <v>0</v>
      </c>
      <c r="AR1035" s="52">
        <f t="shared" ref="AR1035:BW1035" si="6655" xml:space="preserve"> SGA_for_VAT * VAT_Rate_Periods</f>
        <v>0</v>
      </c>
      <c r="AS1035" s="52">
        <f t="shared" si="6655"/>
        <v>0</v>
      </c>
      <c r="AT1035" s="52">
        <f t="shared" si="6655"/>
        <v>0</v>
      </c>
      <c r="AU1035" s="52">
        <f t="shared" si="6655"/>
        <v>0</v>
      </c>
      <c r="AV1035" s="52">
        <f t="shared" si="6655"/>
        <v>0</v>
      </c>
      <c r="AW1035" s="52">
        <f t="shared" si="6655"/>
        <v>0</v>
      </c>
      <c r="AX1035" s="52">
        <f t="shared" si="6655"/>
        <v>0</v>
      </c>
      <c r="AY1035" s="52">
        <f t="shared" si="6655"/>
        <v>0</v>
      </c>
      <c r="AZ1035" s="52">
        <f t="shared" si="6655"/>
        <v>0</v>
      </c>
      <c r="BA1035" s="52">
        <f t="shared" si="6655"/>
        <v>0</v>
      </c>
      <c r="BB1035" s="52">
        <f t="shared" si="6655"/>
        <v>0</v>
      </c>
      <c r="BC1035" s="52">
        <f t="shared" si="6655"/>
        <v>0</v>
      </c>
      <c r="BD1035" s="52">
        <f t="shared" si="6655"/>
        <v>0</v>
      </c>
      <c r="BE1035" s="52">
        <f t="shared" si="6655"/>
        <v>0</v>
      </c>
      <c r="BF1035" s="52">
        <f t="shared" si="6655"/>
        <v>0</v>
      </c>
      <c r="BG1035" s="52">
        <f t="shared" si="6655"/>
        <v>0</v>
      </c>
      <c r="BH1035" s="52">
        <f t="shared" si="6655"/>
        <v>0</v>
      </c>
      <c r="BI1035" s="52">
        <f t="shared" si="6655"/>
        <v>0</v>
      </c>
      <c r="BJ1035" s="52">
        <f t="shared" si="6655"/>
        <v>0</v>
      </c>
      <c r="BK1035" s="52">
        <f t="shared" si="6655"/>
        <v>0</v>
      </c>
      <c r="BL1035" s="52">
        <f t="shared" si="6655"/>
        <v>0</v>
      </c>
      <c r="BM1035" s="52">
        <f t="shared" si="6655"/>
        <v>0</v>
      </c>
      <c r="BN1035" s="52">
        <f t="shared" si="6655"/>
        <v>0</v>
      </c>
      <c r="BO1035" s="52">
        <f t="shared" si="6655"/>
        <v>0</v>
      </c>
      <c r="BP1035" s="52">
        <f t="shared" si="6655"/>
        <v>0</v>
      </c>
      <c r="BQ1035" s="52">
        <f t="shared" si="6655"/>
        <v>0</v>
      </c>
      <c r="BR1035" s="52">
        <f t="shared" si="6655"/>
        <v>0</v>
      </c>
      <c r="BS1035" s="52">
        <f t="shared" si="6655"/>
        <v>0</v>
      </c>
      <c r="BT1035" s="52">
        <f t="shared" si="6655"/>
        <v>0</v>
      </c>
      <c r="BU1035" s="52">
        <f t="shared" si="6655"/>
        <v>0</v>
      </c>
      <c r="BV1035" s="52">
        <f t="shared" si="6655"/>
        <v>0</v>
      </c>
      <c r="BW1035" s="52">
        <f t="shared" si="6655"/>
        <v>0</v>
      </c>
      <c r="BX1035" s="52">
        <f t="shared" ref="BX1035:CO1035" si="6656" xml:space="preserve"> SGA_for_VAT * VAT_Rate_Periods</f>
        <v>0</v>
      </c>
      <c r="BY1035" s="52">
        <f t="shared" si="6656"/>
        <v>0</v>
      </c>
      <c r="BZ1035" s="52">
        <f t="shared" si="6656"/>
        <v>0</v>
      </c>
      <c r="CA1035" s="52">
        <f t="shared" si="6656"/>
        <v>0</v>
      </c>
      <c r="CB1035" s="52">
        <f t="shared" si="6656"/>
        <v>0</v>
      </c>
      <c r="CC1035" s="52">
        <f t="shared" si="6656"/>
        <v>0</v>
      </c>
      <c r="CD1035" s="52">
        <f t="shared" si="6656"/>
        <v>0</v>
      </c>
      <c r="CE1035" s="52">
        <f t="shared" si="6656"/>
        <v>0</v>
      </c>
      <c r="CF1035" s="52">
        <f t="shared" si="6656"/>
        <v>0</v>
      </c>
      <c r="CG1035" s="52">
        <f t="shared" si="6656"/>
        <v>0</v>
      </c>
      <c r="CH1035" s="52">
        <f t="shared" si="6656"/>
        <v>0</v>
      </c>
      <c r="CI1035" s="52">
        <f t="shared" si="6656"/>
        <v>0</v>
      </c>
      <c r="CJ1035" s="52">
        <f t="shared" si="6656"/>
        <v>0</v>
      </c>
      <c r="CK1035" s="52">
        <f t="shared" si="6656"/>
        <v>0</v>
      </c>
      <c r="CL1035" s="52">
        <f t="shared" si="6656"/>
        <v>0</v>
      </c>
      <c r="CM1035" s="52">
        <f t="shared" si="6656"/>
        <v>0</v>
      </c>
      <c r="CN1035" s="52">
        <f t="shared" si="6656"/>
        <v>0</v>
      </c>
      <c r="CO1035" s="52">
        <f t="shared" si="6656"/>
        <v>0</v>
      </c>
    </row>
    <row r="1036" spans="1:93">
      <c r="A1036" s="10"/>
      <c r="B1036" s="10"/>
      <c r="C1036" s="17" t="s">
        <v>1226</v>
      </c>
      <c r="D1036" s="10"/>
      <c r="E1036" s="62"/>
      <c r="F1036" s="10"/>
      <c r="G1036" s="134" t="str">
        <f t="shared" si="6646"/>
        <v>тыс. руб.</v>
      </c>
      <c r="H1036" s="10"/>
      <c r="I1036" s="23">
        <f t="shared" si="6647"/>
        <v>0</v>
      </c>
      <c r="J1036" s="10"/>
      <c r="K1036" s="10"/>
      <c r="L1036" s="52">
        <f t="shared" ref="L1036:AQ1036" si="6657" xml:space="preserve"> - CAPEX_E_For_VAT * VAT_Rate_Periods</f>
        <v>0</v>
      </c>
      <c r="M1036" s="52">
        <f t="shared" si="6657"/>
        <v>0</v>
      </c>
      <c r="N1036" s="52">
        <f t="shared" si="6657"/>
        <v>0</v>
      </c>
      <c r="O1036" s="52">
        <f t="shared" si="6657"/>
        <v>0</v>
      </c>
      <c r="P1036" s="52">
        <f t="shared" si="6657"/>
        <v>0</v>
      </c>
      <c r="Q1036" s="52">
        <f t="shared" si="6657"/>
        <v>0</v>
      </c>
      <c r="R1036" s="52">
        <f t="shared" si="6657"/>
        <v>0</v>
      </c>
      <c r="S1036" s="52">
        <f t="shared" si="6657"/>
        <v>0</v>
      </c>
      <c r="T1036" s="52">
        <f t="shared" si="6657"/>
        <v>0</v>
      </c>
      <c r="U1036" s="52">
        <f t="shared" si="6657"/>
        <v>0</v>
      </c>
      <c r="V1036" s="52">
        <f t="shared" si="6657"/>
        <v>0</v>
      </c>
      <c r="W1036" s="52">
        <f t="shared" si="6657"/>
        <v>0</v>
      </c>
      <c r="X1036" s="52">
        <f t="shared" si="6657"/>
        <v>0</v>
      </c>
      <c r="Y1036" s="52">
        <f t="shared" si="6657"/>
        <v>0</v>
      </c>
      <c r="Z1036" s="52">
        <f t="shared" si="6657"/>
        <v>0</v>
      </c>
      <c r="AA1036" s="52">
        <f t="shared" si="6657"/>
        <v>0</v>
      </c>
      <c r="AB1036" s="52">
        <f t="shared" si="6657"/>
        <v>0</v>
      </c>
      <c r="AC1036" s="52">
        <f t="shared" si="6657"/>
        <v>0</v>
      </c>
      <c r="AD1036" s="52">
        <f t="shared" si="6657"/>
        <v>0</v>
      </c>
      <c r="AE1036" s="52">
        <f t="shared" si="6657"/>
        <v>0</v>
      </c>
      <c r="AF1036" s="52">
        <f t="shared" si="6657"/>
        <v>0</v>
      </c>
      <c r="AG1036" s="52">
        <f t="shared" si="6657"/>
        <v>0</v>
      </c>
      <c r="AH1036" s="52">
        <f t="shared" si="6657"/>
        <v>0</v>
      </c>
      <c r="AI1036" s="52">
        <f t="shared" si="6657"/>
        <v>0</v>
      </c>
      <c r="AJ1036" s="52">
        <f t="shared" si="6657"/>
        <v>0</v>
      </c>
      <c r="AK1036" s="52">
        <f t="shared" si="6657"/>
        <v>0</v>
      </c>
      <c r="AL1036" s="52">
        <f t="shared" si="6657"/>
        <v>0</v>
      </c>
      <c r="AM1036" s="52">
        <f t="shared" si="6657"/>
        <v>0</v>
      </c>
      <c r="AN1036" s="52">
        <f t="shared" si="6657"/>
        <v>0</v>
      </c>
      <c r="AO1036" s="52">
        <f t="shared" si="6657"/>
        <v>0</v>
      </c>
      <c r="AP1036" s="52">
        <f t="shared" si="6657"/>
        <v>0</v>
      </c>
      <c r="AQ1036" s="52">
        <f t="shared" si="6657"/>
        <v>0</v>
      </c>
      <c r="AR1036" s="52">
        <f t="shared" ref="AR1036:BW1036" si="6658" xml:space="preserve"> - CAPEX_E_For_VAT * VAT_Rate_Periods</f>
        <v>0</v>
      </c>
      <c r="AS1036" s="52">
        <f t="shared" si="6658"/>
        <v>0</v>
      </c>
      <c r="AT1036" s="52">
        <f t="shared" si="6658"/>
        <v>0</v>
      </c>
      <c r="AU1036" s="52">
        <f t="shared" si="6658"/>
        <v>0</v>
      </c>
      <c r="AV1036" s="52">
        <f t="shared" si="6658"/>
        <v>0</v>
      </c>
      <c r="AW1036" s="52">
        <f t="shared" si="6658"/>
        <v>0</v>
      </c>
      <c r="AX1036" s="52">
        <f t="shared" si="6658"/>
        <v>0</v>
      </c>
      <c r="AY1036" s="52">
        <f t="shared" si="6658"/>
        <v>0</v>
      </c>
      <c r="AZ1036" s="52">
        <f t="shared" si="6658"/>
        <v>0</v>
      </c>
      <c r="BA1036" s="52">
        <f t="shared" si="6658"/>
        <v>0</v>
      </c>
      <c r="BB1036" s="52">
        <f t="shared" si="6658"/>
        <v>0</v>
      </c>
      <c r="BC1036" s="52">
        <f t="shared" si="6658"/>
        <v>0</v>
      </c>
      <c r="BD1036" s="52">
        <f t="shared" si="6658"/>
        <v>0</v>
      </c>
      <c r="BE1036" s="52">
        <f t="shared" si="6658"/>
        <v>0</v>
      </c>
      <c r="BF1036" s="52">
        <f t="shared" si="6658"/>
        <v>0</v>
      </c>
      <c r="BG1036" s="52">
        <f t="shared" si="6658"/>
        <v>0</v>
      </c>
      <c r="BH1036" s="52">
        <f t="shared" si="6658"/>
        <v>0</v>
      </c>
      <c r="BI1036" s="52">
        <f t="shared" si="6658"/>
        <v>0</v>
      </c>
      <c r="BJ1036" s="52">
        <f t="shared" si="6658"/>
        <v>0</v>
      </c>
      <c r="BK1036" s="52">
        <f t="shared" si="6658"/>
        <v>0</v>
      </c>
      <c r="BL1036" s="52">
        <f t="shared" si="6658"/>
        <v>0</v>
      </c>
      <c r="BM1036" s="52">
        <f t="shared" si="6658"/>
        <v>0</v>
      </c>
      <c r="BN1036" s="52">
        <f t="shared" si="6658"/>
        <v>0</v>
      </c>
      <c r="BO1036" s="52">
        <f t="shared" si="6658"/>
        <v>0</v>
      </c>
      <c r="BP1036" s="52">
        <f t="shared" si="6658"/>
        <v>0</v>
      </c>
      <c r="BQ1036" s="52">
        <f t="shared" si="6658"/>
        <v>0</v>
      </c>
      <c r="BR1036" s="52">
        <f t="shared" si="6658"/>
        <v>0</v>
      </c>
      <c r="BS1036" s="52">
        <f t="shared" si="6658"/>
        <v>0</v>
      </c>
      <c r="BT1036" s="52">
        <f t="shared" si="6658"/>
        <v>0</v>
      </c>
      <c r="BU1036" s="52">
        <f t="shared" si="6658"/>
        <v>0</v>
      </c>
      <c r="BV1036" s="52">
        <f t="shared" si="6658"/>
        <v>0</v>
      </c>
      <c r="BW1036" s="52">
        <f t="shared" si="6658"/>
        <v>0</v>
      </c>
      <c r="BX1036" s="52">
        <f t="shared" ref="BX1036:CO1036" si="6659" xml:space="preserve"> - CAPEX_E_For_VAT * VAT_Rate_Periods</f>
        <v>0</v>
      </c>
      <c r="BY1036" s="52">
        <f t="shared" si="6659"/>
        <v>0</v>
      </c>
      <c r="BZ1036" s="52">
        <f t="shared" si="6659"/>
        <v>0</v>
      </c>
      <c r="CA1036" s="52">
        <f t="shared" si="6659"/>
        <v>0</v>
      </c>
      <c r="CB1036" s="52">
        <f t="shared" si="6659"/>
        <v>0</v>
      </c>
      <c r="CC1036" s="52">
        <f t="shared" si="6659"/>
        <v>0</v>
      </c>
      <c r="CD1036" s="52">
        <f t="shared" si="6659"/>
        <v>0</v>
      </c>
      <c r="CE1036" s="52">
        <f t="shared" si="6659"/>
        <v>0</v>
      </c>
      <c r="CF1036" s="52">
        <f t="shared" si="6659"/>
        <v>0</v>
      </c>
      <c r="CG1036" s="52">
        <f t="shared" si="6659"/>
        <v>0</v>
      </c>
      <c r="CH1036" s="52">
        <f t="shared" si="6659"/>
        <v>0</v>
      </c>
      <c r="CI1036" s="52">
        <f t="shared" si="6659"/>
        <v>0</v>
      </c>
      <c r="CJ1036" s="52">
        <f t="shared" si="6659"/>
        <v>0</v>
      </c>
      <c r="CK1036" s="52">
        <f t="shared" si="6659"/>
        <v>0</v>
      </c>
      <c r="CL1036" s="52">
        <f t="shared" si="6659"/>
        <v>0</v>
      </c>
      <c r="CM1036" s="52">
        <f t="shared" si="6659"/>
        <v>0</v>
      </c>
      <c r="CN1036" s="52">
        <f t="shared" si="6659"/>
        <v>0</v>
      </c>
      <c r="CO1036" s="52">
        <f t="shared" si="6659"/>
        <v>0</v>
      </c>
    </row>
    <row r="1037" spans="1:93" ht="15" thickBot="1">
      <c r="A1037" s="10"/>
      <c r="B1037" s="10"/>
      <c r="C1037" s="17" t="s">
        <v>756</v>
      </c>
      <c r="D1037" s="10"/>
      <c r="E1037" s="62"/>
      <c r="F1037" s="10"/>
      <c r="G1037" s="134" t="str">
        <f t="shared" si="6646"/>
        <v>тыс. руб.</v>
      </c>
      <c r="H1037" s="10"/>
      <c r="I1037" s="23">
        <f t="shared" ca="1" si="6647"/>
        <v>-961679.90095596761</v>
      </c>
      <c r="J1037" s="10"/>
      <c r="K1037" s="10"/>
      <c r="L1037" s="52">
        <f t="shared" ref="L1037:AQ1037" ca="1" si="6660" xml:space="preserve"> - CAPEX_For_VAT * VAT_Rate_Periods</f>
        <v>-5234.3588965478193</v>
      </c>
      <c r="M1037" s="52">
        <f t="shared" ca="1" si="6660"/>
        <v>-5308.6600317512557</v>
      </c>
      <c r="N1037" s="52">
        <f t="shared" ca="1" si="6660"/>
        <v>-5384.0158632033881</v>
      </c>
      <c r="O1037" s="52">
        <f t="shared" ca="1" si="6660"/>
        <v>-5460.4413621987187</v>
      </c>
      <c r="P1037" s="52">
        <f t="shared" ca="1" si="6660"/>
        <v>-45931.910967999196</v>
      </c>
      <c r="Q1037" s="52">
        <f t="shared" ca="1" si="6660"/>
        <v>-46384.496760337934</v>
      </c>
      <c r="R1037" s="52">
        <f t="shared" ca="1" si="6660"/>
        <v>-46841.542064486879</v>
      </c>
      <c r="S1037" s="52">
        <f t="shared" ca="1" si="6660"/>
        <v>-47303.090821828882</v>
      </c>
      <c r="T1037" s="52">
        <f t="shared" ca="1" si="6660"/>
        <v>-47769.18740671916</v>
      </c>
      <c r="U1037" s="52">
        <f t="shared" ca="1" si="6660"/>
        <v>-48239.876630751445</v>
      </c>
      <c r="V1037" s="52">
        <f t="shared" ca="1" si="6660"/>
        <v>-48715.203747066334</v>
      </c>
      <c r="W1037" s="52">
        <f t="shared" ca="1" si="6660"/>
        <v>-49195.214454702029</v>
      </c>
      <c r="X1037" s="52">
        <f t="shared" ca="1" si="6660"/>
        <v>-103752.06688500196</v>
      </c>
      <c r="Y1037" s="52">
        <f t="shared" ca="1" si="6660"/>
        <v>-104774.3781803157</v>
      </c>
      <c r="Z1037" s="52">
        <f t="shared" ca="1" si="6660"/>
        <v>-105806.76272444174</v>
      </c>
      <c r="AA1037" s="52">
        <f t="shared" ca="1" si="6660"/>
        <v>-106849.31977319589</v>
      </c>
      <c r="AB1037" s="52">
        <f t="shared" ca="1" si="6660"/>
        <v>-138729.37438541927</v>
      </c>
      <c r="AC1037" s="52">
        <f t="shared" ca="1" si="6660"/>
        <v>0</v>
      </c>
      <c r="AD1037" s="52">
        <f t="shared" ca="1" si="6660"/>
        <v>0</v>
      </c>
      <c r="AE1037" s="52">
        <f t="shared" ca="1" si="6660"/>
        <v>0</v>
      </c>
      <c r="AF1037" s="52">
        <f t="shared" ca="1" si="6660"/>
        <v>0</v>
      </c>
      <c r="AG1037" s="52">
        <f t="shared" ca="1" si="6660"/>
        <v>0</v>
      </c>
      <c r="AH1037" s="52">
        <f t="shared" ca="1" si="6660"/>
        <v>0</v>
      </c>
      <c r="AI1037" s="52">
        <f t="shared" ca="1" si="6660"/>
        <v>0</v>
      </c>
      <c r="AJ1037" s="52">
        <f t="shared" ca="1" si="6660"/>
        <v>0</v>
      </c>
      <c r="AK1037" s="52">
        <f t="shared" ca="1" si="6660"/>
        <v>0</v>
      </c>
      <c r="AL1037" s="52">
        <f t="shared" ca="1" si="6660"/>
        <v>0</v>
      </c>
      <c r="AM1037" s="52">
        <f t="shared" ca="1" si="6660"/>
        <v>0</v>
      </c>
      <c r="AN1037" s="52">
        <f t="shared" ca="1" si="6660"/>
        <v>0</v>
      </c>
      <c r="AO1037" s="52">
        <f t="shared" ca="1" si="6660"/>
        <v>0</v>
      </c>
      <c r="AP1037" s="52">
        <f t="shared" ca="1" si="6660"/>
        <v>0</v>
      </c>
      <c r="AQ1037" s="52">
        <f t="shared" ca="1" si="6660"/>
        <v>0</v>
      </c>
      <c r="AR1037" s="52">
        <f t="shared" ref="AR1037:BW1037" ca="1" si="6661" xml:space="preserve"> - CAPEX_For_VAT * VAT_Rate_Periods</f>
        <v>0</v>
      </c>
      <c r="AS1037" s="52">
        <f t="shared" ca="1" si="6661"/>
        <v>0</v>
      </c>
      <c r="AT1037" s="52">
        <f t="shared" ca="1" si="6661"/>
        <v>0</v>
      </c>
      <c r="AU1037" s="52">
        <f t="shared" ca="1" si="6661"/>
        <v>0</v>
      </c>
      <c r="AV1037" s="52">
        <f t="shared" ca="1" si="6661"/>
        <v>0</v>
      </c>
      <c r="AW1037" s="52">
        <f t="shared" ca="1" si="6661"/>
        <v>0</v>
      </c>
      <c r="AX1037" s="52">
        <f t="shared" ca="1" si="6661"/>
        <v>0</v>
      </c>
      <c r="AY1037" s="52">
        <f t="shared" ca="1" si="6661"/>
        <v>0</v>
      </c>
      <c r="AZ1037" s="52">
        <f t="shared" ca="1" si="6661"/>
        <v>0</v>
      </c>
      <c r="BA1037" s="52">
        <f t="shared" ca="1" si="6661"/>
        <v>0</v>
      </c>
      <c r="BB1037" s="52">
        <f t="shared" ca="1" si="6661"/>
        <v>0</v>
      </c>
      <c r="BC1037" s="52">
        <f t="shared" ca="1" si="6661"/>
        <v>0</v>
      </c>
      <c r="BD1037" s="52">
        <f t="shared" ca="1" si="6661"/>
        <v>0</v>
      </c>
      <c r="BE1037" s="52">
        <f t="shared" ca="1" si="6661"/>
        <v>0</v>
      </c>
      <c r="BF1037" s="52">
        <f t="shared" ca="1" si="6661"/>
        <v>0</v>
      </c>
      <c r="BG1037" s="52">
        <f t="shared" ca="1" si="6661"/>
        <v>0</v>
      </c>
      <c r="BH1037" s="52">
        <f t="shared" ca="1" si="6661"/>
        <v>0</v>
      </c>
      <c r="BI1037" s="52">
        <f t="shared" ca="1" si="6661"/>
        <v>0</v>
      </c>
      <c r="BJ1037" s="52">
        <f t="shared" ca="1" si="6661"/>
        <v>0</v>
      </c>
      <c r="BK1037" s="52">
        <f t="shared" ca="1" si="6661"/>
        <v>0</v>
      </c>
      <c r="BL1037" s="52">
        <f t="shared" ca="1" si="6661"/>
        <v>0</v>
      </c>
      <c r="BM1037" s="52">
        <f t="shared" ca="1" si="6661"/>
        <v>0</v>
      </c>
      <c r="BN1037" s="52">
        <f t="shared" ca="1" si="6661"/>
        <v>0</v>
      </c>
      <c r="BO1037" s="52">
        <f t="shared" ca="1" si="6661"/>
        <v>0</v>
      </c>
      <c r="BP1037" s="52">
        <f t="shared" ca="1" si="6661"/>
        <v>0</v>
      </c>
      <c r="BQ1037" s="52">
        <f t="shared" ca="1" si="6661"/>
        <v>0</v>
      </c>
      <c r="BR1037" s="52">
        <f t="shared" ca="1" si="6661"/>
        <v>0</v>
      </c>
      <c r="BS1037" s="52">
        <f t="shared" ca="1" si="6661"/>
        <v>0</v>
      </c>
      <c r="BT1037" s="52">
        <f t="shared" ca="1" si="6661"/>
        <v>0</v>
      </c>
      <c r="BU1037" s="52">
        <f t="shared" ca="1" si="6661"/>
        <v>0</v>
      </c>
      <c r="BV1037" s="52">
        <f t="shared" ca="1" si="6661"/>
        <v>0</v>
      </c>
      <c r="BW1037" s="52">
        <f t="shared" ca="1" si="6661"/>
        <v>0</v>
      </c>
      <c r="BX1037" s="52">
        <f t="shared" ref="BX1037:CO1037" ca="1" si="6662" xml:space="preserve"> - CAPEX_For_VAT * VAT_Rate_Periods</f>
        <v>0</v>
      </c>
      <c r="BY1037" s="52">
        <f t="shared" ca="1" si="6662"/>
        <v>0</v>
      </c>
      <c r="BZ1037" s="52">
        <f t="shared" ca="1" si="6662"/>
        <v>0</v>
      </c>
      <c r="CA1037" s="52">
        <f t="shared" ca="1" si="6662"/>
        <v>0</v>
      </c>
      <c r="CB1037" s="52">
        <f t="shared" ca="1" si="6662"/>
        <v>0</v>
      </c>
      <c r="CC1037" s="52">
        <f t="shared" ca="1" si="6662"/>
        <v>0</v>
      </c>
      <c r="CD1037" s="52">
        <f t="shared" ca="1" si="6662"/>
        <v>0</v>
      </c>
      <c r="CE1037" s="52">
        <f t="shared" ca="1" si="6662"/>
        <v>0</v>
      </c>
      <c r="CF1037" s="52">
        <f t="shared" ca="1" si="6662"/>
        <v>0</v>
      </c>
      <c r="CG1037" s="52">
        <f t="shared" ca="1" si="6662"/>
        <v>0</v>
      </c>
      <c r="CH1037" s="52">
        <f t="shared" ca="1" si="6662"/>
        <v>0</v>
      </c>
      <c r="CI1037" s="52">
        <f t="shared" ca="1" si="6662"/>
        <v>0</v>
      </c>
      <c r="CJ1037" s="52">
        <f t="shared" ca="1" si="6662"/>
        <v>0</v>
      </c>
      <c r="CK1037" s="52">
        <f t="shared" ca="1" si="6662"/>
        <v>0</v>
      </c>
      <c r="CL1037" s="52">
        <f t="shared" ca="1" si="6662"/>
        <v>0</v>
      </c>
      <c r="CM1037" s="52">
        <f t="shared" ca="1" si="6662"/>
        <v>0</v>
      </c>
      <c r="CN1037" s="52">
        <f t="shared" ca="1" si="6662"/>
        <v>0</v>
      </c>
      <c r="CO1037" s="52">
        <f t="shared" ca="1" si="6662"/>
        <v>0</v>
      </c>
    </row>
    <row r="1038" spans="1:93" ht="15" thickTop="1">
      <c r="A1038" s="172"/>
      <c r="B1038" s="35"/>
      <c r="C1038" s="173" t="s">
        <v>397</v>
      </c>
      <c r="D1038" s="49"/>
      <c r="E1038" s="49"/>
      <c r="F1038" s="49"/>
      <c r="G1038" s="159" t="str">
        <f t="shared" si="6646"/>
        <v>тыс. руб.</v>
      </c>
      <c r="H1038" s="49"/>
      <c r="I1038" s="176">
        <f t="shared" ca="1" si="6647"/>
        <v>2379885.9256797638</v>
      </c>
      <c r="J1038" s="49"/>
      <c r="K1038" s="49"/>
      <c r="L1038" s="49">
        <f t="shared" ref="L1038" ca="1" si="6663">SUM(L1033:L1037)</f>
        <v>-5234.3588965478193</v>
      </c>
      <c r="M1038" s="49">
        <f t="shared" ref="M1038" ca="1" si="6664">SUM(M1033:M1037)</f>
        <v>-5308.6600317512557</v>
      </c>
      <c r="N1038" s="49">
        <f t="shared" ref="N1038" ca="1" si="6665">SUM(N1033:N1037)</f>
        <v>-5384.0158632033881</v>
      </c>
      <c r="O1038" s="49">
        <f t="shared" ref="O1038" ca="1" si="6666">SUM(O1033:O1037)</f>
        <v>-5460.4413621987187</v>
      </c>
      <c r="P1038" s="49">
        <f t="shared" ref="P1038" ca="1" si="6667">SUM(P1033:P1037)</f>
        <v>-45931.910967999196</v>
      </c>
      <c r="Q1038" s="49">
        <f t="shared" ref="Q1038" ca="1" si="6668">SUM(Q1033:Q1037)</f>
        <v>-46384.496760337934</v>
      </c>
      <c r="R1038" s="49">
        <f t="shared" ref="R1038" ca="1" si="6669">SUM(R1033:R1037)</f>
        <v>-46841.542064486879</v>
      </c>
      <c r="S1038" s="49">
        <f t="shared" ref="S1038" ca="1" si="6670">SUM(S1033:S1037)</f>
        <v>-47303.090821828882</v>
      </c>
      <c r="T1038" s="49">
        <f t="shared" ref="T1038" ca="1" si="6671">SUM(T1033:T1037)</f>
        <v>-47769.18740671916</v>
      </c>
      <c r="U1038" s="49">
        <f t="shared" ref="U1038" ca="1" si="6672">SUM(U1033:U1037)</f>
        <v>-48239.876630751445</v>
      </c>
      <c r="V1038" s="49">
        <f t="shared" ref="V1038" ca="1" si="6673">SUM(V1033:V1037)</f>
        <v>-48715.203747066334</v>
      </c>
      <c r="W1038" s="49">
        <f t="shared" ref="W1038" ca="1" si="6674">SUM(W1033:W1037)</f>
        <v>-49195.214454702029</v>
      </c>
      <c r="X1038" s="49">
        <f t="shared" ref="X1038" ca="1" si="6675">SUM(X1033:X1037)</f>
        <v>-103752.06688500196</v>
      </c>
      <c r="Y1038" s="49">
        <f t="shared" ref="Y1038" ca="1" si="6676">SUM(Y1033:Y1037)</f>
        <v>-104774.3781803157</v>
      </c>
      <c r="Z1038" s="49">
        <f t="shared" ref="Z1038" ca="1" si="6677">SUM(Z1033:Z1037)</f>
        <v>-105806.76272444174</v>
      </c>
      <c r="AA1038" s="49">
        <f t="shared" ref="AA1038" ca="1" si="6678">SUM(AA1033:AA1037)</f>
        <v>-106849.31977319589</v>
      </c>
      <c r="AB1038" s="49">
        <f t="shared" ref="AB1038" ca="1" si="6679">SUM(AB1033:AB1037)</f>
        <v>-138729.37438541927</v>
      </c>
      <c r="AC1038" s="49">
        <f t="shared" ref="AC1038" ca="1" si="6680">SUM(AC1033:AC1037)</f>
        <v>-27657.854729723622</v>
      </c>
      <c r="AD1038" s="49">
        <f t="shared" ref="AD1038" ca="1" si="6681">SUM(AD1033:AD1037)</f>
        <v>-35977.194758761754</v>
      </c>
      <c r="AE1038" s="49">
        <f t="shared" ref="AE1038" ca="1" si="6682">SUM(AE1033:AE1037)</f>
        <v>-21332.999630498191</v>
      </c>
      <c r="AF1038" s="49">
        <f t="shared" ref="AF1038" ca="1" si="6683">SUM(AF1033:AF1037)</f>
        <v>-20935.510251790613</v>
      </c>
      <c r="AG1038" s="49">
        <f t="shared" ref="AG1038" ca="1" si="6684">SUM(AG1033:AG1037)</f>
        <v>-33018.653414808359</v>
      </c>
      <c r="AH1038" s="49">
        <f t="shared" ref="AH1038" ca="1" si="6685">SUM(AH1033:AH1037)</f>
        <v>-42754.698534125666</v>
      </c>
      <c r="AI1038" s="49">
        <f t="shared" ref="AI1038" ca="1" si="6686">SUM(AI1033:AI1037)</f>
        <v>-25239.903367357718</v>
      </c>
      <c r="AJ1038" s="49">
        <f t="shared" ref="AJ1038" ca="1" si="6687">SUM(AJ1033:AJ1037)</f>
        <v>-24669.686938507919</v>
      </c>
      <c r="AK1038" s="49">
        <f t="shared" ref="AK1038" ca="1" si="6688">SUM(AK1033:AK1037)</f>
        <v>-38764.063427132365</v>
      </c>
      <c r="AL1038" s="49">
        <f t="shared" ref="AL1038" ca="1" si="6689">SUM(AL1033:AL1037)</f>
        <v>-50016.839099904617</v>
      </c>
      <c r="AM1038" s="49">
        <f t="shared" ref="AM1038" ca="1" si="6690">SUM(AM1033:AM1037)</f>
        <v>-29425.226603757212</v>
      </c>
      <c r="AN1038" s="49">
        <f t="shared" ref="AN1038" ca="1" si="6691">SUM(AN1033:AN1037)</f>
        <v>-28987.510731031776</v>
      </c>
      <c r="AO1038" s="49">
        <f t="shared" ref="AO1038" ca="1" si="6692">SUM(AO1033:AO1037)</f>
        <v>-44916.139278325398</v>
      </c>
      <c r="AP1038" s="49">
        <f t="shared" ref="AP1038" ca="1" si="6693">SUM(AP1033:AP1037)</f>
        <v>-56347.895721601075</v>
      </c>
      <c r="AQ1038" s="49">
        <f t="shared" ref="AQ1038" ca="1" si="6694">SUM(AQ1033:AQ1037)</f>
        <v>-32253.472392079697</v>
      </c>
      <c r="AR1038" s="49">
        <f t="shared" ref="AR1038" ca="1" si="6695">SUM(AR1033:AR1037)</f>
        <v>-30599.147878715095</v>
      </c>
      <c r="AS1038" s="49">
        <f t="shared" ref="AS1038" ca="1" si="6696">SUM(AS1033:AS1037)</f>
        <v>-46712.927450777694</v>
      </c>
      <c r="AT1038" s="49">
        <f t="shared" ref="AT1038" ca="1" si="6697">SUM(AT1033:AT1037)</f>
        <v>-58601.957139381448</v>
      </c>
      <c r="AU1038" s="49">
        <f t="shared" ref="AU1038" ca="1" si="6698">SUM(AU1033:AU1037)</f>
        <v>-33543.758311225945</v>
      </c>
      <c r="AV1038" s="49">
        <f t="shared" ref="AV1038" ca="1" si="6699">SUM(AV1033:AV1037)</f>
        <v>-31823.113793863693</v>
      </c>
      <c r="AW1038" s="49">
        <f t="shared" ref="AW1038" ca="1" si="6700">SUM(AW1033:AW1037)</f>
        <v>79771.930508875987</v>
      </c>
      <c r="AX1038" s="49">
        <f t="shared" ref="AX1038" ca="1" si="6701">SUM(AX1033:AX1037)</f>
        <v>100108.42600259389</v>
      </c>
      <c r="AY1038" s="49">
        <f t="shared" ref="AY1038" ca="1" si="6702">SUM(AY1033:AY1037)</f>
        <v>57237.939196443214</v>
      </c>
      <c r="AZ1038" s="49">
        <f t="shared" ref="AZ1038" ca="1" si="6703">SUM(AZ1033:AZ1037)</f>
        <v>54296.087583075983</v>
      </c>
      <c r="BA1038" s="49">
        <f t="shared" ref="BA1038" ca="1" si="6704">SUM(BA1033:BA1037)</f>
        <v>82962.807729231004</v>
      </c>
      <c r="BB1038" s="49">
        <f t="shared" ref="BB1038" ca="1" si="6705">SUM(BB1033:BB1037)</f>
        <v>104112.76304269757</v>
      </c>
      <c r="BC1038" s="49">
        <f t="shared" ref="BC1038" ca="1" si="6706">SUM(BC1033:BC1037)</f>
        <v>59527.45676430095</v>
      </c>
      <c r="BD1038" s="49">
        <f t="shared" ref="BD1038" ca="1" si="6707">SUM(BD1033:BD1037)</f>
        <v>57095.511384870617</v>
      </c>
      <c r="BE1038" s="49">
        <f t="shared" ref="BE1038" ca="1" si="6708">SUM(BE1033:BE1037)</f>
        <v>86281.480445490641</v>
      </c>
      <c r="BF1038" s="49">
        <f t="shared" ref="BF1038" ca="1" si="6709">SUM(BF1033:BF1037)</f>
        <v>108277.43733213624</v>
      </c>
      <c r="BG1038" s="49">
        <f t="shared" ref="BG1038" ca="1" si="6710">SUM(BG1033:BG1037)</f>
        <v>61908.720416273733</v>
      </c>
      <c r="BH1038" s="49">
        <f t="shared" ref="BH1038" ca="1" si="6711">SUM(BH1033:BH1037)</f>
        <v>58726.64832985495</v>
      </c>
      <c r="BI1038" s="49">
        <f t="shared" ref="BI1038" ca="1" si="6712">SUM(BI1033:BI1037)</f>
        <v>89732.572839936212</v>
      </c>
      <c r="BJ1038" s="49">
        <f t="shared" ref="BJ1038" ca="1" si="6713">SUM(BJ1033:BJ1037)</f>
        <v>112608.36450698166</v>
      </c>
      <c r="BK1038" s="49">
        <f t="shared" ref="BK1038" ca="1" si="6714">SUM(BK1033:BK1037)</f>
        <v>64384.897236267891</v>
      </c>
      <c r="BL1038" s="49">
        <f t="shared" ref="BL1038" ca="1" si="6715">SUM(BL1033:BL1037)</f>
        <v>61075.714263049151</v>
      </c>
      <c r="BM1038" s="49">
        <f t="shared" ref="BM1038" ca="1" si="6716">SUM(BM1033:BM1037)</f>
        <v>93321.875753533677</v>
      </c>
      <c r="BN1038" s="49">
        <f t="shared" ref="BN1038" ca="1" si="6717">SUM(BN1033:BN1037)</f>
        <v>117112.69908726096</v>
      </c>
      <c r="BO1038" s="49">
        <f t="shared" ref="BO1038" ca="1" si="6718">SUM(BO1033:BO1037)</f>
        <v>66960.29312571857</v>
      </c>
      <c r="BP1038" s="49">
        <f t="shared" ref="BP1038" ca="1" si="6719">SUM(BP1033:BP1037)</f>
        <v>63518.742833571101</v>
      </c>
      <c r="BQ1038" s="49">
        <f t="shared" ref="BQ1038" ca="1" si="6720">SUM(BQ1033:BQ1037)</f>
        <v>97054.750783674972</v>
      </c>
      <c r="BR1038" s="49">
        <f t="shared" ref="BR1038" ca="1" si="6721">SUM(BR1033:BR1037)</f>
        <v>121797.20705075137</v>
      </c>
      <c r="BS1038" s="49">
        <f t="shared" ref="BS1038" ca="1" si="6722">SUM(BS1033:BS1037)</f>
        <v>69638.704850747294</v>
      </c>
      <c r="BT1038" s="49">
        <f t="shared" ref="BT1038" ca="1" si="6723">SUM(BT1033:BT1037)</f>
        <v>66793.672731168306</v>
      </c>
      <c r="BU1038" s="49">
        <f t="shared" ref="BU1038" ca="1" si="6724">SUM(BU1033:BU1037)</f>
        <v>100937.12846862979</v>
      </c>
      <c r="BV1038" s="49">
        <f t="shared" ref="BV1038" ca="1" si="6725">SUM(BV1033:BV1037)</f>
        <v>126669.28691786301</v>
      </c>
      <c r="BW1038" s="49">
        <f t="shared" ref="BW1038" ca="1" si="6726">SUM(BW1033:BW1037)</f>
        <v>72424.446517624528</v>
      </c>
      <c r="BX1038" s="49">
        <f t="shared" ref="BX1038" ca="1" si="6727">SUM(BX1033:BX1037)</f>
        <v>68701.872248790489</v>
      </c>
      <c r="BY1038" s="49">
        <f t="shared" ref="BY1038" ca="1" si="6728">SUM(BY1033:BY1037)</f>
        <v>104974.4184476228</v>
      </c>
      <c r="BZ1038" s="49">
        <f t="shared" ref="BZ1038" ca="1" si="6729">SUM(BZ1033:BZ1037)</f>
        <v>131735.85914609258</v>
      </c>
      <c r="CA1038" s="49">
        <f t="shared" ref="CA1038" ca="1" si="6730">SUM(CA1033:CA1037)</f>
        <v>75321.223166568263</v>
      </c>
      <c r="CB1038" s="49">
        <f t="shared" ref="CB1038" ca="1" si="6731">SUM(CB1033:CB1037)</f>
        <v>71449.947138742078</v>
      </c>
      <c r="CC1038" s="49">
        <f t="shared" ref="CC1038" ca="1" si="6732">SUM(CC1033:CC1037)</f>
        <v>109173.39518552777</v>
      </c>
      <c r="CD1038" s="49">
        <f t="shared" ref="CD1038" ca="1" si="6733">SUM(CD1033:CD1037)</f>
        <v>137005.29351193635</v>
      </c>
      <c r="CE1038" s="49">
        <f t="shared" ref="CE1038" ca="1" si="6734">SUM(CE1033:CE1037)</f>
        <v>78334.072093230992</v>
      </c>
      <c r="CF1038" s="49">
        <f t="shared" ref="CF1038" ca="1" si="6735">SUM(CF1033:CF1037)</f>
        <v>74307.945024291766</v>
      </c>
      <c r="CG1038" s="49">
        <f t="shared" ref="CG1038" ca="1" si="6736">SUM(CG1033:CG1037)</f>
        <v>113540.33099294885</v>
      </c>
      <c r="CH1038" s="49">
        <f t="shared" ref="CH1038" ca="1" si="6737">SUM(CH1033:CH1037)</f>
        <v>142485.50525241374</v>
      </c>
      <c r="CI1038" s="49">
        <f t="shared" ref="CI1038" ca="1" si="6738">SUM(CI1033:CI1037)</f>
        <v>81467.434976960256</v>
      </c>
      <c r="CJ1038" s="49">
        <f t="shared" ref="CJ1038" ca="1" si="6739">SUM(CJ1033:CJ1037)</f>
        <v>78139.149798395767</v>
      </c>
      <c r="CK1038" s="49">
        <f t="shared" ref="CK1038" ca="1" si="6740">SUM(CK1033:CK1037)</f>
        <v>118082.16376084623</v>
      </c>
      <c r="CL1038" s="49">
        <f t="shared" ref="CL1038" ca="1" si="6741">SUM(CL1033:CL1037)</f>
        <v>148185.14958995799</v>
      </c>
      <c r="CM1038" s="49">
        <f t="shared" ref="CM1038" ca="1" si="6742">SUM(CM1033:CM1037)</f>
        <v>84726.358711905224</v>
      </c>
      <c r="CN1038" s="49">
        <f t="shared" ref="CN1038" ca="1" si="6743">SUM(CN1033:CN1037)</f>
        <v>80371.473338273994</v>
      </c>
      <c r="CO1038" s="49">
        <f t="shared" ref="CO1038" ca="1" si="6744">SUM(CO1033:CO1037)</f>
        <v>122805.22200197344</v>
      </c>
    </row>
    <row r="1039" spans="1:93">
      <c r="A1039" s="10"/>
      <c r="B1039" s="10"/>
      <c r="C1039" s="10"/>
      <c r="D1039" s="10"/>
      <c r="E1039" s="62"/>
      <c r="F1039" s="10"/>
      <c r="G1039" s="11"/>
      <c r="H1039" s="11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  <c r="BB1039" s="10"/>
      <c r="BC1039" s="10"/>
      <c r="BD1039" s="10"/>
      <c r="BE1039" s="10"/>
      <c r="BF1039" s="10"/>
      <c r="BG1039" s="10"/>
      <c r="BH1039" s="10"/>
      <c r="BI1039" s="10"/>
      <c r="BJ1039" s="10"/>
      <c r="BK1039" s="10"/>
      <c r="BL1039" s="10"/>
      <c r="BM1039" s="10"/>
      <c r="BN1039" s="10"/>
      <c r="BO1039" s="10"/>
      <c r="BP1039" s="10"/>
      <c r="BQ1039" s="10"/>
      <c r="BR1039" s="10"/>
      <c r="BS1039" s="10"/>
      <c r="BT1039" s="10"/>
      <c r="BU1039" s="10"/>
      <c r="BV1039" s="10"/>
      <c r="BW1039" s="10"/>
      <c r="BX1039" s="10"/>
      <c r="BY1039" s="10"/>
      <c r="BZ1039" s="10"/>
      <c r="CA1039" s="10"/>
      <c r="CB1039" s="10"/>
      <c r="CC1039" s="10"/>
      <c r="CD1039" s="10"/>
      <c r="CE1039" s="10"/>
      <c r="CF1039" s="10"/>
      <c r="CG1039" s="10"/>
      <c r="CH1039" s="10"/>
      <c r="CI1039" s="10"/>
      <c r="CJ1039" s="10"/>
      <c r="CK1039" s="10"/>
      <c r="CL1039" s="10"/>
      <c r="CM1039" s="10"/>
      <c r="CN1039" s="10"/>
      <c r="CO1039" s="10"/>
    </row>
    <row r="1040" spans="1:93">
      <c r="A1040" s="10"/>
      <c r="B1040" s="10"/>
      <c r="C1040" s="17" t="s">
        <v>1106</v>
      </c>
      <c r="D1040" s="10"/>
      <c r="E1040" s="62"/>
      <c r="F1040" s="10"/>
      <c r="G1040" s="11" t="s">
        <v>28</v>
      </c>
      <c r="H1040" s="10"/>
      <c r="I1040" s="10"/>
      <c r="J1040" s="10"/>
      <c r="K1040" s="10"/>
      <c r="L1040" s="178">
        <f t="shared" ref="L1040:BW1040" si="6745">VAT_Rate_Periods</f>
        <v>0.2</v>
      </c>
      <c r="M1040" s="178">
        <f t="shared" si="6745"/>
        <v>0.2</v>
      </c>
      <c r="N1040" s="178">
        <f t="shared" si="6745"/>
        <v>0.2</v>
      </c>
      <c r="O1040" s="178">
        <f t="shared" si="6745"/>
        <v>0.2</v>
      </c>
      <c r="P1040" s="178">
        <f t="shared" si="6745"/>
        <v>0.2</v>
      </c>
      <c r="Q1040" s="178">
        <f t="shared" si="6745"/>
        <v>0.2</v>
      </c>
      <c r="R1040" s="178">
        <f t="shared" si="6745"/>
        <v>0.2</v>
      </c>
      <c r="S1040" s="178">
        <f t="shared" si="6745"/>
        <v>0.2</v>
      </c>
      <c r="T1040" s="178">
        <f t="shared" si="6745"/>
        <v>0.2</v>
      </c>
      <c r="U1040" s="178">
        <f t="shared" si="6745"/>
        <v>0.2</v>
      </c>
      <c r="V1040" s="178">
        <f t="shared" si="6745"/>
        <v>0.2</v>
      </c>
      <c r="W1040" s="178">
        <f t="shared" si="6745"/>
        <v>0.2</v>
      </c>
      <c r="X1040" s="178">
        <f t="shared" si="6745"/>
        <v>0.2</v>
      </c>
      <c r="Y1040" s="178">
        <f t="shared" si="6745"/>
        <v>0.2</v>
      </c>
      <c r="Z1040" s="178">
        <f t="shared" si="6745"/>
        <v>0.2</v>
      </c>
      <c r="AA1040" s="178">
        <f t="shared" si="6745"/>
        <v>0.2</v>
      </c>
      <c r="AB1040" s="178">
        <f t="shared" si="6745"/>
        <v>0.2</v>
      </c>
      <c r="AC1040" s="178">
        <f t="shared" si="6745"/>
        <v>0.2</v>
      </c>
      <c r="AD1040" s="178">
        <f t="shared" si="6745"/>
        <v>0.2</v>
      </c>
      <c r="AE1040" s="178">
        <f t="shared" si="6745"/>
        <v>0.2</v>
      </c>
      <c r="AF1040" s="178">
        <f t="shared" si="6745"/>
        <v>0.2</v>
      </c>
      <c r="AG1040" s="178">
        <f t="shared" si="6745"/>
        <v>0.2</v>
      </c>
      <c r="AH1040" s="178">
        <f t="shared" si="6745"/>
        <v>0.2</v>
      </c>
      <c r="AI1040" s="178">
        <f t="shared" si="6745"/>
        <v>0.2</v>
      </c>
      <c r="AJ1040" s="178">
        <f t="shared" si="6745"/>
        <v>0.2</v>
      </c>
      <c r="AK1040" s="178">
        <f t="shared" si="6745"/>
        <v>0.2</v>
      </c>
      <c r="AL1040" s="178">
        <f t="shared" si="6745"/>
        <v>0.2</v>
      </c>
      <c r="AM1040" s="178">
        <f t="shared" si="6745"/>
        <v>0.2</v>
      </c>
      <c r="AN1040" s="178">
        <f t="shared" si="6745"/>
        <v>0.2</v>
      </c>
      <c r="AO1040" s="178">
        <f t="shared" si="6745"/>
        <v>0.2</v>
      </c>
      <c r="AP1040" s="178">
        <f t="shared" si="6745"/>
        <v>0.2</v>
      </c>
      <c r="AQ1040" s="178">
        <f t="shared" si="6745"/>
        <v>0.2</v>
      </c>
      <c r="AR1040" s="178">
        <f t="shared" si="6745"/>
        <v>0.2</v>
      </c>
      <c r="AS1040" s="178">
        <f t="shared" si="6745"/>
        <v>0.2</v>
      </c>
      <c r="AT1040" s="178">
        <f t="shared" si="6745"/>
        <v>0.2</v>
      </c>
      <c r="AU1040" s="178">
        <f t="shared" si="6745"/>
        <v>0.2</v>
      </c>
      <c r="AV1040" s="178">
        <f t="shared" si="6745"/>
        <v>0.2</v>
      </c>
      <c r="AW1040" s="178">
        <f t="shared" si="6745"/>
        <v>0.2</v>
      </c>
      <c r="AX1040" s="178">
        <f t="shared" si="6745"/>
        <v>0.2</v>
      </c>
      <c r="AY1040" s="178">
        <f t="shared" si="6745"/>
        <v>0.2</v>
      </c>
      <c r="AZ1040" s="178">
        <f t="shared" si="6745"/>
        <v>0.2</v>
      </c>
      <c r="BA1040" s="178">
        <f t="shared" si="6745"/>
        <v>0.2</v>
      </c>
      <c r="BB1040" s="178">
        <f t="shared" si="6745"/>
        <v>0.2</v>
      </c>
      <c r="BC1040" s="178">
        <f t="shared" si="6745"/>
        <v>0.2</v>
      </c>
      <c r="BD1040" s="178">
        <f t="shared" si="6745"/>
        <v>0.2</v>
      </c>
      <c r="BE1040" s="178">
        <f t="shared" si="6745"/>
        <v>0.2</v>
      </c>
      <c r="BF1040" s="178">
        <f t="shared" si="6745"/>
        <v>0.2</v>
      </c>
      <c r="BG1040" s="178">
        <f t="shared" si="6745"/>
        <v>0.2</v>
      </c>
      <c r="BH1040" s="178">
        <f t="shared" si="6745"/>
        <v>0.2</v>
      </c>
      <c r="BI1040" s="178">
        <f t="shared" si="6745"/>
        <v>0.2</v>
      </c>
      <c r="BJ1040" s="178">
        <f t="shared" si="6745"/>
        <v>0.2</v>
      </c>
      <c r="BK1040" s="178">
        <f t="shared" si="6745"/>
        <v>0.2</v>
      </c>
      <c r="BL1040" s="178">
        <f t="shared" si="6745"/>
        <v>0.2</v>
      </c>
      <c r="BM1040" s="178">
        <f t="shared" si="6745"/>
        <v>0.2</v>
      </c>
      <c r="BN1040" s="178">
        <f t="shared" si="6745"/>
        <v>0.2</v>
      </c>
      <c r="BO1040" s="178">
        <f t="shared" si="6745"/>
        <v>0.2</v>
      </c>
      <c r="BP1040" s="178">
        <f t="shared" si="6745"/>
        <v>0.2</v>
      </c>
      <c r="BQ1040" s="178">
        <f t="shared" si="6745"/>
        <v>0.2</v>
      </c>
      <c r="BR1040" s="178">
        <f t="shared" si="6745"/>
        <v>0.2</v>
      </c>
      <c r="BS1040" s="178">
        <f t="shared" si="6745"/>
        <v>0.2</v>
      </c>
      <c r="BT1040" s="178">
        <f t="shared" si="6745"/>
        <v>0.2</v>
      </c>
      <c r="BU1040" s="178">
        <f t="shared" si="6745"/>
        <v>0.2</v>
      </c>
      <c r="BV1040" s="178">
        <f t="shared" si="6745"/>
        <v>0.2</v>
      </c>
      <c r="BW1040" s="178">
        <f t="shared" si="6745"/>
        <v>0.2</v>
      </c>
      <c r="BX1040" s="178">
        <f t="shared" ref="BX1040:CO1040" si="6746">VAT_Rate_Periods</f>
        <v>0.2</v>
      </c>
      <c r="BY1040" s="178">
        <f t="shared" si="6746"/>
        <v>0.2</v>
      </c>
      <c r="BZ1040" s="178">
        <f t="shared" si="6746"/>
        <v>0.2</v>
      </c>
      <c r="CA1040" s="178">
        <f t="shared" si="6746"/>
        <v>0.2</v>
      </c>
      <c r="CB1040" s="178">
        <f t="shared" si="6746"/>
        <v>0.2</v>
      </c>
      <c r="CC1040" s="178">
        <f t="shared" si="6746"/>
        <v>0.2</v>
      </c>
      <c r="CD1040" s="178">
        <f t="shared" si="6746"/>
        <v>0.2</v>
      </c>
      <c r="CE1040" s="178">
        <f t="shared" si="6746"/>
        <v>0.2</v>
      </c>
      <c r="CF1040" s="178">
        <f t="shared" si="6746"/>
        <v>0.2</v>
      </c>
      <c r="CG1040" s="178">
        <f t="shared" si="6746"/>
        <v>0.2</v>
      </c>
      <c r="CH1040" s="178">
        <f t="shared" si="6746"/>
        <v>0.2</v>
      </c>
      <c r="CI1040" s="178">
        <f t="shared" si="6746"/>
        <v>0.2</v>
      </c>
      <c r="CJ1040" s="178">
        <f t="shared" si="6746"/>
        <v>0.2</v>
      </c>
      <c r="CK1040" s="178">
        <f t="shared" si="6746"/>
        <v>0.2</v>
      </c>
      <c r="CL1040" s="178">
        <f t="shared" si="6746"/>
        <v>0.2</v>
      </c>
      <c r="CM1040" s="178">
        <f t="shared" si="6746"/>
        <v>0.2</v>
      </c>
      <c r="CN1040" s="178">
        <f t="shared" si="6746"/>
        <v>0.2</v>
      </c>
      <c r="CO1040" s="178">
        <f t="shared" si="6746"/>
        <v>0.2</v>
      </c>
    </row>
    <row r="1041" spans="1:131">
      <c r="A1041" s="10"/>
      <c r="B1041" s="10"/>
      <c r="C1041" s="40" t="s">
        <v>1107</v>
      </c>
      <c r="D1041" s="10"/>
      <c r="E1041" s="178">
        <f>VAT_Rate_Zero</f>
        <v>0</v>
      </c>
      <c r="F1041" s="142"/>
      <c r="G1041" s="142" t="s">
        <v>28</v>
      </c>
      <c r="H1041" s="10"/>
      <c r="I1041" s="10"/>
      <c r="J1041" s="10"/>
      <c r="K1041" s="10"/>
      <c r="L1041" s="178">
        <f t="shared" ref="L1041:AQ1041" si="6747">VAT_Rate_Zero_Periods</f>
        <v>0.2</v>
      </c>
      <c r="M1041" s="178">
        <f t="shared" si="6747"/>
        <v>0.2</v>
      </c>
      <c r="N1041" s="178">
        <f t="shared" si="6747"/>
        <v>0.2</v>
      </c>
      <c r="O1041" s="178">
        <f t="shared" si="6747"/>
        <v>0.2</v>
      </c>
      <c r="P1041" s="178">
        <f t="shared" si="6747"/>
        <v>0.2</v>
      </c>
      <c r="Q1041" s="178">
        <f t="shared" si="6747"/>
        <v>0.2</v>
      </c>
      <c r="R1041" s="178">
        <f t="shared" si="6747"/>
        <v>0.2</v>
      </c>
      <c r="S1041" s="178">
        <f t="shared" si="6747"/>
        <v>0.2</v>
      </c>
      <c r="T1041" s="178">
        <f t="shared" si="6747"/>
        <v>0.2</v>
      </c>
      <c r="U1041" s="178">
        <f t="shared" si="6747"/>
        <v>0.2</v>
      </c>
      <c r="V1041" s="178">
        <f t="shared" si="6747"/>
        <v>0.2</v>
      </c>
      <c r="W1041" s="178">
        <f t="shared" si="6747"/>
        <v>0.2</v>
      </c>
      <c r="X1041" s="178">
        <f t="shared" si="6747"/>
        <v>0.2</v>
      </c>
      <c r="Y1041" s="178">
        <f t="shared" si="6747"/>
        <v>0.2</v>
      </c>
      <c r="Z1041" s="178">
        <f t="shared" si="6747"/>
        <v>0.2</v>
      </c>
      <c r="AA1041" s="178">
        <f t="shared" si="6747"/>
        <v>0.2</v>
      </c>
      <c r="AB1041" s="178">
        <f t="shared" si="6747"/>
        <v>0.2</v>
      </c>
      <c r="AC1041" s="178">
        <f t="shared" si="6747"/>
        <v>0</v>
      </c>
      <c r="AD1041" s="178">
        <f t="shared" si="6747"/>
        <v>0</v>
      </c>
      <c r="AE1041" s="178">
        <f t="shared" si="6747"/>
        <v>0</v>
      </c>
      <c r="AF1041" s="178">
        <f t="shared" si="6747"/>
        <v>0</v>
      </c>
      <c r="AG1041" s="178">
        <f t="shared" si="6747"/>
        <v>0</v>
      </c>
      <c r="AH1041" s="178">
        <f t="shared" si="6747"/>
        <v>0</v>
      </c>
      <c r="AI1041" s="178">
        <f t="shared" si="6747"/>
        <v>0</v>
      </c>
      <c r="AJ1041" s="178">
        <f t="shared" si="6747"/>
        <v>0</v>
      </c>
      <c r="AK1041" s="178">
        <f t="shared" si="6747"/>
        <v>0</v>
      </c>
      <c r="AL1041" s="178">
        <f t="shared" si="6747"/>
        <v>0</v>
      </c>
      <c r="AM1041" s="178">
        <f t="shared" si="6747"/>
        <v>0</v>
      </c>
      <c r="AN1041" s="178">
        <f t="shared" si="6747"/>
        <v>0</v>
      </c>
      <c r="AO1041" s="178">
        <f t="shared" si="6747"/>
        <v>0</v>
      </c>
      <c r="AP1041" s="178">
        <f t="shared" si="6747"/>
        <v>0</v>
      </c>
      <c r="AQ1041" s="178">
        <f t="shared" si="6747"/>
        <v>0</v>
      </c>
      <c r="AR1041" s="178">
        <f t="shared" ref="AR1041:BW1041" si="6748">VAT_Rate_Zero_Periods</f>
        <v>0</v>
      </c>
      <c r="AS1041" s="178">
        <f t="shared" si="6748"/>
        <v>0</v>
      </c>
      <c r="AT1041" s="178">
        <f t="shared" si="6748"/>
        <v>0</v>
      </c>
      <c r="AU1041" s="178">
        <f t="shared" si="6748"/>
        <v>0</v>
      </c>
      <c r="AV1041" s="178">
        <f t="shared" si="6748"/>
        <v>0</v>
      </c>
      <c r="AW1041" s="178">
        <f t="shared" si="6748"/>
        <v>0.2</v>
      </c>
      <c r="AX1041" s="178">
        <f t="shared" si="6748"/>
        <v>0.2</v>
      </c>
      <c r="AY1041" s="178">
        <f t="shared" si="6748"/>
        <v>0.2</v>
      </c>
      <c r="AZ1041" s="178">
        <f t="shared" si="6748"/>
        <v>0.2</v>
      </c>
      <c r="BA1041" s="178">
        <f t="shared" si="6748"/>
        <v>0.2</v>
      </c>
      <c r="BB1041" s="178">
        <f t="shared" si="6748"/>
        <v>0.2</v>
      </c>
      <c r="BC1041" s="178">
        <f t="shared" si="6748"/>
        <v>0.2</v>
      </c>
      <c r="BD1041" s="178">
        <f t="shared" si="6748"/>
        <v>0.2</v>
      </c>
      <c r="BE1041" s="178">
        <f t="shared" si="6748"/>
        <v>0.2</v>
      </c>
      <c r="BF1041" s="178">
        <f t="shared" si="6748"/>
        <v>0.2</v>
      </c>
      <c r="BG1041" s="178">
        <f t="shared" si="6748"/>
        <v>0.2</v>
      </c>
      <c r="BH1041" s="178">
        <f t="shared" si="6748"/>
        <v>0.2</v>
      </c>
      <c r="BI1041" s="178">
        <f t="shared" si="6748"/>
        <v>0.2</v>
      </c>
      <c r="BJ1041" s="178">
        <f t="shared" si="6748"/>
        <v>0.2</v>
      </c>
      <c r="BK1041" s="178">
        <f t="shared" si="6748"/>
        <v>0.2</v>
      </c>
      <c r="BL1041" s="178">
        <f t="shared" si="6748"/>
        <v>0.2</v>
      </c>
      <c r="BM1041" s="178">
        <f t="shared" si="6748"/>
        <v>0.2</v>
      </c>
      <c r="BN1041" s="178">
        <f t="shared" si="6748"/>
        <v>0.2</v>
      </c>
      <c r="BO1041" s="178">
        <f t="shared" si="6748"/>
        <v>0.2</v>
      </c>
      <c r="BP1041" s="178">
        <f t="shared" si="6748"/>
        <v>0.2</v>
      </c>
      <c r="BQ1041" s="178">
        <f t="shared" si="6748"/>
        <v>0.2</v>
      </c>
      <c r="BR1041" s="178">
        <f t="shared" si="6748"/>
        <v>0.2</v>
      </c>
      <c r="BS1041" s="178">
        <f t="shared" si="6748"/>
        <v>0.2</v>
      </c>
      <c r="BT1041" s="178">
        <f t="shared" si="6748"/>
        <v>0.2</v>
      </c>
      <c r="BU1041" s="178">
        <f t="shared" si="6748"/>
        <v>0.2</v>
      </c>
      <c r="BV1041" s="178">
        <f t="shared" si="6748"/>
        <v>0.2</v>
      </c>
      <c r="BW1041" s="178">
        <f t="shared" si="6748"/>
        <v>0.2</v>
      </c>
      <c r="BX1041" s="178">
        <f t="shared" ref="BX1041:CO1041" si="6749">VAT_Rate_Zero_Periods</f>
        <v>0.2</v>
      </c>
      <c r="BY1041" s="178">
        <f t="shared" si="6749"/>
        <v>0.2</v>
      </c>
      <c r="BZ1041" s="178">
        <f t="shared" si="6749"/>
        <v>0.2</v>
      </c>
      <c r="CA1041" s="178">
        <f t="shared" si="6749"/>
        <v>0.2</v>
      </c>
      <c r="CB1041" s="178">
        <f t="shared" si="6749"/>
        <v>0.2</v>
      </c>
      <c r="CC1041" s="178">
        <f t="shared" si="6749"/>
        <v>0.2</v>
      </c>
      <c r="CD1041" s="178">
        <f t="shared" si="6749"/>
        <v>0.2</v>
      </c>
      <c r="CE1041" s="178">
        <f t="shared" si="6749"/>
        <v>0.2</v>
      </c>
      <c r="CF1041" s="178">
        <f t="shared" si="6749"/>
        <v>0.2</v>
      </c>
      <c r="CG1041" s="178">
        <f t="shared" si="6749"/>
        <v>0.2</v>
      </c>
      <c r="CH1041" s="178">
        <f t="shared" si="6749"/>
        <v>0.2</v>
      </c>
      <c r="CI1041" s="178">
        <f t="shared" si="6749"/>
        <v>0.2</v>
      </c>
      <c r="CJ1041" s="178">
        <f t="shared" si="6749"/>
        <v>0.2</v>
      </c>
      <c r="CK1041" s="178">
        <f t="shared" si="6749"/>
        <v>0.2</v>
      </c>
      <c r="CL1041" s="178">
        <f t="shared" si="6749"/>
        <v>0.2</v>
      </c>
      <c r="CM1041" s="178">
        <f t="shared" si="6749"/>
        <v>0.2</v>
      </c>
      <c r="CN1041" s="178">
        <f t="shared" si="6749"/>
        <v>0.2</v>
      </c>
      <c r="CO1041" s="178">
        <f t="shared" si="6749"/>
        <v>0.2</v>
      </c>
    </row>
    <row r="1042" spans="1:131">
      <c r="A1042" s="10"/>
      <c r="B1042" s="10"/>
      <c r="C1042" s="40" t="s">
        <v>1108</v>
      </c>
      <c r="D1042" s="10"/>
      <c r="E1042" s="184">
        <f>Предпосылки!E643</f>
        <v>5</v>
      </c>
      <c r="F1042" s="10"/>
      <c r="G1042" s="11" t="s">
        <v>123</v>
      </c>
      <c r="H1042" s="10"/>
      <c r="I1042" s="10"/>
      <c r="J1042" s="10"/>
      <c r="K1042" s="10"/>
      <c r="L1042" s="10">
        <f t="shared" ref="L1042:AQ1042" si="6750" xml:space="preserve"> (Count_Operations_Periods &lt;=$E1042*Periods_in_Year) * Flag_Operations</f>
        <v>0</v>
      </c>
      <c r="M1042" s="10">
        <f t="shared" si="6750"/>
        <v>0</v>
      </c>
      <c r="N1042" s="10">
        <f t="shared" si="6750"/>
        <v>0</v>
      </c>
      <c r="O1042" s="10">
        <f t="shared" si="6750"/>
        <v>0</v>
      </c>
      <c r="P1042" s="10">
        <f t="shared" si="6750"/>
        <v>0</v>
      </c>
      <c r="Q1042" s="10">
        <f t="shared" si="6750"/>
        <v>0</v>
      </c>
      <c r="R1042" s="10">
        <f t="shared" si="6750"/>
        <v>0</v>
      </c>
      <c r="S1042" s="10">
        <f t="shared" si="6750"/>
        <v>0</v>
      </c>
      <c r="T1042" s="10">
        <f t="shared" si="6750"/>
        <v>0</v>
      </c>
      <c r="U1042" s="10">
        <f t="shared" si="6750"/>
        <v>0</v>
      </c>
      <c r="V1042" s="10">
        <f t="shared" si="6750"/>
        <v>0</v>
      </c>
      <c r="W1042" s="10">
        <f t="shared" si="6750"/>
        <v>0</v>
      </c>
      <c r="X1042" s="10">
        <f t="shared" si="6750"/>
        <v>0</v>
      </c>
      <c r="Y1042" s="10">
        <f t="shared" si="6750"/>
        <v>0</v>
      </c>
      <c r="Z1042" s="10">
        <f t="shared" si="6750"/>
        <v>0</v>
      </c>
      <c r="AA1042" s="10">
        <f t="shared" si="6750"/>
        <v>0</v>
      </c>
      <c r="AB1042" s="10">
        <f t="shared" si="6750"/>
        <v>0</v>
      </c>
      <c r="AC1042" s="10">
        <f t="shared" si="6750"/>
        <v>1</v>
      </c>
      <c r="AD1042" s="10">
        <f t="shared" si="6750"/>
        <v>1</v>
      </c>
      <c r="AE1042" s="10">
        <f t="shared" si="6750"/>
        <v>1</v>
      </c>
      <c r="AF1042" s="10">
        <f t="shared" si="6750"/>
        <v>1</v>
      </c>
      <c r="AG1042" s="10">
        <f t="shared" si="6750"/>
        <v>1</v>
      </c>
      <c r="AH1042" s="10">
        <f t="shared" si="6750"/>
        <v>1</v>
      </c>
      <c r="AI1042" s="10">
        <f t="shared" si="6750"/>
        <v>1</v>
      </c>
      <c r="AJ1042" s="10">
        <f t="shared" si="6750"/>
        <v>1</v>
      </c>
      <c r="AK1042" s="10">
        <f t="shared" si="6750"/>
        <v>1</v>
      </c>
      <c r="AL1042" s="10">
        <f t="shared" si="6750"/>
        <v>1</v>
      </c>
      <c r="AM1042" s="10">
        <f t="shared" si="6750"/>
        <v>1</v>
      </c>
      <c r="AN1042" s="10">
        <f t="shared" si="6750"/>
        <v>1</v>
      </c>
      <c r="AO1042" s="10">
        <f t="shared" si="6750"/>
        <v>1</v>
      </c>
      <c r="AP1042" s="10">
        <f t="shared" si="6750"/>
        <v>1</v>
      </c>
      <c r="AQ1042" s="10">
        <f t="shared" si="6750"/>
        <v>1</v>
      </c>
      <c r="AR1042" s="10">
        <f t="shared" ref="AR1042:BW1042" si="6751" xml:space="preserve"> (Count_Operations_Periods &lt;=$E1042*Periods_in_Year) * Flag_Operations</f>
        <v>1</v>
      </c>
      <c r="AS1042" s="10">
        <f t="shared" si="6751"/>
        <v>1</v>
      </c>
      <c r="AT1042" s="10">
        <f t="shared" si="6751"/>
        <v>1</v>
      </c>
      <c r="AU1042" s="10">
        <f t="shared" si="6751"/>
        <v>1</v>
      </c>
      <c r="AV1042" s="10">
        <f t="shared" si="6751"/>
        <v>1</v>
      </c>
      <c r="AW1042" s="10">
        <f t="shared" si="6751"/>
        <v>0</v>
      </c>
      <c r="AX1042" s="10">
        <f t="shared" si="6751"/>
        <v>0</v>
      </c>
      <c r="AY1042" s="10">
        <f t="shared" si="6751"/>
        <v>0</v>
      </c>
      <c r="AZ1042" s="10">
        <f t="shared" si="6751"/>
        <v>0</v>
      </c>
      <c r="BA1042" s="10">
        <f t="shared" si="6751"/>
        <v>0</v>
      </c>
      <c r="BB1042" s="10">
        <f t="shared" si="6751"/>
        <v>0</v>
      </c>
      <c r="BC1042" s="10">
        <f t="shared" si="6751"/>
        <v>0</v>
      </c>
      <c r="BD1042" s="10">
        <f t="shared" si="6751"/>
        <v>0</v>
      </c>
      <c r="BE1042" s="10">
        <f t="shared" si="6751"/>
        <v>0</v>
      </c>
      <c r="BF1042" s="10">
        <f t="shared" si="6751"/>
        <v>0</v>
      </c>
      <c r="BG1042" s="10">
        <f t="shared" si="6751"/>
        <v>0</v>
      </c>
      <c r="BH1042" s="10">
        <f t="shared" si="6751"/>
        <v>0</v>
      </c>
      <c r="BI1042" s="10">
        <f t="shared" si="6751"/>
        <v>0</v>
      </c>
      <c r="BJ1042" s="10">
        <f t="shared" si="6751"/>
        <v>0</v>
      </c>
      <c r="BK1042" s="10">
        <f t="shared" si="6751"/>
        <v>0</v>
      </c>
      <c r="BL1042" s="10">
        <f t="shared" si="6751"/>
        <v>0</v>
      </c>
      <c r="BM1042" s="10">
        <f t="shared" si="6751"/>
        <v>0</v>
      </c>
      <c r="BN1042" s="10">
        <f t="shared" si="6751"/>
        <v>0</v>
      </c>
      <c r="BO1042" s="10">
        <f t="shared" si="6751"/>
        <v>0</v>
      </c>
      <c r="BP1042" s="10">
        <f t="shared" si="6751"/>
        <v>0</v>
      </c>
      <c r="BQ1042" s="10">
        <f t="shared" si="6751"/>
        <v>0</v>
      </c>
      <c r="BR1042" s="10">
        <f t="shared" si="6751"/>
        <v>0</v>
      </c>
      <c r="BS1042" s="10">
        <f t="shared" si="6751"/>
        <v>0</v>
      </c>
      <c r="BT1042" s="10">
        <f t="shared" si="6751"/>
        <v>0</v>
      </c>
      <c r="BU1042" s="10">
        <f t="shared" si="6751"/>
        <v>0</v>
      </c>
      <c r="BV1042" s="10">
        <f t="shared" si="6751"/>
        <v>0</v>
      </c>
      <c r="BW1042" s="10">
        <f t="shared" si="6751"/>
        <v>0</v>
      </c>
      <c r="BX1042" s="10">
        <f t="shared" ref="BX1042:CO1042" si="6752" xml:space="preserve"> (Count_Operations_Periods &lt;=$E1042*Periods_in_Year) * Flag_Operations</f>
        <v>0</v>
      </c>
      <c r="BY1042" s="10">
        <f t="shared" si="6752"/>
        <v>0</v>
      </c>
      <c r="BZ1042" s="10">
        <f t="shared" si="6752"/>
        <v>0</v>
      </c>
      <c r="CA1042" s="10">
        <f t="shared" si="6752"/>
        <v>0</v>
      </c>
      <c r="CB1042" s="10">
        <f t="shared" si="6752"/>
        <v>0</v>
      </c>
      <c r="CC1042" s="10">
        <f t="shared" si="6752"/>
        <v>0</v>
      </c>
      <c r="CD1042" s="10">
        <f t="shared" si="6752"/>
        <v>0</v>
      </c>
      <c r="CE1042" s="10">
        <f t="shared" si="6752"/>
        <v>0</v>
      </c>
      <c r="CF1042" s="10">
        <f t="shared" si="6752"/>
        <v>0</v>
      </c>
      <c r="CG1042" s="10">
        <f t="shared" si="6752"/>
        <v>0</v>
      </c>
      <c r="CH1042" s="10">
        <f t="shared" si="6752"/>
        <v>0</v>
      </c>
      <c r="CI1042" s="10">
        <f t="shared" si="6752"/>
        <v>0</v>
      </c>
      <c r="CJ1042" s="10">
        <f t="shared" si="6752"/>
        <v>0</v>
      </c>
      <c r="CK1042" s="10">
        <f t="shared" si="6752"/>
        <v>0</v>
      </c>
      <c r="CL1042" s="10">
        <f t="shared" si="6752"/>
        <v>0</v>
      </c>
      <c r="CM1042" s="10">
        <f t="shared" si="6752"/>
        <v>0</v>
      </c>
      <c r="CN1042" s="10">
        <f t="shared" si="6752"/>
        <v>0</v>
      </c>
      <c r="CO1042" s="10">
        <f t="shared" si="6752"/>
        <v>0</v>
      </c>
    </row>
    <row r="1043" spans="1:131">
      <c r="A1043" s="10"/>
      <c r="B1043" s="10"/>
      <c r="C1043" s="10"/>
      <c r="D1043" s="10"/>
      <c r="E1043" s="62"/>
      <c r="F1043" s="10"/>
      <c r="G1043" s="11"/>
      <c r="H1043" s="11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  <c r="BB1043" s="10"/>
      <c r="BC1043" s="10"/>
      <c r="BD1043" s="10"/>
      <c r="BE1043" s="10"/>
      <c r="BF1043" s="10"/>
      <c r="BG1043" s="10"/>
      <c r="BH1043" s="10"/>
      <c r="BI1043" s="10"/>
      <c r="BJ1043" s="10"/>
      <c r="BK1043" s="10"/>
      <c r="BL1043" s="10"/>
      <c r="BM1043" s="10"/>
      <c r="BN1043" s="10"/>
      <c r="BO1043" s="10"/>
      <c r="BP1043" s="10"/>
      <c r="BQ1043" s="10"/>
      <c r="BR1043" s="10"/>
      <c r="BS1043" s="10"/>
      <c r="BT1043" s="10"/>
      <c r="BU1043" s="10"/>
      <c r="BV1043" s="10"/>
      <c r="BW1043" s="10"/>
      <c r="BX1043" s="10"/>
      <c r="BY1043" s="10"/>
      <c r="BZ1043" s="10"/>
      <c r="CA1043" s="10"/>
      <c r="CB1043" s="10"/>
      <c r="CC1043" s="10"/>
      <c r="CD1043" s="10"/>
      <c r="CE1043" s="10"/>
      <c r="CF1043" s="10"/>
      <c r="CG1043" s="10"/>
      <c r="CH1043" s="10"/>
      <c r="CI1043" s="10"/>
      <c r="CJ1043" s="10"/>
      <c r="CK1043" s="10"/>
      <c r="CL1043" s="10"/>
      <c r="CM1043" s="10"/>
      <c r="CN1043" s="10"/>
      <c r="CO1043" s="10"/>
    </row>
    <row r="1044" spans="1:131">
      <c r="A1044" s="10"/>
      <c r="B1044" s="10"/>
      <c r="C1044" s="87" t="s">
        <v>145</v>
      </c>
      <c r="D1044" s="10"/>
      <c r="E1044" s="62"/>
      <c r="F1044" s="10"/>
      <c r="G1044" s="11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  <c r="BB1044" s="10"/>
      <c r="BC1044" s="10"/>
      <c r="BD1044" s="10"/>
      <c r="BE1044" s="10"/>
      <c r="BF1044" s="10"/>
      <c r="BG1044" s="10"/>
      <c r="BH1044" s="10"/>
      <c r="BI1044" s="10"/>
      <c r="BJ1044" s="10"/>
      <c r="BK1044" s="10"/>
      <c r="BL1044" s="10"/>
      <c r="BM1044" s="10"/>
      <c r="BN1044" s="10"/>
      <c r="BO1044" s="10"/>
      <c r="BP1044" s="10"/>
      <c r="BQ1044" s="10"/>
      <c r="BR1044" s="10"/>
      <c r="BS1044" s="10"/>
      <c r="BT1044" s="10"/>
      <c r="BU1044" s="10"/>
      <c r="BV1044" s="10"/>
      <c r="BW1044" s="10"/>
      <c r="BX1044" s="10"/>
      <c r="BY1044" s="10"/>
      <c r="BZ1044" s="10"/>
      <c r="CA1044" s="10"/>
      <c r="CB1044" s="10"/>
      <c r="CC1044" s="10"/>
      <c r="CD1044" s="10"/>
      <c r="CE1044" s="10"/>
      <c r="CF1044" s="10"/>
      <c r="CG1044" s="10"/>
      <c r="CH1044" s="10"/>
      <c r="CI1044" s="10"/>
      <c r="CJ1044" s="10"/>
      <c r="CK1044" s="10"/>
      <c r="CL1044" s="10"/>
      <c r="CM1044" s="10"/>
      <c r="CN1044" s="10"/>
      <c r="CO1044" s="10"/>
    </row>
    <row r="1045" spans="1:131">
      <c r="A1045" s="10"/>
      <c r="B1045" s="10"/>
      <c r="C1045" s="17" t="s">
        <v>146</v>
      </c>
      <c r="D1045" s="10"/>
      <c r="E1045" s="62"/>
      <c r="F1045" s="10"/>
      <c r="G1045" s="134" t="str">
        <f>Monetary_Unit</f>
        <v>тыс. руб.</v>
      </c>
      <c r="H1045" s="10"/>
      <c r="I1045" s="10"/>
      <c r="J1045" s="10"/>
      <c r="K1045" s="10"/>
      <c r="L1045" s="10">
        <f t="shared" ref="L1045" si="6753">K1049</f>
        <v>0</v>
      </c>
      <c r="M1045" s="10">
        <f t="shared" ref="M1045" ca="1" si="6754">L1049</f>
        <v>0</v>
      </c>
      <c r="N1045" s="10">
        <f t="shared" ref="N1045" ca="1" si="6755">M1049</f>
        <v>0</v>
      </c>
      <c r="O1045" s="10">
        <f t="shared" ref="O1045" ca="1" si="6756">N1049</f>
        <v>0</v>
      </c>
      <c r="P1045" s="10">
        <f t="shared" ref="P1045" ca="1" si="6757">O1049</f>
        <v>0</v>
      </c>
      <c r="Q1045" s="10">
        <f t="shared" ref="Q1045" ca="1" si="6758">P1049</f>
        <v>0</v>
      </c>
      <c r="R1045" s="10">
        <f t="shared" ref="R1045" ca="1" si="6759">Q1049</f>
        <v>0</v>
      </c>
      <c r="S1045" s="10">
        <f t="shared" ref="S1045" ca="1" si="6760">R1049</f>
        <v>0</v>
      </c>
      <c r="T1045" s="10">
        <f t="shared" ref="T1045" ca="1" si="6761">S1049</f>
        <v>0</v>
      </c>
      <c r="U1045" s="10">
        <f t="shared" ref="U1045" ca="1" si="6762">T1049</f>
        <v>0</v>
      </c>
      <c r="V1045" s="10">
        <f t="shared" ref="V1045" ca="1" si="6763">U1049</f>
        <v>0</v>
      </c>
      <c r="W1045" s="10">
        <f t="shared" ref="W1045" ca="1" si="6764">V1049</f>
        <v>0</v>
      </c>
      <c r="X1045" s="10">
        <f t="shared" ref="X1045" ca="1" si="6765">W1049</f>
        <v>0</v>
      </c>
      <c r="Y1045" s="10">
        <f t="shared" ref="Y1045" ca="1" si="6766">X1049</f>
        <v>0</v>
      </c>
      <c r="Z1045" s="10">
        <f t="shared" ref="Z1045" ca="1" si="6767">Y1049</f>
        <v>0</v>
      </c>
      <c r="AA1045" s="10">
        <f t="shared" ref="AA1045" ca="1" si="6768">Z1049</f>
        <v>0</v>
      </c>
      <c r="AB1045" s="10">
        <f t="shared" ref="AB1045" ca="1" si="6769">AA1049</f>
        <v>0</v>
      </c>
      <c r="AC1045" s="10">
        <f t="shared" ref="AC1045" ca="1" si="6770">AB1049</f>
        <v>0</v>
      </c>
      <c r="AD1045" s="10">
        <f t="shared" ref="AD1045" ca="1" si="6771">AC1049</f>
        <v>0</v>
      </c>
      <c r="AE1045" s="10">
        <f t="shared" ref="AE1045" ca="1" si="6772">AD1049</f>
        <v>0</v>
      </c>
      <c r="AF1045" s="10">
        <f t="shared" ref="AF1045" ca="1" si="6773">AE1049</f>
        <v>0</v>
      </c>
      <c r="AG1045" s="10">
        <f t="shared" ref="AG1045" ca="1" si="6774">AF1049</f>
        <v>0</v>
      </c>
      <c r="AH1045" s="10">
        <f t="shared" ref="AH1045" ca="1" si="6775">AG1049</f>
        <v>0</v>
      </c>
      <c r="AI1045" s="10">
        <f t="shared" ref="AI1045" ca="1" si="6776">AH1049</f>
        <v>0</v>
      </c>
      <c r="AJ1045" s="10">
        <f t="shared" ref="AJ1045" ca="1" si="6777">AI1049</f>
        <v>0</v>
      </c>
      <c r="AK1045" s="10">
        <f t="shared" ref="AK1045" ca="1" si="6778">AJ1049</f>
        <v>0</v>
      </c>
      <c r="AL1045" s="10">
        <f t="shared" ref="AL1045" ca="1" si="6779">AK1049</f>
        <v>0</v>
      </c>
      <c r="AM1045" s="10">
        <f t="shared" ref="AM1045" ca="1" si="6780">AL1049</f>
        <v>0</v>
      </c>
      <c r="AN1045" s="10">
        <f t="shared" ref="AN1045" ca="1" si="6781">AM1049</f>
        <v>0</v>
      </c>
      <c r="AO1045" s="10">
        <f t="shared" ref="AO1045" ca="1" si="6782">AN1049</f>
        <v>0</v>
      </c>
      <c r="AP1045" s="10">
        <f t="shared" ref="AP1045" ca="1" si="6783">AO1049</f>
        <v>0</v>
      </c>
      <c r="AQ1045" s="10">
        <f t="shared" ref="AQ1045" ca="1" si="6784">AP1049</f>
        <v>0</v>
      </c>
      <c r="AR1045" s="10">
        <f t="shared" ref="AR1045" ca="1" si="6785">AQ1049</f>
        <v>0</v>
      </c>
      <c r="AS1045" s="10">
        <f t="shared" ref="AS1045" ca="1" si="6786">AR1049</f>
        <v>0</v>
      </c>
      <c r="AT1045" s="10">
        <f t="shared" ref="AT1045" ca="1" si="6787">AS1049</f>
        <v>0</v>
      </c>
      <c r="AU1045" s="10">
        <f t="shared" ref="AU1045" ca="1" si="6788">AT1049</f>
        <v>0</v>
      </c>
      <c r="AV1045" s="10">
        <f t="shared" ref="AV1045" ca="1" si="6789">AU1049</f>
        <v>0</v>
      </c>
      <c r="AW1045" s="10">
        <f t="shared" ref="AW1045" ca="1" si="6790">AV1049</f>
        <v>0</v>
      </c>
      <c r="AX1045" s="10">
        <f t="shared" ref="AX1045" ca="1" si="6791">AW1049</f>
        <v>79771.930508875987</v>
      </c>
      <c r="AY1045" s="10">
        <f t="shared" ref="AY1045" ca="1" si="6792">AX1049</f>
        <v>100108.42600259389</v>
      </c>
      <c r="AZ1045" s="10">
        <f t="shared" ref="AZ1045" ca="1" si="6793">AY1049</f>
        <v>57237.939196443214</v>
      </c>
      <c r="BA1045" s="10">
        <f t="shared" ref="BA1045" ca="1" si="6794">AZ1049</f>
        <v>54296.087583075976</v>
      </c>
      <c r="BB1045" s="10">
        <f t="shared" ref="BB1045" ca="1" si="6795">BA1049</f>
        <v>82962.807729231019</v>
      </c>
      <c r="BC1045" s="10">
        <f t="shared" ref="BC1045" ca="1" si="6796">BB1049</f>
        <v>104112.76304269758</v>
      </c>
      <c r="BD1045" s="10">
        <f t="shared" ref="BD1045" ca="1" si="6797">BC1049</f>
        <v>59527.456764300965</v>
      </c>
      <c r="BE1045" s="10">
        <f t="shared" ref="BE1045" ca="1" si="6798">BD1049</f>
        <v>57095.511384870639</v>
      </c>
      <c r="BF1045" s="10">
        <f t="shared" ref="BF1045" ca="1" si="6799">BE1049</f>
        <v>86281.480445490655</v>
      </c>
      <c r="BG1045" s="10">
        <f t="shared" ref="BG1045" ca="1" si="6800">BF1049</f>
        <v>108277.43733213625</v>
      </c>
      <c r="BH1045" s="10">
        <f t="shared" ref="BH1045" ca="1" si="6801">BG1049</f>
        <v>61908.720416273747</v>
      </c>
      <c r="BI1045" s="10">
        <f t="shared" ref="BI1045" ca="1" si="6802">BH1049</f>
        <v>58726.648329854957</v>
      </c>
      <c r="BJ1045" s="10">
        <f t="shared" ref="BJ1045" ca="1" si="6803">BI1049</f>
        <v>89732.572839936242</v>
      </c>
      <c r="BK1045" s="10">
        <f t="shared" ref="BK1045" ca="1" si="6804">BJ1049</f>
        <v>112608.36450698168</v>
      </c>
      <c r="BL1045" s="10">
        <f t="shared" ref="BL1045" ca="1" si="6805">BK1049</f>
        <v>64384.89723626792</v>
      </c>
      <c r="BM1045" s="10">
        <f t="shared" ref="BM1045" ca="1" si="6806">BL1049</f>
        <v>61075.714263049187</v>
      </c>
      <c r="BN1045" s="10">
        <f t="shared" ref="BN1045" ca="1" si="6807">BM1049</f>
        <v>93321.875753533706</v>
      </c>
      <c r="BO1045" s="10">
        <f t="shared" ref="BO1045" ca="1" si="6808">BN1049</f>
        <v>117112.69908726099</v>
      </c>
      <c r="BP1045" s="10">
        <f t="shared" ref="BP1045" ca="1" si="6809">BO1049</f>
        <v>66960.293125718599</v>
      </c>
      <c r="BQ1045" s="10">
        <f t="shared" ref="BQ1045" ca="1" si="6810">BP1049</f>
        <v>63518.74283357113</v>
      </c>
      <c r="BR1045" s="10">
        <f t="shared" ref="BR1045" ca="1" si="6811">BQ1049</f>
        <v>97054.750783675001</v>
      </c>
      <c r="BS1045" s="10">
        <f t="shared" ref="BS1045" ca="1" si="6812">BR1049</f>
        <v>121797.2070507514</v>
      </c>
      <c r="BT1045" s="10">
        <f t="shared" ref="BT1045" ca="1" si="6813">BS1049</f>
        <v>69638.704850747308</v>
      </c>
      <c r="BU1045" s="10">
        <f t="shared" ref="BU1045" ca="1" si="6814">BT1049</f>
        <v>66793.672731168321</v>
      </c>
      <c r="BV1045" s="10">
        <f t="shared" ref="BV1045" ca="1" si="6815">BU1049</f>
        <v>100937.12846862982</v>
      </c>
      <c r="BW1045" s="10">
        <f t="shared" ref="BW1045" ca="1" si="6816">BV1049</f>
        <v>126669.28691786304</v>
      </c>
      <c r="BX1045" s="10">
        <f t="shared" ref="BX1045" ca="1" si="6817">BW1049</f>
        <v>72424.446517624543</v>
      </c>
      <c r="BY1045" s="10">
        <f t="shared" ref="BY1045" ca="1" si="6818">BX1049</f>
        <v>68701.872248790503</v>
      </c>
      <c r="BZ1045" s="10">
        <f t="shared" ref="BZ1045" ca="1" si="6819">BY1049</f>
        <v>104974.41844762283</v>
      </c>
      <c r="CA1045" s="10">
        <f t="shared" ref="CA1045" ca="1" si="6820">BZ1049</f>
        <v>131735.85914609261</v>
      </c>
      <c r="CB1045" s="10">
        <f t="shared" ref="CB1045" ca="1" si="6821">CA1049</f>
        <v>75321.223166568292</v>
      </c>
      <c r="CC1045" s="10">
        <f t="shared" ref="CC1045" ca="1" si="6822">CB1049</f>
        <v>71449.947138742107</v>
      </c>
      <c r="CD1045" s="10">
        <f t="shared" ref="CD1045" ca="1" si="6823">CC1049</f>
        <v>109173.3951855278</v>
      </c>
      <c r="CE1045" s="10">
        <f t="shared" ref="CE1045" ca="1" si="6824">CD1049</f>
        <v>137005.29351193638</v>
      </c>
      <c r="CF1045" s="10">
        <f t="shared" ref="CF1045" ca="1" si="6825">CE1049</f>
        <v>78334.072093231021</v>
      </c>
      <c r="CG1045" s="10">
        <f t="shared" ref="CG1045" ca="1" si="6826">CF1049</f>
        <v>74307.945024291781</v>
      </c>
      <c r="CH1045" s="10">
        <f t="shared" ref="CH1045" ca="1" si="6827">CG1049</f>
        <v>113540.33099294886</v>
      </c>
      <c r="CI1045" s="10">
        <f t="shared" ref="CI1045" ca="1" si="6828">CH1049</f>
        <v>142485.50525241374</v>
      </c>
      <c r="CJ1045" s="10">
        <f t="shared" ref="CJ1045" ca="1" si="6829">CI1049</f>
        <v>81467.434976960241</v>
      </c>
      <c r="CK1045" s="10">
        <f t="shared" ref="CK1045" ca="1" si="6830">CJ1049</f>
        <v>78139.149798395738</v>
      </c>
      <c r="CL1045" s="10">
        <f t="shared" ref="CL1045" ca="1" si="6831">CK1049</f>
        <v>118082.1637608462</v>
      </c>
      <c r="CM1045" s="10">
        <f t="shared" ref="CM1045" ca="1" si="6832">CL1049</f>
        <v>148185.14958995796</v>
      </c>
      <c r="CN1045" s="10">
        <f t="shared" ref="CN1045" ca="1" si="6833">CM1049</f>
        <v>84726.358711905195</v>
      </c>
      <c r="CO1045" s="10">
        <f t="shared" ref="CO1045" ca="1" si="6834">CN1049</f>
        <v>80371.473338273965</v>
      </c>
    </row>
    <row r="1046" spans="1:131">
      <c r="A1046" s="10"/>
      <c r="B1046" s="10"/>
      <c r="C1046" s="17" t="s">
        <v>147</v>
      </c>
      <c r="D1046" s="10"/>
      <c r="E1046" s="62"/>
      <c r="F1046" s="10"/>
      <c r="G1046" s="134" t="str">
        <f>Monetary_Unit</f>
        <v>тыс. руб.</v>
      </c>
      <c r="H1046" s="10"/>
      <c r="I1046" s="23">
        <f ca="1">SUM(L1046:CO1046)</f>
        <v>4055144.3800891014</v>
      </c>
      <c r="J1046" s="10"/>
      <c r="K1046" s="10"/>
      <c r="L1046" s="10">
        <f t="shared" ref="L1046" ca="1" si="6835">MAX(L1038,0)</f>
        <v>0</v>
      </c>
      <c r="M1046" s="10">
        <f t="shared" ref="M1046:BX1046" ca="1" si="6836">MAX(M1038,0)</f>
        <v>0</v>
      </c>
      <c r="N1046" s="10">
        <f t="shared" ca="1" si="6836"/>
        <v>0</v>
      </c>
      <c r="O1046" s="10">
        <f t="shared" ca="1" si="6836"/>
        <v>0</v>
      </c>
      <c r="P1046" s="10">
        <f t="shared" ca="1" si="6836"/>
        <v>0</v>
      </c>
      <c r="Q1046" s="10">
        <f t="shared" ca="1" si="6836"/>
        <v>0</v>
      </c>
      <c r="R1046" s="10">
        <f t="shared" ca="1" si="6836"/>
        <v>0</v>
      </c>
      <c r="S1046" s="10">
        <f t="shared" ca="1" si="6836"/>
        <v>0</v>
      </c>
      <c r="T1046" s="10">
        <f t="shared" ca="1" si="6836"/>
        <v>0</v>
      </c>
      <c r="U1046" s="10">
        <f t="shared" ca="1" si="6836"/>
        <v>0</v>
      </c>
      <c r="V1046" s="10">
        <f t="shared" ca="1" si="6836"/>
        <v>0</v>
      </c>
      <c r="W1046" s="10">
        <f t="shared" ca="1" si="6836"/>
        <v>0</v>
      </c>
      <c r="X1046" s="10">
        <f t="shared" ca="1" si="6836"/>
        <v>0</v>
      </c>
      <c r="Y1046" s="10">
        <f t="shared" ca="1" si="6836"/>
        <v>0</v>
      </c>
      <c r="Z1046" s="10">
        <f t="shared" ca="1" si="6836"/>
        <v>0</v>
      </c>
      <c r="AA1046" s="10">
        <f t="shared" ca="1" si="6836"/>
        <v>0</v>
      </c>
      <c r="AB1046" s="10">
        <f t="shared" ca="1" si="6836"/>
        <v>0</v>
      </c>
      <c r="AC1046" s="10">
        <f t="shared" ca="1" si="6836"/>
        <v>0</v>
      </c>
      <c r="AD1046" s="10">
        <f t="shared" ca="1" si="6836"/>
        <v>0</v>
      </c>
      <c r="AE1046" s="10">
        <f t="shared" ca="1" si="6836"/>
        <v>0</v>
      </c>
      <c r="AF1046" s="10">
        <f t="shared" ca="1" si="6836"/>
        <v>0</v>
      </c>
      <c r="AG1046" s="10">
        <f t="shared" ca="1" si="6836"/>
        <v>0</v>
      </c>
      <c r="AH1046" s="10">
        <f t="shared" ca="1" si="6836"/>
        <v>0</v>
      </c>
      <c r="AI1046" s="10">
        <f t="shared" ca="1" si="6836"/>
        <v>0</v>
      </c>
      <c r="AJ1046" s="10">
        <f t="shared" ca="1" si="6836"/>
        <v>0</v>
      </c>
      <c r="AK1046" s="10">
        <f t="shared" ca="1" si="6836"/>
        <v>0</v>
      </c>
      <c r="AL1046" s="10">
        <f t="shared" ca="1" si="6836"/>
        <v>0</v>
      </c>
      <c r="AM1046" s="10">
        <f t="shared" ca="1" si="6836"/>
        <v>0</v>
      </c>
      <c r="AN1046" s="10">
        <f t="shared" ca="1" si="6836"/>
        <v>0</v>
      </c>
      <c r="AO1046" s="10">
        <f t="shared" ca="1" si="6836"/>
        <v>0</v>
      </c>
      <c r="AP1046" s="10">
        <f t="shared" ca="1" si="6836"/>
        <v>0</v>
      </c>
      <c r="AQ1046" s="10">
        <f t="shared" ca="1" si="6836"/>
        <v>0</v>
      </c>
      <c r="AR1046" s="10">
        <f t="shared" ca="1" si="6836"/>
        <v>0</v>
      </c>
      <c r="AS1046" s="10">
        <f t="shared" ca="1" si="6836"/>
        <v>0</v>
      </c>
      <c r="AT1046" s="10">
        <f t="shared" ca="1" si="6836"/>
        <v>0</v>
      </c>
      <c r="AU1046" s="10">
        <f t="shared" ca="1" si="6836"/>
        <v>0</v>
      </c>
      <c r="AV1046" s="10">
        <f t="shared" ca="1" si="6836"/>
        <v>0</v>
      </c>
      <c r="AW1046" s="10">
        <f t="shared" ca="1" si="6836"/>
        <v>79771.930508875987</v>
      </c>
      <c r="AX1046" s="10">
        <f t="shared" ca="1" si="6836"/>
        <v>100108.42600259389</v>
      </c>
      <c r="AY1046" s="10">
        <f t="shared" ca="1" si="6836"/>
        <v>57237.939196443214</v>
      </c>
      <c r="AZ1046" s="10">
        <f t="shared" ca="1" si="6836"/>
        <v>54296.087583075983</v>
      </c>
      <c r="BA1046" s="10">
        <f t="shared" ca="1" si="6836"/>
        <v>82962.807729231004</v>
      </c>
      <c r="BB1046" s="10">
        <f t="shared" ca="1" si="6836"/>
        <v>104112.76304269757</v>
      </c>
      <c r="BC1046" s="10">
        <f t="shared" ca="1" si="6836"/>
        <v>59527.45676430095</v>
      </c>
      <c r="BD1046" s="10">
        <f t="shared" ca="1" si="6836"/>
        <v>57095.511384870617</v>
      </c>
      <c r="BE1046" s="10">
        <f t="shared" ca="1" si="6836"/>
        <v>86281.480445490641</v>
      </c>
      <c r="BF1046" s="10">
        <f t="shared" ca="1" si="6836"/>
        <v>108277.43733213624</v>
      </c>
      <c r="BG1046" s="10">
        <f t="shared" ca="1" si="6836"/>
        <v>61908.720416273733</v>
      </c>
      <c r="BH1046" s="10">
        <f t="shared" ca="1" si="6836"/>
        <v>58726.64832985495</v>
      </c>
      <c r="BI1046" s="10">
        <f t="shared" ca="1" si="6836"/>
        <v>89732.572839936212</v>
      </c>
      <c r="BJ1046" s="10">
        <f t="shared" ca="1" si="6836"/>
        <v>112608.36450698166</v>
      </c>
      <c r="BK1046" s="10">
        <f t="shared" ca="1" si="6836"/>
        <v>64384.897236267891</v>
      </c>
      <c r="BL1046" s="10">
        <f t="shared" ca="1" si="6836"/>
        <v>61075.714263049151</v>
      </c>
      <c r="BM1046" s="10">
        <f t="shared" ca="1" si="6836"/>
        <v>93321.875753533677</v>
      </c>
      <c r="BN1046" s="10">
        <f t="shared" ca="1" si="6836"/>
        <v>117112.69908726096</v>
      </c>
      <c r="BO1046" s="10">
        <f t="shared" ca="1" si="6836"/>
        <v>66960.29312571857</v>
      </c>
      <c r="BP1046" s="10">
        <f t="shared" ca="1" si="6836"/>
        <v>63518.742833571101</v>
      </c>
      <c r="BQ1046" s="10">
        <f t="shared" ca="1" si="6836"/>
        <v>97054.750783674972</v>
      </c>
      <c r="BR1046" s="10">
        <f t="shared" ca="1" si="6836"/>
        <v>121797.20705075137</v>
      </c>
      <c r="BS1046" s="10">
        <f t="shared" ca="1" si="6836"/>
        <v>69638.704850747294</v>
      </c>
      <c r="BT1046" s="10">
        <f t="shared" ca="1" si="6836"/>
        <v>66793.672731168306</v>
      </c>
      <c r="BU1046" s="10">
        <f t="shared" ca="1" si="6836"/>
        <v>100937.12846862979</v>
      </c>
      <c r="BV1046" s="10">
        <f t="shared" ca="1" si="6836"/>
        <v>126669.28691786301</v>
      </c>
      <c r="BW1046" s="10">
        <f t="shared" ca="1" si="6836"/>
        <v>72424.446517624528</v>
      </c>
      <c r="BX1046" s="10">
        <f t="shared" ca="1" si="6836"/>
        <v>68701.872248790489</v>
      </c>
      <c r="BY1046" s="10">
        <f t="shared" ref="BY1046:CO1046" ca="1" si="6837">MAX(BY1038,0)</f>
        <v>104974.4184476228</v>
      </c>
      <c r="BZ1046" s="10">
        <f t="shared" ca="1" si="6837"/>
        <v>131735.85914609258</v>
      </c>
      <c r="CA1046" s="10">
        <f t="shared" ca="1" si="6837"/>
        <v>75321.223166568263</v>
      </c>
      <c r="CB1046" s="10">
        <f t="shared" ca="1" si="6837"/>
        <v>71449.947138742078</v>
      </c>
      <c r="CC1046" s="10">
        <f t="shared" ca="1" si="6837"/>
        <v>109173.39518552777</v>
      </c>
      <c r="CD1046" s="10">
        <f t="shared" ca="1" si="6837"/>
        <v>137005.29351193635</v>
      </c>
      <c r="CE1046" s="10">
        <f t="shared" ca="1" si="6837"/>
        <v>78334.072093230992</v>
      </c>
      <c r="CF1046" s="10">
        <f t="shared" ca="1" si="6837"/>
        <v>74307.945024291766</v>
      </c>
      <c r="CG1046" s="10">
        <f t="shared" ca="1" si="6837"/>
        <v>113540.33099294885</v>
      </c>
      <c r="CH1046" s="10">
        <f t="shared" ca="1" si="6837"/>
        <v>142485.50525241374</v>
      </c>
      <c r="CI1046" s="10">
        <f t="shared" ca="1" si="6837"/>
        <v>81467.434976960256</v>
      </c>
      <c r="CJ1046" s="10">
        <f t="shared" ca="1" si="6837"/>
        <v>78139.149798395767</v>
      </c>
      <c r="CK1046" s="10">
        <f t="shared" ca="1" si="6837"/>
        <v>118082.16376084623</v>
      </c>
      <c r="CL1046" s="10">
        <f t="shared" ca="1" si="6837"/>
        <v>148185.14958995799</v>
      </c>
      <c r="CM1046" s="10">
        <f t="shared" ca="1" si="6837"/>
        <v>84726.358711905224</v>
      </c>
      <c r="CN1046" s="10">
        <f t="shared" ca="1" si="6837"/>
        <v>80371.473338273994</v>
      </c>
      <c r="CO1046" s="10">
        <f t="shared" ca="1" si="6837"/>
        <v>122805.22200197344</v>
      </c>
    </row>
    <row r="1047" spans="1:131">
      <c r="A1047" s="10"/>
      <c r="B1047" s="10"/>
      <c r="C1047" s="17" t="s">
        <v>148</v>
      </c>
      <c r="D1047" s="10"/>
      <c r="E1047" s="62"/>
      <c r="F1047" s="10"/>
      <c r="G1047" s="134" t="str">
        <f>Monetary_Unit</f>
        <v>тыс. руб.</v>
      </c>
      <c r="H1047" s="10"/>
      <c r="I1047" s="23">
        <f ca="1">SUM(L1047:CO1047)</f>
        <v>-3932339.1580871278</v>
      </c>
      <c r="J1047" s="10"/>
      <c r="K1047" s="10"/>
      <c r="L1047" s="10">
        <f t="shared" ref="L1047:AQ1047" ca="1" si="6838">-(MAX(0,IF(MonthsCumulated/Months_in_Period&gt;=VAT_Periods_Payable,OFFSET(L1038,0,-VAT_Periods_Payable))))*OR(Flag_Forecast=1,NOT($E$1000))</f>
        <v>0</v>
      </c>
      <c r="M1047" s="10">
        <f t="shared" ca="1" si="6838"/>
        <v>0</v>
      </c>
      <c r="N1047" s="10">
        <f t="shared" ca="1" si="6838"/>
        <v>0</v>
      </c>
      <c r="O1047" s="10">
        <f t="shared" ca="1" si="6838"/>
        <v>0</v>
      </c>
      <c r="P1047" s="10">
        <f t="shared" ca="1" si="6838"/>
        <v>0</v>
      </c>
      <c r="Q1047" s="10">
        <f t="shared" ca="1" si="6838"/>
        <v>0</v>
      </c>
      <c r="R1047" s="10">
        <f t="shared" ca="1" si="6838"/>
        <v>0</v>
      </c>
      <c r="S1047" s="10">
        <f t="shared" ca="1" si="6838"/>
        <v>0</v>
      </c>
      <c r="T1047" s="10">
        <f t="shared" ca="1" si="6838"/>
        <v>0</v>
      </c>
      <c r="U1047" s="10">
        <f t="shared" ca="1" si="6838"/>
        <v>0</v>
      </c>
      <c r="V1047" s="10">
        <f t="shared" ca="1" si="6838"/>
        <v>0</v>
      </c>
      <c r="W1047" s="10">
        <f t="shared" ca="1" si="6838"/>
        <v>0</v>
      </c>
      <c r="X1047" s="10">
        <f t="shared" ca="1" si="6838"/>
        <v>0</v>
      </c>
      <c r="Y1047" s="10">
        <f t="shared" ca="1" si="6838"/>
        <v>0</v>
      </c>
      <c r="Z1047" s="10">
        <f t="shared" ca="1" si="6838"/>
        <v>0</v>
      </c>
      <c r="AA1047" s="10">
        <f t="shared" ca="1" si="6838"/>
        <v>0</v>
      </c>
      <c r="AB1047" s="10">
        <f t="shared" ca="1" si="6838"/>
        <v>0</v>
      </c>
      <c r="AC1047" s="10">
        <f t="shared" ca="1" si="6838"/>
        <v>0</v>
      </c>
      <c r="AD1047" s="10">
        <f t="shared" ca="1" si="6838"/>
        <v>0</v>
      </c>
      <c r="AE1047" s="10">
        <f t="shared" ca="1" si="6838"/>
        <v>0</v>
      </c>
      <c r="AF1047" s="10">
        <f t="shared" ca="1" si="6838"/>
        <v>0</v>
      </c>
      <c r="AG1047" s="10">
        <f t="shared" ca="1" si="6838"/>
        <v>0</v>
      </c>
      <c r="AH1047" s="10">
        <f t="shared" ca="1" si="6838"/>
        <v>0</v>
      </c>
      <c r="AI1047" s="10">
        <f t="shared" ca="1" si="6838"/>
        <v>0</v>
      </c>
      <c r="AJ1047" s="10">
        <f t="shared" ca="1" si="6838"/>
        <v>0</v>
      </c>
      <c r="AK1047" s="10">
        <f t="shared" ca="1" si="6838"/>
        <v>0</v>
      </c>
      <c r="AL1047" s="10">
        <f t="shared" ca="1" si="6838"/>
        <v>0</v>
      </c>
      <c r="AM1047" s="10">
        <f t="shared" ca="1" si="6838"/>
        <v>0</v>
      </c>
      <c r="AN1047" s="10">
        <f t="shared" ca="1" si="6838"/>
        <v>0</v>
      </c>
      <c r="AO1047" s="10">
        <f t="shared" ca="1" si="6838"/>
        <v>0</v>
      </c>
      <c r="AP1047" s="10">
        <f t="shared" ca="1" si="6838"/>
        <v>0</v>
      </c>
      <c r="AQ1047" s="10">
        <f t="shared" ca="1" si="6838"/>
        <v>0</v>
      </c>
      <c r="AR1047" s="10">
        <f t="shared" ref="AR1047:BW1047" ca="1" si="6839">-(MAX(0,IF(MonthsCumulated/Months_in_Period&gt;=VAT_Periods_Payable,OFFSET(AR1038,0,-VAT_Periods_Payable))))*OR(Flag_Forecast=1,NOT($E$1000))</f>
        <v>0</v>
      </c>
      <c r="AS1047" s="10">
        <f t="shared" ca="1" si="6839"/>
        <v>0</v>
      </c>
      <c r="AT1047" s="10">
        <f t="shared" ca="1" si="6839"/>
        <v>0</v>
      </c>
      <c r="AU1047" s="10">
        <f t="shared" ca="1" si="6839"/>
        <v>0</v>
      </c>
      <c r="AV1047" s="10">
        <f t="shared" ca="1" si="6839"/>
        <v>0</v>
      </c>
      <c r="AW1047" s="10">
        <f t="shared" ca="1" si="6839"/>
        <v>0</v>
      </c>
      <c r="AX1047" s="10">
        <f t="shared" ca="1" si="6839"/>
        <v>-79771.930508875987</v>
      </c>
      <c r="AY1047" s="10">
        <f t="shared" ca="1" si="6839"/>
        <v>-100108.42600259389</v>
      </c>
      <c r="AZ1047" s="10">
        <f t="shared" ca="1" si="6839"/>
        <v>-57237.939196443214</v>
      </c>
      <c r="BA1047" s="10">
        <f t="shared" ca="1" si="6839"/>
        <v>-54296.087583075983</v>
      </c>
      <c r="BB1047" s="10">
        <f t="shared" ca="1" si="6839"/>
        <v>-82962.807729231004</v>
      </c>
      <c r="BC1047" s="10">
        <f t="shared" ca="1" si="6839"/>
        <v>-104112.76304269757</v>
      </c>
      <c r="BD1047" s="10">
        <f t="shared" ca="1" si="6839"/>
        <v>-59527.45676430095</v>
      </c>
      <c r="BE1047" s="10">
        <f t="shared" ca="1" si="6839"/>
        <v>-57095.511384870617</v>
      </c>
      <c r="BF1047" s="10">
        <f t="shared" ca="1" si="6839"/>
        <v>-86281.480445490641</v>
      </c>
      <c r="BG1047" s="10">
        <f t="shared" ca="1" si="6839"/>
        <v>-108277.43733213624</v>
      </c>
      <c r="BH1047" s="10">
        <f t="shared" ca="1" si="6839"/>
        <v>-61908.720416273733</v>
      </c>
      <c r="BI1047" s="10">
        <f t="shared" ca="1" si="6839"/>
        <v>-58726.64832985495</v>
      </c>
      <c r="BJ1047" s="10">
        <f t="shared" ca="1" si="6839"/>
        <v>-89732.572839936212</v>
      </c>
      <c r="BK1047" s="10">
        <f t="shared" ca="1" si="6839"/>
        <v>-112608.36450698166</v>
      </c>
      <c r="BL1047" s="10">
        <f t="shared" ca="1" si="6839"/>
        <v>-64384.897236267891</v>
      </c>
      <c r="BM1047" s="10">
        <f t="shared" ca="1" si="6839"/>
        <v>-61075.714263049151</v>
      </c>
      <c r="BN1047" s="10">
        <f t="shared" ca="1" si="6839"/>
        <v>-93321.875753533677</v>
      </c>
      <c r="BO1047" s="10">
        <f t="shared" ca="1" si="6839"/>
        <v>-117112.69908726096</v>
      </c>
      <c r="BP1047" s="10">
        <f t="shared" ca="1" si="6839"/>
        <v>-66960.29312571857</v>
      </c>
      <c r="BQ1047" s="10">
        <f t="shared" ca="1" si="6839"/>
        <v>-63518.742833571101</v>
      </c>
      <c r="BR1047" s="10">
        <f t="shared" ca="1" si="6839"/>
        <v>-97054.750783674972</v>
      </c>
      <c r="BS1047" s="10">
        <f t="shared" ca="1" si="6839"/>
        <v>-121797.20705075137</v>
      </c>
      <c r="BT1047" s="10">
        <f t="shared" ca="1" si="6839"/>
        <v>-69638.704850747294</v>
      </c>
      <c r="BU1047" s="10">
        <f t="shared" ca="1" si="6839"/>
        <v>-66793.672731168306</v>
      </c>
      <c r="BV1047" s="10">
        <f t="shared" ca="1" si="6839"/>
        <v>-100937.12846862979</v>
      </c>
      <c r="BW1047" s="10">
        <f t="shared" ca="1" si="6839"/>
        <v>-126669.28691786301</v>
      </c>
      <c r="BX1047" s="10">
        <f t="shared" ref="BX1047:CO1047" ca="1" si="6840">-(MAX(0,IF(MonthsCumulated/Months_in_Period&gt;=VAT_Periods_Payable,OFFSET(BX1038,0,-VAT_Periods_Payable))))*OR(Flag_Forecast=1,NOT($E$1000))</f>
        <v>-72424.446517624528</v>
      </c>
      <c r="BY1047" s="10">
        <f t="shared" ca="1" si="6840"/>
        <v>-68701.872248790489</v>
      </c>
      <c r="BZ1047" s="10">
        <f t="shared" ca="1" si="6840"/>
        <v>-104974.4184476228</v>
      </c>
      <c r="CA1047" s="10">
        <f t="shared" ca="1" si="6840"/>
        <v>-131735.85914609258</v>
      </c>
      <c r="CB1047" s="10">
        <f t="shared" ca="1" si="6840"/>
        <v>-75321.223166568263</v>
      </c>
      <c r="CC1047" s="10">
        <f t="shared" ca="1" si="6840"/>
        <v>-71449.947138742078</v>
      </c>
      <c r="CD1047" s="10">
        <f t="shared" ca="1" si="6840"/>
        <v>-109173.39518552777</v>
      </c>
      <c r="CE1047" s="10">
        <f t="shared" ca="1" si="6840"/>
        <v>-137005.29351193635</v>
      </c>
      <c r="CF1047" s="10">
        <f t="shared" ca="1" si="6840"/>
        <v>-78334.072093230992</v>
      </c>
      <c r="CG1047" s="10">
        <f t="shared" ca="1" si="6840"/>
        <v>-74307.945024291766</v>
      </c>
      <c r="CH1047" s="10">
        <f t="shared" ca="1" si="6840"/>
        <v>-113540.33099294885</v>
      </c>
      <c r="CI1047" s="10">
        <f t="shared" ca="1" si="6840"/>
        <v>-142485.50525241374</v>
      </c>
      <c r="CJ1047" s="10">
        <f t="shared" ca="1" si="6840"/>
        <v>-81467.434976960256</v>
      </c>
      <c r="CK1047" s="10">
        <f t="shared" ca="1" si="6840"/>
        <v>-78139.149798395767</v>
      </c>
      <c r="CL1047" s="10">
        <f t="shared" ca="1" si="6840"/>
        <v>-118082.16376084623</v>
      </c>
      <c r="CM1047" s="10">
        <f t="shared" ca="1" si="6840"/>
        <v>-148185.14958995799</v>
      </c>
      <c r="CN1047" s="10">
        <f t="shared" ca="1" si="6840"/>
        <v>-84726.358711905224</v>
      </c>
      <c r="CO1047" s="10">
        <f t="shared" ca="1" si="6840"/>
        <v>-80371.473338273994</v>
      </c>
    </row>
    <row r="1048" spans="1:131">
      <c r="A1048" s="10"/>
      <c r="B1048" s="10"/>
      <c r="C1048" s="17" t="s">
        <v>399</v>
      </c>
      <c r="D1048" s="10"/>
      <c r="E1048" s="62"/>
      <c r="F1048" s="10"/>
      <c r="G1048" s="134" t="str">
        <f>Monetary_Unit</f>
        <v>тыс. руб.</v>
      </c>
      <c r="H1048" s="10"/>
      <c r="I1048" s="23">
        <f ca="1">SUM(L1048:CO1048)</f>
        <v>0</v>
      </c>
      <c r="J1048" s="10"/>
      <c r="K1048" s="10"/>
      <c r="L1048" s="10">
        <f t="shared" ref="L1048" ca="1" si="6841">-MAX(SUM(L1045:L1047),0)*Flag_Last_Operations*$E$1000</f>
        <v>0</v>
      </c>
      <c r="M1048" s="10">
        <f t="shared" ref="M1048" ca="1" si="6842">-MAX(SUM(M1045:M1047),0)*Flag_Last_Operations*$E$1000</f>
        <v>0</v>
      </c>
      <c r="N1048" s="10">
        <f t="shared" ref="N1048" ca="1" si="6843">-MAX(SUM(N1045:N1047),0)*Flag_Last_Operations*$E$1000</f>
        <v>0</v>
      </c>
      <c r="O1048" s="10">
        <f t="shared" ref="O1048" ca="1" si="6844">-MAX(SUM(O1045:O1047),0)*Flag_Last_Operations*$E$1000</f>
        <v>0</v>
      </c>
      <c r="P1048" s="10">
        <f t="shared" ref="P1048" ca="1" si="6845">-MAX(SUM(P1045:P1047),0)*Flag_Last_Operations*$E$1000</f>
        <v>0</v>
      </c>
      <c r="Q1048" s="10">
        <f t="shared" ref="Q1048" ca="1" si="6846">-MAX(SUM(Q1045:Q1047),0)*Flag_Last_Operations*$E$1000</f>
        <v>0</v>
      </c>
      <c r="R1048" s="10">
        <f t="shared" ref="R1048" ca="1" si="6847">-MAX(SUM(R1045:R1047),0)*Flag_Last_Operations*$E$1000</f>
        <v>0</v>
      </c>
      <c r="S1048" s="10">
        <f t="shared" ref="S1048" ca="1" si="6848">-MAX(SUM(S1045:S1047),0)*Flag_Last_Operations*$E$1000</f>
        <v>0</v>
      </c>
      <c r="T1048" s="10">
        <f t="shared" ref="T1048" ca="1" si="6849">-MAX(SUM(T1045:T1047),0)*Flag_Last_Operations*$E$1000</f>
        <v>0</v>
      </c>
      <c r="U1048" s="10">
        <f t="shared" ref="U1048" ca="1" si="6850">-MAX(SUM(U1045:U1047),0)*Flag_Last_Operations*$E$1000</f>
        <v>0</v>
      </c>
      <c r="V1048" s="10">
        <f t="shared" ref="V1048" ca="1" si="6851">-MAX(SUM(V1045:V1047),0)*Flag_Last_Operations*$E$1000</f>
        <v>0</v>
      </c>
      <c r="W1048" s="10">
        <f t="shared" ref="W1048" ca="1" si="6852">-MAX(SUM(W1045:W1047),0)*Flag_Last_Operations*$E$1000</f>
        <v>0</v>
      </c>
      <c r="X1048" s="10">
        <f t="shared" ref="X1048" ca="1" si="6853">-MAX(SUM(X1045:X1047),0)*Flag_Last_Operations*$E$1000</f>
        <v>0</v>
      </c>
      <c r="Y1048" s="10">
        <f t="shared" ref="Y1048" ca="1" si="6854">-MAX(SUM(Y1045:Y1047),0)*Flag_Last_Operations*$E$1000</f>
        <v>0</v>
      </c>
      <c r="Z1048" s="10">
        <f t="shared" ref="Z1048" ca="1" si="6855">-MAX(SUM(Z1045:Z1047),0)*Flag_Last_Operations*$E$1000</f>
        <v>0</v>
      </c>
      <c r="AA1048" s="10">
        <f t="shared" ref="AA1048" ca="1" si="6856">-MAX(SUM(AA1045:AA1047),0)*Flag_Last_Operations*$E$1000</f>
        <v>0</v>
      </c>
      <c r="AB1048" s="10">
        <f t="shared" ref="AB1048" ca="1" si="6857">-MAX(SUM(AB1045:AB1047),0)*Flag_Last_Operations*$E$1000</f>
        <v>0</v>
      </c>
      <c r="AC1048" s="10">
        <f t="shared" ref="AC1048" ca="1" si="6858">-MAX(SUM(AC1045:AC1047),0)*Flag_Last_Operations*$E$1000</f>
        <v>0</v>
      </c>
      <c r="AD1048" s="10">
        <f t="shared" ref="AD1048" ca="1" si="6859">-MAX(SUM(AD1045:AD1047),0)*Flag_Last_Operations*$E$1000</f>
        <v>0</v>
      </c>
      <c r="AE1048" s="10">
        <f t="shared" ref="AE1048" ca="1" si="6860">-MAX(SUM(AE1045:AE1047),0)*Flag_Last_Operations*$E$1000</f>
        <v>0</v>
      </c>
      <c r="AF1048" s="10">
        <f t="shared" ref="AF1048" ca="1" si="6861">-MAX(SUM(AF1045:AF1047),0)*Flag_Last_Operations*$E$1000</f>
        <v>0</v>
      </c>
      <c r="AG1048" s="10">
        <f t="shared" ref="AG1048" ca="1" si="6862">-MAX(SUM(AG1045:AG1047),0)*Flag_Last_Operations*$E$1000</f>
        <v>0</v>
      </c>
      <c r="AH1048" s="10">
        <f t="shared" ref="AH1048" ca="1" si="6863">-MAX(SUM(AH1045:AH1047),0)*Flag_Last_Operations*$E$1000</f>
        <v>0</v>
      </c>
      <c r="AI1048" s="10">
        <f t="shared" ref="AI1048" ca="1" si="6864">-MAX(SUM(AI1045:AI1047),0)*Flag_Last_Operations*$E$1000</f>
        <v>0</v>
      </c>
      <c r="AJ1048" s="10">
        <f t="shared" ref="AJ1048" ca="1" si="6865">-MAX(SUM(AJ1045:AJ1047),0)*Flag_Last_Operations*$E$1000</f>
        <v>0</v>
      </c>
      <c r="AK1048" s="10">
        <f t="shared" ref="AK1048" ca="1" si="6866">-MAX(SUM(AK1045:AK1047),0)*Flag_Last_Operations*$E$1000</f>
        <v>0</v>
      </c>
      <c r="AL1048" s="10">
        <f t="shared" ref="AL1048" ca="1" si="6867">-MAX(SUM(AL1045:AL1047),0)*Flag_Last_Operations*$E$1000</f>
        <v>0</v>
      </c>
      <c r="AM1048" s="10">
        <f t="shared" ref="AM1048" ca="1" si="6868">-MAX(SUM(AM1045:AM1047),0)*Flag_Last_Operations*$E$1000</f>
        <v>0</v>
      </c>
      <c r="AN1048" s="10">
        <f t="shared" ref="AN1048" ca="1" si="6869">-MAX(SUM(AN1045:AN1047),0)*Flag_Last_Operations*$E$1000</f>
        <v>0</v>
      </c>
      <c r="AO1048" s="10">
        <f t="shared" ref="AO1048" ca="1" si="6870">-MAX(SUM(AO1045:AO1047),0)*Flag_Last_Operations*$E$1000</f>
        <v>0</v>
      </c>
      <c r="AP1048" s="10">
        <f t="shared" ref="AP1048" ca="1" si="6871">-MAX(SUM(AP1045:AP1047),0)*Flag_Last_Operations*$E$1000</f>
        <v>0</v>
      </c>
      <c r="AQ1048" s="10">
        <f t="shared" ref="AQ1048" ca="1" si="6872">-MAX(SUM(AQ1045:AQ1047),0)*Flag_Last_Operations*$E$1000</f>
        <v>0</v>
      </c>
      <c r="AR1048" s="10">
        <f t="shared" ref="AR1048" ca="1" si="6873">-MAX(SUM(AR1045:AR1047),0)*Flag_Last_Operations*$E$1000</f>
        <v>0</v>
      </c>
      <c r="AS1048" s="10">
        <f t="shared" ref="AS1048" ca="1" si="6874">-MAX(SUM(AS1045:AS1047),0)*Flag_Last_Operations*$E$1000</f>
        <v>0</v>
      </c>
      <c r="AT1048" s="10">
        <f t="shared" ref="AT1048" ca="1" si="6875">-MAX(SUM(AT1045:AT1047),0)*Flag_Last_Operations*$E$1000</f>
        <v>0</v>
      </c>
      <c r="AU1048" s="10">
        <f t="shared" ref="AU1048" ca="1" si="6876">-MAX(SUM(AU1045:AU1047),0)*Flag_Last_Operations*$E$1000</f>
        <v>0</v>
      </c>
      <c r="AV1048" s="10">
        <f t="shared" ref="AV1048" ca="1" si="6877">-MAX(SUM(AV1045:AV1047),0)*Flag_Last_Operations*$E$1000</f>
        <v>0</v>
      </c>
      <c r="AW1048" s="10">
        <f t="shared" ref="AW1048" ca="1" si="6878">-MAX(SUM(AW1045:AW1047),0)*Flag_Last_Operations*$E$1000</f>
        <v>0</v>
      </c>
      <c r="AX1048" s="10">
        <f t="shared" ref="AX1048" ca="1" si="6879">-MAX(SUM(AX1045:AX1047),0)*Flag_Last_Operations*$E$1000</f>
        <v>0</v>
      </c>
      <c r="AY1048" s="10">
        <f t="shared" ref="AY1048" ca="1" si="6880">-MAX(SUM(AY1045:AY1047),0)*Flag_Last_Operations*$E$1000</f>
        <v>0</v>
      </c>
      <c r="AZ1048" s="10">
        <f t="shared" ref="AZ1048" ca="1" si="6881">-MAX(SUM(AZ1045:AZ1047),0)*Flag_Last_Operations*$E$1000</f>
        <v>0</v>
      </c>
      <c r="BA1048" s="10">
        <f t="shared" ref="BA1048" ca="1" si="6882">-MAX(SUM(BA1045:BA1047),0)*Flag_Last_Operations*$E$1000</f>
        <v>0</v>
      </c>
      <c r="BB1048" s="10">
        <f t="shared" ref="BB1048" ca="1" si="6883">-MAX(SUM(BB1045:BB1047),0)*Flag_Last_Operations*$E$1000</f>
        <v>0</v>
      </c>
      <c r="BC1048" s="10">
        <f t="shared" ref="BC1048" ca="1" si="6884">-MAX(SUM(BC1045:BC1047),0)*Flag_Last_Operations*$E$1000</f>
        <v>0</v>
      </c>
      <c r="BD1048" s="10">
        <f t="shared" ref="BD1048" ca="1" si="6885">-MAX(SUM(BD1045:BD1047),0)*Flag_Last_Operations*$E$1000</f>
        <v>0</v>
      </c>
      <c r="BE1048" s="10">
        <f t="shared" ref="BE1048" ca="1" si="6886">-MAX(SUM(BE1045:BE1047),0)*Flag_Last_Operations*$E$1000</f>
        <v>0</v>
      </c>
      <c r="BF1048" s="10">
        <f t="shared" ref="BF1048" ca="1" si="6887">-MAX(SUM(BF1045:BF1047),0)*Flag_Last_Operations*$E$1000</f>
        <v>0</v>
      </c>
      <c r="BG1048" s="10">
        <f t="shared" ref="BG1048" ca="1" si="6888">-MAX(SUM(BG1045:BG1047),0)*Flag_Last_Operations*$E$1000</f>
        <v>0</v>
      </c>
      <c r="BH1048" s="10">
        <f t="shared" ref="BH1048" ca="1" si="6889">-MAX(SUM(BH1045:BH1047),0)*Flag_Last_Operations*$E$1000</f>
        <v>0</v>
      </c>
      <c r="BI1048" s="10">
        <f t="shared" ref="BI1048" ca="1" si="6890">-MAX(SUM(BI1045:BI1047),0)*Flag_Last_Operations*$E$1000</f>
        <v>0</v>
      </c>
      <c r="BJ1048" s="10">
        <f t="shared" ref="BJ1048" ca="1" si="6891">-MAX(SUM(BJ1045:BJ1047),0)*Flag_Last_Operations*$E$1000</f>
        <v>0</v>
      </c>
      <c r="BK1048" s="10">
        <f t="shared" ref="BK1048" ca="1" si="6892">-MAX(SUM(BK1045:BK1047),0)*Flag_Last_Operations*$E$1000</f>
        <v>0</v>
      </c>
      <c r="BL1048" s="10">
        <f t="shared" ref="BL1048" ca="1" si="6893">-MAX(SUM(BL1045:BL1047),0)*Flag_Last_Operations*$E$1000</f>
        <v>0</v>
      </c>
      <c r="BM1048" s="10">
        <f t="shared" ref="BM1048" ca="1" si="6894">-MAX(SUM(BM1045:BM1047),0)*Flag_Last_Operations*$E$1000</f>
        <v>0</v>
      </c>
      <c r="BN1048" s="10">
        <f t="shared" ref="BN1048" ca="1" si="6895">-MAX(SUM(BN1045:BN1047),0)*Flag_Last_Operations*$E$1000</f>
        <v>0</v>
      </c>
      <c r="BO1048" s="10">
        <f t="shared" ref="BO1048" ca="1" si="6896">-MAX(SUM(BO1045:BO1047),0)*Flag_Last_Operations*$E$1000</f>
        <v>0</v>
      </c>
      <c r="BP1048" s="10">
        <f t="shared" ref="BP1048" ca="1" si="6897">-MAX(SUM(BP1045:BP1047),0)*Flag_Last_Operations*$E$1000</f>
        <v>0</v>
      </c>
      <c r="BQ1048" s="10">
        <f t="shared" ref="BQ1048" ca="1" si="6898">-MAX(SUM(BQ1045:BQ1047),0)*Flag_Last_Operations*$E$1000</f>
        <v>0</v>
      </c>
      <c r="BR1048" s="10">
        <f t="shared" ref="BR1048" ca="1" si="6899">-MAX(SUM(BR1045:BR1047),0)*Flag_Last_Operations*$E$1000</f>
        <v>0</v>
      </c>
      <c r="BS1048" s="10">
        <f t="shared" ref="BS1048" ca="1" si="6900">-MAX(SUM(BS1045:BS1047),0)*Flag_Last_Operations*$E$1000</f>
        <v>0</v>
      </c>
      <c r="BT1048" s="10">
        <f t="shared" ref="BT1048" ca="1" si="6901">-MAX(SUM(BT1045:BT1047),0)*Flag_Last_Operations*$E$1000</f>
        <v>0</v>
      </c>
      <c r="BU1048" s="10">
        <f t="shared" ref="BU1048" ca="1" si="6902">-MAX(SUM(BU1045:BU1047),0)*Flag_Last_Operations*$E$1000</f>
        <v>0</v>
      </c>
      <c r="BV1048" s="10">
        <f t="shared" ref="BV1048" ca="1" si="6903">-MAX(SUM(BV1045:BV1047),0)*Flag_Last_Operations*$E$1000</f>
        <v>0</v>
      </c>
      <c r="BW1048" s="10">
        <f t="shared" ref="BW1048" ca="1" si="6904">-MAX(SUM(BW1045:BW1047),0)*Flag_Last_Operations*$E$1000</f>
        <v>0</v>
      </c>
      <c r="BX1048" s="10">
        <f t="shared" ref="BX1048" ca="1" si="6905">-MAX(SUM(BX1045:BX1047),0)*Flag_Last_Operations*$E$1000</f>
        <v>0</v>
      </c>
      <c r="BY1048" s="10">
        <f t="shared" ref="BY1048" ca="1" si="6906">-MAX(SUM(BY1045:BY1047),0)*Flag_Last_Operations*$E$1000</f>
        <v>0</v>
      </c>
      <c r="BZ1048" s="10">
        <f t="shared" ref="BZ1048" ca="1" si="6907">-MAX(SUM(BZ1045:BZ1047),0)*Flag_Last_Operations*$E$1000</f>
        <v>0</v>
      </c>
      <c r="CA1048" s="10">
        <f t="shared" ref="CA1048" ca="1" si="6908">-MAX(SUM(CA1045:CA1047),0)*Flag_Last_Operations*$E$1000</f>
        <v>0</v>
      </c>
      <c r="CB1048" s="10">
        <f t="shared" ref="CB1048" ca="1" si="6909">-MAX(SUM(CB1045:CB1047),0)*Flag_Last_Operations*$E$1000</f>
        <v>0</v>
      </c>
      <c r="CC1048" s="10">
        <f t="shared" ref="CC1048" ca="1" si="6910">-MAX(SUM(CC1045:CC1047),0)*Flag_Last_Operations*$E$1000</f>
        <v>0</v>
      </c>
      <c r="CD1048" s="10">
        <f t="shared" ref="CD1048" ca="1" si="6911">-MAX(SUM(CD1045:CD1047),0)*Flag_Last_Operations*$E$1000</f>
        <v>0</v>
      </c>
      <c r="CE1048" s="10">
        <f t="shared" ref="CE1048" ca="1" si="6912">-MAX(SUM(CE1045:CE1047),0)*Flag_Last_Operations*$E$1000</f>
        <v>0</v>
      </c>
      <c r="CF1048" s="10">
        <f t="shared" ref="CF1048" ca="1" si="6913">-MAX(SUM(CF1045:CF1047),0)*Flag_Last_Operations*$E$1000</f>
        <v>0</v>
      </c>
      <c r="CG1048" s="10">
        <f t="shared" ref="CG1048" ca="1" si="6914">-MAX(SUM(CG1045:CG1047),0)*Flag_Last_Operations*$E$1000</f>
        <v>0</v>
      </c>
      <c r="CH1048" s="10">
        <f t="shared" ref="CH1048" ca="1" si="6915">-MAX(SUM(CH1045:CH1047),0)*Flag_Last_Operations*$E$1000</f>
        <v>0</v>
      </c>
      <c r="CI1048" s="10">
        <f t="shared" ref="CI1048" ca="1" si="6916">-MAX(SUM(CI1045:CI1047),0)*Flag_Last_Operations*$E$1000</f>
        <v>0</v>
      </c>
      <c r="CJ1048" s="10">
        <f t="shared" ref="CJ1048" ca="1" si="6917">-MAX(SUM(CJ1045:CJ1047),0)*Flag_Last_Operations*$E$1000</f>
        <v>0</v>
      </c>
      <c r="CK1048" s="10">
        <f t="shared" ref="CK1048" ca="1" si="6918">-MAX(SUM(CK1045:CK1047),0)*Flag_Last_Operations*$E$1000</f>
        <v>0</v>
      </c>
      <c r="CL1048" s="10">
        <f t="shared" ref="CL1048" ca="1" si="6919">-MAX(SUM(CL1045:CL1047),0)*Flag_Last_Operations*$E$1000</f>
        <v>0</v>
      </c>
      <c r="CM1048" s="10">
        <f t="shared" ref="CM1048" ca="1" si="6920">-MAX(SUM(CM1045:CM1047),0)*Flag_Last_Operations*$E$1000</f>
        <v>0</v>
      </c>
      <c r="CN1048" s="10">
        <f t="shared" ref="CN1048" ca="1" si="6921">-MAX(SUM(CN1045:CN1047),0)*Flag_Last_Operations*$E$1000</f>
        <v>0</v>
      </c>
      <c r="CO1048" s="10">
        <f t="shared" ref="CO1048" ca="1" si="6922">-MAX(SUM(CO1045:CO1047),0)*Flag_Last_Operations*$E$1000</f>
        <v>0</v>
      </c>
    </row>
    <row r="1049" spans="1:131">
      <c r="A1049" s="10"/>
      <c r="B1049" s="10"/>
      <c r="C1049" s="17" t="s">
        <v>149</v>
      </c>
      <c r="D1049" s="10"/>
      <c r="E1049" s="62"/>
      <c r="F1049" s="10"/>
      <c r="G1049" s="134" t="str">
        <f>Monetary_Unit</f>
        <v>тыс. руб.</v>
      </c>
      <c r="H1049" s="10"/>
      <c r="I1049" s="10"/>
      <c r="J1049" s="10"/>
      <c r="K1049" s="10"/>
      <c r="L1049" s="10">
        <f t="shared" ref="L1049" ca="1" si="6923">SUM(L1045:L1048)*ABS(SUM(L1045:L1048)&gt;Accuracy)</f>
        <v>0</v>
      </c>
      <c r="M1049" s="10">
        <f t="shared" ref="M1049:BX1049" ca="1" si="6924">SUM(M1045:M1048)*ABS(SUM(M1045:M1048)&gt;Accuracy)</f>
        <v>0</v>
      </c>
      <c r="N1049" s="10">
        <f t="shared" ca="1" si="6924"/>
        <v>0</v>
      </c>
      <c r="O1049" s="10">
        <f t="shared" ca="1" si="6924"/>
        <v>0</v>
      </c>
      <c r="P1049" s="10">
        <f t="shared" ca="1" si="6924"/>
        <v>0</v>
      </c>
      <c r="Q1049" s="10">
        <f t="shared" ca="1" si="6924"/>
        <v>0</v>
      </c>
      <c r="R1049" s="10">
        <f t="shared" ca="1" si="6924"/>
        <v>0</v>
      </c>
      <c r="S1049" s="10">
        <f t="shared" ca="1" si="6924"/>
        <v>0</v>
      </c>
      <c r="T1049" s="10">
        <f t="shared" ca="1" si="6924"/>
        <v>0</v>
      </c>
      <c r="U1049" s="10">
        <f t="shared" ca="1" si="6924"/>
        <v>0</v>
      </c>
      <c r="V1049" s="10">
        <f t="shared" ca="1" si="6924"/>
        <v>0</v>
      </c>
      <c r="W1049" s="10">
        <f t="shared" ca="1" si="6924"/>
        <v>0</v>
      </c>
      <c r="X1049" s="10">
        <f t="shared" ca="1" si="6924"/>
        <v>0</v>
      </c>
      <c r="Y1049" s="10">
        <f t="shared" ca="1" si="6924"/>
        <v>0</v>
      </c>
      <c r="Z1049" s="10">
        <f t="shared" ca="1" si="6924"/>
        <v>0</v>
      </c>
      <c r="AA1049" s="10">
        <f t="shared" ca="1" si="6924"/>
        <v>0</v>
      </c>
      <c r="AB1049" s="10">
        <f t="shared" ca="1" si="6924"/>
        <v>0</v>
      </c>
      <c r="AC1049" s="10">
        <f t="shared" ca="1" si="6924"/>
        <v>0</v>
      </c>
      <c r="AD1049" s="10">
        <f t="shared" ca="1" si="6924"/>
        <v>0</v>
      </c>
      <c r="AE1049" s="10">
        <f t="shared" ca="1" si="6924"/>
        <v>0</v>
      </c>
      <c r="AF1049" s="10">
        <f t="shared" ca="1" si="6924"/>
        <v>0</v>
      </c>
      <c r="AG1049" s="10">
        <f t="shared" ca="1" si="6924"/>
        <v>0</v>
      </c>
      <c r="AH1049" s="10">
        <f t="shared" ca="1" si="6924"/>
        <v>0</v>
      </c>
      <c r="AI1049" s="10">
        <f t="shared" ca="1" si="6924"/>
        <v>0</v>
      </c>
      <c r="AJ1049" s="10">
        <f t="shared" ca="1" si="6924"/>
        <v>0</v>
      </c>
      <c r="AK1049" s="10">
        <f t="shared" ca="1" si="6924"/>
        <v>0</v>
      </c>
      <c r="AL1049" s="10">
        <f t="shared" ca="1" si="6924"/>
        <v>0</v>
      </c>
      <c r="AM1049" s="10">
        <f t="shared" ca="1" si="6924"/>
        <v>0</v>
      </c>
      <c r="AN1049" s="10">
        <f t="shared" ca="1" si="6924"/>
        <v>0</v>
      </c>
      <c r="AO1049" s="10">
        <f t="shared" ca="1" si="6924"/>
        <v>0</v>
      </c>
      <c r="AP1049" s="10">
        <f t="shared" ca="1" si="6924"/>
        <v>0</v>
      </c>
      <c r="AQ1049" s="10">
        <f t="shared" ca="1" si="6924"/>
        <v>0</v>
      </c>
      <c r="AR1049" s="10">
        <f t="shared" ca="1" si="6924"/>
        <v>0</v>
      </c>
      <c r="AS1049" s="10">
        <f t="shared" ca="1" si="6924"/>
        <v>0</v>
      </c>
      <c r="AT1049" s="10">
        <f t="shared" ca="1" si="6924"/>
        <v>0</v>
      </c>
      <c r="AU1049" s="10">
        <f t="shared" ca="1" si="6924"/>
        <v>0</v>
      </c>
      <c r="AV1049" s="10">
        <f t="shared" ca="1" si="6924"/>
        <v>0</v>
      </c>
      <c r="AW1049" s="10">
        <f t="shared" ca="1" si="6924"/>
        <v>79771.930508875987</v>
      </c>
      <c r="AX1049" s="10">
        <f t="shared" ca="1" si="6924"/>
        <v>100108.42600259389</v>
      </c>
      <c r="AY1049" s="10">
        <f t="shared" ca="1" si="6924"/>
        <v>57237.939196443214</v>
      </c>
      <c r="AZ1049" s="10">
        <f t="shared" ca="1" si="6924"/>
        <v>54296.087583075976</v>
      </c>
      <c r="BA1049" s="10">
        <f t="shared" ca="1" si="6924"/>
        <v>82962.807729231019</v>
      </c>
      <c r="BB1049" s="10">
        <f t="shared" ca="1" si="6924"/>
        <v>104112.76304269758</v>
      </c>
      <c r="BC1049" s="10">
        <f t="shared" ca="1" si="6924"/>
        <v>59527.456764300965</v>
      </c>
      <c r="BD1049" s="10">
        <f t="shared" ca="1" si="6924"/>
        <v>57095.511384870639</v>
      </c>
      <c r="BE1049" s="10">
        <f t="shared" ca="1" si="6924"/>
        <v>86281.480445490655</v>
      </c>
      <c r="BF1049" s="10">
        <f t="shared" ca="1" si="6924"/>
        <v>108277.43733213625</v>
      </c>
      <c r="BG1049" s="10">
        <f t="shared" ca="1" si="6924"/>
        <v>61908.720416273747</v>
      </c>
      <c r="BH1049" s="10">
        <f t="shared" ca="1" si="6924"/>
        <v>58726.648329854957</v>
      </c>
      <c r="BI1049" s="10">
        <f t="shared" ca="1" si="6924"/>
        <v>89732.572839936242</v>
      </c>
      <c r="BJ1049" s="10">
        <f t="shared" ca="1" si="6924"/>
        <v>112608.36450698168</v>
      </c>
      <c r="BK1049" s="10">
        <f t="shared" ca="1" si="6924"/>
        <v>64384.89723626792</v>
      </c>
      <c r="BL1049" s="10">
        <f t="shared" ca="1" si="6924"/>
        <v>61075.714263049187</v>
      </c>
      <c r="BM1049" s="10">
        <f t="shared" ca="1" si="6924"/>
        <v>93321.875753533706</v>
      </c>
      <c r="BN1049" s="10">
        <f t="shared" ca="1" si="6924"/>
        <v>117112.69908726099</v>
      </c>
      <c r="BO1049" s="10">
        <f t="shared" ca="1" si="6924"/>
        <v>66960.293125718599</v>
      </c>
      <c r="BP1049" s="10">
        <f t="shared" ca="1" si="6924"/>
        <v>63518.74283357113</v>
      </c>
      <c r="BQ1049" s="10">
        <f t="shared" ca="1" si="6924"/>
        <v>97054.750783675001</v>
      </c>
      <c r="BR1049" s="10">
        <f t="shared" ca="1" si="6924"/>
        <v>121797.2070507514</v>
      </c>
      <c r="BS1049" s="10">
        <f t="shared" ca="1" si="6924"/>
        <v>69638.704850747308</v>
      </c>
      <c r="BT1049" s="10">
        <f t="shared" ca="1" si="6924"/>
        <v>66793.672731168321</v>
      </c>
      <c r="BU1049" s="10">
        <f t="shared" ca="1" si="6924"/>
        <v>100937.12846862982</v>
      </c>
      <c r="BV1049" s="10">
        <f t="shared" ca="1" si="6924"/>
        <v>126669.28691786304</v>
      </c>
      <c r="BW1049" s="10">
        <f t="shared" ca="1" si="6924"/>
        <v>72424.446517624543</v>
      </c>
      <c r="BX1049" s="10">
        <f t="shared" ca="1" si="6924"/>
        <v>68701.872248790503</v>
      </c>
      <c r="BY1049" s="10">
        <f t="shared" ref="BY1049:CO1049" ca="1" si="6925">SUM(BY1045:BY1048)*ABS(SUM(BY1045:BY1048)&gt;Accuracy)</f>
        <v>104974.41844762283</v>
      </c>
      <c r="BZ1049" s="10">
        <f t="shared" ca="1" si="6925"/>
        <v>131735.85914609261</v>
      </c>
      <c r="CA1049" s="10">
        <f t="shared" ca="1" si="6925"/>
        <v>75321.223166568292</v>
      </c>
      <c r="CB1049" s="10">
        <f t="shared" ca="1" si="6925"/>
        <v>71449.947138742107</v>
      </c>
      <c r="CC1049" s="10">
        <f t="shared" ca="1" si="6925"/>
        <v>109173.3951855278</v>
      </c>
      <c r="CD1049" s="10">
        <f t="shared" ca="1" si="6925"/>
        <v>137005.29351193638</v>
      </c>
      <c r="CE1049" s="10">
        <f t="shared" ca="1" si="6925"/>
        <v>78334.072093231021</v>
      </c>
      <c r="CF1049" s="10">
        <f t="shared" ca="1" si="6925"/>
        <v>74307.945024291781</v>
      </c>
      <c r="CG1049" s="10">
        <f t="shared" ca="1" si="6925"/>
        <v>113540.33099294886</v>
      </c>
      <c r="CH1049" s="10">
        <f t="shared" ca="1" si="6925"/>
        <v>142485.50525241374</v>
      </c>
      <c r="CI1049" s="10">
        <f t="shared" ca="1" si="6925"/>
        <v>81467.434976960241</v>
      </c>
      <c r="CJ1049" s="10">
        <f t="shared" ca="1" si="6925"/>
        <v>78139.149798395738</v>
      </c>
      <c r="CK1049" s="10">
        <f t="shared" ca="1" si="6925"/>
        <v>118082.1637608462</v>
      </c>
      <c r="CL1049" s="10">
        <f t="shared" ca="1" si="6925"/>
        <v>148185.14958995796</v>
      </c>
      <c r="CM1049" s="10">
        <f t="shared" ca="1" si="6925"/>
        <v>84726.358711905195</v>
      </c>
      <c r="CN1049" s="10">
        <f t="shared" ca="1" si="6925"/>
        <v>80371.473338273965</v>
      </c>
      <c r="CO1049" s="10">
        <f t="shared" ca="1" si="6925"/>
        <v>122805.22200197342</v>
      </c>
    </row>
    <row r="1050" spans="1:131">
      <c r="A1050" s="10"/>
      <c r="B1050" s="10"/>
      <c r="C1050" s="17"/>
      <c r="D1050" s="10"/>
      <c r="E1050" s="62"/>
      <c r="F1050" s="10"/>
      <c r="G1050" s="134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  <c r="BB1050" s="10"/>
      <c r="BC1050" s="10"/>
      <c r="BD1050" s="10"/>
      <c r="BE1050" s="10"/>
      <c r="BF1050" s="10"/>
      <c r="BG1050" s="10"/>
      <c r="BH1050" s="10"/>
      <c r="BI1050" s="10"/>
      <c r="BJ1050" s="10"/>
      <c r="BK1050" s="10"/>
      <c r="BL1050" s="10"/>
      <c r="BM1050" s="10"/>
      <c r="BN1050" s="10"/>
      <c r="BO1050" s="10"/>
      <c r="BP1050" s="10"/>
      <c r="BQ1050" s="10"/>
      <c r="BR1050" s="10"/>
      <c r="BS1050" s="10"/>
      <c r="BT1050" s="10"/>
      <c r="BU1050" s="10"/>
      <c r="BV1050" s="10"/>
      <c r="BW1050" s="10"/>
      <c r="BX1050" s="10"/>
      <c r="BY1050" s="10"/>
      <c r="BZ1050" s="10"/>
      <c r="CA1050" s="10"/>
      <c r="CB1050" s="10"/>
      <c r="CC1050" s="10"/>
      <c r="CD1050" s="10"/>
      <c r="CE1050" s="10"/>
      <c r="CF1050" s="10"/>
      <c r="CG1050" s="10"/>
      <c r="CH1050" s="10"/>
      <c r="CI1050" s="10"/>
      <c r="CJ1050" s="10"/>
      <c r="CK1050" s="10"/>
      <c r="CL1050" s="10"/>
      <c r="CM1050" s="10"/>
      <c r="CN1050" s="10"/>
      <c r="CO1050" s="10"/>
    </row>
    <row r="1051" spans="1:131">
      <c r="A1051" s="10"/>
      <c r="B1051" s="10"/>
      <c r="C1051" s="87" t="s">
        <v>1366</v>
      </c>
      <c r="D1051" s="10"/>
      <c r="E1051" s="62"/>
      <c r="F1051" s="10"/>
      <c r="G1051" s="11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  <c r="BB1051" s="10"/>
      <c r="BC1051" s="10"/>
      <c r="BD1051" s="10"/>
      <c r="BE1051" s="10"/>
      <c r="BF1051" s="10"/>
      <c r="BG1051" s="10"/>
      <c r="BH1051" s="10"/>
      <c r="BI1051" s="10"/>
      <c r="BJ1051" s="10"/>
      <c r="BK1051" s="10"/>
      <c r="BL1051" s="10"/>
      <c r="BM1051" s="10"/>
      <c r="BN1051" s="10"/>
      <c r="BO1051" s="10"/>
      <c r="BP1051" s="10"/>
      <c r="BQ1051" s="10"/>
      <c r="BR1051" s="10"/>
      <c r="BS1051" s="10"/>
      <c r="BT1051" s="10"/>
      <c r="BU1051" s="10"/>
      <c r="BV1051" s="10"/>
      <c r="BW1051" s="10"/>
      <c r="BX1051" s="10"/>
      <c r="BY1051" s="10"/>
      <c r="BZ1051" s="10"/>
      <c r="CA1051" s="10"/>
      <c r="CB1051" s="10"/>
      <c r="CC1051" s="10"/>
      <c r="CD1051" s="10"/>
      <c r="CE1051" s="10"/>
      <c r="CF1051" s="10"/>
      <c r="CG1051" s="10"/>
      <c r="CH1051" s="10"/>
      <c r="CI1051" s="10"/>
      <c r="CJ1051" s="10"/>
      <c r="CK1051" s="10"/>
      <c r="CL1051" s="10"/>
      <c r="CM1051" s="10"/>
      <c r="CN1051" s="10"/>
      <c r="CO1051" s="10"/>
      <c r="CP1051" s="10"/>
      <c r="CQ1051" s="10"/>
      <c r="CR1051" s="10"/>
      <c r="CS1051" s="10"/>
      <c r="CT1051" s="10"/>
      <c r="CU1051" s="10"/>
      <c r="CV1051" s="10"/>
      <c r="CW1051" s="10"/>
      <c r="CX1051" s="10"/>
      <c r="CY1051" s="10"/>
      <c r="CZ1051" s="10"/>
      <c r="DA1051" s="10"/>
      <c r="DB1051" s="10"/>
      <c r="DC1051" s="10"/>
      <c r="DD1051" s="10"/>
      <c r="DE1051" s="10"/>
      <c r="DF1051" s="10"/>
      <c r="DG1051" s="10"/>
      <c r="DH1051" s="10"/>
      <c r="DI1051" s="10"/>
      <c r="DJ1051" s="10"/>
      <c r="DK1051" s="10"/>
      <c r="DL1051" s="10"/>
      <c r="DM1051" s="10"/>
      <c r="DN1051" s="10"/>
      <c r="DO1051" s="10"/>
      <c r="DP1051" s="10"/>
      <c r="DQ1051" s="10"/>
      <c r="DR1051" s="10"/>
      <c r="DS1051" s="10"/>
      <c r="DT1051" s="10"/>
      <c r="DU1051" s="10"/>
      <c r="DV1051" s="10"/>
      <c r="DW1051" s="10"/>
      <c r="DX1051" s="10"/>
      <c r="DY1051" s="10"/>
      <c r="DZ1051" s="10"/>
      <c r="EA1051" s="10"/>
    </row>
    <row r="1052" spans="1:131">
      <c r="A1052" s="10"/>
      <c r="B1052" s="10"/>
      <c r="C1052" s="40" t="s">
        <v>1365</v>
      </c>
      <c r="D1052" s="40"/>
      <c r="E1052" s="11">
        <f>Предпосылки!E648</f>
        <v>0</v>
      </c>
      <c r="F1052" s="10"/>
      <c r="G1052" s="11" t="s">
        <v>347</v>
      </c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  <c r="BB1052" s="10"/>
      <c r="BC1052" s="10"/>
      <c r="BD1052" s="10"/>
      <c r="BE1052" s="10"/>
      <c r="BF1052" s="10"/>
      <c r="BG1052" s="10"/>
      <c r="BH1052" s="10"/>
      <c r="BI1052" s="10"/>
      <c r="BJ1052" s="10"/>
      <c r="BK1052" s="10"/>
      <c r="BL1052" s="10"/>
      <c r="BM1052" s="10"/>
      <c r="BN1052" s="10"/>
      <c r="BO1052" s="10"/>
      <c r="BP1052" s="10"/>
      <c r="BQ1052" s="10"/>
      <c r="BR1052" s="10"/>
      <c r="BS1052" s="10"/>
      <c r="BT1052" s="10"/>
      <c r="BU1052" s="10"/>
      <c r="BV1052" s="10"/>
      <c r="BW1052" s="10"/>
      <c r="BX1052" s="10"/>
      <c r="BY1052" s="10"/>
      <c r="BZ1052" s="10"/>
      <c r="CA1052" s="10"/>
      <c r="CB1052" s="10"/>
      <c r="CC1052" s="10"/>
      <c r="CD1052" s="10"/>
      <c r="CE1052" s="10"/>
      <c r="CF1052" s="10"/>
      <c r="CG1052" s="10"/>
      <c r="CH1052" s="10"/>
      <c r="CI1052" s="10"/>
      <c r="CJ1052" s="10"/>
      <c r="CK1052" s="10"/>
      <c r="CL1052" s="10"/>
      <c r="CM1052" s="10"/>
      <c r="CN1052" s="10"/>
      <c r="CO1052" s="10"/>
      <c r="CP1052" s="10"/>
      <c r="CQ1052" s="10"/>
      <c r="CR1052" s="10"/>
      <c r="CS1052" s="10"/>
      <c r="CT1052" s="10"/>
      <c r="CU1052" s="10"/>
      <c r="CV1052" s="10"/>
      <c r="CW1052" s="10"/>
      <c r="CX1052" s="10"/>
      <c r="CY1052" s="10"/>
      <c r="CZ1052" s="10"/>
      <c r="DA1052" s="10"/>
      <c r="DB1052" s="10"/>
      <c r="DC1052" s="10"/>
      <c r="DD1052" s="10"/>
      <c r="DE1052" s="10"/>
      <c r="DF1052" s="10"/>
      <c r="DG1052" s="10"/>
      <c r="DH1052" s="10"/>
      <c r="DI1052" s="10"/>
      <c r="DJ1052" s="10"/>
      <c r="DK1052" s="10"/>
      <c r="DL1052" s="10"/>
      <c r="DM1052" s="10"/>
      <c r="DN1052" s="10"/>
      <c r="DO1052" s="10"/>
      <c r="DP1052" s="10"/>
      <c r="DQ1052" s="10"/>
      <c r="DR1052" s="10"/>
      <c r="DS1052" s="10"/>
      <c r="DT1052" s="10"/>
      <c r="DU1052" s="10"/>
      <c r="DV1052" s="10"/>
      <c r="DW1052" s="10"/>
      <c r="DX1052" s="10"/>
      <c r="DY1052" s="10"/>
      <c r="DZ1052" s="10"/>
      <c r="EA1052" s="10"/>
    </row>
    <row r="1053" spans="1:131">
      <c r="A1053" s="10"/>
      <c r="B1053" s="10"/>
      <c r="C1053" s="40" t="s">
        <v>1364</v>
      </c>
      <c r="D1053" s="40"/>
      <c r="E1053" s="11">
        <f>Предпосылки!E649</f>
        <v>1</v>
      </c>
      <c r="F1053" s="10"/>
      <c r="G1053" s="11" t="s">
        <v>347</v>
      </c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  <c r="BB1053" s="10"/>
      <c r="BC1053" s="10"/>
      <c r="BD1053" s="10"/>
      <c r="BE1053" s="10"/>
      <c r="BF1053" s="10"/>
      <c r="BG1053" s="10"/>
      <c r="BH1053" s="10"/>
      <c r="BI1053" s="10"/>
      <c r="BJ1053" s="10"/>
      <c r="BK1053" s="10"/>
      <c r="BL1053" s="10"/>
      <c r="BM1053" s="10"/>
      <c r="BN1053" s="10"/>
      <c r="BO1053" s="10"/>
      <c r="BP1053" s="10"/>
      <c r="BQ1053" s="10"/>
      <c r="BR1053" s="10"/>
      <c r="BS1053" s="10"/>
      <c r="BT1053" s="10"/>
      <c r="BU1053" s="10"/>
      <c r="BV1053" s="10"/>
      <c r="BW1053" s="10"/>
      <c r="BX1053" s="10"/>
      <c r="BY1053" s="10"/>
      <c r="BZ1053" s="10"/>
      <c r="CA1053" s="10"/>
      <c r="CB1053" s="10"/>
      <c r="CC1053" s="10"/>
      <c r="CD1053" s="10"/>
      <c r="CE1053" s="10"/>
      <c r="CF1053" s="10"/>
      <c r="CG1053" s="10"/>
      <c r="CH1053" s="10"/>
      <c r="CI1053" s="10"/>
      <c r="CJ1053" s="10"/>
      <c r="CK1053" s="10"/>
      <c r="CL1053" s="10"/>
      <c r="CM1053" s="10"/>
      <c r="CN1053" s="10"/>
      <c r="CO1053" s="10"/>
      <c r="CP1053" s="10"/>
      <c r="CQ1053" s="10"/>
      <c r="CR1053" s="10"/>
      <c r="CS1053" s="10"/>
      <c r="CT1053" s="10"/>
      <c r="CU1053" s="10"/>
      <c r="CV1053" s="10"/>
      <c r="CW1053" s="10"/>
      <c r="CX1053" s="10"/>
      <c r="CY1053" s="10"/>
      <c r="CZ1053" s="10"/>
      <c r="DA1053" s="10"/>
      <c r="DB1053" s="10"/>
      <c r="DC1053" s="10"/>
      <c r="DD1053" s="10"/>
      <c r="DE1053" s="10"/>
      <c r="DF1053" s="10"/>
      <c r="DG1053" s="10"/>
      <c r="DH1053" s="10"/>
      <c r="DI1053" s="10"/>
      <c r="DJ1053" s="10"/>
      <c r="DK1053" s="10"/>
      <c r="DL1053" s="10"/>
      <c r="DM1053" s="10"/>
      <c r="DN1053" s="10"/>
      <c r="DO1053" s="10"/>
      <c r="DP1053" s="10"/>
      <c r="DQ1053" s="10"/>
      <c r="DR1053" s="10"/>
      <c r="DS1053" s="10"/>
      <c r="DT1053" s="10"/>
      <c r="DU1053" s="10"/>
      <c r="DV1053" s="10"/>
      <c r="DW1053" s="10"/>
      <c r="DX1053" s="10"/>
      <c r="DY1053" s="10"/>
      <c r="DZ1053" s="10"/>
      <c r="EA1053" s="10"/>
    </row>
    <row r="1054" spans="1:131">
      <c r="A1054" s="10"/>
      <c r="B1054" s="10"/>
      <c r="C1054" s="17"/>
      <c r="D1054" s="10"/>
      <c r="E1054" s="62"/>
      <c r="F1054" s="10"/>
      <c r="G1054" s="11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  <c r="BB1054" s="10"/>
      <c r="BC1054" s="10"/>
      <c r="BD1054" s="10"/>
      <c r="BE1054" s="10"/>
      <c r="BF1054" s="10"/>
      <c r="BG1054" s="10"/>
      <c r="BH1054" s="10"/>
      <c r="BI1054" s="10"/>
      <c r="BJ1054" s="10"/>
      <c r="BK1054" s="10"/>
      <c r="BL1054" s="10"/>
      <c r="BM1054" s="10"/>
      <c r="BN1054" s="10"/>
      <c r="BO1054" s="10"/>
      <c r="BP1054" s="10"/>
      <c r="BQ1054" s="10"/>
      <c r="BR1054" s="10"/>
      <c r="BS1054" s="10"/>
      <c r="BT1054" s="10"/>
      <c r="BU1054" s="10"/>
      <c r="BV1054" s="10"/>
      <c r="BW1054" s="10"/>
      <c r="BX1054" s="10"/>
      <c r="BY1054" s="10"/>
      <c r="BZ1054" s="10"/>
      <c r="CA1054" s="10"/>
      <c r="CB1054" s="10"/>
      <c r="CC1054" s="10"/>
      <c r="CD1054" s="10"/>
      <c r="CE1054" s="10"/>
      <c r="CF1054" s="10"/>
      <c r="CG1054" s="10"/>
      <c r="CH1054" s="10"/>
      <c r="CI1054" s="10"/>
      <c r="CJ1054" s="10"/>
      <c r="CK1054" s="10"/>
      <c r="CL1054" s="10"/>
      <c r="CM1054" s="10"/>
      <c r="CN1054" s="10"/>
      <c r="CO1054" s="10"/>
      <c r="CP1054" s="10"/>
      <c r="CQ1054" s="10"/>
      <c r="CR1054" s="10"/>
      <c r="CS1054" s="10"/>
      <c r="CT1054" s="10"/>
      <c r="CU1054" s="10"/>
      <c r="CV1054" s="10"/>
      <c r="CW1054" s="10"/>
      <c r="CX1054" s="10"/>
      <c r="CY1054" s="10"/>
      <c r="CZ1054" s="10"/>
      <c r="DA1054" s="10"/>
      <c r="DB1054" s="10"/>
      <c r="DC1054" s="10"/>
      <c r="DD1054" s="10"/>
      <c r="DE1054" s="10"/>
      <c r="DF1054" s="10"/>
      <c r="DG1054" s="10"/>
      <c r="DH1054" s="10"/>
      <c r="DI1054" s="10"/>
      <c r="DJ1054" s="10"/>
      <c r="DK1054" s="10"/>
      <c r="DL1054" s="10"/>
      <c r="DM1054" s="10"/>
      <c r="DN1054" s="10"/>
      <c r="DO1054" s="10"/>
      <c r="DP1054" s="10"/>
      <c r="DQ1054" s="10"/>
      <c r="DR1054" s="10"/>
      <c r="DS1054" s="10"/>
      <c r="DT1054" s="10"/>
      <c r="DU1054" s="10"/>
      <c r="DV1054" s="10"/>
      <c r="DW1054" s="10"/>
      <c r="DX1054" s="10"/>
      <c r="DY1054" s="10"/>
      <c r="DZ1054" s="10"/>
      <c r="EA1054" s="10"/>
    </row>
    <row r="1055" spans="1:131">
      <c r="A1055" s="10"/>
      <c r="B1055" s="10"/>
      <c r="C1055" s="87" t="s">
        <v>151</v>
      </c>
      <c r="D1055" s="10"/>
      <c r="E1055" s="62"/>
      <c r="F1055" s="10"/>
      <c r="G1055" s="11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  <c r="BB1055" s="10"/>
      <c r="BC1055" s="10"/>
      <c r="BD1055" s="10"/>
      <c r="BE1055" s="10"/>
      <c r="BF1055" s="10"/>
      <c r="BG1055" s="10"/>
      <c r="BH1055" s="10"/>
      <c r="BI1055" s="10"/>
      <c r="BJ1055" s="10"/>
      <c r="BK1055" s="10"/>
      <c r="BL1055" s="10"/>
      <c r="BM1055" s="10"/>
      <c r="BN1055" s="10"/>
      <c r="BO1055" s="10"/>
      <c r="BP1055" s="10"/>
      <c r="BQ1055" s="10"/>
      <c r="BR1055" s="10"/>
      <c r="BS1055" s="10"/>
      <c r="BT1055" s="10"/>
      <c r="BU1055" s="10"/>
      <c r="BV1055" s="10"/>
      <c r="BW1055" s="10"/>
      <c r="BX1055" s="10"/>
      <c r="BY1055" s="10"/>
      <c r="BZ1055" s="10"/>
      <c r="CA1055" s="10"/>
      <c r="CB1055" s="10"/>
      <c r="CC1055" s="10"/>
      <c r="CD1055" s="10"/>
      <c r="CE1055" s="10"/>
      <c r="CF1055" s="10"/>
      <c r="CG1055" s="10"/>
      <c r="CH1055" s="10"/>
      <c r="CI1055" s="10"/>
      <c r="CJ1055" s="10"/>
      <c r="CK1055" s="10"/>
      <c r="CL1055" s="10"/>
      <c r="CM1055" s="10"/>
      <c r="CN1055" s="10"/>
      <c r="CO1055" s="10"/>
      <c r="CP1055" s="10"/>
      <c r="CQ1055" s="10"/>
      <c r="CR1055" s="10"/>
      <c r="CS1055" s="10"/>
      <c r="CT1055" s="10"/>
      <c r="CU1055" s="10"/>
      <c r="CV1055" s="10"/>
      <c r="CW1055" s="10"/>
      <c r="CX1055" s="10"/>
      <c r="CY1055" s="10"/>
      <c r="CZ1055" s="10"/>
      <c r="DA1055" s="10"/>
      <c r="DB1055" s="10"/>
      <c r="DC1055" s="10"/>
      <c r="DD1055" s="10"/>
      <c r="DE1055" s="10"/>
      <c r="DF1055" s="10"/>
      <c r="DG1055" s="10"/>
      <c r="DH1055" s="10"/>
      <c r="DI1055" s="10"/>
      <c r="DJ1055" s="10"/>
      <c r="DK1055" s="10"/>
      <c r="DL1055" s="10"/>
      <c r="DM1055" s="10"/>
      <c r="DN1055" s="10"/>
      <c r="DO1055" s="10"/>
      <c r="DP1055" s="10"/>
      <c r="DQ1055" s="10"/>
      <c r="DR1055" s="10"/>
      <c r="DS1055" s="10"/>
      <c r="DT1055" s="10"/>
      <c r="DU1055" s="10"/>
      <c r="DV1055" s="10"/>
      <c r="DW1055" s="10"/>
      <c r="DX1055" s="10"/>
      <c r="DY1055" s="10"/>
      <c r="DZ1055" s="10"/>
      <c r="EA1055" s="10"/>
    </row>
    <row r="1056" spans="1:131">
      <c r="A1056" s="10"/>
      <c r="B1056" s="10"/>
      <c r="C1056" s="17" t="s">
        <v>146</v>
      </c>
      <c r="D1056" s="10"/>
      <c r="E1056" s="62"/>
      <c r="F1056" s="10"/>
      <c r="G1056" s="134" t="str">
        <f>Monetary_Unit</f>
        <v>тыс. руб.</v>
      </c>
      <c r="H1056" s="10"/>
      <c r="I1056" s="10"/>
      <c r="J1056" s="10"/>
      <c r="K1056" s="10"/>
      <c r="L1056" s="10">
        <f t="shared" ref="L1056:BW1056" si="6926">K1060</f>
        <v>0</v>
      </c>
      <c r="M1056" s="10">
        <f t="shared" ca="1" si="6926"/>
        <v>5234.3588965478193</v>
      </c>
      <c r="N1056" s="10">
        <f t="shared" ca="1" si="6926"/>
        <v>10543.018928299076</v>
      </c>
      <c r="O1056" s="10">
        <f t="shared" ca="1" si="6926"/>
        <v>15927.034791502465</v>
      </c>
      <c r="P1056" s="10">
        <f t="shared" ca="1" si="6926"/>
        <v>21387.476153701184</v>
      </c>
      <c r="Q1056" s="10">
        <f t="shared" ca="1" si="6926"/>
        <v>67319.387121700376</v>
      </c>
      <c r="R1056" s="10">
        <f t="shared" ca="1" si="6926"/>
        <v>113703.88388203831</v>
      </c>
      <c r="S1056" s="10">
        <f t="shared" ca="1" si="6926"/>
        <v>160545.42594652518</v>
      </c>
      <c r="T1056" s="10">
        <f t="shared" ca="1" si="6926"/>
        <v>207848.51676835405</v>
      </c>
      <c r="U1056" s="10">
        <f t="shared" ca="1" si="6926"/>
        <v>255617.70417507322</v>
      </c>
      <c r="V1056" s="10">
        <f t="shared" ca="1" si="6926"/>
        <v>303857.58080582466</v>
      </c>
      <c r="W1056" s="10">
        <f t="shared" ca="1" si="6926"/>
        <v>352572.78455289098</v>
      </c>
      <c r="X1056" s="10">
        <f t="shared" ca="1" si="6926"/>
        <v>401767.99900759303</v>
      </c>
      <c r="Y1056" s="10">
        <f t="shared" ca="1" si="6926"/>
        <v>505520.06589259498</v>
      </c>
      <c r="Z1056" s="10">
        <f t="shared" ca="1" si="6926"/>
        <v>610294.4440729107</v>
      </c>
      <c r="AA1056" s="10">
        <f t="shared" ca="1" si="6926"/>
        <v>716101.20679735241</v>
      </c>
      <c r="AB1056" s="10">
        <f t="shared" ca="1" si="6926"/>
        <v>822950.5265705483</v>
      </c>
      <c r="AC1056" s="10">
        <f t="shared" ca="1" si="6926"/>
        <v>961679.90095596761</v>
      </c>
      <c r="AD1056" s="10">
        <f t="shared" ca="1" si="6926"/>
        <v>166387.22911514295</v>
      </c>
      <c r="AE1056" s="10">
        <f t="shared" ca="1" si="6926"/>
        <v>63635.049488485442</v>
      </c>
      <c r="AF1056" s="10">
        <f t="shared" ca="1" si="6926"/>
        <v>57310.19438926001</v>
      </c>
      <c r="AG1056" s="10">
        <f t="shared" ca="1" si="6926"/>
        <v>42268.509882288876</v>
      </c>
      <c r="AH1056" s="10">
        <f t="shared" ca="1" si="6926"/>
        <v>53954.163666599037</v>
      </c>
      <c r="AI1056" s="10">
        <f t="shared" ca="1" si="6926"/>
        <v>75773.351948934083</v>
      </c>
      <c r="AJ1056" s="10">
        <f t="shared" ca="1" si="6926"/>
        <v>67994.601901483446</v>
      </c>
      <c r="AK1056" s="10">
        <f t="shared" ca="1" si="6926"/>
        <v>49909.590305865699</v>
      </c>
      <c r="AL1056" s="10">
        <f t="shared" ca="1" si="6926"/>
        <v>63433.750365640342</v>
      </c>
      <c r="AM1056" s="10">
        <f t="shared" ca="1" si="6926"/>
        <v>88780.902527037048</v>
      </c>
      <c r="AN1056" s="10">
        <f t="shared" ca="1" si="6926"/>
        <v>79442.065703661894</v>
      </c>
      <c r="AO1056" s="10">
        <f t="shared" ca="1" si="6926"/>
        <v>58412.737334789061</v>
      </c>
      <c r="AP1056" s="10">
        <f t="shared" ca="1" si="6926"/>
        <v>73903.650009357254</v>
      </c>
      <c r="AQ1056" s="10">
        <f t="shared" ca="1" si="6926"/>
        <v>101264.03499992655</v>
      </c>
      <c r="AR1056" s="10">
        <f t="shared" ca="1" si="6926"/>
        <v>88601.36811368083</v>
      </c>
      <c r="AS1056" s="10">
        <f t="shared" ca="1" si="6926"/>
        <v>62852.620270794854</v>
      </c>
      <c r="AT1056" s="10">
        <f t="shared" ca="1" si="6926"/>
        <v>77312.075329492844</v>
      </c>
      <c r="AU1056" s="10">
        <f t="shared" ca="1" si="6926"/>
        <v>105314.8845901592</v>
      </c>
      <c r="AV1056" s="10">
        <f t="shared" ca="1" si="6926"/>
        <v>92145.715450607444</v>
      </c>
      <c r="AW1056" s="10">
        <f t="shared" ca="1" si="6926"/>
        <v>65366.872105089693</v>
      </c>
      <c r="AX1056" s="10">
        <f t="shared" ca="1" si="6926"/>
        <v>31823.113793863748</v>
      </c>
      <c r="AY1056" s="10">
        <f t="shared" ca="1" si="6926"/>
        <v>0</v>
      </c>
      <c r="AZ1056" s="10">
        <f t="shared" ca="1" si="6926"/>
        <v>0</v>
      </c>
      <c r="BA1056" s="10">
        <f t="shared" ca="1" si="6926"/>
        <v>0</v>
      </c>
      <c r="BB1056" s="10">
        <f t="shared" ca="1" si="6926"/>
        <v>0</v>
      </c>
      <c r="BC1056" s="10">
        <f t="shared" ca="1" si="6926"/>
        <v>0</v>
      </c>
      <c r="BD1056" s="10">
        <f t="shared" ca="1" si="6926"/>
        <v>0</v>
      </c>
      <c r="BE1056" s="10">
        <f t="shared" ca="1" si="6926"/>
        <v>0</v>
      </c>
      <c r="BF1056" s="10">
        <f t="shared" ca="1" si="6926"/>
        <v>0</v>
      </c>
      <c r="BG1056" s="10">
        <f t="shared" ca="1" si="6926"/>
        <v>0</v>
      </c>
      <c r="BH1056" s="10">
        <f t="shared" ca="1" si="6926"/>
        <v>0</v>
      </c>
      <c r="BI1056" s="10">
        <f t="shared" ca="1" si="6926"/>
        <v>0</v>
      </c>
      <c r="BJ1056" s="10">
        <f t="shared" ca="1" si="6926"/>
        <v>0</v>
      </c>
      <c r="BK1056" s="10">
        <f t="shared" ca="1" si="6926"/>
        <v>0</v>
      </c>
      <c r="BL1056" s="10">
        <f t="shared" ca="1" si="6926"/>
        <v>0</v>
      </c>
      <c r="BM1056" s="10">
        <f t="shared" ca="1" si="6926"/>
        <v>0</v>
      </c>
      <c r="BN1056" s="10">
        <f t="shared" ca="1" si="6926"/>
        <v>0</v>
      </c>
      <c r="BO1056" s="10">
        <f t="shared" ca="1" si="6926"/>
        <v>0</v>
      </c>
      <c r="BP1056" s="10">
        <f t="shared" ca="1" si="6926"/>
        <v>0</v>
      </c>
      <c r="BQ1056" s="10">
        <f t="shared" ca="1" si="6926"/>
        <v>0</v>
      </c>
      <c r="BR1056" s="10">
        <f t="shared" ca="1" si="6926"/>
        <v>0</v>
      </c>
      <c r="BS1056" s="10">
        <f t="shared" ca="1" si="6926"/>
        <v>0</v>
      </c>
      <c r="BT1056" s="10">
        <f t="shared" ca="1" si="6926"/>
        <v>0</v>
      </c>
      <c r="BU1056" s="10">
        <f t="shared" ca="1" si="6926"/>
        <v>0</v>
      </c>
      <c r="BV1056" s="10">
        <f t="shared" ca="1" si="6926"/>
        <v>0</v>
      </c>
      <c r="BW1056" s="10">
        <f t="shared" ca="1" si="6926"/>
        <v>0</v>
      </c>
      <c r="BX1056" s="10">
        <f t="shared" ref="BX1056:EA1056" ca="1" si="6927">BW1060</f>
        <v>0</v>
      </c>
      <c r="BY1056" s="10">
        <f t="shared" ca="1" si="6927"/>
        <v>0</v>
      </c>
      <c r="BZ1056" s="10">
        <f t="shared" ca="1" si="6927"/>
        <v>0</v>
      </c>
      <c r="CA1056" s="10">
        <f t="shared" ca="1" si="6927"/>
        <v>0</v>
      </c>
      <c r="CB1056" s="10">
        <f t="shared" ca="1" si="6927"/>
        <v>0</v>
      </c>
      <c r="CC1056" s="10">
        <f t="shared" ca="1" si="6927"/>
        <v>0</v>
      </c>
      <c r="CD1056" s="10">
        <f t="shared" ca="1" si="6927"/>
        <v>0</v>
      </c>
      <c r="CE1056" s="10">
        <f t="shared" ca="1" si="6927"/>
        <v>0</v>
      </c>
      <c r="CF1056" s="10">
        <f t="shared" ca="1" si="6927"/>
        <v>0</v>
      </c>
      <c r="CG1056" s="10">
        <f t="shared" ca="1" si="6927"/>
        <v>0</v>
      </c>
      <c r="CH1056" s="10">
        <f t="shared" ca="1" si="6927"/>
        <v>0</v>
      </c>
      <c r="CI1056" s="10">
        <f t="shared" ca="1" si="6927"/>
        <v>0</v>
      </c>
      <c r="CJ1056" s="10">
        <f t="shared" ca="1" si="6927"/>
        <v>0</v>
      </c>
      <c r="CK1056" s="10">
        <f t="shared" ca="1" si="6927"/>
        <v>0</v>
      </c>
      <c r="CL1056" s="10">
        <f t="shared" ca="1" si="6927"/>
        <v>0</v>
      </c>
      <c r="CM1056" s="10">
        <f t="shared" ca="1" si="6927"/>
        <v>0</v>
      </c>
      <c r="CN1056" s="10">
        <f t="shared" ca="1" si="6927"/>
        <v>0</v>
      </c>
      <c r="CO1056" s="10">
        <f t="shared" ca="1" si="6927"/>
        <v>0</v>
      </c>
      <c r="CP1056" s="10">
        <f t="shared" ca="1" si="6927"/>
        <v>0</v>
      </c>
      <c r="CQ1056" s="10">
        <f t="shared" si="6927"/>
        <v>0</v>
      </c>
      <c r="CR1056" s="10" t="e">
        <f t="shared" ca="1" si="6927"/>
        <v>#VALUE!</v>
      </c>
      <c r="CS1056" s="10" t="e">
        <f t="shared" ca="1" si="6927"/>
        <v>#VALUE!</v>
      </c>
      <c r="CT1056" s="10" t="e">
        <f t="shared" ca="1" si="6927"/>
        <v>#VALUE!</v>
      </c>
      <c r="CU1056" s="10" t="e">
        <f t="shared" ca="1" si="6927"/>
        <v>#VALUE!</v>
      </c>
      <c r="CV1056" s="10" t="e">
        <f t="shared" ca="1" si="6927"/>
        <v>#VALUE!</v>
      </c>
      <c r="CW1056" s="10" t="e">
        <f t="shared" ca="1" si="6927"/>
        <v>#VALUE!</v>
      </c>
      <c r="CX1056" s="10" t="e">
        <f t="shared" ca="1" si="6927"/>
        <v>#VALUE!</v>
      </c>
      <c r="CY1056" s="10" t="e">
        <f t="shared" ca="1" si="6927"/>
        <v>#VALUE!</v>
      </c>
      <c r="CZ1056" s="10" t="e">
        <f t="shared" ca="1" si="6927"/>
        <v>#VALUE!</v>
      </c>
      <c r="DA1056" s="10" t="e">
        <f t="shared" ca="1" si="6927"/>
        <v>#VALUE!</v>
      </c>
      <c r="DB1056" s="10" t="e">
        <f t="shared" ca="1" si="6927"/>
        <v>#VALUE!</v>
      </c>
      <c r="DC1056" s="10" t="e">
        <f t="shared" ca="1" si="6927"/>
        <v>#VALUE!</v>
      </c>
      <c r="DD1056" s="10" t="e">
        <f t="shared" ca="1" si="6927"/>
        <v>#VALUE!</v>
      </c>
      <c r="DE1056" s="10" t="e">
        <f t="shared" ca="1" si="6927"/>
        <v>#VALUE!</v>
      </c>
      <c r="DF1056" s="10" t="e">
        <f t="shared" ca="1" si="6927"/>
        <v>#VALUE!</v>
      </c>
      <c r="DG1056" s="10" t="e">
        <f t="shared" ca="1" si="6927"/>
        <v>#VALUE!</v>
      </c>
      <c r="DH1056" s="10" t="e">
        <f t="shared" ca="1" si="6927"/>
        <v>#VALUE!</v>
      </c>
      <c r="DI1056" s="10" t="e">
        <f t="shared" ca="1" si="6927"/>
        <v>#VALUE!</v>
      </c>
      <c r="DJ1056" s="10" t="e">
        <f t="shared" ca="1" si="6927"/>
        <v>#VALUE!</v>
      </c>
      <c r="DK1056" s="10" t="e">
        <f t="shared" ca="1" si="6927"/>
        <v>#VALUE!</v>
      </c>
      <c r="DL1056" s="10" t="e">
        <f t="shared" ca="1" si="6927"/>
        <v>#VALUE!</v>
      </c>
      <c r="DM1056" s="10" t="e">
        <f t="shared" ca="1" si="6927"/>
        <v>#VALUE!</v>
      </c>
      <c r="DN1056" s="10" t="e">
        <f t="shared" ca="1" si="6927"/>
        <v>#VALUE!</v>
      </c>
      <c r="DO1056" s="10" t="e">
        <f t="shared" ca="1" si="6927"/>
        <v>#VALUE!</v>
      </c>
      <c r="DP1056" s="10" t="e">
        <f t="shared" ca="1" si="6927"/>
        <v>#VALUE!</v>
      </c>
      <c r="DQ1056" s="10" t="e">
        <f t="shared" ca="1" si="6927"/>
        <v>#VALUE!</v>
      </c>
      <c r="DR1056" s="10" t="e">
        <f t="shared" ca="1" si="6927"/>
        <v>#VALUE!</v>
      </c>
      <c r="DS1056" s="10" t="e">
        <f t="shared" ca="1" si="6927"/>
        <v>#VALUE!</v>
      </c>
      <c r="DT1056" s="10" t="e">
        <f t="shared" ca="1" si="6927"/>
        <v>#VALUE!</v>
      </c>
      <c r="DU1056" s="10" t="e">
        <f t="shared" ca="1" si="6927"/>
        <v>#VALUE!</v>
      </c>
      <c r="DV1056" s="10" t="e">
        <f t="shared" ca="1" si="6927"/>
        <v>#VALUE!</v>
      </c>
      <c r="DW1056" s="10" t="e">
        <f t="shared" ca="1" si="6927"/>
        <v>#VALUE!</v>
      </c>
      <c r="DX1056" s="10" t="e">
        <f t="shared" ca="1" si="6927"/>
        <v>#VALUE!</v>
      </c>
      <c r="DY1056" s="10" t="e">
        <f t="shared" ca="1" si="6927"/>
        <v>#VALUE!</v>
      </c>
      <c r="DZ1056" s="10" t="e">
        <f t="shared" ca="1" si="6927"/>
        <v>#VALUE!</v>
      </c>
      <c r="EA1056" s="10" t="e">
        <f t="shared" ca="1" si="6927"/>
        <v>#VALUE!</v>
      </c>
    </row>
    <row r="1057" spans="1:131">
      <c r="A1057" s="10"/>
      <c r="B1057" s="10"/>
      <c r="C1057" s="17" t="s">
        <v>147</v>
      </c>
      <c r="D1057" s="10"/>
      <c r="E1057" s="62"/>
      <c r="F1057" s="10"/>
      <c r="G1057" s="134" t="str">
        <f>Monetary_Unit</f>
        <v>тыс. руб.</v>
      </c>
      <c r="H1057" s="10"/>
      <c r="I1057" s="23">
        <f ca="1">SUM(L1057:EA1057)</f>
        <v>1675258.4544093378</v>
      </c>
      <c r="J1057" s="10"/>
      <c r="K1057" s="10"/>
      <c r="L1057" s="10">
        <f t="shared" ref="L1057" ca="1" si="6928">-MIN(SUM(L1033:L1037),0)</f>
        <v>5234.3588965478193</v>
      </c>
      <c r="M1057" s="10">
        <f t="shared" ref="M1057:BX1057" ca="1" si="6929">-MIN(SUM(M1033:M1037),0)</f>
        <v>5308.6600317512557</v>
      </c>
      <c r="N1057" s="10">
        <f t="shared" ca="1" si="6929"/>
        <v>5384.0158632033881</v>
      </c>
      <c r="O1057" s="10">
        <f t="shared" ca="1" si="6929"/>
        <v>5460.4413621987187</v>
      </c>
      <c r="P1057" s="10">
        <f t="shared" ca="1" si="6929"/>
        <v>45931.910967999196</v>
      </c>
      <c r="Q1057" s="10">
        <f t="shared" ca="1" si="6929"/>
        <v>46384.496760337934</v>
      </c>
      <c r="R1057" s="10">
        <f t="shared" ca="1" si="6929"/>
        <v>46841.542064486879</v>
      </c>
      <c r="S1057" s="10">
        <f t="shared" ca="1" si="6929"/>
        <v>47303.090821828882</v>
      </c>
      <c r="T1057" s="10">
        <f t="shared" ca="1" si="6929"/>
        <v>47769.18740671916</v>
      </c>
      <c r="U1057" s="10">
        <f t="shared" ca="1" si="6929"/>
        <v>48239.876630751445</v>
      </c>
      <c r="V1057" s="10">
        <f t="shared" ca="1" si="6929"/>
        <v>48715.203747066334</v>
      </c>
      <c r="W1057" s="10">
        <f t="shared" ca="1" si="6929"/>
        <v>49195.214454702029</v>
      </c>
      <c r="X1057" s="10">
        <f t="shared" ca="1" si="6929"/>
        <v>103752.06688500196</v>
      </c>
      <c r="Y1057" s="10">
        <f t="shared" ca="1" si="6929"/>
        <v>104774.3781803157</v>
      </c>
      <c r="Z1057" s="10">
        <f t="shared" ca="1" si="6929"/>
        <v>105806.76272444174</v>
      </c>
      <c r="AA1057" s="10">
        <f t="shared" ca="1" si="6929"/>
        <v>106849.31977319589</v>
      </c>
      <c r="AB1057" s="10">
        <f t="shared" ca="1" si="6929"/>
        <v>138729.37438541927</v>
      </c>
      <c r="AC1057" s="10">
        <f t="shared" ca="1" si="6929"/>
        <v>27657.854729723622</v>
      </c>
      <c r="AD1057" s="10">
        <f t="shared" ca="1" si="6929"/>
        <v>35977.194758761754</v>
      </c>
      <c r="AE1057" s="10">
        <f t="shared" ca="1" si="6929"/>
        <v>21332.999630498191</v>
      </c>
      <c r="AF1057" s="10">
        <f t="shared" ca="1" si="6929"/>
        <v>20935.510251790613</v>
      </c>
      <c r="AG1057" s="10">
        <f t="shared" ca="1" si="6929"/>
        <v>33018.653414808359</v>
      </c>
      <c r="AH1057" s="10">
        <f t="shared" ca="1" si="6929"/>
        <v>42754.698534125666</v>
      </c>
      <c r="AI1057" s="10">
        <f t="shared" ca="1" si="6929"/>
        <v>25239.903367357718</v>
      </c>
      <c r="AJ1057" s="10">
        <f t="shared" ca="1" si="6929"/>
        <v>24669.686938507919</v>
      </c>
      <c r="AK1057" s="10">
        <f t="shared" ca="1" si="6929"/>
        <v>38764.063427132365</v>
      </c>
      <c r="AL1057" s="10">
        <f t="shared" ca="1" si="6929"/>
        <v>50016.839099904617</v>
      </c>
      <c r="AM1057" s="10">
        <f t="shared" ca="1" si="6929"/>
        <v>29425.226603757212</v>
      </c>
      <c r="AN1057" s="10">
        <f t="shared" ca="1" si="6929"/>
        <v>28987.510731031776</v>
      </c>
      <c r="AO1057" s="10">
        <f t="shared" ca="1" si="6929"/>
        <v>44916.139278325398</v>
      </c>
      <c r="AP1057" s="10">
        <f t="shared" ca="1" si="6929"/>
        <v>56347.895721601075</v>
      </c>
      <c r="AQ1057" s="10">
        <f t="shared" ca="1" si="6929"/>
        <v>32253.472392079697</v>
      </c>
      <c r="AR1057" s="10">
        <f t="shared" ca="1" si="6929"/>
        <v>30599.147878715095</v>
      </c>
      <c r="AS1057" s="10">
        <f t="shared" ca="1" si="6929"/>
        <v>46712.927450777694</v>
      </c>
      <c r="AT1057" s="10">
        <f t="shared" ca="1" si="6929"/>
        <v>58601.957139381448</v>
      </c>
      <c r="AU1057" s="10">
        <f t="shared" ca="1" si="6929"/>
        <v>33543.758311225945</v>
      </c>
      <c r="AV1057" s="10">
        <f t="shared" ca="1" si="6929"/>
        <v>31823.113793863693</v>
      </c>
      <c r="AW1057" s="10">
        <f t="shared" ca="1" si="6929"/>
        <v>0</v>
      </c>
      <c r="AX1057" s="10">
        <f t="shared" ca="1" si="6929"/>
        <v>0</v>
      </c>
      <c r="AY1057" s="10">
        <f t="shared" ca="1" si="6929"/>
        <v>0</v>
      </c>
      <c r="AZ1057" s="10">
        <f t="shared" ca="1" si="6929"/>
        <v>0</v>
      </c>
      <c r="BA1057" s="10">
        <f t="shared" ca="1" si="6929"/>
        <v>0</v>
      </c>
      <c r="BB1057" s="10">
        <f t="shared" ca="1" si="6929"/>
        <v>0</v>
      </c>
      <c r="BC1057" s="10">
        <f t="shared" ca="1" si="6929"/>
        <v>0</v>
      </c>
      <c r="BD1057" s="10">
        <f t="shared" ca="1" si="6929"/>
        <v>0</v>
      </c>
      <c r="BE1057" s="10">
        <f t="shared" ca="1" si="6929"/>
        <v>0</v>
      </c>
      <c r="BF1057" s="10">
        <f t="shared" ca="1" si="6929"/>
        <v>0</v>
      </c>
      <c r="BG1057" s="10">
        <f t="shared" ca="1" si="6929"/>
        <v>0</v>
      </c>
      <c r="BH1057" s="10">
        <f t="shared" ca="1" si="6929"/>
        <v>0</v>
      </c>
      <c r="BI1057" s="10">
        <f t="shared" ca="1" si="6929"/>
        <v>0</v>
      </c>
      <c r="BJ1057" s="10">
        <f t="shared" ca="1" si="6929"/>
        <v>0</v>
      </c>
      <c r="BK1057" s="10">
        <f t="shared" ca="1" si="6929"/>
        <v>0</v>
      </c>
      <c r="BL1057" s="10">
        <f t="shared" ca="1" si="6929"/>
        <v>0</v>
      </c>
      <c r="BM1057" s="10">
        <f t="shared" ca="1" si="6929"/>
        <v>0</v>
      </c>
      <c r="BN1057" s="10">
        <f t="shared" ca="1" si="6929"/>
        <v>0</v>
      </c>
      <c r="BO1057" s="10">
        <f t="shared" ca="1" si="6929"/>
        <v>0</v>
      </c>
      <c r="BP1057" s="10">
        <f t="shared" ca="1" si="6929"/>
        <v>0</v>
      </c>
      <c r="BQ1057" s="10">
        <f t="shared" ca="1" si="6929"/>
        <v>0</v>
      </c>
      <c r="BR1057" s="10">
        <f t="shared" ca="1" si="6929"/>
        <v>0</v>
      </c>
      <c r="BS1057" s="10">
        <f t="shared" ca="1" si="6929"/>
        <v>0</v>
      </c>
      <c r="BT1057" s="10">
        <f t="shared" ca="1" si="6929"/>
        <v>0</v>
      </c>
      <c r="BU1057" s="10">
        <f t="shared" ca="1" si="6929"/>
        <v>0</v>
      </c>
      <c r="BV1057" s="10">
        <f t="shared" ca="1" si="6929"/>
        <v>0</v>
      </c>
      <c r="BW1057" s="10">
        <f t="shared" ca="1" si="6929"/>
        <v>0</v>
      </c>
      <c r="BX1057" s="10">
        <f t="shared" ca="1" si="6929"/>
        <v>0</v>
      </c>
      <c r="BY1057" s="10">
        <f t="shared" ref="BY1057:EA1057" ca="1" si="6930">-MIN(SUM(BY1033:BY1037),0)</f>
        <v>0</v>
      </c>
      <c r="BZ1057" s="10">
        <f t="shared" ca="1" si="6930"/>
        <v>0</v>
      </c>
      <c r="CA1057" s="10">
        <f t="shared" ca="1" si="6930"/>
        <v>0</v>
      </c>
      <c r="CB1057" s="10">
        <f t="shared" ca="1" si="6930"/>
        <v>0</v>
      </c>
      <c r="CC1057" s="10">
        <f t="shared" ca="1" si="6930"/>
        <v>0</v>
      </c>
      <c r="CD1057" s="10">
        <f t="shared" ca="1" si="6930"/>
        <v>0</v>
      </c>
      <c r="CE1057" s="10">
        <f t="shared" ca="1" si="6930"/>
        <v>0</v>
      </c>
      <c r="CF1057" s="10">
        <f t="shared" ca="1" si="6930"/>
        <v>0</v>
      </c>
      <c r="CG1057" s="10">
        <f t="shared" ca="1" si="6930"/>
        <v>0</v>
      </c>
      <c r="CH1057" s="10">
        <f t="shared" ca="1" si="6930"/>
        <v>0</v>
      </c>
      <c r="CI1057" s="10">
        <f t="shared" ca="1" si="6930"/>
        <v>0</v>
      </c>
      <c r="CJ1057" s="10">
        <f t="shared" ca="1" si="6930"/>
        <v>0</v>
      </c>
      <c r="CK1057" s="10">
        <f t="shared" ca="1" si="6930"/>
        <v>0</v>
      </c>
      <c r="CL1057" s="10">
        <f t="shared" ca="1" si="6930"/>
        <v>0</v>
      </c>
      <c r="CM1057" s="10">
        <f t="shared" ca="1" si="6930"/>
        <v>0</v>
      </c>
      <c r="CN1057" s="10">
        <f t="shared" ca="1" si="6930"/>
        <v>0</v>
      </c>
      <c r="CO1057" s="10">
        <f t="shared" ca="1" si="6930"/>
        <v>0</v>
      </c>
      <c r="CP1057" s="10">
        <f t="shared" si="6930"/>
        <v>0</v>
      </c>
      <c r="CQ1057" s="10">
        <f t="shared" si="6930"/>
        <v>0</v>
      </c>
      <c r="CR1057" s="10">
        <f t="shared" si="6930"/>
        <v>0</v>
      </c>
      <c r="CS1057" s="10">
        <f t="shared" si="6930"/>
        <v>0</v>
      </c>
      <c r="CT1057" s="10">
        <f t="shared" si="6930"/>
        <v>0</v>
      </c>
      <c r="CU1057" s="10">
        <f t="shared" si="6930"/>
        <v>0</v>
      </c>
      <c r="CV1057" s="10">
        <f t="shared" si="6930"/>
        <v>0</v>
      </c>
      <c r="CW1057" s="10">
        <f t="shared" si="6930"/>
        <v>0</v>
      </c>
      <c r="CX1057" s="10">
        <f t="shared" si="6930"/>
        <v>0</v>
      </c>
      <c r="CY1057" s="10">
        <f t="shared" si="6930"/>
        <v>0</v>
      </c>
      <c r="CZ1057" s="10">
        <f t="shared" si="6930"/>
        <v>0</v>
      </c>
      <c r="DA1057" s="10">
        <f t="shared" si="6930"/>
        <v>0</v>
      </c>
      <c r="DB1057" s="10">
        <f t="shared" si="6930"/>
        <v>0</v>
      </c>
      <c r="DC1057" s="10">
        <f t="shared" si="6930"/>
        <v>0</v>
      </c>
      <c r="DD1057" s="10">
        <f t="shared" si="6930"/>
        <v>0</v>
      </c>
      <c r="DE1057" s="10">
        <f t="shared" si="6930"/>
        <v>0</v>
      </c>
      <c r="DF1057" s="10">
        <f t="shared" si="6930"/>
        <v>0</v>
      </c>
      <c r="DG1057" s="10">
        <f t="shared" si="6930"/>
        <v>0</v>
      </c>
      <c r="DH1057" s="10">
        <f t="shared" si="6930"/>
        <v>0</v>
      </c>
      <c r="DI1057" s="10">
        <f t="shared" si="6930"/>
        <v>0</v>
      </c>
      <c r="DJ1057" s="10">
        <f t="shared" si="6930"/>
        <v>0</v>
      </c>
      <c r="DK1057" s="10">
        <f t="shared" si="6930"/>
        <v>0</v>
      </c>
      <c r="DL1057" s="10">
        <f t="shared" si="6930"/>
        <v>0</v>
      </c>
      <c r="DM1057" s="10">
        <f t="shared" si="6930"/>
        <v>0</v>
      </c>
      <c r="DN1057" s="10">
        <f t="shared" si="6930"/>
        <v>0</v>
      </c>
      <c r="DO1057" s="10">
        <f t="shared" si="6930"/>
        <v>0</v>
      </c>
      <c r="DP1057" s="10">
        <f t="shared" si="6930"/>
        <v>0</v>
      </c>
      <c r="DQ1057" s="10">
        <f t="shared" si="6930"/>
        <v>0</v>
      </c>
      <c r="DR1057" s="10">
        <f t="shared" si="6930"/>
        <v>0</v>
      </c>
      <c r="DS1057" s="10">
        <f t="shared" si="6930"/>
        <v>0</v>
      </c>
      <c r="DT1057" s="10">
        <f t="shared" si="6930"/>
        <v>0</v>
      </c>
      <c r="DU1057" s="10">
        <f t="shared" si="6930"/>
        <v>0</v>
      </c>
      <c r="DV1057" s="10">
        <f t="shared" si="6930"/>
        <v>0</v>
      </c>
      <c r="DW1057" s="10">
        <f t="shared" si="6930"/>
        <v>0</v>
      </c>
      <c r="DX1057" s="10">
        <f t="shared" si="6930"/>
        <v>0</v>
      </c>
      <c r="DY1057" s="10">
        <f t="shared" si="6930"/>
        <v>0</v>
      </c>
      <c r="DZ1057" s="10">
        <f t="shared" si="6930"/>
        <v>0</v>
      </c>
      <c r="EA1057" s="10">
        <f t="shared" si="6930"/>
        <v>0</v>
      </c>
    </row>
    <row r="1058" spans="1:131">
      <c r="A1058" s="10"/>
      <c r="B1058" s="10"/>
      <c r="C1058" s="492" t="s">
        <v>152</v>
      </c>
      <c r="D1058" s="10"/>
      <c r="E1058" s="62"/>
      <c r="F1058" s="10"/>
      <c r="G1058" s="134" t="str">
        <f>Monetary_Unit</f>
        <v>тыс. руб.</v>
      </c>
      <c r="H1058" s="10"/>
      <c r="I1058" s="23">
        <f ca="1">SUM(L1058:AV1058)</f>
        <v>-1609891.5823042481</v>
      </c>
      <c r="J1058" s="10"/>
      <c r="K1058" s="10"/>
      <c r="L1058" s="10">
        <f t="shared" ref="L1058:AQ1058" ca="1" si="6931">-(MAX(0,IF(MonthsCumulated/Months_in_Period&gt;=VAT_Periods_Receivable,OFFSET(L1057,0,-VAT_Periods_Receivable))))*Flag_Financial_Model * IF($E$1053=1,Flag_Operations,1) -  J1056*Flag_First_Operations * ($E$1053=1)</f>
        <v>0</v>
      </c>
      <c r="M1058" s="10">
        <f t="shared" ca="1" si="6931"/>
        <v>0</v>
      </c>
      <c r="N1058" s="10">
        <f t="shared" ca="1" si="6931"/>
        <v>0</v>
      </c>
      <c r="O1058" s="10">
        <f t="shared" ca="1" si="6931"/>
        <v>0</v>
      </c>
      <c r="P1058" s="10">
        <f t="shared" ca="1" si="6931"/>
        <v>0</v>
      </c>
      <c r="Q1058" s="10">
        <f t="shared" ca="1" si="6931"/>
        <v>0</v>
      </c>
      <c r="R1058" s="10">
        <f t="shared" ca="1" si="6931"/>
        <v>0</v>
      </c>
      <c r="S1058" s="10">
        <f t="shared" ca="1" si="6931"/>
        <v>0</v>
      </c>
      <c r="T1058" s="10">
        <f t="shared" ca="1" si="6931"/>
        <v>0</v>
      </c>
      <c r="U1058" s="10">
        <f t="shared" ca="1" si="6931"/>
        <v>0</v>
      </c>
      <c r="V1058" s="10">
        <f t="shared" ca="1" si="6931"/>
        <v>0</v>
      </c>
      <c r="W1058" s="10">
        <f t="shared" ca="1" si="6931"/>
        <v>0</v>
      </c>
      <c r="X1058" s="10">
        <f t="shared" ca="1" si="6931"/>
        <v>0</v>
      </c>
      <c r="Y1058" s="10">
        <f t="shared" ca="1" si="6931"/>
        <v>0</v>
      </c>
      <c r="Z1058" s="10">
        <f t="shared" ca="1" si="6931"/>
        <v>0</v>
      </c>
      <c r="AA1058" s="10">
        <f t="shared" ca="1" si="6931"/>
        <v>0</v>
      </c>
      <c r="AB1058" s="10">
        <f t="shared" ca="1" si="6931"/>
        <v>0</v>
      </c>
      <c r="AC1058" s="10">
        <f t="shared" ca="1" si="6931"/>
        <v>-822950.5265705483</v>
      </c>
      <c r="AD1058" s="10">
        <f t="shared" ca="1" si="6931"/>
        <v>-138729.37438541927</v>
      </c>
      <c r="AE1058" s="10">
        <f t="shared" ca="1" si="6931"/>
        <v>-27657.854729723622</v>
      </c>
      <c r="AF1058" s="10">
        <f t="shared" ca="1" si="6931"/>
        <v>-35977.194758761754</v>
      </c>
      <c r="AG1058" s="10">
        <f t="shared" ca="1" si="6931"/>
        <v>-21332.999630498191</v>
      </c>
      <c r="AH1058" s="10">
        <f t="shared" ca="1" si="6931"/>
        <v>-20935.510251790613</v>
      </c>
      <c r="AI1058" s="10">
        <f t="shared" ca="1" si="6931"/>
        <v>-33018.653414808359</v>
      </c>
      <c r="AJ1058" s="10">
        <f t="shared" ca="1" si="6931"/>
        <v>-42754.698534125666</v>
      </c>
      <c r="AK1058" s="10">
        <f t="shared" ca="1" si="6931"/>
        <v>-25239.903367357718</v>
      </c>
      <c r="AL1058" s="10">
        <f t="shared" ca="1" si="6931"/>
        <v>-24669.686938507919</v>
      </c>
      <c r="AM1058" s="10">
        <f t="shared" ca="1" si="6931"/>
        <v>-38764.063427132365</v>
      </c>
      <c r="AN1058" s="10">
        <f t="shared" ca="1" si="6931"/>
        <v>-50016.839099904617</v>
      </c>
      <c r="AO1058" s="10">
        <f t="shared" ca="1" si="6931"/>
        <v>-29425.226603757212</v>
      </c>
      <c r="AP1058" s="10">
        <f t="shared" ca="1" si="6931"/>
        <v>-28987.510731031776</v>
      </c>
      <c r="AQ1058" s="10">
        <f t="shared" ca="1" si="6931"/>
        <v>-44916.139278325398</v>
      </c>
      <c r="AR1058" s="10">
        <f t="shared" ref="AR1058:BW1058" ca="1" si="6932">-(MAX(0,IF(MonthsCumulated/Months_in_Period&gt;=VAT_Periods_Receivable,OFFSET(AR1057,0,-VAT_Periods_Receivable))))*Flag_Financial_Model * IF($E$1053=1,Flag_Operations,1) -  AP1056*Flag_First_Operations * ($E$1053=1)</f>
        <v>-56347.895721601075</v>
      </c>
      <c r="AS1058" s="10">
        <f t="shared" ca="1" si="6932"/>
        <v>-32253.472392079697</v>
      </c>
      <c r="AT1058" s="10">
        <f t="shared" ca="1" si="6932"/>
        <v>-30599.147878715095</v>
      </c>
      <c r="AU1058" s="10">
        <f t="shared" ca="1" si="6932"/>
        <v>-46712.927450777694</v>
      </c>
      <c r="AV1058" s="10">
        <f t="shared" ca="1" si="6932"/>
        <v>-58601.957139381448</v>
      </c>
      <c r="AW1058" s="10">
        <f t="shared" ca="1" si="6932"/>
        <v>-33543.758311225945</v>
      </c>
      <c r="AX1058" s="10">
        <f t="shared" ca="1" si="6932"/>
        <v>-31823.113793863693</v>
      </c>
      <c r="AY1058" s="10">
        <f t="shared" ca="1" si="6932"/>
        <v>0</v>
      </c>
      <c r="AZ1058" s="10">
        <f t="shared" ca="1" si="6932"/>
        <v>0</v>
      </c>
      <c r="BA1058" s="10">
        <f t="shared" ca="1" si="6932"/>
        <v>0</v>
      </c>
      <c r="BB1058" s="10">
        <f t="shared" ca="1" si="6932"/>
        <v>0</v>
      </c>
      <c r="BC1058" s="10">
        <f t="shared" ca="1" si="6932"/>
        <v>0</v>
      </c>
      <c r="BD1058" s="10">
        <f t="shared" ca="1" si="6932"/>
        <v>0</v>
      </c>
      <c r="BE1058" s="10">
        <f t="shared" ca="1" si="6932"/>
        <v>0</v>
      </c>
      <c r="BF1058" s="10">
        <f t="shared" ca="1" si="6932"/>
        <v>0</v>
      </c>
      <c r="BG1058" s="10">
        <f t="shared" ca="1" si="6932"/>
        <v>0</v>
      </c>
      <c r="BH1058" s="10">
        <f t="shared" ca="1" si="6932"/>
        <v>0</v>
      </c>
      <c r="BI1058" s="10">
        <f t="shared" ca="1" si="6932"/>
        <v>0</v>
      </c>
      <c r="BJ1058" s="10">
        <f t="shared" ca="1" si="6932"/>
        <v>0</v>
      </c>
      <c r="BK1058" s="10">
        <f t="shared" ca="1" si="6932"/>
        <v>0</v>
      </c>
      <c r="BL1058" s="10">
        <f t="shared" ca="1" si="6932"/>
        <v>0</v>
      </c>
      <c r="BM1058" s="10">
        <f t="shared" ca="1" si="6932"/>
        <v>0</v>
      </c>
      <c r="BN1058" s="10">
        <f t="shared" ca="1" si="6932"/>
        <v>0</v>
      </c>
      <c r="BO1058" s="10">
        <f t="shared" ca="1" si="6932"/>
        <v>0</v>
      </c>
      <c r="BP1058" s="10">
        <f t="shared" ca="1" si="6932"/>
        <v>0</v>
      </c>
      <c r="BQ1058" s="10">
        <f t="shared" ca="1" si="6932"/>
        <v>0</v>
      </c>
      <c r="BR1058" s="10">
        <f t="shared" ca="1" si="6932"/>
        <v>0</v>
      </c>
      <c r="BS1058" s="10">
        <f t="shared" ca="1" si="6932"/>
        <v>0</v>
      </c>
      <c r="BT1058" s="10">
        <f t="shared" ca="1" si="6932"/>
        <v>0</v>
      </c>
      <c r="BU1058" s="10">
        <f t="shared" ca="1" si="6932"/>
        <v>0</v>
      </c>
      <c r="BV1058" s="10">
        <f t="shared" ca="1" si="6932"/>
        <v>0</v>
      </c>
      <c r="BW1058" s="10">
        <f t="shared" ca="1" si="6932"/>
        <v>0</v>
      </c>
      <c r="BX1058" s="10">
        <f t="shared" ref="BX1058:CO1058" ca="1" si="6933">-(MAX(0,IF(MonthsCumulated/Months_in_Period&gt;=VAT_Periods_Receivable,OFFSET(BX1057,0,-VAT_Periods_Receivable))))*Flag_Financial_Model * IF($E$1053=1,Flag_Operations,1) -  BV1056*Flag_First_Operations * ($E$1053=1)</f>
        <v>0</v>
      </c>
      <c r="BY1058" s="10">
        <f t="shared" ca="1" si="6933"/>
        <v>0</v>
      </c>
      <c r="BZ1058" s="10">
        <f t="shared" ca="1" si="6933"/>
        <v>0</v>
      </c>
      <c r="CA1058" s="10">
        <f t="shared" ca="1" si="6933"/>
        <v>0</v>
      </c>
      <c r="CB1058" s="10">
        <f t="shared" ca="1" si="6933"/>
        <v>0</v>
      </c>
      <c r="CC1058" s="10">
        <f t="shared" ca="1" si="6933"/>
        <v>0</v>
      </c>
      <c r="CD1058" s="10">
        <f t="shared" ca="1" si="6933"/>
        <v>0</v>
      </c>
      <c r="CE1058" s="10">
        <f t="shared" ca="1" si="6933"/>
        <v>0</v>
      </c>
      <c r="CF1058" s="10">
        <f t="shared" ca="1" si="6933"/>
        <v>0</v>
      </c>
      <c r="CG1058" s="10">
        <f t="shared" ca="1" si="6933"/>
        <v>0</v>
      </c>
      <c r="CH1058" s="10">
        <f t="shared" ca="1" si="6933"/>
        <v>0</v>
      </c>
      <c r="CI1058" s="10">
        <f t="shared" ca="1" si="6933"/>
        <v>0</v>
      </c>
      <c r="CJ1058" s="10">
        <f t="shared" ca="1" si="6933"/>
        <v>0</v>
      </c>
      <c r="CK1058" s="10">
        <f t="shared" ca="1" si="6933"/>
        <v>0</v>
      </c>
      <c r="CL1058" s="10">
        <f t="shared" ca="1" si="6933"/>
        <v>0</v>
      </c>
      <c r="CM1058" s="10">
        <f t="shared" ca="1" si="6933"/>
        <v>0</v>
      </c>
      <c r="CN1058" s="10">
        <f t="shared" ca="1" si="6933"/>
        <v>0</v>
      </c>
      <c r="CO1058" s="10">
        <f t="shared" ca="1" si="6933"/>
        <v>0</v>
      </c>
      <c r="CP1058" s="10"/>
      <c r="CQ1058" s="10" t="e">
        <f t="shared" ref="CQ1058:DC1058" ca="1" si="6934">-(MAX(0,IF(MonthsCumulated/Months_in_Period&gt;=VAT_Periods_Receivable,OFFSET(CQ1057,0,-VAT_Periods_Receivable))))*Flag_Financial_Model * IF($E$938=1,Flag_Operations,1) -  CO1056*Flag_First_Operations * ($E$938=1)</f>
        <v>#VALUE!</v>
      </c>
      <c r="CR1058" s="10" t="e">
        <f t="shared" ca="1" si="6934"/>
        <v>#VALUE!</v>
      </c>
      <c r="CS1058" s="10" t="e">
        <f t="shared" ca="1" si="6934"/>
        <v>#VALUE!</v>
      </c>
      <c r="CT1058" s="10" t="e">
        <f t="shared" ca="1" si="6934"/>
        <v>#VALUE!</v>
      </c>
      <c r="CU1058" s="10" t="e">
        <f t="shared" ca="1" si="6934"/>
        <v>#VALUE!</v>
      </c>
      <c r="CV1058" s="10" t="e">
        <f t="shared" ca="1" si="6934"/>
        <v>#VALUE!</v>
      </c>
      <c r="CW1058" s="10" t="e">
        <f t="shared" ca="1" si="6934"/>
        <v>#VALUE!</v>
      </c>
      <c r="CX1058" s="10" t="e">
        <f t="shared" ca="1" si="6934"/>
        <v>#VALUE!</v>
      </c>
      <c r="CY1058" s="10" t="e">
        <f t="shared" ca="1" si="6934"/>
        <v>#VALUE!</v>
      </c>
      <c r="CZ1058" s="10" t="e">
        <f t="shared" ca="1" si="6934"/>
        <v>#VALUE!</v>
      </c>
      <c r="DA1058" s="10" t="e">
        <f t="shared" ca="1" si="6934"/>
        <v>#VALUE!</v>
      </c>
      <c r="DB1058" s="10" t="e">
        <f t="shared" ca="1" si="6934"/>
        <v>#VALUE!</v>
      </c>
      <c r="DC1058" s="10" t="e">
        <f t="shared" ca="1" si="6934"/>
        <v>#VALUE!</v>
      </c>
      <c r="DD1058" s="10" t="e">
        <f t="shared" ref="DD1058:EA1058" ca="1" si="6935">-(MAX(0,IF(MonthsCumulated/Months_in_Period&gt;=VAT_Periods_Receivable,OFFSET(DD1057,0,-VAT_Periods_Receivable))))*Flag_Financial_Model * IF($E$938=1,Flag_Operations,1) -  DB1056*Flag_First_Operations * ($E$938=1)</f>
        <v>#VALUE!</v>
      </c>
      <c r="DE1058" s="10" t="e">
        <f t="shared" ca="1" si="6935"/>
        <v>#VALUE!</v>
      </c>
      <c r="DF1058" s="10" t="e">
        <f t="shared" ca="1" si="6935"/>
        <v>#VALUE!</v>
      </c>
      <c r="DG1058" s="10" t="e">
        <f t="shared" ca="1" si="6935"/>
        <v>#VALUE!</v>
      </c>
      <c r="DH1058" s="10" t="e">
        <f t="shared" ca="1" si="6935"/>
        <v>#VALUE!</v>
      </c>
      <c r="DI1058" s="10" t="e">
        <f t="shared" ca="1" si="6935"/>
        <v>#VALUE!</v>
      </c>
      <c r="DJ1058" s="10" t="e">
        <f t="shared" ca="1" si="6935"/>
        <v>#VALUE!</v>
      </c>
      <c r="DK1058" s="10" t="e">
        <f t="shared" ca="1" si="6935"/>
        <v>#VALUE!</v>
      </c>
      <c r="DL1058" s="10" t="e">
        <f t="shared" ca="1" si="6935"/>
        <v>#VALUE!</v>
      </c>
      <c r="DM1058" s="10" t="e">
        <f t="shared" ca="1" si="6935"/>
        <v>#VALUE!</v>
      </c>
      <c r="DN1058" s="10" t="e">
        <f t="shared" ca="1" si="6935"/>
        <v>#VALUE!</v>
      </c>
      <c r="DO1058" s="10" t="e">
        <f t="shared" ca="1" si="6935"/>
        <v>#VALUE!</v>
      </c>
      <c r="DP1058" s="10" t="e">
        <f t="shared" ca="1" si="6935"/>
        <v>#VALUE!</v>
      </c>
      <c r="DQ1058" s="10" t="e">
        <f t="shared" ca="1" si="6935"/>
        <v>#VALUE!</v>
      </c>
      <c r="DR1058" s="10" t="e">
        <f t="shared" ca="1" si="6935"/>
        <v>#VALUE!</v>
      </c>
      <c r="DS1058" s="10" t="e">
        <f t="shared" ca="1" si="6935"/>
        <v>#VALUE!</v>
      </c>
      <c r="DT1058" s="10" t="e">
        <f t="shared" ca="1" si="6935"/>
        <v>#VALUE!</v>
      </c>
      <c r="DU1058" s="10" t="e">
        <f t="shared" ca="1" si="6935"/>
        <v>#VALUE!</v>
      </c>
      <c r="DV1058" s="10" t="e">
        <f t="shared" ca="1" si="6935"/>
        <v>#VALUE!</v>
      </c>
      <c r="DW1058" s="10" t="e">
        <f t="shared" ca="1" si="6935"/>
        <v>#VALUE!</v>
      </c>
      <c r="DX1058" s="10" t="e">
        <f t="shared" ca="1" si="6935"/>
        <v>#VALUE!</v>
      </c>
      <c r="DY1058" s="10" t="e">
        <f t="shared" ca="1" si="6935"/>
        <v>#VALUE!</v>
      </c>
      <c r="DZ1058" s="10" t="e">
        <f t="shared" ca="1" si="6935"/>
        <v>#VALUE!</v>
      </c>
      <c r="EA1058" s="10" t="e">
        <f t="shared" ca="1" si="6935"/>
        <v>#VALUE!</v>
      </c>
    </row>
    <row r="1059" spans="1:131">
      <c r="A1059" s="10"/>
      <c r="B1059" s="10"/>
      <c r="C1059" s="17" t="s">
        <v>400</v>
      </c>
      <c r="D1059" s="10"/>
      <c r="E1059" s="62"/>
      <c r="F1059" s="10"/>
      <c r="G1059" s="134" t="str">
        <f>Monetary_Unit</f>
        <v>тыс. руб.</v>
      </c>
      <c r="H1059" s="10"/>
      <c r="I1059" s="23">
        <f ca="1">SUM(L1059:AV1059)</f>
        <v>0</v>
      </c>
      <c r="J1059" s="10"/>
      <c r="K1059" s="10"/>
      <c r="L1059" s="10">
        <f t="shared" ref="L1059" ca="1" si="6936">-MAX(SUM(L1056:L1058),0)*Flag_Last_Operations</f>
        <v>0</v>
      </c>
      <c r="M1059" s="10">
        <f t="shared" ref="M1059:BX1059" ca="1" si="6937">-MAX(SUM(M1056:M1058),0)*Flag_Last_Operations</f>
        <v>0</v>
      </c>
      <c r="N1059" s="10">
        <f t="shared" ca="1" si="6937"/>
        <v>0</v>
      </c>
      <c r="O1059" s="10">
        <f t="shared" ca="1" si="6937"/>
        <v>0</v>
      </c>
      <c r="P1059" s="10">
        <f t="shared" ca="1" si="6937"/>
        <v>0</v>
      </c>
      <c r="Q1059" s="10">
        <f t="shared" ca="1" si="6937"/>
        <v>0</v>
      </c>
      <c r="R1059" s="10">
        <f t="shared" ca="1" si="6937"/>
        <v>0</v>
      </c>
      <c r="S1059" s="10">
        <f t="shared" ca="1" si="6937"/>
        <v>0</v>
      </c>
      <c r="T1059" s="10">
        <f t="shared" ca="1" si="6937"/>
        <v>0</v>
      </c>
      <c r="U1059" s="10">
        <f t="shared" ca="1" si="6937"/>
        <v>0</v>
      </c>
      <c r="V1059" s="10">
        <f t="shared" ca="1" si="6937"/>
        <v>0</v>
      </c>
      <c r="W1059" s="10">
        <f t="shared" ca="1" si="6937"/>
        <v>0</v>
      </c>
      <c r="X1059" s="10">
        <f t="shared" ca="1" si="6937"/>
        <v>0</v>
      </c>
      <c r="Y1059" s="10">
        <f t="shared" ca="1" si="6937"/>
        <v>0</v>
      </c>
      <c r="Z1059" s="10">
        <f t="shared" ca="1" si="6937"/>
        <v>0</v>
      </c>
      <c r="AA1059" s="10">
        <f t="shared" ca="1" si="6937"/>
        <v>0</v>
      </c>
      <c r="AB1059" s="10">
        <f t="shared" ca="1" si="6937"/>
        <v>0</v>
      </c>
      <c r="AC1059" s="10">
        <f t="shared" ca="1" si="6937"/>
        <v>0</v>
      </c>
      <c r="AD1059" s="10">
        <f t="shared" ca="1" si="6937"/>
        <v>0</v>
      </c>
      <c r="AE1059" s="10">
        <f t="shared" ca="1" si="6937"/>
        <v>0</v>
      </c>
      <c r="AF1059" s="10">
        <f t="shared" ca="1" si="6937"/>
        <v>0</v>
      </c>
      <c r="AG1059" s="10">
        <f t="shared" ca="1" si="6937"/>
        <v>0</v>
      </c>
      <c r="AH1059" s="10">
        <f t="shared" ca="1" si="6937"/>
        <v>0</v>
      </c>
      <c r="AI1059" s="10">
        <f t="shared" ca="1" si="6937"/>
        <v>0</v>
      </c>
      <c r="AJ1059" s="10">
        <f t="shared" ca="1" si="6937"/>
        <v>0</v>
      </c>
      <c r="AK1059" s="10">
        <f t="shared" ca="1" si="6937"/>
        <v>0</v>
      </c>
      <c r="AL1059" s="10">
        <f t="shared" ca="1" si="6937"/>
        <v>0</v>
      </c>
      <c r="AM1059" s="10">
        <f t="shared" ca="1" si="6937"/>
        <v>0</v>
      </c>
      <c r="AN1059" s="10">
        <f t="shared" ca="1" si="6937"/>
        <v>0</v>
      </c>
      <c r="AO1059" s="10">
        <f t="shared" ca="1" si="6937"/>
        <v>0</v>
      </c>
      <c r="AP1059" s="10">
        <f t="shared" ca="1" si="6937"/>
        <v>0</v>
      </c>
      <c r="AQ1059" s="10">
        <f t="shared" ca="1" si="6937"/>
        <v>0</v>
      </c>
      <c r="AR1059" s="10">
        <f t="shared" ca="1" si="6937"/>
        <v>0</v>
      </c>
      <c r="AS1059" s="10">
        <f t="shared" ca="1" si="6937"/>
        <v>0</v>
      </c>
      <c r="AT1059" s="10">
        <f t="shared" ca="1" si="6937"/>
        <v>0</v>
      </c>
      <c r="AU1059" s="10">
        <f t="shared" ca="1" si="6937"/>
        <v>0</v>
      </c>
      <c r="AV1059" s="10">
        <f t="shared" ca="1" si="6937"/>
        <v>0</v>
      </c>
      <c r="AW1059" s="10">
        <f t="shared" ca="1" si="6937"/>
        <v>0</v>
      </c>
      <c r="AX1059" s="10">
        <f t="shared" ca="1" si="6937"/>
        <v>0</v>
      </c>
      <c r="AY1059" s="10">
        <f t="shared" ca="1" si="6937"/>
        <v>0</v>
      </c>
      <c r="AZ1059" s="10">
        <f t="shared" ca="1" si="6937"/>
        <v>0</v>
      </c>
      <c r="BA1059" s="10">
        <f t="shared" ca="1" si="6937"/>
        <v>0</v>
      </c>
      <c r="BB1059" s="10">
        <f t="shared" ca="1" si="6937"/>
        <v>0</v>
      </c>
      <c r="BC1059" s="10">
        <f t="shared" ca="1" si="6937"/>
        <v>0</v>
      </c>
      <c r="BD1059" s="10">
        <f t="shared" ca="1" si="6937"/>
        <v>0</v>
      </c>
      <c r="BE1059" s="10">
        <f t="shared" ca="1" si="6937"/>
        <v>0</v>
      </c>
      <c r="BF1059" s="10">
        <f t="shared" ca="1" si="6937"/>
        <v>0</v>
      </c>
      <c r="BG1059" s="10">
        <f t="shared" ca="1" si="6937"/>
        <v>0</v>
      </c>
      <c r="BH1059" s="10">
        <f t="shared" ca="1" si="6937"/>
        <v>0</v>
      </c>
      <c r="BI1059" s="10">
        <f t="shared" ca="1" si="6937"/>
        <v>0</v>
      </c>
      <c r="BJ1059" s="10">
        <f t="shared" ca="1" si="6937"/>
        <v>0</v>
      </c>
      <c r="BK1059" s="10">
        <f t="shared" ca="1" si="6937"/>
        <v>0</v>
      </c>
      <c r="BL1059" s="10">
        <f t="shared" ca="1" si="6937"/>
        <v>0</v>
      </c>
      <c r="BM1059" s="10">
        <f t="shared" ca="1" si="6937"/>
        <v>0</v>
      </c>
      <c r="BN1059" s="10">
        <f t="shared" ca="1" si="6937"/>
        <v>0</v>
      </c>
      <c r="BO1059" s="10">
        <f t="shared" ca="1" si="6937"/>
        <v>0</v>
      </c>
      <c r="BP1059" s="10">
        <f t="shared" ca="1" si="6937"/>
        <v>0</v>
      </c>
      <c r="BQ1059" s="10">
        <f t="shared" ca="1" si="6937"/>
        <v>0</v>
      </c>
      <c r="BR1059" s="10">
        <f t="shared" ca="1" si="6937"/>
        <v>0</v>
      </c>
      <c r="BS1059" s="10">
        <f t="shared" ca="1" si="6937"/>
        <v>0</v>
      </c>
      <c r="BT1059" s="10">
        <f t="shared" ca="1" si="6937"/>
        <v>0</v>
      </c>
      <c r="BU1059" s="10">
        <f t="shared" ca="1" si="6937"/>
        <v>0</v>
      </c>
      <c r="BV1059" s="10">
        <f t="shared" ca="1" si="6937"/>
        <v>0</v>
      </c>
      <c r="BW1059" s="10">
        <f t="shared" ca="1" si="6937"/>
        <v>0</v>
      </c>
      <c r="BX1059" s="10">
        <f t="shared" ca="1" si="6937"/>
        <v>0</v>
      </c>
      <c r="BY1059" s="10">
        <f t="shared" ref="BY1059:CO1059" ca="1" si="6938">-MAX(SUM(BY1056:BY1058),0)*Flag_Last_Operations</f>
        <v>0</v>
      </c>
      <c r="BZ1059" s="10">
        <f t="shared" ca="1" si="6938"/>
        <v>0</v>
      </c>
      <c r="CA1059" s="10">
        <f t="shared" ca="1" si="6938"/>
        <v>0</v>
      </c>
      <c r="CB1059" s="10">
        <f t="shared" ca="1" si="6938"/>
        <v>0</v>
      </c>
      <c r="CC1059" s="10">
        <f t="shared" ca="1" si="6938"/>
        <v>0</v>
      </c>
      <c r="CD1059" s="10">
        <f t="shared" ca="1" si="6938"/>
        <v>0</v>
      </c>
      <c r="CE1059" s="10">
        <f t="shared" ca="1" si="6938"/>
        <v>0</v>
      </c>
      <c r="CF1059" s="10">
        <f t="shared" ca="1" si="6938"/>
        <v>0</v>
      </c>
      <c r="CG1059" s="10">
        <f t="shared" ca="1" si="6938"/>
        <v>0</v>
      </c>
      <c r="CH1059" s="10">
        <f t="shared" ca="1" si="6938"/>
        <v>0</v>
      </c>
      <c r="CI1059" s="10">
        <f t="shared" ca="1" si="6938"/>
        <v>0</v>
      </c>
      <c r="CJ1059" s="10">
        <f t="shared" ca="1" si="6938"/>
        <v>0</v>
      </c>
      <c r="CK1059" s="10">
        <f t="shared" ca="1" si="6938"/>
        <v>0</v>
      </c>
      <c r="CL1059" s="10">
        <f t="shared" ca="1" si="6938"/>
        <v>0</v>
      </c>
      <c r="CM1059" s="10">
        <f t="shared" ca="1" si="6938"/>
        <v>0</v>
      </c>
      <c r="CN1059" s="10">
        <f t="shared" ca="1" si="6938"/>
        <v>0</v>
      </c>
      <c r="CO1059" s="10">
        <f t="shared" ca="1" si="6938"/>
        <v>0</v>
      </c>
      <c r="CP1059" s="10"/>
      <c r="CQ1059" s="10" t="e">
        <f t="shared" ref="CQ1059:EA1059" ca="1" si="6939">-MAX(SUM(CQ1056:CQ1058),0)*Flag_Last_Operations</f>
        <v>#VALUE!</v>
      </c>
      <c r="CR1059" s="10" t="e">
        <f t="shared" ca="1" si="6939"/>
        <v>#VALUE!</v>
      </c>
      <c r="CS1059" s="10" t="e">
        <f t="shared" ca="1" si="6939"/>
        <v>#VALUE!</v>
      </c>
      <c r="CT1059" s="10" t="e">
        <f t="shared" ca="1" si="6939"/>
        <v>#VALUE!</v>
      </c>
      <c r="CU1059" s="10" t="e">
        <f t="shared" ca="1" si="6939"/>
        <v>#VALUE!</v>
      </c>
      <c r="CV1059" s="10" t="e">
        <f t="shared" ca="1" si="6939"/>
        <v>#VALUE!</v>
      </c>
      <c r="CW1059" s="10" t="e">
        <f t="shared" ca="1" si="6939"/>
        <v>#VALUE!</v>
      </c>
      <c r="CX1059" s="10" t="e">
        <f t="shared" ca="1" si="6939"/>
        <v>#VALUE!</v>
      </c>
      <c r="CY1059" s="10" t="e">
        <f t="shared" ca="1" si="6939"/>
        <v>#VALUE!</v>
      </c>
      <c r="CZ1059" s="10" t="e">
        <f t="shared" ca="1" si="6939"/>
        <v>#VALUE!</v>
      </c>
      <c r="DA1059" s="10" t="e">
        <f t="shared" ca="1" si="6939"/>
        <v>#VALUE!</v>
      </c>
      <c r="DB1059" s="10" t="e">
        <f t="shared" ca="1" si="6939"/>
        <v>#VALUE!</v>
      </c>
      <c r="DC1059" s="10" t="e">
        <f t="shared" ca="1" si="6939"/>
        <v>#VALUE!</v>
      </c>
      <c r="DD1059" s="10" t="e">
        <f t="shared" ca="1" si="6939"/>
        <v>#VALUE!</v>
      </c>
      <c r="DE1059" s="10" t="e">
        <f t="shared" ca="1" si="6939"/>
        <v>#VALUE!</v>
      </c>
      <c r="DF1059" s="10" t="e">
        <f t="shared" ca="1" si="6939"/>
        <v>#VALUE!</v>
      </c>
      <c r="DG1059" s="10" t="e">
        <f t="shared" ca="1" si="6939"/>
        <v>#VALUE!</v>
      </c>
      <c r="DH1059" s="10" t="e">
        <f t="shared" ca="1" si="6939"/>
        <v>#VALUE!</v>
      </c>
      <c r="DI1059" s="10" t="e">
        <f t="shared" ca="1" si="6939"/>
        <v>#VALUE!</v>
      </c>
      <c r="DJ1059" s="10" t="e">
        <f t="shared" ca="1" si="6939"/>
        <v>#VALUE!</v>
      </c>
      <c r="DK1059" s="10" t="e">
        <f t="shared" ca="1" si="6939"/>
        <v>#VALUE!</v>
      </c>
      <c r="DL1059" s="10" t="e">
        <f t="shared" ca="1" si="6939"/>
        <v>#VALUE!</v>
      </c>
      <c r="DM1059" s="10" t="e">
        <f t="shared" ca="1" si="6939"/>
        <v>#VALUE!</v>
      </c>
      <c r="DN1059" s="10" t="e">
        <f t="shared" ca="1" si="6939"/>
        <v>#VALUE!</v>
      </c>
      <c r="DO1059" s="10" t="e">
        <f t="shared" ca="1" si="6939"/>
        <v>#VALUE!</v>
      </c>
      <c r="DP1059" s="10" t="e">
        <f t="shared" ca="1" si="6939"/>
        <v>#VALUE!</v>
      </c>
      <c r="DQ1059" s="10" t="e">
        <f t="shared" ca="1" si="6939"/>
        <v>#VALUE!</v>
      </c>
      <c r="DR1059" s="10" t="e">
        <f t="shared" ca="1" si="6939"/>
        <v>#VALUE!</v>
      </c>
      <c r="DS1059" s="10" t="e">
        <f t="shared" ca="1" si="6939"/>
        <v>#VALUE!</v>
      </c>
      <c r="DT1059" s="10" t="e">
        <f t="shared" ca="1" si="6939"/>
        <v>#VALUE!</v>
      </c>
      <c r="DU1059" s="10" t="e">
        <f t="shared" ca="1" si="6939"/>
        <v>#VALUE!</v>
      </c>
      <c r="DV1059" s="10" t="e">
        <f t="shared" ca="1" si="6939"/>
        <v>#VALUE!</v>
      </c>
      <c r="DW1059" s="10" t="e">
        <f t="shared" ca="1" si="6939"/>
        <v>#VALUE!</v>
      </c>
      <c r="DX1059" s="10" t="e">
        <f t="shared" ca="1" si="6939"/>
        <v>#VALUE!</v>
      </c>
      <c r="DY1059" s="10" t="e">
        <f t="shared" ca="1" si="6939"/>
        <v>#VALUE!</v>
      </c>
      <c r="DZ1059" s="10" t="e">
        <f t="shared" ca="1" si="6939"/>
        <v>#VALUE!</v>
      </c>
      <c r="EA1059" s="10" t="e">
        <f t="shared" ca="1" si="6939"/>
        <v>#VALUE!</v>
      </c>
    </row>
    <row r="1060" spans="1:131">
      <c r="A1060" s="10"/>
      <c r="B1060" s="10"/>
      <c r="C1060" s="17" t="s">
        <v>149</v>
      </c>
      <c r="D1060" s="10"/>
      <c r="E1060" s="62"/>
      <c r="F1060" s="10"/>
      <c r="G1060" s="134" t="str">
        <f>Monetary_Unit</f>
        <v>тыс. руб.</v>
      </c>
      <c r="H1060" s="10"/>
      <c r="I1060" s="10"/>
      <c r="J1060" s="10"/>
      <c r="K1060" s="10"/>
      <c r="L1060" s="10">
        <f t="shared" ref="L1060" ca="1" si="6940">SUM(L1056:L1059)*ABS(SUM(L1056:L1059)&gt;Accuracy)</f>
        <v>5234.3588965478193</v>
      </c>
      <c r="M1060" s="10">
        <f t="shared" ref="M1060:BX1060" ca="1" si="6941">SUM(M1056:M1059)*ABS(SUM(M1056:M1059)&gt;Accuracy)</f>
        <v>10543.018928299076</v>
      </c>
      <c r="N1060" s="10">
        <f t="shared" ca="1" si="6941"/>
        <v>15927.034791502465</v>
      </c>
      <c r="O1060" s="10">
        <f t="shared" ca="1" si="6941"/>
        <v>21387.476153701184</v>
      </c>
      <c r="P1060" s="10">
        <f t="shared" ca="1" si="6941"/>
        <v>67319.387121700376</v>
      </c>
      <c r="Q1060" s="10">
        <f t="shared" ca="1" si="6941"/>
        <v>113703.88388203831</v>
      </c>
      <c r="R1060" s="10">
        <f t="shared" ca="1" si="6941"/>
        <v>160545.42594652518</v>
      </c>
      <c r="S1060" s="10">
        <f t="shared" ca="1" si="6941"/>
        <v>207848.51676835405</v>
      </c>
      <c r="T1060" s="10">
        <f t="shared" ca="1" si="6941"/>
        <v>255617.70417507322</v>
      </c>
      <c r="U1060" s="10">
        <f t="shared" ca="1" si="6941"/>
        <v>303857.58080582466</v>
      </c>
      <c r="V1060" s="10">
        <f t="shared" ca="1" si="6941"/>
        <v>352572.78455289098</v>
      </c>
      <c r="W1060" s="10">
        <f t="shared" ca="1" si="6941"/>
        <v>401767.99900759303</v>
      </c>
      <c r="X1060" s="10">
        <f t="shared" ca="1" si="6941"/>
        <v>505520.06589259498</v>
      </c>
      <c r="Y1060" s="10">
        <f t="shared" ca="1" si="6941"/>
        <v>610294.4440729107</v>
      </c>
      <c r="Z1060" s="10">
        <f t="shared" ca="1" si="6941"/>
        <v>716101.20679735241</v>
      </c>
      <c r="AA1060" s="10">
        <f t="shared" ca="1" si="6941"/>
        <v>822950.5265705483</v>
      </c>
      <c r="AB1060" s="10">
        <f t="shared" ca="1" si="6941"/>
        <v>961679.90095596761</v>
      </c>
      <c r="AC1060" s="10">
        <f t="shared" ca="1" si="6941"/>
        <v>166387.22911514295</v>
      </c>
      <c r="AD1060" s="10">
        <f t="shared" ca="1" si="6941"/>
        <v>63635.049488485442</v>
      </c>
      <c r="AE1060" s="10">
        <f t="shared" ca="1" si="6941"/>
        <v>57310.19438926001</v>
      </c>
      <c r="AF1060" s="10">
        <f t="shared" ca="1" si="6941"/>
        <v>42268.509882288876</v>
      </c>
      <c r="AG1060" s="10">
        <f t="shared" ca="1" si="6941"/>
        <v>53954.163666599037</v>
      </c>
      <c r="AH1060" s="10">
        <f t="shared" ca="1" si="6941"/>
        <v>75773.351948934083</v>
      </c>
      <c r="AI1060" s="10">
        <f t="shared" ca="1" si="6941"/>
        <v>67994.601901483446</v>
      </c>
      <c r="AJ1060" s="10">
        <f t="shared" ca="1" si="6941"/>
        <v>49909.590305865699</v>
      </c>
      <c r="AK1060" s="10">
        <f t="shared" ca="1" si="6941"/>
        <v>63433.750365640342</v>
      </c>
      <c r="AL1060" s="10">
        <f t="shared" ca="1" si="6941"/>
        <v>88780.902527037048</v>
      </c>
      <c r="AM1060" s="10">
        <f t="shared" ca="1" si="6941"/>
        <v>79442.065703661894</v>
      </c>
      <c r="AN1060" s="10">
        <f t="shared" ca="1" si="6941"/>
        <v>58412.737334789061</v>
      </c>
      <c r="AO1060" s="10">
        <f t="shared" ca="1" si="6941"/>
        <v>73903.650009357254</v>
      </c>
      <c r="AP1060" s="10">
        <f t="shared" ca="1" si="6941"/>
        <v>101264.03499992655</v>
      </c>
      <c r="AQ1060" s="10">
        <f t="shared" ca="1" si="6941"/>
        <v>88601.36811368083</v>
      </c>
      <c r="AR1060" s="10">
        <f t="shared" ca="1" si="6941"/>
        <v>62852.620270794854</v>
      </c>
      <c r="AS1060" s="10">
        <f t="shared" ca="1" si="6941"/>
        <v>77312.075329492844</v>
      </c>
      <c r="AT1060" s="10">
        <f t="shared" ca="1" si="6941"/>
        <v>105314.8845901592</v>
      </c>
      <c r="AU1060" s="10">
        <f t="shared" ca="1" si="6941"/>
        <v>92145.715450607444</v>
      </c>
      <c r="AV1060" s="10">
        <f t="shared" ca="1" si="6941"/>
        <v>65366.872105089693</v>
      </c>
      <c r="AW1060" s="10">
        <f t="shared" ca="1" si="6941"/>
        <v>31823.113793863748</v>
      </c>
      <c r="AX1060" s="10">
        <f t="shared" ca="1" si="6941"/>
        <v>0</v>
      </c>
      <c r="AY1060" s="10">
        <f t="shared" ca="1" si="6941"/>
        <v>0</v>
      </c>
      <c r="AZ1060" s="10">
        <f t="shared" ca="1" si="6941"/>
        <v>0</v>
      </c>
      <c r="BA1060" s="10">
        <f t="shared" ca="1" si="6941"/>
        <v>0</v>
      </c>
      <c r="BB1060" s="10">
        <f t="shared" ca="1" si="6941"/>
        <v>0</v>
      </c>
      <c r="BC1060" s="10">
        <f t="shared" ca="1" si="6941"/>
        <v>0</v>
      </c>
      <c r="BD1060" s="10">
        <f t="shared" ca="1" si="6941"/>
        <v>0</v>
      </c>
      <c r="BE1060" s="10">
        <f t="shared" ca="1" si="6941"/>
        <v>0</v>
      </c>
      <c r="BF1060" s="10">
        <f t="shared" ca="1" si="6941"/>
        <v>0</v>
      </c>
      <c r="BG1060" s="10">
        <f t="shared" ca="1" si="6941"/>
        <v>0</v>
      </c>
      <c r="BH1060" s="10">
        <f t="shared" ca="1" si="6941"/>
        <v>0</v>
      </c>
      <c r="BI1060" s="10">
        <f t="shared" ca="1" si="6941"/>
        <v>0</v>
      </c>
      <c r="BJ1060" s="10">
        <f t="shared" ca="1" si="6941"/>
        <v>0</v>
      </c>
      <c r="BK1060" s="10">
        <f t="shared" ca="1" si="6941"/>
        <v>0</v>
      </c>
      <c r="BL1060" s="10">
        <f t="shared" ca="1" si="6941"/>
        <v>0</v>
      </c>
      <c r="BM1060" s="10">
        <f t="shared" ca="1" si="6941"/>
        <v>0</v>
      </c>
      <c r="BN1060" s="10">
        <f t="shared" ca="1" si="6941"/>
        <v>0</v>
      </c>
      <c r="BO1060" s="10">
        <f t="shared" ca="1" si="6941"/>
        <v>0</v>
      </c>
      <c r="BP1060" s="10">
        <f t="shared" ca="1" si="6941"/>
        <v>0</v>
      </c>
      <c r="BQ1060" s="10">
        <f t="shared" ca="1" si="6941"/>
        <v>0</v>
      </c>
      <c r="BR1060" s="10">
        <f t="shared" ca="1" si="6941"/>
        <v>0</v>
      </c>
      <c r="BS1060" s="10">
        <f t="shared" ca="1" si="6941"/>
        <v>0</v>
      </c>
      <c r="BT1060" s="10">
        <f t="shared" ca="1" si="6941"/>
        <v>0</v>
      </c>
      <c r="BU1060" s="10">
        <f t="shared" ca="1" si="6941"/>
        <v>0</v>
      </c>
      <c r="BV1060" s="10">
        <f t="shared" ca="1" si="6941"/>
        <v>0</v>
      </c>
      <c r="BW1060" s="10">
        <f t="shared" ca="1" si="6941"/>
        <v>0</v>
      </c>
      <c r="BX1060" s="10">
        <f t="shared" ca="1" si="6941"/>
        <v>0</v>
      </c>
      <c r="BY1060" s="10">
        <f t="shared" ref="BY1060:CO1060" ca="1" si="6942">SUM(BY1056:BY1059)*ABS(SUM(BY1056:BY1059)&gt;Accuracy)</f>
        <v>0</v>
      </c>
      <c r="BZ1060" s="10">
        <f t="shared" ca="1" si="6942"/>
        <v>0</v>
      </c>
      <c r="CA1060" s="10">
        <f t="shared" ca="1" si="6942"/>
        <v>0</v>
      </c>
      <c r="CB1060" s="10">
        <f t="shared" ca="1" si="6942"/>
        <v>0</v>
      </c>
      <c r="CC1060" s="10">
        <f t="shared" ca="1" si="6942"/>
        <v>0</v>
      </c>
      <c r="CD1060" s="10">
        <f t="shared" ca="1" si="6942"/>
        <v>0</v>
      </c>
      <c r="CE1060" s="10">
        <f t="shared" ca="1" si="6942"/>
        <v>0</v>
      </c>
      <c r="CF1060" s="10">
        <f t="shared" ca="1" si="6942"/>
        <v>0</v>
      </c>
      <c r="CG1060" s="10">
        <f t="shared" ca="1" si="6942"/>
        <v>0</v>
      </c>
      <c r="CH1060" s="10">
        <f t="shared" ca="1" si="6942"/>
        <v>0</v>
      </c>
      <c r="CI1060" s="10">
        <f t="shared" ca="1" si="6942"/>
        <v>0</v>
      </c>
      <c r="CJ1060" s="10">
        <f t="shared" ca="1" si="6942"/>
        <v>0</v>
      </c>
      <c r="CK1060" s="10">
        <f t="shared" ca="1" si="6942"/>
        <v>0</v>
      </c>
      <c r="CL1060" s="10">
        <f t="shared" ca="1" si="6942"/>
        <v>0</v>
      </c>
      <c r="CM1060" s="10">
        <f t="shared" ca="1" si="6942"/>
        <v>0</v>
      </c>
      <c r="CN1060" s="10">
        <f t="shared" ca="1" si="6942"/>
        <v>0</v>
      </c>
      <c r="CO1060" s="10">
        <f t="shared" ca="1" si="6942"/>
        <v>0</v>
      </c>
      <c r="CP1060" s="10"/>
      <c r="CQ1060" s="10" t="e">
        <f t="shared" ref="CQ1060:EA1060" ca="1" si="6943">SUM(CQ1056:CQ1059)*ABS(SUM(CQ1056:CQ1059)&gt;Accuracy)</f>
        <v>#VALUE!</v>
      </c>
      <c r="CR1060" s="10" t="e">
        <f t="shared" ca="1" si="6943"/>
        <v>#VALUE!</v>
      </c>
      <c r="CS1060" s="10" t="e">
        <f t="shared" ca="1" si="6943"/>
        <v>#VALUE!</v>
      </c>
      <c r="CT1060" s="10" t="e">
        <f t="shared" ca="1" si="6943"/>
        <v>#VALUE!</v>
      </c>
      <c r="CU1060" s="10" t="e">
        <f t="shared" ca="1" si="6943"/>
        <v>#VALUE!</v>
      </c>
      <c r="CV1060" s="10" t="e">
        <f t="shared" ca="1" si="6943"/>
        <v>#VALUE!</v>
      </c>
      <c r="CW1060" s="10" t="e">
        <f t="shared" ca="1" si="6943"/>
        <v>#VALUE!</v>
      </c>
      <c r="CX1060" s="10" t="e">
        <f t="shared" ca="1" si="6943"/>
        <v>#VALUE!</v>
      </c>
      <c r="CY1060" s="10" t="e">
        <f t="shared" ca="1" si="6943"/>
        <v>#VALUE!</v>
      </c>
      <c r="CZ1060" s="10" t="e">
        <f t="shared" ca="1" si="6943"/>
        <v>#VALUE!</v>
      </c>
      <c r="DA1060" s="10" t="e">
        <f t="shared" ca="1" si="6943"/>
        <v>#VALUE!</v>
      </c>
      <c r="DB1060" s="10" t="e">
        <f t="shared" ca="1" si="6943"/>
        <v>#VALUE!</v>
      </c>
      <c r="DC1060" s="10" t="e">
        <f t="shared" ca="1" si="6943"/>
        <v>#VALUE!</v>
      </c>
      <c r="DD1060" s="10" t="e">
        <f t="shared" ca="1" si="6943"/>
        <v>#VALUE!</v>
      </c>
      <c r="DE1060" s="10" t="e">
        <f t="shared" ca="1" si="6943"/>
        <v>#VALUE!</v>
      </c>
      <c r="DF1060" s="10" t="e">
        <f t="shared" ca="1" si="6943"/>
        <v>#VALUE!</v>
      </c>
      <c r="DG1060" s="10" t="e">
        <f t="shared" ca="1" si="6943"/>
        <v>#VALUE!</v>
      </c>
      <c r="DH1060" s="10" t="e">
        <f t="shared" ca="1" si="6943"/>
        <v>#VALUE!</v>
      </c>
      <c r="DI1060" s="10" t="e">
        <f t="shared" ca="1" si="6943"/>
        <v>#VALUE!</v>
      </c>
      <c r="DJ1060" s="10" t="e">
        <f t="shared" ca="1" si="6943"/>
        <v>#VALUE!</v>
      </c>
      <c r="DK1060" s="10" t="e">
        <f t="shared" ca="1" si="6943"/>
        <v>#VALUE!</v>
      </c>
      <c r="DL1060" s="10" t="e">
        <f t="shared" ca="1" si="6943"/>
        <v>#VALUE!</v>
      </c>
      <c r="DM1060" s="10" t="e">
        <f t="shared" ca="1" si="6943"/>
        <v>#VALUE!</v>
      </c>
      <c r="DN1060" s="10" t="e">
        <f t="shared" ca="1" si="6943"/>
        <v>#VALUE!</v>
      </c>
      <c r="DO1060" s="10" t="e">
        <f t="shared" ca="1" si="6943"/>
        <v>#VALUE!</v>
      </c>
      <c r="DP1060" s="10" t="e">
        <f t="shared" ca="1" si="6943"/>
        <v>#VALUE!</v>
      </c>
      <c r="DQ1060" s="10" t="e">
        <f t="shared" ca="1" si="6943"/>
        <v>#VALUE!</v>
      </c>
      <c r="DR1060" s="10" t="e">
        <f t="shared" ca="1" si="6943"/>
        <v>#VALUE!</v>
      </c>
      <c r="DS1060" s="10" t="e">
        <f t="shared" ca="1" si="6943"/>
        <v>#VALUE!</v>
      </c>
      <c r="DT1060" s="10" t="e">
        <f t="shared" ca="1" si="6943"/>
        <v>#VALUE!</v>
      </c>
      <c r="DU1060" s="10" t="e">
        <f t="shared" ca="1" si="6943"/>
        <v>#VALUE!</v>
      </c>
      <c r="DV1060" s="10" t="e">
        <f t="shared" ca="1" si="6943"/>
        <v>#VALUE!</v>
      </c>
      <c r="DW1060" s="10" t="e">
        <f t="shared" ca="1" si="6943"/>
        <v>#VALUE!</v>
      </c>
      <c r="DX1060" s="10" t="e">
        <f t="shared" ca="1" si="6943"/>
        <v>#VALUE!</v>
      </c>
      <c r="DY1060" s="10" t="e">
        <f t="shared" ca="1" si="6943"/>
        <v>#VALUE!</v>
      </c>
      <c r="DZ1060" s="10" t="e">
        <f t="shared" ca="1" si="6943"/>
        <v>#VALUE!</v>
      </c>
      <c r="EA1060" s="10" t="e">
        <f t="shared" ca="1" si="6943"/>
        <v>#VALUE!</v>
      </c>
    </row>
    <row r="1061" spans="1:131">
      <c r="A1061" s="10"/>
      <c r="B1061" s="10"/>
      <c r="C1061" s="17" t="s">
        <v>150</v>
      </c>
      <c r="D1061" s="10"/>
      <c r="E1061" s="62"/>
      <c r="F1061" s="10"/>
      <c r="G1061" s="11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  <c r="BB1061" s="10"/>
      <c r="BC1061" s="10"/>
      <c r="BD1061" s="10"/>
      <c r="BE1061" s="10"/>
      <c r="BF1061" s="10"/>
      <c r="BG1061" s="10"/>
      <c r="BH1061" s="10"/>
      <c r="BI1061" s="10"/>
      <c r="BJ1061" s="10"/>
      <c r="BK1061" s="10"/>
      <c r="BL1061" s="10"/>
      <c r="BM1061" s="10"/>
      <c r="BN1061" s="10"/>
      <c r="BO1061" s="10"/>
      <c r="BP1061" s="10"/>
      <c r="BQ1061" s="10"/>
      <c r="BR1061" s="10"/>
      <c r="BS1061" s="10"/>
      <c r="BT1061" s="10"/>
      <c r="BU1061" s="10"/>
      <c r="BV1061" s="10"/>
      <c r="BW1061" s="10"/>
      <c r="BX1061" s="10"/>
      <c r="BY1061" s="10"/>
      <c r="BZ1061" s="10"/>
      <c r="CA1061" s="10"/>
      <c r="CB1061" s="10"/>
      <c r="CC1061" s="10"/>
      <c r="CD1061" s="10"/>
      <c r="CE1061" s="10"/>
      <c r="CF1061" s="10"/>
      <c r="CG1061" s="10"/>
      <c r="CH1061" s="10"/>
      <c r="CI1061" s="10"/>
      <c r="CJ1061" s="10"/>
      <c r="CK1061" s="10"/>
      <c r="CL1061" s="10"/>
      <c r="CM1061" s="10"/>
      <c r="CN1061" s="10"/>
      <c r="CO1061" s="10"/>
    </row>
    <row r="1062" spans="1:131">
      <c r="A1062" s="10"/>
      <c r="B1062" s="10"/>
      <c r="C1062" s="17" t="s">
        <v>401</v>
      </c>
      <c r="D1062" s="10"/>
      <c r="E1062" s="62"/>
      <c r="F1062" s="10"/>
      <c r="G1062" s="134" t="str">
        <f>Monetary_Unit</f>
        <v>тыс. руб.</v>
      </c>
      <c r="H1062" s="10"/>
      <c r="I1062" s="10"/>
      <c r="J1062" s="10"/>
      <c r="K1062" s="10"/>
      <c r="L1062" s="10">
        <f t="shared" ref="L1062:AQ1062" ca="1" si="6944">L1060 - VAT_Payable</f>
        <v>5234.3588965478193</v>
      </c>
      <c r="M1062" s="10">
        <f t="shared" ca="1" si="6944"/>
        <v>10543.018928299076</v>
      </c>
      <c r="N1062" s="10">
        <f t="shared" ca="1" si="6944"/>
        <v>15927.034791502465</v>
      </c>
      <c r="O1062" s="10">
        <f t="shared" ca="1" si="6944"/>
        <v>21387.476153701184</v>
      </c>
      <c r="P1062" s="10">
        <f t="shared" ca="1" si="6944"/>
        <v>67319.387121700376</v>
      </c>
      <c r="Q1062" s="10">
        <f t="shared" ca="1" si="6944"/>
        <v>113703.88388203831</v>
      </c>
      <c r="R1062" s="10">
        <f t="shared" ca="1" si="6944"/>
        <v>160545.42594652518</v>
      </c>
      <c r="S1062" s="10">
        <f t="shared" ca="1" si="6944"/>
        <v>207848.51676835405</v>
      </c>
      <c r="T1062" s="10">
        <f t="shared" ca="1" si="6944"/>
        <v>255617.70417507322</v>
      </c>
      <c r="U1062" s="10">
        <f t="shared" ca="1" si="6944"/>
        <v>303857.58080582466</v>
      </c>
      <c r="V1062" s="10">
        <f t="shared" ca="1" si="6944"/>
        <v>352572.78455289098</v>
      </c>
      <c r="W1062" s="10">
        <f t="shared" ca="1" si="6944"/>
        <v>401767.99900759303</v>
      </c>
      <c r="X1062" s="10">
        <f t="shared" ca="1" si="6944"/>
        <v>505520.06589259498</v>
      </c>
      <c r="Y1062" s="10">
        <f t="shared" ca="1" si="6944"/>
        <v>610294.4440729107</v>
      </c>
      <c r="Z1062" s="10">
        <f t="shared" ca="1" si="6944"/>
        <v>716101.20679735241</v>
      </c>
      <c r="AA1062" s="10">
        <f t="shared" ca="1" si="6944"/>
        <v>822950.5265705483</v>
      </c>
      <c r="AB1062" s="10">
        <f t="shared" ca="1" si="6944"/>
        <v>961679.90095596761</v>
      </c>
      <c r="AC1062" s="10">
        <f t="shared" ca="1" si="6944"/>
        <v>166387.22911514295</v>
      </c>
      <c r="AD1062" s="10">
        <f t="shared" ca="1" si="6944"/>
        <v>63635.049488485442</v>
      </c>
      <c r="AE1062" s="10">
        <f t="shared" ca="1" si="6944"/>
        <v>57310.19438926001</v>
      </c>
      <c r="AF1062" s="10">
        <f t="shared" ca="1" si="6944"/>
        <v>42268.509882288876</v>
      </c>
      <c r="AG1062" s="10">
        <f t="shared" ca="1" si="6944"/>
        <v>53954.163666599037</v>
      </c>
      <c r="AH1062" s="10">
        <f t="shared" ca="1" si="6944"/>
        <v>75773.351948934083</v>
      </c>
      <c r="AI1062" s="10">
        <f t="shared" ca="1" si="6944"/>
        <v>67994.601901483446</v>
      </c>
      <c r="AJ1062" s="10">
        <f t="shared" ca="1" si="6944"/>
        <v>49909.590305865699</v>
      </c>
      <c r="AK1062" s="10">
        <f t="shared" ca="1" si="6944"/>
        <v>63433.750365640342</v>
      </c>
      <c r="AL1062" s="10">
        <f t="shared" ca="1" si="6944"/>
        <v>88780.902527037048</v>
      </c>
      <c r="AM1062" s="10">
        <f t="shared" ca="1" si="6944"/>
        <v>79442.065703661894</v>
      </c>
      <c r="AN1062" s="10">
        <f t="shared" ca="1" si="6944"/>
        <v>58412.737334789061</v>
      </c>
      <c r="AO1062" s="10">
        <f t="shared" ca="1" si="6944"/>
        <v>73903.650009357254</v>
      </c>
      <c r="AP1062" s="10">
        <f t="shared" ca="1" si="6944"/>
        <v>101264.03499992655</v>
      </c>
      <c r="AQ1062" s="10">
        <f t="shared" ca="1" si="6944"/>
        <v>88601.36811368083</v>
      </c>
      <c r="AR1062" s="10">
        <f t="shared" ref="AR1062:BW1062" ca="1" si="6945">AR1060 - VAT_Payable</f>
        <v>62852.620270794854</v>
      </c>
      <c r="AS1062" s="10">
        <f t="shared" ca="1" si="6945"/>
        <v>77312.075329492844</v>
      </c>
      <c r="AT1062" s="10">
        <f t="shared" ca="1" si="6945"/>
        <v>105314.8845901592</v>
      </c>
      <c r="AU1062" s="10">
        <f t="shared" ca="1" si="6945"/>
        <v>92145.715450607444</v>
      </c>
      <c r="AV1062" s="10">
        <f t="shared" ca="1" si="6945"/>
        <v>65366.872105089693</v>
      </c>
      <c r="AW1062" s="10">
        <f t="shared" ca="1" si="6945"/>
        <v>-47948.816715012239</v>
      </c>
      <c r="AX1062" s="10">
        <f t="shared" ca="1" si="6945"/>
        <v>-100108.42600259389</v>
      </c>
      <c r="AY1062" s="10">
        <f t="shared" ca="1" si="6945"/>
        <v>-57237.939196443214</v>
      </c>
      <c r="AZ1062" s="10">
        <f t="shared" ca="1" si="6945"/>
        <v>-54296.087583075976</v>
      </c>
      <c r="BA1062" s="10">
        <f t="shared" ca="1" si="6945"/>
        <v>-82962.807729231019</v>
      </c>
      <c r="BB1062" s="10">
        <f t="shared" ca="1" si="6945"/>
        <v>-104112.76304269758</v>
      </c>
      <c r="BC1062" s="10">
        <f t="shared" ca="1" si="6945"/>
        <v>-59527.456764300965</v>
      </c>
      <c r="BD1062" s="10">
        <f t="shared" ca="1" si="6945"/>
        <v>-57095.511384870639</v>
      </c>
      <c r="BE1062" s="10">
        <f t="shared" ca="1" si="6945"/>
        <v>-86281.480445490655</v>
      </c>
      <c r="BF1062" s="10">
        <f t="shared" ca="1" si="6945"/>
        <v>-108277.43733213625</v>
      </c>
      <c r="BG1062" s="10">
        <f t="shared" ca="1" si="6945"/>
        <v>-61908.720416273747</v>
      </c>
      <c r="BH1062" s="10">
        <f t="shared" ca="1" si="6945"/>
        <v>-58726.648329854957</v>
      </c>
      <c r="BI1062" s="10">
        <f t="shared" ca="1" si="6945"/>
        <v>-89732.572839936242</v>
      </c>
      <c r="BJ1062" s="10">
        <f t="shared" ca="1" si="6945"/>
        <v>-112608.36450698168</v>
      </c>
      <c r="BK1062" s="10">
        <f t="shared" ca="1" si="6945"/>
        <v>-64384.89723626792</v>
      </c>
      <c r="BL1062" s="10">
        <f t="shared" ca="1" si="6945"/>
        <v>-61075.714263049187</v>
      </c>
      <c r="BM1062" s="10">
        <f t="shared" ca="1" si="6945"/>
        <v>-93321.875753533706</v>
      </c>
      <c r="BN1062" s="10">
        <f t="shared" ca="1" si="6945"/>
        <v>-117112.69908726099</v>
      </c>
      <c r="BO1062" s="10">
        <f t="shared" ca="1" si="6945"/>
        <v>-66960.293125718599</v>
      </c>
      <c r="BP1062" s="10">
        <f t="shared" ca="1" si="6945"/>
        <v>-63518.74283357113</v>
      </c>
      <c r="BQ1062" s="10">
        <f t="shared" ca="1" si="6945"/>
        <v>-97054.750783675001</v>
      </c>
      <c r="BR1062" s="10">
        <f t="shared" ca="1" si="6945"/>
        <v>-121797.2070507514</v>
      </c>
      <c r="BS1062" s="10">
        <f t="shared" ca="1" si="6945"/>
        <v>-69638.704850747308</v>
      </c>
      <c r="BT1062" s="10">
        <f t="shared" ca="1" si="6945"/>
        <v>-66793.672731168321</v>
      </c>
      <c r="BU1062" s="10">
        <f t="shared" ca="1" si="6945"/>
        <v>-100937.12846862982</v>
      </c>
      <c r="BV1062" s="10">
        <f t="shared" ca="1" si="6945"/>
        <v>-126669.28691786304</v>
      </c>
      <c r="BW1062" s="10">
        <f t="shared" ca="1" si="6945"/>
        <v>-72424.446517624543</v>
      </c>
      <c r="BX1062" s="10">
        <f t="shared" ref="BX1062:CO1062" ca="1" si="6946">BX1060 - VAT_Payable</f>
        <v>-68701.872248790503</v>
      </c>
      <c r="BY1062" s="10">
        <f t="shared" ca="1" si="6946"/>
        <v>-104974.41844762283</v>
      </c>
      <c r="BZ1062" s="10">
        <f t="shared" ca="1" si="6946"/>
        <v>-131735.85914609261</v>
      </c>
      <c r="CA1062" s="10">
        <f t="shared" ca="1" si="6946"/>
        <v>-75321.223166568292</v>
      </c>
      <c r="CB1062" s="10">
        <f t="shared" ca="1" si="6946"/>
        <v>-71449.947138742107</v>
      </c>
      <c r="CC1062" s="10">
        <f t="shared" ca="1" si="6946"/>
        <v>-109173.3951855278</v>
      </c>
      <c r="CD1062" s="10">
        <f t="shared" ca="1" si="6946"/>
        <v>-137005.29351193638</v>
      </c>
      <c r="CE1062" s="10">
        <f t="shared" ca="1" si="6946"/>
        <v>-78334.072093231021</v>
      </c>
      <c r="CF1062" s="10">
        <f t="shared" ca="1" si="6946"/>
        <v>-74307.945024291781</v>
      </c>
      <c r="CG1062" s="10">
        <f t="shared" ca="1" si="6946"/>
        <v>-113540.33099294886</v>
      </c>
      <c r="CH1062" s="10">
        <f t="shared" ca="1" si="6946"/>
        <v>-142485.50525241374</v>
      </c>
      <c r="CI1062" s="10">
        <f t="shared" ca="1" si="6946"/>
        <v>-81467.434976960241</v>
      </c>
      <c r="CJ1062" s="10">
        <f t="shared" ca="1" si="6946"/>
        <v>-78139.149798395738</v>
      </c>
      <c r="CK1062" s="10">
        <f t="shared" ca="1" si="6946"/>
        <v>-118082.1637608462</v>
      </c>
      <c r="CL1062" s="10">
        <f t="shared" ca="1" si="6946"/>
        <v>-148185.14958995796</v>
      </c>
      <c r="CM1062" s="10">
        <f t="shared" ca="1" si="6946"/>
        <v>-84726.358711905195</v>
      </c>
      <c r="CN1062" s="10">
        <f t="shared" ca="1" si="6946"/>
        <v>-80371.473338273965</v>
      </c>
      <c r="CO1062" s="10">
        <f t="shared" ca="1" si="6946"/>
        <v>-122805.22200197342</v>
      </c>
      <c r="CP1062" s="10" t="e">
        <f>_xlfn.SINGLE(VAT_Receivable) -_xlfn.SINGLE( VAT_Payable)</f>
        <v>#REF!</v>
      </c>
      <c r="CQ1062" s="10" t="e">
        <f t="shared" ref="CQ1062:EA1062" si="6947">_xlfn.SINGLE(VAT_Receivable) -_xlfn.SINGLE( VAT_Payable)</f>
        <v>#REF!</v>
      </c>
      <c r="CR1062" s="10" t="e">
        <f t="shared" si="6947"/>
        <v>#REF!</v>
      </c>
      <c r="CS1062" s="10" t="e">
        <f t="shared" si="6947"/>
        <v>#REF!</v>
      </c>
      <c r="CT1062" s="10" t="e">
        <f t="shared" si="6947"/>
        <v>#REF!</v>
      </c>
      <c r="CU1062" s="10" t="e">
        <f t="shared" si="6947"/>
        <v>#REF!</v>
      </c>
      <c r="CV1062" s="10" t="e">
        <f t="shared" si="6947"/>
        <v>#REF!</v>
      </c>
      <c r="CW1062" s="10" t="e">
        <f t="shared" si="6947"/>
        <v>#REF!</v>
      </c>
      <c r="CX1062" s="10" t="e">
        <f t="shared" si="6947"/>
        <v>#REF!</v>
      </c>
      <c r="CY1062" s="10" t="e">
        <f t="shared" si="6947"/>
        <v>#REF!</v>
      </c>
      <c r="CZ1062" s="10" t="e">
        <f t="shared" si="6947"/>
        <v>#REF!</v>
      </c>
      <c r="DA1062" s="10" t="e">
        <f t="shared" si="6947"/>
        <v>#REF!</v>
      </c>
      <c r="DB1062" s="10" t="e">
        <f t="shared" si="6947"/>
        <v>#REF!</v>
      </c>
      <c r="DC1062" s="10" t="e">
        <f t="shared" si="6947"/>
        <v>#REF!</v>
      </c>
      <c r="DD1062" s="10" t="e">
        <f t="shared" si="6947"/>
        <v>#REF!</v>
      </c>
      <c r="DE1062" s="10" t="e">
        <f t="shared" si="6947"/>
        <v>#REF!</v>
      </c>
      <c r="DF1062" s="10" t="e">
        <f t="shared" si="6947"/>
        <v>#REF!</v>
      </c>
      <c r="DG1062" s="10" t="e">
        <f t="shared" si="6947"/>
        <v>#REF!</v>
      </c>
      <c r="DH1062" s="10" t="e">
        <f t="shared" si="6947"/>
        <v>#REF!</v>
      </c>
      <c r="DI1062" s="10" t="e">
        <f t="shared" si="6947"/>
        <v>#REF!</v>
      </c>
      <c r="DJ1062" s="10" t="e">
        <f t="shared" si="6947"/>
        <v>#REF!</v>
      </c>
      <c r="DK1062" s="10" t="e">
        <f t="shared" si="6947"/>
        <v>#REF!</v>
      </c>
      <c r="DL1062" s="10" t="e">
        <f t="shared" si="6947"/>
        <v>#REF!</v>
      </c>
      <c r="DM1062" s="10" t="e">
        <f t="shared" si="6947"/>
        <v>#REF!</v>
      </c>
      <c r="DN1062" s="10" t="e">
        <f t="shared" si="6947"/>
        <v>#REF!</v>
      </c>
      <c r="DO1062" s="10" t="e">
        <f t="shared" si="6947"/>
        <v>#REF!</v>
      </c>
      <c r="DP1062" s="10" t="e">
        <f t="shared" si="6947"/>
        <v>#REF!</v>
      </c>
      <c r="DQ1062" s="10" t="e">
        <f t="shared" si="6947"/>
        <v>#REF!</v>
      </c>
      <c r="DR1062" s="10" t="e">
        <f t="shared" si="6947"/>
        <v>#REF!</v>
      </c>
      <c r="DS1062" s="10" t="e">
        <f t="shared" si="6947"/>
        <v>#REF!</v>
      </c>
      <c r="DT1062" s="10" t="e">
        <f t="shared" si="6947"/>
        <v>#REF!</v>
      </c>
      <c r="DU1062" s="10" t="e">
        <f t="shared" si="6947"/>
        <v>#REF!</v>
      </c>
      <c r="DV1062" s="10" t="e">
        <f t="shared" si="6947"/>
        <v>#REF!</v>
      </c>
      <c r="DW1062" s="10" t="e">
        <f t="shared" si="6947"/>
        <v>#REF!</v>
      </c>
      <c r="DX1062" s="10" t="e">
        <f t="shared" si="6947"/>
        <v>#REF!</v>
      </c>
      <c r="DY1062" s="10" t="e">
        <f t="shared" si="6947"/>
        <v>#REF!</v>
      </c>
      <c r="DZ1062" s="10" t="e">
        <f t="shared" si="6947"/>
        <v>#REF!</v>
      </c>
      <c r="EA1062" s="10" t="e">
        <f t="shared" si="6947"/>
        <v>#REF!</v>
      </c>
    </row>
    <row r="1063" spans="1:131">
      <c r="A1063" s="10"/>
      <c r="B1063" s="10"/>
      <c r="C1063" s="17" t="s">
        <v>1227</v>
      </c>
      <c r="D1063" s="10"/>
      <c r="E1063" s="62"/>
      <c r="F1063" s="10"/>
      <c r="G1063" s="134" t="str">
        <f>Monetary_Unit</f>
        <v>тыс. руб.</v>
      </c>
      <c r="H1063" s="10"/>
      <c r="I1063" s="23">
        <f>SUM(L1063:CO1063)</f>
        <v>0</v>
      </c>
      <c r="J1063" s="10"/>
      <c r="K1063" s="10"/>
      <c r="L1063" s="10">
        <f t="shared" ref="L1063" si="6948" xml:space="preserve"> CAPEX_E_For_VAT * VAT_Rate_Periods</f>
        <v>0</v>
      </c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  <c r="BB1063" s="10"/>
      <c r="BC1063" s="10"/>
      <c r="BD1063" s="10"/>
      <c r="BE1063" s="10"/>
      <c r="BF1063" s="10"/>
      <c r="BG1063" s="10"/>
      <c r="BH1063" s="10"/>
      <c r="BI1063" s="10"/>
      <c r="BJ1063" s="10"/>
      <c r="BK1063" s="10"/>
      <c r="BL1063" s="10"/>
      <c r="BM1063" s="10"/>
      <c r="BN1063" s="10"/>
      <c r="BO1063" s="10"/>
      <c r="BP1063" s="10"/>
      <c r="BQ1063" s="10"/>
      <c r="BR1063" s="10"/>
      <c r="BS1063" s="10"/>
      <c r="BT1063" s="10"/>
      <c r="BU1063" s="10"/>
      <c r="BV1063" s="10"/>
      <c r="BW1063" s="10"/>
      <c r="BX1063" s="10"/>
      <c r="BY1063" s="10"/>
      <c r="BZ1063" s="10"/>
      <c r="CA1063" s="10"/>
      <c r="CB1063" s="10"/>
      <c r="CC1063" s="10"/>
      <c r="CD1063" s="10"/>
      <c r="CE1063" s="10"/>
      <c r="CF1063" s="10"/>
      <c r="CG1063" s="10"/>
      <c r="CH1063" s="10"/>
      <c r="CI1063" s="10"/>
      <c r="CJ1063" s="10"/>
      <c r="CK1063" s="10"/>
      <c r="CL1063" s="10"/>
      <c r="CM1063" s="10"/>
      <c r="CN1063" s="10"/>
      <c r="CO1063" s="10"/>
      <c r="CP1063" s="10"/>
      <c r="CQ1063" s="10" t="e">
        <f t="shared" ref="CQ1063:EA1063" si="6949" xml:space="preserve"> CAPEX_E_For_VAT * VAT_Rate_Periods</f>
        <v>#VALUE!</v>
      </c>
      <c r="CR1063" s="10" t="e">
        <f t="shared" si="6949"/>
        <v>#VALUE!</v>
      </c>
      <c r="CS1063" s="10" t="e">
        <f t="shared" si="6949"/>
        <v>#VALUE!</v>
      </c>
      <c r="CT1063" s="10" t="e">
        <f t="shared" si="6949"/>
        <v>#VALUE!</v>
      </c>
      <c r="CU1063" s="10" t="e">
        <f t="shared" si="6949"/>
        <v>#VALUE!</v>
      </c>
      <c r="CV1063" s="10" t="e">
        <f t="shared" si="6949"/>
        <v>#VALUE!</v>
      </c>
      <c r="CW1063" s="10" t="e">
        <f t="shared" si="6949"/>
        <v>#VALUE!</v>
      </c>
      <c r="CX1063" s="10" t="e">
        <f t="shared" si="6949"/>
        <v>#VALUE!</v>
      </c>
      <c r="CY1063" s="10" t="e">
        <f t="shared" si="6949"/>
        <v>#VALUE!</v>
      </c>
      <c r="CZ1063" s="10" t="e">
        <f t="shared" si="6949"/>
        <v>#VALUE!</v>
      </c>
      <c r="DA1063" s="10" t="e">
        <f t="shared" si="6949"/>
        <v>#VALUE!</v>
      </c>
      <c r="DB1063" s="10" t="e">
        <f t="shared" si="6949"/>
        <v>#VALUE!</v>
      </c>
      <c r="DC1063" s="10" t="e">
        <f t="shared" si="6949"/>
        <v>#VALUE!</v>
      </c>
      <c r="DD1063" s="10" t="e">
        <f t="shared" si="6949"/>
        <v>#VALUE!</v>
      </c>
      <c r="DE1063" s="10" t="e">
        <f t="shared" si="6949"/>
        <v>#VALUE!</v>
      </c>
      <c r="DF1063" s="10" t="e">
        <f t="shared" si="6949"/>
        <v>#VALUE!</v>
      </c>
      <c r="DG1063" s="10" t="e">
        <f t="shared" si="6949"/>
        <v>#VALUE!</v>
      </c>
      <c r="DH1063" s="10" t="e">
        <f t="shared" si="6949"/>
        <v>#VALUE!</v>
      </c>
      <c r="DI1063" s="10" t="e">
        <f t="shared" si="6949"/>
        <v>#VALUE!</v>
      </c>
      <c r="DJ1063" s="10" t="e">
        <f t="shared" si="6949"/>
        <v>#VALUE!</v>
      </c>
      <c r="DK1063" s="10" t="e">
        <f t="shared" si="6949"/>
        <v>#VALUE!</v>
      </c>
      <c r="DL1063" s="10" t="e">
        <f t="shared" si="6949"/>
        <v>#VALUE!</v>
      </c>
      <c r="DM1063" s="10" t="e">
        <f t="shared" si="6949"/>
        <v>#VALUE!</v>
      </c>
      <c r="DN1063" s="10" t="e">
        <f t="shared" si="6949"/>
        <v>#VALUE!</v>
      </c>
      <c r="DO1063" s="10" t="e">
        <f t="shared" si="6949"/>
        <v>#VALUE!</v>
      </c>
      <c r="DP1063" s="10" t="e">
        <f t="shared" si="6949"/>
        <v>#VALUE!</v>
      </c>
      <c r="DQ1063" s="10" t="e">
        <f t="shared" si="6949"/>
        <v>#VALUE!</v>
      </c>
      <c r="DR1063" s="10" t="e">
        <f t="shared" si="6949"/>
        <v>#VALUE!</v>
      </c>
      <c r="DS1063" s="10" t="e">
        <f t="shared" si="6949"/>
        <v>#VALUE!</v>
      </c>
      <c r="DT1063" s="10" t="e">
        <f t="shared" si="6949"/>
        <v>#VALUE!</v>
      </c>
      <c r="DU1063" s="10" t="e">
        <f t="shared" si="6949"/>
        <v>#VALUE!</v>
      </c>
      <c r="DV1063" s="10" t="e">
        <f t="shared" si="6949"/>
        <v>#VALUE!</v>
      </c>
      <c r="DW1063" s="10" t="e">
        <f t="shared" si="6949"/>
        <v>#VALUE!</v>
      </c>
      <c r="DX1063" s="10" t="e">
        <f t="shared" si="6949"/>
        <v>#VALUE!</v>
      </c>
      <c r="DY1063" s="10" t="e">
        <f t="shared" si="6949"/>
        <v>#VALUE!</v>
      </c>
      <c r="DZ1063" s="10" t="e">
        <f t="shared" si="6949"/>
        <v>#VALUE!</v>
      </c>
      <c r="EA1063" s="10" t="e">
        <f t="shared" si="6949"/>
        <v>#VALUE!</v>
      </c>
    </row>
    <row r="1064" spans="1:131">
      <c r="A1064" s="10"/>
      <c r="B1064" s="10"/>
      <c r="C1064" s="17" t="s">
        <v>402</v>
      </c>
      <c r="D1064" s="10"/>
      <c r="E1064" s="62"/>
      <c r="F1064" s="10"/>
      <c r="G1064" s="134" t="str">
        <f>Monetary_Unit</f>
        <v>тыс. руб.</v>
      </c>
      <c r="H1064" s="10"/>
      <c r="I1064" s="23">
        <f ca="1">SUM(L1064:CO1064)</f>
        <v>122805.22200197342</v>
      </c>
      <c r="J1064" s="10"/>
      <c r="K1064" s="10"/>
      <c r="L1064" s="452">
        <f t="shared" ref="L1064:AQ1064" ca="1" si="6950">(K1062 - L1062 + L1063) * Flag_Forecast</f>
        <v>-5234.3588965478193</v>
      </c>
      <c r="M1064" s="452">
        <f t="shared" ca="1" si="6950"/>
        <v>-5308.6600317512566</v>
      </c>
      <c r="N1064" s="452">
        <f ca="1">(M1062 - N1062 + N1063) * Flag_Forecast</f>
        <v>-5384.015863203389</v>
      </c>
      <c r="O1064" s="452">
        <f t="shared" ca="1" si="6950"/>
        <v>-5460.4413621987187</v>
      </c>
      <c r="P1064" s="452">
        <f t="shared" ca="1" si="6950"/>
        <v>-45931.910967999196</v>
      </c>
      <c r="Q1064" s="452">
        <f t="shared" ca="1" si="6950"/>
        <v>-46384.496760337934</v>
      </c>
      <c r="R1064" s="452">
        <f t="shared" ca="1" si="6950"/>
        <v>-46841.542064486872</v>
      </c>
      <c r="S1064" s="452">
        <f t="shared" ca="1" si="6950"/>
        <v>-47303.090821828868</v>
      </c>
      <c r="T1064" s="452">
        <f t="shared" ca="1" si="6950"/>
        <v>-47769.187406719167</v>
      </c>
      <c r="U1064" s="452">
        <f t="shared" ca="1" si="6950"/>
        <v>-48239.876630751445</v>
      </c>
      <c r="V1064" s="452">
        <f t="shared" ca="1" si="6950"/>
        <v>-48715.20374706632</v>
      </c>
      <c r="W1064" s="452">
        <f t="shared" ca="1" si="6950"/>
        <v>-49195.214454702043</v>
      </c>
      <c r="X1064" s="452">
        <f t="shared" ca="1" si="6950"/>
        <v>-103752.06688500196</v>
      </c>
      <c r="Y1064" s="452">
        <f t="shared" ca="1" si="6950"/>
        <v>-104774.37818031572</v>
      </c>
      <c r="Z1064" s="452">
        <f t="shared" ca="1" si="6950"/>
        <v>-105806.76272444171</v>
      </c>
      <c r="AA1064" s="452">
        <f t="shared" ca="1" si="6950"/>
        <v>-106849.31977319589</v>
      </c>
      <c r="AB1064" s="452">
        <f t="shared" ca="1" si="6950"/>
        <v>-138729.3743854193</v>
      </c>
      <c r="AC1064" s="452">
        <f t="shared" ca="1" si="6950"/>
        <v>795292.67184082465</v>
      </c>
      <c r="AD1064" s="452">
        <f t="shared" ca="1" si="6950"/>
        <v>102752.17962665751</v>
      </c>
      <c r="AE1064" s="452">
        <f t="shared" ca="1" si="6950"/>
        <v>6324.8550992254313</v>
      </c>
      <c r="AF1064" s="452">
        <f t="shared" ca="1" si="6950"/>
        <v>15041.684506971134</v>
      </c>
      <c r="AG1064" s="452">
        <f t="shared" ca="1" si="6950"/>
        <v>-11685.653784310161</v>
      </c>
      <c r="AH1064" s="452">
        <f t="shared" ca="1" si="6950"/>
        <v>-21819.188282335046</v>
      </c>
      <c r="AI1064" s="452">
        <f t="shared" ca="1" si="6950"/>
        <v>7778.7500474506378</v>
      </c>
      <c r="AJ1064" s="452">
        <f t="shared" ca="1" si="6950"/>
        <v>18085.011595617747</v>
      </c>
      <c r="AK1064" s="452">
        <f t="shared" ca="1" si="6950"/>
        <v>-13524.160059774644</v>
      </c>
      <c r="AL1064" s="452">
        <f t="shared" ca="1" si="6950"/>
        <v>-25347.152161396705</v>
      </c>
      <c r="AM1064" s="452">
        <f t="shared" ca="1" si="6950"/>
        <v>9338.8368233751535</v>
      </c>
      <c r="AN1064" s="452">
        <f t="shared" ca="1" si="6950"/>
        <v>21029.328368872833</v>
      </c>
      <c r="AO1064" s="452">
        <f t="shared" ca="1" si="6950"/>
        <v>-15490.912674568193</v>
      </c>
      <c r="AP1064" s="452">
        <f t="shared" ca="1" si="6950"/>
        <v>-27360.384990569291</v>
      </c>
      <c r="AQ1064" s="452">
        <f t="shared" ca="1" si="6950"/>
        <v>12662.666886245715</v>
      </c>
      <c r="AR1064" s="452">
        <f t="shared" ref="AR1064:BW1064" ca="1" si="6951">(AQ1062 - AR1062 + AR1063) * Flag_Forecast</f>
        <v>25748.747842885976</v>
      </c>
      <c r="AS1064" s="452">
        <f t="shared" ca="1" si="6951"/>
        <v>-14459.455058697989</v>
      </c>
      <c r="AT1064" s="452">
        <f t="shared" ca="1" si="6951"/>
        <v>-28002.809260666356</v>
      </c>
      <c r="AU1064" s="452">
        <f t="shared" ca="1" si="6951"/>
        <v>13169.169139551756</v>
      </c>
      <c r="AV1064" s="452">
        <f t="shared" ca="1" si="6951"/>
        <v>26778.843345517751</v>
      </c>
      <c r="AW1064" s="452">
        <f t="shared" ca="1" si="6951"/>
        <v>113315.68882010193</v>
      </c>
      <c r="AX1064" s="452">
        <f t="shared" ca="1" si="6951"/>
        <v>52159.609287581647</v>
      </c>
      <c r="AY1064" s="452">
        <f t="shared" ca="1" si="6951"/>
        <v>-42870.486806150671</v>
      </c>
      <c r="AZ1064" s="452">
        <f t="shared" ca="1" si="6951"/>
        <v>-2941.8516133672383</v>
      </c>
      <c r="BA1064" s="452">
        <f t="shared" ca="1" si="6951"/>
        <v>28666.720146155043</v>
      </c>
      <c r="BB1064" s="452">
        <f t="shared" ca="1" si="6951"/>
        <v>21149.955313466562</v>
      </c>
      <c r="BC1064" s="452">
        <f t="shared" ca="1" si="6951"/>
        <v>-44585.306278396616</v>
      </c>
      <c r="BD1064" s="452">
        <f t="shared" ca="1" si="6951"/>
        <v>-2431.9453794303263</v>
      </c>
      <c r="BE1064" s="452">
        <f t="shared" ca="1" si="6951"/>
        <v>29185.969060620017</v>
      </c>
      <c r="BF1064" s="452">
        <f t="shared" ca="1" si="6951"/>
        <v>21995.956886645596</v>
      </c>
      <c r="BG1064" s="452">
        <f t="shared" ca="1" si="6951"/>
        <v>-46368.716915862504</v>
      </c>
      <c r="BH1064" s="452">
        <f t="shared" ca="1" si="6951"/>
        <v>-3182.0720864187897</v>
      </c>
      <c r="BI1064" s="452">
        <f t="shared" ca="1" si="6951"/>
        <v>31005.924510081284</v>
      </c>
      <c r="BJ1064" s="452">
        <f t="shared" ca="1" si="6951"/>
        <v>22875.791667045443</v>
      </c>
      <c r="BK1064" s="452">
        <f t="shared" ca="1" si="6951"/>
        <v>-48223.467270713765</v>
      </c>
      <c r="BL1064" s="452">
        <f t="shared" ca="1" si="6951"/>
        <v>-3309.1829732187325</v>
      </c>
      <c r="BM1064" s="452">
        <f t="shared" ca="1" si="6951"/>
        <v>32246.161490484519</v>
      </c>
      <c r="BN1064" s="452">
        <f t="shared" ca="1" si="6951"/>
        <v>23790.823333727283</v>
      </c>
      <c r="BO1064" s="452">
        <f t="shared" ca="1" si="6951"/>
        <v>-50152.40596154239</v>
      </c>
      <c r="BP1064" s="452">
        <f t="shared" ca="1" si="6951"/>
        <v>-3441.550292147469</v>
      </c>
      <c r="BQ1064" s="452">
        <f t="shared" ca="1" si="6951"/>
        <v>33536.007950103871</v>
      </c>
      <c r="BR1064" s="452">
        <f t="shared" ca="1" si="6951"/>
        <v>24742.456267076399</v>
      </c>
      <c r="BS1064" s="452">
        <f t="shared" ca="1" si="6951"/>
        <v>-52158.502200004092</v>
      </c>
      <c r="BT1064" s="452">
        <f t="shared" ca="1" si="6951"/>
        <v>-2845.0321195789875</v>
      </c>
      <c r="BU1064" s="452">
        <f t="shared" ca="1" si="6951"/>
        <v>34143.455737461496</v>
      </c>
      <c r="BV1064" s="452">
        <f t="shared" ca="1" si="6951"/>
        <v>25732.158449233219</v>
      </c>
      <c r="BW1064" s="452">
        <f t="shared" ca="1" si="6951"/>
        <v>-54244.840400238492</v>
      </c>
      <c r="BX1064" s="452">
        <f t="shared" ref="BX1064:CO1064" ca="1" si="6952">(BW1062 - BX1062 + BX1063) * Flag_Forecast</f>
        <v>-3722.5742688340397</v>
      </c>
      <c r="BY1064" s="452">
        <f t="shared" ca="1" si="6952"/>
        <v>36272.546198832322</v>
      </c>
      <c r="BZ1064" s="452">
        <f t="shared" ca="1" si="6952"/>
        <v>26761.440698469785</v>
      </c>
      <c r="CA1064" s="452">
        <f t="shared" ca="1" si="6952"/>
        <v>-56414.635979524319</v>
      </c>
      <c r="CB1064" s="452">
        <f t="shared" ca="1" si="6952"/>
        <v>-3871.2760278261849</v>
      </c>
      <c r="CC1064" s="452">
        <f t="shared" ca="1" si="6952"/>
        <v>37723.448046785692</v>
      </c>
      <c r="CD1064" s="452">
        <f t="shared" ca="1" si="6952"/>
        <v>27831.898326408584</v>
      </c>
      <c r="CE1064" s="452">
        <f t="shared" ca="1" si="6952"/>
        <v>-58671.221418705361</v>
      </c>
      <c r="CF1064" s="452">
        <f t="shared" ca="1" si="6952"/>
        <v>-4026.1270689392404</v>
      </c>
      <c r="CG1064" s="452">
        <f t="shared" ca="1" si="6952"/>
        <v>39232.38596865708</v>
      </c>
      <c r="CH1064" s="452">
        <f t="shared" ca="1" si="6952"/>
        <v>28945.174259464882</v>
      </c>
      <c r="CI1064" s="452">
        <f t="shared" ca="1" si="6952"/>
        <v>-61018.070275453501</v>
      </c>
      <c r="CJ1064" s="452">
        <f t="shared" ca="1" si="6952"/>
        <v>-3328.2851785645034</v>
      </c>
      <c r="CK1064" s="452">
        <f t="shared" ca="1" si="6952"/>
        <v>39943.013962450466</v>
      </c>
      <c r="CL1064" s="452">
        <f t="shared" ca="1" si="6952"/>
        <v>30102.985829111756</v>
      </c>
      <c r="CM1064" s="452">
        <f t="shared" ca="1" si="6952"/>
        <v>-63458.790878052765</v>
      </c>
      <c r="CN1064" s="452">
        <f t="shared" ca="1" si="6952"/>
        <v>-4354.8853736312303</v>
      </c>
      <c r="CO1064" s="452">
        <f t="shared" ca="1" si="6952"/>
        <v>42433.748663699458</v>
      </c>
      <c r="CP1064" s="452" t="e">
        <f t="shared" ref="CP1064" ca="1" si="6953">(CO1062 - CP1062 + CP1063) * Flag_Forecast</f>
        <v>#REF!</v>
      </c>
      <c r="CQ1064" s="452" t="e">
        <f t="shared" ref="CQ1064" si="6954">(CP1062 - CQ1062 + CQ1063) * Flag_Forecast</f>
        <v>#REF!</v>
      </c>
      <c r="CR1064" s="452" t="e">
        <f t="shared" ref="CR1064" si="6955">(CQ1062 - CR1062 + CR1063) * Flag_Forecast</f>
        <v>#REF!</v>
      </c>
      <c r="CS1064" s="452" t="e">
        <f t="shared" ref="CS1064" si="6956">(CR1062 - CS1062 + CS1063) * Flag_Forecast</f>
        <v>#REF!</v>
      </c>
      <c r="CT1064" s="452" t="e">
        <f t="shared" ref="CT1064" si="6957">(CS1062 - CT1062 + CT1063) * Flag_Forecast</f>
        <v>#REF!</v>
      </c>
      <c r="CU1064" s="452" t="e">
        <f t="shared" ref="CU1064" si="6958">(CT1062 - CU1062 + CU1063) * Flag_Forecast</f>
        <v>#REF!</v>
      </c>
      <c r="CV1064" s="452" t="e">
        <f t="shared" ref="CV1064" si="6959">(CU1062 - CV1062 + CV1063) * Flag_Forecast</f>
        <v>#REF!</v>
      </c>
      <c r="CW1064" s="452" t="e">
        <f t="shared" ref="CW1064" si="6960">(CV1062 - CW1062 + CW1063) * Flag_Forecast</f>
        <v>#REF!</v>
      </c>
      <c r="CX1064" s="452" t="e">
        <f t="shared" ref="CX1064" si="6961">(CW1062 - CX1062 + CX1063) * Flag_Forecast</f>
        <v>#REF!</v>
      </c>
      <c r="CY1064" s="452" t="e">
        <f t="shared" ref="CY1064" si="6962">(CX1062 - CY1062 + CY1063) * Flag_Forecast</f>
        <v>#REF!</v>
      </c>
      <c r="CZ1064" s="452" t="e">
        <f t="shared" ref="CZ1064" si="6963">(CY1062 - CZ1062 + CZ1063) * Flag_Forecast</f>
        <v>#REF!</v>
      </c>
      <c r="DA1064" s="452" t="e">
        <f t="shared" ref="DA1064" si="6964">(CZ1062 - DA1062 + DA1063) * Flag_Forecast</f>
        <v>#REF!</v>
      </c>
      <c r="DB1064" s="452" t="e">
        <f t="shared" ref="DB1064" si="6965">(DA1062 - DB1062 + DB1063) * Flag_Forecast</f>
        <v>#REF!</v>
      </c>
      <c r="DC1064" s="452" t="e">
        <f t="shared" ref="DC1064" si="6966">(DB1062 - DC1062 + DC1063) * Flag_Forecast</f>
        <v>#REF!</v>
      </c>
      <c r="DD1064" s="452" t="e">
        <f t="shared" ref="DD1064" si="6967">(DC1062 - DD1062 + DD1063) * Flag_Forecast</f>
        <v>#REF!</v>
      </c>
      <c r="DE1064" s="452" t="e">
        <f t="shared" ref="DE1064" si="6968">(DD1062 - DE1062 + DE1063) * Flag_Forecast</f>
        <v>#REF!</v>
      </c>
      <c r="DF1064" s="452" t="e">
        <f t="shared" ref="DF1064" si="6969">(DE1062 - DF1062 + DF1063) * Flag_Forecast</f>
        <v>#REF!</v>
      </c>
      <c r="DG1064" s="452" t="e">
        <f t="shared" ref="DG1064" si="6970">(DF1062 - DG1062 + DG1063) * Flag_Forecast</f>
        <v>#REF!</v>
      </c>
      <c r="DH1064" s="452" t="e">
        <f t="shared" ref="DH1064" si="6971">(DG1062 - DH1062 + DH1063) * Flag_Forecast</f>
        <v>#REF!</v>
      </c>
      <c r="DI1064" s="452" t="e">
        <f t="shared" ref="DI1064" si="6972">(DH1062 - DI1062 + DI1063) * Flag_Forecast</f>
        <v>#REF!</v>
      </c>
      <c r="DJ1064" s="452" t="e">
        <f t="shared" ref="DJ1064" si="6973">(DI1062 - DJ1062 + DJ1063) * Flag_Forecast</f>
        <v>#REF!</v>
      </c>
      <c r="DK1064" s="452" t="e">
        <f t="shared" ref="DK1064" si="6974">(DJ1062 - DK1062 + DK1063) * Flag_Forecast</f>
        <v>#REF!</v>
      </c>
      <c r="DL1064" s="452" t="e">
        <f t="shared" ref="DL1064" si="6975">(DK1062 - DL1062 + DL1063) * Flag_Forecast</f>
        <v>#REF!</v>
      </c>
      <c r="DM1064" s="452" t="e">
        <f t="shared" ref="DM1064" si="6976">(DL1062 - DM1062 + DM1063) * Flag_Forecast</f>
        <v>#REF!</v>
      </c>
      <c r="DN1064" s="452" t="e">
        <f t="shared" ref="DN1064" si="6977">(DM1062 - DN1062 + DN1063) * Flag_Forecast</f>
        <v>#REF!</v>
      </c>
      <c r="DO1064" s="452" t="e">
        <f t="shared" ref="DO1064" si="6978">(DN1062 - DO1062 + DO1063) * Flag_Forecast</f>
        <v>#REF!</v>
      </c>
      <c r="DP1064" s="452" t="e">
        <f t="shared" ref="DP1064" si="6979">(DO1062 - DP1062 + DP1063) * Flag_Forecast</f>
        <v>#REF!</v>
      </c>
      <c r="DQ1064" s="452" t="e">
        <f t="shared" ref="DQ1064" si="6980">(DP1062 - DQ1062 + DQ1063) * Flag_Forecast</f>
        <v>#REF!</v>
      </c>
      <c r="DR1064" s="452" t="e">
        <f t="shared" ref="DR1064" si="6981">(DQ1062 - DR1062 + DR1063) * Flag_Forecast</f>
        <v>#REF!</v>
      </c>
      <c r="DS1064" s="452" t="e">
        <f t="shared" ref="DS1064" si="6982">(DR1062 - DS1062 + DS1063) * Flag_Forecast</f>
        <v>#REF!</v>
      </c>
      <c r="DT1064" s="452" t="e">
        <f t="shared" ref="DT1064" si="6983">(DS1062 - DT1062 + DT1063) * Flag_Forecast</f>
        <v>#REF!</v>
      </c>
      <c r="DU1064" s="452" t="e">
        <f t="shared" ref="DU1064" si="6984">(DT1062 - DU1062 + DU1063) * Flag_Forecast</f>
        <v>#REF!</v>
      </c>
      <c r="DV1064" s="452" t="e">
        <f t="shared" ref="DV1064" si="6985">(DU1062 - DV1062 + DV1063) * Flag_Forecast</f>
        <v>#REF!</v>
      </c>
      <c r="DW1064" s="452" t="e">
        <f t="shared" ref="DW1064" si="6986">(DV1062 - DW1062 + DW1063) * Flag_Forecast</f>
        <v>#REF!</v>
      </c>
      <c r="DX1064" s="452" t="e">
        <f t="shared" ref="DX1064" si="6987">(DW1062 - DX1062 + DX1063) * Flag_Forecast</f>
        <v>#REF!</v>
      </c>
      <c r="DY1064" s="452" t="e">
        <f t="shared" ref="DY1064" si="6988">(DX1062 - DY1062 + DY1063) * Flag_Forecast</f>
        <v>#REF!</v>
      </c>
      <c r="DZ1064" s="452" t="e">
        <f t="shared" ref="DZ1064" si="6989">(DY1062 - DZ1062 + DZ1063) * Flag_Forecast</f>
        <v>#REF!</v>
      </c>
      <c r="EA1064" s="452" t="e">
        <f t="shared" ref="EA1064" si="6990">(DZ1062 - EA1062 + EA1063) * Flag_Forecast</f>
        <v>#REF!</v>
      </c>
    </row>
    <row r="1065" spans="1:131">
      <c r="A1065" s="10"/>
      <c r="B1065" s="10"/>
      <c r="C1065" s="17"/>
      <c r="D1065" s="10"/>
      <c r="E1065" s="10"/>
      <c r="F1065" s="10"/>
      <c r="G1065" s="11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  <c r="BB1065" s="10"/>
      <c r="BC1065" s="10"/>
      <c r="BD1065" s="10"/>
      <c r="BE1065" s="10"/>
      <c r="BF1065" s="10"/>
      <c r="BG1065" s="10"/>
      <c r="BH1065" s="10"/>
      <c r="BI1065" s="10"/>
      <c r="BJ1065" s="10"/>
      <c r="BK1065" s="10"/>
      <c r="BL1065" s="10"/>
      <c r="BM1065" s="10"/>
      <c r="BN1065" s="10"/>
      <c r="BO1065" s="10"/>
      <c r="BP1065" s="10"/>
      <c r="BQ1065" s="10"/>
      <c r="BR1065" s="10"/>
      <c r="BS1065" s="10"/>
      <c r="BT1065" s="10"/>
      <c r="BU1065" s="10"/>
      <c r="BV1065" s="10"/>
      <c r="BW1065" s="10"/>
      <c r="BX1065" s="10"/>
      <c r="BY1065" s="10"/>
      <c r="BZ1065" s="10"/>
      <c r="CA1065" s="10"/>
      <c r="CB1065" s="10"/>
      <c r="CC1065" s="10"/>
      <c r="CD1065" s="10"/>
      <c r="CE1065" s="10"/>
      <c r="CF1065" s="10"/>
      <c r="CG1065" s="10"/>
      <c r="CH1065" s="10"/>
      <c r="CI1065" s="10"/>
      <c r="CJ1065" s="10"/>
      <c r="CK1065" s="10"/>
      <c r="CL1065" s="10"/>
      <c r="CM1065" s="10"/>
      <c r="CN1065" s="10"/>
      <c r="CO1065" s="10"/>
    </row>
    <row r="1066" spans="1:131" ht="22.5" customHeight="1">
      <c r="A1066" s="10"/>
      <c r="B1066" s="5" t="s">
        <v>107</v>
      </c>
      <c r="C1066" s="5"/>
      <c r="D1066" s="15"/>
      <c r="E1066" s="15"/>
      <c r="F1066" s="31"/>
      <c r="G1066" s="18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31"/>
      <c r="AQ1066" s="31"/>
      <c r="AR1066" s="31"/>
      <c r="AS1066" s="31"/>
      <c r="AT1066" s="31"/>
      <c r="AU1066" s="31"/>
      <c r="AV1066" s="31"/>
      <c r="AW1066" s="31"/>
      <c r="AX1066" s="31"/>
      <c r="AY1066" s="31"/>
      <c r="AZ1066" s="31"/>
      <c r="BA1066" s="31"/>
      <c r="BB1066" s="31"/>
      <c r="BC1066" s="31"/>
      <c r="BD1066" s="31"/>
      <c r="BE1066" s="31"/>
      <c r="BF1066" s="31"/>
      <c r="BG1066" s="31"/>
      <c r="BH1066" s="31"/>
      <c r="BI1066" s="31"/>
      <c r="BJ1066" s="31"/>
      <c r="BK1066" s="31"/>
      <c r="BL1066" s="31"/>
      <c r="BM1066" s="31"/>
      <c r="BN1066" s="31"/>
      <c r="BO1066" s="31"/>
      <c r="BP1066" s="31"/>
      <c r="BQ1066" s="31"/>
      <c r="BR1066" s="31"/>
      <c r="BS1066" s="31"/>
      <c r="BT1066" s="31"/>
      <c r="BU1066" s="31"/>
      <c r="BV1066" s="31"/>
      <c r="BW1066" s="31"/>
      <c r="BX1066" s="31"/>
      <c r="BY1066" s="31"/>
      <c r="BZ1066" s="31"/>
      <c r="CA1066" s="31"/>
      <c r="CB1066" s="31"/>
      <c r="CC1066" s="31"/>
      <c r="CD1066" s="31"/>
      <c r="CE1066" s="31"/>
      <c r="CF1066" s="31"/>
      <c r="CG1066" s="31"/>
      <c r="CH1066" s="31"/>
      <c r="CI1066" s="31"/>
      <c r="CJ1066" s="31"/>
      <c r="CK1066" s="31"/>
      <c r="CL1066" s="31"/>
      <c r="CM1066" s="31"/>
      <c r="CN1066" s="31"/>
      <c r="CO1066" s="31"/>
    </row>
    <row r="1067" spans="1:131">
      <c r="A1067" s="10"/>
      <c r="B1067" s="10"/>
      <c r="C1067" s="10"/>
      <c r="D1067" s="10"/>
      <c r="E1067" s="10"/>
      <c r="F1067" s="10"/>
      <c r="G1067" s="11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  <c r="BB1067" s="10"/>
      <c r="BC1067" s="10"/>
      <c r="BD1067" s="10"/>
      <c r="BE1067" s="10"/>
      <c r="BF1067" s="10"/>
      <c r="BG1067" s="10"/>
      <c r="BH1067" s="10"/>
      <c r="BI1067" s="10"/>
      <c r="BJ1067" s="10"/>
      <c r="BK1067" s="10"/>
      <c r="BL1067" s="10"/>
      <c r="BM1067" s="10"/>
      <c r="BN1067" s="10"/>
      <c r="BO1067" s="10"/>
      <c r="BP1067" s="10"/>
      <c r="BQ1067" s="10"/>
      <c r="BR1067" s="10"/>
      <c r="BS1067" s="10"/>
      <c r="BT1067" s="10"/>
      <c r="BU1067" s="10"/>
      <c r="BV1067" s="10"/>
      <c r="BW1067" s="10"/>
      <c r="BX1067" s="10"/>
      <c r="BY1067" s="10"/>
      <c r="BZ1067" s="10"/>
      <c r="CA1067" s="10"/>
      <c r="CB1067" s="10"/>
      <c r="CC1067" s="10"/>
      <c r="CD1067" s="10"/>
      <c r="CE1067" s="10"/>
      <c r="CF1067" s="10"/>
      <c r="CG1067" s="10"/>
      <c r="CH1067" s="10"/>
      <c r="CI1067" s="10"/>
      <c r="CJ1067" s="10"/>
      <c r="CK1067" s="10"/>
      <c r="CL1067" s="10"/>
      <c r="CM1067" s="10"/>
      <c r="CN1067" s="10"/>
      <c r="CO1067" s="10"/>
    </row>
    <row r="1068" spans="1:131">
      <c r="A1068" s="10"/>
      <c r="B1068" s="10"/>
      <c r="C1068" s="67" t="s">
        <v>101</v>
      </c>
      <c r="D1068" s="10"/>
      <c r="E1068" s="10"/>
      <c r="F1068" s="10"/>
      <c r="G1068" s="11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  <c r="BB1068" s="10"/>
      <c r="BC1068" s="10"/>
      <c r="BD1068" s="10"/>
      <c r="BE1068" s="10"/>
      <c r="BF1068" s="10"/>
      <c r="BG1068" s="10"/>
      <c r="BH1068" s="10"/>
      <c r="BI1068" s="10"/>
      <c r="BJ1068" s="10"/>
      <c r="BK1068" s="10"/>
      <c r="BL1068" s="10"/>
      <c r="BM1068" s="10"/>
      <c r="BN1068" s="10"/>
      <c r="BO1068" s="10"/>
      <c r="BP1068" s="10"/>
      <c r="BQ1068" s="10"/>
      <c r="BR1068" s="10"/>
      <c r="BS1068" s="10"/>
      <c r="BT1068" s="10"/>
      <c r="BU1068" s="10"/>
      <c r="BV1068" s="10"/>
      <c r="BW1068" s="10"/>
      <c r="BX1068" s="10"/>
      <c r="BY1068" s="10"/>
      <c r="BZ1068" s="10"/>
      <c r="CA1068" s="10"/>
      <c r="CB1068" s="10"/>
      <c r="CC1068" s="10"/>
      <c r="CD1068" s="10"/>
      <c r="CE1068" s="10"/>
      <c r="CF1068" s="10"/>
      <c r="CG1068" s="10"/>
      <c r="CH1068" s="10"/>
      <c r="CI1068" s="10"/>
      <c r="CJ1068" s="10"/>
      <c r="CK1068" s="10"/>
      <c r="CL1068" s="10"/>
      <c r="CM1068" s="10"/>
      <c r="CN1068" s="10"/>
      <c r="CO1068" s="10"/>
    </row>
    <row r="1069" spans="1:131">
      <c r="A1069" s="10"/>
      <c r="B1069" s="10"/>
      <c r="C1069" s="17" t="s">
        <v>96</v>
      </c>
      <c r="D1069" s="10"/>
      <c r="E1069" s="10"/>
      <c r="F1069" s="10"/>
      <c r="G1069" s="134" t="str">
        <f t="shared" ref="G1069:G1077" si="6991">Monetary_Unit</f>
        <v>тыс. руб.</v>
      </c>
      <c r="H1069" s="10"/>
      <c r="I1069" s="23">
        <f t="shared" ref="I1069:I1077" ca="1" si="6992">SUM(L1069:CO1069)</f>
        <v>54850086.519837193</v>
      </c>
      <c r="J1069" s="10"/>
      <c r="K1069" s="10"/>
      <c r="L1069" s="10">
        <f t="shared" ref="L1069:BW1069" ca="1" si="6993">Revenue</f>
        <v>0</v>
      </c>
      <c r="M1069" s="10">
        <f t="shared" ca="1" si="6993"/>
        <v>0</v>
      </c>
      <c r="N1069" s="10">
        <f t="shared" ca="1" si="6993"/>
        <v>0</v>
      </c>
      <c r="O1069" s="10">
        <f t="shared" ca="1" si="6993"/>
        <v>0</v>
      </c>
      <c r="P1069" s="10">
        <f t="shared" ca="1" si="6993"/>
        <v>0</v>
      </c>
      <c r="Q1069" s="10">
        <f t="shared" ca="1" si="6993"/>
        <v>0</v>
      </c>
      <c r="R1069" s="10">
        <f t="shared" ca="1" si="6993"/>
        <v>0</v>
      </c>
      <c r="S1069" s="10">
        <f t="shared" ca="1" si="6993"/>
        <v>0</v>
      </c>
      <c r="T1069" s="10">
        <f t="shared" ca="1" si="6993"/>
        <v>0</v>
      </c>
      <c r="U1069" s="10">
        <f t="shared" ca="1" si="6993"/>
        <v>0</v>
      </c>
      <c r="V1069" s="10">
        <f t="shared" ca="1" si="6993"/>
        <v>0</v>
      </c>
      <c r="W1069" s="10">
        <f t="shared" ca="1" si="6993"/>
        <v>0</v>
      </c>
      <c r="X1069" s="10">
        <f t="shared" ca="1" si="6993"/>
        <v>0</v>
      </c>
      <c r="Y1069" s="10">
        <f t="shared" ca="1" si="6993"/>
        <v>0</v>
      </c>
      <c r="Z1069" s="10">
        <f t="shared" ca="1" si="6993"/>
        <v>0</v>
      </c>
      <c r="AA1069" s="10">
        <f t="shared" ca="1" si="6993"/>
        <v>0</v>
      </c>
      <c r="AB1069" s="10">
        <f t="shared" ca="1" si="6993"/>
        <v>0</v>
      </c>
      <c r="AC1069" s="10">
        <f t="shared" ca="1" si="6993"/>
        <v>538729.60493334138</v>
      </c>
      <c r="AD1069" s="10">
        <f t="shared" ca="1" si="6993"/>
        <v>701020.27067459095</v>
      </c>
      <c r="AE1069" s="10">
        <f t="shared" ca="1" si="6993"/>
        <v>415305.77147408307</v>
      </c>
      <c r="AF1069" s="10">
        <f t="shared" ca="1" si="6993"/>
        <v>407561.6801808218</v>
      </c>
      <c r="AG1069" s="10">
        <f t="shared" ca="1" si="6993"/>
        <v>643283.05418707151</v>
      </c>
      <c r="AH1069" s="10">
        <f t="shared" ca="1" si="6993"/>
        <v>833212.66457322869</v>
      </c>
      <c r="AI1069" s="10">
        <f t="shared" ca="1" si="6993"/>
        <v>491492.89920657012</v>
      </c>
      <c r="AJ1069" s="10">
        <f t="shared" ca="1" si="6993"/>
        <v>480379.3670397955</v>
      </c>
      <c r="AK1069" s="10">
        <f t="shared" ca="1" si="6993"/>
        <v>755338.81201320689</v>
      </c>
      <c r="AL1069" s="10">
        <f t="shared" ca="1" si="6993"/>
        <v>974858.81755067746</v>
      </c>
      <c r="AM1069" s="10">
        <f t="shared" ca="1" si="6993"/>
        <v>573110.5079232977</v>
      </c>
      <c r="AN1069" s="10">
        <f t="shared" ca="1" si="6993"/>
        <v>564574.48538318858</v>
      </c>
      <c r="AO1069" s="10">
        <f t="shared" ca="1" si="6993"/>
        <v>875329.7775787327</v>
      </c>
      <c r="AP1069" s="10">
        <f t="shared" ca="1" si="6993"/>
        <v>1098340.9344404293</v>
      </c>
      <c r="AQ1069" s="10">
        <f t="shared" ca="1" si="6993"/>
        <v>628253.03246943059</v>
      </c>
      <c r="AR1069" s="10">
        <f t="shared" ca="1" si="6993"/>
        <v>595986.90035939578</v>
      </c>
      <c r="AS1069" s="10">
        <f t="shared" ca="1" si="6993"/>
        <v>910342.96868188202</v>
      </c>
      <c r="AT1069" s="10">
        <f t="shared" ca="1" si="6993"/>
        <v>1142274.5718180465</v>
      </c>
      <c r="AU1069" s="10">
        <f t="shared" ca="1" si="6993"/>
        <v>653383.15376820788</v>
      </c>
      <c r="AV1069" s="10">
        <f t="shared" ca="1" si="6993"/>
        <v>619826.37637377158</v>
      </c>
      <c r="AW1069" s="10">
        <f t="shared" ca="1" si="6993"/>
        <v>805449.71915614884</v>
      </c>
      <c r="AX1069" s="10">
        <f t="shared" ca="1" si="6993"/>
        <v>1010657.2629458774</v>
      </c>
      <c r="AY1069" s="10">
        <f t="shared" ca="1" si="6993"/>
        <v>578097.81127431884</v>
      </c>
      <c r="AZ1069" s="10">
        <f t="shared" ca="1" si="6993"/>
        <v>548407.57599159959</v>
      </c>
      <c r="BA1069" s="10">
        <f t="shared" ca="1" si="6993"/>
        <v>837667.7079223945</v>
      </c>
      <c r="BB1069" s="10">
        <f t="shared" ca="1" si="6993"/>
        <v>1051083.5534637121</v>
      </c>
      <c r="BC1069" s="10">
        <f t="shared" ca="1" si="6993"/>
        <v>601221.72372529143</v>
      </c>
      <c r="BD1069" s="10">
        <f t="shared" ca="1" si="6993"/>
        <v>576681.03324272193</v>
      </c>
      <c r="BE1069" s="10">
        <f t="shared" ca="1" si="6993"/>
        <v>871174.41623929003</v>
      </c>
      <c r="BF1069" s="10">
        <f t="shared" ca="1" si="6993"/>
        <v>1093126.8956022605</v>
      </c>
      <c r="BG1069" s="10">
        <f t="shared" ca="1" si="6993"/>
        <v>625270.59267430298</v>
      </c>
      <c r="BH1069" s="10">
        <f t="shared" ca="1" si="6993"/>
        <v>593157.63419251388</v>
      </c>
      <c r="BI1069" s="10">
        <f t="shared" ca="1" si="6993"/>
        <v>906021.39288886171</v>
      </c>
      <c r="BJ1069" s="10">
        <f t="shared" ca="1" si="6993"/>
        <v>1136851.9714263508</v>
      </c>
      <c r="BK1069" s="10">
        <f t="shared" ca="1" si="6993"/>
        <v>650281.41638127505</v>
      </c>
      <c r="BL1069" s="10">
        <f t="shared" ca="1" si="6993"/>
        <v>616883.93956021441</v>
      </c>
      <c r="BM1069" s="10">
        <f t="shared" ca="1" si="6993"/>
        <v>942262.24860441603</v>
      </c>
      <c r="BN1069" s="10">
        <f t="shared" ca="1" si="6993"/>
        <v>1182326.0502834048</v>
      </c>
      <c r="BO1069" s="10">
        <f t="shared" ca="1" si="6993"/>
        <v>676292.67303652596</v>
      </c>
      <c r="BP1069" s="10">
        <f t="shared" ca="1" si="6993"/>
        <v>641559.29714262288</v>
      </c>
      <c r="BQ1069" s="10">
        <f t="shared" ca="1" si="6993"/>
        <v>979952.73854859243</v>
      </c>
      <c r="BR1069" s="10">
        <f t="shared" ca="1" si="6993"/>
        <v>1229619.0922947407</v>
      </c>
      <c r="BS1069" s="10">
        <f t="shared" ca="1" si="6993"/>
        <v>703344.37995798665</v>
      </c>
      <c r="BT1069" s="10">
        <f t="shared" ca="1" si="6993"/>
        <v>674635.24312864244</v>
      </c>
      <c r="BU1069" s="10">
        <f t="shared" ca="1" si="6993"/>
        <v>1019150.848090536</v>
      </c>
      <c r="BV1069" s="10">
        <f t="shared" ca="1" si="6993"/>
        <v>1278803.85598653</v>
      </c>
      <c r="BW1069" s="10">
        <f t="shared" ca="1" si="6993"/>
        <v>731478.15515630599</v>
      </c>
      <c r="BX1069" s="10">
        <f t="shared" ref="BX1069:CO1069" ca="1" si="6994">Revenue</f>
        <v>693910.53578946064</v>
      </c>
      <c r="BY1069" s="10">
        <f t="shared" ca="1" si="6994"/>
        <v>1059916.882014157</v>
      </c>
      <c r="BZ1069" s="10">
        <f t="shared" ca="1" si="6994"/>
        <v>1329956.010225991</v>
      </c>
      <c r="CA1069" s="10">
        <f t="shared" ca="1" si="6994"/>
        <v>760737.28136255825</v>
      </c>
      <c r="CB1069" s="10">
        <f t="shared" ca="1" si="6994"/>
        <v>721666.95722103911</v>
      </c>
      <c r="CC1069" s="10">
        <f t="shared" ca="1" si="6994"/>
        <v>1102313.5572947236</v>
      </c>
      <c r="CD1069" s="10">
        <f t="shared" ca="1" si="6994"/>
        <v>1383154.2506350307</v>
      </c>
      <c r="CE1069" s="10">
        <f t="shared" ca="1" si="6994"/>
        <v>791166.77261706057</v>
      </c>
      <c r="CF1069" s="10">
        <f t="shared" ca="1" si="6994"/>
        <v>750533.63550988061</v>
      </c>
      <c r="CG1069" s="10">
        <f t="shared" ca="1" si="6994"/>
        <v>1146406.0995865124</v>
      </c>
      <c r="CH1069" s="10">
        <f t="shared" ca="1" si="6994"/>
        <v>1438480.4206604315</v>
      </c>
      <c r="CI1069" s="10">
        <f t="shared" ca="1" si="6994"/>
        <v>822813.44352174317</v>
      </c>
      <c r="CJ1069" s="10">
        <f t="shared" ca="1" si="6994"/>
        <v>789227.81405172311</v>
      </c>
      <c r="CK1069" s="10">
        <f t="shared" ca="1" si="6994"/>
        <v>1192262.3435699726</v>
      </c>
      <c r="CL1069" s="10">
        <f t="shared" ca="1" si="6994"/>
        <v>1496019.6374868487</v>
      </c>
      <c r="CM1069" s="10">
        <f t="shared" ca="1" si="6994"/>
        <v>855725.98126261262</v>
      </c>
      <c r="CN1069" s="10">
        <f t="shared" ca="1" si="6994"/>
        <v>811777.18016748666</v>
      </c>
      <c r="CO1069" s="10">
        <f t="shared" ca="1" si="6994"/>
        <v>1239952.8373127715</v>
      </c>
    </row>
    <row r="1070" spans="1:131">
      <c r="A1070" s="10"/>
      <c r="B1070" s="10"/>
      <c r="C1070" s="17" t="s">
        <v>722</v>
      </c>
      <c r="D1070" s="10"/>
      <c r="E1070" s="10"/>
      <c r="F1070" s="10"/>
      <c r="G1070" s="134" t="str">
        <f t="shared" si="6991"/>
        <v>тыс. руб.</v>
      </c>
      <c r="H1070" s="10"/>
      <c r="I1070" s="23">
        <f t="shared" ca="1" si="6992"/>
        <v>-38547379.439622067</v>
      </c>
      <c r="J1070" s="10"/>
      <c r="K1070" s="10"/>
      <c r="L1070" s="10">
        <f t="shared" ref="L1070:AQ1070" ca="1" si="6995">COGS_PL</f>
        <v>0</v>
      </c>
      <c r="M1070" s="10">
        <f t="shared" ca="1" si="6995"/>
        <v>0</v>
      </c>
      <c r="N1070" s="10">
        <f t="shared" ca="1" si="6995"/>
        <v>0</v>
      </c>
      <c r="O1070" s="10">
        <f t="shared" ca="1" si="6995"/>
        <v>0</v>
      </c>
      <c r="P1070" s="10">
        <f t="shared" ca="1" si="6995"/>
        <v>0</v>
      </c>
      <c r="Q1070" s="10">
        <f t="shared" ca="1" si="6995"/>
        <v>0</v>
      </c>
      <c r="R1070" s="10">
        <f t="shared" ca="1" si="6995"/>
        <v>0</v>
      </c>
      <c r="S1070" s="10">
        <f t="shared" ca="1" si="6995"/>
        <v>0</v>
      </c>
      <c r="T1070" s="10">
        <f t="shared" ca="1" si="6995"/>
        <v>0</v>
      </c>
      <c r="U1070" s="10">
        <f t="shared" ca="1" si="6995"/>
        <v>0</v>
      </c>
      <c r="V1070" s="10">
        <f t="shared" ca="1" si="6995"/>
        <v>0</v>
      </c>
      <c r="W1070" s="10">
        <f t="shared" ca="1" si="6995"/>
        <v>0</v>
      </c>
      <c r="X1070" s="10">
        <f t="shared" ca="1" si="6995"/>
        <v>0</v>
      </c>
      <c r="Y1070" s="10">
        <f t="shared" ca="1" si="6995"/>
        <v>0</v>
      </c>
      <c r="Z1070" s="10">
        <f t="shared" ca="1" si="6995"/>
        <v>0</v>
      </c>
      <c r="AA1070" s="10">
        <f t="shared" ca="1" si="6995"/>
        <v>0</v>
      </c>
      <c r="AB1070" s="10">
        <f t="shared" ca="1" si="6995"/>
        <v>0</v>
      </c>
      <c r="AC1070" s="10">
        <f t="shared" ca="1" si="6995"/>
        <v>-338364.69457748812</v>
      </c>
      <c r="AD1070" s="10">
        <f t="shared" ca="1" si="6995"/>
        <v>-440233.51075948874</v>
      </c>
      <c r="AE1070" s="10">
        <f t="shared" ca="1" si="6995"/>
        <v>-260902.81296897485</v>
      </c>
      <c r="AF1070" s="10">
        <f t="shared" ca="1" si="6995"/>
        <v>-256039.33641042063</v>
      </c>
      <c r="AG1070" s="10">
        <f t="shared" ca="1" si="6995"/>
        <v>-403998.14006466302</v>
      </c>
      <c r="AH1070" s="10">
        <f t="shared" ca="1" si="6995"/>
        <v>-523215.13660697942</v>
      </c>
      <c r="AI1070" s="10">
        <f t="shared" ca="1" si="6995"/>
        <v>-308731.99285408959</v>
      </c>
      <c r="AJ1070" s="10">
        <f t="shared" ca="1" si="6995"/>
        <v>-301753.52545773616</v>
      </c>
      <c r="AK1070" s="10">
        <f t="shared" ca="1" si="6995"/>
        <v>-474340.87767948816</v>
      </c>
      <c r="AL1070" s="10">
        <f t="shared" ca="1" si="6995"/>
        <v>-612130.91890505375</v>
      </c>
      <c r="AM1070" s="10">
        <f t="shared" ca="1" si="6995"/>
        <v>-359970.06262926321</v>
      </c>
      <c r="AN1070" s="10">
        <f t="shared" ca="1" si="6995"/>
        <v>-354611.34320440446</v>
      </c>
      <c r="AO1070" s="10">
        <f t="shared" ca="1" si="6995"/>
        <v>-549663.95169612917</v>
      </c>
      <c r="AP1070" s="10">
        <f t="shared" ca="1" si="6995"/>
        <v>-689645.45364490314</v>
      </c>
      <c r="AQ1070" s="10">
        <f t="shared" ca="1" si="6995"/>
        <v>-394590.32912258612</v>
      </c>
      <c r="AR1070" s="10">
        <f t="shared" ref="AR1070:BW1070" ca="1" si="6996">COGS_PL</f>
        <v>-374335.589413982</v>
      </c>
      <c r="AS1070" s="10">
        <f t="shared" ca="1" si="6996"/>
        <v>-571651.22277057101</v>
      </c>
      <c r="AT1070" s="10">
        <f t="shared" ca="1" si="6996"/>
        <v>-717231.99973528064</v>
      </c>
      <c r="AU1070" s="10">
        <f t="shared" ca="1" si="6996"/>
        <v>-410374.67740480497</v>
      </c>
      <c r="AV1070" s="10">
        <f t="shared" ca="1" si="6996"/>
        <v>-389309.01299054123</v>
      </c>
      <c r="AW1070" s="10">
        <f t="shared" ca="1" si="6996"/>
        <v>-586465.74265078746</v>
      </c>
      <c r="AX1070" s="10">
        <f t="shared" ca="1" si="6996"/>
        <v>-735818.43146604754</v>
      </c>
      <c r="AY1070" s="10">
        <f t="shared" ca="1" si="6996"/>
        <v>-421010.81673520268</v>
      </c>
      <c r="AZ1070" s="10">
        <f t="shared" ca="1" si="6996"/>
        <v>-399399.31868577609</v>
      </c>
      <c r="BA1070" s="10">
        <f t="shared" ca="1" si="6996"/>
        <v>-609924.37235681852</v>
      </c>
      <c r="BB1070" s="10">
        <f t="shared" ca="1" si="6996"/>
        <v>-765251.16872468952</v>
      </c>
      <c r="BC1070" s="10">
        <f t="shared" ca="1" si="6996"/>
        <v>-437851.24940461077</v>
      </c>
      <c r="BD1070" s="10">
        <f t="shared" ca="1" si="6996"/>
        <v>-419989.77823935129</v>
      </c>
      <c r="BE1070" s="10">
        <f t="shared" ca="1" si="6996"/>
        <v>-634320.54521563894</v>
      </c>
      <c r="BF1070" s="10">
        <f t="shared" ca="1" si="6996"/>
        <v>-795860.39663502329</v>
      </c>
      <c r="BG1070" s="10">
        <f t="shared" ca="1" si="6996"/>
        <v>-455364.47247379133</v>
      </c>
      <c r="BH1070" s="10">
        <f t="shared" ca="1" si="6996"/>
        <v>-431990.30309053528</v>
      </c>
      <c r="BI1070" s="10">
        <f t="shared" ca="1" si="6996"/>
        <v>-659694.20114113495</v>
      </c>
      <c r="BJ1070" s="10">
        <f t="shared" ca="1" si="6996"/>
        <v>-827695.66409262386</v>
      </c>
      <c r="BK1070" s="10">
        <f t="shared" ca="1" si="6996"/>
        <v>-473579.91135602683</v>
      </c>
      <c r="BL1070" s="10">
        <f t="shared" ca="1" si="6996"/>
        <v>-449269.91521415667</v>
      </c>
      <c r="BM1070" s="10">
        <f t="shared" ca="1" si="6996"/>
        <v>-686081.96918678016</v>
      </c>
      <c r="BN1070" s="10">
        <f t="shared" ca="1" si="6996"/>
        <v>-860803.49065632862</v>
      </c>
      <c r="BO1070" s="10">
        <f t="shared" ca="1" si="6996"/>
        <v>-492523.10781026777</v>
      </c>
      <c r="BP1070" s="10">
        <f t="shared" ca="1" si="6996"/>
        <v>-467240.71182272292</v>
      </c>
      <c r="BQ1070" s="10">
        <f t="shared" ca="1" si="6996"/>
        <v>-713525.24795425136</v>
      </c>
      <c r="BR1070" s="10">
        <f t="shared" ca="1" si="6996"/>
        <v>-895235.63028258167</v>
      </c>
      <c r="BS1070" s="10">
        <f t="shared" ca="1" si="6996"/>
        <v>-512224.03212267824</v>
      </c>
      <c r="BT1070" s="10">
        <f t="shared" ca="1" si="6996"/>
        <v>-491328.63718580664</v>
      </c>
      <c r="BU1070" s="10">
        <f t="shared" ca="1" si="6996"/>
        <v>-742065.31960438204</v>
      </c>
      <c r="BV1070" s="10">
        <f t="shared" ca="1" si="6996"/>
        <v>-931044.09756847634</v>
      </c>
      <c r="BW1070" s="10">
        <f t="shared" ca="1" si="6996"/>
        <v>-532712.0260433486</v>
      </c>
      <c r="BX1070" s="10">
        <f t="shared" ref="BX1070:CO1070" ca="1" si="6997">COGS_PL</f>
        <v>-505367.55390745687</v>
      </c>
      <c r="BY1070" s="10">
        <f t="shared" ca="1" si="6997"/>
        <v>-771748.90818731789</v>
      </c>
      <c r="BZ1070" s="10">
        <f t="shared" ca="1" si="6997"/>
        <v>-968286.8577136402</v>
      </c>
      <c r="CA1070" s="10">
        <f t="shared" ca="1" si="6997"/>
        <v>-554021.51314388867</v>
      </c>
      <c r="CB1070" s="10">
        <f t="shared" ca="1" si="6997"/>
        <v>-525582.25606375502</v>
      </c>
      <c r="CC1070" s="10">
        <f t="shared" ca="1" si="6997"/>
        <v>-802618.86451481062</v>
      </c>
      <c r="CD1070" s="10">
        <f t="shared" ca="1" si="6997"/>
        <v>-1007018.3320221858</v>
      </c>
      <c r="CE1070" s="10">
        <f t="shared" ca="1" si="6997"/>
        <v>-576182.37366964424</v>
      </c>
      <c r="CF1070" s="10">
        <f t="shared" ca="1" si="6997"/>
        <v>-546605.54630630522</v>
      </c>
      <c r="CG1070" s="10">
        <f t="shared" ca="1" si="6997"/>
        <v>-834723.61909540289</v>
      </c>
      <c r="CH1070" s="10">
        <f t="shared" ca="1" si="6997"/>
        <v>-1047299.0653030727</v>
      </c>
      <c r="CI1070" s="10">
        <f t="shared" ca="1" si="6997"/>
        <v>-599229.66861643014</v>
      </c>
      <c r="CJ1070" s="10">
        <f t="shared" ca="1" si="6997"/>
        <v>-574785.01198494982</v>
      </c>
      <c r="CK1070" s="10">
        <f t="shared" ca="1" si="6997"/>
        <v>-868111.46621832193</v>
      </c>
      <c r="CL1070" s="10">
        <f t="shared" ca="1" si="6997"/>
        <v>-1089189.9072779571</v>
      </c>
      <c r="CM1070" s="10">
        <f t="shared" ca="1" si="6997"/>
        <v>-623197.72368175432</v>
      </c>
      <c r="CN1070" s="10">
        <f t="shared" ca="1" si="6997"/>
        <v>-591208.55888489971</v>
      </c>
      <c r="CO1070" s="10">
        <f t="shared" ca="1" si="6997"/>
        <v>-902837.06641358766</v>
      </c>
    </row>
    <row r="1071" spans="1:131">
      <c r="A1071" s="10"/>
      <c r="B1071" s="10"/>
      <c r="C1071" s="17" t="s">
        <v>403</v>
      </c>
      <c r="D1071" s="10"/>
      <c r="E1071" s="10"/>
      <c r="F1071" s="10"/>
      <c r="G1071" s="134" t="str">
        <f t="shared" si="6991"/>
        <v>тыс. руб.</v>
      </c>
      <c r="H1071" s="10"/>
      <c r="I1071" s="23">
        <f t="shared" ca="1" si="6992"/>
        <v>-2580389.4107222585</v>
      </c>
      <c r="J1071" s="10"/>
      <c r="K1071" s="10"/>
      <c r="L1071" s="10">
        <f t="shared" ref="L1071:BW1071" ca="1" si="6998">Depreciation_Tax</f>
        <v>0</v>
      </c>
      <c r="M1071" s="10">
        <f t="shared" ca="1" si="6998"/>
        <v>0</v>
      </c>
      <c r="N1071" s="10">
        <f t="shared" ca="1" si="6998"/>
        <v>0</v>
      </c>
      <c r="O1071" s="10">
        <f t="shared" ca="1" si="6998"/>
        <v>0</v>
      </c>
      <c r="P1071" s="10">
        <f t="shared" ca="1" si="6998"/>
        <v>0</v>
      </c>
      <c r="Q1071" s="10">
        <f t="shared" ca="1" si="6998"/>
        <v>0</v>
      </c>
      <c r="R1071" s="10">
        <f t="shared" ca="1" si="6998"/>
        <v>0</v>
      </c>
      <c r="S1071" s="10">
        <f t="shared" ca="1" si="6998"/>
        <v>0</v>
      </c>
      <c r="T1071" s="10">
        <f t="shared" ca="1" si="6998"/>
        <v>0</v>
      </c>
      <c r="U1071" s="10">
        <f t="shared" ca="1" si="6998"/>
        <v>0</v>
      </c>
      <c r="V1071" s="10">
        <f t="shared" ca="1" si="6998"/>
        <v>0</v>
      </c>
      <c r="W1071" s="10">
        <f t="shared" ca="1" si="6998"/>
        <v>0</v>
      </c>
      <c r="X1071" s="10">
        <f t="shared" ca="1" si="6998"/>
        <v>0</v>
      </c>
      <c r="Y1071" s="10">
        <f t="shared" ca="1" si="6998"/>
        <v>0</v>
      </c>
      <c r="Z1071" s="10">
        <f t="shared" ca="1" si="6998"/>
        <v>0</v>
      </c>
      <c r="AA1071" s="10">
        <f t="shared" ca="1" si="6998"/>
        <v>0</v>
      </c>
      <c r="AB1071" s="10">
        <f t="shared" ca="1" si="6998"/>
        <v>0</v>
      </c>
      <c r="AC1071" s="10">
        <f t="shared" ca="1" si="6998"/>
        <v>-58339.03904464173</v>
      </c>
      <c r="AD1071" s="10">
        <f t="shared" ca="1" si="6998"/>
        <v>-55269.794563836636</v>
      </c>
      <c r="AE1071" s="10">
        <f t="shared" ca="1" si="6998"/>
        <v>-55269.794563836636</v>
      </c>
      <c r="AF1071" s="10">
        <f t="shared" ca="1" si="6998"/>
        <v>-55269.794563836636</v>
      </c>
      <c r="AG1071" s="10">
        <f t="shared" ca="1" si="6998"/>
        <v>-55269.794563836636</v>
      </c>
      <c r="AH1071" s="10">
        <f t="shared" ca="1" si="6998"/>
        <v>-55269.794563836636</v>
      </c>
      <c r="AI1071" s="10">
        <f t="shared" ca="1" si="6998"/>
        <v>-55269.794563836636</v>
      </c>
      <c r="AJ1071" s="10">
        <f t="shared" ca="1" si="6998"/>
        <v>-55269.794563836636</v>
      </c>
      <c r="AK1071" s="10">
        <f t="shared" ca="1" si="6998"/>
        <v>-55269.794563836636</v>
      </c>
      <c r="AL1071" s="10">
        <f t="shared" ca="1" si="6998"/>
        <v>-55269.794563836636</v>
      </c>
      <c r="AM1071" s="10">
        <f t="shared" ca="1" si="6998"/>
        <v>-55269.794563836636</v>
      </c>
      <c r="AN1071" s="10">
        <f t="shared" ca="1" si="6998"/>
        <v>-55269.794563836636</v>
      </c>
      <c r="AO1071" s="10">
        <f t="shared" ca="1" si="6998"/>
        <v>-55269.794563836636</v>
      </c>
      <c r="AP1071" s="10">
        <f t="shared" ca="1" si="6998"/>
        <v>-55269.794563836636</v>
      </c>
      <c r="AQ1071" s="10">
        <f t="shared" ca="1" si="6998"/>
        <v>-55269.794563836636</v>
      </c>
      <c r="AR1071" s="10">
        <f t="shared" ca="1" si="6998"/>
        <v>-55269.794563836636</v>
      </c>
      <c r="AS1071" s="10">
        <f t="shared" ca="1" si="6998"/>
        <v>-55269.794563836636</v>
      </c>
      <c r="AT1071" s="10">
        <f t="shared" ca="1" si="6998"/>
        <v>-55269.794563836636</v>
      </c>
      <c r="AU1071" s="10">
        <f t="shared" ca="1" si="6998"/>
        <v>-55269.794563836636</v>
      </c>
      <c r="AV1071" s="10">
        <f t="shared" ca="1" si="6998"/>
        <v>-55269.794563836636</v>
      </c>
      <c r="AW1071" s="10">
        <f t="shared" ca="1" si="6998"/>
        <v>-55269.794563836636</v>
      </c>
      <c r="AX1071" s="10">
        <f t="shared" ca="1" si="6998"/>
        <v>-55269.794563836636</v>
      </c>
      <c r="AY1071" s="10">
        <f t="shared" ca="1" si="6998"/>
        <v>-55269.794563836636</v>
      </c>
      <c r="AZ1071" s="10">
        <f t="shared" ca="1" si="6998"/>
        <v>-55269.794563836636</v>
      </c>
      <c r="BA1071" s="10">
        <f t="shared" ca="1" si="6998"/>
        <v>-55269.794563836636</v>
      </c>
      <c r="BB1071" s="10">
        <f t="shared" ca="1" si="6998"/>
        <v>-55269.794563836636</v>
      </c>
      <c r="BC1071" s="10">
        <f t="shared" ca="1" si="6998"/>
        <v>-55269.794563836636</v>
      </c>
      <c r="BD1071" s="10">
        <f t="shared" ca="1" si="6998"/>
        <v>-55269.794563836636</v>
      </c>
      <c r="BE1071" s="10">
        <f t="shared" ca="1" si="6998"/>
        <v>-27831.511309568275</v>
      </c>
      <c r="BF1071" s="10">
        <f t="shared" ca="1" si="6998"/>
        <v>-27831.511309568275</v>
      </c>
      <c r="BG1071" s="10">
        <f t="shared" ca="1" si="6998"/>
        <v>-27831.511309568275</v>
      </c>
      <c r="BH1071" s="10">
        <f t="shared" ca="1" si="6998"/>
        <v>-27831.511309568275</v>
      </c>
      <c r="BI1071" s="10">
        <f t="shared" ca="1" si="6998"/>
        <v>-27831.511309568275</v>
      </c>
      <c r="BJ1071" s="10">
        <f t="shared" ca="1" si="6998"/>
        <v>-27831.511309568275</v>
      </c>
      <c r="BK1071" s="10">
        <f t="shared" ca="1" si="6998"/>
        <v>-27831.511309568275</v>
      </c>
      <c r="BL1071" s="10">
        <f t="shared" ca="1" si="6998"/>
        <v>-27831.511309568275</v>
      </c>
      <c r="BM1071" s="10">
        <f t="shared" ca="1" si="6998"/>
        <v>-27831.511309568275</v>
      </c>
      <c r="BN1071" s="10">
        <f t="shared" ca="1" si="6998"/>
        <v>-27831.511309568275</v>
      </c>
      <c r="BO1071" s="10">
        <f t="shared" ca="1" si="6998"/>
        <v>-27831.511309568275</v>
      </c>
      <c r="BP1071" s="10">
        <f t="shared" ca="1" si="6998"/>
        <v>-27831.511309568275</v>
      </c>
      <c r="BQ1071" s="10">
        <f t="shared" ca="1" si="6998"/>
        <v>-27831.511309568275</v>
      </c>
      <c r="BR1071" s="10">
        <f t="shared" ca="1" si="6998"/>
        <v>-27831.511309568275</v>
      </c>
      <c r="BS1071" s="10">
        <f t="shared" ca="1" si="6998"/>
        <v>-27831.511309568275</v>
      </c>
      <c r="BT1071" s="10">
        <f t="shared" ca="1" si="6998"/>
        <v>-27831.511309568275</v>
      </c>
      <c r="BU1071" s="10">
        <f t="shared" ca="1" si="6998"/>
        <v>-27831.511309568275</v>
      </c>
      <c r="BV1071" s="10">
        <f t="shared" ca="1" si="6998"/>
        <v>-27831.511309568275</v>
      </c>
      <c r="BW1071" s="10">
        <f t="shared" ca="1" si="6998"/>
        <v>-27831.511309568275</v>
      </c>
      <c r="BX1071" s="10">
        <f t="shared" ref="BX1071:CO1071" ca="1" si="6999">Depreciation_Tax</f>
        <v>-27831.511309568275</v>
      </c>
      <c r="BY1071" s="10">
        <f t="shared" ca="1" si="6999"/>
        <v>-27831.511309568275</v>
      </c>
      <c r="BZ1071" s="10">
        <f t="shared" ca="1" si="6999"/>
        <v>-27831.511309568275</v>
      </c>
      <c r="CA1071" s="10">
        <f t="shared" ca="1" si="6999"/>
        <v>-27831.511309568275</v>
      </c>
      <c r="CB1071" s="10">
        <f t="shared" ca="1" si="6999"/>
        <v>-27831.511309568275</v>
      </c>
      <c r="CC1071" s="10">
        <f t="shared" ca="1" si="6999"/>
        <v>-27831.511309568275</v>
      </c>
      <c r="CD1071" s="10">
        <f t="shared" ca="1" si="6999"/>
        <v>-27831.511309568275</v>
      </c>
      <c r="CE1071" s="10">
        <f t="shared" ca="1" si="6999"/>
        <v>-27831.511309568275</v>
      </c>
      <c r="CF1071" s="10">
        <f t="shared" ca="1" si="6999"/>
        <v>-27831.511309568275</v>
      </c>
      <c r="CG1071" s="10">
        <f t="shared" ca="1" si="6999"/>
        <v>-27831.511309568275</v>
      </c>
      <c r="CH1071" s="10">
        <f t="shared" ca="1" si="6999"/>
        <v>-27831.511309568275</v>
      </c>
      <c r="CI1071" s="10">
        <f t="shared" ca="1" si="6999"/>
        <v>-27831.511309568275</v>
      </c>
      <c r="CJ1071" s="10">
        <f t="shared" ca="1" si="6999"/>
        <v>-27831.511309568275</v>
      </c>
      <c r="CK1071" s="10">
        <f t="shared" ca="1" si="6999"/>
        <v>-27831.511309568275</v>
      </c>
      <c r="CL1071" s="10">
        <f t="shared" ca="1" si="6999"/>
        <v>-27831.511309568275</v>
      </c>
      <c r="CM1071" s="10">
        <f t="shared" ca="1" si="6999"/>
        <v>-27831.511309568275</v>
      </c>
      <c r="CN1071" s="10">
        <f t="shared" ca="1" si="6999"/>
        <v>-27831.511309568275</v>
      </c>
      <c r="CO1071" s="10">
        <f t="shared" ca="1" si="6999"/>
        <v>-27831.511309568275</v>
      </c>
    </row>
    <row r="1072" spans="1:131">
      <c r="A1072" s="10"/>
      <c r="B1072" s="10"/>
      <c r="C1072" s="17" t="s">
        <v>404</v>
      </c>
      <c r="D1072" s="10"/>
      <c r="E1072" s="10"/>
      <c r="F1072" s="10"/>
      <c r="G1072" s="134" t="str">
        <f t="shared" si="6991"/>
        <v>тыс. руб.</v>
      </c>
      <c r="H1072" s="10"/>
      <c r="I1072" s="23">
        <f t="shared" ca="1" si="6992"/>
        <v>-700346.21651213081</v>
      </c>
      <c r="J1072" s="10"/>
      <c r="K1072" s="10"/>
      <c r="L1072" s="10">
        <f t="shared" ref="L1072:BW1072" ca="1" si="7000">Depreciation_Premium_Tax</f>
        <v>0</v>
      </c>
      <c r="M1072" s="10">
        <f t="shared" ca="1" si="7000"/>
        <v>0</v>
      </c>
      <c r="N1072" s="10">
        <f t="shared" ca="1" si="7000"/>
        <v>0</v>
      </c>
      <c r="O1072" s="10">
        <f t="shared" ca="1" si="7000"/>
        <v>0</v>
      </c>
      <c r="P1072" s="10">
        <f t="shared" ca="1" si="7000"/>
        <v>0</v>
      </c>
      <c r="Q1072" s="10">
        <f t="shared" ca="1" si="7000"/>
        <v>0</v>
      </c>
      <c r="R1072" s="10">
        <f t="shared" ca="1" si="7000"/>
        <v>0</v>
      </c>
      <c r="S1072" s="10">
        <f t="shared" ca="1" si="7000"/>
        <v>0</v>
      </c>
      <c r="T1072" s="10">
        <f t="shared" ca="1" si="7000"/>
        <v>0</v>
      </c>
      <c r="U1072" s="10">
        <f t="shared" ca="1" si="7000"/>
        <v>0</v>
      </c>
      <c r="V1072" s="10">
        <f t="shared" ca="1" si="7000"/>
        <v>0</v>
      </c>
      <c r="W1072" s="10">
        <f t="shared" ca="1" si="7000"/>
        <v>0</v>
      </c>
      <c r="X1072" s="10">
        <f t="shared" ca="1" si="7000"/>
        <v>0</v>
      </c>
      <c r="Y1072" s="10">
        <f t="shared" ca="1" si="7000"/>
        <v>0</v>
      </c>
      <c r="Z1072" s="10">
        <f t="shared" ca="1" si="7000"/>
        <v>0</v>
      </c>
      <c r="AA1072" s="10">
        <f t="shared" ca="1" si="7000"/>
        <v>0</v>
      </c>
      <c r="AB1072" s="10">
        <f t="shared" ca="1" si="7000"/>
        <v>0</v>
      </c>
      <c r="AC1072" s="10">
        <f t="shared" ca="1" si="7000"/>
        <v>-700346.21651213081</v>
      </c>
      <c r="AD1072" s="10">
        <f t="shared" ca="1" si="7000"/>
        <v>0</v>
      </c>
      <c r="AE1072" s="10">
        <f t="shared" ca="1" si="7000"/>
        <v>0</v>
      </c>
      <c r="AF1072" s="10">
        <f t="shared" ca="1" si="7000"/>
        <v>0</v>
      </c>
      <c r="AG1072" s="10">
        <f t="shared" ca="1" si="7000"/>
        <v>0</v>
      </c>
      <c r="AH1072" s="10">
        <f t="shared" ca="1" si="7000"/>
        <v>0</v>
      </c>
      <c r="AI1072" s="10">
        <f t="shared" ca="1" si="7000"/>
        <v>0</v>
      </c>
      <c r="AJ1072" s="10">
        <f t="shared" ca="1" si="7000"/>
        <v>0</v>
      </c>
      <c r="AK1072" s="10">
        <f t="shared" ca="1" si="7000"/>
        <v>0</v>
      </c>
      <c r="AL1072" s="10">
        <f t="shared" ca="1" si="7000"/>
        <v>0</v>
      </c>
      <c r="AM1072" s="10">
        <f t="shared" ca="1" si="7000"/>
        <v>0</v>
      </c>
      <c r="AN1072" s="10">
        <f t="shared" ca="1" si="7000"/>
        <v>0</v>
      </c>
      <c r="AO1072" s="10">
        <f t="shared" ca="1" si="7000"/>
        <v>0</v>
      </c>
      <c r="AP1072" s="10">
        <f t="shared" ca="1" si="7000"/>
        <v>0</v>
      </c>
      <c r="AQ1072" s="10">
        <f t="shared" ca="1" si="7000"/>
        <v>0</v>
      </c>
      <c r="AR1072" s="10">
        <f t="shared" ca="1" si="7000"/>
        <v>0</v>
      </c>
      <c r="AS1072" s="10">
        <f t="shared" ca="1" si="7000"/>
        <v>0</v>
      </c>
      <c r="AT1072" s="10">
        <f t="shared" ca="1" si="7000"/>
        <v>0</v>
      </c>
      <c r="AU1072" s="10">
        <f t="shared" ca="1" si="7000"/>
        <v>0</v>
      </c>
      <c r="AV1072" s="10">
        <f t="shared" ca="1" si="7000"/>
        <v>0</v>
      </c>
      <c r="AW1072" s="10">
        <f t="shared" ca="1" si="7000"/>
        <v>0</v>
      </c>
      <c r="AX1072" s="10">
        <f t="shared" ca="1" si="7000"/>
        <v>0</v>
      </c>
      <c r="AY1072" s="10">
        <f t="shared" ca="1" si="7000"/>
        <v>0</v>
      </c>
      <c r="AZ1072" s="10">
        <f t="shared" ca="1" si="7000"/>
        <v>0</v>
      </c>
      <c r="BA1072" s="10">
        <f t="shared" ca="1" si="7000"/>
        <v>0</v>
      </c>
      <c r="BB1072" s="10">
        <f t="shared" ca="1" si="7000"/>
        <v>0</v>
      </c>
      <c r="BC1072" s="10">
        <f t="shared" ca="1" si="7000"/>
        <v>0</v>
      </c>
      <c r="BD1072" s="10">
        <f t="shared" ca="1" si="7000"/>
        <v>0</v>
      </c>
      <c r="BE1072" s="10">
        <f t="shared" ca="1" si="7000"/>
        <v>0</v>
      </c>
      <c r="BF1072" s="10">
        <f t="shared" ca="1" si="7000"/>
        <v>0</v>
      </c>
      <c r="BG1072" s="10">
        <f t="shared" ca="1" si="7000"/>
        <v>0</v>
      </c>
      <c r="BH1072" s="10">
        <f t="shared" ca="1" si="7000"/>
        <v>0</v>
      </c>
      <c r="BI1072" s="10">
        <f t="shared" ca="1" si="7000"/>
        <v>0</v>
      </c>
      <c r="BJ1072" s="10">
        <f t="shared" ca="1" si="7000"/>
        <v>0</v>
      </c>
      <c r="BK1072" s="10">
        <f t="shared" ca="1" si="7000"/>
        <v>0</v>
      </c>
      <c r="BL1072" s="10">
        <f t="shared" ca="1" si="7000"/>
        <v>0</v>
      </c>
      <c r="BM1072" s="10">
        <f t="shared" ca="1" si="7000"/>
        <v>0</v>
      </c>
      <c r="BN1072" s="10">
        <f t="shared" ca="1" si="7000"/>
        <v>0</v>
      </c>
      <c r="BO1072" s="10">
        <f t="shared" ca="1" si="7000"/>
        <v>0</v>
      </c>
      <c r="BP1072" s="10">
        <f t="shared" ca="1" si="7000"/>
        <v>0</v>
      </c>
      <c r="BQ1072" s="10">
        <f t="shared" ca="1" si="7000"/>
        <v>0</v>
      </c>
      <c r="BR1072" s="10">
        <f t="shared" ca="1" si="7000"/>
        <v>0</v>
      </c>
      <c r="BS1072" s="10">
        <f t="shared" ca="1" si="7000"/>
        <v>0</v>
      </c>
      <c r="BT1072" s="10">
        <f t="shared" ca="1" si="7000"/>
        <v>0</v>
      </c>
      <c r="BU1072" s="10">
        <f t="shared" ca="1" si="7000"/>
        <v>0</v>
      </c>
      <c r="BV1072" s="10">
        <f t="shared" ca="1" si="7000"/>
        <v>0</v>
      </c>
      <c r="BW1072" s="10">
        <f t="shared" ca="1" si="7000"/>
        <v>0</v>
      </c>
      <c r="BX1072" s="10">
        <f t="shared" ref="BX1072:CO1072" ca="1" si="7001">Depreciation_Premium_Tax</f>
        <v>0</v>
      </c>
      <c r="BY1072" s="10">
        <f t="shared" ca="1" si="7001"/>
        <v>0</v>
      </c>
      <c r="BZ1072" s="10">
        <f t="shared" ca="1" si="7001"/>
        <v>0</v>
      </c>
      <c r="CA1072" s="10">
        <f t="shared" ca="1" si="7001"/>
        <v>0</v>
      </c>
      <c r="CB1072" s="10">
        <f t="shared" ca="1" si="7001"/>
        <v>0</v>
      </c>
      <c r="CC1072" s="10">
        <f t="shared" ca="1" si="7001"/>
        <v>0</v>
      </c>
      <c r="CD1072" s="10">
        <f t="shared" ca="1" si="7001"/>
        <v>0</v>
      </c>
      <c r="CE1072" s="10">
        <f t="shared" ca="1" si="7001"/>
        <v>0</v>
      </c>
      <c r="CF1072" s="10">
        <f t="shared" ca="1" si="7001"/>
        <v>0</v>
      </c>
      <c r="CG1072" s="10">
        <f t="shared" ca="1" si="7001"/>
        <v>0</v>
      </c>
      <c r="CH1072" s="10">
        <f t="shared" ca="1" si="7001"/>
        <v>0</v>
      </c>
      <c r="CI1072" s="10">
        <f t="shared" ca="1" si="7001"/>
        <v>0</v>
      </c>
      <c r="CJ1072" s="10">
        <f t="shared" ca="1" si="7001"/>
        <v>0</v>
      </c>
      <c r="CK1072" s="10">
        <f t="shared" ca="1" si="7001"/>
        <v>0</v>
      </c>
      <c r="CL1072" s="10">
        <f t="shared" ca="1" si="7001"/>
        <v>0</v>
      </c>
      <c r="CM1072" s="10">
        <f t="shared" ca="1" si="7001"/>
        <v>0</v>
      </c>
      <c r="CN1072" s="10">
        <f t="shared" ca="1" si="7001"/>
        <v>0</v>
      </c>
      <c r="CO1072" s="10">
        <f t="shared" ca="1" si="7001"/>
        <v>0</v>
      </c>
    </row>
    <row r="1073" spans="1:93">
      <c r="A1073" s="10"/>
      <c r="B1073" s="10"/>
      <c r="C1073" s="17" t="s">
        <v>757</v>
      </c>
      <c r="D1073" s="10"/>
      <c r="E1073" s="10"/>
      <c r="F1073" s="10"/>
      <c r="G1073" s="134" t="str">
        <f t="shared" si="6991"/>
        <v>тыс. руб.</v>
      </c>
      <c r="H1073" s="10"/>
      <c r="I1073" s="23">
        <f t="shared" ca="1" si="6992"/>
        <v>-234399.59558506194</v>
      </c>
      <c r="J1073" s="10"/>
      <c r="K1073" s="10"/>
      <c r="L1073" s="10">
        <f t="shared" ref="L1073:AQ1073" ca="1" si="7002">SGA_PL</f>
        <v>0</v>
      </c>
      <c r="M1073" s="10">
        <f t="shared" ca="1" si="7002"/>
        <v>0</v>
      </c>
      <c r="N1073" s="10">
        <f t="shared" ca="1" si="7002"/>
        <v>0</v>
      </c>
      <c r="O1073" s="10">
        <f t="shared" ca="1" si="7002"/>
        <v>0</v>
      </c>
      <c r="P1073" s="10">
        <f t="shared" ca="1" si="7002"/>
        <v>0</v>
      </c>
      <c r="Q1073" s="10">
        <f t="shared" ca="1" si="7002"/>
        <v>0</v>
      </c>
      <c r="R1073" s="10">
        <f t="shared" ca="1" si="7002"/>
        <v>0</v>
      </c>
      <c r="S1073" s="10">
        <f t="shared" ca="1" si="7002"/>
        <v>0</v>
      </c>
      <c r="T1073" s="10">
        <f t="shared" ca="1" si="7002"/>
        <v>0</v>
      </c>
      <c r="U1073" s="10">
        <f t="shared" ca="1" si="7002"/>
        <v>0</v>
      </c>
      <c r="V1073" s="10">
        <f t="shared" ca="1" si="7002"/>
        <v>0</v>
      </c>
      <c r="W1073" s="10">
        <f t="shared" ca="1" si="7002"/>
        <v>0</v>
      </c>
      <c r="X1073" s="10">
        <f t="shared" ca="1" si="7002"/>
        <v>0</v>
      </c>
      <c r="Y1073" s="10">
        <f t="shared" ca="1" si="7002"/>
        <v>0</v>
      </c>
      <c r="Z1073" s="10">
        <f t="shared" ca="1" si="7002"/>
        <v>0</v>
      </c>
      <c r="AA1073" s="10">
        <f t="shared" ca="1" si="7002"/>
        <v>0</v>
      </c>
      <c r="AB1073" s="10">
        <f t="shared" ca="1" si="7002"/>
        <v>0</v>
      </c>
      <c r="AC1073" s="10">
        <f t="shared" ca="1" si="7002"/>
        <v>-3596.4193556298515</v>
      </c>
      <c r="AD1073" s="10">
        <f t="shared" ca="1" si="7002"/>
        <v>-3635.9404474499602</v>
      </c>
      <c r="AE1073" s="10">
        <f t="shared" ca="1" si="7002"/>
        <v>-3635.9404474499602</v>
      </c>
      <c r="AF1073" s="10">
        <f t="shared" ca="1" si="7002"/>
        <v>-3556.8982638097432</v>
      </c>
      <c r="AG1073" s="10">
        <f t="shared" ca="1" si="7002"/>
        <v>-3596.4193556298515</v>
      </c>
      <c r="AH1073" s="10">
        <f t="shared" ca="1" si="7002"/>
        <v>-3635.9404474499602</v>
      </c>
      <c r="AI1073" s="10">
        <f t="shared" ca="1" si="7002"/>
        <v>-3635.9404474499602</v>
      </c>
      <c r="AJ1073" s="10">
        <f t="shared" ca="1" si="7002"/>
        <v>-3556.8982638097432</v>
      </c>
      <c r="AK1073" s="10">
        <f t="shared" ca="1" si="7002"/>
        <v>-3596.4193556298515</v>
      </c>
      <c r="AL1073" s="10">
        <f t="shared" ca="1" si="7002"/>
        <v>-3635.9404474499602</v>
      </c>
      <c r="AM1073" s="10">
        <f t="shared" ca="1" si="7002"/>
        <v>-3635.9404474499602</v>
      </c>
      <c r="AN1073" s="10">
        <f t="shared" ca="1" si="7002"/>
        <v>-3586.59307323742</v>
      </c>
      <c r="AO1073" s="10">
        <f t="shared" ca="1" si="7002"/>
        <v>-3586.59307323742</v>
      </c>
      <c r="AP1073" s="10">
        <f t="shared" ca="1" si="7002"/>
        <v>-3626.0061839323371</v>
      </c>
      <c r="AQ1073" s="10">
        <f t="shared" ca="1" si="7002"/>
        <v>-3626.0061839323371</v>
      </c>
      <c r="AR1073" s="10">
        <f t="shared" ref="AR1073:BW1073" ca="1" si="7003">SGA_PL</f>
        <v>-3556.8982638097432</v>
      </c>
      <c r="AS1073" s="10">
        <f t="shared" ca="1" si="7003"/>
        <v>-3596.4193556298515</v>
      </c>
      <c r="AT1073" s="10">
        <f t="shared" ca="1" si="7003"/>
        <v>-3635.9404474499602</v>
      </c>
      <c r="AU1073" s="10">
        <f t="shared" ca="1" si="7003"/>
        <v>-3635.9404474499602</v>
      </c>
      <c r="AV1073" s="10">
        <f t="shared" ca="1" si="7003"/>
        <v>-3556.8982638097432</v>
      </c>
      <c r="AW1073" s="10">
        <f t="shared" ca="1" si="7003"/>
        <v>-3596.4193556298515</v>
      </c>
      <c r="AX1073" s="10">
        <f t="shared" ca="1" si="7003"/>
        <v>-3635.9404474499602</v>
      </c>
      <c r="AY1073" s="10">
        <f t="shared" ca="1" si="7003"/>
        <v>-3635.9404474499602</v>
      </c>
      <c r="AZ1073" s="10">
        <f t="shared" ca="1" si="7003"/>
        <v>-3556.8982638097432</v>
      </c>
      <c r="BA1073" s="10">
        <f t="shared" ca="1" si="7003"/>
        <v>-3596.4193556298515</v>
      </c>
      <c r="BB1073" s="10">
        <f t="shared" ca="1" si="7003"/>
        <v>-3635.9404474499602</v>
      </c>
      <c r="BC1073" s="10">
        <f t="shared" ca="1" si="7003"/>
        <v>-3635.9404474499602</v>
      </c>
      <c r="BD1073" s="10">
        <f t="shared" ca="1" si="7003"/>
        <v>-3586.59307323742</v>
      </c>
      <c r="BE1073" s="10">
        <f t="shared" ca="1" si="7003"/>
        <v>-3586.59307323742</v>
      </c>
      <c r="BF1073" s="10">
        <f t="shared" ca="1" si="7003"/>
        <v>-3626.0061839323371</v>
      </c>
      <c r="BG1073" s="10">
        <f t="shared" ca="1" si="7003"/>
        <v>-3626.0061839323371</v>
      </c>
      <c r="BH1073" s="10">
        <f t="shared" ca="1" si="7003"/>
        <v>-3556.8982638097432</v>
      </c>
      <c r="BI1073" s="10">
        <f t="shared" ca="1" si="7003"/>
        <v>-3596.4193556298515</v>
      </c>
      <c r="BJ1073" s="10">
        <f t="shared" ca="1" si="7003"/>
        <v>-3635.9404474499602</v>
      </c>
      <c r="BK1073" s="10">
        <f t="shared" ca="1" si="7003"/>
        <v>-3635.9404474499602</v>
      </c>
      <c r="BL1073" s="10">
        <f t="shared" ca="1" si="7003"/>
        <v>-3556.8982638097432</v>
      </c>
      <c r="BM1073" s="10">
        <f t="shared" ca="1" si="7003"/>
        <v>-3596.4193556298515</v>
      </c>
      <c r="BN1073" s="10">
        <f t="shared" ca="1" si="7003"/>
        <v>-3635.9404474499602</v>
      </c>
      <c r="BO1073" s="10">
        <f t="shared" ca="1" si="7003"/>
        <v>-3635.9404474499602</v>
      </c>
      <c r="BP1073" s="10">
        <f t="shared" ca="1" si="7003"/>
        <v>-3556.8982638097432</v>
      </c>
      <c r="BQ1073" s="10">
        <f t="shared" ca="1" si="7003"/>
        <v>-3596.4193556298515</v>
      </c>
      <c r="BR1073" s="10">
        <f t="shared" ca="1" si="7003"/>
        <v>-3635.9404474499602</v>
      </c>
      <c r="BS1073" s="10">
        <f t="shared" ca="1" si="7003"/>
        <v>-3635.9404474499602</v>
      </c>
      <c r="BT1073" s="10">
        <f t="shared" ca="1" si="7003"/>
        <v>-3586.59307323742</v>
      </c>
      <c r="BU1073" s="10">
        <f t="shared" ca="1" si="7003"/>
        <v>-3586.59307323742</v>
      </c>
      <c r="BV1073" s="10">
        <f t="shared" ca="1" si="7003"/>
        <v>-3626.0061839323371</v>
      </c>
      <c r="BW1073" s="10">
        <f t="shared" ca="1" si="7003"/>
        <v>-3626.0061839323371</v>
      </c>
      <c r="BX1073" s="10">
        <f t="shared" ref="BX1073:CO1073" ca="1" si="7004">SGA_PL</f>
        <v>-3556.8982638097432</v>
      </c>
      <c r="BY1073" s="10">
        <f t="shared" ca="1" si="7004"/>
        <v>-3596.4193556298515</v>
      </c>
      <c r="BZ1073" s="10">
        <f t="shared" ca="1" si="7004"/>
        <v>-3635.9404474499602</v>
      </c>
      <c r="CA1073" s="10">
        <f t="shared" ca="1" si="7004"/>
        <v>-3635.9404474499602</v>
      </c>
      <c r="CB1073" s="10">
        <f t="shared" ca="1" si="7004"/>
        <v>-3556.8982638097432</v>
      </c>
      <c r="CC1073" s="10">
        <f t="shared" ca="1" si="7004"/>
        <v>-3596.4193556298515</v>
      </c>
      <c r="CD1073" s="10">
        <f t="shared" ca="1" si="7004"/>
        <v>-3635.9404474499602</v>
      </c>
      <c r="CE1073" s="10">
        <f t="shared" ca="1" si="7004"/>
        <v>-3635.9404474499602</v>
      </c>
      <c r="CF1073" s="10">
        <f t="shared" ca="1" si="7004"/>
        <v>-3556.8982638097432</v>
      </c>
      <c r="CG1073" s="10">
        <f t="shared" ca="1" si="7004"/>
        <v>-3596.4193556298515</v>
      </c>
      <c r="CH1073" s="10">
        <f t="shared" ca="1" si="7004"/>
        <v>-3635.9404474499602</v>
      </c>
      <c r="CI1073" s="10">
        <f t="shared" ca="1" si="7004"/>
        <v>-3635.9404474499602</v>
      </c>
      <c r="CJ1073" s="10">
        <f t="shared" ca="1" si="7004"/>
        <v>-3586.59307323742</v>
      </c>
      <c r="CK1073" s="10">
        <f t="shared" ca="1" si="7004"/>
        <v>-3586.59307323742</v>
      </c>
      <c r="CL1073" s="10">
        <f t="shared" ca="1" si="7004"/>
        <v>-3626.0061839323371</v>
      </c>
      <c r="CM1073" s="10">
        <f t="shared" ca="1" si="7004"/>
        <v>-3626.0061839323371</v>
      </c>
      <c r="CN1073" s="10">
        <f t="shared" ca="1" si="7004"/>
        <v>-3556.8982638097432</v>
      </c>
      <c r="CO1073" s="10">
        <f t="shared" ca="1" si="7004"/>
        <v>-3596.4193556298515</v>
      </c>
    </row>
    <row r="1074" spans="1:93">
      <c r="A1074" s="10"/>
      <c r="B1074" s="10"/>
      <c r="C1074" s="17" t="s">
        <v>300</v>
      </c>
      <c r="D1074" s="10"/>
      <c r="E1074" s="10"/>
      <c r="F1074" s="10"/>
      <c r="G1074" s="134" t="str">
        <f t="shared" si="6991"/>
        <v>тыс. руб.</v>
      </c>
      <c r="H1074" s="10"/>
      <c r="I1074" s="23">
        <f t="shared" si="6992"/>
        <v>-1330786.673672708</v>
      </c>
      <c r="J1074" s="10"/>
      <c r="K1074" s="10"/>
      <c r="L1074" s="10">
        <f t="shared" ref="L1074:BW1074" si="7005">Debt_Interest_Accrued</f>
        <v>0</v>
      </c>
      <c r="M1074" s="10">
        <f t="shared" si="7005"/>
        <v>0</v>
      </c>
      <c r="N1074" s="10">
        <f t="shared" si="7005"/>
        <v>0</v>
      </c>
      <c r="O1074" s="10">
        <f t="shared" si="7005"/>
        <v>0</v>
      </c>
      <c r="P1074" s="10">
        <f t="shared" si="7005"/>
        <v>0</v>
      </c>
      <c r="Q1074" s="10">
        <f t="shared" si="7005"/>
        <v>0</v>
      </c>
      <c r="R1074" s="10">
        <f t="shared" si="7005"/>
        <v>0</v>
      </c>
      <c r="S1074" s="10">
        <f t="shared" si="7005"/>
        <v>-738.99174247580174</v>
      </c>
      <c r="T1074" s="10">
        <f t="shared" si="7005"/>
        <v>-3234.8821767320223</v>
      </c>
      <c r="U1074" s="10">
        <f t="shared" si="7005"/>
        <v>-7256.2536237105141</v>
      </c>
      <c r="V1074" s="10">
        <f t="shared" si="7005"/>
        <v>-11404.918486102473</v>
      </c>
      <c r="W1074" s="10">
        <f t="shared" si="7005"/>
        <v>-15513.937077923534</v>
      </c>
      <c r="X1074" s="10">
        <f t="shared" si="7005"/>
        <v>-21635.021605468475</v>
      </c>
      <c r="Y1074" s="10">
        <f t="shared" si="7005"/>
        <v>-30267.503661225743</v>
      </c>
      <c r="Z1074" s="10">
        <f t="shared" si="7005"/>
        <v>-39413.452160910616</v>
      </c>
      <c r="AA1074" s="10">
        <f t="shared" si="7005"/>
        <v>-48313.632138229776</v>
      </c>
      <c r="AB1074" s="10">
        <f t="shared" si="7005"/>
        <v>-57475.007205903479</v>
      </c>
      <c r="AC1074" s="10">
        <f t="shared" si="7005"/>
        <v>-63872.407755986169</v>
      </c>
      <c r="AD1074" s="10">
        <f t="shared" si="7005"/>
        <v>-62892.014193801202</v>
      </c>
      <c r="AE1074" s="10">
        <f t="shared" si="7005"/>
        <v>-61190.416445550276</v>
      </c>
      <c r="AF1074" s="10">
        <f t="shared" si="7005"/>
        <v>-58172.297254570709</v>
      </c>
      <c r="AG1074" s="10">
        <f t="shared" si="7005"/>
        <v>-57080.646529591679</v>
      </c>
      <c r="AH1074" s="10">
        <f t="shared" si="7005"/>
        <v>-55930.44209210058</v>
      </c>
      <c r="AI1074" s="10">
        <f t="shared" si="7005"/>
        <v>-54131.967215460383</v>
      </c>
      <c r="AJ1074" s="10">
        <f t="shared" si="7005"/>
        <v>-51171.195711258915</v>
      </c>
      <c r="AK1074" s="10">
        <f t="shared" si="7005"/>
        <v>-49904.037104946961</v>
      </c>
      <c r="AL1074" s="10">
        <f t="shared" si="7005"/>
        <v>-48574.405478010551</v>
      </c>
      <c r="AM1074" s="10">
        <f t="shared" si="7005"/>
        <v>-46673.54571622183</v>
      </c>
      <c r="AN1074" s="10">
        <f t="shared" si="7005"/>
        <v>-44138.79593852751</v>
      </c>
      <c r="AO1074" s="10">
        <f t="shared" si="7005"/>
        <v>-42207.308872000569</v>
      </c>
      <c r="AP1074" s="10">
        <f t="shared" si="7005"/>
        <v>-40691.467417603446</v>
      </c>
      <c r="AQ1074" s="10">
        <f t="shared" si="7005"/>
        <v>-38687.152626157636</v>
      </c>
      <c r="AR1074" s="10">
        <f t="shared" si="7005"/>
        <v>-35956.272041141216</v>
      </c>
      <c r="AS1074" s="10">
        <f t="shared" si="7005"/>
        <v>-34307.790947443333</v>
      </c>
      <c r="AT1074" s="10">
        <f t="shared" si="7005"/>
        <v>-32588.246953087979</v>
      </c>
      <c r="AU1074" s="10">
        <f t="shared" si="7005"/>
        <v>-30464.826714844134</v>
      </c>
      <c r="AV1074" s="10">
        <f t="shared" si="7005"/>
        <v>-27696.230071407623</v>
      </c>
      <c r="AW1074" s="10">
        <f t="shared" si="7005"/>
        <v>-25840.779998392045</v>
      </c>
      <c r="AX1074" s="10">
        <f t="shared" si="7005"/>
        <v>-23909.566331086633</v>
      </c>
      <c r="AY1074" s="10">
        <f t="shared" si="7005"/>
        <v>-21665.290095109085</v>
      </c>
      <c r="AZ1074" s="10">
        <f t="shared" si="7005"/>
        <v>-18968.105120419892</v>
      </c>
      <c r="BA1074" s="10">
        <f t="shared" si="7005"/>
        <v>-16893.990510090218</v>
      </c>
      <c r="BB1074" s="10">
        <f t="shared" si="7005"/>
        <v>-14739.119607861281</v>
      </c>
      <c r="BC1074" s="10">
        <f t="shared" si="7005"/>
        <v>-12367.118513902496</v>
      </c>
      <c r="BD1074" s="10">
        <f t="shared" si="7005"/>
        <v>-9826.7309072529442</v>
      </c>
      <c r="BE1074" s="10">
        <f t="shared" si="7005"/>
        <v>-7420.3179551697622</v>
      </c>
      <c r="BF1074" s="10">
        <f t="shared" si="7005"/>
        <v>-5035.4313667147007</v>
      </c>
      <c r="BG1074" s="10">
        <f t="shared" si="7005"/>
        <v>-2535.1563083135316</v>
      </c>
      <c r="BH1074" s="10">
        <f t="shared" si="7005"/>
        <v>0</v>
      </c>
      <c r="BI1074" s="10">
        <f t="shared" si="7005"/>
        <v>0</v>
      </c>
      <c r="BJ1074" s="10">
        <f t="shared" si="7005"/>
        <v>0</v>
      </c>
      <c r="BK1074" s="10">
        <f t="shared" si="7005"/>
        <v>0</v>
      </c>
      <c r="BL1074" s="10">
        <f t="shared" si="7005"/>
        <v>0</v>
      </c>
      <c r="BM1074" s="10">
        <f t="shared" si="7005"/>
        <v>0</v>
      </c>
      <c r="BN1074" s="10">
        <f t="shared" si="7005"/>
        <v>0</v>
      </c>
      <c r="BO1074" s="10">
        <f t="shared" si="7005"/>
        <v>0</v>
      </c>
      <c r="BP1074" s="10">
        <f t="shared" si="7005"/>
        <v>0</v>
      </c>
      <c r="BQ1074" s="10">
        <f t="shared" si="7005"/>
        <v>0</v>
      </c>
      <c r="BR1074" s="10">
        <f t="shared" si="7005"/>
        <v>0</v>
      </c>
      <c r="BS1074" s="10">
        <f t="shared" si="7005"/>
        <v>0</v>
      </c>
      <c r="BT1074" s="10">
        <f t="shared" si="7005"/>
        <v>0</v>
      </c>
      <c r="BU1074" s="10">
        <f t="shared" si="7005"/>
        <v>0</v>
      </c>
      <c r="BV1074" s="10">
        <f t="shared" si="7005"/>
        <v>0</v>
      </c>
      <c r="BW1074" s="10">
        <f t="shared" si="7005"/>
        <v>0</v>
      </c>
      <c r="BX1074" s="10">
        <f t="shared" ref="BX1074:CO1074" si="7006">Debt_Interest_Accrued</f>
        <v>0</v>
      </c>
      <c r="BY1074" s="10">
        <f t="shared" si="7006"/>
        <v>0</v>
      </c>
      <c r="BZ1074" s="10">
        <f t="shared" si="7006"/>
        <v>0</v>
      </c>
      <c r="CA1074" s="10">
        <f t="shared" si="7006"/>
        <v>0</v>
      </c>
      <c r="CB1074" s="10">
        <f t="shared" si="7006"/>
        <v>0</v>
      </c>
      <c r="CC1074" s="10">
        <f t="shared" si="7006"/>
        <v>0</v>
      </c>
      <c r="CD1074" s="10">
        <f t="shared" si="7006"/>
        <v>0</v>
      </c>
      <c r="CE1074" s="10">
        <f t="shared" si="7006"/>
        <v>0</v>
      </c>
      <c r="CF1074" s="10">
        <f t="shared" si="7006"/>
        <v>0</v>
      </c>
      <c r="CG1074" s="10">
        <f t="shared" si="7006"/>
        <v>0</v>
      </c>
      <c r="CH1074" s="10">
        <f t="shared" si="7006"/>
        <v>0</v>
      </c>
      <c r="CI1074" s="10">
        <f t="shared" si="7006"/>
        <v>0</v>
      </c>
      <c r="CJ1074" s="10">
        <f t="shared" si="7006"/>
        <v>0</v>
      </c>
      <c r="CK1074" s="10">
        <f t="shared" si="7006"/>
        <v>0</v>
      </c>
      <c r="CL1074" s="10">
        <f t="shared" si="7006"/>
        <v>0</v>
      </c>
      <c r="CM1074" s="10">
        <f t="shared" si="7006"/>
        <v>0</v>
      </c>
      <c r="CN1074" s="10">
        <f t="shared" si="7006"/>
        <v>0</v>
      </c>
      <c r="CO1074" s="10">
        <f t="shared" si="7006"/>
        <v>0</v>
      </c>
    </row>
    <row r="1075" spans="1:93">
      <c r="A1075" s="10"/>
      <c r="B1075" s="10"/>
      <c r="C1075" s="17" t="s">
        <v>358</v>
      </c>
      <c r="D1075" s="10"/>
      <c r="E1075" s="10"/>
      <c r="F1075" s="10"/>
      <c r="G1075" s="134" t="str">
        <f t="shared" si="6991"/>
        <v>тыс. руб.</v>
      </c>
      <c r="H1075" s="10"/>
      <c r="I1075" s="23">
        <f t="shared" si="6992"/>
        <v>-6797.1533289517665</v>
      </c>
      <c r="J1075" s="10"/>
      <c r="K1075" s="10"/>
      <c r="L1075" s="10">
        <f t="shared" ref="L1075:BW1075" si="7007">-Subord_Interest_Accrued</f>
        <v>0</v>
      </c>
      <c r="M1075" s="10">
        <f t="shared" si="7007"/>
        <v>0</v>
      </c>
      <c r="N1075" s="10">
        <f t="shared" si="7007"/>
        <v>0</v>
      </c>
      <c r="O1075" s="10">
        <f t="shared" si="7007"/>
        <v>0</v>
      </c>
      <c r="P1075" s="10">
        <f t="shared" si="7007"/>
        <v>0</v>
      </c>
      <c r="Q1075" s="10">
        <f t="shared" si="7007"/>
        <v>0</v>
      </c>
      <c r="R1075" s="10">
        <f t="shared" si="7007"/>
        <v>0</v>
      </c>
      <c r="S1075" s="10">
        <f t="shared" si="7007"/>
        <v>0</v>
      </c>
      <c r="T1075" s="10">
        <f t="shared" si="7007"/>
        <v>0</v>
      </c>
      <c r="U1075" s="10">
        <f t="shared" si="7007"/>
        <v>0</v>
      </c>
      <c r="V1075" s="10">
        <f t="shared" si="7007"/>
        <v>0</v>
      </c>
      <c r="W1075" s="10">
        <f t="shared" si="7007"/>
        <v>0</v>
      </c>
      <c r="X1075" s="10">
        <f t="shared" si="7007"/>
        <v>0</v>
      </c>
      <c r="Y1075" s="10">
        <f t="shared" si="7007"/>
        <v>0</v>
      </c>
      <c r="Z1075" s="10">
        <f t="shared" si="7007"/>
        <v>0</v>
      </c>
      <c r="AA1075" s="10">
        <f t="shared" si="7007"/>
        <v>0</v>
      </c>
      <c r="AB1075" s="10">
        <f t="shared" si="7007"/>
        <v>0</v>
      </c>
      <c r="AC1075" s="10">
        <f t="shared" si="7007"/>
        <v>0</v>
      </c>
      <c r="AD1075" s="10">
        <f t="shared" si="7007"/>
        <v>0</v>
      </c>
      <c r="AE1075" s="10">
        <f t="shared" si="7007"/>
        <v>0</v>
      </c>
      <c r="AF1075" s="10">
        <f t="shared" si="7007"/>
        <v>0</v>
      </c>
      <c r="AG1075" s="10">
        <f t="shared" si="7007"/>
        <v>0</v>
      </c>
      <c r="AH1075" s="10">
        <f t="shared" si="7007"/>
        <v>0</v>
      </c>
      <c r="AI1075" s="10">
        <f t="shared" si="7007"/>
        <v>0</v>
      </c>
      <c r="AJ1075" s="10">
        <f t="shared" si="7007"/>
        <v>0</v>
      </c>
      <c r="AK1075" s="10">
        <f t="shared" si="7007"/>
        <v>0</v>
      </c>
      <c r="AL1075" s="10">
        <f t="shared" si="7007"/>
        <v>0</v>
      </c>
      <c r="AM1075" s="10">
        <f t="shared" si="7007"/>
        <v>0</v>
      </c>
      <c r="AN1075" s="10">
        <f t="shared" si="7007"/>
        <v>0</v>
      </c>
      <c r="AO1075" s="10">
        <f t="shared" si="7007"/>
        <v>0</v>
      </c>
      <c r="AP1075" s="10">
        <f t="shared" si="7007"/>
        <v>0</v>
      </c>
      <c r="AQ1075" s="10">
        <f t="shared" si="7007"/>
        <v>0</v>
      </c>
      <c r="AR1075" s="10">
        <f t="shared" si="7007"/>
        <v>0</v>
      </c>
      <c r="AS1075" s="10">
        <f t="shared" si="7007"/>
        <v>0</v>
      </c>
      <c r="AT1075" s="10">
        <f t="shared" si="7007"/>
        <v>0</v>
      </c>
      <c r="AU1075" s="10">
        <f t="shared" si="7007"/>
        <v>0</v>
      </c>
      <c r="AV1075" s="10">
        <f t="shared" si="7007"/>
        <v>0</v>
      </c>
      <c r="AW1075" s="10">
        <f t="shared" si="7007"/>
        <v>0</v>
      </c>
      <c r="AX1075" s="10">
        <f t="shared" si="7007"/>
        <v>0</v>
      </c>
      <c r="AY1075" s="10">
        <f t="shared" si="7007"/>
        <v>0</v>
      </c>
      <c r="AZ1075" s="10">
        <f t="shared" si="7007"/>
        <v>-713.85861147902028</v>
      </c>
      <c r="BA1075" s="10">
        <f t="shared" si="7007"/>
        <v>-1489.6033493844711</v>
      </c>
      <c r="BB1075" s="10">
        <f t="shared" si="7007"/>
        <v>-1578.8975359324165</v>
      </c>
      <c r="BC1075" s="10">
        <f t="shared" si="7007"/>
        <v>0</v>
      </c>
      <c r="BD1075" s="10">
        <f t="shared" si="7007"/>
        <v>-602.23866012620988</v>
      </c>
      <c r="BE1075" s="10">
        <f t="shared" si="7007"/>
        <v>-1224.6918064263284</v>
      </c>
      <c r="BF1075" s="10">
        <f t="shared" si="7007"/>
        <v>-1187.8633656033207</v>
      </c>
      <c r="BG1075" s="10">
        <f t="shared" si="7007"/>
        <v>0</v>
      </c>
      <c r="BH1075" s="10">
        <f t="shared" si="7007"/>
        <v>0</v>
      </c>
      <c r="BI1075" s="10">
        <f t="shared" si="7007"/>
        <v>0</v>
      </c>
      <c r="BJ1075" s="10">
        <f t="shared" si="7007"/>
        <v>0</v>
      </c>
      <c r="BK1075" s="10">
        <f t="shared" si="7007"/>
        <v>0</v>
      </c>
      <c r="BL1075" s="10">
        <f t="shared" si="7007"/>
        <v>0</v>
      </c>
      <c r="BM1075" s="10">
        <f t="shared" si="7007"/>
        <v>0</v>
      </c>
      <c r="BN1075" s="10">
        <f t="shared" si="7007"/>
        <v>0</v>
      </c>
      <c r="BO1075" s="10">
        <f t="shared" si="7007"/>
        <v>0</v>
      </c>
      <c r="BP1075" s="10">
        <f t="shared" si="7007"/>
        <v>0</v>
      </c>
      <c r="BQ1075" s="10">
        <f t="shared" si="7007"/>
        <v>0</v>
      </c>
      <c r="BR1075" s="10">
        <f t="shared" si="7007"/>
        <v>0</v>
      </c>
      <c r="BS1075" s="10">
        <f t="shared" si="7007"/>
        <v>0</v>
      </c>
      <c r="BT1075" s="10">
        <f t="shared" si="7007"/>
        <v>0</v>
      </c>
      <c r="BU1075" s="10">
        <f t="shared" si="7007"/>
        <v>0</v>
      </c>
      <c r="BV1075" s="10">
        <f t="shared" si="7007"/>
        <v>0</v>
      </c>
      <c r="BW1075" s="10">
        <f t="shared" si="7007"/>
        <v>0</v>
      </c>
      <c r="BX1075" s="10">
        <f t="shared" ref="BX1075:CO1075" si="7008">-Subord_Interest_Accrued</f>
        <v>0</v>
      </c>
      <c r="BY1075" s="10">
        <f t="shared" si="7008"/>
        <v>0</v>
      </c>
      <c r="BZ1075" s="10">
        <f t="shared" si="7008"/>
        <v>0</v>
      </c>
      <c r="CA1075" s="10">
        <f t="shared" si="7008"/>
        <v>0</v>
      </c>
      <c r="CB1075" s="10">
        <f t="shared" si="7008"/>
        <v>0</v>
      </c>
      <c r="CC1075" s="10">
        <f t="shared" si="7008"/>
        <v>0</v>
      </c>
      <c r="CD1075" s="10">
        <f t="shared" si="7008"/>
        <v>0</v>
      </c>
      <c r="CE1075" s="10">
        <f t="shared" si="7008"/>
        <v>0</v>
      </c>
      <c r="CF1075" s="10">
        <f t="shared" si="7008"/>
        <v>0</v>
      </c>
      <c r="CG1075" s="10">
        <f t="shared" si="7008"/>
        <v>0</v>
      </c>
      <c r="CH1075" s="10">
        <f t="shared" si="7008"/>
        <v>0</v>
      </c>
      <c r="CI1075" s="10">
        <f t="shared" si="7008"/>
        <v>0</v>
      </c>
      <c r="CJ1075" s="10">
        <f t="shared" si="7008"/>
        <v>0</v>
      </c>
      <c r="CK1075" s="10">
        <f t="shared" si="7008"/>
        <v>0</v>
      </c>
      <c r="CL1075" s="10">
        <f t="shared" si="7008"/>
        <v>0</v>
      </c>
      <c r="CM1075" s="10">
        <f t="shared" si="7008"/>
        <v>0</v>
      </c>
      <c r="CN1075" s="10">
        <f t="shared" si="7008"/>
        <v>0</v>
      </c>
      <c r="CO1075" s="10">
        <f t="shared" si="7008"/>
        <v>0</v>
      </c>
    </row>
    <row r="1076" spans="1:93" ht="15" thickBot="1">
      <c r="A1076" s="10"/>
      <c r="B1076" s="10"/>
      <c r="C1076" s="17" t="s">
        <v>103</v>
      </c>
      <c r="D1076" s="10"/>
      <c r="E1076" s="10"/>
      <c r="F1076" s="10"/>
      <c r="G1076" s="134" t="str">
        <f t="shared" si="6991"/>
        <v>тыс. руб.</v>
      </c>
      <c r="H1076" s="10"/>
      <c r="I1076" s="23">
        <f t="shared" si="6992"/>
        <v>-20126.474624454266</v>
      </c>
      <c r="J1076" s="10"/>
      <c r="K1076" s="10"/>
      <c r="L1076" s="10">
        <f t="shared" ref="L1076:AQ1076" si="7009">Bank_Fees</f>
        <v>0</v>
      </c>
      <c r="M1076" s="10">
        <f t="shared" si="7009"/>
        <v>0</v>
      </c>
      <c r="N1076" s="10">
        <f t="shared" si="7009"/>
        <v>0</v>
      </c>
      <c r="O1076" s="10">
        <f t="shared" si="7009"/>
        <v>0</v>
      </c>
      <c r="P1076" s="10">
        <f t="shared" si="7009"/>
        <v>0</v>
      </c>
      <c r="Q1076" s="10">
        <f t="shared" si="7009"/>
        <v>0</v>
      </c>
      <c r="R1076" s="10">
        <f t="shared" si="7009"/>
        <v>0</v>
      </c>
      <c r="S1076" s="10">
        <f t="shared" si="7009"/>
        <v>0</v>
      </c>
      <c r="T1076" s="10">
        <f t="shared" si="7009"/>
        <v>-3345.7721709148877</v>
      </c>
      <c r="U1076" s="10">
        <f t="shared" si="7009"/>
        <v>-3168.5750091153564</v>
      </c>
      <c r="V1076" s="10">
        <f t="shared" si="7009"/>
        <v>-2984.5308552565393</v>
      </c>
      <c r="W1076" s="10">
        <f t="shared" si="7009"/>
        <v>-2763.5106431876575</v>
      </c>
      <c r="X1076" s="10">
        <f t="shared" si="7009"/>
        <v>-2505.8352333099388</v>
      </c>
      <c r="Y1076" s="10">
        <f t="shared" si="7009"/>
        <v>-2041.5022126606673</v>
      </c>
      <c r="Z1076" s="10">
        <f t="shared" si="7009"/>
        <v>-1589.8751819626839</v>
      </c>
      <c r="AA1076" s="10">
        <f t="shared" si="7009"/>
        <v>-1111.1429440619313</v>
      </c>
      <c r="AB1076" s="10">
        <f t="shared" si="7009"/>
        <v>-615.73037398460076</v>
      </c>
      <c r="AC1076" s="10">
        <f t="shared" si="7009"/>
        <v>0</v>
      </c>
      <c r="AD1076" s="10">
        <f t="shared" si="7009"/>
        <v>0</v>
      </c>
      <c r="AE1076" s="10">
        <f t="shared" si="7009"/>
        <v>0</v>
      </c>
      <c r="AF1076" s="10">
        <f t="shared" si="7009"/>
        <v>0</v>
      </c>
      <c r="AG1076" s="10">
        <f t="shared" si="7009"/>
        <v>0</v>
      </c>
      <c r="AH1076" s="10">
        <f t="shared" si="7009"/>
        <v>0</v>
      </c>
      <c r="AI1076" s="10">
        <f t="shared" si="7009"/>
        <v>0</v>
      </c>
      <c r="AJ1076" s="10">
        <f t="shared" si="7009"/>
        <v>0</v>
      </c>
      <c r="AK1076" s="10">
        <f t="shared" si="7009"/>
        <v>0</v>
      </c>
      <c r="AL1076" s="10">
        <f t="shared" si="7009"/>
        <v>0</v>
      </c>
      <c r="AM1076" s="10">
        <f t="shared" si="7009"/>
        <v>0</v>
      </c>
      <c r="AN1076" s="10">
        <f t="shared" si="7009"/>
        <v>0</v>
      </c>
      <c r="AO1076" s="10">
        <f t="shared" si="7009"/>
        <v>0</v>
      </c>
      <c r="AP1076" s="10">
        <f t="shared" si="7009"/>
        <v>0</v>
      </c>
      <c r="AQ1076" s="10">
        <f t="shared" si="7009"/>
        <v>0</v>
      </c>
      <c r="AR1076" s="10">
        <f t="shared" ref="AR1076:BW1076" si="7010">Bank_Fees</f>
        <v>0</v>
      </c>
      <c r="AS1076" s="10">
        <f t="shared" si="7010"/>
        <v>0</v>
      </c>
      <c r="AT1076" s="10">
        <f t="shared" si="7010"/>
        <v>0</v>
      </c>
      <c r="AU1076" s="10">
        <f t="shared" si="7010"/>
        <v>0</v>
      </c>
      <c r="AV1076" s="10">
        <f t="shared" si="7010"/>
        <v>0</v>
      </c>
      <c r="AW1076" s="10">
        <f t="shared" si="7010"/>
        <v>0</v>
      </c>
      <c r="AX1076" s="10">
        <f t="shared" si="7010"/>
        <v>0</v>
      </c>
      <c r="AY1076" s="10">
        <f t="shared" si="7010"/>
        <v>0</v>
      </c>
      <c r="AZ1076" s="10">
        <f t="shared" si="7010"/>
        <v>0</v>
      </c>
      <c r="BA1076" s="10">
        <f t="shared" si="7010"/>
        <v>0</v>
      </c>
      <c r="BB1076" s="10">
        <f t="shared" si="7010"/>
        <v>0</v>
      </c>
      <c r="BC1076" s="10">
        <f t="shared" si="7010"/>
        <v>0</v>
      </c>
      <c r="BD1076" s="10">
        <f t="shared" si="7010"/>
        <v>0</v>
      </c>
      <c r="BE1076" s="10">
        <f t="shared" si="7010"/>
        <v>0</v>
      </c>
      <c r="BF1076" s="10">
        <f t="shared" si="7010"/>
        <v>0</v>
      </c>
      <c r="BG1076" s="10">
        <f t="shared" si="7010"/>
        <v>0</v>
      </c>
      <c r="BH1076" s="10">
        <f t="shared" si="7010"/>
        <v>0</v>
      </c>
      <c r="BI1076" s="10">
        <f t="shared" si="7010"/>
        <v>0</v>
      </c>
      <c r="BJ1076" s="10">
        <f t="shared" si="7010"/>
        <v>0</v>
      </c>
      <c r="BK1076" s="10">
        <f t="shared" si="7010"/>
        <v>0</v>
      </c>
      <c r="BL1076" s="10">
        <f t="shared" si="7010"/>
        <v>0</v>
      </c>
      <c r="BM1076" s="10">
        <f t="shared" si="7010"/>
        <v>0</v>
      </c>
      <c r="BN1076" s="10">
        <f t="shared" si="7010"/>
        <v>0</v>
      </c>
      <c r="BO1076" s="10">
        <f t="shared" si="7010"/>
        <v>0</v>
      </c>
      <c r="BP1076" s="10">
        <f t="shared" si="7010"/>
        <v>0</v>
      </c>
      <c r="BQ1076" s="10">
        <f t="shared" si="7010"/>
        <v>0</v>
      </c>
      <c r="BR1076" s="10">
        <f t="shared" si="7010"/>
        <v>0</v>
      </c>
      <c r="BS1076" s="10">
        <f t="shared" si="7010"/>
        <v>0</v>
      </c>
      <c r="BT1076" s="10">
        <f t="shared" si="7010"/>
        <v>0</v>
      </c>
      <c r="BU1076" s="10">
        <f t="shared" si="7010"/>
        <v>0</v>
      </c>
      <c r="BV1076" s="10">
        <f t="shared" si="7010"/>
        <v>0</v>
      </c>
      <c r="BW1076" s="10">
        <f t="shared" si="7010"/>
        <v>0</v>
      </c>
      <c r="BX1076" s="10">
        <f t="shared" ref="BX1076:CO1076" si="7011">Bank_Fees</f>
        <v>0</v>
      </c>
      <c r="BY1076" s="10">
        <f t="shared" si="7011"/>
        <v>0</v>
      </c>
      <c r="BZ1076" s="10">
        <f t="shared" si="7011"/>
        <v>0</v>
      </c>
      <c r="CA1076" s="10">
        <f t="shared" si="7011"/>
        <v>0</v>
      </c>
      <c r="CB1076" s="10">
        <f t="shared" si="7011"/>
        <v>0</v>
      </c>
      <c r="CC1076" s="10">
        <f t="shared" si="7011"/>
        <v>0</v>
      </c>
      <c r="CD1076" s="10">
        <f t="shared" si="7011"/>
        <v>0</v>
      </c>
      <c r="CE1076" s="10">
        <f t="shared" si="7011"/>
        <v>0</v>
      </c>
      <c r="CF1076" s="10">
        <f t="shared" si="7011"/>
        <v>0</v>
      </c>
      <c r="CG1076" s="10">
        <f t="shared" si="7011"/>
        <v>0</v>
      </c>
      <c r="CH1076" s="10">
        <f t="shared" si="7011"/>
        <v>0</v>
      </c>
      <c r="CI1076" s="10">
        <f t="shared" si="7011"/>
        <v>0</v>
      </c>
      <c r="CJ1076" s="10">
        <f t="shared" si="7011"/>
        <v>0</v>
      </c>
      <c r="CK1076" s="10">
        <f t="shared" si="7011"/>
        <v>0</v>
      </c>
      <c r="CL1076" s="10">
        <f t="shared" si="7011"/>
        <v>0</v>
      </c>
      <c r="CM1076" s="10">
        <f t="shared" si="7011"/>
        <v>0</v>
      </c>
      <c r="CN1076" s="10">
        <f t="shared" si="7011"/>
        <v>0</v>
      </c>
      <c r="CO1076" s="10">
        <f t="shared" si="7011"/>
        <v>0</v>
      </c>
    </row>
    <row r="1077" spans="1:93" ht="15" thickTop="1">
      <c r="A1077" s="172"/>
      <c r="B1077" s="35"/>
      <c r="C1077" s="173" t="s">
        <v>104</v>
      </c>
      <c r="D1077" s="49"/>
      <c r="E1077" s="49"/>
      <c r="F1077" s="49"/>
      <c r="G1077" s="159" t="str">
        <f t="shared" si="6991"/>
        <v>тыс. руб.</v>
      </c>
      <c r="H1077" s="49"/>
      <c r="I1077" s="176">
        <f t="shared" ca="1" si="6992"/>
        <v>11429861.555769579</v>
      </c>
      <c r="J1077" s="49"/>
      <c r="K1077" s="49"/>
      <c r="L1077" s="49">
        <f t="shared" ref="L1077" ca="1" si="7012">SUM(L1069:L1076)</f>
        <v>0</v>
      </c>
      <c r="M1077" s="49">
        <f t="shared" ref="M1077" ca="1" si="7013">SUM(M1069:M1076)</f>
        <v>0</v>
      </c>
      <c r="N1077" s="49">
        <f t="shared" ref="N1077" ca="1" si="7014">SUM(N1069:N1076)</f>
        <v>0</v>
      </c>
      <c r="O1077" s="49">
        <f t="shared" ref="O1077" ca="1" si="7015">SUM(O1069:O1076)</f>
        <v>0</v>
      </c>
      <c r="P1077" s="49">
        <f t="shared" ref="P1077" ca="1" si="7016">SUM(P1069:P1076)</f>
        <v>0</v>
      </c>
      <c r="Q1077" s="49">
        <f t="shared" ref="Q1077" ca="1" si="7017">SUM(Q1069:Q1076)</f>
        <v>0</v>
      </c>
      <c r="R1077" s="49">
        <f t="shared" ref="R1077" ca="1" si="7018">SUM(R1069:R1076)</f>
        <v>0</v>
      </c>
      <c r="S1077" s="49">
        <f t="shared" ref="S1077" ca="1" si="7019">SUM(S1069:S1076)</f>
        <v>-738.99174247580174</v>
      </c>
      <c r="T1077" s="49">
        <f t="shared" ref="T1077" ca="1" si="7020">SUM(T1069:T1076)</f>
        <v>-6580.6543476469105</v>
      </c>
      <c r="U1077" s="49">
        <f t="shared" ref="U1077" ca="1" si="7021">SUM(U1069:U1076)</f>
        <v>-10424.828632825871</v>
      </c>
      <c r="V1077" s="49">
        <f t="shared" ref="V1077" ca="1" si="7022">SUM(V1069:V1076)</f>
        <v>-14389.449341359013</v>
      </c>
      <c r="W1077" s="49">
        <f t="shared" ref="W1077" ca="1" si="7023">SUM(W1069:W1076)</f>
        <v>-18277.447721111192</v>
      </c>
      <c r="X1077" s="49">
        <f t="shared" ref="X1077" ca="1" si="7024">SUM(X1069:X1076)</f>
        <v>-24140.856838778414</v>
      </c>
      <c r="Y1077" s="49">
        <f t="shared" ref="Y1077" ca="1" si="7025">SUM(Y1069:Y1076)</f>
        <v>-32309.00587388641</v>
      </c>
      <c r="Z1077" s="49">
        <f t="shared" ref="Z1077" ca="1" si="7026">SUM(Z1069:Z1076)</f>
        <v>-41003.327342873301</v>
      </c>
      <c r="AA1077" s="49">
        <f t="shared" ref="AA1077" ca="1" si="7027">SUM(AA1069:AA1076)</f>
        <v>-49424.775082291708</v>
      </c>
      <c r="AB1077" s="49">
        <f t="shared" ref="AB1077" ca="1" si="7028">SUM(AB1069:AB1076)</f>
        <v>-58090.737579888082</v>
      </c>
      <c r="AC1077" s="49">
        <f t="shared" ref="AC1077" ca="1" si="7029">SUM(AC1069:AC1076)</f>
        <v>-625789.17231253535</v>
      </c>
      <c r="AD1077" s="49">
        <f t="shared" ref="AD1077" ca="1" si="7030">SUM(AD1069:AD1076)</f>
        <v>138989.01071001441</v>
      </c>
      <c r="AE1077" s="49">
        <f t="shared" ref="AE1077" ca="1" si="7031">SUM(AE1069:AE1076)</f>
        <v>34306.807048271352</v>
      </c>
      <c r="AF1077" s="49">
        <f t="shared" ref="AF1077" ca="1" si="7032">SUM(AF1069:AF1076)</f>
        <v>34523.353688184092</v>
      </c>
      <c r="AG1077" s="49">
        <f t="shared" ref="AG1077" ca="1" si="7033">SUM(AG1069:AG1076)</f>
        <v>123338.05367335031</v>
      </c>
      <c r="AH1077" s="49">
        <f t="shared" ref="AH1077" ca="1" si="7034">SUM(AH1069:AH1076)</f>
        <v>195161.35086286208</v>
      </c>
      <c r="AI1077" s="49">
        <f t="shared" ref="AI1077" ca="1" si="7035">SUM(AI1069:AI1076)</f>
        <v>69723.204125733551</v>
      </c>
      <c r="AJ1077" s="49">
        <f t="shared" ref="AJ1077" ca="1" si="7036">SUM(AJ1069:AJ1076)</f>
        <v>68627.953043154048</v>
      </c>
      <c r="AK1077" s="49">
        <f t="shared" ref="AK1077" ca="1" si="7037">SUM(AK1069:AK1076)</f>
        <v>172227.68330930526</v>
      </c>
      <c r="AL1077" s="49">
        <f t="shared" ref="AL1077" ca="1" si="7038">SUM(AL1069:AL1076)</f>
        <v>255247.75815632654</v>
      </c>
      <c r="AM1077" s="49">
        <f t="shared" ref="AM1077" ca="1" si="7039">SUM(AM1069:AM1076)</f>
        <v>107561.16456652607</v>
      </c>
      <c r="AN1077" s="49">
        <f t="shared" ref="AN1077" ca="1" si="7040">SUM(AN1069:AN1076)</f>
        <v>106967.95860318255</v>
      </c>
      <c r="AO1077" s="49">
        <f t="shared" ref="AO1077" ca="1" si="7041">SUM(AO1069:AO1076)</f>
        <v>224602.12937352891</v>
      </c>
      <c r="AP1077" s="49">
        <f t="shared" ref="AP1077" ca="1" si="7042">SUM(AP1069:AP1076)</f>
        <v>309108.21263015375</v>
      </c>
      <c r="AQ1077" s="49">
        <f t="shared" ref="AQ1077" ca="1" si="7043">SUM(AQ1069:AQ1076)</f>
        <v>136079.74997291784</v>
      </c>
      <c r="AR1077" s="49">
        <f t="shared" ref="AR1077" ca="1" si="7044">SUM(AR1069:AR1076)</f>
        <v>126868.34607662617</v>
      </c>
      <c r="AS1077" s="49">
        <f t="shared" ref="AS1077" ca="1" si="7045">SUM(AS1069:AS1076)</f>
        <v>245517.74104440119</v>
      </c>
      <c r="AT1077" s="49">
        <f t="shared" ref="AT1077" ca="1" si="7046">SUM(AT1069:AT1076)</f>
        <v>333548.59011839126</v>
      </c>
      <c r="AU1077" s="49">
        <f t="shared" ref="AU1077" ca="1" si="7047">SUM(AU1069:AU1076)</f>
        <v>153637.91463727219</v>
      </c>
      <c r="AV1077" s="49">
        <f t="shared" ref="AV1077" ca="1" si="7048">SUM(AV1069:AV1076)</f>
        <v>143994.44048417633</v>
      </c>
      <c r="AW1077" s="49">
        <f t="shared" ref="AW1077" ca="1" si="7049">SUM(AW1069:AW1076)</f>
        <v>134276.98258750283</v>
      </c>
      <c r="AX1077" s="49">
        <f t="shared" ref="AX1077" ca="1" si="7050">SUM(AX1069:AX1076)</f>
        <v>192023.53013745663</v>
      </c>
      <c r="AY1077" s="49">
        <f t="shared" ref="AY1077" ca="1" si="7051">SUM(AY1069:AY1076)</f>
        <v>76515.969432720478</v>
      </c>
      <c r="AZ1077" s="49">
        <f t="shared" ref="AZ1077" ca="1" si="7052">SUM(AZ1069:AZ1076)</f>
        <v>70499.600746278215</v>
      </c>
      <c r="BA1077" s="49">
        <f t="shared" ref="BA1077" ca="1" si="7053">SUM(BA1069:BA1076)</f>
        <v>150493.52778663478</v>
      </c>
      <c r="BB1077" s="49">
        <f t="shared" ref="BB1077" ca="1" si="7054">SUM(BB1069:BB1076)</f>
        <v>210608.63258394229</v>
      </c>
      <c r="BC1077" s="49">
        <f t="shared" ref="BC1077" ca="1" si="7055">SUM(BC1069:BC1076)</f>
        <v>92097.620795491559</v>
      </c>
      <c r="BD1077" s="49">
        <f t="shared" ref="BD1077" ca="1" si="7056">SUM(BD1069:BD1076)</f>
        <v>87405.897798917416</v>
      </c>
      <c r="BE1077" s="49">
        <f t="shared" ref="BE1077" ca="1" si="7057">SUM(BE1069:BE1076)</f>
        <v>196790.7568792493</v>
      </c>
      <c r="BF1077" s="49">
        <f t="shared" ref="BF1077" ca="1" si="7058">SUM(BF1069:BF1076)</f>
        <v>259585.6867414185</v>
      </c>
      <c r="BG1077" s="49">
        <f t="shared" ref="BG1077" ca="1" si="7059">SUM(BG1069:BG1076)</f>
        <v>135913.4463986975</v>
      </c>
      <c r="BH1077" s="49">
        <f t="shared" ref="BH1077" ca="1" si="7060">SUM(BH1069:BH1076)</f>
        <v>129778.92152860059</v>
      </c>
      <c r="BI1077" s="49">
        <f t="shared" ref="BI1077" ca="1" si="7061">SUM(BI1069:BI1076)</f>
        <v>214899.26108252862</v>
      </c>
      <c r="BJ1077" s="49">
        <f t="shared" ref="BJ1077" ca="1" si="7062">SUM(BJ1069:BJ1076)</f>
        <v>277688.85557670862</v>
      </c>
      <c r="BK1077" s="49">
        <f t="shared" ref="BK1077" ca="1" si="7063">SUM(BK1069:BK1076)</f>
        <v>145234.05326823</v>
      </c>
      <c r="BL1077" s="49">
        <f t="shared" ref="BL1077" ca="1" si="7064">SUM(BL1069:BL1076)</f>
        <v>136225.61477267972</v>
      </c>
      <c r="BM1077" s="49">
        <f t="shared" ref="BM1077" ca="1" si="7065">SUM(BM1069:BM1076)</f>
        <v>224752.34875243774</v>
      </c>
      <c r="BN1077" s="49">
        <f t="shared" ref="BN1077" ca="1" si="7066">SUM(BN1069:BN1076)</f>
        <v>290055.10787005787</v>
      </c>
      <c r="BO1077" s="49">
        <f t="shared" ref="BO1077" ca="1" si="7067">SUM(BO1069:BO1076)</f>
        <v>152302.11346923996</v>
      </c>
      <c r="BP1077" s="49">
        <f t="shared" ref="BP1077" ca="1" si="7068">SUM(BP1069:BP1076)</f>
        <v>142930.17574652194</v>
      </c>
      <c r="BQ1077" s="49">
        <f t="shared" ref="BQ1077" ca="1" si="7069">SUM(BQ1069:BQ1076)</f>
        <v>234999.55992914294</v>
      </c>
      <c r="BR1077" s="49">
        <f t="shared" ref="BR1077" ca="1" si="7070">SUM(BR1069:BR1076)</f>
        <v>302916.01025514078</v>
      </c>
      <c r="BS1077" s="49">
        <f t="shared" ref="BS1077" ca="1" si="7071">SUM(BS1069:BS1076)</f>
        <v>159652.89607829018</v>
      </c>
      <c r="BT1077" s="49">
        <f t="shared" ref="BT1077" ca="1" si="7072">SUM(BT1069:BT1076)</f>
        <v>151888.5015600301</v>
      </c>
      <c r="BU1077" s="49">
        <f t="shared" ref="BU1077" ca="1" si="7073">SUM(BU1069:BU1076)</f>
        <v>245667.42410334822</v>
      </c>
      <c r="BV1077" s="49">
        <f t="shared" ref="BV1077" ca="1" si="7074">SUM(BV1069:BV1076)</f>
        <v>316302.24092455296</v>
      </c>
      <c r="BW1077" s="49">
        <f t="shared" ref="BW1077" ca="1" si="7075">SUM(BW1069:BW1076)</f>
        <v>167308.61161945679</v>
      </c>
      <c r="BX1077" s="49">
        <f t="shared" ref="BX1077" ca="1" si="7076">SUM(BX1069:BX1076)</f>
        <v>157154.57230862576</v>
      </c>
      <c r="BY1077" s="49">
        <f t="shared" ref="BY1077" ca="1" si="7077">SUM(BY1069:BY1076)</f>
        <v>256740.04316164099</v>
      </c>
      <c r="BZ1077" s="49">
        <f t="shared" ref="BZ1077" ca="1" si="7078">SUM(BZ1069:BZ1076)</f>
        <v>330201.70075533254</v>
      </c>
      <c r="CA1077" s="49">
        <f t="shared" ref="CA1077" ca="1" si="7079">SUM(CA1069:CA1076)</f>
        <v>175248.31646165135</v>
      </c>
      <c r="CB1077" s="49">
        <f t="shared" ref="CB1077" ca="1" si="7080">SUM(CB1069:CB1076)</f>
        <v>164696.29158390607</v>
      </c>
      <c r="CC1077" s="49">
        <f t="shared" ref="CC1077" ca="1" si="7081">SUM(CC1069:CC1076)</f>
        <v>268266.76211471483</v>
      </c>
      <c r="CD1077" s="49">
        <f t="shared" ref="CD1077" ca="1" si="7082">SUM(CD1069:CD1076)</f>
        <v>344668.46685582661</v>
      </c>
      <c r="CE1077" s="49">
        <f t="shared" ref="CE1077" ca="1" si="7083">SUM(CE1069:CE1076)</f>
        <v>183516.94719039812</v>
      </c>
      <c r="CF1077" s="49">
        <f t="shared" ref="CF1077" ca="1" si="7084">SUM(CF1069:CF1076)</f>
        <v>172539.67963019738</v>
      </c>
      <c r="CG1077" s="49">
        <f t="shared" ref="CG1077" ca="1" si="7085">SUM(CG1069:CG1076)</f>
        <v>280254.54982591141</v>
      </c>
      <c r="CH1077" s="49">
        <f t="shared" ref="CH1077" ca="1" si="7086">SUM(CH1069:CH1076)</f>
        <v>359713.90360034053</v>
      </c>
      <c r="CI1077" s="49">
        <f t="shared" ref="CI1077" ca="1" si="7087">SUM(CI1069:CI1076)</f>
        <v>192116.32314829482</v>
      </c>
      <c r="CJ1077" s="49">
        <f t="shared" ref="CJ1077" ca="1" si="7088">SUM(CJ1069:CJ1076)</f>
        <v>183024.69768396759</v>
      </c>
      <c r="CK1077" s="49">
        <f t="shared" ref="CK1077" ca="1" si="7089">SUM(CK1069:CK1076)</f>
        <v>292732.77296884492</v>
      </c>
      <c r="CL1077" s="49">
        <f t="shared" ref="CL1077" ca="1" si="7090">SUM(CL1069:CL1076)</f>
        <v>375372.21271539101</v>
      </c>
      <c r="CM1077" s="49">
        <f t="shared" ref="CM1077" ca="1" si="7091">SUM(CM1069:CM1076)</f>
        <v>201070.7400873577</v>
      </c>
      <c r="CN1077" s="49">
        <f t="shared" ref="CN1077" ca="1" si="7092">SUM(CN1069:CN1076)</f>
        <v>189180.21170920893</v>
      </c>
      <c r="CO1077" s="49">
        <f t="shared" ref="CO1077" ca="1" si="7093">SUM(CO1069:CO1076)</f>
        <v>305687.84023398568</v>
      </c>
    </row>
    <row r="1078" spans="1:93">
      <c r="A1078" s="10"/>
      <c r="B1078" s="10"/>
      <c r="C1078" s="21"/>
      <c r="D1078" s="10"/>
      <c r="E1078" s="10"/>
      <c r="F1078" s="10"/>
      <c r="G1078" s="11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  <c r="BB1078" s="10"/>
      <c r="BC1078" s="10"/>
      <c r="BD1078" s="10"/>
      <c r="BE1078" s="10"/>
      <c r="BF1078" s="10"/>
      <c r="BG1078" s="10"/>
      <c r="BH1078" s="10"/>
      <c r="BI1078" s="10"/>
      <c r="BJ1078" s="10"/>
      <c r="BK1078" s="10"/>
      <c r="BL1078" s="10"/>
      <c r="BM1078" s="10"/>
      <c r="BN1078" s="10"/>
      <c r="BO1078" s="10"/>
      <c r="BP1078" s="10"/>
      <c r="BQ1078" s="10"/>
      <c r="BR1078" s="10"/>
      <c r="BS1078" s="10"/>
      <c r="BT1078" s="10"/>
      <c r="BU1078" s="10"/>
      <c r="BV1078" s="10"/>
      <c r="BW1078" s="10"/>
      <c r="BX1078" s="10"/>
      <c r="BY1078" s="10"/>
      <c r="BZ1078" s="10"/>
      <c r="CA1078" s="10"/>
      <c r="CB1078" s="10"/>
      <c r="CC1078" s="10"/>
      <c r="CD1078" s="10"/>
      <c r="CE1078" s="10"/>
      <c r="CF1078" s="10"/>
      <c r="CG1078" s="10"/>
      <c r="CH1078" s="10"/>
      <c r="CI1078" s="10"/>
      <c r="CJ1078" s="10"/>
      <c r="CK1078" s="10"/>
      <c r="CL1078" s="10"/>
      <c r="CM1078" s="10"/>
      <c r="CN1078" s="10"/>
      <c r="CO1078" s="10"/>
    </row>
    <row r="1079" spans="1:93">
      <c r="A1079" s="10"/>
      <c r="B1079" s="10"/>
      <c r="C1079" s="17" t="s">
        <v>405</v>
      </c>
      <c r="D1079" s="10"/>
      <c r="E1079" s="178">
        <f xml:space="preserve"> Profits_Tax_Rate</f>
        <v>0.155</v>
      </c>
      <c r="F1079" s="10"/>
      <c r="G1079" s="11" t="s">
        <v>28</v>
      </c>
      <c r="H1079" s="10"/>
      <c r="I1079" s="10"/>
      <c r="J1079" s="10"/>
      <c r="K1079" s="10"/>
      <c r="L1079" s="43">
        <v>0.02</v>
      </c>
      <c r="M1079" s="43">
        <v>0.02</v>
      </c>
      <c r="N1079" s="43">
        <v>0.02</v>
      </c>
      <c r="O1079" s="43">
        <v>0.02</v>
      </c>
      <c r="P1079" s="43">
        <v>0.02</v>
      </c>
      <c r="Q1079" s="43">
        <v>0.02</v>
      </c>
      <c r="R1079" s="43">
        <v>0.02</v>
      </c>
      <c r="S1079" s="43">
        <v>0.02</v>
      </c>
      <c r="T1079" s="43">
        <v>0.02</v>
      </c>
      <c r="U1079" s="43">
        <v>0.02</v>
      </c>
      <c r="V1079" s="43">
        <v>0.02</v>
      </c>
      <c r="W1079" s="43">
        <v>0.02</v>
      </c>
      <c r="X1079" s="43">
        <v>0.02</v>
      </c>
      <c r="Y1079" s="43">
        <v>0.02</v>
      </c>
      <c r="Z1079" s="43">
        <v>0.02</v>
      </c>
      <c r="AA1079" s="43">
        <v>0.02</v>
      </c>
      <c r="AB1079" s="43">
        <v>0.02</v>
      </c>
      <c r="AC1079" s="43">
        <v>0.02</v>
      </c>
      <c r="AD1079" s="43">
        <v>0.02</v>
      </c>
      <c r="AE1079" s="43">
        <v>0.02</v>
      </c>
      <c r="AF1079" s="43">
        <v>0.02</v>
      </c>
      <c r="AG1079" s="43">
        <v>0.02</v>
      </c>
      <c r="AH1079" s="43">
        <v>0.02</v>
      </c>
      <c r="AI1079" s="43">
        <v>0.02</v>
      </c>
      <c r="AJ1079" s="43">
        <v>0.02</v>
      </c>
      <c r="AK1079" s="43">
        <v>0.02</v>
      </c>
      <c r="AL1079" s="43">
        <v>0.02</v>
      </c>
      <c r="AM1079" s="43">
        <v>0.02</v>
      </c>
      <c r="AN1079" s="43">
        <v>0.02</v>
      </c>
      <c r="AO1079" s="43">
        <v>0.02</v>
      </c>
      <c r="AP1079" s="43">
        <v>0.02</v>
      </c>
      <c r="AQ1079" s="43">
        <v>0.02</v>
      </c>
      <c r="AR1079" s="43">
        <v>0.02</v>
      </c>
      <c r="AS1079" s="43">
        <v>0.02</v>
      </c>
      <c r="AT1079" s="43">
        <v>0.02</v>
      </c>
      <c r="AU1079" s="43">
        <v>7.0000000000000007E-2</v>
      </c>
      <c r="AV1079" s="43">
        <v>7.0000000000000007E-2</v>
      </c>
      <c r="AW1079" s="43">
        <v>7.0000000000000007E-2</v>
      </c>
      <c r="AX1079" s="43">
        <v>7.0000000000000007E-2</v>
      </c>
      <c r="AY1079" s="43">
        <v>7.0000000000000007E-2</v>
      </c>
      <c r="AZ1079" s="43">
        <v>7.0000000000000007E-2</v>
      </c>
      <c r="BA1079" s="43">
        <v>7.0000000000000007E-2</v>
      </c>
      <c r="BB1079" s="43">
        <v>7.0000000000000007E-2</v>
      </c>
      <c r="BC1079" s="43">
        <v>7.0000000000000007E-2</v>
      </c>
      <c r="BD1079" s="43">
        <v>7.0000000000000007E-2</v>
      </c>
      <c r="BE1079" s="43">
        <v>7.0000000000000007E-2</v>
      </c>
      <c r="BF1079" s="43">
        <v>7.0000000000000007E-2</v>
      </c>
      <c r="BG1079" s="43">
        <v>7.0000000000000007E-2</v>
      </c>
      <c r="BH1079" s="43">
        <v>7.0000000000000007E-2</v>
      </c>
      <c r="BI1079" s="43">
        <v>7.0000000000000007E-2</v>
      </c>
      <c r="BJ1079" s="43">
        <v>7.0000000000000007E-2</v>
      </c>
      <c r="BK1079" s="43">
        <v>7.0000000000000007E-2</v>
      </c>
      <c r="BL1079" s="43">
        <v>7.0000000000000007E-2</v>
      </c>
      <c r="BM1079" s="43">
        <v>7.0000000000000007E-2</v>
      </c>
      <c r="BN1079" s="43">
        <v>7.0000000000000007E-2</v>
      </c>
      <c r="BO1079" s="43">
        <f t="shared" ref="BO1079:BW1079" si="7094">$E1079</f>
        <v>0.155</v>
      </c>
      <c r="BP1079" s="43">
        <f t="shared" si="7094"/>
        <v>0.155</v>
      </c>
      <c r="BQ1079" s="43">
        <f t="shared" si="7094"/>
        <v>0.155</v>
      </c>
      <c r="BR1079" s="43">
        <f t="shared" si="7094"/>
        <v>0.155</v>
      </c>
      <c r="BS1079" s="43">
        <f t="shared" si="7094"/>
        <v>0.155</v>
      </c>
      <c r="BT1079" s="43">
        <f t="shared" si="7094"/>
        <v>0.155</v>
      </c>
      <c r="BU1079" s="43">
        <f t="shared" si="7094"/>
        <v>0.155</v>
      </c>
      <c r="BV1079" s="43">
        <f t="shared" si="7094"/>
        <v>0.155</v>
      </c>
      <c r="BW1079" s="43">
        <f t="shared" si="7094"/>
        <v>0.155</v>
      </c>
      <c r="BX1079" s="43">
        <f t="shared" ref="BX1079:CO1079" si="7095">$E1079</f>
        <v>0.155</v>
      </c>
      <c r="BY1079" s="43">
        <f t="shared" si="7095"/>
        <v>0.155</v>
      </c>
      <c r="BZ1079" s="43">
        <f t="shared" si="7095"/>
        <v>0.155</v>
      </c>
      <c r="CA1079" s="43">
        <f t="shared" si="7095"/>
        <v>0.155</v>
      </c>
      <c r="CB1079" s="43">
        <f t="shared" si="7095"/>
        <v>0.155</v>
      </c>
      <c r="CC1079" s="43">
        <f t="shared" si="7095"/>
        <v>0.155</v>
      </c>
      <c r="CD1079" s="43">
        <f t="shared" si="7095"/>
        <v>0.155</v>
      </c>
      <c r="CE1079" s="43">
        <f t="shared" si="7095"/>
        <v>0.155</v>
      </c>
      <c r="CF1079" s="43">
        <f t="shared" si="7095"/>
        <v>0.155</v>
      </c>
      <c r="CG1079" s="43">
        <f t="shared" si="7095"/>
        <v>0.155</v>
      </c>
      <c r="CH1079" s="43">
        <f t="shared" si="7095"/>
        <v>0.155</v>
      </c>
      <c r="CI1079" s="43">
        <f t="shared" si="7095"/>
        <v>0.155</v>
      </c>
      <c r="CJ1079" s="43">
        <f t="shared" si="7095"/>
        <v>0.155</v>
      </c>
      <c r="CK1079" s="43">
        <f t="shared" si="7095"/>
        <v>0.155</v>
      </c>
      <c r="CL1079" s="43">
        <f t="shared" si="7095"/>
        <v>0.155</v>
      </c>
      <c r="CM1079" s="43">
        <f t="shared" si="7095"/>
        <v>0.155</v>
      </c>
      <c r="CN1079" s="43">
        <f t="shared" si="7095"/>
        <v>0.155</v>
      </c>
      <c r="CO1079" s="43">
        <f t="shared" si="7095"/>
        <v>0.155</v>
      </c>
    </row>
    <row r="1080" spans="1:93">
      <c r="A1080" s="10"/>
      <c r="B1080" s="10"/>
      <c r="C1080" s="17"/>
      <c r="D1080" s="10"/>
      <c r="E1080" s="62"/>
      <c r="F1080" s="11"/>
      <c r="G1080" s="11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  <c r="BB1080" s="10"/>
      <c r="BC1080" s="10"/>
      <c r="BD1080" s="10"/>
      <c r="BE1080" s="10"/>
      <c r="BF1080" s="10"/>
      <c r="BG1080" s="10"/>
      <c r="BH1080" s="10"/>
      <c r="BI1080" s="10"/>
      <c r="BJ1080" s="10"/>
      <c r="BK1080" s="10"/>
      <c r="BL1080" s="10"/>
      <c r="BM1080" s="10"/>
      <c r="BN1080" s="10"/>
      <c r="BO1080" s="10"/>
      <c r="BP1080" s="10"/>
      <c r="BQ1080" s="10"/>
      <c r="BR1080" s="10"/>
      <c r="BS1080" s="10"/>
      <c r="BT1080" s="10"/>
      <c r="BU1080" s="10"/>
      <c r="BV1080" s="10"/>
      <c r="BW1080" s="10"/>
      <c r="BX1080" s="10"/>
      <c r="BY1080" s="10"/>
      <c r="BZ1080" s="10"/>
      <c r="CA1080" s="10"/>
      <c r="CB1080" s="10"/>
      <c r="CC1080" s="10"/>
      <c r="CD1080" s="10"/>
      <c r="CE1080" s="10"/>
      <c r="CF1080" s="10"/>
      <c r="CG1080" s="10"/>
      <c r="CH1080" s="10"/>
      <c r="CI1080" s="10"/>
      <c r="CJ1080" s="10"/>
      <c r="CK1080" s="10"/>
      <c r="CL1080" s="10"/>
      <c r="CM1080" s="10"/>
      <c r="CN1080" s="10"/>
      <c r="CO1080" s="10"/>
    </row>
    <row r="1081" spans="1:93">
      <c r="A1081" s="10"/>
      <c r="B1081" s="10"/>
      <c r="C1081" s="17" t="s">
        <v>157</v>
      </c>
      <c r="D1081" s="10"/>
      <c r="E1081" s="62"/>
      <c r="F1081" s="11"/>
      <c r="G1081" s="134" t="str">
        <f>Monetary_Unit</f>
        <v>тыс. руб.</v>
      </c>
      <c r="H1081" s="11"/>
      <c r="I1081" s="23">
        <f ca="1">SUM(L1081:CO1081)</f>
        <v>11429861.555769579</v>
      </c>
      <c r="J1081" s="10"/>
      <c r="K1081" s="10"/>
      <c r="L1081" s="52">
        <f t="shared" ref="L1081:R1081" ca="1" si="7096">L1077</f>
        <v>0</v>
      </c>
      <c r="M1081" s="52">
        <f t="shared" ca="1" si="7096"/>
        <v>0</v>
      </c>
      <c r="N1081" s="52">
        <f t="shared" ca="1" si="7096"/>
        <v>0</v>
      </c>
      <c r="O1081" s="52">
        <f t="shared" ca="1" si="7096"/>
        <v>0</v>
      </c>
      <c r="P1081" s="52">
        <f t="shared" ca="1" si="7096"/>
        <v>0</v>
      </c>
      <c r="Q1081" s="52">
        <f t="shared" ca="1" si="7096"/>
        <v>0</v>
      </c>
      <c r="R1081" s="52">
        <f t="shared" ca="1" si="7096"/>
        <v>0</v>
      </c>
      <c r="S1081" s="52">
        <f t="shared" ref="S1081" ca="1" si="7097">S1077</f>
        <v>-738.99174247580174</v>
      </c>
      <c r="T1081" s="52">
        <f t="shared" ref="T1081:CE1081" ca="1" si="7098">T1077</f>
        <v>-6580.6543476469105</v>
      </c>
      <c r="U1081" s="52">
        <f t="shared" ca="1" si="7098"/>
        <v>-10424.828632825871</v>
      </c>
      <c r="V1081" s="52">
        <f t="shared" ca="1" si="7098"/>
        <v>-14389.449341359013</v>
      </c>
      <c r="W1081" s="52">
        <f t="shared" ca="1" si="7098"/>
        <v>-18277.447721111192</v>
      </c>
      <c r="X1081" s="52">
        <f t="shared" ca="1" si="7098"/>
        <v>-24140.856838778414</v>
      </c>
      <c r="Y1081" s="52">
        <f t="shared" ca="1" si="7098"/>
        <v>-32309.00587388641</v>
      </c>
      <c r="Z1081" s="52">
        <f t="shared" ca="1" si="7098"/>
        <v>-41003.327342873301</v>
      </c>
      <c r="AA1081" s="52">
        <f t="shared" ca="1" si="7098"/>
        <v>-49424.775082291708</v>
      </c>
      <c r="AB1081" s="52">
        <f t="shared" ca="1" si="7098"/>
        <v>-58090.737579888082</v>
      </c>
      <c r="AC1081" s="52">
        <f t="shared" ca="1" si="7098"/>
        <v>-625789.17231253535</v>
      </c>
      <c r="AD1081" s="52">
        <f t="shared" ca="1" si="7098"/>
        <v>138989.01071001441</v>
      </c>
      <c r="AE1081" s="52">
        <f t="shared" ca="1" si="7098"/>
        <v>34306.807048271352</v>
      </c>
      <c r="AF1081" s="52">
        <f t="shared" ca="1" si="7098"/>
        <v>34523.353688184092</v>
      </c>
      <c r="AG1081" s="52">
        <f t="shared" ca="1" si="7098"/>
        <v>123338.05367335031</v>
      </c>
      <c r="AH1081" s="52">
        <f t="shared" ca="1" si="7098"/>
        <v>195161.35086286208</v>
      </c>
      <c r="AI1081" s="52">
        <f t="shared" ca="1" si="7098"/>
        <v>69723.204125733551</v>
      </c>
      <c r="AJ1081" s="52">
        <f t="shared" ca="1" si="7098"/>
        <v>68627.953043154048</v>
      </c>
      <c r="AK1081" s="52">
        <f t="shared" ca="1" si="7098"/>
        <v>172227.68330930526</v>
      </c>
      <c r="AL1081" s="52">
        <f t="shared" ca="1" si="7098"/>
        <v>255247.75815632654</v>
      </c>
      <c r="AM1081" s="52">
        <f t="shared" ca="1" si="7098"/>
        <v>107561.16456652607</v>
      </c>
      <c r="AN1081" s="52">
        <f t="shared" ca="1" si="7098"/>
        <v>106967.95860318255</v>
      </c>
      <c r="AO1081" s="52">
        <f t="shared" ca="1" si="7098"/>
        <v>224602.12937352891</v>
      </c>
      <c r="AP1081" s="52">
        <f t="shared" ca="1" si="7098"/>
        <v>309108.21263015375</v>
      </c>
      <c r="AQ1081" s="52">
        <f t="shared" ca="1" si="7098"/>
        <v>136079.74997291784</v>
      </c>
      <c r="AR1081" s="52">
        <f t="shared" ca="1" si="7098"/>
        <v>126868.34607662617</v>
      </c>
      <c r="AS1081" s="52">
        <f t="shared" ca="1" si="7098"/>
        <v>245517.74104440119</v>
      </c>
      <c r="AT1081" s="52">
        <f t="shared" ca="1" si="7098"/>
        <v>333548.59011839126</v>
      </c>
      <c r="AU1081" s="52">
        <f t="shared" ca="1" si="7098"/>
        <v>153637.91463727219</v>
      </c>
      <c r="AV1081" s="52">
        <f t="shared" ca="1" si="7098"/>
        <v>143994.44048417633</v>
      </c>
      <c r="AW1081" s="52">
        <f t="shared" ca="1" si="7098"/>
        <v>134276.98258750283</v>
      </c>
      <c r="AX1081" s="52">
        <f t="shared" ca="1" si="7098"/>
        <v>192023.53013745663</v>
      </c>
      <c r="AY1081" s="52">
        <f t="shared" ca="1" si="7098"/>
        <v>76515.969432720478</v>
      </c>
      <c r="AZ1081" s="52">
        <f t="shared" ca="1" si="7098"/>
        <v>70499.600746278215</v>
      </c>
      <c r="BA1081" s="52">
        <f t="shared" ca="1" si="7098"/>
        <v>150493.52778663478</v>
      </c>
      <c r="BB1081" s="52">
        <f t="shared" ca="1" si="7098"/>
        <v>210608.63258394229</v>
      </c>
      <c r="BC1081" s="52">
        <f t="shared" ca="1" si="7098"/>
        <v>92097.620795491559</v>
      </c>
      <c r="BD1081" s="52">
        <f t="shared" ca="1" si="7098"/>
        <v>87405.897798917416</v>
      </c>
      <c r="BE1081" s="52">
        <f t="shared" ca="1" si="7098"/>
        <v>196790.7568792493</v>
      </c>
      <c r="BF1081" s="52">
        <f t="shared" ca="1" si="7098"/>
        <v>259585.6867414185</v>
      </c>
      <c r="BG1081" s="52">
        <f t="shared" ca="1" si="7098"/>
        <v>135913.4463986975</v>
      </c>
      <c r="BH1081" s="52">
        <f t="shared" ca="1" si="7098"/>
        <v>129778.92152860059</v>
      </c>
      <c r="BI1081" s="52">
        <f t="shared" ca="1" si="7098"/>
        <v>214899.26108252862</v>
      </c>
      <c r="BJ1081" s="52">
        <f t="shared" ca="1" si="7098"/>
        <v>277688.85557670862</v>
      </c>
      <c r="BK1081" s="52">
        <f t="shared" ca="1" si="7098"/>
        <v>145234.05326823</v>
      </c>
      <c r="BL1081" s="52">
        <f t="shared" ca="1" si="7098"/>
        <v>136225.61477267972</v>
      </c>
      <c r="BM1081" s="52">
        <f t="shared" ca="1" si="7098"/>
        <v>224752.34875243774</v>
      </c>
      <c r="BN1081" s="52">
        <f t="shared" ca="1" si="7098"/>
        <v>290055.10787005787</v>
      </c>
      <c r="BO1081" s="52">
        <f t="shared" ca="1" si="7098"/>
        <v>152302.11346923996</v>
      </c>
      <c r="BP1081" s="52">
        <f t="shared" ca="1" si="7098"/>
        <v>142930.17574652194</v>
      </c>
      <c r="BQ1081" s="52">
        <f t="shared" ca="1" si="7098"/>
        <v>234999.55992914294</v>
      </c>
      <c r="BR1081" s="52">
        <f t="shared" ca="1" si="7098"/>
        <v>302916.01025514078</v>
      </c>
      <c r="BS1081" s="52">
        <f t="shared" ca="1" si="7098"/>
        <v>159652.89607829018</v>
      </c>
      <c r="BT1081" s="52">
        <f t="shared" ca="1" si="7098"/>
        <v>151888.5015600301</v>
      </c>
      <c r="BU1081" s="52">
        <f t="shared" ca="1" si="7098"/>
        <v>245667.42410334822</v>
      </c>
      <c r="BV1081" s="52">
        <f t="shared" ca="1" si="7098"/>
        <v>316302.24092455296</v>
      </c>
      <c r="BW1081" s="52">
        <f t="shared" ca="1" si="7098"/>
        <v>167308.61161945679</v>
      </c>
      <c r="BX1081" s="52">
        <f t="shared" ca="1" si="7098"/>
        <v>157154.57230862576</v>
      </c>
      <c r="BY1081" s="52">
        <f t="shared" ca="1" si="7098"/>
        <v>256740.04316164099</v>
      </c>
      <c r="BZ1081" s="52">
        <f t="shared" ca="1" si="7098"/>
        <v>330201.70075533254</v>
      </c>
      <c r="CA1081" s="52">
        <f t="shared" ca="1" si="7098"/>
        <v>175248.31646165135</v>
      </c>
      <c r="CB1081" s="52">
        <f t="shared" ca="1" si="7098"/>
        <v>164696.29158390607</v>
      </c>
      <c r="CC1081" s="52">
        <f t="shared" ca="1" si="7098"/>
        <v>268266.76211471483</v>
      </c>
      <c r="CD1081" s="52">
        <f t="shared" ca="1" si="7098"/>
        <v>344668.46685582661</v>
      </c>
      <c r="CE1081" s="52">
        <f t="shared" ca="1" si="7098"/>
        <v>183516.94719039812</v>
      </c>
      <c r="CF1081" s="52">
        <f t="shared" ref="CF1081:CO1081" ca="1" si="7099">CF1077</f>
        <v>172539.67963019738</v>
      </c>
      <c r="CG1081" s="52">
        <f t="shared" ca="1" si="7099"/>
        <v>280254.54982591141</v>
      </c>
      <c r="CH1081" s="52">
        <f t="shared" ca="1" si="7099"/>
        <v>359713.90360034053</v>
      </c>
      <c r="CI1081" s="52">
        <f t="shared" ca="1" si="7099"/>
        <v>192116.32314829482</v>
      </c>
      <c r="CJ1081" s="52">
        <f t="shared" ca="1" si="7099"/>
        <v>183024.69768396759</v>
      </c>
      <c r="CK1081" s="52">
        <f t="shared" ca="1" si="7099"/>
        <v>292732.77296884492</v>
      </c>
      <c r="CL1081" s="52">
        <f t="shared" ca="1" si="7099"/>
        <v>375372.21271539101</v>
      </c>
      <c r="CM1081" s="52">
        <f t="shared" ca="1" si="7099"/>
        <v>201070.7400873577</v>
      </c>
      <c r="CN1081" s="52">
        <f t="shared" ca="1" si="7099"/>
        <v>189180.21170920893</v>
      </c>
      <c r="CO1081" s="52">
        <f t="shared" ca="1" si="7099"/>
        <v>305687.84023398568</v>
      </c>
    </row>
    <row r="1082" spans="1:93">
      <c r="A1082" s="10"/>
      <c r="B1082" s="10"/>
      <c r="C1082" s="17" t="s">
        <v>104</v>
      </c>
      <c r="D1082" s="10"/>
      <c r="E1082" s="62"/>
      <c r="F1082" s="11"/>
      <c r="G1082" s="134" t="str">
        <f>Monetary_Unit</f>
        <v>тыс. руб.</v>
      </c>
      <c r="H1082" s="11"/>
      <c r="I1082" s="23">
        <f ca="1">SUM(L1082:CO1082)</f>
        <v>12311030.802585253</v>
      </c>
      <c r="J1082" s="10"/>
      <c r="K1082" s="10"/>
      <c r="L1082" s="52">
        <f t="shared" ref="L1082:R1082" ca="1" si="7100">MAX(0,L1081)</f>
        <v>0</v>
      </c>
      <c r="M1082" s="52">
        <f t="shared" ca="1" si="7100"/>
        <v>0</v>
      </c>
      <c r="N1082" s="52">
        <f t="shared" ca="1" si="7100"/>
        <v>0</v>
      </c>
      <c r="O1082" s="52">
        <f t="shared" ca="1" si="7100"/>
        <v>0</v>
      </c>
      <c r="P1082" s="52">
        <f t="shared" ca="1" si="7100"/>
        <v>0</v>
      </c>
      <c r="Q1082" s="52">
        <f t="shared" ca="1" si="7100"/>
        <v>0</v>
      </c>
      <c r="R1082" s="52">
        <f t="shared" ca="1" si="7100"/>
        <v>0</v>
      </c>
      <c r="S1082" s="52">
        <f t="shared" ref="S1082" ca="1" si="7101">MAX(0,S1081)</f>
        <v>0</v>
      </c>
      <c r="T1082" s="52">
        <f t="shared" ref="T1082:CE1082" ca="1" si="7102">MAX(0,T1081)</f>
        <v>0</v>
      </c>
      <c r="U1082" s="52">
        <f t="shared" ca="1" si="7102"/>
        <v>0</v>
      </c>
      <c r="V1082" s="52">
        <f t="shared" ca="1" si="7102"/>
        <v>0</v>
      </c>
      <c r="W1082" s="52">
        <f t="shared" ca="1" si="7102"/>
        <v>0</v>
      </c>
      <c r="X1082" s="52">
        <f t="shared" ca="1" si="7102"/>
        <v>0</v>
      </c>
      <c r="Y1082" s="52">
        <f t="shared" ca="1" si="7102"/>
        <v>0</v>
      </c>
      <c r="Z1082" s="52">
        <f t="shared" ca="1" si="7102"/>
        <v>0</v>
      </c>
      <c r="AA1082" s="52">
        <f t="shared" ca="1" si="7102"/>
        <v>0</v>
      </c>
      <c r="AB1082" s="52">
        <f t="shared" ca="1" si="7102"/>
        <v>0</v>
      </c>
      <c r="AC1082" s="52">
        <f t="shared" ca="1" si="7102"/>
        <v>0</v>
      </c>
      <c r="AD1082" s="52">
        <f t="shared" ca="1" si="7102"/>
        <v>138989.01071001441</v>
      </c>
      <c r="AE1082" s="52">
        <f t="shared" ca="1" si="7102"/>
        <v>34306.807048271352</v>
      </c>
      <c r="AF1082" s="52">
        <f t="shared" ca="1" si="7102"/>
        <v>34523.353688184092</v>
      </c>
      <c r="AG1082" s="52">
        <f t="shared" ca="1" si="7102"/>
        <v>123338.05367335031</v>
      </c>
      <c r="AH1082" s="52">
        <f t="shared" ca="1" si="7102"/>
        <v>195161.35086286208</v>
      </c>
      <c r="AI1082" s="52">
        <f t="shared" ca="1" si="7102"/>
        <v>69723.204125733551</v>
      </c>
      <c r="AJ1082" s="52">
        <f t="shared" ca="1" si="7102"/>
        <v>68627.953043154048</v>
      </c>
      <c r="AK1082" s="52">
        <f t="shared" ca="1" si="7102"/>
        <v>172227.68330930526</v>
      </c>
      <c r="AL1082" s="52">
        <f t="shared" ca="1" si="7102"/>
        <v>255247.75815632654</v>
      </c>
      <c r="AM1082" s="52">
        <f t="shared" ca="1" si="7102"/>
        <v>107561.16456652607</v>
      </c>
      <c r="AN1082" s="52">
        <f t="shared" ca="1" si="7102"/>
        <v>106967.95860318255</v>
      </c>
      <c r="AO1082" s="52">
        <f t="shared" ca="1" si="7102"/>
        <v>224602.12937352891</v>
      </c>
      <c r="AP1082" s="52">
        <f t="shared" ca="1" si="7102"/>
        <v>309108.21263015375</v>
      </c>
      <c r="AQ1082" s="52">
        <f t="shared" ca="1" si="7102"/>
        <v>136079.74997291784</v>
      </c>
      <c r="AR1082" s="52">
        <f t="shared" ca="1" si="7102"/>
        <v>126868.34607662617</v>
      </c>
      <c r="AS1082" s="52">
        <f t="shared" ca="1" si="7102"/>
        <v>245517.74104440119</v>
      </c>
      <c r="AT1082" s="52">
        <f t="shared" ca="1" si="7102"/>
        <v>333548.59011839126</v>
      </c>
      <c r="AU1082" s="52">
        <f t="shared" ca="1" si="7102"/>
        <v>153637.91463727219</v>
      </c>
      <c r="AV1082" s="52">
        <f t="shared" ca="1" si="7102"/>
        <v>143994.44048417633</v>
      </c>
      <c r="AW1082" s="52">
        <f t="shared" ca="1" si="7102"/>
        <v>134276.98258750283</v>
      </c>
      <c r="AX1082" s="52">
        <f t="shared" ca="1" si="7102"/>
        <v>192023.53013745663</v>
      </c>
      <c r="AY1082" s="52">
        <f t="shared" ca="1" si="7102"/>
        <v>76515.969432720478</v>
      </c>
      <c r="AZ1082" s="52">
        <f t="shared" ca="1" si="7102"/>
        <v>70499.600746278215</v>
      </c>
      <c r="BA1082" s="52">
        <f t="shared" ca="1" si="7102"/>
        <v>150493.52778663478</v>
      </c>
      <c r="BB1082" s="52">
        <f t="shared" ca="1" si="7102"/>
        <v>210608.63258394229</v>
      </c>
      <c r="BC1082" s="52">
        <f t="shared" ca="1" si="7102"/>
        <v>92097.620795491559</v>
      </c>
      <c r="BD1082" s="52">
        <f t="shared" ca="1" si="7102"/>
        <v>87405.897798917416</v>
      </c>
      <c r="BE1082" s="52">
        <f t="shared" ca="1" si="7102"/>
        <v>196790.7568792493</v>
      </c>
      <c r="BF1082" s="52">
        <f t="shared" ca="1" si="7102"/>
        <v>259585.6867414185</v>
      </c>
      <c r="BG1082" s="52">
        <f t="shared" ca="1" si="7102"/>
        <v>135913.4463986975</v>
      </c>
      <c r="BH1082" s="52">
        <f t="shared" ca="1" si="7102"/>
        <v>129778.92152860059</v>
      </c>
      <c r="BI1082" s="52">
        <f t="shared" ca="1" si="7102"/>
        <v>214899.26108252862</v>
      </c>
      <c r="BJ1082" s="52">
        <f t="shared" ca="1" si="7102"/>
        <v>277688.85557670862</v>
      </c>
      <c r="BK1082" s="52">
        <f t="shared" ca="1" si="7102"/>
        <v>145234.05326823</v>
      </c>
      <c r="BL1082" s="52">
        <f t="shared" ca="1" si="7102"/>
        <v>136225.61477267972</v>
      </c>
      <c r="BM1082" s="52">
        <f t="shared" ca="1" si="7102"/>
        <v>224752.34875243774</v>
      </c>
      <c r="BN1082" s="52">
        <f t="shared" ca="1" si="7102"/>
        <v>290055.10787005787</v>
      </c>
      <c r="BO1082" s="52">
        <f t="shared" ca="1" si="7102"/>
        <v>152302.11346923996</v>
      </c>
      <c r="BP1082" s="52">
        <f t="shared" ca="1" si="7102"/>
        <v>142930.17574652194</v>
      </c>
      <c r="BQ1082" s="52">
        <f t="shared" ca="1" si="7102"/>
        <v>234999.55992914294</v>
      </c>
      <c r="BR1082" s="52">
        <f t="shared" ca="1" si="7102"/>
        <v>302916.01025514078</v>
      </c>
      <c r="BS1082" s="52">
        <f t="shared" ca="1" si="7102"/>
        <v>159652.89607829018</v>
      </c>
      <c r="BT1082" s="52">
        <f t="shared" ca="1" si="7102"/>
        <v>151888.5015600301</v>
      </c>
      <c r="BU1082" s="52">
        <f t="shared" ca="1" si="7102"/>
        <v>245667.42410334822</v>
      </c>
      <c r="BV1082" s="52">
        <f t="shared" ca="1" si="7102"/>
        <v>316302.24092455296</v>
      </c>
      <c r="BW1082" s="52">
        <f t="shared" ca="1" si="7102"/>
        <v>167308.61161945679</v>
      </c>
      <c r="BX1082" s="52">
        <f t="shared" ca="1" si="7102"/>
        <v>157154.57230862576</v>
      </c>
      <c r="BY1082" s="52">
        <f t="shared" ca="1" si="7102"/>
        <v>256740.04316164099</v>
      </c>
      <c r="BZ1082" s="52">
        <f t="shared" ca="1" si="7102"/>
        <v>330201.70075533254</v>
      </c>
      <c r="CA1082" s="52">
        <f t="shared" ca="1" si="7102"/>
        <v>175248.31646165135</v>
      </c>
      <c r="CB1082" s="52">
        <f t="shared" ca="1" si="7102"/>
        <v>164696.29158390607</v>
      </c>
      <c r="CC1082" s="52">
        <f t="shared" ca="1" si="7102"/>
        <v>268266.76211471483</v>
      </c>
      <c r="CD1082" s="52">
        <f t="shared" ca="1" si="7102"/>
        <v>344668.46685582661</v>
      </c>
      <c r="CE1082" s="52">
        <f t="shared" ca="1" si="7102"/>
        <v>183516.94719039812</v>
      </c>
      <c r="CF1082" s="52">
        <f t="shared" ref="CF1082:CO1082" ca="1" si="7103">MAX(0,CF1081)</f>
        <v>172539.67963019738</v>
      </c>
      <c r="CG1082" s="52">
        <f t="shared" ca="1" si="7103"/>
        <v>280254.54982591141</v>
      </c>
      <c r="CH1082" s="52">
        <f t="shared" ca="1" si="7103"/>
        <v>359713.90360034053</v>
      </c>
      <c r="CI1082" s="52">
        <f t="shared" ca="1" si="7103"/>
        <v>192116.32314829482</v>
      </c>
      <c r="CJ1082" s="52">
        <f t="shared" ca="1" si="7103"/>
        <v>183024.69768396759</v>
      </c>
      <c r="CK1082" s="52">
        <f t="shared" ca="1" si="7103"/>
        <v>292732.77296884492</v>
      </c>
      <c r="CL1082" s="52">
        <f t="shared" ca="1" si="7103"/>
        <v>375372.21271539101</v>
      </c>
      <c r="CM1082" s="52">
        <f t="shared" ca="1" si="7103"/>
        <v>201070.7400873577</v>
      </c>
      <c r="CN1082" s="52">
        <f t="shared" ca="1" si="7103"/>
        <v>189180.21170920893</v>
      </c>
      <c r="CO1082" s="52">
        <f t="shared" ca="1" si="7103"/>
        <v>305687.84023398568</v>
      </c>
    </row>
    <row r="1083" spans="1:93">
      <c r="A1083" s="10"/>
      <c r="B1083" s="10"/>
      <c r="C1083" s="17" t="s">
        <v>158</v>
      </c>
      <c r="D1083" s="10"/>
      <c r="E1083" s="62"/>
      <c r="F1083" s="11"/>
      <c r="G1083" s="134" t="str">
        <f>Monetary_Unit</f>
        <v>тыс. руб.</v>
      </c>
      <c r="H1083" s="11"/>
      <c r="I1083" s="23">
        <f ca="1">SUM(L1083:CO1083)</f>
        <v>11429861.555769579</v>
      </c>
      <c r="J1083" s="10"/>
      <c r="K1083" s="10"/>
      <c r="L1083" s="52">
        <f t="shared" ref="L1083:R1083" ca="1" si="7104">L1082-L1090</f>
        <v>0</v>
      </c>
      <c r="M1083" s="52">
        <f t="shared" ca="1" si="7104"/>
        <v>0</v>
      </c>
      <c r="N1083" s="52">
        <f t="shared" ca="1" si="7104"/>
        <v>0</v>
      </c>
      <c r="O1083" s="52">
        <f t="shared" ca="1" si="7104"/>
        <v>0</v>
      </c>
      <c r="P1083" s="52">
        <f t="shared" ca="1" si="7104"/>
        <v>0</v>
      </c>
      <c r="Q1083" s="52">
        <f t="shared" ca="1" si="7104"/>
        <v>0</v>
      </c>
      <c r="R1083" s="52">
        <f t="shared" ca="1" si="7104"/>
        <v>0</v>
      </c>
      <c r="S1083" s="52">
        <f t="shared" ref="S1083" ca="1" si="7105">S1082-S1090</f>
        <v>0</v>
      </c>
      <c r="T1083" s="52">
        <f t="shared" ref="T1083:CE1083" ca="1" si="7106">T1082-T1090</f>
        <v>0</v>
      </c>
      <c r="U1083" s="52">
        <f t="shared" ca="1" si="7106"/>
        <v>0</v>
      </c>
      <c r="V1083" s="52">
        <f t="shared" ca="1" si="7106"/>
        <v>0</v>
      </c>
      <c r="W1083" s="52">
        <f t="shared" ca="1" si="7106"/>
        <v>0</v>
      </c>
      <c r="X1083" s="52">
        <f t="shared" ca="1" si="7106"/>
        <v>0</v>
      </c>
      <c r="Y1083" s="52">
        <f t="shared" ca="1" si="7106"/>
        <v>0</v>
      </c>
      <c r="Z1083" s="52">
        <f t="shared" ca="1" si="7106"/>
        <v>0</v>
      </c>
      <c r="AA1083" s="52">
        <f t="shared" ca="1" si="7106"/>
        <v>0</v>
      </c>
      <c r="AB1083" s="52">
        <f t="shared" ca="1" si="7106"/>
        <v>0</v>
      </c>
      <c r="AC1083" s="52">
        <f t="shared" ca="1" si="7106"/>
        <v>0</v>
      </c>
      <c r="AD1083" s="52">
        <f t="shared" ca="1" si="7106"/>
        <v>69494.505355007204</v>
      </c>
      <c r="AE1083" s="52">
        <f t="shared" ca="1" si="7106"/>
        <v>17153.403524135676</v>
      </c>
      <c r="AF1083" s="52">
        <f t="shared" ca="1" si="7106"/>
        <v>17261.676844092046</v>
      </c>
      <c r="AG1083" s="52">
        <f t="shared" ca="1" si="7106"/>
        <v>61669.026836675155</v>
      </c>
      <c r="AH1083" s="52">
        <f t="shared" ca="1" si="7106"/>
        <v>97580.675431431038</v>
      </c>
      <c r="AI1083" s="52">
        <f t="shared" ca="1" si="7106"/>
        <v>34861.602062866776</v>
      </c>
      <c r="AJ1083" s="52">
        <f t="shared" ca="1" si="7106"/>
        <v>34313.976521577024</v>
      </c>
      <c r="AK1083" s="52">
        <f t="shared" ca="1" si="7106"/>
        <v>86113.841654652628</v>
      </c>
      <c r="AL1083" s="52">
        <f t="shared" ca="1" si="7106"/>
        <v>127623.87907816327</v>
      </c>
      <c r="AM1083" s="52">
        <f t="shared" ca="1" si="7106"/>
        <v>53780.582283263037</v>
      </c>
      <c r="AN1083" s="52">
        <f t="shared" ca="1" si="7106"/>
        <v>53483.979301591273</v>
      </c>
      <c r="AO1083" s="52">
        <f t="shared" ca="1" si="7106"/>
        <v>112301.06468676445</v>
      </c>
      <c r="AP1083" s="52">
        <f t="shared" ca="1" si="7106"/>
        <v>193577.17939470138</v>
      </c>
      <c r="AQ1083" s="52">
        <f t="shared" ca="1" si="7106"/>
        <v>136079.74997291784</v>
      </c>
      <c r="AR1083" s="52">
        <f t="shared" ca="1" si="7106"/>
        <v>126868.34607662617</v>
      </c>
      <c r="AS1083" s="52">
        <f t="shared" ca="1" si="7106"/>
        <v>245517.74104440119</v>
      </c>
      <c r="AT1083" s="52">
        <f t="shared" ca="1" si="7106"/>
        <v>333548.59011839126</v>
      </c>
      <c r="AU1083" s="52">
        <f t="shared" ca="1" si="7106"/>
        <v>153637.91463727219</v>
      </c>
      <c r="AV1083" s="52">
        <f t="shared" ca="1" si="7106"/>
        <v>143994.44048417633</v>
      </c>
      <c r="AW1083" s="52">
        <f t="shared" ca="1" si="7106"/>
        <v>134276.98258750283</v>
      </c>
      <c r="AX1083" s="52">
        <f t="shared" ca="1" si="7106"/>
        <v>192023.53013745663</v>
      </c>
      <c r="AY1083" s="52">
        <f t="shared" ca="1" si="7106"/>
        <v>76515.969432720478</v>
      </c>
      <c r="AZ1083" s="52">
        <f t="shared" ca="1" si="7106"/>
        <v>70499.600746278215</v>
      </c>
      <c r="BA1083" s="52">
        <f t="shared" ca="1" si="7106"/>
        <v>150493.52778663478</v>
      </c>
      <c r="BB1083" s="52">
        <f t="shared" ca="1" si="7106"/>
        <v>210608.63258394229</v>
      </c>
      <c r="BC1083" s="52">
        <f t="shared" ca="1" si="7106"/>
        <v>92097.620795491559</v>
      </c>
      <c r="BD1083" s="52">
        <f t="shared" ca="1" si="7106"/>
        <v>87405.897798917416</v>
      </c>
      <c r="BE1083" s="52">
        <f t="shared" ca="1" si="7106"/>
        <v>196790.7568792493</v>
      </c>
      <c r="BF1083" s="52">
        <f t="shared" ca="1" si="7106"/>
        <v>259585.6867414185</v>
      </c>
      <c r="BG1083" s="52">
        <f t="shared" ca="1" si="7106"/>
        <v>135913.4463986975</v>
      </c>
      <c r="BH1083" s="52">
        <f t="shared" ca="1" si="7106"/>
        <v>129778.92152860059</v>
      </c>
      <c r="BI1083" s="52">
        <f t="shared" ca="1" si="7106"/>
        <v>214899.26108252862</v>
      </c>
      <c r="BJ1083" s="52">
        <f t="shared" ca="1" si="7106"/>
        <v>277688.85557670862</v>
      </c>
      <c r="BK1083" s="52">
        <f t="shared" ca="1" si="7106"/>
        <v>145234.05326823</v>
      </c>
      <c r="BL1083" s="52">
        <f t="shared" ca="1" si="7106"/>
        <v>136225.61477267972</v>
      </c>
      <c r="BM1083" s="52">
        <f t="shared" ca="1" si="7106"/>
        <v>224752.34875243774</v>
      </c>
      <c r="BN1083" s="52">
        <f t="shared" ca="1" si="7106"/>
        <v>290055.10787005787</v>
      </c>
      <c r="BO1083" s="52">
        <f t="shared" ca="1" si="7106"/>
        <v>152302.11346923996</v>
      </c>
      <c r="BP1083" s="52">
        <f t="shared" ca="1" si="7106"/>
        <v>142930.17574652194</v>
      </c>
      <c r="BQ1083" s="52">
        <f t="shared" ca="1" si="7106"/>
        <v>234999.55992914294</v>
      </c>
      <c r="BR1083" s="52">
        <f t="shared" ca="1" si="7106"/>
        <v>302916.01025514078</v>
      </c>
      <c r="BS1083" s="52">
        <f t="shared" ca="1" si="7106"/>
        <v>159652.89607829018</v>
      </c>
      <c r="BT1083" s="52">
        <f t="shared" ca="1" si="7106"/>
        <v>151888.5015600301</v>
      </c>
      <c r="BU1083" s="52">
        <f t="shared" ca="1" si="7106"/>
        <v>245667.42410334822</v>
      </c>
      <c r="BV1083" s="52">
        <f t="shared" ca="1" si="7106"/>
        <v>316302.24092455296</v>
      </c>
      <c r="BW1083" s="52">
        <f t="shared" ca="1" si="7106"/>
        <v>167308.61161945679</v>
      </c>
      <c r="BX1083" s="52">
        <f t="shared" ca="1" si="7106"/>
        <v>157154.57230862576</v>
      </c>
      <c r="BY1083" s="52">
        <f t="shared" ca="1" si="7106"/>
        <v>256740.04316164099</v>
      </c>
      <c r="BZ1083" s="52">
        <f t="shared" ca="1" si="7106"/>
        <v>330201.70075533254</v>
      </c>
      <c r="CA1083" s="52">
        <f t="shared" ca="1" si="7106"/>
        <v>175248.31646165135</v>
      </c>
      <c r="CB1083" s="52">
        <f t="shared" ca="1" si="7106"/>
        <v>164696.29158390607</v>
      </c>
      <c r="CC1083" s="52">
        <f t="shared" ca="1" si="7106"/>
        <v>268266.76211471483</v>
      </c>
      <c r="CD1083" s="52">
        <f t="shared" ca="1" si="7106"/>
        <v>344668.46685582661</v>
      </c>
      <c r="CE1083" s="52">
        <f t="shared" ca="1" si="7106"/>
        <v>183516.94719039812</v>
      </c>
      <c r="CF1083" s="52">
        <f t="shared" ref="CF1083:CO1083" ca="1" si="7107">CF1082-CF1090</f>
        <v>172539.67963019738</v>
      </c>
      <c r="CG1083" s="52">
        <f t="shared" ca="1" si="7107"/>
        <v>280254.54982591141</v>
      </c>
      <c r="CH1083" s="52">
        <f t="shared" ca="1" si="7107"/>
        <v>359713.90360034053</v>
      </c>
      <c r="CI1083" s="52">
        <f t="shared" ca="1" si="7107"/>
        <v>192116.32314829482</v>
      </c>
      <c r="CJ1083" s="52">
        <f t="shared" ca="1" si="7107"/>
        <v>183024.69768396759</v>
      </c>
      <c r="CK1083" s="52">
        <f t="shared" ca="1" si="7107"/>
        <v>292732.77296884492</v>
      </c>
      <c r="CL1083" s="52">
        <f t="shared" ca="1" si="7107"/>
        <v>375372.21271539101</v>
      </c>
      <c r="CM1083" s="52">
        <f t="shared" ca="1" si="7107"/>
        <v>201070.7400873577</v>
      </c>
      <c r="CN1083" s="52">
        <f t="shared" ca="1" si="7107"/>
        <v>189180.21170920893</v>
      </c>
      <c r="CO1083" s="52">
        <f t="shared" ca="1" si="7107"/>
        <v>305687.84023398568</v>
      </c>
    </row>
    <row r="1084" spans="1:93">
      <c r="A1084" s="10"/>
      <c r="B1084" s="10"/>
      <c r="C1084" s="17" t="s">
        <v>107</v>
      </c>
      <c r="D1084" s="10"/>
      <c r="F1084" s="11"/>
      <c r="G1084" s="134" t="str">
        <f>Monetary_Unit</f>
        <v>тыс. руб.</v>
      </c>
      <c r="H1084" s="11"/>
      <c r="I1084" s="23">
        <f ca="1">SUM(L1084:CO1084)</f>
        <v>-1246051.8709808199</v>
      </c>
      <c r="J1084" s="10"/>
      <c r="K1084" s="10"/>
      <c r="L1084" s="52">
        <f t="shared" ref="L1084:R1084" ca="1" si="7108">-L1079*L1083</f>
        <v>0</v>
      </c>
      <c r="M1084" s="52">
        <f t="shared" ca="1" si="7108"/>
        <v>0</v>
      </c>
      <c r="N1084" s="52">
        <f t="shared" ca="1" si="7108"/>
        <v>0</v>
      </c>
      <c r="O1084" s="52">
        <f t="shared" ca="1" si="7108"/>
        <v>0</v>
      </c>
      <c r="P1084" s="52">
        <f t="shared" ca="1" si="7108"/>
        <v>0</v>
      </c>
      <c r="Q1084" s="52">
        <f t="shared" ca="1" si="7108"/>
        <v>0</v>
      </c>
      <c r="R1084" s="52">
        <f t="shared" ca="1" si="7108"/>
        <v>0</v>
      </c>
      <c r="S1084" s="52">
        <f t="shared" ref="S1084" ca="1" si="7109">-S1079*S1083</f>
        <v>0</v>
      </c>
      <c r="T1084" s="52">
        <f t="shared" ref="T1084:CE1084" ca="1" si="7110">-T1079*T1083</f>
        <v>0</v>
      </c>
      <c r="U1084" s="52">
        <f t="shared" ca="1" si="7110"/>
        <v>0</v>
      </c>
      <c r="V1084" s="52">
        <f t="shared" ca="1" si="7110"/>
        <v>0</v>
      </c>
      <c r="W1084" s="52">
        <f t="shared" ca="1" si="7110"/>
        <v>0</v>
      </c>
      <c r="X1084" s="52">
        <f t="shared" ca="1" si="7110"/>
        <v>0</v>
      </c>
      <c r="Y1084" s="52">
        <f t="shared" ca="1" si="7110"/>
        <v>0</v>
      </c>
      <c r="Z1084" s="52">
        <f t="shared" ca="1" si="7110"/>
        <v>0</v>
      </c>
      <c r="AA1084" s="52">
        <f t="shared" ca="1" si="7110"/>
        <v>0</v>
      </c>
      <c r="AB1084" s="52">
        <f t="shared" ca="1" si="7110"/>
        <v>0</v>
      </c>
      <c r="AC1084" s="52">
        <f t="shared" ca="1" si="7110"/>
        <v>0</v>
      </c>
      <c r="AD1084" s="52">
        <f t="shared" ca="1" si="7110"/>
        <v>-1389.8901071001442</v>
      </c>
      <c r="AE1084" s="52">
        <f t="shared" ca="1" si="7110"/>
        <v>-343.06807048271355</v>
      </c>
      <c r="AF1084" s="52">
        <f t="shared" ca="1" si="7110"/>
        <v>-345.23353688184091</v>
      </c>
      <c r="AG1084" s="52">
        <f t="shared" ca="1" si="7110"/>
        <v>-1233.380536733503</v>
      </c>
      <c r="AH1084" s="52">
        <f t="shared" ca="1" si="7110"/>
        <v>-1951.6135086286208</v>
      </c>
      <c r="AI1084" s="52">
        <f t="shared" ca="1" si="7110"/>
        <v>-697.23204125733548</v>
      </c>
      <c r="AJ1084" s="52">
        <f t="shared" ca="1" si="7110"/>
        <v>-686.27953043154048</v>
      </c>
      <c r="AK1084" s="52">
        <f t="shared" ca="1" si="7110"/>
        <v>-1722.2768330930526</v>
      </c>
      <c r="AL1084" s="52">
        <f t="shared" ca="1" si="7110"/>
        <v>-2552.4775815632656</v>
      </c>
      <c r="AM1084" s="52">
        <f t="shared" ca="1" si="7110"/>
        <v>-1075.6116456652608</v>
      </c>
      <c r="AN1084" s="52">
        <f t="shared" ca="1" si="7110"/>
        <v>-1069.6795860318255</v>
      </c>
      <c r="AO1084" s="52">
        <f t="shared" ca="1" si="7110"/>
        <v>-2246.021293735289</v>
      </c>
      <c r="AP1084" s="52">
        <f t="shared" ca="1" si="7110"/>
        <v>-3871.5435878940275</v>
      </c>
      <c r="AQ1084" s="52">
        <f t="shared" ca="1" si="7110"/>
        <v>-2721.5949994583566</v>
      </c>
      <c r="AR1084" s="52">
        <f t="shared" ca="1" si="7110"/>
        <v>-2537.3669215325235</v>
      </c>
      <c r="AS1084" s="52">
        <f t="shared" ca="1" si="7110"/>
        <v>-4910.3548208880238</v>
      </c>
      <c r="AT1084" s="52">
        <f t="shared" ca="1" si="7110"/>
        <v>-6670.9718023678251</v>
      </c>
      <c r="AU1084" s="52">
        <f t="shared" ca="1" si="7110"/>
        <v>-10754.654024609054</v>
      </c>
      <c r="AV1084" s="52">
        <f t="shared" ca="1" si="7110"/>
        <v>-10079.610833892344</v>
      </c>
      <c r="AW1084" s="52">
        <f t="shared" ca="1" si="7110"/>
        <v>-9399.3887811251989</v>
      </c>
      <c r="AX1084" s="52">
        <f t="shared" ca="1" si="7110"/>
        <v>-13441.647109621965</v>
      </c>
      <c r="AY1084" s="52">
        <f t="shared" ca="1" si="7110"/>
        <v>-5356.1178602904338</v>
      </c>
      <c r="AZ1084" s="52">
        <f t="shared" ca="1" si="7110"/>
        <v>-4934.9720522394755</v>
      </c>
      <c r="BA1084" s="52">
        <f t="shared" ca="1" si="7110"/>
        <v>-10534.546945064436</v>
      </c>
      <c r="BB1084" s="52">
        <f t="shared" ca="1" si="7110"/>
        <v>-14742.604280875961</v>
      </c>
      <c r="BC1084" s="52">
        <f t="shared" ca="1" si="7110"/>
        <v>-6446.8334556844102</v>
      </c>
      <c r="BD1084" s="52">
        <f t="shared" ca="1" si="7110"/>
        <v>-6118.4128459242202</v>
      </c>
      <c r="BE1084" s="52">
        <f t="shared" ca="1" si="7110"/>
        <v>-13775.352981547452</v>
      </c>
      <c r="BF1084" s="52">
        <f t="shared" ca="1" si="7110"/>
        <v>-18170.998071899296</v>
      </c>
      <c r="BG1084" s="52">
        <f t="shared" ca="1" si="7110"/>
        <v>-9513.941247908826</v>
      </c>
      <c r="BH1084" s="52">
        <f t="shared" ca="1" si="7110"/>
        <v>-9084.5245070020428</v>
      </c>
      <c r="BI1084" s="52">
        <f t="shared" ca="1" si="7110"/>
        <v>-15042.948275777006</v>
      </c>
      <c r="BJ1084" s="52">
        <f t="shared" ca="1" si="7110"/>
        <v>-19438.219890369604</v>
      </c>
      <c r="BK1084" s="52">
        <f t="shared" ca="1" si="7110"/>
        <v>-10166.3837287761</v>
      </c>
      <c r="BL1084" s="52">
        <f t="shared" ca="1" si="7110"/>
        <v>-9535.793034087581</v>
      </c>
      <c r="BM1084" s="52">
        <f t="shared" ca="1" si="7110"/>
        <v>-15732.664412670643</v>
      </c>
      <c r="BN1084" s="52">
        <f t="shared" ca="1" si="7110"/>
        <v>-20303.857550904053</v>
      </c>
      <c r="BO1084" s="52">
        <f t="shared" ca="1" si="7110"/>
        <v>-23606.827587732194</v>
      </c>
      <c r="BP1084" s="52">
        <f t="shared" ca="1" si="7110"/>
        <v>-22154.177240710902</v>
      </c>
      <c r="BQ1084" s="52">
        <f t="shared" ca="1" si="7110"/>
        <v>-36424.931789017159</v>
      </c>
      <c r="BR1084" s="52">
        <f t="shared" ca="1" si="7110"/>
        <v>-46951.98158954682</v>
      </c>
      <c r="BS1084" s="52">
        <f t="shared" ca="1" si="7110"/>
        <v>-24746.19889213498</v>
      </c>
      <c r="BT1084" s="52">
        <f t="shared" ca="1" si="7110"/>
        <v>-23542.717741804667</v>
      </c>
      <c r="BU1084" s="52">
        <f t="shared" ca="1" si="7110"/>
        <v>-38078.450736018975</v>
      </c>
      <c r="BV1084" s="52">
        <f t="shared" ca="1" si="7110"/>
        <v>-49026.847343305708</v>
      </c>
      <c r="BW1084" s="52">
        <f t="shared" ca="1" si="7110"/>
        <v>-25932.834801015801</v>
      </c>
      <c r="BX1084" s="52">
        <f t="shared" ca="1" si="7110"/>
        <v>-24358.958707836995</v>
      </c>
      <c r="BY1084" s="52">
        <f t="shared" ca="1" si="7110"/>
        <v>-39794.70669005435</v>
      </c>
      <c r="BZ1084" s="52">
        <f t="shared" ca="1" si="7110"/>
        <v>-51181.26361707654</v>
      </c>
      <c r="CA1084" s="52">
        <f t="shared" ca="1" si="7110"/>
        <v>-27163.48905155596</v>
      </c>
      <c r="CB1084" s="52">
        <f t="shared" ca="1" si="7110"/>
        <v>-25527.925195505442</v>
      </c>
      <c r="CC1084" s="52">
        <f t="shared" ca="1" si="7110"/>
        <v>-41581.348127780795</v>
      </c>
      <c r="CD1084" s="52">
        <f t="shared" ca="1" si="7110"/>
        <v>-53423.612362653126</v>
      </c>
      <c r="CE1084" s="52">
        <f t="shared" ca="1" si="7110"/>
        <v>-28445.126814511706</v>
      </c>
      <c r="CF1084" s="52">
        <f t="shared" ref="CF1084:CO1084" ca="1" si="7111">-CF1079*CF1083</f>
        <v>-26743.650342680594</v>
      </c>
      <c r="CG1084" s="52">
        <f t="shared" ca="1" si="7111"/>
        <v>-43439.455223016266</v>
      </c>
      <c r="CH1084" s="52">
        <f t="shared" ca="1" si="7111"/>
        <v>-55755.655058052784</v>
      </c>
      <c r="CI1084" s="52">
        <f t="shared" ca="1" si="7111"/>
        <v>-29778.030087985695</v>
      </c>
      <c r="CJ1084" s="52">
        <f t="shared" ca="1" si="7111"/>
        <v>-28368.828141014976</v>
      </c>
      <c r="CK1084" s="52">
        <f t="shared" ca="1" si="7111"/>
        <v>-45373.579810170959</v>
      </c>
      <c r="CL1084" s="52">
        <f t="shared" ca="1" si="7111"/>
        <v>-58182.692970885604</v>
      </c>
      <c r="CM1084" s="52">
        <f t="shared" ca="1" si="7111"/>
        <v>-31165.964713540445</v>
      </c>
      <c r="CN1084" s="52">
        <f t="shared" ca="1" si="7111"/>
        <v>-29322.932814927386</v>
      </c>
      <c r="CO1084" s="52">
        <f t="shared" ca="1" si="7111"/>
        <v>-47381.615236267782</v>
      </c>
    </row>
    <row r="1085" spans="1:93">
      <c r="A1085" s="10"/>
      <c r="B1085" s="10"/>
      <c r="C1085" s="17"/>
      <c r="D1085" s="10"/>
      <c r="E1085" s="62"/>
      <c r="F1085" s="11"/>
      <c r="G1085" s="11"/>
      <c r="H1085" s="11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  <c r="BB1085" s="10"/>
      <c r="BC1085" s="10"/>
      <c r="BD1085" s="10"/>
      <c r="BE1085" s="10"/>
      <c r="BF1085" s="10"/>
      <c r="BG1085" s="10"/>
      <c r="BH1085" s="10"/>
      <c r="BI1085" s="10"/>
      <c r="BJ1085" s="10"/>
      <c r="BK1085" s="10"/>
      <c r="BL1085" s="10"/>
      <c r="BM1085" s="10"/>
      <c r="BN1085" s="10"/>
      <c r="BO1085" s="10"/>
      <c r="BP1085" s="10"/>
      <c r="BQ1085" s="10"/>
      <c r="BR1085" s="10"/>
      <c r="BS1085" s="10"/>
      <c r="BT1085" s="10"/>
      <c r="BU1085" s="10"/>
      <c r="BV1085" s="10"/>
      <c r="BW1085" s="10"/>
      <c r="BX1085" s="10"/>
      <c r="BY1085" s="10"/>
      <c r="BZ1085" s="10"/>
      <c r="CA1085" s="10"/>
      <c r="CB1085" s="10"/>
      <c r="CC1085" s="10"/>
      <c r="CD1085" s="10"/>
      <c r="CE1085" s="10"/>
      <c r="CF1085" s="10"/>
      <c r="CG1085" s="10"/>
      <c r="CH1085" s="10"/>
      <c r="CI1085" s="10"/>
      <c r="CJ1085" s="10"/>
      <c r="CK1085" s="10"/>
      <c r="CL1085" s="10"/>
      <c r="CM1085" s="10"/>
      <c r="CN1085" s="10"/>
      <c r="CO1085" s="10"/>
    </row>
    <row r="1086" spans="1:93">
      <c r="A1086" s="10"/>
      <c r="B1086" s="10"/>
      <c r="C1086" s="87" t="s">
        <v>105</v>
      </c>
      <c r="D1086" s="10"/>
      <c r="E1086" s="62"/>
      <c r="F1086" s="10"/>
      <c r="G1086" s="11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  <c r="BB1086" s="10"/>
      <c r="BC1086" s="10"/>
      <c r="BD1086" s="10"/>
      <c r="BE1086" s="10"/>
      <c r="BF1086" s="10"/>
      <c r="BG1086" s="10"/>
      <c r="BH1086" s="10"/>
      <c r="BI1086" s="10"/>
      <c r="BJ1086" s="10"/>
      <c r="BK1086" s="10"/>
      <c r="BL1086" s="10"/>
      <c r="BM1086" s="10"/>
      <c r="BN1086" s="10"/>
      <c r="BO1086" s="10"/>
      <c r="BP1086" s="10"/>
      <c r="BQ1086" s="10"/>
      <c r="BR1086" s="10"/>
      <c r="BS1086" s="10"/>
      <c r="BT1086" s="10"/>
      <c r="BU1086" s="10"/>
      <c r="BV1086" s="10"/>
      <c r="BW1086" s="10"/>
      <c r="BX1086" s="10"/>
      <c r="BY1086" s="10"/>
      <c r="BZ1086" s="10"/>
      <c r="CA1086" s="10"/>
      <c r="CB1086" s="10"/>
      <c r="CC1086" s="10"/>
      <c r="CD1086" s="10"/>
      <c r="CE1086" s="10"/>
      <c r="CF1086" s="10"/>
      <c r="CG1086" s="10"/>
      <c r="CH1086" s="10"/>
      <c r="CI1086" s="10"/>
      <c r="CJ1086" s="10"/>
      <c r="CK1086" s="10"/>
      <c r="CL1086" s="10"/>
      <c r="CM1086" s="10"/>
      <c r="CN1086" s="10"/>
      <c r="CO1086" s="10"/>
    </row>
    <row r="1087" spans="1:93">
      <c r="A1087" s="10"/>
      <c r="B1087" s="10"/>
      <c r="C1087" s="17" t="s">
        <v>150</v>
      </c>
      <c r="D1087" s="10"/>
      <c r="E1087" s="62"/>
      <c r="F1087" s="10"/>
      <c r="G1087" s="11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  <c r="BB1087" s="10"/>
      <c r="BC1087" s="10"/>
      <c r="BD1087" s="10"/>
      <c r="BE1087" s="10"/>
      <c r="BF1087" s="10"/>
      <c r="BG1087" s="10"/>
      <c r="BH1087" s="10"/>
      <c r="BI1087" s="10"/>
      <c r="BJ1087" s="10"/>
      <c r="BK1087" s="10"/>
      <c r="BL1087" s="10"/>
      <c r="BM1087" s="10"/>
      <c r="BN1087" s="10"/>
      <c r="BO1087" s="10"/>
      <c r="BP1087" s="10"/>
      <c r="BQ1087" s="10"/>
      <c r="BR1087" s="10"/>
      <c r="BS1087" s="10"/>
      <c r="BT1087" s="10"/>
      <c r="BU1087" s="10"/>
      <c r="BV1087" s="10"/>
      <c r="BW1087" s="10"/>
      <c r="BX1087" s="10"/>
      <c r="BY1087" s="10"/>
      <c r="BZ1087" s="10"/>
      <c r="CA1087" s="10"/>
      <c r="CB1087" s="10"/>
      <c r="CC1087" s="10"/>
      <c r="CD1087" s="10"/>
      <c r="CE1087" s="10"/>
      <c r="CF1087" s="10"/>
      <c r="CG1087" s="10"/>
      <c r="CH1087" s="10"/>
      <c r="CI1087" s="10"/>
      <c r="CJ1087" s="10"/>
      <c r="CK1087" s="10"/>
      <c r="CL1087" s="10"/>
      <c r="CM1087" s="10"/>
      <c r="CN1087" s="10"/>
      <c r="CO1087" s="10"/>
    </row>
    <row r="1088" spans="1:93">
      <c r="A1088" s="10"/>
      <c r="B1088" s="10"/>
      <c r="C1088" s="17" t="s">
        <v>153</v>
      </c>
      <c r="D1088" s="10"/>
      <c r="E1088" s="62"/>
      <c r="F1088" s="10"/>
      <c r="G1088" s="134" t="str">
        <f>Monetary_Unit</f>
        <v>тыс. руб.</v>
      </c>
      <c r="H1088" s="10"/>
      <c r="I1088" s="10"/>
      <c r="J1088" s="10"/>
      <c r="K1088" s="10"/>
      <c r="L1088" s="52">
        <f t="shared" ref="L1088" si="7112">K1091</f>
        <v>0</v>
      </c>
      <c r="M1088" s="52">
        <f t="shared" ref="M1088" ca="1" si="7113">L1091</f>
        <v>0</v>
      </c>
      <c r="N1088" s="52">
        <f t="shared" ref="N1088" ca="1" si="7114">M1091</f>
        <v>0</v>
      </c>
      <c r="O1088" s="52">
        <f t="shared" ref="O1088" ca="1" si="7115">N1091</f>
        <v>0</v>
      </c>
      <c r="P1088" s="52">
        <f t="shared" ref="P1088" ca="1" si="7116">O1091</f>
        <v>0</v>
      </c>
      <c r="Q1088" s="52">
        <f t="shared" ref="Q1088" ca="1" si="7117">P1091</f>
        <v>0</v>
      </c>
      <c r="R1088" s="52">
        <f t="shared" ref="R1088" ca="1" si="7118">Q1091</f>
        <v>0</v>
      </c>
      <c r="S1088" s="52">
        <f t="shared" ref="S1088" ca="1" si="7119">R1091</f>
        <v>0</v>
      </c>
      <c r="T1088" s="52">
        <f t="shared" ref="T1088" ca="1" si="7120">S1091</f>
        <v>-738.99174247580174</v>
      </c>
      <c r="U1088" s="52">
        <f t="shared" ref="U1088" ca="1" si="7121">T1091</f>
        <v>-7319.6460901227119</v>
      </c>
      <c r="V1088" s="52">
        <f t="shared" ref="V1088" ca="1" si="7122">U1091</f>
        <v>-17744.474722948584</v>
      </c>
      <c r="W1088" s="52">
        <f t="shared" ref="W1088" ca="1" si="7123">V1091</f>
        <v>-32133.924064307597</v>
      </c>
      <c r="X1088" s="52">
        <f t="shared" ref="X1088" ca="1" si="7124">W1091</f>
        <v>-50411.371785418785</v>
      </c>
      <c r="Y1088" s="52">
        <f t="shared" ref="Y1088" ca="1" si="7125">X1091</f>
        <v>-74552.228624197203</v>
      </c>
      <c r="Z1088" s="52">
        <f t="shared" ref="Z1088" ca="1" si="7126">Y1091</f>
        <v>-106861.23449808362</v>
      </c>
      <c r="AA1088" s="52">
        <f t="shared" ref="AA1088" ca="1" si="7127">Z1091</f>
        <v>-147864.56184095691</v>
      </c>
      <c r="AB1088" s="52">
        <f t="shared" ref="AB1088" ca="1" si="7128">AA1091</f>
        <v>-197289.33692324863</v>
      </c>
      <c r="AC1088" s="52">
        <f t="shared" ref="AC1088" ca="1" si="7129">AB1091</f>
        <v>-255380.07450313671</v>
      </c>
      <c r="AD1088" s="52">
        <f t="shared" ref="AD1088" ca="1" si="7130">AC1091</f>
        <v>-881169.24681567203</v>
      </c>
      <c r="AE1088" s="52">
        <f t="shared" ref="AE1088" ca="1" si="7131">AD1091</f>
        <v>-811674.74146066478</v>
      </c>
      <c r="AF1088" s="52">
        <f t="shared" ref="AF1088" ca="1" si="7132">AE1091</f>
        <v>-794521.33793652907</v>
      </c>
      <c r="AG1088" s="52">
        <f t="shared" ref="AG1088" ca="1" si="7133">AF1091</f>
        <v>-777259.66109243699</v>
      </c>
      <c r="AH1088" s="52">
        <f t="shared" ref="AH1088" ca="1" si="7134">AG1091</f>
        <v>-715590.63425576186</v>
      </c>
      <c r="AI1088" s="52">
        <f t="shared" ref="AI1088" ca="1" si="7135">AH1091</f>
        <v>-618009.95882433082</v>
      </c>
      <c r="AJ1088" s="52">
        <f t="shared" ref="AJ1088" ca="1" si="7136">AI1091</f>
        <v>-583148.35676146403</v>
      </c>
      <c r="AK1088" s="52">
        <f t="shared" ref="AK1088" ca="1" si="7137">AJ1091</f>
        <v>-548834.38023988705</v>
      </c>
      <c r="AL1088" s="52">
        <f t="shared" ref="AL1088" ca="1" si="7138">AK1091</f>
        <v>-462720.53858523443</v>
      </c>
      <c r="AM1088" s="52">
        <f t="shared" ref="AM1088" ca="1" si="7139">AL1091</f>
        <v>-335096.65950707113</v>
      </c>
      <c r="AN1088" s="52">
        <f t="shared" ref="AN1088" ca="1" si="7140">AM1091</f>
        <v>-281316.0772238081</v>
      </c>
      <c r="AO1088" s="52">
        <f t="shared" ref="AO1088" ca="1" si="7141">AN1091</f>
        <v>-227832.09792221681</v>
      </c>
      <c r="AP1088" s="52">
        <f t="shared" ref="AP1088" ca="1" si="7142">AO1091</f>
        <v>-115531.03323545236</v>
      </c>
      <c r="AQ1088" s="52">
        <f t="shared" ref="AQ1088" ca="1" si="7143">AP1091</f>
        <v>0</v>
      </c>
      <c r="AR1088" s="52">
        <f t="shared" ref="AR1088" ca="1" si="7144">AQ1091</f>
        <v>0</v>
      </c>
      <c r="AS1088" s="52">
        <f t="shared" ref="AS1088" ca="1" si="7145">AR1091</f>
        <v>0</v>
      </c>
      <c r="AT1088" s="52">
        <f t="shared" ref="AT1088" ca="1" si="7146">AS1091</f>
        <v>0</v>
      </c>
      <c r="AU1088" s="52">
        <f t="shared" ref="AU1088" ca="1" si="7147">AT1091</f>
        <v>0</v>
      </c>
      <c r="AV1088" s="52">
        <f t="shared" ref="AV1088" ca="1" si="7148">AU1091</f>
        <v>0</v>
      </c>
      <c r="AW1088" s="52">
        <f t="shared" ref="AW1088" ca="1" si="7149">AV1091</f>
        <v>0</v>
      </c>
      <c r="AX1088" s="52">
        <f t="shared" ref="AX1088" ca="1" si="7150">AW1091</f>
        <v>0</v>
      </c>
      <c r="AY1088" s="52">
        <f t="shared" ref="AY1088" ca="1" si="7151">AX1091</f>
        <v>0</v>
      </c>
      <c r="AZ1088" s="52">
        <f t="shared" ref="AZ1088" ca="1" si="7152">AY1091</f>
        <v>0</v>
      </c>
      <c r="BA1088" s="52">
        <f t="shared" ref="BA1088" ca="1" si="7153">AZ1091</f>
        <v>0</v>
      </c>
      <c r="BB1088" s="52">
        <f t="shared" ref="BB1088" ca="1" si="7154">BA1091</f>
        <v>0</v>
      </c>
      <c r="BC1088" s="52">
        <f t="shared" ref="BC1088" ca="1" si="7155">BB1091</f>
        <v>0</v>
      </c>
      <c r="BD1088" s="52">
        <f t="shared" ref="BD1088" ca="1" si="7156">BC1091</f>
        <v>0</v>
      </c>
      <c r="BE1088" s="52">
        <f t="shared" ref="BE1088" ca="1" si="7157">BD1091</f>
        <v>0</v>
      </c>
      <c r="BF1088" s="52">
        <f t="shared" ref="BF1088" ca="1" si="7158">BE1091</f>
        <v>0</v>
      </c>
      <c r="BG1088" s="52">
        <f t="shared" ref="BG1088" ca="1" si="7159">BF1091</f>
        <v>0</v>
      </c>
      <c r="BH1088" s="52">
        <f t="shared" ref="BH1088" ca="1" si="7160">BG1091</f>
        <v>0</v>
      </c>
      <c r="BI1088" s="52">
        <f t="shared" ref="BI1088" ca="1" si="7161">BH1091</f>
        <v>0</v>
      </c>
      <c r="BJ1088" s="52">
        <f t="shared" ref="BJ1088" ca="1" si="7162">BI1091</f>
        <v>0</v>
      </c>
      <c r="BK1088" s="52">
        <f t="shared" ref="BK1088" ca="1" si="7163">BJ1091</f>
        <v>0</v>
      </c>
      <c r="BL1088" s="52">
        <f t="shared" ref="BL1088" ca="1" si="7164">BK1091</f>
        <v>0</v>
      </c>
      <c r="BM1088" s="52">
        <f t="shared" ref="BM1088" ca="1" si="7165">BL1091</f>
        <v>0</v>
      </c>
      <c r="BN1088" s="52">
        <f t="shared" ref="BN1088" ca="1" si="7166">BM1091</f>
        <v>0</v>
      </c>
      <c r="BO1088" s="52">
        <f t="shared" ref="BO1088" ca="1" si="7167">BN1091</f>
        <v>0</v>
      </c>
      <c r="BP1088" s="52">
        <f t="shared" ref="BP1088" ca="1" si="7168">BO1091</f>
        <v>0</v>
      </c>
      <c r="BQ1088" s="52">
        <f t="shared" ref="BQ1088" ca="1" si="7169">BP1091</f>
        <v>0</v>
      </c>
      <c r="BR1088" s="52">
        <f t="shared" ref="BR1088" ca="1" si="7170">BQ1091</f>
        <v>0</v>
      </c>
      <c r="BS1088" s="52">
        <f t="shared" ref="BS1088" ca="1" si="7171">BR1091</f>
        <v>0</v>
      </c>
      <c r="BT1088" s="52">
        <f t="shared" ref="BT1088" ca="1" si="7172">BS1091</f>
        <v>0</v>
      </c>
      <c r="BU1088" s="52">
        <f t="shared" ref="BU1088" ca="1" si="7173">BT1091</f>
        <v>0</v>
      </c>
      <c r="BV1088" s="52">
        <f t="shared" ref="BV1088" ca="1" si="7174">BU1091</f>
        <v>0</v>
      </c>
      <c r="BW1088" s="52">
        <f t="shared" ref="BW1088" ca="1" si="7175">BV1091</f>
        <v>0</v>
      </c>
      <c r="BX1088" s="52">
        <f t="shared" ref="BX1088" ca="1" si="7176">BW1091</f>
        <v>0</v>
      </c>
      <c r="BY1088" s="52">
        <f t="shared" ref="BY1088" ca="1" si="7177">BX1091</f>
        <v>0</v>
      </c>
      <c r="BZ1088" s="52">
        <f t="shared" ref="BZ1088" ca="1" si="7178">BY1091</f>
        <v>0</v>
      </c>
      <c r="CA1088" s="52">
        <f t="shared" ref="CA1088" ca="1" si="7179">BZ1091</f>
        <v>0</v>
      </c>
      <c r="CB1088" s="52">
        <f t="shared" ref="CB1088" ca="1" si="7180">CA1091</f>
        <v>0</v>
      </c>
      <c r="CC1088" s="52">
        <f t="shared" ref="CC1088" ca="1" si="7181">CB1091</f>
        <v>0</v>
      </c>
      <c r="CD1088" s="52">
        <f t="shared" ref="CD1088" ca="1" si="7182">CC1091</f>
        <v>0</v>
      </c>
      <c r="CE1088" s="52">
        <f t="shared" ref="CE1088" ca="1" si="7183">CD1091</f>
        <v>0</v>
      </c>
      <c r="CF1088" s="52">
        <f t="shared" ref="CF1088" ca="1" si="7184">CE1091</f>
        <v>0</v>
      </c>
      <c r="CG1088" s="52">
        <f t="shared" ref="CG1088" ca="1" si="7185">CF1091</f>
        <v>0</v>
      </c>
      <c r="CH1088" s="52">
        <f t="shared" ref="CH1088" ca="1" si="7186">CG1091</f>
        <v>0</v>
      </c>
      <c r="CI1088" s="52">
        <f t="shared" ref="CI1088" ca="1" si="7187">CH1091</f>
        <v>0</v>
      </c>
      <c r="CJ1088" s="52">
        <f t="shared" ref="CJ1088" ca="1" si="7188">CI1091</f>
        <v>0</v>
      </c>
      <c r="CK1088" s="52">
        <f t="shared" ref="CK1088" ca="1" si="7189">CJ1091</f>
        <v>0</v>
      </c>
      <c r="CL1088" s="52">
        <f t="shared" ref="CL1088" ca="1" si="7190">CK1091</f>
        <v>0</v>
      </c>
      <c r="CM1088" s="52">
        <f t="shared" ref="CM1088" ca="1" si="7191">CL1091</f>
        <v>0</v>
      </c>
      <c r="CN1088" s="52">
        <f t="shared" ref="CN1088" ca="1" si="7192">CM1091</f>
        <v>0</v>
      </c>
      <c r="CO1088" s="52">
        <f t="shared" ref="CO1088" ca="1" si="7193">CN1091</f>
        <v>0</v>
      </c>
    </row>
    <row r="1089" spans="1:93">
      <c r="A1089" s="10"/>
      <c r="B1089" s="10"/>
      <c r="C1089" s="17" t="s">
        <v>154</v>
      </c>
      <c r="D1089" s="10"/>
      <c r="E1089" s="62"/>
      <c r="F1089" s="10"/>
      <c r="G1089" s="134" t="str">
        <f>Monetary_Unit</f>
        <v>тыс. руб.</v>
      </c>
      <c r="H1089" s="10"/>
      <c r="I1089" s="23">
        <f ca="1">SUM(L1089:CO1089)</f>
        <v>-881169.24681567203</v>
      </c>
      <c r="J1089" s="10"/>
      <c r="K1089" s="10"/>
      <c r="L1089" s="52">
        <f t="shared" ref="L1089:R1089" ca="1" si="7194">MIN(L1081,0)</f>
        <v>0</v>
      </c>
      <c r="M1089" s="52">
        <f t="shared" ca="1" si="7194"/>
        <v>0</v>
      </c>
      <c r="N1089" s="52">
        <f t="shared" ca="1" si="7194"/>
        <v>0</v>
      </c>
      <c r="O1089" s="52">
        <f t="shared" ca="1" si="7194"/>
        <v>0</v>
      </c>
      <c r="P1089" s="52">
        <f t="shared" ca="1" si="7194"/>
        <v>0</v>
      </c>
      <c r="Q1089" s="52">
        <f t="shared" ca="1" si="7194"/>
        <v>0</v>
      </c>
      <c r="R1089" s="52">
        <f t="shared" ca="1" si="7194"/>
        <v>0</v>
      </c>
      <c r="S1089" s="52">
        <f t="shared" ref="S1089" ca="1" si="7195">MIN(S1081,0)</f>
        <v>-738.99174247580174</v>
      </c>
      <c r="T1089" s="52">
        <f t="shared" ref="T1089:CE1089" ca="1" si="7196">MIN(T1081,0)</f>
        <v>-6580.6543476469105</v>
      </c>
      <c r="U1089" s="52">
        <f t="shared" ca="1" si="7196"/>
        <v>-10424.828632825871</v>
      </c>
      <c r="V1089" s="52">
        <f t="shared" ca="1" si="7196"/>
        <v>-14389.449341359013</v>
      </c>
      <c r="W1089" s="52">
        <f t="shared" ca="1" si="7196"/>
        <v>-18277.447721111192</v>
      </c>
      <c r="X1089" s="52">
        <f t="shared" ca="1" si="7196"/>
        <v>-24140.856838778414</v>
      </c>
      <c r="Y1089" s="52">
        <f t="shared" ca="1" si="7196"/>
        <v>-32309.00587388641</v>
      </c>
      <c r="Z1089" s="52">
        <f t="shared" ca="1" si="7196"/>
        <v>-41003.327342873301</v>
      </c>
      <c r="AA1089" s="52">
        <f t="shared" ca="1" si="7196"/>
        <v>-49424.775082291708</v>
      </c>
      <c r="AB1089" s="52">
        <f t="shared" ca="1" si="7196"/>
        <v>-58090.737579888082</v>
      </c>
      <c r="AC1089" s="52">
        <f t="shared" ca="1" si="7196"/>
        <v>-625789.17231253535</v>
      </c>
      <c r="AD1089" s="52">
        <f t="shared" ca="1" si="7196"/>
        <v>0</v>
      </c>
      <c r="AE1089" s="52">
        <f t="shared" ca="1" si="7196"/>
        <v>0</v>
      </c>
      <c r="AF1089" s="52">
        <f t="shared" ca="1" si="7196"/>
        <v>0</v>
      </c>
      <c r="AG1089" s="52">
        <f t="shared" ca="1" si="7196"/>
        <v>0</v>
      </c>
      <c r="AH1089" s="52">
        <f t="shared" ca="1" si="7196"/>
        <v>0</v>
      </c>
      <c r="AI1089" s="52">
        <f t="shared" ca="1" si="7196"/>
        <v>0</v>
      </c>
      <c r="AJ1089" s="52">
        <f t="shared" ca="1" si="7196"/>
        <v>0</v>
      </c>
      <c r="AK1089" s="52">
        <f t="shared" ca="1" si="7196"/>
        <v>0</v>
      </c>
      <c r="AL1089" s="52">
        <f t="shared" ca="1" si="7196"/>
        <v>0</v>
      </c>
      <c r="AM1089" s="52">
        <f t="shared" ca="1" si="7196"/>
        <v>0</v>
      </c>
      <c r="AN1089" s="52">
        <f t="shared" ca="1" si="7196"/>
        <v>0</v>
      </c>
      <c r="AO1089" s="52">
        <f t="shared" ca="1" si="7196"/>
        <v>0</v>
      </c>
      <c r="AP1089" s="52">
        <f t="shared" ca="1" si="7196"/>
        <v>0</v>
      </c>
      <c r="AQ1089" s="52">
        <f t="shared" ca="1" si="7196"/>
        <v>0</v>
      </c>
      <c r="AR1089" s="52">
        <f t="shared" ca="1" si="7196"/>
        <v>0</v>
      </c>
      <c r="AS1089" s="52">
        <f t="shared" ca="1" si="7196"/>
        <v>0</v>
      </c>
      <c r="AT1089" s="52">
        <f t="shared" ca="1" si="7196"/>
        <v>0</v>
      </c>
      <c r="AU1089" s="52">
        <f t="shared" ca="1" si="7196"/>
        <v>0</v>
      </c>
      <c r="AV1089" s="52">
        <f t="shared" ca="1" si="7196"/>
        <v>0</v>
      </c>
      <c r="AW1089" s="52">
        <f t="shared" ca="1" si="7196"/>
        <v>0</v>
      </c>
      <c r="AX1089" s="52">
        <f t="shared" ca="1" si="7196"/>
        <v>0</v>
      </c>
      <c r="AY1089" s="52">
        <f t="shared" ca="1" si="7196"/>
        <v>0</v>
      </c>
      <c r="AZ1089" s="52">
        <f t="shared" ca="1" si="7196"/>
        <v>0</v>
      </c>
      <c r="BA1089" s="52">
        <f t="shared" ca="1" si="7196"/>
        <v>0</v>
      </c>
      <c r="BB1089" s="52">
        <f t="shared" ca="1" si="7196"/>
        <v>0</v>
      </c>
      <c r="BC1089" s="52">
        <f t="shared" ca="1" si="7196"/>
        <v>0</v>
      </c>
      <c r="BD1089" s="52">
        <f t="shared" ca="1" si="7196"/>
        <v>0</v>
      </c>
      <c r="BE1089" s="52">
        <f t="shared" ca="1" si="7196"/>
        <v>0</v>
      </c>
      <c r="BF1089" s="52">
        <f t="shared" ca="1" si="7196"/>
        <v>0</v>
      </c>
      <c r="BG1089" s="52">
        <f t="shared" ca="1" si="7196"/>
        <v>0</v>
      </c>
      <c r="BH1089" s="52">
        <f t="shared" ca="1" si="7196"/>
        <v>0</v>
      </c>
      <c r="BI1089" s="52">
        <f t="shared" ca="1" si="7196"/>
        <v>0</v>
      </c>
      <c r="BJ1089" s="52">
        <f t="shared" ca="1" si="7196"/>
        <v>0</v>
      </c>
      <c r="BK1089" s="52">
        <f t="shared" ca="1" si="7196"/>
        <v>0</v>
      </c>
      <c r="BL1089" s="52">
        <f t="shared" ca="1" si="7196"/>
        <v>0</v>
      </c>
      <c r="BM1089" s="52">
        <f t="shared" ca="1" si="7196"/>
        <v>0</v>
      </c>
      <c r="BN1089" s="52">
        <f t="shared" ca="1" si="7196"/>
        <v>0</v>
      </c>
      <c r="BO1089" s="52">
        <f t="shared" ca="1" si="7196"/>
        <v>0</v>
      </c>
      <c r="BP1089" s="52">
        <f t="shared" ca="1" si="7196"/>
        <v>0</v>
      </c>
      <c r="BQ1089" s="52">
        <f t="shared" ca="1" si="7196"/>
        <v>0</v>
      </c>
      <c r="BR1089" s="52">
        <f t="shared" ca="1" si="7196"/>
        <v>0</v>
      </c>
      <c r="BS1089" s="52">
        <f t="shared" ca="1" si="7196"/>
        <v>0</v>
      </c>
      <c r="BT1089" s="52">
        <f t="shared" ca="1" si="7196"/>
        <v>0</v>
      </c>
      <c r="BU1089" s="52">
        <f t="shared" ca="1" si="7196"/>
        <v>0</v>
      </c>
      <c r="BV1089" s="52">
        <f t="shared" ca="1" si="7196"/>
        <v>0</v>
      </c>
      <c r="BW1089" s="52">
        <f t="shared" ca="1" si="7196"/>
        <v>0</v>
      </c>
      <c r="BX1089" s="52">
        <f t="shared" ca="1" si="7196"/>
        <v>0</v>
      </c>
      <c r="BY1089" s="52">
        <f t="shared" ca="1" si="7196"/>
        <v>0</v>
      </c>
      <c r="BZ1089" s="52">
        <f t="shared" ca="1" si="7196"/>
        <v>0</v>
      </c>
      <c r="CA1089" s="52">
        <f t="shared" ca="1" si="7196"/>
        <v>0</v>
      </c>
      <c r="CB1089" s="52">
        <f t="shared" ca="1" si="7196"/>
        <v>0</v>
      </c>
      <c r="CC1089" s="52">
        <f t="shared" ca="1" si="7196"/>
        <v>0</v>
      </c>
      <c r="CD1089" s="52">
        <f t="shared" ca="1" si="7196"/>
        <v>0</v>
      </c>
      <c r="CE1089" s="52">
        <f t="shared" ca="1" si="7196"/>
        <v>0</v>
      </c>
      <c r="CF1089" s="52">
        <f t="shared" ref="CF1089:CO1089" ca="1" si="7197">MIN(CF1081,0)</f>
        <v>0</v>
      </c>
      <c r="CG1089" s="52">
        <f t="shared" ca="1" si="7197"/>
        <v>0</v>
      </c>
      <c r="CH1089" s="52">
        <f t="shared" ca="1" si="7197"/>
        <v>0</v>
      </c>
      <c r="CI1089" s="52">
        <f t="shared" ca="1" si="7197"/>
        <v>0</v>
      </c>
      <c r="CJ1089" s="52">
        <f t="shared" ca="1" si="7197"/>
        <v>0</v>
      </c>
      <c r="CK1089" s="52">
        <f t="shared" ca="1" si="7197"/>
        <v>0</v>
      </c>
      <c r="CL1089" s="52">
        <f t="shared" ca="1" si="7197"/>
        <v>0</v>
      </c>
      <c r="CM1089" s="52">
        <f t="shared" ca="1" si="7197"/>
        <v>0</v>
      </c>
      <c r="CN1089" s="52">
        <f t="shared" ca="1" si="7197"/>
        <v>0</v>
      </c>
      <c r="CO1089" s="52">
        <f t="shared" ca="1" si="7197"/>
        <v>0</v>
      </c>
    </row>
    <row r="1090" spans="1:93">
      <c r="A1090" s="10"/>
      <c r="B1090" s="10"/>
      <c r="C1090" s="17" t="s">
        <v>159</v>
      </c>
      <c r="D1090" s="10"/>
      <c r="E1090" s="62"/>
      <c r="F1090" s="10"/>
      <c r="G1090" s="134" t="str">
        <f>Monetary_Unit</f>
        <v>тыс. руб.</v>
      </c>
      <c r="H1090" s="10"/>
      <c r="I1090" s="23">
        <f ca="1">SUM(L1090:CO1090)</f>
        <v>881169.24681567203</v>
      </c>
      <c r="J1090" s="10"/>
      <c r="K1090" s="10"/>
      <c r="L1090" s="52">
        <f t="shared" ref="L1090:R1090" ca="1" si="7198">IF(Year&lt;$E$1096,MIN(-L1088,L1093*$E$1095),MIN(-L1088,L1093))</f>
        <v>0</v>
      </c>
      <c r="M1090" s="52">
        <f t="shared" ca="1" si="7198"/>
        <v>0</v>
      </c>
      <c r="N1090" s="52">
        <f t="shared" ca="1" si="7198"/>
        <v>0</v>
      </c>
      <c r="O1090" s="52">
        <f t="shared" ca="1" si="7198"/>
        <v>0</v>
      </c>
      <c r="P1090" s="52">
        <f t="shared" ca="1" si="7198"/>
        <v>0</v>
      </c>
      <c r="Q1090" s="52">
        <f t="shared" ca="1" si="7198"/>
        <v>0</v>
      </c>
      <c r="R1090" s="52">
        <f t="shared" ca="1" si="7198"/>
        <v>0</v>
      </c>
      <c r="S1090" s="52">
        <f t="shared" ref="S1090" ca="1" si="7199">IF(Year&lt;$E$1096,MIN(-S1088,S1093*$E$1095),MIN(-S1088,S1093))</f>
        <v>0</v>
      </c>
      <c r="T1090" s="52">
        <f t="shared" ref="T1090:CE1090" ca="1" si="7200">IF(Year&lt;$E$1096,MIN(-T1088,T1093*$E$1095),MIN(-T1088,T1093))</f>
        <v>0</v>
      </c>
      <c r="U1090" s="52">
        <f t="shared" ca="1" si="7200"/>
        <v>0</v>
      </c>
      <c r="V1090" s="52">
        <f t="shared" ca="1" si="7200"/>
        <v>0</v>
      </c>
      <c r="W1090" s="52">
        <f t="shared" ca="1" si="7200"/>
        <v>0</v>
      </c>
      <c r="X1090" s="52">
        <f t="shared" ca="1" si="7200"/>
        <v>0</v>
      </c>
      <c r="Y1090" s="52">
        <f t="shared" ca="1" si="7200"/>
        <v>0</v>
      </c>
      <c r="Z1090" s="52">
        <f t="shared" ca="1" si="7200"/>
        <v>0</v>
      </c>
      <c r="AA1090" s="52">
        <f t="shared" ca="1" si="7200"/>
        <v>0</v>
      </c>
      <c r="AB1090" s="52">
        <f t="shared" ca="1" si="7200"/>
        <v>0</v>
      </c>
      <c r="AC1090" s="52">
        <f t="shared" ca="1" si="7200"/>
        <v>0</v>
      </c>
      <c r="AD1090" s="52">
        <f t="shared" ca="1" si="7200"/>
        <v>69494.505355007204</v>
      </c>
      <c r="AE1090" s="52">
        <f t="shared" ca="1" si="7200"/>
        <v>17153.403524135676</v>
      </c>
      <c r="AF1090" s="52">
        <f t="shared" ca="1" si="7200"/>
        <v>17261.676844092046</v>
      </c>
      <c r="AG1090" s="52">
        <f t="shared" ca="1" si="7200"/>
        <v>61669.026836675155</v>
      </c>
      <c r="AH1090" s="52">
        <f t="shared" ca="1" si="7200"/>
        <v>97580.675431431038</v>
      </c>
      <c r="AI1090" s="52">
        <f t="shared" ca="1" si="7200"/>
        <v>34861.602062866776</v>
      </c>
      <c r="AJ1090" s="52">
        <f t="shared" ca="1" si="7200"/>
        <v>34313.976521577024</v>
      </c>
      <c r="AK1090" s="52">
        <f t="shared" ca="1" si="7200"/>
        <v>86113.841654652628</v>
      </c>
      <c r="AL1090" s="52">
        <f t="shared" ca="1" si="7200"/>
        <v>127623.87907816327</v>
      </c>
      <c r="AM1090" s="52">
        <f t="shared" ca="1" si="7200"/>
        <v>53780.582283263037</v>
      </c>
      <c r="AN1090" s="52">
        <f t="shared" ca="1" si="7200"/>
        <v>53483.979301591273</v>
      </c>
      <c r="AO1090" s="52">
        <f t="shared" ca="1" si="7200"/>
        <v>112301.06468676445</v>
      </c>
      <c r="AP1090" s="52">
        <f t="shared" ca="1" si="7200"/>
        <v>115531.03323545236</v>
      </c>
      <c r="AQ1090" s="52">
        <f t="shared" ca="1" si="7200"/>
        <v>0</v>
      </c>
      <c r="AR1090" s="52">
        <f t="shared" ca="1" si="7200"/>
        <v>0</v>
      </c>
      <c r="AS1090" s="52">
        <f t="shared" ca="1" si="7200"/>
        <v>0</v>
      </c>
      <c r="AT1090" s="52">
        <f t="shared" ca="1" si="7200"/>
        <v>0</v>
      </c>
      <c r="AU1090" s="52">
        <f t="shared" ca="1" si="7200"/>
        <v>0</v>
      </c>
      <c r="AV1090" s="52">
        <f t="shared" ca="1" si="7200"/>
        <v>0</v>
      </c>
      <c r="AW1090" s="52">
        <f t="shared" ca="1" si="7200"/>
        <v>0</v>
      </c>
      <c r="AX1090" s="52">
        <f t="shared" ca="1" si="7200"/>
        <v>0</v>
      </c>
      <c r="AY1090" s="52">
        <f t="shared" ca="1" si="7200"/>
        <v>0</v>
      </c>
      <c r="AZ1090" s="52">
        <f t="shared" ca="1" si="7200"/>
        <v>0</v>
      </c>
      <c r="BA1090" s="52">
        <f t="shared" ca="1" si="7200"/>
        <v>0</v>
      </c>
      <c r="BB1090" s="52">
        <f t="shared" ca="1" si="7200"/>
        <v>0</v>
      </c>
      <c r="BC1090" s="52">
        <f t="shared" ca="1" si="7200"/>
        <v>0</v>
      </c>
      <c r="BD1090" s="52">
        <f t="shared" ca="1" si="7200"/>
        <v>0</v>
      </c>
      <c r="BE1090" s="52">
        <f t="shared" ca="1" si="7200"/>
        <v>0</v>
      </c>
      <c r="BF1090" s="52">
        <f t="shared" ca="1" si="7200"/>
        <v>0</v>
      </c>
      <c r="BG1090" s="52">
        <f t="shared" ca="1" si="7200"/>
        <v>0</v>
      </c>
      <c r="BH1090" s="52">
        <f t="shared" ca="1" si="7200"/>
        <v>0</v>
      </c>
      <c r="BI1090" s="52">
        <f t="shared" ca="1" si="7200"/>
        <v>0</v>
      </c>
      <c r="BJ1090" s="52">
        <f t="shared" ca="1" si="7200"/>
        <v>0</v>
      </c>
      <c r="BK1090" s="52">
        <f t="shared" ca="1" si="7200"/>
        <v>0</v>
      </c>
      <c r="BL1090" s="52">
        <f t="shared" ca="1" si="7200"/>
        <v>0</v>
      </c>
      <c r="BM1090" s="52">
        <f t="shared" ca="1" si="7200"/>
        <v>0</v>
      </c>
      <c r="BN1090" s="52">
        <f t="shared" ca="1" si="7200"/>
        <v>0</v>
      </c>
      <c r="BO1090" s="52">
        <f t="shared" ca="1" si="7200"/>
        <v>0</v>
      </c>
      <c r="BP1090" s="52">
        <f t="shared" ca="1" si="7200"/>
        <v>0</v>
      </c>
      <c r="BQ1090" s="52">
        <f t="shared" ca="1" si="7200"/>
        <v>0</v>
      </c>
      <c r="BR1090" s="52">
        <f t="shared" ca="1" si="7200"/>
        <v>0</v>
      </c>
      <c r="BS1090" s="52">
        <f t="shared" ca="1" si="7200"/>
        <v>0</v>
      </c>
      <c r="BT1090" s="52">
        <f t="shared" ca="1" si="7200"/>
        <v>0</v>
      </c>
      <c r="BU1090" s="52">
        <f t="shared" ca="1" si="7200"/>
        <v>0</v>
      </c>
      <c r="BV1090" s="52">
        <f t="shared" ca="1" si="7200"/>
        <v>0</v>
      </c>
      <c r="BW1090" s="52">
        <f t="shared" ca="1" si="7200"/>
        <v>0</v>
      </c>
      <c r="BX1090" s="52">
        <f t="shared" ca="1" si="7200"/>
        <v>0</v>
      </c>
      <c r="BY1090" s="52">
        <f t="shared" ca="1" si="7200"/>
        <v>0</v>
      </c>
      <c r="BZ1090" s="52">
        <f t="shared" ca="1" si="7200"/>
        <v>0</v>
      </c>
      <c r="CA1090" s="52">
        <f t="shared" ca="1" si="7200"/>
        <v>0</v>
      </c>
      <c r="CB1090" s="52">
        <f t="shared" ca="1" si="7200"/>
        <v>0</v>
      </c>
      <c r="CC1090" s="52">
        <f t="shared" ca="1" si="7200"/>
        <v>0</v>
      </c>
      <c r="CD1090" s="52">
        <f t="shared" ca="1" si="7200"/>
        <v>0</v>
      </c>
      <c r="CE1090" s="52">
        <f t="shared" ca="1" si="7200"/>
        <v>0</v>
      </c>
      <c r="CF1090" s="52">
        <f t="shared" ref="CF1090:CO1090" ca="1" si="7201">IF(Year&lt;$E$1096,MIN(-CF1088,CF1093*$E$1095),MIN(-CF1088,CF1093))</f>
        <v>0</v>
      </c>
      <c r="CG1090" s="52">
        <f t="shared" ca="1" si="7201"/>
        <v>0</v>
      </c>
      <c r="CH1090" s="52">
        <f t="shared" ca="1" si="7201"/>
        <v>0</v>
      </c>
      <c r="CI1090" s="52">
        <f t="shared" ca="1" si="7201"/>
        <v>0</v>
      </c>
      <c r="CJ1090" s="52">
        <f t="shared" ca="1" si="7201"/>
        <v>0</v>
      </c>
      <c r="CK1090" s="52">
        <f t="shared" ca="1" si="7201"/>
        <v>0</v>
      </c>
      <c r="CL1090" s="52">
        <f t="shared" ca="1" si="7201"/>
        <v>0</v>
      </c>
      <c r="CM1090" s="52">
        <f t="shared" ca="1" si="7201"/>
        <v>0</v>
      </c>
      <c r="CN1090" s="52">
        <f t="shared" ca="1" si="7201"/>
        <v>0</v>
      </c>
      <c r="CO1090" s="52">
        <f t="shared" ca="1" si="7201"/>
        <v>0</v>
      </c>
    </row>
    <row r="1091" spans="1:93">
      <c r="A1091" s="10"/>
      <c r="B1091" s="10"/>
      <c r="C1091" s="17" t="s">
        <v>155</v>
      </c>
      <c r="D1091" s="10"/>
      <c r="E1091" s="62"/>
      <c r="F1091" s="10"/>
      <c r="G1091" s="134" t="str">
        <f>Monetary_Unit</f>
        <v>тыс. руб.</v>
      </c>
      <c r="H1091" s="10"/>
      <c r="I1091" s="10"/>
      <c r="J1091" s="10"/>
      <c r="K1091" s="10"/>
      <c r="L1091" s="52">
        <f t="shared" ref="L1091:R1091" ca="1" si="7202">SUM(L1088:L1090)</f>
        <v>0</v>
      </c>
      <c r="M1091" s="52">
        <f t="shared" ca="1" si="7202"/>
        <v>0</v>
      </c>
      <c r="N1091" s="52">
        <f t="shared" ca="1" si="7202"/>
        <v>0</v>
      </c>
      <c r="O1091" s="52">
        <f t="shared" ca="1" si="7202"/>
        <v>0</v>
      </c>
      <c r="P1091" s="52">
        <f t="shared" ca="1" si="7202"/>
        <v>0</v>
      </c>
      <c r="Q1091" s="52">
        <f t="shared" ca="1" si="7202"/>
        <v>0</v>
      </c>
      <c r="R1091" s="52">
        <f t="shared" ca="1" si="7202"/>
        <v>0</v>
      </c>
      <c r="S1091" s="52">
        <f t="shared" ref="S1091" ca="1" si="7203">SUM(S1088:S1090)</f>
        <v>-738.99174247580174</v>
      </c>
      <c r="T1091" s="52">
        <f t="shared" ref="T1091:CE1091" ca="1" si="7204">SUM(T1088:T1090)</f>
        <v>-7319.6460901227119</v>
      </c>
      <c r="U1091" s="52">
        <f t="shared" ca="1" si="7204"/>
        <v>-17744.474722948584</v>
      </c>
      <c r="V1091" s="52">
        <f t="shared" ca="1" si="7204"/>
        <v>-32133.924064307597</v>
      </c>
      <c r="W1091" s="52">
        <f t="shared" ca="1" si="7204"/>
        <v>-50411.371785418785</v>
      </c>
      <c r="X1091" s="52">
        <f t="shared" ca="1" si="7204"/>
        <v>-74552.228624197203</v>
      </c>
      <c r="Y1091" s="52">
        <f t="shared" ca="1" si="7204"/>
        <v>-106861.23449808362</v>
      </c>
      <c r="Z1091" s="52">
        <f t="shared" ca="1" si="7204"/>
        <v>-147864.56184095691</v>
      </c>
      <c r="AA1091" s="52">
        <f t="shared" ca="1" si="7204"/>
        <v>-197289.33692324863</v>
      </c>
      <c r="AB1091" s="52">
        <f t="shared" ca="1" si="7204"/>
        <v>-255380.07450313671</v>
      </c>
      <c r="AC1091" s="52">
        <f t="shared" ca="1" si="7204"/>
        <v>-881169.24681567203</v>
      </c>
      <c r="AD1091" s="52">
        <f t="shared" ca="1" si="7204"/>
        <v>-811674.74146066478</v>
      </c>
      <c r="AE1091" s="52">
        <f t="shared" ca="1" si="7204"/>
        <v>-794521.33793652907</v>
      </c>
      <c r="AF1091" s="52">
        <f t="shared" ca="1" si="7204"/>
        <v>-777259.66109243699</v>
      </c>
      <c r="AG1091" s="52">
        <f t="shared" ca="1" si="7204"/>
        <v>-715590.63425576186</v>
      </c>
      <c r="AH1091" s="52">
        <f t="shared" ca="1" si="7204"/>
        <v>-618009.95882433082</v>
      </c>
      <c r="AI1091" s="52">
        <f t="shared" ca="1" si="7204"/>
        <v>-583148.35676146403</v>
      </c>
      <c r="AJ1091" s="52">
        <f t="shared" ca="1" si="7204"/>
        <v>-548834.38023988705</v>
      </c>
      <c r="AK1091" s="52">
        <f t="shared" ca="1" si="7204"/>
        <v>-462720.53858523443</v>
      </c>
      <c r="AL1091" s="52">
        <f t="shared" ca="1" si="7204"/>
        <v>-335096.65950707113</v>
      </c>
      <c r="AM1091" s="52">
        <f t="shared" ca="1" si="7204"/>
        <v>-281316.0772238081</v>
      </c>
      <c r="AN1091" s="52">
        <f t="shared" ca="1" si="7204"/>
        <v>-227832.09792221681</v>
      </c>
      <c r="AO1091" s="52">
        <f t="shared" ca="1" si="7204"/>
        <v>-115531.03323545236</v>
      </c>
      <c r="AP1091" s="52">
        <f t="shared" ca="1" si="7204"/>
        <v>0</v>
      </c>
      <c r="AQ1091" s="52">
        <f t="shared" ca="1" si="7204"/>
        <v>0</v>
      </c>
      <c r="AR1091" s="52">
        <f t="shared" ca="1" si="7204"/>
        <v>0</v>
      </c>
      <c r="AS1091" s="52">
        <f t="shared" ca="1" si="7204"/>
        <v>0</v>
      </c>
      <c r="AT1091" s="52">
        <f t="shared" ca="1" si="7204"/>
        <v>0</v>
      </c>
      <c r="AU1091" s="52">
        <f t="shared" ca="1" si="7204"/>
        <v>0</v>
      </c>
      <c r="AV1091" s="52">
        <f t="shared" ca="1" si="7204"/>
        <v>0</v>
      </c>
      <c r="AW1091" s="52">
        <f t="shared" ca="1" si="7204"/>
        <v>0</v>
      </c>
      <c r="AX1091" s="52">
        <f t="shared" ca="1" si="7204"/>
        <v>0</v>
      </c>
      <c r="AY1091" s="52">
        <f t="shared" ca="1" si="7204"/>
        <v>0</v>
      </c>
      <c r="AZ1091" s="52">
        <f t="shared" ca="1" si="7204"/>
        <v>0</v>
      </c>
      <c r="BA1091" s="52">
        <f t="shared" ca="1" si="7204"/>
        <v>0</v>
      </c>
      <c r="BB1091" s="52">
        <f t="shared" ca="1" si="7204"/>
        <v>0</v>
      </c>
      <c r="BC1091" s="52">
        <f t="shared" ca="1" si="7204"/>
        <v>0</v>
      </c>
      <c r="BD1091" s="52">
        <f t="shared" ca="1" si="7204"/>
        <v>0</v>
      </c>
      <c r="BE1091" s="52">
        <f t="shared" ca="1" si="7204"/>
        <v>0</v>
      </c>
      <c r="BF1091" s="52">
        <f t="shared" ca="1" si="7204"/>
        <v>0</v>
      </c>
      <c r="BG1091" s="52">
        <f t="shared" ca="1" si="7204"/>
        <v>0</v>
      </c>
      <c r="BH1091" s="52">
        <f t="shared" ca="1" si="7204"/>
        <v>0</v>
      </c>
      <c r="BI1091" s="52">
        <f t="shared" ca="1" si="7204"/>
        <v>0</v>
      </c>
      <c r="BJ1091" s="52">
        <f t="shared" ca="1" si="7204"/>
        <v>0</v>
      </c>
      <c r="BK1091" s="52">
        <f t="shared" ca="1" si="7204"/>
        <v>0</v>
      </c>
      <c r="BL1091" s="52">
        <f t="shared" ca="1" si="7204"/>
        <v>0</v>
      </c>
      <c r="BM1091" s="52">
        <f t="shared" ca="1" si="7204"/>
        <v>0</v>
      </c>
      <c r="BN1091" s="52">
        <f t="shared" ca="1" si="7204"/>
        <v>0</v>
      </c>
      <c r="BO1091" s="52">
        <f t="shared" ca="1" si="7204"/>
        <v>0</v>
      </c>
      <c r="BP1091" s="52">
        <f t="shared" ca="1" si="7204"/>
        <v>0</v>
      </c>
      <c r="BQ1091" s="52">
        <f t="shared" ca="1" si="7204"/>
        <v>0</v>
      </c>
      <c r="BR1091" s="52">
        <f t="shared" ca="1" si="7204"/>
        <v>0</v>
      </c>
      <c r="BS1091" s="52">
        <f t="shared" ca="1" si="7204"/>
        <v>0</v>
      </c>
      <c r="BT1091" s="52">
        <f t="shared" ca="1" si="7204"/>
        <v>0</v>
      </c>
      <c r="BU1091" s="52">
        <f t="shared" ca="1" si="7204"/>
        <v>0</v>
      </c>
      <c r="BV1091" s="52">
        <f t="shared" ca="1" si="7204"/>
        <v>0</v>
      </c>
      <c r="BW1091" s="52">
        <f t="shared" ca="1" si="7204"/>
        <v>0</v>
      </c>
      <c r="BX1091" s="52">
        <f t="shared" ca="1" si="7204"/>
        <v>0</v>
      </c>
      <c r="BY1091" s="52">
        <f t="shared" ca="1" si="7204"/>
        <v>0</v>
      </c>
      <c r="BZ1091" s="52">
        <f t="shared" ca="1" si="7204"/>
        <v>0</v>
      </c>
      <c r="CA1091" s="52">
        <f t="shared" ca="1" si="7204"/>
        <v>0</v>
      </c>
      <c r="CB1091" s="52">
        <f t="shared" ca="1" si="7204"/>
        <v>0</v>
      </c>
      <c r="CC1091" s="52">
        <f t="shared" ca="1" si="7204"/>
        <v>0</v>
      </c>
      <c r="CD1091" s="52">
        <f t="shared" ca="1" si="7204"/>
        <v>0</v>
      </c>
      <c r="CE1091" s="52">
        <f t="shared" ca="1" si="7204"/>
        <v>0</v>
      </c>
      <c r="CF1091" s="52">
        <f t="shared" ref="CF1091:CO1091" ca="1" si="7205">SUM(CF1088:CF1090)</f>
        <v>0</v>
      </c>
      <c r="CG1091" s="52">
        <f t="shared" ca="1" si="7205"/>
        <v>0</v>
      </c>
      <c r="CH1091" s="52">
        <f t="shared" ca="1" si="7205"/>
        <v>0</v>
      </c>
      <c r="CI1091" s="52">
        <f t="shared" ca="1" si="7205"/>
        <v>0</v>
      </c>
      <c r="CJ1091" s="52">
        <f t="shared" ca="1" si="7205"/>
        <v>0</v>
      </c>
      <c r="CK1091" s="52">
        <f t="shared" ca="1" si="7205"/>
        <v>0</v>
      </c>
      <c r="CL1091" s="52">
        <f t="shared" ca="1" si="7205"/>
        <v>0</v>
      </c>
      <c r="CM1091" s="52">
        <f t="shared" ca="1" si="7205"/>
        <v>0</v>
      </c>
      <c r="CN1091" s="52">
        <f t="shared" ca="1" si="7205"/>
        <v>0</v>
      </c>
      <c r="CO1091" s="52">
        <f t="shared" ca="1" si="7205"/>
        <v>0</v>
      </c>
    </row>
    <row r="1092" spans="1:93">
      <c r="A1092" s="10"/>
      <c r="B1092" s="10"/>
      <c r="C1092" s="17" t="s">
        <v>150</v>
      </c>
      <c r="D1092" s="10"/>
      <c r="E1092" s="62"/>
      <c r="F1092" s="10"/>
      <c r="G1092" s="11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  <c r="BB1092" s="10"/>
      <c r="BC1092" s="10"/>
      <c r="BD1092" s="10"/>
      <c r="BE1092" s="10"/>
      <c r="BF1092" s="10"/>
      <c r="BG1092" s="10"/>
      <c r="BH1092" s="10"/>
      <c r="BI1092" s="10"/>
      <c r="BJ1092" s="10"/>
      <c r="BK1092" s="10"/>
      <c r="BL1092" s="10"/>
      <c r="BM1092" s="10"/>
      <c r="BN1092" s="10"/>
      <c r="BO1092" s="10"/>
      <c r="BP1092" s="10"/>
      <c r="BQ1092" s="10"/>
      <c r="BR1092" s="10"/>
      <c r="BS1092" s="10"/>
      <c r="BT1092" s="10"/>
      <c r="BU1092" s="10"/>
      <c r="BV1092" s="10"/>
      <c r="BW1092" s="10"/>
      <c r="BX1092" s="10"/>
      <c r="BY1092" s="10"/>
      <c r="BZ1092" s="10"/>
      <c r="CA1092" s="10"/>
      <c r="CB1092" s="10"/>
      <c r="CC1092" s="10"/>
      <c r="CD1092" s="10"/>
      <c r="CE1092" s="10"/>
      <c r="CF1092" s="10"/>
      <c r="CG1092" s="10"/>
      <c r="CH1092" s="10"/>
      <c r="CI1092" s="10"/>
      <c r="CJ1092" s="10"/>
      <c r="CK1092" s="10"/>
      <c r="CL1092" s="10"/>
      <c r="CM1092" s="10"/>
      <c r="CN1092" s="10"/>
      <c r="CO1092" s="10"/>
    </row>
    <row r="1093" spans="1:93">
      <c r="A1093" s="10"/>
      <c r="B1093" s="10"/>
      <c r="C1093" s="17" t="s">
        <v>406</v>
      </c>
      <c r="D1093" s="10"/>
      <c r="E1093" s="62"/>
      <c r="F1093" s="10"/>
      <c r="G1093" s="134" t="str">
        <f>Monetary_Unit</f>
        <v>тыс. руб.</v>
      </c>
      <c r="H1093" s="10"/>
      <c r="I1093" s="23">
        <f ca="1">SUM(L1093:CO1093)</f>
        <v>12311030.802585253</v>
      </c>
      <c r="J1093" s="10"/>
      <c r="K1093" s="10"/>
      <c r="L1093" s="52">
        <f t="shared" ref="L1093:R1093" ca="1" si="7206">MAX(L1082,0)</f>
        <v>0</v>
      </c>
      <c r="M1093" s="52">
        <f t="shared" ca="1" si="7206"/>
        <v>0</v>
      </c>
      <c r="N1093" s="52">
        <f t="shared" ca="1" si="7206"/>
        <v>0</v>
      </c>
      <c r="O1093" s="52">
        <f t="shared" ca="1" si="7206"/>
        <v>0</v>
      </c>
      <c r="P1093" s="52">
        <f t="shared" ca="1" si="7206"/>
        <v>0</v>
      </c>
      <c r="Q1093" s="52">
        <f t="shared" ca="1" si="7206"/>
        <v>0</v>
      </c>
      <c r="R1093" s="52">
        <f t="shared" ca="1" si="7206"/>
        <v>0</v>
      </c>
      <c r="S1093" s="52">
        <f t="shared" ref="S1093" ca="1" si="7207">MAX(S1082,0)</f>
        <v>0</v>
      </c>
      <c r="T1093" s="52">
        <f t="shared" ref="T1093:CE1093" ca="1" si="7208">MAX(T1082,0)</f>
        <v>0</v>
      </c>
      <c r="U1093" s="52">
        <f t="shared" ca="1" si="7208"/>
        <v>0</v>
      </c>
      <c r="V1093" s="52">
        <f t="shared" ca="1" si="7208"/>
        <v>0</v>
      </c>
      <c r="W1093" s="52">
        <f t="shared" ca="1" si="7208"/>
        <v>0</v>
      </c>
      <c r="X1093" s="52">
        <f t="shared" ca="1" si="7208"/>
        <v>0</v>
      </c>
      <c r="Y1093" s="52">
        <f t="shared" ca="1" si="7208"/>
        <v>0</v>
      </c>
      <c r="Z1093" s="52">
        <f t="shared" ca="1" si="7208"/>
        <v>0</v>
      </c>
      <c r="AA1093" s="52">
        <f t="shared" ca="1" si="7208"/>
        <v>0</v>
      </c>
      <c r="AB1093" s="52">
        <f t="shared" ca="1" si="7208"/>
        <v>0</v>
      </c>
      <c r="AC1093" s="52">
        <f t="shared" ca="1" si="7208"/>
        <v>0</v>
      </c>
      <c r="AD1093" s="52">
        <f t="shared" ca="1" si="7208"/>
        <v>138989.01071001441</v>
      </c>
      <c r="AE1093" s="52">
        <f t="shared" ca="1" si="7208"/>
        <v>34306.807048271352</v>
      </c>
      <c r="AF1093" s="52">
        <f t="shared" ca="1" si="7208"/>
        <v>34523.353688184092</v>
      </c>
      <c r="AG1093" s="52">
        <f t="shared" ca="1" si="7208"/>
        <v>123338.05367335031</v>
      </c>
      <c r="AH1093" s="52">
        <f t="shared" ca="1" si="7208"/>
        <v>195161.35086286208</v>
      </c>
      <c r="AI1093" s="52">
        <f t="shared" ca="1" si="7208"/>
        <v>69723.204125733551</v>
      </c>
      <c r="AJ1093" s="52">
        <f t="shared" ca="1" si="7208"/>
        <v>68627.953043154048</v>
      </c>
      <c r="AK1093" s="52">
        <f t="shared" ca="1" si="7208"/>
        <v>172227.68330930526</v>
      </c>
      <c r="AL1093" s="52">
        <f t="shared" ca="1" si="7208"/>
        <v>255247.75815632654</v>
      </c>
      <c r="AM1093" s="52">
        <f t="shared" ca="1" si="7208"/>
        <v>107561.16456652607</v>
      </c>
      <c r="AN1093" s="52">
        <f t="shared" ca="1" si="7208"/>
        <v>106967.95860318255</v>
      </c>
      <c r="AO1093" s="52">
        <f t="shared" ca="1" si="7208"/>
        <v>224602.12937352891</v>
      </c>
      <c r="AP1093" s="52">
        <f t="shared" ca="1" si="7208"/>
        <v>309108.21263015375</v>
      </c>
      <c r="AQ1093" s="52">
        <f t="shared" ca="1" si="7208"/>
        <v>136079.74997291784</v>
      </c>
      <c r="AR1093" s="52">
        <f t="shared" ca="1" si="7208"/>
        <v>126868.34607662617</v>
      </c>
      <c r="AS1093" s="52">
        <f t="shared" ca="1" si="7208"/>
        <v>245517.74104440119</v>
      </c>
      <c r="AT1093" s="52">
        <f t="shared" ca="1" si="7208"/>
        <v>333548.59011839126</v>
      </c>
      <c r="AU1093" s="52">
        <f t="shared" ca="1" si="7208"/>
        <v>153637.91463727219</v>
      </c>
      <c r="AV1093" s="52">
        <f t="shared" ca="1" si="7208"/>
        <v>143994.44048417633</v>
      </c>
      <c r="AW1093" s="52">
        <f t="shared" ca="1" si="7208"/>
        <v>134276.98258750283</v>
      </c>
      <c r="AX1093" s="52">
        <f t="shared" ca="1" si="7208"/>
        <v>192023.53013745663</v>
      </c>
      <c r="AY1093" s="52">
        <f t="shared" ca="1" si="7208"/>
        <v>76515.969432720478</v>
      </c>
      <c r="AZ1093" s="52">
        <f t="shared" ca="1" si="7208"/>
        <v>70499.600746278215</v>
      </c>
      <c r="BA1093" s="52">
        <f t="shared" ca="1" si="7208"/>
        <v>150493.52778663478</v>
      </c>
      <c r="BB1093" s="52">
        <f t="shared" ca="1" si="7208"/>
        <v>210608.63258394229</v>
      </c>
      <c r="BC1093" s="52">
        <f t="shared" ca="1" si="7208"/>
        <v>92097.620795491559</v>
      </c>
      <c r="BD1093" s="52">
        <f t="shared" ca="1" si="7208"/>
        <v>87405.897798917416</v>
      </c>
      <c r="BE1093" s="52">
        <f t="shared" ca="1" si="7208"/>
        <v>196790.7568792493</v>
      </c>
      <c r="BF1093" s="52">
        <f t="shared" ca="1" si="7208"/>
        <v>259585.6867414185</v>
      </c>
      <c r="BG1093" s="52">
        <f t="shared" ca="1" si="7208"/>
        <v>135913.4463986975</v>
      </c>
      <c r="BH1093" s="52">
        <f t="shared" ca="1" si="7208"/>
        <v>129778.92152860059</v>
      </c>
      <c r="BI1093" s="52">
        <f t="shared" ca="1" si="7208"/>
        <v>214899.26108252862</v>
      </c>
      <c r="BJ1093" s="52">
        <f t="shared" ca="1" si="7208"/>
        <v>277688.85557670862</v>
      </c>
      <c r="BK1093" s="52">
        <f t="shared" ca="1" si="7208"/>
        <v>145234.05326823</v>
      </c>
      <c r="BL1093" s="52">
        <f t="shared" ca="1" si="7208"/>
        <v>136225.61477267972</v>
      </c>
      <c r="BM1093" s="52">
        <f t="shared" ca="1" si="7208"/>
        <v>224752.34875243774</v>
      </c>
      <c r="BN1093" s="52">
        <f t="shared" ca="1" si="7208"/>
        <v>290055.10787005787</v>
      </c>
      <c r="BO1093" s="52">
        <f t="shared" ca="1" si="7208"/>
        <v>152302.11346923996</v>
      </c>
      <c r="BP1093" s="52">
        <f t="shared" ca="1" si="7208"/>
        <v>142930.17574652194</v>
      </c>
      <c r="BQ1093" s="52">
        <f t="shared" ca="1" si="7208"/>
        <v>234999.55992914294</v>
      </c>
      <c r="BR1093" s="52">
        <f t="shared" ca="1" si="7208"/>
        <v>302916.01025514078</v>
      </c>
      <c r="BS1093" s="52">
        <f t="shared" ca="1" si="7208"/>
        <v>159652.89607829018</v>
      </c>
      <c r="BT1093" s="52">
        <f t="shared" ca="1" si="7208"/>
        <v>151888.5015600301</v>
      </c>
      <c r="BU1093" s="52">
        <f t="shared" ca="1" si="7208"/>
        <v>245667.42410334822</v>
      </c>
      <c r="BV1093" s="52">
        <f t="shared" ca="1" si="7208"/>
        <v>316302.24092455296</v>
      </c>
      <c r="BW1093" s="52">
        <f t="shared" ca="1" si="7208"/>
        <v>167308.61161945679</v>
      </c>
      <c r="BX1093" s="52">
        <f t="shared" ca="1" si="7208"/>
        <v>157154.57230862576</v>
      </c>
      <c r="BY1093" s="52">
        <f t="shared" ca="1" si="7208"/>
        <v>256740.04316164099</v>
      </c>
      <c r="BZ1093" s="52">
        <f t="shared" ca="1" si="7208"/>
        <v>330201.70075533254</v>
      </c>
      <c r="CA1093" s="52">
        <f t="shared" ca="1" si="7208"/>
        <v>175248.31646165135</v>
      </c>
      <c r="CB1093" s="52">
        <f t="shared" ca="1" si="7208"/>
        <v>164696.29158390607</v>
      </c>
      <c r="CC1093" s="52">
        <f t="shared" ca="1" si="7208"/>
        <v>268266.76211471483</v>
      </c>
      <c r="CD1093" s="52">
        <f t="shared" ca="1" si="7208"/>
        <v>344668.46685582661</v>
      </c>
      <c r="CE1093" s="52">
        <f t="shared" ca="1" si="7208"/>
        <v>183516.94719039812</v>
      </c>
      <c r="CF1093" s="52">
        <f t="shared" ref="CF1093:CO1093" ca="1" si="7209">MAX(CF1082,0)</f>
        <v>172539.67963019738</v>
      </c>
      <c r="CG1093" s="52">
        <f t="shared" ca="1" si="7209"/>
        <v>280254.54982591141</v>
      </c>
      <c r="CH1093" s="52">
        <f t="shared" ca="1" si="7209"/>
        <v>359713.90360034053</v>
      </c>
      <c r="CI1093" s="52">
        <f t="shared" ca="1" si="7209"/>
        <v>192116.32314829482</v>
      </c>
      <c r="CJ1093" s="52">
        <f t="shared" ca="1" si="7209"/>
        <v>183024.69768396759</v>
      </c>
      <c r="CK1093" s="52">
        <f t="shared" ca="1" si="7209"/>
        <v>292732.77296884492</v>
      </c>
      <c r="CL1093" s="52">
        <f t="shared" ca="1" si="7209"/>
        <v>375372.21271539101</v>
      </c>
      <c r="CM1093" s="52">
        <f t="shared" ca="1" si="7209"/>
        <v>201070.7400873577</v>
      </c>
      <c r="CN1093" s="52">
        <f t="shared" ca="1" si="7209"/>
        <v>189180.21170920893</v>
      </c>
      <c r="CO1093" s="52">
        <f t="shared" ca="1" si="7209"/>
        <v>305687.84023398568</v>
      </c>
    </row>
    <row r="1094" spans="1:93">
      <c r="A1094" s="10"/>
      <c r="B1094" s="10"/>
      <c r="C1094" s="17"/>
      <c r="D1094" s="10"/>
      <c r="E1094" s="10"/>
      <c r="F1094" s="10"/>
      <c r="G1094" s="11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  <c r="BB1094" s="10"/>
      <c r="BC1094" s="10"/>
      <c r="BD1094" s="10"/>
      <c r="BE1094" s="10"/>
      <c r="BF1094" s="10"/>
      <c r="BG1094" s="10"/>
      <c r="BH1094" s="10"/>
      <c r="BI1094" s="10"/>
      <c r="BJ1094" s="10"/>
      <c r="BK1094" s="10"/>
      <c r="BL1094" s="10"/>
      <c r="BM1094" s="10"/>
      <c r="BN1094" s="10"/>
      <c r="BO1094" s="10"/>
      <c r="BP1094" s="10"/>
      <c r="BQ1094" s="10"/>
      <c r="BR1094" s="10"/>
      <c r="BS1094" s="10"/>
      <c r="BT1094" s="10"/>
      <c r="BU1094" s="10"/>
      <c r="BV1094" s="10"/>
      <c r="BW1094" s="10"/>
      <c r="BX1094" s="10"/>
      <c r="BY1094" s="10"/>
      <c r="BZ1094" s="10"/>
      <c r="CA1094" s="10"/>
      <c r="CB1094" s="10"/>
      <c r="CC1094" s="10"/>
      <c r="CD1094" s="10"/>
      <c r="CE1094" s="10"/>
      <c r="CF1094" s="10"/>
      <c r="CG1094" s="10"/>
      <c r="CH1094" s="10"/>
      <c r="CI1094" s="10"/>
      <c r="CJ1094" s="10"/>
      <c r="CK1094" s="10"/>
      <c r="CL1094" s="10"/>
      <c r="CM1094" s="10"/>
      <c r="CN1094" s="10"/>
      <c r="CO1094" s="10"/>
    </row>
    <row r="1095" spans="1:93">
      <c r="A1095" s="10"/>
      <c r="B1095" s="10"/>
      <c r="C1095" s="17" t="s">
        <v>407</v>
      </c>
      <c r="D1095" s="10"/>
      <c r="E1095" s="178">
        <f xml:space="preserve"> Предпосылки!E633</f>
        <v>0.5</v>
      </c>
      <c r="F1095" s="10"/>
      <c r="G1095" s="11" t="s">
        <v>28</v>
      </c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  <c r="BB1095" s="10"/>
      <c r="BC1095" s="10"/>
      <c r="BD1095" s="10"/>
      <c r="BE1095" s="10"/>
      <c r="BF1095" s="10"/>
      <c r="BG1095" s="10"/>
      <c r="BH1095" s="10"/>
      <c r="BI1095" s="10"/>
      <c r="BJ1095" s="10"/>
      <c r="BK1095" s="10"/>
      <c r="BL1095" s="10"/>
      <c r="BM1095" s="10"/>
      <c r="BN1095" s="10"/>
      <c r="BO1095" s="10"/>
      <c r="BP1095" s="10"/>
      <c r="BQ1095" s="10"/>
      <c r="BR1095" s="10"/>
      <c r="BS1095" s="10"/>
      <c r="BT1095" s="10"/>
      <c r="BU1095" s="10"/>
      <c r="BV1095" s="10"/>
      <c r="BW1095" s="10"/>
      <c r="BX1095" s="10"/>
      <c r="BY1095" s="10"/>
      <c r="BZ1095" s="10"/>
      <c r="CA1095" s="10"/>
      <c r="CB1095" s="10"/>
      <c r="CC1095" s="10"/>
      <c r="CD1095" s="10"/>
      <c r="CE1095" s="10"/>
      <c r="CF1095" s="10"/>
      <c r="CG1095" s="10"/>
      <c r="CH1095" s="10"/>
      <c r="CI1095" s="10"/>
      <c r="CJ1095" s="10"/>
      <c r="CK1095" s="10"/>
      <c r="CL1095" s="10"/>
      <c r="CM1095" s="10"/>
      <c r="CN1095" s="10"/>
      <c r="CO1095" s="10"/>
    </row>
    <row r="1096" spans="1:93" ht="26">
      <c r="A1096" s="10"/>
      <c r="B1096" s="10"/>
      <c r="C1096" s="40" t="s">
        <v>118</v>
      </c>
      <c r="D1096" s="10"/>
      <c r="E1096" s="381">
        <f xml:space="preserve"> Предпосылки!E634</f>
        <v>2039</v>
      </c>
      <c r="F1096" s="10"/>
      <c r="G1096" s="11" t="s">
        <v>45</v>
      </c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  <c r="BB1096" s="10"/>
      <c r="BC1096" s="10"/>
      <c r="BD1096" s="10"/>
      <c r="BE1096" s="10"/>
      <c r="BF1096" s="10"/>
      <c r="BG1096" s="10"/>
      <c r="BH1096" s="10"/>
      <c r="BI1096" s="10"/>
      <c r="BJ1096" s="10"/>
      <c r="BK1096" s="10"/>
      <c r="BL1096" s="10"/>
      <c r="BM1096" s="10"/>
      <c r="BN1096" s="10"/>
      <c r="BO1096" s="10"/>
      <c r="BP1096" s="10"/>
      <c r="BQ1096" s="10"/>
      <c r="BR1096" s="10"/>
      <c r="BS1096" s="10"/>
      <c r="BT1096" s="10"/>
      <c r="BU1096" s="10"/>
      <c r="BV1096" s="10"/>
      <c r="BW1096" s="10"/>
      <c r="BX1096" s="10"/>
      <c r="BY1096" s="10"/>
      <c r="BZ1096" s="10"/>
      <c r="CA1096" s="10"/>
      <c r="CB1096" s="10"/>
      <c r="CC1096" s="10"/>
      <c r="CD1096" s="10"/>
      <c r="CE1096" s="10"/>
      <c r="CF1096" s="10"/>
      <c r="CG1096" s="10"/>
      <c r="CH1096" s="10"/>
      <c r="CI1096" s="10"/>
      <c r="CJ1096" s="10"/>
      <c r="CK1096" s="10"/>
      <c r="CL1096" s="10"/>
      <c r="CM1096" s="10"/>
      <c r="CN1096" s="10"/>
      <c r="CO1096" s="10"/>
    </row>
    <row r="1097" spans="1:93">
      <c r="A1097" s="10"/>
      <c r="B1097" s="10"/>
      <c r="C1097" s="10"/>
      <c r="D1097" s="10"/>
      <c r="E1097" s="10"/>
      <c r="F1097" s="10"/>
      <c r="G1097" s="11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  <c r="BB1097" s="10"/>
      <c r="BC1097" s="10"/>
      <c r="BD1097" s="10"/>
      <c r="BE1097" s="10"/>
      <c r="BF1097" s="10"/>
      <c r="BG1097" s="10"/>
      <c r="BH1097" s="10"/>
      <c r="BI1097" s="10"/>
      <c r="BJ1097" s="10"/>
      <c r="BK1097" s="10"/>
      <c r="BL1097" s="10"/>
      <c r="BM1097" s="10"/>
      <c r="BN1097" s="10"/>
      <c r="BO1097" s="10"/>
      <c r="BP1097" s="10"/>
      <c r="BQ1097" s="10"/>
      <c r="BR1097" s="10"/>
      <c r="BS1097" s="10"/>
      <c r="BT1097" s="10"/>
      <c r="BU1097" s="10"/>
      <c r="BV1097" s="10"/>
      <c r="BW1097" s="10"/>
      <c r="BX1097" s="10"/>
      <c r="BY1097" s="10"/>
      <c r="BZ1097" s="10"/>
      <c r="CA1097" s="10"/>
      <c r="CB1097" s="10"/>
      <c r="CC1097" s="10"/>
      <c r="CD1097" s="10"/>
      <c r="CE1097" s="10"/>
      <c r="CF1097" s="10"/>
      <c r="CG1097" s="10"/>
      <c r="CH1097" s="10"/>
      <c r="CI1097" s="10"/>
      <c r="CJ1097" s="10"/>
      <c r="CK1097" s="10"/>
      <c r="CL1097" s="10"/>
      <c r="CM1097" s="10"/>
      <c r="CN1097" s="10"/>
      <c r="CO1097" s="10"/>
    </row>
    <row r="1098" spans="1:93" ht="22.5" customHeight="1">
      <c r="A1098" s="10"/>
      <c r="B1098" s="5" t="s">
        <v>111</v>
      </c>
      <c r="C1098" s="5"/>
      <c r="D1098" s="15"/>
      <c r="E1098" s="15"/>
      <c r="F1098" s="31"/>
      <c r="G1098" s="18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31"/>
      <c r="AQ1098" s="31"/>
      <c r="AR1098" s="31"/>
      <c r="AS1098" s="31"/>
      <c r="AT1098" s="31"/>
      <c r="AU1098" s="31"/>
      <c r="AV1098" s="31"/>
      <c r="AW1098" s="31"/>
      <c r="AX1098" s="31"/>
      <c r="AY1098" s="31"/>
      <c r="AZ1098" s="31"/>
      <c r="BA1098" s="31"/>
      <c r="BB1098" s="31"/>
      <c r="BC1098" s="31"/>
      <c r="BD1098" s="31"/>
      <c r="BE1098" s="31"/>
      <c r="BF1098" s="31"/>
      <c r="BG1098" s="31"/>
      <c r="BH1098" s="31"/>
      <c r="BI1098" s="31"/>
      <c r="BJ1098" s="31"/>
      <c r="BK1098" s="31"/>
      <c r="BL1098" s="31"/>
      <c r="BM1098" s="31"/>
      <c r="BN1098" s="31"/>
      <c r="BO1098" s="31"/>
      <c r="BP1098" s="31"/>
      <c r="BQ1098" s="31"/>
      <c r="BR1098" s="31"/>
      <c r="BS1098" s="31"/>
      <c r="BT1098" s="31"/>
      <c r="BU1098" s="31"/>
      <c r="BV1098" s="31"/>
      <c r="BW1098" s="31"/>
      <c r="BX1098" s="31"/>
      <c r="BY1098" s="31"/>
      <c r="BZ1098" s="31"/>
      <c r="CA1098" s="31"/>
      <c r="CB1098" s="31"/>
      <c r="CC1098" s="31"/>
      <c r="CD1098" s="31"/>
      <c r="CE1098" s="31"/>
      <c r="CF1098" s="31"/>
      <c r="CG1098" s="31"/>
      <c r="CH1098" s="31"/>
      <c r="CI1098" s="31"/>
      <c r="CJ1098" s="31"/>
      <c r="CK1098" s="31"/>
      <c r="CL1098" s="31"/>
      <c r="CM1098" s="31"/>
      <c r="CN1098" s="31"/>
      <c r="CO1098" s="31"/>
    </row>
    <row r="1099" spans="1:93">
      <c r="A1099" s="10"/>
      <c r="B1099" s="10"/>
      <c r="C1099" s="17"/>
      <c r="D1099" s="10"/>
      <c r="E1099" s="10"/>
      <c r="F1099" s="10"/>
      <c r="G1099" s="11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  <c r="BB1099" s="10"/>
      <c r="BC1099" s="10"/>
      <c r="BD1099" s="10"/>
      <c r="BE1099" s="10"/>
      <c r="BF1099" s="10"/>
      <c r="BG1099" s="10"/>
      <c r="BH1099" s="10"/>
      <c r="BI1099" s="10"/>
      <c r="BJ1099" s="10"/>
      <c r="BK1099" s="10"/>
      <c r="BL1099" s="10"/>
      <c r="BM1099" s="10"/>
      <c r="BN1099" s="10"/>
      <c r="BO1099" s="10"/>
      <c r="BP1099" s="10"/>
      <c r="BQ1099" s="10"/>
      <c r="BR1099" s="10"/>
      <c r="BS1099" s="10"/>
      <c r="BT1099" s="10"/>
      <c r="BU1099" s="10"/>
      <c r="BV1099" s="10"/>
      <c r="BW1099" s="10"/>
      <c r="BX1099" s="10"/>
      <c r="BY1099" s="10"/>
      <c r="BZ1099" s="10"/>
      <c r="CA1099" s="10"/>
      <c r="CB1099" s="10"/>
      <c r="CC1099" s="10"/>
      <c r="CD1099" s="10"/>
      <c r="CE1099" s="10"/>
      <c r="CF1099" s="10"/>
      <c r="CG1099" s="10"/>
      <c r="CH1099" s="10"/>
      <c r="CI1099" s="10"/>
      <c r="CJ1099" s="10"/>
      <c r="CK1099" s="10"/>
      <c r="CL1099" s="10"/>
      <c r="CM1099" s="10"/>
      <c r="CN1099" s="10"/>
      <c r="CO1099" s="10"/>
    </row>
    <row r="1100" spans="1:93">
      <c r="A1100" s="10"/>
      <c r="B1100" s="10"/>
      <c r="C1100" s="17" t="s">
        <v>125</v>
      </c>
      <c r="D1100" s="10"/>
      <c r="E1100" s="62"/>
      <c r="F1100" s="11"/>
      <c r="G1100" s="134" t="str">
        <f>Monetary_Unit</f>
        <v>тыс. руб.</v>
      </c>
      <c r="H1100" s="11"/>
      <c r="I1100" s="10"/>
      <c r="J1100" s="10"/>
      <c r="K1100" s="10"/>
      <c r="L1100" s="52">
        <f t="shared" ref="L1100:AQ1100" si="7210">L499</f>
        <v>0</v>
      </c>
      <c r="M1100" s="52">
        <f t="shared" ca="1" si="7210"/>
        <v>0</v>
      </c>
      <c r="N1100" s="52">
        <f t="shared" ca="1" si="7210"/>
        <v>0</v>
      </c>
      <c r="O1100" s="52">
        <f t="shared" ca="1" si="7210"/>
        <v>0</v>
      </c>
      <c r="P1100" s="52">
        <f t="shared" ca="1" si="7210"/>
        <v>0</v>
      </c>
      <c r="Q1100" s="52">
        <f t="shared" ca="1" si="7210"/>
        <v>0</v>
      </c>
      <c r="R1100" s="52">
        <f t="shared" ca="1" si="7210"/>
        <v>0</v>
      </c>
      <c r="S1100" s="52">
        <f t="shared" ca="1" si="7210"/>
        <v>0</v>
      </c>
      <c r="T1100" s="52">
        <f t="shared" ca="1" si="7210"/>
        <v>0</v>
      </c>
      <c r="U1100" s="52">
        <f t="shared" ca="1" si="7210"/>
        <v>0</v>
      </c>
      <c r="V1100" s="52">
        <f t="shared" ca="1" si="7210"/>
        <v>0</v>
      </c>
      <c r="W1100" s="52">
        <f t="shared" ca="1" si="7210"/>
        <v>0</v>
      </c>
      <c r="X1100" s="52">
        <f t="shared" ca="1" si="7210"/>
        <v>0</v>
      </c>
      <c r="Y1100" s="52">
        <f t="shared" ca="1" si="7210"/>
        <v>0</v>
      </c>
      <c r="Z1100" s="52">
        <f t="shared" ca="1" si="7210"/>
        <v>0</v>
      </c>
      <c r="AA1100" s="52">
        <f t="shared" ca="1" si="7210"/>
        <v>0</v>
      </c>
      <c r="AB1100" s="52">
        <f t="shared" ca="1" si="7210"/>
        <v>0</v>
      </c>
      <c r="AC1100" s="52">
        <f t="shared" ca="1" si="7210"/>
        <v>3907956.9959437158</v>
      </c>
      <c r="AD1100" s="52">
        <f t="shared" ca="1" si="7210"/>
        <v>3875390.687644185</v>
      </c>
      <c r="AE1100" s="52">
        <f t="shared" ca="1" si="7210"/>
        <v>3842824.3793446543</v>
      </c>
      <c r="AF1100" s="52">
        <f t="shared" ca="1" si="7210"/>
        <v>3810258.0710451235</v>
      </c>
      <c r="AG1100" s="52">
        <f t="shared" ca="1" si="7210"/>
        <v>3777691.7627455927</v>
      </c>
      <c r="AH1100" s="52">
        <f t="shared" ca="1" si="7210"/>
        <v>3745125.454446062</v>
      </c>
      <c r="AI1100" s="52">
        <f t="shared" ca="1" si="7210"/>
        <v>3712559.1461465312</v>
      </c>
      <c r="AJ1100" s="52">
        <f t="shared" ca="1" si="7210"/>
        <v>3679992.8378470005</v>
      </c>
      <c r="AK1100" s="52">
        <f t="shared" ca="1" si="7210"/>
        <v>3647426.5295474697</v>
      </c>
      <c r="AL1100" s="52">
        <f t="shared" ca="1" si="7210"/>
        <v>3614860.2212479389</v>
      </c>
      <c r="AM1100" s="52">
        <f t="shared" ca="1" si="7210"/>
        <v>3582293.9129484082</v>
      </c>
      <c r="AN1100" s="52">
        <f t="shared" ca="1" si="7210"/>
        <v>3549727.6046488774</v>
      </c>
      <c r="AO1100" s="52">
        <f t="shared" ca="1" si="7210"/>
        <v>3517161.2963493466</v>
      </c>
      <c r="AP1100" s="52">
        <f t="shared" ca="1" si="7210"/>
        <v>3484594.9880498159</v>
      </c>
      <c r="AQ1100" s="52">
        <f t="shared" ca="1" si="7210"/>
        <v>3452028.6797502851</v>
      </c>
      <c r="AR1100" s="52">
        <f t="shared" ref="AR1100:BW1100" ca="1" si="7211">AR499</f>
        <v>3419462.3714507543</v>
      </c>
      <c r="AS1100" s="52">
        <f t="shared" ca="1" si="7211"/>
        <v>3386896.0631512236</v>
      </c>
      <c r="AT1100" s="52">
        <f t="shared" ca="1" si="7211"/>
        <v>3354329.7548516928</v>
      </c>
      <c r="AU1100" s="52">
        <f t="shared" ca="1" si="7211"/>
        <v>3321763.4465521621</v>
      </c>
      <c r="AV1100" s="52">
        <f t="shared" ca="1" si="7211"/>
        <v>3289197.1382526313</v>
      </c>
      <c r="AW1100" s="52">
        <f t="shared" ca="1" si="7211"/>
        <v>3256630.8299531005</v>
      </c>
      <c r="AX1100" s="52">
        <f t="shared" ca="1" si="7211"/>
        <v>3224064.5216535698</v>
      </c>
      <c r="AY1100" s="52">
        <f t="shared" ca="1" si="7211"/>
        <v>3191498.213354039</v>
      </c>
      <c r="AZ1100" s="52">
        <f t="shared" ca="1" si="7211"/>
        <v>3158931.9050545082</v>
      </c>
      <c r="BA1100" s="52">
        <f t="shared" ca="1" si="7211"/>
        <v>3126365.5967549775</v>
      </c>
      <c r="BB1100" s="52">
        <f t="shared" ca="1" si="7211"/>
        <v>3093799.2884554467</v>
      </c>
      <c r="BC1100" s="52">
        <f t="shared" ca="1" si="7211"/>
        <v>3061232.980155916</v>
      </c>
      <c r="BD1100" s="52">
        <f t="shared" ca="1" si="7211"/>
        <v>3028666.6718563852</v>
      </c>
      <c r="BE1100" s="52">
        <f t="shared" ca="1" si="7211"/>
        <v>2996100.3635568544</v>
      </c>
      <c r="BF1100" s="52">
        <f t="shared" ca="1" si="7211"/>
        <v>2963534.0552573237</v>
      </c>
      <c r="BG1100" s="52">
        <f t="shared" ca="1" si="7211"/>
        <v>2930967.7469577929</v>
      </c>
      <c r="BH1100" s="52">
        <f t="shared" ca="1" si="7211"/>
        <v>2898401.4386582621</v>
      </c>
      <c r="BI1100" s="52">
        <f t="shared" ca="1" si="7211"/>
        <v>2865835.1303587314</v>
      </c>
      <c r="BJ1100" s="52">
        <f t="shared" ca="1" si="7211"/>
        <v>2833268.8220592006</v>
      </c>
      <c r="BK1100" s="52">
        <f t="shared" ca="1" si="7211"/>
        <v>2800702.5137596698</v>
      </c>
      <c r="BL1100" s="52">
        <f t="shared" ca="1" si="7211"/>
        <v>2768136.2054601391</v>
      </c>
      <c r="BM1100" s="52">
        <f t="shared" ca="1" si="7211"/>
        <v>2735569.8971606083</v>
      </c>
      <c r="BN1100" s="52">
        <f t="shared" ca="1" si="7211"/>
        <v>2703003.5888610776</v>
      </c>
      <c r="BO1100" s="52">
        <f t="shared" ca="1" si="7211"/>
        <v>2670437.2805615468</v>
      </c>
      <c r="BP1100" s="52">
        <f t="shared" ca="1" si="7211"/>
        <v>2637870.972262016</v>
      </c>
      <c r="BQ1100" s="52">
        <f t="shared" ca="1" si="7211"/>
        <v>2605304.6639624853</v>
      </c>
      <c r="BR1100" s="52">
        <f t="shared" ca="1" si="7211"/>
        <v>2572738.3556629545</v>
      </c>
      <c r="BS1100" s="52">
        <f t="shared" ca="1" si="7211"/>
        <v>2540172.0473634237</v>
      </c>
      <c r="BT1100" s="52">
        <f t="shared" ca="1" si="7211"/>
        <v>2507605.739063893</v>
      </c>
      <c r="BU1100" s="52">
        <f t="shared" ca="1" si="7211"/>
        <v>2475039.4307643622</v>
      </c>
      <c r="BV1100" s="52">
        <f t="shared" ca="1" si="7211"/>
        <v>2442473.1224648315</v>
      </c>
      <c r="BW1100" s="52">
        <f t="shared" ca="1" si="7211"/>
        <v>2409906.8141653007</v>
      </c>
      <c r="BX1100" s="52">
        <f t="shared" ref="BX1100:CO1100" ca="1" si="7212">BX499</f>
        <v>2377340.5058657699</v>
      </c>
      <c r="BY1100" s="52">
        <f t="shared" ca="1" si="7212"/>
        <v>2344774.1975662392</v>
      </c>
      <c r="BZ1100" s="52">
        <f t="shared" ca="1" si="7212"/>
        <v>2312207.8892667084</v>
      </c>
      <c r="CA1100" s="52">
        <f t="shared" ca="1" si="7212"/>
        <v>2279641.5809671776</v>
      </c>
      <c r="CB1100" s="52">
        <f t="shared" ca="1" si="7212"/>
        <v>2247075.2726676469</v>
      </c>
      <c r="CC1100" s="52">
        <f t="shared" ca="1" si="7212"/>
        <v>2214508.9643681161</v>
      </c>
      <c r="CD1100" s="52">
        <f t="shared" ca="1" si="7212"/>
        <v>2181942.6560685853</v>
      </c>
      <c r="CE1100" s="52">
        <f t="shared" ca="1" si="7212"/>
        <v>2149376.3477690546</v>
      </c>
      <c r="CF1100" s="52">
        <f t="shared" ca="1" si="7212"/>
        <v>2116810.0394695238</v>
      </c>
      <c r="CG1100" s="52">
        <f t="shared" ca="1" si="7212"/>
        <v>2084243.7311699928</v>
      </c>
      <c r="CH1100" s="52">
        <f t="shared" ca="1" si="7212"/>
        <v>2051677.4228704618</v>
      </c>
      <c r="CI1100" s="52">
        <f t="shared" ca="1" si="7212"/>
        <v>2019111.1145709308</v>
      </c>
      <c r="CJ1100" s="52">
        <f t="shared" ca="1" si="7212"/>
        <v>1986544.8062713998</v>
      </c>
      <c r="CK1100" s="52">
        <f t="shared" ca="1" si="7212"/>
        <v>1953978.4979718688</v>
      </c>
      <c r="CL1100" s="52">
        <f t="shared" ca="1" si="7212"/>
        <v>1921412.1896723378</v>
      </c>
      <c r="CM1100" s="52">
        <f t="shared" ca="1" si="7212"/>
        <v>1888845.8813728068</v>
      </c>
      <c r="CN1100" s="52">
        <f t="shared" ca="1" si="7212"/>
        <v>1856279.5730732759</v>
      </c>
      <c r="CO1100" s="52">
        <f t="shared" ca="1" si="7212"/>
        <v>1823713.2647737449</v>
      </c>
    </row>
    <row r="1101" spans="1:93">
      <c r="A1101" s="10"/>
      <c r="B1101" s="10"/>
      <c r="C1101" s="17" t="s">
        <v>128</v>
      </c>
      <c r="D1101" s="10"/>
      <c r="E1101" s="62"/>
      <c r="F1101" s="11"/>
      <c r="G1101" s="134" t="str">
        <f>Monetary_Unit</f>
        <v>тыс. руб.</v>
      </c>
      <c r="H1101" s="11"/>
      <c r="I1101" s="10"/>
      <c r="J1101" s="10"/>
      <c r="K1101" s="10"/>
      <c r="L1101" s="52">
        <f t="shared" ref="L1101:AQ1101" ca="1" si="7213">L502</f>
        <v>0</v>
      </c>
      <c r="M1101" s="52">
        <f t="shared" ca="1" si="7213"/>
        <v>0</v>
      </c>
      <c r="N1101" s="52">
        <f t="shared" ca="1" si="7213"/>
        <v>0</v>
      </c>
      <c r="O1101" s="52">
        <f t="shared" ca="1" si="7213"/>
        <v>0</v>
      </c>
      <c r="P1101" s="52">
        <f t="shared" ca="1" si="7213"/>
        <v>0</v>
      </c>
      <c r="Q1101" s="52">
        <f t="shared" ca="1" si="7213"/>
        <v>0</v>
      </c>
      <c r="R1101" s="52">
        <f t="shared" ca="1" si="7213"/>
        <v>0</v>
      </c>
      <c r="S1101" s="52">
        <f t="shared" ca="1" si="7213"/>
        <v>0</v>
      </c>
      <c r="T1101" s="52">
        <f t="shared" ca="1" si="7213"/>
        <v>0</v>
      </c>
      <c r="U1101" s="52">
        <f t="shared" ca="1" si="7213"/>
        <v>0</v>
      </c>
      <c r="V1101" s="52">
        <f t="shared" ca="1" si="7213"/>
        <v>0</v>
      </c>
      <c r="W1101" s="52">
        <f t="shared" ca="1" si="7213"/>
        <v>0</v>
      </c>
      <c r="X1101" s="52">
        <f t="shared" ca="1" si="7213"/>
        <v>0</v>
      </c>
      <c r="Y1101" s="52">
        <f t="shared" ca="1" si="7213"/>
        <v>0</v>
      </c>
      <c r="Z1101" s="52">
        <f t="shared" ca="1" si="7213"/>
        <v>0</v>
      </c>
      <c r="AA1101" s="52">
        <f t="shared" ca="1" si="7213"/>
        <v>0</v>
      </c>
      <c r="AB1101" s="52">
        <f t="shared" ca="1" si="7213"/>
        <v>3907956.9959437158</v>
      </c>
      <c r="AC1101" s="52">
        <f t="shared" ca="1" si="7213"/>
        <v>3875390.687644185</v>
      </c>
      <c r="AD1101" s="52">
        <f t="shared" ca="1" si="7213"/>
        <v>3842824.3793446543</v>
      </c>
      <c r="AE1101" s="52">
        <f t="shared" ca="1" si="7213"/>
        <v>3810258.0710451235</v>
      </c>
      <c r="AF1101" s="52">
        <f t="shared" ca="1" si="7213"/>
        <v>3777691.7627455927</v>
      </c>
      <c r="AG1101" s="52">
        <f t="shared" ca="1" si="7213"/>
        <v>3745125.454446062</v>
      </c>
      <c r="AH1101" s="52">
        <f t="shared" ca="1" si="7213"/>
        <v>3712559.1461465312</v>
      </c>
      <c r="AI1101" s="52">
        <f t="shared" ca="1" si="7213"/>
        <v>3679992.8378470005</v>
      </c>
      <c r="AJ1101" s="52">
        <f t="shared" ca="1" si="7213"/>
        <v>3647426.5295474697</v>
      </c>
      <c r="AK1101" s="52">
        <f t="shared" ca="1" si="7213"/>
        <v>3614860.2212479389</v>
      </c>
      <c r="AL1101" s="52">
        <f t="shared" ca="1" si="7213"/>
        <v>3582293.9129484082</v>
      </c>
      <c r="AM1101" s="52">
        <f t="shared" ca="1" si="7213"/>
        <v>3549727.6046488774</v>
      </c>
      <c r="AN1101" s="52">
        <f t="shared" ca="1" si="7213"/>
        <v>3517161.2963493466</v>
      </c>
      <c r="AO1101" s="52">
        <f t="shared" ca="1" si="7213"/>
        <v>3484594.9880498159</v>
      </c>
      <c r="AP1101" s="52">
        <f t="shared" ca="1" si="7213"/>
        <v>3452028.6797502851</v>
      </c>
      <c r="AQ1101" s="52">
        <f t="shared" ca="1" si="7213"/>
        <v>3419462.3714507543</v>
      </c>
      <c r="AR1101" s="52">
        <f t="shared" ref="AR1101:BW1101" ca="1" si="7214">AR502</f>
        <v>3386896.0631512236</v>
      </c>
      <c r="AS1101" s="52">
        <f t="shared" ca="1" si="7214"/>
        <v>3354329.7548516928</v>
      </c>
      <c r="AT1101" s="52">
        <f t="shared" ca="1" si="7214"/>
        <v>3321763.4465521621</v>
      </c>
      <c r="AU1101" s="52">
        <f t="shared" ca="1" si="7214"/>
        <v>3289197.1382526313</v>
      </c>
      <c r="AV1101" s="52">
        <f t="shared" ca="1" si="7214"/>
        <v>3256630.8299531005</v>
      </c>
      <c r="AW1101" s="52">
        <f t="shared" ca="1" si="7214"/>
        <v>3224064.5216535698</v>
      </c>
      <c r="AX1101" s="52">
        <f t="shared" ca="1" si="7214"/>
        <v>3191498.213354039</v>
      </c>
      <c r="AY1101" s="52">
        <f t="shared" ca="1" si="7214"/>
        <v>3158931.9050545082</v>
      </c>
      <c r="AZ1101" s="52">
        <f t="shared" ca="1" si="7214"/>
        <v>3126365.5967549775</v>
      </c>
      <c r="BA1101" s="52">
        <f t="shared" ca="1" si="7214"/>
        <v>3093799.2884554467</v>
      </c>
      <c r="BB1101" s="52">
        <f t="shared" ca="1" si="7214"/>
        <v>3061232.980155916</v>
      </c>
      <c r="BC1101" s="52">
        <f t="shared" ca="1" si="7214"/>
        <v>3028666.6718563852</v>
      </c>
      <c r="BD1101" s="52">
        <f t="shared" ca="1" si="7214"/>
        <v>2996100.3635568544</v>
      </c>
      <c r="BE1101" s="52">
        <f t="shared" ca="1" si="7214"/>
        <v>2963534.0552573237</v>
      </c>
      <c r="BF1101" s="52">
        <f t="shared" ca="1" si="7214"/>
        <v>2930967.7469577929</v>
      </c>
      <c r="BG1101" s="52">
        <f t="shared" ca="1" si="7214"/>
        <v>2898401.4386582621</v>
      </c>
      <c r="BH1101" s="52">
        <f t="shared" ca="1" si="7214"/>
        <v>2865835.1303587314</v>
      </c>
      <c r="BI1101" s="52">
        <f t="shared" ca="1" si="7214"/>
        <v>2833268.8220592006</v>
      </c>
      <c r="BJ1101" s="52">
        <f t="shared" ca="1" si="7214"/>
        <v>2800702.5137596698</v>
      </c>
      <c r="BK1101" s="52">
        <f t="shared" ca="1" si="7214"/>
        <v>2768136.2054601391</v>
      </c>
      <c r="BL1101" s="52">
        <f t="shared" ca="1" si="7214"/>
        <v>2735569.8971606083</v>
      </c>
      <c r="BM1101" s="52">
        <f t="shared" ca="1" si="7214"/>
        <v>2703003.5888610776</v>
      </c>
      <c r="BN1101" s="52">
        <f t="shared" ca="1" si="7214"/>
        <v>2670437.2805615468</v>
      </c>
      <c r="BO1101" s="52">
        <f t="shared" ca="1" si="7214"/>
        <v>2637870.972262016</v>
      </c>
      <c r="BP1101" s="52">
        <f t="shared" ca="1" si="7214"/>
        <v>2605304.6639624853</v>
      </c>
      <c r="BQ1101" s="52">
        <f t="shared" ca="1" si="7214"/>
        <v>2572738.3556629545</v>
      </c>
      <c r="BR1101" s="52">
        <f t="shared" ca="1" si="7214"/>
        <v>2540172.0473634237</v>
      </c>
      <c r="BS1101" s="52">
        <f t="shared" ca="1" si="7214"/>
        <v>2507605.739063893</v>
      </c>
      <c r="BT1101" s="52">
        <f t="shared" ca="1" si="7214"/>
        <v>2475039.4307643622</v>
      </c>
      <c r="BU1101" s="52">
        <f t="shared" ca="1" si="7214"/>
        <v>2442473.1224648315</v>
      </c>
      <c r="BV1101" s="52">
        <f t="shared" ca="1" si="7214"/>
        <v>2409906.8141653007</v>
      </c>
      <c r="BW1101" s="52">
        <f t="shared" ca="1" si="7214"/>
        <v>2377340.5058657699</v>
      </c>
      <c r="BX1101" s="52">
        <f t="shared" ref="BX1101:CO1101" ca="1" si="7215">BX502</f>
        <v>2344774.1975662392</v>
      </c>
      <c r="BY1101" s="52">
        <f t="shared" ca="1" si="7215"/>
        <v>2312207.8892667084</v>
      </c>
      <c r="BZ1101" s="52">
        <f t="shared" ca="1" si="7215"/>
        <v>2279641.5809671776</v>
      </c>
      <c r="CA1101" s="52">
        <f t="shared" ca="1" si="7215"/>
        <v>2247075.2726676469</v>
      </c>
      <c r="CB1101" s="52">
        <f t="shared" ca="1" si="7215"/>
        <v>2214508.9643681161</v>
      </c>
      <c r="CC1101" s="52">
        <f t="shared" ca="1" si="7215"/>
        <v>2181942.6560685853</v>
      </c>
      <c r="CD1101" s="52">
        <f t="shared" ca="1" si="7215"/>
        <v>2149376.3477690546</v>
      </c>
      <c r="CE1101" s="52">
        <f t="shared" ca="1" si="7215"/>
        <v>2116810.0394695238</v>
      </c>
      <c r="CF1101" s="52">
        <f t="shared" ca="1" si="7215"/>
        <v>2084243.7311699928</v>
      </c>
      <c r="CG1101" s="52">
        <f t="shared" ca="1" si="7215"/>
        <v>2051677.4228704618</v>
      </c>
      <c r="CH1101" s="52">
        <f t="shared" ca="1" si="7215"/>
        <v>2019111.1145709308</v>
      </c>
      <c r="CI1101" s="52">
        <f t="shared" ca="1" si="7215"/>
        <v>1986544.8062713998</v>
      </c>
      <c r="CJ1101" s="52">
        <f t="shared" ca="1" si="7215"/>
        <v>1953978.4979718688</v>
      </c>
      <c r="CK1101" s="52">
        <f t="shared" ca="1" si="7215"/>
        <v>1921412.1896723378</v>
      </c>
      <c r="CL1101" s="52">
        <f t="shared" ca="1" si="7215"/>
        <v>1888845.8813728068</v>
      </c>
      <c r="CM1101" s="52">
        <f t="shared" ca="1" si="7215"/>
        <v>1856279.5730732759</v>
      </c>
      <c r="CN1101" s="52">
        <f t="shared" ca="1" si="7215"/>
        <v>1823713.2647737449</v>
      </c>
      <c r="CO1101" s="52">
        <f t="shared" ca="1" si="7215"/>
        <v>1791146.9564742139</v>
      </c>
    </row>
    <row r="1102" spans="1:93">
      <c r="A1102" s="10"/>
      <c r="B1102" s="10"/>
      <c r="C1102" s="17"/>
      <c r="D1102" s="10"/>
      <c r="E1102" s="62"/>
      <c r="F1102" s="10"/>
      <c r="G1102" s="11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  <c r="BB1102" s="10"/>
      <c r="BC1102" s="10"/>
      <c r="BD1102" s="10"/>
      <c r="BE1102" s="10"/>
      <c r="BF1102" s="10"/>
      <c r="BG1102" s="10"/>
      <c r="BH1102" s="10"/>
      <c r="BI1102" s="10"/>
      <c r="BJ1102" s="10"/>
      <c r="BK1102" s="10"/>
      <c r="BL1102" s="10"/>
      <c r="BM1102" s="10"/>
      <c r="BN1102" s="10"/>
      <c r="BO1102" s="10"/>
      <c r="BP1102" s="10"/>
      <c r="BQ1102" s="10"/>
      <c r="BR1102" s="10"/>
      <c r="BS1102" s="10"/>
      <c r="BT1102" s="10"/>
      <c r="BU1102" s="10"/>
      <c r="BV1102" s="10"/>
      <c r="BW1102" s="10"/>
      <c r="BX1102" s="10"/>
      <c r="BY1102" s="10"/>
      <c r="BZ1102" s="10"/>
      <c r="CA1102" s="10"/>
      <c r="CB1102" s="10"/>
      <c r="CC1102" s="10"/>
      <c r="CD1102" s="10"/>
      <c r="CE1102" s="10"/>
      <c r="CF1102" s="10"/>
      <c r="CG1102" s="10"/>
      <c r="CH1102" s="10"/>
      <c r="CI1102" s="10"/>
      <c r="CJ1102" s="10"/>
      <c r="CK1102" s="10"/>
      <c r="CL1102" s="10"/>
      <c r="CM1102" s="10"/>
      <c r="CN1102" s="10"/>
      <c r="CO1102" s="10"/>
    </row>
    <row r="1103" spans="1:93">
      <c r="A1103" s="10"/>
      <c r="B1103" s="10"/>
      <c r="C1103" s="17" t="s">
        <v>156</v>
      </c>
      <c r="D1103" s="10"/>
      <c r="E1103" s="62"/>
      <c r="F1103" s="11"/>
      <c r="G1103" s="134" t="str">
        <f>Monetary_Unit</f>
        <v>тыс. руб.</v>
      </c>
      <c r="H1103" s="11"/>
      <c r="I1103" s="10"/>
      <c r="J1103" s="10"/>
      <c r="K1103" s="10"/>
      <c r="L1103" s="10">
        <f t="shared" ref="L1103:R1103" ca="1" si="7216">AVERAGE(L1100:L1101)*Flag_Operations</f>
        <v>0</v>
      </c>
      <c r="M1103" s="10">
        <f t="shared" ca="1" si="7216"/>
        <v>0</v>
      </c>
      <c r="N1103" s="10">
        <f t="shared" ca="1" si="7216"/>
        <v>0</v>
      </c>
      <c r="O1103" s="10">
        <f t="shared" ca="1" si="7216"/>
        <v>0</v>
      </c>
      <c r="P1103" s="10">
        <f t="shared" ca="1" si="7216"/>
        <v>0</v>
      </c>
      <c r="Q1103" s="10">
        <f t="shared" ca="1" si="7216"/>
        <v>0</v>
      </c>
      <c r="R1103" s="10">
        <f t="shared" ca="1" si="7216"/>
        <v>0</v>
      </c>
      <c r="S1103" s="10">
        <f t="shared" ref="S1103" ca="1" si="7217">AVERAGE(S1100:S1101)*Flag_Operations</f>
        <v>0</v>
      </c>
      <c r="T1103" s="10">
        <f t="shared" ref="T1103:CE1103" ca="1" si="7218">AVERAGE(T1100:T1101)*Flag_Operations</f>
        <v>0</v>
      </c>
      <c r="U1103" s="10">
        <f t="shared" ca="1" si="7218"/>
        <v>0</v>
      </c>
      <c r="V1103" s="10">
        <f t="shared" ca="1" si="7218"/>
        <v>0</v>
      </c>
      <c r="W1103" s="10">
        <f t="shared" ca="1" si="7218"/>
        <v>0</v>
      </c>
      <c r="X1103" s="10">
        <f t="shared" ca="1" si="7218"/>
        <v>0</v>
      </c>
      <c r="Y1103" s="10">
        <f t="shared" ca="1" si="7218"/>
        <v>0</v>
      </c>
      <c r="Z1103" s="10">
        <f t="shared" ca="1" si="7218"/>
        <v>0</v>
      </c>
      <c r="AA1103" s="10">
        <f t="shared" ca="1" si="7218"/>
        <v>0</v>
      </c>
      <c r="AB1103" s="10">
        <f t="shared" ca="1" si="7218"/>
        <v>0</v>
      </c>
      <c r="AC1103" s="10">
        <f t="shared" ca="1" si="7218"/>
        <v>3891673.8417939506</v>
      </c>
      <c r="AD1103" s="10">
        <f t="shared" ca="1" si="7218"/>
        <v>3859107.5334944194</v>
      </c>
      <c r="AE1103" s="10">
        <f t="shared" ca="1" si="7218"/>
        <v>3826541.2251948891</v>
      </c>
      <c r="AF1103" s="10">
        <f t="shared" ca="1" si="7218"/>
        <v>3793974.9168953579</v>
      </c>
      <c r="AG1103" s="10">
        <f t="shared" ca="1" si="7218"/>
        <v>3761408.6085958276</v>
      </c>
      <c r="AH1103" s="10">
        <f t="shared" ca="1" si="7218"/>
        <v>3728842.3002962964</v>
      </c>
      <c r="AI1103" s="10">
        <f t="shared" ca="1" si="7218"/>
        <v>3696275.9919967661</v>
      </c>
      <c r="AJ1103" s="10">
        <f t="shared" ca="1" si="7218"/>
        <v>3663709.6836972348</v>
      </c>
      <c r="AK1103" s="10">
        <f t="shared" ca="1" si="7218"/>
        <v>3631143.3753977045</v>
      </c>
      <c r="AL1103" s="10">
        <f t="shared" ca="1" si="7218"/>
        <v>3598577.0670981733</v>
      </c>
      <c r="AM1103" s="10">
        <f t="shared" ca="1" si="7218"/>
        <v>3566010.758798643</v>
      </c>
      <c r="AN1103" s="10">
        <f t="shared" ca="1" si="7218"/>
        <v>3533444.4504991118</v>
      </c>
      <c r="AO1103" s="10">
        <f t="shared" ca="1" si="7218"/>
        <v>3500878.1421995815</v>
      </c>
      <c r="AP1103" s="10">
        <f t="shared" ca="1" si="7218"/>
        <v>3468311.8339000503</v>
      </c>
      <c r="AQ1103" s="10">
        <f t="shared" ca="1" si="7218"/>
        <v>3435745.52560052</v>
      </c>
      <c r="AR1103" s="10">
        <f t="shared" ca="1" si="7218"/>
        <v>3403179.2173009887</v>
      </c>
      <c r="AS1103" s="10">
        <f t="shared" ca="1" si="7218"/>
        <v>3370612.9090014584</v>
      </c>
      <c r="AT1103" s="10">
        <f t="shared" ca="1" si="7218"/>
        <v>3338046.6007019272</v>
      </c>
      <c r="AU1103" s="10">
        <f t="shared" ca="1" si="7218"/>
        <v>3305480.2924023969</v>
      </c>
      <c r="AV1103" s="10">
        <f t="shared" ca="1" si="7218"/>
        <v>3272913.9841028657</v>
      </c>
      <c r="AW1103" s="10">
        <f t="shared" ca="1" si="7218"/>
        <v>3240347.6758033354</v>
      </c>
      <c r="AX1103" s="10">
        <f t="shared" ca="1" si="7218"/>
        <v>3207781.3675038042</v>
      </c>
      <c r="AY1103" s="10">
        <f t="shared" ca="1" si="7218"/>
        <v>3175215.0592042739</v>
      </c>
      <c r="AZ1103" s="10">
        <f t="shared" ca="1" si="7218"/>
        <v>3142648.7509047426</v>
      </c>
      <c r="BA1103" s="10">
        <f t="shared" ca="1" si="7218"/>
        <v>3110082.4426052123</v>
      </c>
      <c r="BB1103" s="10">
        <f t="shared" ca="1" si="7218"/>
        <v>3077516.1343056811</v>
      </c>
      <c r="BC1103" s="10">
        <f t="shared" ca="1" si="7218"/>
        <v>3044949.8260061508</v>
      </c>
      <c r="BD1103" s="10">
        <f t="shared" ca="1" si="7218"/>
        <v>3012383.5177066196</v>
      </c>
      <c r="BE1103" s="10">
        <f t="shared" ca="1" si="7218"/>
        <v>2979817.2094070893</v>
      </c>
      <c r="BF1103" s="10">
        <f t="shared" ca="1" si="7218"/>
        <v>2947250.901107558</v>
      </c>
      <c r="BG1103" s="10">
        <f t="shared" ca="1" si="7218"/>
        <v>2914684.5928080278</v>
      </c>
      <c r="BH1103" s="10">
        <f t="shared" ca="1" si="7218"/>
        <v>2882118.2845084965</v>
      </c>
      <c r="BI1103" s="10">
        <f t="shared" ca="1" si="7218"/>
        <v>2849551.9762089662</v>
      </c>
      <c r="BJ1103" s="10">
        <f t="shared" ca="1" si="7218"/>
        <v>2816985.667909435</v>
      </c>
      <c r="BK1103" s="10">
        <f t="shared" ca="1" si="7218"/>
        <v>2784419.3596099047</v>
      </c>
      <c r="BL1103" s="10">
        <f t="shared" ca="1" si="7218"/>
        <v>2751853.0513103735</v>
      </c>
      <c r="BM1103" s="10">
        <f t="shared" ca="1" si="7218"/>
        <v>2719286.7430108432</v>
      </c>
      <c r="BN1103" s="10">
        <f t="shared" ca="1" si="7218"/>
        <v>2686720.4347113119</v>
      </c>
      <c r="BO1103" s="10">
        <f t="shared" ca="1" si="7218"/>
        <v>2654154.1264117816</v>
      </c>
      <c r="BP1103" s="10">
        <f t="shared" ca="1" si="7218"/>
        <v>2621587.8181122504</v>
      </c>
      <c r="BQ1103" s="10">
        <f t="shared" ca="1" si="7218"/>
        <v>2589021.5098127201</v>
      </c>
      <c r="BR1103" s="10">
        <f t="shared" ca="1" si="7218"/>
        <v>2556455.2015131889</v>
      </c>
      <c r="BS1103" s="10">
        <f t="shared" ca="1" si="7218"/>
        <v>2523888.8932136586</v>
      </c>
      <c r="BT1103" s="10">
        <f t="shared" ca="1" si="7218"/>
        <v>2491322.5849141274</v>
      </c>
      <c r="BU1103" s="10">
        <f t="shared" ca="1" si="7218"/>
        <v>2458756.2766145971</v>
      </c>
      <c r="BV1103" s="10">
        <f t="shared" ca="1" si="7218"/>
        <v>2426189.9683150658</v>
      </c>
      <c r="BW1103" s="10">
        <f t="shared" ca="1" si="7218"/>
        <v>2393623.6600155355</v>
      </c>
      <c r="BX1103" s="10">
        <f t="shared" ca="1" si="7218"/>
        <v>2361057.3517160043</v>
      </c>
      <c r="BY1103" s="10">
        <f t="shared" ca="1" si="7218"/>
        <v>2328491.043416474</v>
      </c>
      <c r="BZ1103" s="10">
        <f t="shared" ca="1" si="7218"/>
        <v>2295924.7351169428</v>
      </c>
      <c r="CA1103" s="10">
        <f t="shared" ca="1" si="7218"/>
        <v>2263358.4268174125</v>
      </c>
      <c r="CB1103" s="10">
        <f t="shared" ca="1" si="7218"/>
        <v>2230792.1185178813</v>
      </c>
      <c r="CC1103" s="10">
        <f t="shared" ca="1" si="7218"/>
        <v>2198225.810218351</v>
      </c>
      <c r="CD1103" s="10">
        <f t="shared" ca="1" si="7218"/>
        <v>2165659.5019188197</v>
      </c>
      <c r="CE1103" s="10">
        <f t="shared" ca="1" si="7218"/>
        <v>2133093.1936192894</v>
      </c>
      <c r="CF1103" s="10">
        <f t="shared" ref="CF1103:CO1103" ca="1" si="7219">AVERAGE(CF1100:CF1101)*Flag_Operations</f>
        <v>2100526.8853197582</v>
      </c>
      <c r="CG1103" s="10">
        <f t="shared" ca="1" si="7219"/>
        <v>2067960.5770202274</v>
      </c>
      <c r="CH1103" s="10">
        <f t="shared" ca="1" si="7219"/>
        <v>2035394.2687206962</v>
      </c>
      <c r="CI1103" s="10">
        <f t="shared" ca="1" si="7219"/>
        <v>2002827.9604211655</v>
      </c>
      <c r="CJ1103" s="10">
        <f t="shared" ca="1" si="7219"/>
        <v>1970261.6521216342</v>
      </c>
      <c r="CK1103" s="10">
        <f t="shared" ca="1" si="7219"/>
        <v>1937695.3438221035</v>
      </c>
      <c r="CL1103" s="10">
        <f t="shared" ca="1" si="7219"/>
        <v>1905129.0355225722</v>
      </c>
      <c r="CM1103" s="10">
        <f t="shared" ca="1" si="7219"/>
        <v>1872562.7272230415</v>
      </c>
      <c r="CN1103" s="10">
        <f t="shared" ca="1" si="7219"/>
        <v>1839996.4189235102</v>
      </c>
      <c r="CO1103" s="10">
        <f t="shared" ca="1" si="7219"/>
        <v>1807430.1106239795</v>
      </c>
    </row>
    <row r="1104" spans="1:93" ht="15" thickBot="1">
      <c r="A1104" s="10"/>
      <c r="B1104" s="10"/>
      <c r="C1104" s="17" t="s">
        <v>111</v>
      </c>
      <c r="D1104" s="10"/>
      <c r="E1104" s="178">
        <f xml:space="preserve"> Property_Tax_Rate</f>
        <v>0</v>
      </c>
      <c r="F1104" s="11"/>
      <c r="G1104" s="134" t="str">
        <f>Monetary_Unit</f>
        <v>тыс. руб.</v>
      </c>
      <c r="H1104" s="11"/>
      <c r="I1104" s="10"/>
      <c r="J1104" s="10"/>
      <c r="K1104" s="10"/>
      <c r="L1104" s="10">
        <f t="shared" ref="L1104:R1104" ca="1" si="7220">L1103*$E$1104*Period_length</f>
        <v>0</v>
      </c>
      <c r="M1104" s="10">
        <f t="shared" ca="1" si="7220"/>
        <v>0</v>
      </c>
      <c r="N1104" s="10">
        <f t="shared" ca="1" si="7220"/>
        <v>0</v>
      </c>
      <c r="O1104" s="10">
        <f t="shared" ca="1" si="7220"/>
        <v>0</v>
      </c>
      <c r="P1104" s="10">
        <f t="shared" ca="1" si="7220"/>
        <v>0</v>
      </c>
      <c r="Q1104" s="10">
        <f t="shared" ca="1" si="7220"/>
        <v>0</v>
      </c>
      <c r="R1104" s="10">
        <f t="shared" ca="1" si="7220"/>
        <v>0</v>
      </c>
      <c r="S1104" s="10">
        <f t="shared" ref="S1104" ca="1" si="7221">S1103*$E$1104*Period_length</f>
        <v>0</v>
      </c>
      <c r="T1104" s="10">
        <f t="shared" ref="T1104:CE1104" ca="1" si="7222">T1103*$E$1104*Period_length</f>
        <v>0</v>
      </c>
      <c r="U1104" s="10">
        <f t="shared" ca="1" si="7222"/>
        <v>0</v>
      </c>
      <c r="V1104" s="10">
        <f t="shared" ca="1" si="7222"/>
        <v>0</v>
      </c>
      <c r="W1104" s="10">
        <f t="shared" ca="1" si="7222"/>
        <v>0</v>
      </c>
      <c r="X1104" s="10">
        <f t="shared" ca="1" si="7222"/>
        <v>0</v>
      </c>
      <c r="Y1104" s="10">
        <f t="shared" ca="1" si="7222"/>
        <v>0</v>
      </c>
      <c r="Z1104" s="10">
        <f t="shared" ca="1" si="7222"/>
        <v>0</v>
      </c>
      <c r="AA1104" s="10">
        <f t="shared" ca="1" si="7222"/>
        <v>0</v>
      </c>
      <c r="AB1104" s="10">
        <f t="shared" ca="1" si="7222"/>
        <v>0</v>
      </c>
      <c r="AC1104" s="10">
        <f t="shared" ca="1" si="7222"/>
        <v>0</v>
      </c>
      <c r="AD1104" s="10">
        <f t="shared" ca="1" si="7222"/>
        <v>0</v>
      </c>
      <c r="AE1104" s="10">
        <f t="shared" ca="1" si="7222"/>
        <v>0</v>
      </c>
      <c r="AF1104" s="10">
        <f t="shared" ca="1" si="7222"/>
        <v>0</v>
      </c>
      <c r="AG1104" s="10">
        <f t="shared" ca="1" si="7222"/>
        <v>0</v>
      </c>
      <c r="AH1104" s="10">
        <f t="shared" ca="1" si="7222"/>
        <v>0</v>
      </c>
      <c r="AI1104" s="10">
        <f t="shared" ca="1" si="7222"/>
        <v>0</v>
      </c>
      <c r="AJ1104" s="10">
        <f t="shared" ca="1" si="7222"/>
        <v>0</v>
      </c>
      <c r="AK1104" s="10">
        <f t="shared" ca="1" si="7222"/>
        <v>0</v>
      </c>
      <c r="AL1104" s="10">
        <f t="shared" ca="1" si="7222"/>
        <v>0</v>
      </c>
      <c r="AM1104" s="10">
        <f t="shared" ca="1" si="7222"/>
        <v>0</v>
      </c>
      <c r="AN1104" s="10">
        <f t="shared" ca="1" si="7222"/>
        <v>0</v>
      </c>
      <c r="AO1104" s="10">
        <f t="shared" ca="1" si="7222"/>
        <v>0</v>
      </c>
      <c r="AP1104" s="10">
        <f t="shared" ca="1" si="7222"/>
        <v>0</v>
      </c>
      <c r="AQ1104" s="10">
        <f t="shared" ca="1" si="7222"/>
        <v>0</v>
      </c>
      <c r="AR1104" s="10">
        <f t="shared" ca="1" si="7222"/>
        <v>0</v>
      </c>
      <c r="AS1104" s="10">
        <f t="shared" ca="1" si="7222"/>
        <v>0</v>
      </c>
      <c r="AT1104" s="10">
        <f t="shared" ca="1" si="7222"/>
        <v>0</v>
      </c>
      <c r="AU1104" s="10">
        <f t="shared" ca="1" si="7222"/>
        <v>0</v>
      </c>
      <c r="AV1104" s="10">
        <f t="shared" ca="1" si="7222"/>
        <v>0</v>
      </c>
      <c r="AW1104" s="10">
        <f t="shared" ca="1" si="7222"/>
        <v>0</v>
      </c>
      <c r="AX1104" s="10">
        <f t="shared" ca="1" si="7222"/>
        <v>0</v>
      </c>
      <c r="AY1104" s="10">
        <f t="shared" ca="1" si="7222"/>
        <v>0</v>
      </c>
      <c r="AZ1104" s="10">
        <f t="shared" ca="1" si="7222"/>
        <v>0</v>
      </c>
      <c r="BA1104" s="10">
        <f t="shared" ca="1" si="7222"/>
        <v>0</v>
      </c>
      <c r="BB1104" s="10">
        <f t="shared" ca="1" si="7222"/>
        <v>0</v>
      </c>
      <c r="BC1104" s="10">
        <f t="shared" ca="1" si="7222"/>
        <v>0</v>
      </c>
      <c r="BD1104" s="10">
        <f t="shared" ca="1" si="7222"/>
        <v>0</v>
      </c>
      <c r="BE1104" s="10">
        <f t="shared" ca="1" si="7222"/>
        <v>0</v>
      </c>
      <c r="BF1104" s="10">
        <f t="shared" ca="1" si="7222"/>
        <v>0</v>
      </c>
      <c r="BG1104" s="10">
        <f t="shared" ca="1" si="7222"/>
        <v>0</v>
      </c>
      <c r="BH1104" s="10">
        <f t="shared" ca="1" si="7222"/>
        <v>0</v>
      </c>
      <c r="BI1104" s="10">
        <f t="shared" ca="1" si="7222"/>
        <v>0</v>
      </c>
      <c r="BJ1104" s="10">
        <f t="shared" ca="1" si="7222"/>
        <v>0</v>
      </c>
      <c r="BK1104" s="10">
        <f t="shared" ca="1" si="7222"/>
        <v>0</v>
      </c>
      <c r="BL1104" s="10">
        <f t="shared" ca="1" si="7222"/>
        <v>0</v>
      </c>
      <c r="BM1104" s="10">
        <f t="shared" ca="1" si="7222"/>
        <v>0</v>
      </c>
      <c r="BN1104" s="10">
        <f t="shared" ca="1" si="7222"/>
        <v>0</v>
      </c>
      <c r="BO1104" s="10">
        <f t="shared" ca="1" si="7222"/>
        <v>0</v>
      </c>
      <c r="BP1104" s="10">
        <f t="shared" ca="1" si="7222"/>
        <v>0</v>
      </c>
      <c r="BQ1104" s="10">
        <f t="shared" ca="1" si="7222"/>
        <v>0</v>
      </c>
      <c r="BR1104" s="10">
        <f t="shared" ca="1" si="7222"/>
        <v>0</v>
      </c>
      <c r="BS1104" s="10">
        <f t="shared" ca="1" si="7222"/>
        <v>0</v>
      </c>
      <c r="BT1104" s="10">
        <f t="shared" ca="1" si="7222"/>
        <v>0</v>
      </c>
      <c r="BU1104" s="10">
        <f t="shared" ca="1" si="7222"/>
        <v>0</v>
      </c>
      <c r="BV1104" s="10">
        <f t="shared" ca="1" si="7222"/>
        <v>0</v>
      </c>
      <c r="BW1104" s="10">
        <f t="shared" ca="1" si="7222"/>
        <v>0</v>
      </c>
      <c r="BX1104" s="10">
        <f t="shared" ca="1" si="7222"/>
        <v>0</v>
      </c>
      <c r="BY1104" s="10">
        <f t="shared" ca="1" si="7222"/>
        <v>0</v>
      </c>
      <c r="BZ1104" s="10">
        <f t="shared" ca="1" si="7222"/>
        <v>0</v>
      </c>
      <c r="CA1104" s="10">
        <f t="shared" ca="1" si="7222"/>
        <v>0</v>
      </c>
      <c r="CB1104" s="10">
        <f t="shared" ca="1" si="7222"/>
        <v>0</v>
      </c>
      <c r="CC1104" s="10">
        <f t="shared" ca="1" si="7222"/>
        <v>0</v>
      </c>
      <c r="CD1104" s="10">
        <f t="shared" ca="1" si="7222"/>
        <v>0</v>
      </c>
      <c r="CE1104" s="10">
        <f t="shared" ca="1" si="7222"/>
        <v>0</v>
      </c>
      <c r="CF1104" s="10">
        <f t="shared" ref="CF1104:CO1104" ca="1" si="7223">CF1103*$E$1104*Period_length</f>
        <v>0</v>
      </c>
      <c r="CG1104" s="10">
        <f t="shared" ca="1" si="7223"/>
        <v>0</v>
      </c>
      <c r="CH1104" s="10">
        <f t="shared" ca="1" si="7223"/>
        <v>0</v>
      </c>
      <c r="CI1104" s="10">
        <f t="shared" ca="1" si="7223"/>
        <v>0</v>
      </c>
      <c r="CJ1104" s="10">
        <f t="shared" ca="1" si="7223"/>
        <v>0</v>
      </c>
      <c r="CK1104" s="10">
        <f t="shared" ca="1" si="7223"/>
        <v>0</v>
      </c>
      <c r="CL1104" s="10">
        <f t="shared" ca="1" si="7223"/>
        <v>0</v>
      </c>
      <c r="CM1104" s="10">
        <f t="shared" ca="1" si="7223"/>
        <v>0</v>
      </c>
      <c r="CN1104" s="10">
        <f t="shared" ca="1" si="7223"/>
        <v>0</v>
      </c>
      <c r="CO1104" s="10">
        <f t="shared" ca="1" si="7223"/>
        <v>0</v>
      </c>
    </row>
    <row r="1105" spans="1:93" ht="15" thickTop="1">
      <c r="A1105" s="172"/>
      <c r="B1105" s="35"/>
      <c r="C1105" s="173" t="s">
        <v>111</v>
      </c>
      <c r="D1105" s="49"/>
      <c r="E1105" s="49"/>
      <c r="F1105" s="49"/>
      <c r="G1105" s="159" t="str">
        <f>Monetary_Unit</f>
        <v>тыс. руб.</v>
      </c>
      <c r="H1105" s="49"/>
      <c r="I1105" s="176">
        <f ca="1">SUM(L1105:CO1105)</f>
        <v>0</v>
      </c>
      <c r="J1105" s="49"/>
      <c r="K1105" s="49"/>
      <c r="L1105" s="49">
        <f t="shared" ref="L1105:R1105" ca="1" si="7224">L1104</f>
        <v>0</v>
      </c>
      <c r="M1105" s="49">
        <f t="shared" ca="1" si="7224"/>
        <v>0</v>
      </c>
      <c r="N1105" s="49">
        <f t="shared" ca="1" si="7224"/>
        <v>0</v>
      </c>
      <c r="O1105" s="49">
        <f t="shared" ca="1" si="7224"/>
        <v>0</v>
      </c>
      <c r="P1105" s="49">
        <f t="shared" ca="1" si="7224"/>
        <v>0</v>
      </c>
      <c r="Q1105" s="49">
        <f t="shared" ca="1" si="7224"/>
        <v>0</v>
      </c>
      <c r="R1105" s="49">
        <f t="shared" ca="1" si="7224"/>
        <v>0</v>
      </c>
      <c r="S1105" s="49">
        <f t="shared" ref="S1105" ca="1" si="7225">S1104</f>
        <v>0</v>
      </c>
      <c r="T1105" s="49">
        <f t="shared" ref="T1105:CE1105" ca="1" si="7226">T1104</f>
        <v>0</v>
      </c>
      <c r="U1105" s="49">
        <f t="shared" ca="1" si="7226"/>
        <v>0</v>
      </c>
      <c r="V1105" s="49">
        <f t="shared" ca="1" si="7226"/>
        <v>0</v>
      </c>
      <c r="W1105" s="49">
        <f t="shared" ca="1" si="7226"/>
        <v>0</v>
      </c>
      <c r="X1105" s="49">
        <f t="shared" ca="1" si="7226"/>
        <v>0</v>
      </c>
      <c r="Y1105" s="49">
        <f t="shared" ca="1" si="7226"/>
        <v>0</v>
      </c>
      <c r="Z1105" s="49">
        <f t="shared" ca="1" si="7226"/>
        <v>0</v>
      </c>
      <c r="AA1105" s="49">
        <f t="shared" ca="1" si="7226"/>
        <v>0</v>
      </c>
      <c r="AB1105" s="49">
        <f t="shared" ca="1" si="7226"/>
        <v>0</v>
      </c>
      <c r="AC1105" s="49">
        <f t="shared" ca="1" si="7226"/>
        <v>0</v>
      </c>
      <c r="AD1105" s="49">
        <f t="shared" ca="1" si="7226"/>
        <v>0</v>
      </c>
      <c r="AE1105" s="49">
        <f t="shared" ca="1" si="7226"/>
        <v>0</v>
      </c>
      <c r="AF1105" s="49">
        <f t="shared" ca="1" si="7226"/>
        <v>0</v>
      </c>
      <c r="AG1105" s="49">
        <f t="shared" ca="1" si="7226"/>
        <v>0</v>
      </c>
      <c r="AH1105" s="49">
        <f t="shared" ca="1" si="7226"/>
        <v>0</v>
      </c>
      <c r="AI1105" s="49">
        <f t="shared" ca="1" si="7226"/>
        <v>0</v>
      </c>
      <c r="AJ1105" s="49">
        <f t="shared" ca="1" si="7226"/>
        <v>0</v>
      </c>
      <c r="AK1105" s="49">
        <f t="shared" ca="1" si="7226"/>
        <v>0</v>
      </c>
      <c r="AL1105" s="49">
        <f t="shared" ca="1" si="7226"/>
        <v>0</v>
      </c>
      <c r="AM1105" s="49">
        <f t="shared" ca="1" si="7226"/>
        <v>0</v>
      </c>
      <c r="AN1105" s="49">
        <f t="shared" ca="1" si="7226"/>
        <v>0</v>
      </c>
      <c r="AO1105" s="49">
        <f t="shared" ca="1" si="7226"/>
        <v>0</v>
      </c>
      <c r="AP1105" s="49">
        <f t="shared" ca="1" si="7226"/>
        <v>0</v>
      </c>
      <c r="AQ1105" s="49">
        <f t="shared" ca="1" si="7226"/>
        <v>0</v>
      </c>
      <c r="AR1105" s="49">
        <f t="shared" ca="1" si="7226"/>
        <v>0</v>
      </c>
      <c r="AS1105" s="49">
        <f t="shared" ca="1" si="7226"/>
        <v>0</v>
      </c>
      <c r="AT1105" s="49">
        <f t="shared" ca="1" si="7226"/>
        <v>0</v>
      </c>
      <c r="AU1105" s="49">
        <f t="shared" ca="1" si="7226"/>
        <v>0</v>
      </c>
      <c r="AV1105" s="49">
        <f t="shared" ca="1" si="7226"/>
        <v>0</v>
      </c>
      <c r="AW1105" s="49">
        <f t="shared" ca="1" si="7226"/>
        <v>0</v>
      </c>
      <c r="AX1105" s="49">
        <f t="shared" ca="1" si="7226"/>
        <v>0</v>
      </c>
      <c r="AY1105" s="49">
        <f t="shared" ca="1" si="7226"/>
        <v>0</v>
      </c>
      <c r="AZ1105" s="49">
        <f t="shared" ca="1" si="7226"/>
        <v>0</v>
      </c>
      <c r="BA1105" s="49">
        <f t="shared" ca="1" si="7226"/>
        <v>0</v>
      </c>
      <c r="BB1105" s="49">
        <f t="shared" ca="1" si="7226"/>
        <v>0</v>
      </c>
      <c r="BC1105" s="49">
        <f t="shared" ca="1" si="7226"/>
        <v>0</v>
      </c>
      <c r="BD1105" s="49">
        <f t="shared" ca="1" si="7226"/>
        <v>0</v>
      </c>
      <c r="BE1105" s="49">
        <f t="shared" ca="1" si="7226"/>
        <v>0</v>
      </c>
      <c r="BF1105" s="49">
        <f t="shared" ca="1" si="7226"/>
        <v>0</v>
      </c>
      <c r="BG1105" s="49">
        <f t="shared" ca="1" si="7226"/>
        <v>0</v>
      </c>
      <c r="BH1105" s="49">
        <f t="shared" ca="1" si="7226"/>
        <v>0</v>
      </c>
      <c r="BI1105" s="49">
        <f t="shared" ca="1" si="7226"/>
        <v>0</v>
      </c>
      <c r="BJ1105" s="49">
        <f t="shared" ca="1" si="7226"/>
        <v>0</v>
      </c>
      <c r="BK1105" s="49">
        <f t="shared" ca="1" si="7226"/>
        <v>0</v>
      </c>
      <c r="BL1105" s="49">
        <f t="shared" ca="1" si="7226"/>
        <v>0</v>
      </c>
      <c r="BM1105" s="49">
        <f t="shared" ca="1" si="7226"/>
        <v>0</v>
      </c>
      <c r="BN1105" s="49">
        <f t="shared" ca="1" si="7226"/>
        <v>0</v>
      </c>
      <c r="BO1105" s="49">
        <f t="shared" ca="1" si="7226"/>
        <v>0</v>
      </c>
      <c r="BP1105" s="49">
        <f t="shared" ca="1" si="7226"/>
        <v>0</v>
      </c>
      <c r="BQ1105" s="49">
        <f t="shared" ca="1" si="7226"/>
        <v>0</v>
      </c>
      <c r="BR1105" s="49">
        <f t="shared" ca="1" si="7226"/>
        <v>0</v>
      </c>
      <c r="BS1105" s="49">
        <f t="shared" ca="1" si="7226"/>
        <v>0</v>
      </c>
      <c r="BT1105" s="49">
        <f t="shared" ca="1" si="7226"/>
        <v>0</v>
      </c>
      <c r="BU1105" s="49">
        <f t="shared" ca="1" si="7226"/>
        <v>0</v>
      </c>
      <c r="BV1105" s="49">
        <f t="shared" ca="1" si="7226"/>
        <v>0</v>
      </c>
      <c r="BW1105" s="49">
        <f t="shared" ca="1" si="7226"/>
        <v>0</v>
      </c>
      <c r="BX1105" s="49">
        <f t="shared" ca="1" si="7226"/>
        <v>0</v>
      </c>
      <c r="BY1105" s="49">
        <f t="shared" ca="1" si="7226"/>
        <v>0</v>
      </c>
      <c r="BZ1105" s="49">
        <f t="shared" ca="1" si="7226"/>
        <v>0</v>
      </c>
      <c r="CA1105" s="49">
        <f t="shared" ca="1" si="7226"/>
        <v>0</v>
      </c>
      <c r="CB1105" s="49">
        <f t="shared" ca="1" si="7226"/>
        <v>0</v>
      </c>
      <c r="CC1105" s="49">
        <f t="shared" ca="1" si="7226"/>
        <v>0</v>
      </c>
      <c r="CD1105" s="49">
        <f t="shared" ca="1" si="7226"/>
        <v>0</v>
      </c>
      <c r="CE1105" s="49">
        <f t="shared" ca="1" si="7226"/>
        <v>0</v>
      </c>
      <c r="CF1105" s="49">
        <f t="shared" ref="CF1105:CO1105" ca="1" si="7227">CF1104</f>
        <v>0</v>
      </c>
      <c r="CG1105" s="49">
        <f t="shared" ca="1" si="7227"/>
        <v>0</v>
      </c>
      <c r="CH1105" s="49">
        <f t="shared" ca="1" si="7227"/>
        <v>0</v>
      </c>
      <c r="CI1105" s="49">
        <f t="shared" ca="1" si="7227"/>
        <v>0</v>
      </c>
      <c r="CJ1105" s="49">
        <f t="shared" ca="1" si="7227"/>
        <v>0</v>
      </c>
      <c r="CK1105" s="49">
        <f t="shared" ca="1" si="7227"/>
        <v>0</v>
      </c>
      <c r="CL1105" s="49">
        <f t="shared" ca="1" si="7227"/>
        <v>0</v>
      </c>
      <c r="CM1105" s="49">
        <f t="shared" ca="1" si="7227"/>
        <v>0</v>
      </c>
      <c r="CN1105" s="49">
        <f t="shared" ca="1" si="7227"/>
        <v>0</v>
      </c>
      <c r="CO1105" s="49">
        <f t="shared" ca="1" si="7227"/>
        <v>0</v>
      </c>
    </row>
    <row r="1106" spans="1:93">
      <c r="A1106" s="10"/>
      <c r="B1106" s="10"/>
      <c r="C1106" s="10"/>
      <c r="D1106" s="10"/>
      <c r="E1106" s="10"/>
      <c r="F1106" s="10"/>
      <c r="G1106" s="11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  <c r="BB1106" s="10"/>
      <c r="BC1106" s="10"/>
      <c r="BD1106" s="10"/>
      <c r="BE1106" s="10"/>
      <c r="BF1106" s="10"/>
      <c r="BG1106" s="10"/>
      <c r="BH1106" s="10"/>
      <c r="BI1106" s="10"/>
      <c r="BJ1106" s="10"/>
      <c r="BK1106" s="10"/>
      <c r="BL1106" s="10"/>
      <c r="BM1106" s="10"/>
      <c r="BN1106" s="10"/>
      <c r="BO1106" s="10"/>
      <c r="BP1106" s="10"/>
      <c r="BQ1106" s="10"/>
      <c r="BR1106" s="10"/>
      <c r="BS1106" s="10"/>
      <c r="BT1106" s="10"/>
      <c r="BU1106" s="10"/>
      <c r="BV1106" s="10"/>
      <c r="BW1106" s="10"/>
      <c r="BX1106" s="10"/>
      <c r="BY1106" s="10"/>
      <c r="BZ1106" s="10"/>
      <c r="CA1106" s="10"/>
      <c r="CB1106" s="10"/>
      <c r="CC1106" s="10"/>
      <c r="CD1106" s="10"/>
      <c r="CE1106" s="10"/>
      <c r="CF1106" s="10"/>
      <c r="CG1106" s="10"/>
      <c r="CH1106" s="10"/>
      <c r="CI1106" s="10"/>
      <c r="CJ1106" s="10"/>
      <c r="CK1106" s="10"/>
      <c r="CL1106" s="10"/>
      <c r="CM1106" s="10"/>
      <c r="CN1106" s="10"/>
      <c r="CO1106" s="10"/>
    </row>
    <row r="1107" spans="1:93" ht="22.5" customHeight="1">
      <c r="A1107" s="10"/>
      <c r="B1107" s="5" t="s">
        <v>455</v>
      </c>
      <c r="C1107" s="5"/>
      <c r="D1107" s="15"/>
      <c r="E1107" s="15"/>
      <c r="F1107" s="31"/>
      <c r="G1107" s="18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31"/>
      <c r="AQ1107" s="31"/>
      <c r="AR1107" s="31"/>
      <c r="AS1107" s="31"/>
      <c r="AT1107" s="31"/>
      <c r="AU1107" s="31"/>
      <c r="AV1107" s="31"/>
      <c r="AW1107" s="31"/>
      <c r="AX1107" s="31"/>
      <c r="AY1107" s="31"/>
      <c r="AZ1107" s="31"/>
      <c r="BA1107" s="31"/>
      <c r="BB1107" s="31"/>
      <c r="BC1107" s="31"/>
      <c r="BD1107" s="31"/>
      <c r="BE1107" s="31"/>
      <c r="BF1107" s="31"/>
      <c r="BG1107" s="31"/>
      <c r="BH1107" s="31"/>
      <c r="BI1107" s="31"/>
      <c r="BJ1107" s="31"/>
      <c r="BK1107" s="31"/>
      <c r="BL1107" s="31"/>
      <c r="BM1107" s="31"/>
      <c r="BN1107" s="31"/>
      <c r="BO1107" s="31"/>
      <c r="BP1107" s="31"/>
      <c r="BQ1107" s="31"/>
      <c r="BR1107" s="31"/>
      <c r="BS1107" s="31"/>
      <c r="BT1107" s="31"/>
      <c r="BU1107" s="31"/>
      <c r="BV1107" s="31"/>
      <c r="BW1107" s="31"/>
      <c r="BX1107" s="31"/>
      <c r="BY1107" s="31"/>
      <c r="BZ1107" s="31"/>
      <c r="CA1107" s="31"/>
      <c r="CB1107" s="31"/>
      <c r="CC1107" s="31"/>
      <c r="CD1107" s="31"/>
      <c r="CE1107" s="31"/>
      <c r="CF1107" s="31"/>
      <c r="CG1107" s="31"/>
      <c r="CH1107" s="31"/>
      <c r="CI1107" s="31"/>
      <c r="CJ1107" s="31"/>
      <c r="CK1107" s="31"/>
      <c r="CL1107" s="31"/>
      <c r="CM1107" s="31"/>
      <c r="CN1107" s="31"/>
      <c r="CO1107" s="31"/>
    </row>
    <row r="1108" spans="1:93">
      <c r="A1108" s="10"/>
      <c r="B1108" s="10"/>
      <c r="C1108" s="17"/>
      <c r="D1108" s="10"/>
      <c r="E1108" s="62"/>
      <c r="F1108" s="10"/>
      <c r="G1108" s="11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  <c r="BB1108" s="10"/>
      <c r="BC1108" s="10"/>
      <c r="BD1108" s="10"/>
      <c r="BE1108" s="10"/>
      <c r="BF1108" s="10"/>
      <c r="BG1108" s="10"/>
      <c r="BH1108" s="10"/>
      <c r="BI1108" s="10"/>
      <c r="BJ1108" s="10"/>
      <c r="BK1108" s="10"/>
      <c r="BL1108" s="10"/>
      <c r="BM1108" s="10"/>
      <c r="BN1108" s="10"/>
      <c r="BO1108" s="10"/>
      <c r="BP1108" s="10"/>
      <c r="BQ1108" s="10"/>
      <c r="BR1108" s="10"/>
      <c r="BS1108" s="10"/>
      <c r="BT1108" s="10"/>
      <c r="BU1108" s="10"/>
      <c r="BV1108" s="10"/>
      <c r="BW1108" s="10"/>
      <c r="BX1108" s="10"/>
      <c r="BY1108" s="10"/>
      <c r="BZ1108" s="10"/>
      <c r="CA1108" s="10"/>
      <c r="CB1108" s="10"/>
      <c r="CC1108" s="10"/>
      <c r="CD1108" s="10"/>
      <c r="CE1108" s="10"/>
      <c r="CF1108" s="10"/>
      <c r="CG1108" s="10"/>
      <c r="CH1108" s="10"/>
      <c r="CI1108" s="10"/>
      <c r="CJ1108" s="10"/>
      <c r="CK1108" s="10"/>
      <c r="CL1108" s="10"/>
      <c r="CM1108" s="10"/>
      <c r="CN1108" s="10"/>
      <c r="CO1108" s="10"/>
    </row>
    <row r="1109" spans="1:93">
      <c r="A1109" s="10"/>
      <c r="B1109" s="10"/>
      <c r="C1109" s="17" t="s">
        <v>1101</v>
      </c>
      <c r="D1109" s="10"/>
      <c r="E1109" s="381">
        <f>Предпосылки!E656</f>
        <v>0</v>
      </c>
      <c r="F1109" s="11"/>
      <c r="G1109" s="134" t="str">
        <f>Monetary_Unit</f>
        <v>тыс. руб.</v>
      </c>
      <c r="H1109" s="11"/>
      <c r="I1109" s="10"/>
      <c r="J1109" s="10"/>
      <c r="K1109" s="10"/>
      <c r="L1109" s="10">
        <f t="shared" ref="L1109:AQ1109" ca="1" si="7228" xml:space="preserve"> $E1109*CPI_Accumulated_From_Date</f>
        <v>0</v>
      </c>
      <c r="M1109" s="10">
        <f t="shared" ca="1" si="7228"/>
        <v>0</v>
      </c>
      <c r="N1109" s="10">
        <f t="shared" ca="1" si="7228"/>
        <v>0</v>
      </c>
      <c r="O1109" s="10">
        <f t="shared" ca="1" si="7228"/>
        <v>0</v>
      </c>
      <c r="P1109" s="10">
        <f t="shared" ca="1" si="7228"/>
        <v>0</v>
      </c>
      <c r="Q1109" s="10">
        <f t="shared" ca="1" si="7228"/>
        <v>0</v>
      </c>
      <c r="R1109" s="10">
        <f t="shared" ca="1" si="7228"/>
        <v>0</v>
      </c>
      <c r="S1109" s="10">
        <f t="shared" ca="1" si="7228"/>
        <v>0</v>
      </c>
      <c r="T1109" s="10">
        <f t="shared" ca="1" si="7228"/>
        <v>0</v>
      </c>
      <c r="U1109" s="10">
        <f t="shared" ca="1" si="7228"/>
        <v>0</v>
      </c>
      <c r="V1109" s="10">
        <f t="shared" ca="1" si="7228"/>
        <v>0</v>
      </c>
      <c r="W1109" s="10">
        <f t="shared" ca="1" si="7228"/>
        <v>0</v>
      </c>
      <c r="X1109" s="10">
        <f t="shared" ca="1" si="7228"/>
        <v>0</v>
      </c>
      <c r="Y1109" s="10">
        <f t="shared" ca="1" si="7228"/>
        <v>0</v>
      </c>
      <c r="Z1109" s="10">
        <f t="shared" ca="1" si="7228"/>
        <v>0</v>
      </c>
      <c r="AA1109" s="10">
        <f t="shared" ca="1" si="7228"/>
        <v>0</v>
      </c>
      <c r="AB1109" s="10">
        <f t="shared" ca="1" si="7228"/>
        <v>0</v>
      </c>
      <c r="AC1109" s="10">
        <f t="shared" ca="1" si="7228"/>
        <v>0</v>
      </c>
      <c r="AD1109" s="10">
        <f t="shared" ca="1" si="7228"/>
        <v>0</v>
      </c>
      <c r="AE1109" s="10">
        <f t="shared" ca="1" si="7228"/>
        <v>0</v>
      </c>
      <c r="AF1109" s="10">
        <f t="shared" ca="1" si="7228"/>
        <v>0</v>
      </c>
      <c r="AG1109" s="10">
        <f t="shared" ca="1" si="7228"/>
        <v>0</v>
      </c>
      <c r="AH1109" s="10">
        <f t="shared" ca="1" si="7228"/>
        <v>0</v>
      </c>
      <c r="AI1109" s="10">
        <f t="shared" ca="1" si="7228"/>
        <v>0</v>
      </c>
      <c r="AJ1109" s="10">
        <f t="shared" ca="1" si="7228"/>
        <v>0</v>
      </c>
      <c r="AK1109" s="10">
        <f t="shared" ca="1" si="7228"/>
        <v>0</v>
      </c>
      <c r="AL1109" s="10">
        <f t="shared" ca="1" si="7228"/>
        <v>0</v>
      </c>
      <c r="AM1109" s="10">
        <f t="shared" ca="1" si="7228"/>
        <v>0</v>
      </c>
      <c r="AN1109" s="10">
        <f t="shared" ca="1" si="7228"/>
        <v>0</v>
      </c>
      <c r="AO1109" s="10">
        <f t="shared" ca="1" si="7228"/>
        <v>0</v>
      </c>
      <c r="AP1109" s="10">
        <f t="shared" ca="1" si="7228"/>
        <v>0</v>
      </c>
      <c r="AQ1109" s="10">
        <f t="shared" ca="1" si="7228"/>
        <v>0</v>
      </c>
      <c r="AR1109" s="10">
        <f t="shared" ref="AR1109:BW1109" ca="1" si="7229" xml:space="preserve"> $E1109*CPI_Accumulated_From_Date</f>
        <v>0</v>
      </c>
      <c r="AS1109" s="10">
        <f t="shared" ca="1" si="7229"/>
        <v>0</v>
      </c>
      <c r="AT1109" s="10">
        <f t="shared" ca="1" si="7229"/>
        <v>0</v>
      </c>
      <c r="AU1109" s="10">
        <f t="shared" ca="1" si="7229"/>
        <v>0</v>
      </c>
      <c r="AV1109" s="10">
        <f t="shared" ca="1" si="7229"/>
        <v>0</v>
      </c>
      <c r="AW1109" s="10">
        <f t="shared" ca="1" si="7229"/>
        <v>0</v>
      </c>
      <c r="AX1109" s="10">
        <f t="shared" ca="1" si="7229"/>
        <v>0</v>
      </c>
      <c r="AY1109" s="10">
        <f t="shared" ca="1" si="7229"/>
        <v>0</v>
      </c>
      <c r="AZ1109" s="10">
        <f t="shared" ca="1" si="7229"/>
        <v>0</v>
      </c>
      <c r="BA1109" s="10">
        <f t="shared" ca="1" si="7229"/>
        <v>0</v>
      </c>
      <c r="BB1109" s="10">
        <f t="shared" ca="1" si="7229"/>
        <v>0</v>
      </c>
      <c r="BC1109" s="10">
        <f t="shared" ca="1" si="7229"/>
        <v>0</v>
      </c>
      <c r="BD1109" s="10">
        <f t="shared" ca="1" si="7229"/>
        <v>0</v>
      </c>
      <c r="BE1109" s="10">
        <f t="shared" ca="1" si="7229"/>
        <v>0</v>
      </c>
      <c r="BF1109" s="10">
        <f t="shared" ca="1" si="7229"/>
        <v>0</v>
      </c>
      <c r="BG1109" s="10">
        <f t="shared" ca="1" si="7229"/>
        <v>0</v>
      </c>
      <c r="BH1109" s="10">
        <f t="shared" ca="1" si="7229"/>
        <v>0</v>
      </c>
      <c r="BI1109" s="10">
        <f t="shared" ca="1" si="7229"/>
        <v>0</v>
      </c>
      <c r="BJ1109" s="10">
        <f t="shared" ca="1" si="7229"/>
        <v>0</v>
      </c>
      <c r="BK1109" s="10">
        <f t="shared" ca="1" si="7229"/>
        <v>0</v>
      </c>
      <c r="BL1109" s="10">
        <f t="shared" ca="1" si="7229"/>
        <v>0</v>
      </c>
      <c r="BM1109" s="10">
        <f t="shared" ca="1" si="7229"/>
        <v>0</v>
      </c>
      <c r="BN1109" s="10">
        <f t="shared" ca="1" si="7229"/>
        <v>0</v>
      </c>
      <c r="BO1109" s="10">
        <f t="shared" ca="1" si="7229"/>
        <v>0</v>
      </c>
      <c r="BP1109" s="10">
        <f t="shared" ca="1" si="7229"/>
        <v>0</v>
      </c>
      <c r="BQ1109" s="10">
        <f t="shared" ca="1" si="7229"/>
        <v>0</v>
      </c>
      <c r="BR1109" s="10">
        <f t="shared" ca="1" si="7229"/>
        <v>0</v>
      </c>
      <c r="BS1109" s="10">
        <f t="shared" ca="1" si="7229"/>
        <v>0</v>
      </c>
      <c r="BT1109" s="10">
        <f t="shared" ca="1" si="7229"/>
        <v>0</v>
      </c>
      <c r="BU1109" s="10">
        <f t="shared" ca="1" si="7229"/>
        <v>0</v>
      </c>
      <c r="BV1109" s="10">
        <f t="shared" ca="1" si="7229"/>
        <v>0</v>
      </c>
      <c r="BW1109" s="10">
        <f t="shared" ca="1" si="7229"/>
        <v>0</v>
      </c>
      <c r="BX1109" s="10">
        <f t="shared" ref="BX1109:CO1109" ca="1" si="7230" xml:space="preserve"> $E1109*CPI_Accumulated_From_Date</f>
        <v>0</v>
      </c>
      <c r="BY1109" s="10">
        <f t="shared" ca="1" si="7230"/>
        <v>0</v>
      </c>
      <c r="BZ1109" s="10">
        <f t="shared" ca="1" si="7230"/>
        <v>0</v>
      </c>
      <c r="CA1109" s="10">
        <f t="shared" ca="1" si="7230"/>
        <v>0</v>
      </c>
      <c r="CB1109" s="10">
        <f t="shared" ca="1" si="7230"/>
        <v>0</v>
      </c>
      <c r="CC1109" s="10">
        <f t="shared" ca="1" si="7230"/>
        <v>0</v>
      </c>
      <c r="CD1109" s="10">
        <f t="shared" ca="1" si="7230"/>
        <v>0</v>
      </c>
      <c r="CE1109" s="10">
        <f t="shared" ca="1" si="7230"/>
        <v>0</v>
      </c>
      <c r="CF1109" s="10">
        <f t="shared" ca="1" si="7230"/>
        <v>0</v>
      </c>
      <c r="CG1109" s="10">
        <f t="shared" ca="1" si="7230"/>
        <v>0</v>
      </c>
      <c r="CH1109" s="10">
        <f t="shared" ca="1" si="7230"/>
        <v>0</v>
      </c>
      <c r="CI1109" s="10">
        <f t="shared" ca="1" si="7230"/>
        <v>0</v>
      </c>
      <c r="CJ1109" s="10">
        <f t="shared" ca="1" si="7230"/>
        <v>0</v>
      </c>
      <c r="CK1109" s="10">
        <f t="shared" ca="1" si="7230"/>
        <v>0</v>
      </c>
      <c r="CL1109" s="10">
        <f t="shared" ca="1" si="7230"/>
        <v>0</v>
      </c>
      <c r="CM1109" s="10">
        <f t="shared" ca="1" si="7230"/>
        <v>0</v>
      </c>
      <c r="CN1109" s="10">
        <f t="shared" ca="1" si="7230"/>
        <v>0</v>
      </c>
      <c r="CO1109" s="10">
        <f t="shared" ca="1" si="7230"/>
        <v>0</v>
      </c>
    </row>
    <row r="1110" spans="1:93" ht="15" thickBot="1">
      <c r="A1110" s="10"/>
      <c r="B1110" s="10"/>
      <c r="C1110" s="17" t="s">
        <v>474</v>
      </c>
      <c r="D1110" s="10"/>
      <c r="E1110" s="178">
        <f>Land_Tax_Rate</f>
        <v>0</v>
      </c>
      <c r="F1110" s="11"/>
      <c r="G1110" s="134" t="s">
        <v>28</v>
      </c>
      <c r="H1110" s="11"/>
      <c r="I1110" s="10"/>
      <c r="J1110" s="10"/>
      <c r="K1110" s="10"/>
      <c r="L1110" s="10">
        <f t="shared" ref="L1110" ca="1" si="7231" xml:space="preserve"> L1109 * $E1110 * Period_length</f>
        <v>0</v>
      </c>
      <c r="M1110" s="10">
        <f t="shared" ref="M1110" ca="1" si="7232" xml:space="preserve"> M1109 * $E1110 * Period_length</f>
        <v>0</v>
      </c>
      <c r="N1110" s="10">
        <f t="shared" ref="N1110" ca="1" si="7233" xml:space="preserve"> N1109 * $E1110 * Period_length</f>
        <v>0</v>
      </c>
      <c r="O1110" s="10">
        <f t="shared" ref="O1110" ca="1" si="7234" xml:space="preserve"> O1109 * $E1110 * Period_length</f>
        <v>0</v>
      </c>
      <c r="P1110" s="10">
        <f t="shared" ref="P1110" ca="1" si="7235" xml:space="preserve"> P1109 * $E1110 * Period_length</f>
        <v>0</v>
      </c>
      <c r="Q1110" s="10">
        <f t="shared" ref="Q1110" ca="1" si="7236" xml:space="preserve"> Q1109 * $E1110 * Period_length</f>
        <v>0</v>
      </c>
      <c r="R1110" s="10">
        <f t="shared" ref="R1110" ca="1" si="7237" xml:space="preserve"> R1109 * $E1110 * Period_length</f>
        <v>0</v>
      </c>
      <c r="S1110" s="10">
        <f t="shared" ref="S1110" ca="1" si="7238" xml:space="preserve"> S1109 * $E1110 * Period_length</f>
        <v>0</v>
      </c>
      <c r="T1110" s="10">
        <f t="shared" ref="T1110" ca="1" si="7239" xml:space="preserve"> T1109 * $E1110 * Period_length</f>
        <v>0</v>
      </c>
      <c r="U1110" s="10">
        <f t="shared" ref="U1110" ca="1" si="7240" xml:space="preserve"> U1109 * $E1110 * Period_length</f>
        <v>0</v>
      </c>
      <c r="V1110" s="10">
        <f t="shared" ref="V1110" ca="1" si="7241" xml:space="preserve"> V1109 * $E1110 * Period_length</f>
        <v>0</v>
      </c>
      <c r="W1110" s="10">
        <f t="shared" ref="W1110" ca="1" si="7242" xml:space="preserve"> W1109 * $E1110 * Period_length</f>
        <v>0</v>
      </c>
      <c r="X1110" s="10">
        <f t="shared" ref="X1110" ca="1" si="7243" xml:space="preserve"> X1109 * $E1110 * Period_length</f>
        <v>0</v>
      </c>
      <c r="Y1110" s="10">
        <f t="shared" ref="Y1110" ca="1" si="7244" xml:space="preserve"> Y1109 * $E1110 * Period_length</f>
        <v>0</v>
      </c>
      <c r="Z1110" s="10">
        <f t="shared" ref="Z1110" ca="1" si="7245" xml:space="preserve"> Z1109 * $E1110 * Period_length</f>
        <v>0</v>
      </c>
      <c r="AA1110" s="10">
        <f t="shared" ref="AA1110" ca="1" si="7246" xml:space="preserve"> AA1109 * $E1110 * Period_length</f>
        <v>0</v>
      </c>
      <c r="AB1110" s="10">
        <f t="shared" ref="AB1110" ca="1" si="7247" xml:space="preserve"> AB1109 * $E1110 * Period_length</f>
        <v>0</v>
      </c>
      <c r="AC1110" s="10">
        <f t="shared" ref="AC1110" ca="1" si="7248" xml:space="preserve"> AC1109 * $E1110 * Period_length</f>
        <v>0</v>
      </c>
      <c r="AD1110" s="10">
        <f t="shared" ref="AD1110" ca="1" si="7249" xml:space="preserve"> AD1109 * $E1110 * Period_length</f>
        <v>0</v>
      </c>
      <c r="AE1110" s="10">
        <f t="shared" ref="AE1110" ca="1" si="7250" xml:space="preserve"> AE1109 * $E1110 * Period_length</f>
        <v>0</v>
      </c>
      <c r="AF1110" s="10">
        <f t="shared" ref="AF1110" ca="1" si="7251" xml:space="preserve"> AF1109 * $E1110 * Period_length</f>
        <v>0</v>
      </c>
      <c r="AG1110" s="10">
        <f t="shared" ref="AG1110" ca="1" si="7252" xml:space="preserve"> AG1109 * $E1110 * Period_length</f>
        <v>0</v>
      </c>
      <c r="AH1110" s="10">
        <f t="shared" ref="AH1110" ca="1" si="7253" xml:space="preserve"> AH1109 * $E1110 * Period_length</f>
        <v>0</v>
      </c>
      <c r="AI1110" s="10">
        <f t="shared" ref="AI1110" ca="1" si="7254" xml:space="preserve"> AI1109 * $E1110 * Period_length</f>
        <v>0</v>
      </c>
      <c r="AJ1110" s="10">
        <f t="shared" ref="AJ1110" ca="1" si="7255" xml:space="preserve"> AJ1109 * $E1110 * Period_length</f>
        <v>0</v>
      </c>
      <c r="AK1110" s="10">
        <f t="shared" ref="AK1110" ca="1" si="7256" xml:space="preserve"> AK1109 * $E1110 * Period_length</f>
        <v>0</v>
      </c>
      <c r="AL1110" s="10">
        <f t="shared" ref="AL1110" ca="1" si="7257" xml:space="preserve"> AL1109 * $E1110 * Period_length</f>
        <v>0</v>
      </c>
      <c r="AM1110" s="10">
        <f t="shared" ref="AM1110" ca="1" si="7258" xml:space="preserve"> AM1109 * $E1110 * Period_length</f>
        <v>0</v>
      </c>
      <c r="AN1110" s="10">
        <f t="shared" ref="AN1110" ca="1" si="7259" xml:space="preserve"> AN1109 * $E1110 * Period_length</f>
        <v>0</v>
      </c>
      <c r="AO1110" s="10">
        <f t="shared" ref="AO1110" ca="1" si="7260" xml:space="preserve"> AO1109 * $E1110 * Period_length</f>
        <v>0</v>
      </c>
      <c r="AP1110" s="10">
        <f t="shared" ref="AP1110" ca="1" si="7261" xml:space="preserve"> AP1109 * $E1110 * Period_length</f>
        <v>0</v>
      </c>
      <c r="AQ1110" s="10">
        <f t="shared" ref="AQ1110" ca="1" si="7262" xml:space="preserve"> AQ1109 * $E1110 * Period_length</f>
        <v>0</v>
      </c>
      <c r="AR1110" s="10">
        <f t="shared" ref="AR1110" ca="1" si="7263" xml:space="preserve"> AR1109 * $E1110 * Period_length</f>
        <v>0</v>
      </c>
      <c r="AS1110" s="10">
        <f t="shared" ref="AS1110" ca="1" si="7264" xml:space="preserve"> AS1109 * $E1110 * Period_length</f>
        <v>0</v>
      </c>
      <c r="AT1110" s="10">
        <f t="shared" ref="AT1110" ca="1" si="7265" xml:space="preserve"> AT1109 * $E1110 * Period_length</f>
        <v>0</v>
      </c>
      <c r="AU1110" s="10">
        <f t="shared" ref="AU1110" ca="1" si="7266" xml:space="preserve"> AU1109 * $E1110 * Period_length</f>
        <v>0</v>
      </c>
      <c r="AV1110" s="10">
        <f t="shared" ref="AV1110" ca="1" si="7267" xml:space="preserve"> AV1109 * $E1110 * Period_length</f>
        <v>0</v>
      </c>
      <c r="AW1110" s="10">
        <f t="shared" ref="AW1110" ca="1" si="7268" xml:space="preserve"> AW1109 * $E1110 * Period_length</f>
        <v>0</v>
      </c>
      <c r="AX1110" s="10">
        <f t="shared" ref="AX1110" ca="1" si="7269" xml:space="preserve"> AX1109 * $E1110 * Period_length</f>
        <v>0</v>
      </c>
      <c r="AY1110" s="10">
        <f t="shared" ref="AY1110" ca="1" si="7270" xml:space="preserve"> AY1109 * $E1110 * Period_length</f>
        <v>0</v>
      </c>
      <c r="AZ1110" s="10">
        <f t="shared" ref="AZ1110" ca="1" si="7271" xml:space="preserve"> AZ1109 * $E1110 * Period_length</f>
        <v>0</v>
      </c>
      <c r="BA1110" s="10">
        <f t="shared" ref="BA1110" ca="1" si="7272" xml:space="preserve"> BA1109 * $E1110 * Period_length</f>
        <v>0</v>
      </c>
      <c r="BB1110" s="10">
        <f t="shared" ref="BB1110" ca="1" si="7273" xml:space="preserve"> BB1109 * $E1110 * Period_length</f>
        <v>0</v>
      </c>
      <c r="BC1110" s="10">
        <f t="shared" ref="BC1110" ca="1" si="7274" xml:space="preserve"> BC1109 * $E1110 * Period_length</f>
        <v>0</v>
      </c>
      <c r="BD1110" s="10">
        <f t="shared" ref="BD1110" ca="1" si="7275" xml:space="preserve"> BD1109 * $E1110 * Period_length</f>
        <v>0</v>
      </c>
      <c r="BE1110" s="10">
        <f t="shared" ref="BE1110" ca="1" si="7276" xml:space="preserve"> BE1109 * $E1110 * Period_length</f>
        <v>0</v>
      </c>
      <c r="BF1110" s="10">
        <f t="shared" ref="BF1110" ca="1" si="7277" xml:space="preserve"> BF1109 * $E1110 * Period_length</f>
        <v>0</v>
      </c>
      <c r="BG1110" s="10">
        <f t="shared" ref="BG1110" ca="1" si="7278" xml:space="preserve"> BG1109 * $E1110 * Period_length</f>
        <v>0</v>
      </c>
      <c r="BH1110" s="10">
        <f t="shared" ref="BH1110" ca="1" si="7279" xml:space="preserve"> BH1109 * $E1110 * Period_length</f>
        <v>0</v>
      </c>
      <c r="BI1110" s="10">
        <f t="shared" ref="BI1110" ca="1" si="7280" xml:space="preserve"> BI1109 * $E1110 * Period_length</f>
        <v>0</v>
      </c>
      <c r="BJ1110" s="10">
        <f t="shared" ref="BJ1110" ca="1" si="7281" xml:space="preserve"> BJ1109 * $E1110 * Period_length</f>
        <v>0</v>
      </c>
      <c r="BK1110" s="10">
        <f t="shared" ref="BK1110" ca="1" si="7282" xml:space="preserve"> BK1109 * $E1110 * Period_length</f>
        <v>0</v>
      </c>
      <c r="BL1110" s="10">
        <f t="shared" ref="BL1110" ca="1" si="7283" xml:space="preserve"> BL1109 * $E1110 * Period_length</f>
        <v>0</v>
      </c>
      <c r="BM1110" s="10">
        <f t="shared" ref="BM1110" ca="1" si="7284" xml:space="preserve"> BM1109 * $E1110 * Period_length</f>
        <v>0</v>
      </c>
      <c r="BN1110" s="10">
        <f t="shared" ref="BN1110" ca="1" si="7285" xml:space="preserve"> BN1109 * $E1110 * Period_length</f>
        <v>0</v>
      </c>
      <c r="BO1110" s="10">
        <f t="shared" ref="BO1110" ca="1" si="7286" xml:space="preserve"> BO1109 * $E1110 * Period_length</f>
        <v>0</v>
      </c>
      <c r="BP1110" s="10">
        <f t="shared" ref="BP1110" ca="1" si="7287" xml:space="preserve"> BP1109 * $E1110 * Period_length</f>
        <v>0</v>
      </c>
      <c r="BQ1110" s="10">
        <f t="shared" ref="BQ1110" ca="1" si="7288" xml:space="preserve"> BQ1109 * $E1110 * Period_length</f>
        <v>0</v>
      </c>
      <c r="BR1110" s="10">
        <f t="shared" ref="BR1110" ca="1" si="7289" xml:space="preserve"> BR1109 * $E1110 * Period_length</f>
        <v>0</v>
      </c>
      <c r="BS1110" s="10">
        <f t="shared" ref="BS1110" ca="1" si="7290" xml:space="preserve"> BS1109 * $E1110 * Period_length</f>
        <v>0</v>
      </c>
      <c r="BT1110" s="10">
        <f t="shared" ref="BT1110" ca="1" si="7291" xml:space="preserve"> BT1109 * $E1110 * Period_length</f>
        <v>0</v>
      </c>
      <c r="BU1110" s="10">
        <f t="shared" ref="BU1110" ca="1" si="7292" xml:space="preserve"> BU1109 * $E1110 * Period_length</f>
        <v>0</v>
      </c>
      <c r="BV1110" s="10">
        <f t="shared" ref="BV1110" ca="1" si="7293" xml:space="preserve"> BV1109 * $E1110 * Period_length</f>
        <v>0</v>
      </c>
      <c r="BW1110" s="10">
        <f t="shared" ref="BW1110" ca="1" si="7294" xml:space="preserve"> BW1109 * $E1110 * Period_length</f>
        <v>0</v>
      </c>
      <c r="BX1110" s="10">
        <f t="shared" ref="BX1110" ca="1" si="7295" xml:space="preserve"> BX1109 * $E1110 * Period_length</f>
        <v>0</v>
      </c>
      <c r="BY1110" s="10">
        <f t="shared" ref="BY1110" ca="1" si="7296" xml:space="preserve"> BY1109 * $E1110 * Period_length</f>
        <v>0</v>
      </c>
      <c r="BZ1110" s="10">
        <f t="shared" ref="BZ1110" ca="1" si="7297" xml:space="preserve"> BZ1109 * $E1110 * Period_length</f>
        <v>0</v>
      </c>
      <c r="CA1110" s="10">
        <f t="shared" ref="CA1110" ca="1" si="7298" xml:space="preserve"> CA1109 * $E1110 * Period_length</f>
        <v>0</v>
      </c>
      <c r="CB1110" s="10">
        <f t="shared" ref="CB1110" ca="1" si="7299" xml:space="preserve"> CB1109 * $E1110 * Period_length</f>
        <v>0</v>
      </c>
      <c r="CC1110" s="10">
        <f t="shared" ref="CC1110" ca="1" si="7300" xml:space="preserve"> CC1109 * $E1110 * Period_length</f>
        <v>0</v>
      </c>
      <c r="CD1110" s="10">
        <f t="shared" ref="CD1110" ca="1" si="7301" xml:space="preserve"> CD1109 * $E1110 * Period_length</f>
        <v>0</v>
      </c>
      <c r="CE1110" s="10">
        <f t="shared" ref="CE1110" ca="1" si="7302" xml:space="preserve"> CE1109 * $E1110 * Period_length</f>
        <v>0</v>
      </c>
      <c r="CF1110" s="10">
        <f t="shared" ref="CF1110" ca="1" si="7303" xml:space="preserve"> CF1109 * $E1110 * Period_length</f>
        <v>0</v>
      </c>
      <c r="CG1110" s="10">
        <f t="shared" ref="CG1110" ca="1" si="7304" xml:space="preserve"> CG1109 * $E1110 * Period_length</f>
        <v>0</v>
      </c>
      <c r="CH1110" s="10">
        <f t="shared" ref="CH1110" ca="1" si="7305" xml:space="preserve"> CH1109 * $E1110 * Period_length</f>
        <v>0</v>
      </c>
      <c r="CI1110" s="10">
        <f t="shared" ref="CI1110" ca="1" si="7306" xml:space="preserve"> CI1109 * $E1110 * Period_length</f>
        <v>0</v>
      </c>
      <c r="CJ1110" s="10">
        <f t="shared" ref="CJ1110" ca="1" si="7307" xml:space="preserve"> CJ1109 * $E1110 * Period_length</f>
        <v>0</v>
      </c>
      <c r="CK1110" s="10">
        <f t="shared" ref="CK1110" ca="1" si="7308" xml:space="preserve"> CK1109 * $E1110 * Period_length</f>
        <v>0</v>
      </c>
      <c r="CL1110" s="10">
        <f t="shared" ref="CL1110" ca="1" si="7309" xml:space="preserve"> CL1109 * $E1110 * Period_length</f>
        <v>0</v>
      </c>
      <c r="CM1110" s="10">
        <f t="shared" ref="CM1110" ca="1" si="7310" xml:space="preserve"> CM1109 * $E1110 * Period_length</f>
        <v>0</v>
      </c>
      <c r="CN1110" s="10">
        <f t="shared" ref="CN1110" ca="1" si="7311" xml:space="preserve"> CN1109 * $E1110 * Period_length</f>
        <v>0</v>
      </c>
      <c r="CO1110" s="10">
        <f t="shared" ref="CO1110" ca="1" si="7312" xml:space="preserve"> CO1109 * $E1110 * Period_length</f>
        <v>0</v>
      </c>
    </row>
    <row r="1111" spans="1:93" ht="15" thickTop="1">
      <c r="A1111" s="172"/>
      <c r="B1111" s="35"/>
      <c r="C1111" s="173" t="s">
        <v>455</v>
      </c>
      <c r="D1111" s="49"/>
      <c r="E1111" s="49"/>
      <c r="F1111" s="49"/>
      <c r="G1111" s="159" t="str">
        <f>Monetary_Unit</f>
        <v>тыс. руб.</v>
      </c>
      <c r="H1111" s="49"/>
      <c r="I1111" s="176">
        <f ca="1">SUM(L1111:CO1111)</f>
        <v>0</v>
      </c>
      <c r="J1111" s="49"/>
      <c r="K1111" s="49"/>
      <c r="L1111" s="49">
        <f t="shared" ref="L1111:R1111" ca="1" si="7313">L1110</f>
        <v>0</v>
      </c>
      <c r="M1111" s="49">
        <f t="shared" ca="1" si="7313"/>
        <v>0</v>
      </c>
      <c r="N1111" s="49">
        <f t="shared" ca="1" si="7313"/>
        <v>0</v>
      </c>
      <c r="O1111" s="49">
        <f t="shared" ca="1" si="7313"/>
        <v>0</v>
      </c>
      <c r="P1111" s="49">
        <f t="shared" ca="1" si="7313"/>
        <v>0</v>
      </c>
      <c r="Q1111" s="49">
        <f t="shared" ca="1" si="7313"/>
        <v>0</v>
      </c>
      <c r="R1111" s="49">
        <f t="shared" ca="1" si="7313"/>
        <v>0</v>
      </c>
      <c r="S1111" s="49">
        <f t="shared" ref="S1111" ca="1" si="7314">S1110</f>
        <v>0</v>
      </c>
      <c r="T1111" s="49">
        <f t="shared" ref="T1111:CE1111" ca="1" si="7315">T1110</f>
        <v>0</v>
      </c>
      <c r="U1111" s="49">
        <f t="shared" ca="1" si="7315"/>
        <v>0</v>
      </c>
      <c r="V1111" s="49">
        <f t="shared" ca="1" si="7315"/>
        <v>0</v>
      </c>
      <c r="W1111" s="49">
        <f t="shared" ca="1" si="7315"/>
        <v>0</v>
      </c>
      <c r="X1111" s="49">
        <f t="shared" ca="1" si="7315"/>
        <v>0</v>
      </c>
      <c r="Y1111" s="49">
        <f t="shared" ca="1" si="7315"/>
        <v>0</v>
      </c>
      <c r="Z1111" s="49">
        <f t="shared" ca="1" si="7315"/>
        <v>0</v>
      </c>
      <c r="AA1111" s="49">
        <f t="shared" ca="1" si="7315"/>
        <v>0</v>
      </c>
      <c r="AB1111" s="49">
        <f t="shared" ca="1" si="7315"/>
        <v>0</v>
      </c>
      <c r="AC1111" s="49">
        <f t="shared" ca="1" si="7315"/>
        <v>0</v>
      </c>
      <c r="AD1111" s="49">
        <f t="shared" ca="1" si="7315"/>
        <v>0</v>
      </c>
      <c r="AE1111" s="49">
        <f t="shared" ca="1" si="7315"/>
        <v>0</v>
      </c>
      <c r="AF1111" s="49">
        <f t="shared" ca="1" si="7315"/>
        <v>0</v>
      </c>
      <c r="AG1111" s="49">
        <f t="shared" ca="1" si="7315"/>
        <v>0</v>
      </c>
      <c r="AH1111" s="49">
        <f t="shared" ca="1" si="7315"/>
        <v>0</v>
      </c>
      <c r="AI1111" s="49">
        <f t="shared" ca="1" si="7315"/>
        <v>0</v>
      </c>
      <c r="AJ1111" s="49">
        <f t="shared" ca="1" si="7315"/>
        <v>0</v>
      </c>
      <c r="AK1111" s="49">
        <f t="shared" ca="1" si="7315"/>
        <v>0</v>
      </c>
      <c r="AL1111" s="49">
        <f t="shared" ca="1" si="7315"/>
        <v>0</v>
      </c>
      <c r="AM1111" s="49">
        <f t="shared" ca="1" si="7315"/>
        <v>0</v>
      </c>
      <c r="AN1111" s="49">
        <f t="shared" ca="1" si="7315"/>
        <v>0</v>
      </c>
      <c r="AO1111" s="49">
        <f t="shared" ca="1" si="7315"/>
        <v>0</v>
      </c>
      <c r="AP1111" s="49">
        <f t="shared" ca="1" si="7315"/>
        <v>0</v>
      </c>
      <c r="AQ1111" s="49">
        <f t="shared" ca="1" si="7315"/>
        <v>0</v>
      </c>
      <c r="AR1111" s="49">
        <f t="shared" ca="1" si="7315"/>
        <v>0</v>
      </c>
      <c r="AS1111" s="49">
        <f t="shared" ca="1" si="7315"/>
        <v>0</v>
      </c>
      <c r="AT1111" s="49">
        <f t="shared" ca="1" si="7315"/>
        <v>0</v>
      </c>
      <c r="AU1111" s="49">
        <f t="shared" ca="1" si="7315"/>
        <v>0</v>
      </c>
      <c r="AV1111" s="49">
        <f t="shared" ca="1" si="7315"/>
        <v>0</v>
      </c>
      <c r="AW1111" s="49">
        <f t="shared" ca="1" si="7315"/>
        <v>0</v>
      </c>
      <c r="AX1111" s="49">
        <f t="shared" ca="1" si="7315"/>
        <v>0</v>
      </c>
      <c r="AY1111" s="49">
        <f t="shared" ca="1" si="7315"/>
        <v>0</v>
      </c>
      <c r="AZ1111" s="49">
        <f t="shared" ca="1" si="7315"/>
        <v>0</v>
      </c>
      <c r="BA1111" s="49">
        <f t="shared" ca="1" si="7315"/>
        <v>0</v>
      </c>
      <c r="BB1111" s="49">
        <f t="shared" ca="1" si="7315"/>
        <v>0</v>
      </c>
      <c r="BC1111" s="49">
        <f t="shared" ca="1" si="7315"/>
        <v>0</v>
      </c>
      <c r="BD1111" s="49">
        <f t="shared" ca="1" si="7315"/>
        <v>0</v>
      </c>
      <c r="BE1111" s="49">
        <f t="shared" ca="1" si="7315"/>
        <v>0</v>
      </c>
      <c r="BF1111" s="49">
        <f t="shared" ca="1" si="7315"/>
        <v>0</v>
      </c>
      <c r="BG1111" s="49">
        <f t="shared" ca="1" si="7315"/>
        <v>0</v>
      </c>
      <c r="BH1111" s="49">
        <f t="shared" ca="1" si="7315"/>
        <v>0</v>
      </c>
      <c r="BI1111" s="49">
        <f t="shared" ca="1" si="7315"/>
        <v>0</v>
      </c>
      <c r="BJ1111" s="49">
        <f t="shared" ca="1" si="7315"/>
        <v>0</v>
      </c>
      <c r="BK1111" s="49">
        <f t="shared" ca="1" si="7315"/>
        <v>0</v>
      </c>
      <c r="BL1111" s="49">
        <f t="shared" ca="1" si="7315"/>
        <v>0</v>
      </c>
      <c r="BM1111" s="49">
        <f t="shared" ca="1" si="7315"/>
        <v>0</v>
      </c>
      <c r="BN1111" s="49">
        <f t="shared" ca="1" si="7315"/>
        <v>0</v>
      </c>
      <c r="BO1111" s="49">
        <f t="shared" ca="1" si="7315"/>
        <v>0</v>
      </c>
      <c r="BP1111" s="49">
        <f t="shared" ca="1" si="7315"/>
        <v>0</v>
      </c>
      <c r="BQ1111" s="49">
        <f t="shared" ca="1" si="7315"/>
        <v>0</v>
      </c>
      <c r="BR1111" s="49">
        <f t="shared" ca="1" si="7315"/>
        <v>0</v>
      </c>
      <c r="BS1111" s="49">
        <f t="shared" ca="1" si="7315"/>
        <v>0</v>
      </c>
      <c r="BT1111" s="49">
        <f t="shared" ca="1" si="7315"/>
        <v>0</v>
      </c>
      <c r="BU1111" s="49">
        <f t="shared" ca="1" si="7315"/>
        <v>0</v>
      </c>
      <c r="BV1111" s="49">
        <f t="shared" ca="1" si="7315"/>
        <v>0</v>
      </c>
      <c r="BW1111" s="49">
        <f t="shared" ca="1" si="7315"/>
        <v>0</v>
      </c>
      <c r="BX1111" s="49">
        <f t="shared" ca="1" si="7315"/>
        <v>0</v>
      </c>
      <c r="BY1111" s="49">
        <f t="shared" ca="1" si="7315"/>
        <v>0</v>
      </c>
      <c r="BZ1111" s="49">
        <f t="shared" ca="1" si="7315"/>
        <v>0</v>
      </c>
      <c r="CA1111" s="49">
        <f t="shared" ca="1" si="7315"/>
        <v>0</v>
      </c>
      <c r="CB1111" s="49">
        <f t="shared" ca="1" si="7315"/>
        <v>0</v>
      </c>
      <c r="CC1111" s="49">
        <f t="shared" ca="1" si="7315"/>
        <v>0</v>
      </c>
      <c r="CD1111" s="49">
        <f t="shared" ca="1" si="7315"/>
        <v>0</v>
      </c>
      <c r="CE1111" s="49">
        <f t="shared" ca="1" si="7315"/>
        <v>0</v>
      </c>
      <c r="CF1111" s="49">
        <f t="shared" ref="CF1111:CO1111" ca="1" si="7316">CF1110</f>
        <v>0</v>
      </c>
      <c r="CG1111" s="49">
        <f t="shared" ca="1" si="7316"/>
        <v>0</v>
      </c>
      <c r="CH1111" s="49">
        <f t="shared" ca="1" si="7316"/>
        <v>0</v>
      </c>
      <c r="CI1111" s="49">
        <f t="shared" ca="1" si="7316"/>
        <v>0</v>
      </c>
      <c r="CJ1111" s="49">
        <f t="shared" ca="1" si="7316"/>
        <v>0</v>
      </c>
      <c r="CK1111" s="49">
        <f t="shared" ca="1" si="7316"/>
        <v>0</v>
      </c>
      <c r="CL1111" s="49">
        <f t="shared" ca="1" si="7316"/>
        <v>0</v>
      </c>
      <c r="CM1111" s="49">
        <f t="shared" ca="1" si="7316"/>
        <v>0</v>
      </c>
      <c r="CN1111" s="49">
        <f t="shared" ca="1" si="7316"/>
        <v>0</v>
      </c>
      <c r="CO1111" s="49">
        <f t="shared" ca="1" si="7316"/>
        <v>0</v>
      </c>
    </row>
    <row r="1112" spans="1:93">
      <c r="A1112" s="10"/>
      <c r="B1112" s="10"/>
      <c r="C1112" s="10"/>
      <c r="D1112" s="10"/>
      <c r="E1112" s="10"/>
      <c r="F1112" s="10"/>
      <c r="G1112" s="11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  <c r="BB1112" s="10"/>
      <c r="BC1112" s="10"/>
      <c r="BD1112" s="10"/>
      <c r="BE1112" s="10"/>
      <c r="BF1112" s="10"/>
      <c r="BG1112" s="10"/>
      <c r="BH1112" s="10"/>
      <c r="BI1112" s="10"/>
      <c r="BJ1112" s="10"/>
      <c r="BK1112" s="10"/>
      <c r="BL1112" s="10"/>
      <c r="BM1112" s="10"/>
      <c r="BN1112" s="10"/>
      <c r="BO1112" s="10"/>
      <c r="BP1112" s="10"/>
      <c r="BQ1112" s="10"/>
      <c r="BR1112" s="10"/>
      <c r="BS1112" s="10"/>
      <c r="BT1112" s="10"/>
      <c r="BU1112" s="10"/>
      <c r="BV1112" s="10"/>
      <c r="BW1112" s="10"/>
      <c r="BX1112" s="10"/>
      <c r="BY1112" s="10"/>
      <c r="BZ1112" s="10"/>
      <c r="CA1112" s="10"/>
      <c r="CB1112" s="10"/>
      <c r="CC1112" s="10"/>
      <c r="CD1112" s="10"/>
      <c r="CE1112" s="10"/>
      <c r="CF1112" s="10"/>
      <c r="CG1112" s="10"/>
      <c r="CH1112" s="10"/>
      <c r="CI1112" s="10"/>
      <c r="CJ1112" s="10"/>
      <c r="CK1112" s="10"/>
      <c r="CL1112" s="10"/>
      <c r="CM1112" s="10"/>
      <c r="CN1112" s="10"/>
      <c r="CO1112" s="10"/>
    </row>
    <row r="1113" spans="1:93" ht="22.5" customHeight="1">
      <c r="A1113" s="10"/>
      <c r="B1113" s="5" t="s">
        <v>173</v>
      </c>
      <c r="C1113" s="5"/>
      <c r="D1113" s="15"/>
      <c r="E1113" s="5"/>
      <c r="F1113" s="5"/>
      <c r="G1113" s="6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5"/>
      <c r="BP1113" s="5"/>
      <c r="BQ1113" s="5"/>
      <c r="BR1113" s="5"/>
      <c r="BS1113" s="5"/>
      <c r="BT1113" s="5"/>
      <c r="BU1113" s="5"/>
      <c r="BV1113" s="5"/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</row>
    <row r="1114" spans="1:93">
      <c r="A1114" s="10"/>
      <c r="B1114" s="10"/>
      <c r="C1114" s="10"/>
      <c r="D1114" s="10"/>
      <c r="E1114" s="10"/>
      <c r="F1114" s="10"/>
      <c r="G1114" s="11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  <c r="BB1114" s="10"/>
      <c r="BC1114" s="10"/>
      <c r="BD1114" s="10"/>
      <c r="BE1114" s="10"/>
      <c r="BF1114" s="10"/>
      <c r="BG1114" s="10"/>
      <c r="BH1114" s="10"/>
      <c r="BI1114" s="10"/>
      <c r="BJ1114" s="10"/>
      <c r="BK1114" s="10"/>
      <c r="BL1114" s="10"/>
      <c r="BM1114" s="10"/>
      <c r="BN1114" s="10"/>
      <c r="BO1114" s="10"/>
      <c r="BP1114" s="10"/>
      <c r="BQ1114" s="10"/>
      <c r="BR1114" s="10"/>
      <c r="BS1114" s="10"/>
      <c r="BT1114" s="10"/>
      <c r="BU1114" s="10"/>
      <c r="BV1114" s="10"/>
      <c r="BW1114" s="10"/>
      <c r="BX1114" s="10"/>
      <c r="BY1114" s="10"/>
      <c r="BZ1114" s="10"/>
      <c r="CA1114" s="10"/>
      <c r="CB1114" s="10"/>
      <c r="CC1114" s="10"/>
      <c r="CD1114" s="10"/>
      <c r="CE1114" s="10"/>
      <c r="CF1114" s="10"/>
      <c r="CG1114" s="10"/>
      <c r="CH1114" s="10"/>
      <c r="CI1114" s="10"/>
      <c r="CJ1114" s="10"/>
      <c r="CK1114" s="10"/>
      <c r="CL1114" s="10"/>
      <c r="CM1114" s="10"/>
      <c r="CN1114" s="10"/>
      <c r="CO1114" s="10"/>
    </row>
    <row r="1115" spans="1:93" ht="16" thickBot="1">
      <c r="A1115" s="10"/>
      <c r="B1115" s="10"/>
      <c r="C1115" s="12" t="s">
        <v>172</v>
      </c>
      <c r="D1115" s="10"/>
      <c r="E1115" s="10"/>
      <c r="F1115" s="10"/>
      <c r="G1115" s="11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  <c r="BB1115" s="10"/>
      <c r="BC1115" s="10"/>
      <c r="BD1115" s="10"/>
      <c r="BE1115" s="10"/>
      <c r="BF1115" s="10"/>
      <c r="BG1115" s="10"/>
      <c r="BH1115" s="10"/>
      <c r="BI1115" s="10"/>
      <c r="BJ1115" s="10"/>
      <c r="BK1115" s="10"/>
      <c r="BL1115" s="10"/>
      <c r="BM1115" s="10"/>
      <c r="BN1115" s="10"/>
      <c r="BO1115" s="10"/>
      <c r="BP1115" s="10"/>
      <c r="BQ1115" s="10"/>
      <c r="BR1115" s="10"/>
      <c r="BS1115" s="10"/>
      <c r="BT1115" s="10"/>
      <c r="BU1115" s="10"/>
      <c r="BV1115" s="10"/>
      <c r="BW1115" s="10"/>
      <c r="BX1115" s="10"/>
      <c r="BY1115" s="10"/>
      <c r="BZ1115" s="10"/>
      <c r="CA1115" s="10"/>
      <c r="CB1115" s="10"/>
      <c r="CC1115" s="10"/>
      <c r="CD1115" s="10"/>
      <c r="CE1115" s="10"/>
      <c r="CF1115" s="10"/>
      <c r="CG1115" s="10"/>
      <c r="CH1115" s="10"/>
      <c r="CI1115" s="10"/>
      <c r="CJ1115" s="10"/>
      <c r="CK1115" s="10"/>
      <c r="CL1115" s="10"/>
      <c r="CM1115" s="10"/>
      <c r="CN1115" s="10"/>
      <c r="CO1115" s="10"/>
    </row>
    <row r="1116" spans="1:93">
      <c r="A1116" s="10"/>
      <c r="B1116" s="10"/>
      <c r="C1116" s="10"/>
      <c r="D1116" s="10"/>
      <c r="E1116" s="10"/>
      <c r="F1116" s="10"/>
      <c r="G1116" s="11"/>
      <c r="H1116" s="10"/>
      <c r="I1116" s="10">
        <f ca="1">I1118*1.2/Предпосылки!E90</f>
        <v>308.73606189488595</v>
      </c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  <c r="BB1116" s="10"/>
      <c r="BC1116" s="10"/>
      <c r="BD1116" s="10"/>
      <c r="BE1116" s="10"/>
      <c r="BF1116" s="10"/>
      <c r="BG1116" s="10"/>
      <c r="BH1116" s="10"/>
      <c r="BI1116" s="10"/>
      <c r="BJ1116" s="10"/>
      <c r="BK1116" s="10"/>
      <c r="BL1116" s="10"/>
      <c r="BM1116" s="10"/>
      <c r="BN1116" s="10"/>
      <c r="BO1116" s="10"/>
      <c r="BP1116" s="10"/>
      <c r="BQ1116" s="10"/>
      <c r="BR1116" s="10"/>
      <c r="BS1116" s="10"/>
      <c r="BT1116" s="10"/>
      <c r="BU1116" s="10"/>
      <c r="BV1116" s="10"/>
      <c r="BW1116" s="10"/>
      <c r="BX1116" s="10"/>
      <c r="BY1116" s="10"/>
      <c r="BZ1116" s="10"/>
      <c r="CA1116" s="10"/>
      <c r="CB1116" s="10"/>
      <c r="CC1116" s="10"/>
      <c r="CD1116" s="10"/>
      <c r="CE1116" s="10"/>
      <c r="CF1116" s="10"/>
      <c r="CG1116" s="10"/>
      <c r="CH1116" s="10"/>
      <c r="CI1116" s="10"/>
      <c r="CJ1116" s="10"/>
      <c r="CK1116" s="10"/>
      <c r="CL1116" s="10"/>
      <c r="CM1116" s="10"/>
      <c r="CN1116" s="10"/>
      <c r="CO1116" s="10"/>
    </row>
    <row r="1117" spans="1:93">
      <c r="A1117" s="10"/>
      <c r="B1117" s="10"/>
      <c r="C1117" s="32" t="s">
        <v>521</v>
      </c>
      <c r="D1117" s="10"/>
      <c r="E1117" s="10"/>
      <c r="F1117" s="10"/>
      <c r="G1117" s="11"/>
      <c r="H1117" s="10"/>
      <c r="I1117" s="10">
        <f ca="1">(I1118)/200</f>
        <v>24041.99752389919</v>
      </c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  <c r="BB1117" s="10"/>
      <c r="BC1117" s="10"/>
      <c r="BD1117" s="10"/>
      <c r="BE1117" s="10"/>
      <c r="BF1117" s="10"/>
      <c r="BG1117" s="10"/>
      <c r="BH1117" s="10"/>
      <c r="BI1117" s="10"/>
      <c r="BJ1117" s="10"/>
      <c r="BK1117" s="10"/>
      <c r="BL1117" s="10"/>
      <c r="BM1117" s="10"/>
      <c r="BN1117" s="10"/>
      <c r="BO1117" s="10"/>
      <c r="BP1117" s="10"/>
      <c r="BQ1117" s="10"/>
      <c r="BR1117" s="10"/>
      <c r="BS1117" s="10"/>
      <c r="BT1117" s="10"/>
      <c r="BU1117" s="10"/>
      <c r="BV1117" s="10"/>
      <c r="BW1117" s="10"/>
      <c r="BX1117" s="10"/>
      <c r="BY1117" s="10"/>
      <c r="BZ1117" s="10"/>
      <c r="CA1117" s="10"/>
      <c r="CB1117" s="10"/>
      <c r="CC1117" s="10"/>
      <c r="CD1117" s="10"/>
      <c r="CE1117" s="10"/>
      <c r="CF1117" s="10"/>
      <c r="CG1117" s="10"/>
      <c r="CH1117" s="10"/>
      <c r="CI1117" s="10"/>
      <c r="CJ1117" s="10"/>
      <c r="CK1117" s="10"/>
      <c r="CL1117" s="10"/>
      <c r="CM1117" s="10"/>
      <c r="CN1117" s="10"/>
      <c r="CO1117" s="10"/>
    </row>
    <row r="1118" spans="1:93">
      <c r="A1118" s="10"/>
      <c r="B1118" s="10"/>
      <c r="C1118" s="21" t="s">
        <v>161</v>
      </c>
      <c r="D1118" s="10"/>
      <c r="E1118" s="10"/>
      <c r="F1118" s="10"/>
      <c r="G1118" s="134" t="str">
        <f t="shared" ref="G1118:G1130" si="7317">Monetary_Unit</f>
        <v>тыс. руб.</v>
      </c>
      <c r="H1118" s="10"/>
      <c r="I1118" s="23">
        <f t="shared" ref="I1118:I1130" ca="1" si="7318">SUM(L1118:CO1118)</f>
        <v>4808399.504779838</v>
      </c>
      <c r="J1118" s="10"/>
      <c r="K1118" s="10"/>
      <c r="L1118" s="10">
        <f t="shared" ref="L1118:BW1118" ca="1" si="7319">CAPEX</f>
        <v>26171.794482739097</v>
      </c>
      <c r="M1118" s="10">
        <f t="shared" ca="1" si="7319"/>
        <v>26543.300158756276</v>
      </c>
      <c r="N1118" s="10">
        <f t="shared" ca="1" si="7319"/>
        <v>26920.079316016938</v>
      </c>
      <c r="O1118" s="10">
        <f t="shared" ca="1" si="7319"/>
        <v>27302.20681099359</v>
      </c>
      <c r="P1118" s="10">
        <f t="shared" ca="1" si="7319"/>
        <v>229659.55483999598</v>
      </c>
      <c r="Q1118" s="10">
        <f t="shared" ca="1" si="7319"/>
        <v>231922.48380168967</v>
      </c>
      <c r="R1118" s="10">
        <f t="shared" ca="1" si="7319"/>
        <v>234207.71032243437</v>
      </c>
      <c r="S1118" s="10">
        <f t="shared" ca="1" si="7319"/>
        <v>236515.4541091444</v>
      </c>
      <c r="T1118" s="10">
        <f t="shared" ca="1" si="7319"/>
        <v>238845.93703359578</v>
      </c>
      <c r="U1118" s="10">
        <f t="shared" ca="1" si="7319"/>
        <v>241199.38315375723</v>
      </c>
      <c r="V1118" s="10">
        <f t="shared" ca="1" si="7319"/>
        <v>243576.01873533166</v>
      </c>
      <c r="W1118" s="10">
        <f t="shared" ca="1" si="7319"/>
        <v>245976.07227351013</v>
      </c>
      <c r="X1118" s="10">
        <f t="shared" ca="1" si="7319"/>
        <v>518760.33442500973</v>
      </c>
      <c r="Y1118" s="10">
        <f t="shared" ca="1" si="7319"/>
        <v>523871.89090157853</v>
      </c>
      <c r="Z1118" s="10">
        <f t="shared" ca="1" si="7319"/>
        <v>529033.81362220866</v>
      </c>
      <c r="AA1118" s="10">
        <f t="shared" ca="1" si="7319"/>
        <v>534246.59886597958</v>
      </c>
      <c r="AB1118" s="10">
        <f t="shared" ca="1" si="7319"/>
        <v>693646.87192709628</v>
      </c>
      <c r="AC1118" s="10">
        <f t="shared" ca="1" si="7319"/>
        <v>0</v>
      </c>
      <c r="AD1118" s="10">
        <f t="shared" ca="1" si="7319"/>
        <v>0</v>
      </c>
      <c r="AE1118" s="10">
        <f t="shared" ca="1" si="7319"/>
        <v>0</v>
      </c>
      <c r="AF1118" s="10">
        <f t="shared" ca="1" si="7319"/>
        <v>0</v>
      </c>
      <c r="AG1118" s="10">
        <f t="shared" ca="1" si="7319"/>
        <v>0</v>
      </c>
      <c r="AH1118" s="10">
        <f t="shared" ca="1" si="7319"/>
        <v>0</v>
      </c>
      <c r="AI1118" s="10">
        <f t="shared" ca="1" si="7319"/>
        <v>0</v>
      </c>
      <c r="AJ1118" s="10">
        <f t="shared" ca="1" si="7319"/>
        <v>0</v>
      </c>
      <c r="AK1118" s="10">
        <f t="shared" ca="1" si="7319"/>
        <v>0</v>
      </c>
      <c r="AL1118" s="10">
        <f t="shared" ca="1" si="7319"/>
        <v>0</v>
      </c>
      <c r="AM1118" s="10">
        <f t="shared" ca="1" si="7319"/>
        <v>0</v>
      </c>
      <c r="AN1118" s="10">
        <f t="shared" ca="1" si="7319"/>
        <v>0</v>
      </c>
      <c r="AO1118" s="10">
        <f t="shared" ca="1" si="7319"/>
        <v>0</v>
      </c>
      <c r="AP1118" s="10">
        <f t="shared" ca="1" si="7319"/>
        <v>0</v>
      </c>
      <c r="AQ1118" s="10">
        <f t="shared" ca="1" si="7319"/>
        <v>0</v>
      </c>
      <c r="AR1118" s="10">
        <f t="shared" ca="1" si="7319"/>
        <v>0</v>
      </c>
      <c r="AS1118" s="10">
        <f t="shared" ca="1" si="7319"/>
        <v>0</v>
      </c>
      <c r="AT1118" s="10">
        <f t="shared" ca="1" si="7319"/>
        <v>0</v>
      </c>
      <c r="AU1118" s="10">
        <f t="shared" ca="1" si="7319"/>
        <v>0</v>
      </c>
      <c r="AV1118" s="10">
        <f t="shared" ca="1" si="7319"/>
        <v>0</v>
      </c>
      <c r="AW1118" s="10">
        <f t="shared" ca="1" si="7319"/>
        <v>0</v>
      </c>
      <c r="AX1118" s="10">
        <f t="shared" ca="1" si="7319"/>
        <v>0</v>
      </c>
      <c r="AY1118" s="10">
        <f t="shared" ca="1" si="7319"/>
        <v>0</v>
      </c>
      <c r="AZ1118" s="10">
        <f t="shared" ca="1" si="7319"/>
        <v>0</v>
      </c>
      <c r="BA1118" s="10">
        <f t="shared" ca="1" si="7319"/>
        <v>0</v>
      </c>
      <c r="BB1118" s="10">
        <f t="shared" ca="1" si="7319"/>
        <v>0</v>
      </c>
      <c r="BC1118" s="10">
        <f t="shared" ca="1" si="7319"/>
        <v>0</v>
      </c>
      <c r="BD1118" s="10">
        <f t="shared" ca="1" si="7319"/>
        <v>0</v>
      </c>
      <c r="BE1118" s="10">
        <f t="shared" ca="1" si="7319"/>
        <v>0</v>
      </c>
      <c r="BF1118" s="10">
        <f t="shared" ca="1" si="7319"/>
        <v>0</v>
      </c>
      <c r="BG1118" s="10">
        <f t="shared" ca="1" si="7319"/>
        <v>0</v>
      </c>
      <c r="BH1118" s="10">
        <f t="shared" ca="1" si="7319"/>
        <v>0</v>
      </c>
      <c r="BI1118" s="10">
        <f t="shared" ca="1" si="7319"/>
        <v>0</v>
      </c>
      <c r="BJ1118" s="10">
        <f t="shared" ca="1" si="7319"/>
        <v>0</v>
      </c>
      <c r="BK1118" s="10">
        <f t="shared" ca="1" si="7319"/>
        <v>0</v>
      </c>
      <c r="BL1118" s="10">
        <f t="shared" ca="1" si="7319"/>
        <v>0</v>
      </c>
      <c r="BM1118" s="10">
        <f t="shared" ca="1" si="7319"/>
        <v>0</v>
      </c>
      <c r="BN1118" s="10">
        <f t="shared" ca="1" si="7319"/>
        <v>0</v>
      </c>
      <c r="BO1118" s="10">
        <f t="shared" ca="1" si="7319"/>
        <v>0</v>
      </c>
      <c r="BP1118" s="10">
        <f t="shared" ca="1" si="7319"/>
        <v>0</v>
      </c>
      <c r="BQ1118" s="10">
        <f t="shared" ca="1" si="7319"/>
        <v>0</v>
      </c>
      <c r="BR1118" s="10">
        <f t="shared" ca="1" si="7319"/>
        <v>0</v>
      </c>
      <c r="BS1118" s="10">
        <f t="shared" ca="1" si="7319"/>
        <v>0</v>
      </c>
      <c r="BT1118" s="10">
        <f t="shared" ca="1" si="7319"/>
        <v>0</v>
      </c>
      <c r="BU1118" s="10">
        <f t="shared" ca="1" si="7319"/>
        <v>0</v>
      </c>
      <c r="BV1118" s="10">
        <f t="shared" ca="1" si="7319"/>
        <v>0</v>
      </c>
      <c r="BW1118" s="10">
        <f t="shared" ca="1" si="7319"/>
        <v>0</v>
      </c>
      <c r="BX1118" s="10">
        <f t="shared" ref="BX1118:CO1118" ca="1" si="7320">CAPEX</f>
        <v>0</v>
      </c>
      <c r="BY1118" s="10">
        <f t="shared" ca="1" si="7320"/>
        <v>0</v>
      </c>
      <c r="BZ1118" s="10">
        <f t="shared" ca="1" si="7320"/>
        <v>0</v>
      </c>
      <c r="CA1118" s="10">
        <f t="shared" ca="1" si="7320"/>
        <v>0</v>
      </c>
      <c r="CB1118" s="10">
        <f t="shared" ca="1" si="7320"/>
        <v>0</v>
      </c>
      <c r="CC1118" s="10">
        <f t="shared" ca="1" si="7320"/>
        <v>0</v>
      </c>
      <c r="CD1118" s="10">
        <f t="shared" ca="1" si="7320"/>
        <v>0</v>
      </c>
      <c r="CE1118" s="10">
        <f t="shared" ca="1" si="7320"/>
        <v>0</v>
      </c>
      <c r="CF1118" s="10">
        <f t="shared" ca="1" si="7320"/>
        <v>0</v>
      </c>
      <c r="CG1118" s="10">
        <f t="shared" ca="1" si="7320"/>
        <v>0</v>
      </c>
      <c r="CH1118" s="10">
        <f t="shared" ca="1" si="7320"/>
        <v>0</v>
      </c>
      <c r="CI1118" s="10">
        <f t="shared" ca="1" si="7320"/>
        <v>0</v>
      </c>
      <c r="CJ1118" s="10">
        <f t="shared" ca="1" si="7320"/>
        <v>0</v>
      </c>
      <c r="CK1118" s="10">
        <f t="shared" ca="1" si="7320"/>
        <v>0</v>
      </c>
      <c r="CL1118" s="10">
        <f t="shared" ca="1" si="7320"/>
        <v>0</v>
      </c>
      <c r="CM1118" s="10">
        <f t="shared" ca="1" si="7320"/>
        <v>0</v>
      </c>
      <c r="CN1118" s="10">
        <f t="shared" ca="1" si="7320"/>
        <v>0</v>
      </c>
      <c r="CO1118" s="10">
        <f t="shared" ca="1" si="7320"/>
        <v>0</v>
      </c>
    </row>
    <row r="1119" spans="1:93">
      <c r="A1119" s="10"/>
      <c r="B1119" s="10"/>
      <c r="C1119" s="21" t="s">
        <v>722</v>
      </c>
      <c r="D1119" s="10"/>
      <c r="E1119" s="10"/>
      <c r="F1119" s="10"/>
      <c r="G1119" s="134" t="str">
        <f t="shared" si="7317"/>
        <v>тыс. руб.</v>
      </c>
      <c r="H1119" s="10"/>
      <c r="I1119" s="23">
        <f t="shared" ca="1" si="7318"/>
        <v>0</v>
      </c>
      <c r="J1119" s="10"/>
      <c r="K1119" s="10"/>
      <c r="L1119" s="10">
        <f t="shared" ref="L1119:BW1119" ca="1" si="7321">-(COGS) * (Flag_Construction)</f>
        <v>0</v>
      </c>
      <c r="M1119" s="10">
        <f t="shared" ca="1" si="7321"/>
        <v>0</v>
      </c>
      <c r="N1119" s="10">
        <f t="shared" ca="1" si="7321"/>
        <v>0</v>
      </c>
      <c r="O1119" s="10">
        <f t="shared" ca="1" si="7321"/>
        <v>0</v>
      </c>
      <c r="P1119" s="10">
        <f t="shared" ca="1" si="7321"/>
        <v>0</v>
      </c>
      <c r="Q1119" s="10">
        <f t="shared" ca="1" si="7321"/>
        <v>0</v>
      </c>
      <c r="R1119" s="10">
        <f t="shared" ca="1" si="7321"/>
        <v>0</v>
      </c>
      <c r="S1119" s="10">
        <f t="shared" ca="1" si="7321"/>
        <v>0</v>
      </c>
      <c r="T1119" s="10">
        <f t="shared" ca="1" si="7321"/>
        <v>0</v>
      </c>
      <c r="U1119" s="10">
        <f t="shared" ca="1" si="7321"/>
        <v>0</v>
      </c>
      <c r="V1119" s="10">
        <f t="shared" ca="1" si="7321"/>
        <v>0</v>
      </c>
      <c r="W1119" s="10">
        <f t="shared" ca="1" si="7321"/>
        <v>0</v>
      </c>
      <c r="X1119" s="10">
        <f t="shared" ca="1" si="7321"/>
        <v>0</v>
      </c>
      <c r="Y1119" s="10">
        <f t="shared" ca="1" si="7321"/>
        <v>0</v>
      </c>
      <c r="Z1119" s="10">
        <f t="shared" ca="1" si="7321"/>
        <v>0</v>
      </c>
      <c r="AA1119" s="10">
        <f t="shared" ca="1" si="7321"/>
        <v>0</v>
      </c>
      <c r="AB1119" s="10">
        <f t="shared" ca="1" si="7321"/>
        <v>0</v>
      </c>
      <c r="AC1119" s="10">
        <f t="shared" ca="1" si="7321"/>
        <v>0</v>
      </c>
      <c r="AD1119" s="10">
        <f t="shared" ca="1" si="7321"/>
        <v>0</v>
      </c>
      <c r="AE1119" s="10">
        <f t="shared" ca="1" si="7321"/>
        <v>0</v>
      </c>
      <c r="AF1119" s="10">
        <f t="shared" ca="1" si="7321"/>
        <v>0</v>
      </c>
      <c r="AG1119" s="10">
        <f t="shared" ca="1" si="7321"/>
        <v>0</v>
      </c>
      <c r="AH1119" s="10">
        <f t="shared" ca="1" si="7321"/>
        <v>0</v>
      </c>
      <c r="AI1119" s="10">
        <f t="shared" ca="1" si="7321"/>
        <v>0</v>
      </c>
      <c r="AJ1119" s="10">
        <f t="shared" ca="1" si="7321"/>
        <v>0</v>
      </c>
      <c r="AK1119" s="10">
        <f t="shared" ca="1" si="7321"/>
        <v>0</v>
      </c>
      <c r="AL1119" s="10">
        <f t="shared" ca="1" si="7321"/>
        <v>0</v>
      </c>
      <c r="AM1119" s="10">
        <f t="shared" ca="1" si="7321"/>
        <v>0</v>
      </c>
      <c r="AN1119" s="10">
        <f t="shared" ca="1" si="7321"/>
        <v>0</v>
      </c>
      <c r="AO1119" s="10">
        <f t="shared" ca="1" si="7321"/>
        <v>0</v>
      </c>
      <c r="AP1119" s="10">
        <f t="shared" ca="1" si="7321"/>
        <v>0</v>
      </c>
      <c r="AQ1119" s="10">
        <f t="shared" ca="1" si="7321"/>
        <v>0</v>
      </c>
      <c r="AR1119" s="10">
        <f t="shared" ca="1" si="7321"/>
        <v>0</v>
      </c>
      <c r="AS1119" s="10">
        <f t="shared" ca="1" si="7321"/>
        <v>0</v>
      </c>
      <c r="AT1119" s="10">
        <f t="shared" ca="1" si="7321"/>
        <v>0</v>
      </c>
      <c r="AU1119" s="10">
        <f t="shared" ca="1" si="7321"/>
        <v>0</v>
      </c>
      <c r="AV1119" s="10">
        <f t="shared" ca="1" si="7321"/>
        <v>0</v>
      </c>
      <c r="AW1119" s="10">
        <f t="shared" ca="1" si="7321"/>
        <v>0</v>
      </c>
      <c r="AX1119" s="10">
        <f t="shared" ca="1" si="7321"/>
        <v>0</v>
      </c>
      <c r="AY1119" s="10">
        <f t="shared" ca="1" si="7321"/>
        <v>0</v>
      </c>
      <c r="AZ1119" s="10">
        <f t="shared" ca="1" si="7321"/>
        <v>0</v>
      </c>
      <c r="BA1119" s="10">
        <f t="shared" ca="1" si="7321"/>
        <v>0</v>
      </c>
      <c r="BB1119" s="10">
        <f t="shared" ca="1" si="7321"/>
        <v>0</v>
      </c>
      <c r="BC1119" s="10">
        <f t="shared" ca="1" si="7321"/>
        <v>0</v>
      </c>
      <c r="BD1119" s="10">
        <f t="shared" ca="1" si="7321"/>
        <v>0</v>
      </c>
      <c r="BE1119" s="10">
        <f t="shared" ca="1" si="7321"/>
        <v>0</v>
      </c>
      <c r="BF1119" s="10">
        <f t="shared" ca="1" si="7321"/>
        <v>0</v>
      </c>
      <c r="BG1119" s="10">
        <f t="shared" ca="1" si="7321"/>
        <v>0</v>
      </c>
      <c r="BH1119" s="10">
        <f t="shared" ca="1" si="7321"/>
        <v>0</v>
      </c>
      <c r="BI1119" s="10">
        <f t="shared" ca="1" si="7321"/>
        <v>0</v>
      </c>
      <c r="BJ1119" s="10">
        <f t="shared" ca="1" si="7321"/>
        <v>0</v>
      </c>
      <c r="BK1119" s="10">
        <f t="shared" ca="1" si="7321"/>
        <v>0</v>
      </c>
      <c r="BL1119" s="10">
        <f t="shared" ca="1" si="7321"/>
        <v>0</v>
      </c>
      <c r="BM1119" s="10">
        <f t="shared" ca="1" si="7321"/>
        <v>0</v>
      </c>
      <c r="BN1119" s="10">
        <f t="shared" ca="1" si="7321"/>
        <v>0</v>
      </c>
      <c r="BO1119" s="10">
        <f t="shared" ca="1" si="7321"/>
        <v>0</v>
      </c>
      <c r="BP1119" s="10">
        <f t="shared" ca="1" si="7321"/>
        <v>0</v>
      </c>
      <c r="BQ1119" s="10">
        <f t="shared" ca="1" si="7321"/>
        <v>0</v>
      </c>
      <c r="BR1119" s="10">
        <f t="shared" ca="1" si="7321"/>
        <v>0</v>
      </c>
      <c r="BS1119" s="10">
        <f t="shared" ca="1" si="7321"/>
        <v>0</v>
      </c>
      <c r="BT1119" s="10">
        <f t="shared" ca="1" si="7321"/>
        <v>0</v>
      </c>
      <c r="BU1119" s="10">
        <f t="shared" ca="1" si="7321"/>
        <v>0</v>
      </c>
      <c r="BV1119" s="10">
        <f t="shared" ca="1" si="7321"/>
        <v>0</v>
      </c>
      <c r="BW1119" s="10">
        <f t="shared" ca="1" si="7321"/>
        <v>0</v>
      </c>
      <c r="BX1119" s="10">
        <f t="shared" ref="BX1119:CO1119" ca="1" si="7322">-(COGS) * (Flag_Construction)</f>
        <v>0</v>
      </c>
      <c r="BY1119" s="10">
        <f t="shared" ca="1" si="7322"/>
        <v>0</v>
      </c>
      <c r="BZ1119" s="10">
        <f t="shared" ca="1" si="7322"/>
        <v>0</v>
      </c>
      <c r="CA1119" s="10">
        <f t="shared" ca="1" si="7322"/>
        <v>0</v>
      </c>
      <c r="CB1119" s="10">
        <f t="shared" ca="1" si="7322"/>
        <v>0</v>
      </c>
      <c r="CC1119" s="10">
        <f t="shared" ca="1" si="7322"/>
        <v>0</v>
      </c>
      <c r="CD1119" s="10">
        <f t="shared" ca="1" si="7322"/>
        <v>0</v>
      </c>
      <c r="CE1119" s="10">
        <f t="shared" ca="1" si="7322"/>
        <v>0</v>
      </c>
      <c r="CF1119" s="10">
        <f t="shared" ca="1" si="7322"/>
        <v>0</v>
      </c>
      <c r="CG1119" s="10">
        <f t="shared" ca="1" si="7322"/>
        <v>0</v>
      </c>
      <c r="CH1119" s="10">
        <f t="shared" ca="1" si="7322"/>
        <v>0</v>
      </c>
      <c r="CI1119" s="10">
        <f t="shared" ca="1" si="7322"/>
        <v>0</v>
      </c>
      <c r="CJ1119" s="10">
        <f t="shared" ca="1" si="7322"/>
        <v>0</v>
      </c>
      <c r="CK1119" s="10">
        <f t="shared" ca="1" si="7322"/>
        <v>0</v>
      </c>
      <c r="CL1119" s="10">
        <f t="shared" ca="1" si="7322"/>
        <v>0</v>
      </c>
      <c r="CM1119" s="10">
        <f t="shared" ca="1" si="7322"/>
        <v>0</v>
      </c>
      <c r="CN1119" s="10">
        <f t="shared" ca="1" si="7322"/>
        <v>0</v>
      </c>
      <c r="CO1119" s="10">
        <f t="shared" ca="1" si="7322"/>
        <v>0</v>
      </c>
    </row>
    <row r="1120" spans="1:93">
      <c r="A1120" s="10"/>
      <c r="B1120" s="10"/>
      <c r="C1120" s="21" t="s">
        <v>751</v>
      </c>
      <c r="D1120" s="10"/>
      <c r="E1120" s="10"/>
      <c r="F1120" s="10"/>
      <c r="G1120" s="134" t="str">
        <f t="shared" si="7317"/>
        <v>тыс. руб.</v>
      </c>
      <c r="H1120" s="10"/>
      <c r="I1120" s="23">
        <f t="shared" ca="1" si="7318"/>
        <v>0</v>
      </c>
      <c r="J1120" s="10"/>
      <c r="K1120" s="10"/>
      <c r="L1120" s="10">
        <f t="shared" ref="L1120:BW1120" ca="1" si="7323">-(SGA) * (Flag_Construction)</f>
        <v>0</v>
      </c>
      <c r="M1120" s="10">
        <f t="shared" ca="1" si="7323"/>
        <v>0</v>
      </c>
      <c r="N1120" s="10">
        <f t="shared" ca="1" si="7323"/>
        <v>0</v>
      </c>
      <c r="O1120" s="10">
        <f t="shared" ca="1" si="7323"/>
        <v>0</v>
      </c>
      <c r="P1120" s="10">
        <f t="shared" ca="1" si="7323"/>
        <v>0</v>
      </c>
      <c r="Q1120" s="10">
        <f t="shared" ca="1" si="7323"/>
        <v>0</v>
      </c>
      <c r="R1120" s="10">
        <f t="shared" ca="1" si="7323"/>
        <v>0</v>
      </c>
      <c r="S1120" s="10">
        <f t="shared" ca="1" si="7323"/>
        <v>0</v>
      </c>
      <c r="T1120" s="10">
        <f t="shared" ca="1" si="7323"/>
        <v>0</v>
      </c>
      <c r="U1120" s="10">
        <f t="shared" ca="1" si="7323"/>
        <v>0</v>
      </c>
      <c r="V1120" s="10">
        <f t="shared" ca="1" si="7323"/>
        <v>0</v>
      </c>
      <c r="W1120" s="10">
        <f t="shared" ca="1" si="7323"/>
        <v>0</v>
      </c>
      <c r="X1120" s="10">
        <f t="shared" ca="1" si="7323"/>
        <v>0</v>
      </c>
      <c r="Y1120" s="10">
        <f t="shared" ca="1" si="7323"/>
        <v>0</v>
      </c>
      <c r="Z1120" s="10">
        <f t="shared" ca="1" si="7323"/>
        <v>0</v>
      </c>
      <c r="AA1120" s="10">
        <f t="shared" ca="1" si="7323"/>
        <v>0</v>
      </c>
      <c r="AB1120" s="10">
        <f t="shared" ca="1" si="7323"/>
        <v>0</v>
      </c>
      <c r="AC1120" s="10">
        <f t="shared" ca="1" si="7323"/>
        <v>0</v>
      </c>
      <c r="AD1120" s="10">
        <f t="shared" ca="1" si="7323"/>
        <v>0</v>
      </c>
      <c r="AE1120" s="10">
        <f t="shared" ca="1" si="7323"/>
        <v>0</v>
      </c>
      <c r="AF1120" s="10">
        <f t="shared" ca="1" si="7323"/>
        <v>0</v>
      </c>
      <c r="AG1120" s="10">
        <f t="shared" ca="1" si="7323"/>
        <v>0</v>
      </c>
      <c r="AH1120" s="10">
        <f t="shared" ca="1" si="7323"/>
        <v>0</v>
      </c>
      <c r="AI1120" s="10">
        <f t="shared" ca="1" si="7323"/>
        <v>0</v>
      </c>
      <c r="AJ1120" s="10">
        <f t="shared" ca="1" si="7323"/>
        <v>0</v>
      </c>
      <c r="AK1120" s="10">
        <f t="shared" ca="1" si="7323"/>
        <v>0</v>
      </c>
      <c r="AL1120" s="10">
        <f t="shared" ca="1" si="7323"/>
        <v>0</v>
      </c>
      <c r="AM1120" s="10">
        <f t="shared" ca="1" si="7323"/>
        <v>0</v>
      </c>
      <c r="AN1120" s="10">
        <f t="shared" ca="1" si="7323"/>
        <v>0</v>
      </c>
      <c r="AO1120" s="10">
        <f t="shared" ca="1" si="7323"/>
        <v>0</v>
      </c>
      <c r="AP1120" s="10">
        <f t="shared" ca="1" si="7323"/>
        <v>0</v>
      </c>
      <c r="AQ1120" s="10">
        <f t="shared" ca="1" si="7323"/>
        <v>0</v>
      </c>
      <c r="AR1120" s="10">
        <f t="shared" ca="1" si="7323"/>
        <v>0</v>
      </c>
      <c r="AS1120" s="10">
        <f t="shared" ca="1" si="7323"/>
        <v>0</v>
      </c>
      <c r="AT1120" s="10">
        <f t="shared" ca="1" si="7323"/>
        <v>0</v>
      </c>
      <c r="AU1120" s="10">
        <f t="shared" ca="1" si="7323"/>
        <v>0</v>
      </c>
      <c r="AV1120" s="10">
        <f t="shared" ca="1" si="7323"/>
        <v>0</v>
      </c>
      <c r="AW1120" s="10">
        <f t="shared" ca="1" si="7323"/>
        <v>0</v>
      </c>
      <c r="AX1120" s="10">
        <f t="shared" ca="1" si="7323"/>
        <v>0</v>
      </c>
      <c r="AY1120" s="10">
        <f t="shared" ca="1" si="7323"/>
        <v>0</v>
      </c>
      <c r="AZ1120" s="10">
        <f t="shared" ca="1" si="7323"/>
        <v>0</v>
      </c>
      <c r="BA1120" s="10">
        <f t="shared" ca="1" si="7323"/>
        <v>0</v>
      </c>
      <c r="BB1120" s="10">
        <f t="shared" ca="1" si="7323"/>
        <v>0</v>
      </c>
      <c r="BC1120" s="10">
        <f t="shared" ca="1" si="7323"/>
        <v>0</v>
      </c>
      <c r="BD1120" s="10">
        <f t="shared" ca="1" si="7323"/>
        <v>0</v>
      </c>
      <c r="BE1120" s="10">
        <f t="shared" ca="1" si="7323"/>
        <v>0</v>
      </c>
      <c r="BF1120" s="10">
        <f t="shared" ca="1" si="7323"/>
        <v>0</v>
      </c>
      <c r="BG1120" s="10">
        <f t="shared" ca="1" si="7323"/>
        <v>0</v>
      </c>
      <c r="BH1120" s="10">
        <f t="shared" ca="1" si="7323"/>
        <v>0</v>
      </c>
      <c r="BI1120" s="10">
        <f t="shared" ca="1" si="7323"/>
        <v>0</v>
      </c>
      <c r="BJ1120" s="10">
        <f t="shared" ca="1" si="7323"/>
        <v>0</v>
      </c>
      <c r="BK1120" s="10">
        <f t="shared" ca="1" si="7323"/>
        <v>0</v>
      </c>
      <c r="BL1120" s="10">
        <f t="shared" ca="1" si="7323"/>
        <v>0</v>
      </c>
      <c r="BM1120" s="10">
        <f t="shared" ca="1" si="7323"/>
        <v>0</v>
      </c>
      <c r="BN1120" s="10">
        <f t="shared" ca="1" si="7323"/>
        <v>0</v>
      </c>
      <c r="BO1120" s="10">
        <f t="shared" ca="1" si="7323"/>
        <v>0</v>
      </c>
      <c r="BP1120" s="10">
        <f t="shared" ca="1" si="7323"/>
        <v>0</v>
      </c>
      <c r="BQ1120" s="10">
        <f t="shared" ca="1" si="7323"/>
        <v>0</v>
      </c>
      <c r="BR1120" s="10">
        <f t="shared" ca="1" si="7323"/>
        <v>0</v>
      </c>
      <c r="BS1120" s="10">
        <f t="shared" ca="1" si="7323"/>
        <v>0</v>
      </c>
      <c r="BT1120" s="10">
        <f t="shared" ca="1" si="7323"/>
        <v>0</v>
      </c>
      <c r="BU1120" s="10">
        <f t="shared" ca="1" si="7323"/>
        <v>0</v>
      </c>
      <c r="BV1120" s="10">
        <f t="shared" ca="1" si="7323"/>
        <v>0</v>
      </c>
      <c r="BW1120" s="10">
        <f t="shared" ca="1" si="7323"/>
        <v>0</v>
      </c>
      <c r="BX1120" s="10">
        <f t="shared" ref="BX1120:CO1120" ca="1" si="7324">-(SGA) * (Flag_Construction)</f>
        <v>0</v>
      </c>
      <c r="BY1120" s="10">
        <f t="shared" ca="1" si="7324"/>
        <v>0</v>
      </c>
      <c r="BZ1120" s="10">
        <f t="shared" ca="1" si="7324"/>
        <v>0</v>
      </c>
      <c r="CA1120" s="10">
        <f t="shared" ca="1" si="7324"/>
        <v>0</v>
      </c>
      <c r="CB1120" s="10">
        <f t="shared" ca="1" si="7324"/>
        <v>0</v>
      </c>
      <c r="CC1120" s="10">
        <f t="shared" ca="1" si="7324"/>
        <v>0</v>
      </c>
      <c r="CD1120" s="10">
        <f t="shared" ca="1" si="7324"/>
        <v>0</v>
      </c>
      <c r="CE1120" s="10">
        <f t="shared" ca="1" si="7324"/>
        <v>0</v>
      </c>
      <c r="CF1120" s="10">
        <f t="shared" ca="1" si="7324"/>
        <v>0</v>
      </c>
      <c r="CG1120" s="10">
        <f t="shared" ca="1" si="7324"/>
        <v>0</v>
      </c>
      <c r="CH1120" s="10">
        <f t="shared" ca="1" si="7324"/>
        <v>0</v>
      </c>
      <c r="CI1120" s="10">
        <f t="shared" ca="1" si="7324"/>
        <v>0</v>
      </c>
      <c r="CJ1120" s="10">
        <f t="shared" ca="1" si="7324"/>
        <v>0</v>
      </c>
      <c r="CK1120" s="10">
        <f t="shared" ca="1" si="7324"/>
        <v>0</v>
      </c>
      <c r="CL1120" s="10">
        <f t="shared" ca="1" si="7324"/>
        <v>0</v>
      </c>
      <c r="CM1120" s="10">
        <f t="shared" ca="1" si="7324"/>
        <v>0</v>
      </c>
      <c r="CN1120" s="10">
        <f t="shared" ca="1" si="7324"/>
        <v>0</v>
      </c>
      <c r="CO1120" s="10">
        <f t="shared" ca="1" si="7324"/>
        <v>0</v>
      </c>
    </row>
    <row r="1121" spans="1:93">
      <c r="A1121" s="10"/>
      <c r="B1121" s="10"/>
      <c r="C1121" s="21" t="s">
        <v>488</v>
      </c>
      <c r="D1121" s="10"/>
      <c r="E1121" s="10"/>
      <c r="F1121" s="10"/>
      <c r="G1121" s="134" t="str">
        <f t="shared" si="7317"/>
        <v>тыс. руб.</v>
      </c>
      <c r="H1121" s="10"/>
      <c r="I1121" s="23">
        <f t="shared" si="7318"/>
        <v>235253.59987868241</v>
      </c>
      <c r="J1121" s="10"/>
      <c r="K1121" s="10"/>
      <c r="L1121" s="10">
        <f t="shared" ref="L1121:BW1121" si="7325">-(Debt_Interest_Paid) * (Flag_Construction)</f>
        <v>0</v>
      </c>
      <c r="M1121" s="10">
        <f t="shared" si="7325"/>
        <v>0</v>
      </c>
      <c r="N1121" s="10">
        <f t="shared" si="7325"/>
        <v>0</v>
      </c>
      <c r="O1121" s="10">
        <f t="shared" si="7325"/>
        <v>0</v>
      </c>
      <c r="P1121" s="10">
        <f t="shared" si="7325"/>
        <v>0</v>
      </c>
      <c r="Q1121" s="10">
        <f t="shared" si="7325"/>
        <v>0</v>
      </c>
      <c r="R1121" s="10">
        <f t="shared" si="7325"/>
        <v>0</v>
      </c>
      <c r="S1121" s="10">
        <f t="shared" si="7325"/>
        <v>738.99174247580174</v>
      </c>
      <c r="T1121" s="10">
        <f t="shared" si="7325"/>
        <v>3234.8821767320223</v>
      </c>
      <c r="U1121" s="10">
        <f t="shared" si="7325"/>
        <v>7256.2536237105141</v>
      </c>
      <c r="V1121" s="10">
        <f t="shared" si="7325"/>
        <v>11404.918486102473</v>
      </c>
      <c r="W1121" s="10">
        <f t="shared" si="7325"/>
        <v>15513.937077923534</v>
      </c>
      <c r="X1121" s="10">
        <f t="shared" si="7325"/>
        <v>21635.021605468475</v>
      </c>
      <c r="Y1121" s="10">
        <f t="shared" si="7325"/>
        <v>30267.503661225743</v>
      </c>
      <c r="Z1121" s="10">
        <f t="shared" si="7325"/>
        <v>39413.452160910616</v>
      </c>
      <c r="AA1121" s="10">
        <f t="shared" si="7325"/>
        <v>48313.632138229776</v>
      </c>
      <c r="AB1121" s="10">
        <f t="shared" si="7325"/>
        <v>57475.007205903479</v>
      </c>
      <c r="AC1121" s="10">
        <f t="shared" si="7325"/>
        <v>0</v>
      </c>
      <c r="AD1121" s="10">
        <f t="shared" si="7325"/>
        <v>0</v>
      </c>
      <c r="AE1121" s="10">
        <f t="shared" si="7325"/>
        <v>0</v>
      </c>
      <c r="AF1121" s="10">
        <f t="shared" si="7325"/>
        <v>0</v>
      </c>
      <c r="AG1121" s="10">
        <f t="shared" si="7325"/>
        <v>0</v>
      </c>
      <c r="AH1121" s="10">
        <f t="shared" si="7325"/>
        <v>0</v>
      </c>
      <c r="AI1121" s="10">
        <f t="shared" si="7325"/>
        <v>0</v>
      </c>
      <c r="AJ1121" s="10">
        <f t="shared" si="7325"/>
        <v>0</v>
      </c>
      <c r="AK1121" s="10">
        <f t="shared" si="7325"/>
        <v>0</v>
      </c>
      <c r="AL1121" s="10">
        <f t="shared" si="7325"/>
        <v>0</v>
      </c>
      <c r="AM1121" s="10">
        <f t="shared" si="7325"/>
        <v>0</v>
      </c>
      <c r="AN1121" s="10">
        <f t="shared" si="7325"/>
        <v>0</v>
      </c>
      <c r="AO1121" s="10">
        <f t="shared" si="7325"/>
        <v>0</v>
      </c>
      <c r="AP1121" s="10">
        <f t="shared" si="7325"/>
        <v>0</v>
      </c>
      <c r="AQ1121" s="10">
        <f t="shared" si="7325"/>
        <v>0</v>
      </c>
      <c r="AR1121" s="10">
        <f t="shared" si="7325"/>
        <v>0</v>
      </c>
      <c r="AS1121" s="10">
        <f t="shared" si="7325"/>
        <v>0</v>
      </c>
      <c r="AT1121" s="10">
        <f t="shared" si="7325"/>
        <v>0</v>
      </c>
      <c r="AU1121" s="10">
        <f t="shared" si="7325"/>
        <v>0</v>
      </c>
      <c r="AV1121" s="10">
        <f t="shared" si="7325"/>
        <v>0</v>
      </c>
      <c r="AW1121" s="10">
        <f t="shared" si="7325"/>
        <v>0</v>
      </c>
      <c r="AX1121" s="10">
        <f t="shared" si="7325"/>
        <v>0</v>
      </c>
      <c r="AY1121" s="10">
        <f t="shared" si="7325"/>
        <v>0</v>
      </c>
      <c r="AZ1121" s="10">
        <f t="shared" si="7325"/>
        <v>0</v>
      </c>
      <c r="BA1121" s="10">
        <f t="shared" si="7325"/>
        <v>0</v>
      </c>
      <c r="BB1121" s="10">
        <f t="shared" si="7325"/>
        <v>0</v>
      </c>
      <c r="BC1121" s="10">
        <f t="shared" si="7325"/>
        <v>0</v>
      </c>
      <c r="BD1121" s="10">
        <f t="shared" si="7325"/>
        <v>0</v>
      </c>
      <c r="BE1121" s="10">
        <f t="shared" si="7325"/>
        <v>0</v>
      </c>
      <c r="BF1121" s="10">
        <f t="shared" si="7325"/>
        <v>0</v>
      </c>
      <c r="BG1121" s="10">
        <f t="shared" si="7325"/>
        <v>0</v>
      </c>
      <c r="BH1121" s="10">
        <f t="shared" si="7325"/>
        <v>0</v>
      </c>
      <c r="BI1121" s="10">
        <f t="shared" si="7325"/>
        <v>0</v>
      </c>
      <c r="BJ1121" s="10">
        <f t="shared" si="7325"/>
        <v>0</v>
      </c>
      <c r="BK1121" s="10">
        <f t="shared" si="7325"/>
        <v>0</v>
      </c>
      <c r="BL1121" s="10">
        <f t="shared" si="7325"/>
        <v>0</v>
      </c>
      <c r="BM1121" s="10">
        <f t="shared" si="7325"/>
        <v>0</v>
      </c>
      <c r="BN1121" s="10">
        <f t="shared" si="7325"/>
        <v>0</v>
      </c>
      <c r="BO1121" s="10">
        <f t="shared" si="7325"/>
        <v>0</v>
      </c>
      <c r="BP1121" s="10">
        <f t="shared" si="7325"/>
        <v>0</v>
      </c>
      <c r="BQ1121" s="10">
        <f t="shared" si="7325"/>
        <v>0</v>
      </c>
      <c r="BR1121" s="10">
        <f t="shared" si="7325"/>
        <v>0</v>
      </c>
      <c r="BS1121" s="10">
        <f t="shared" si="7325"/>
        <v>0</v>
      </c>
      <c r="BT1121" s="10">
        <f t="shared" si="7325"/>
        <v>0</v>
      </c>
      <c r="BU1121" s="10">
        <f t="shared" si="7325"/>
        <v>0</v>
      </c>
      <c r="BV1121" s="10">
        <f t="shared" si="7325"/>
        <v>0</v>
      </c>
      <c r="BW1121" s="10">
        <f t="shared" si="7325"/>
        <v>0</v>
      </c>
      <c r="BX1121" s="10">
        <f t="shared" ref="BX1121:CO1121" si="7326">-(Debt_Interest_Paid) * (Flag_Construction)</f>
        <v>0</v>
      </c>
      <c r="BY1121" s="10">
        <f t="shared" si="7326"/>
        <v>0</v>
      </c>
      <c r="BZ1121" s="10">
        <f t="shared" si="7326"/>
        <v>0</v>
      </c>
      <c r="CA1121" s="10">
        <f t="shared" si="7326"/>
        <v>0</v>
      </c>
      <c r="CB1121" s="10">
        <f t="shared" si="7326"/>
        <v>0</v>
      </c>
      <c r="CC1121" s="10">
        <f t="shared" si="7326"/>
        <v>0</v>
      </c>
      <c r="CD1121" s="10">
        <f t="shared" si="7326"/>
        <v>0</v>
      </c>
      <c r="CE1121" s="10">
        <f t="shared" si="7326"/>
        <v>0</v>
      </c>
      <c r="CF1121" s="10">
        <f t="shared" si="7326"/>
        <v>0</v>
      </c>
      <c r="CG1121" s="10">
        <f t="shared" si="7326"/>
        <v>0</v>
      </c>
      <c r="CH1121" s="10">
        <f t="shared" si="7326"/>
        <v>0</v>
      </c>
      <c r="CI1121" s="10">
        <f t="shared" si="7326"/>
        <v>0</v>
      </c>
      <c r="CJ1121" s="10">
        <f t="shared" si="7326"/>
        <v>0</v>
      </c>
      <c r="CK1121" s="10">
        <f t="shared" si="7326"/>
        <v>0</v>
      </c>
      <c r="CL1121" s="10">
        <f t="shared" si="7326"/>
        <v>0</v>
      </c>
      <c r="CM1121" s="10">
        <f t="shared" si="7326"/>
        <v>0</v>
      </c>
      <c r="CN1121" s="10">
        <f t="shared" si="7326"/>
        <v>0</v>
      </c>
      <c r="CO1121" s="10">
        <f t="shared" si="7326"/>
        <v>0</v>
      </c>
    </row>
    <row r="1122" spans="1:93">
      <c r="A1122" s="10"/>
      <c r="B1122" s="10"/>
      <c r="C1122" s="21" t="s">
        <v>103</v>
      </c>
      <c r="D1122" s="10"/>
      <c r="E1122" s="10"/>
      <c r="F1122" s="10"/>
      <c r="G1122" s="134" t="str">
        <f t="shared" si="7317"/>
        <v>тыс. руб.</v>
      </c>
      <c r="H1122" s="10"/>
      <c r="I1122" s="23">
        <f t="shared" si="7318"/>
        <v>20126.474624454266</v>
      </c>
      <c r="J1122" s="10"/>
      <c r="K1122" s="10"/>
      <c r="L1122" s="10">
        <f t="shared" ref="L1122:BW1122" si="7327">-Bank_Fees</f>
        <v>0</v>
      </c>
      <c r="M1122" s="10">
        <f t="shared" si="7327"/>
        <v>0</v>
      </c>
      <c r="N1122" s="10">
        <f t="shared" si="7327"/>
        <v>0</v>
      </c>
      <c r="O1122" s="10">
        <f t="shared" si="7327"/>
        <v>0</v>
      </c>
      <c r="P1122" s="10">
        <f t="shared" si="7327"/>
        <v>0</v>
      </c>
      <c r="Q1122" s="10">
        <f t="shared" si="7327"/>
        <v>0</v>
      </c>
      <c r="R1122" s="10">
        <f t="shared" si="7327"/>
        <v>0</v>
      </c>
      <c r="S1122" s="10">
        <f t="shared" si="7327"/>
        <v>0</v>
      </c>
      <c r="T1122" s="10">
        <f t="shared" si="7327"/>
        <v>3345.7721709148877</v>
      </c>
      <c r="U1122" s="10">
        <f t="shared" si="7327"/>
        <v>3168.5750091153564</v>
      </c>
      <c r="V1122" s="10">
        <f t="shared" si="7327"/>
        <v>2984.5308552565393</v>
      </c>
      <c r="W1122" s="10">
        <f t="shared" si="7327"/>
        <v>2763.5106431876575</v>
      </c>
      <c r="X1122" s="10">
        <f t="shared" si="7327"/>
        <v>2505.8352333099388</v>
      </c>
      <c r="Y1122" s="10">
        <f t="shared" si="7327"/>
        <v>2041.5022126606673</v>
      </c>
      <c r="Z1122" s="10">
        <f t="shared" si="7327"/>
        <v>1589.8751819626839</v>
      </c>
      <c r="AA1122" s="10">
        <f t="shared" si="7327"/>
        <v>1111.1429440619313</v>
      </c>
      <c r="AB1122" s="10">
        <f t="shared" si="7327"/>
        <v>615.73037398460076</v>
      </c>
      <c r="AC1122" s="10">
        <f t="shared" si="7327"/>
        <v>0</v>
      </c>
      <c r="AD1122" s="10">
        <f t="shared" si="7327"/>
        <v>0</v>
      </c>
      <c r="AE1122" s="10">
        <f t="shared" si="7327"/>
        <v>0</v>
      </c>
      <c r="AF1122" s="10">
        <f t="shared" si="7327"/>
        <v>0</v>
      </c>
      <c r="AG1122" s="10">
        <f t="shared" si="7327"/>
        <v>0</v>
      </c>
      <c r="AH1122" s="10">
        <f t="shared" si="7327"/>
        <v>0</v>
      </c>
      <c r="AI1122" s="10">
        <f t="shared" si="7327"/>
        <v>0</v>
      </c>
      <c r="AJ1122" s="10">
        <f t="shared" si="7327"/>
        <v>0</v>
      </c>
      <c r="AK1122" s="10">
        <f t="shared" si="7327"/>
        <v>0</v>
      </c>
      <c r="AL1122" s="10">
        <f t="shared" si="7327"/>
        <v>0</v>
      </c>
      <c r="AM1122" s="10">
        <f t="shared" si="7327"/>
        <v>0</v>
      </c>
      <c r="AN1122" s="10">
        <f t="shared" si="7327"/>
        <v>0</v>
      </c>
      <c r="AO1122" s="10">
        <f t="shared" si="7327"/>
        <v>0</v>
      </c>
      <c r="AP1122" s="10">
        <f t="shared" si="7327"/>
        <v>0</v>
      </c>
      <c r="AQ1122" s="10">
        <f t="shared" si="7327"/>
        <v>0</v>
      </c>
      <c r="AR1122" s="10">
        <f t="shared" si="7327"/>
        <v>0</v>
      </c>
      <c r="AS1122" s="10">
        <f t="shared" si="7327"/>
        <v>0</v>
      </c>
      <c r="AT1122" s="10">
        <f t="shared" si="7327"/>
        <v>0</v>
      </c>
      <c r="AU1122" s="10">
        <f t="shared" si="7327"/>
        <v>0</v>
      </c>
      <c r="AV1122" s="10">
        <f t="shared" si="7327"/>
        <v>0</v>
      </c>
      <c r="AW1122" s="10">
        <f t="shared" si="7327"/>
        <v>0</v>
      </c>
      <c r="AX1122" s="10">
        <f t="shared" si="7327"/>
        <v>0</v>
      </c>
      <c r="AY1122" s="10">
        <f t="shared" si="7327"/>
        <v>0</v>
      </c>
      <c r="AZ1122" s="10">
        <f t="shared" si="7327"/>
        <v>0</v>
      </c>
      <c r="BA1122" s="10">
        <f t="shared" si="7327"/>
        <v>0</v>
      </c>
      <c r="BB1122" s="10">
        <f t="shared" si="7327"/>
        <v>0</v>
      </c>
      <c r="BC1122" s="10">
        <f t="shared" si="7327"/>
        <v>0</v>
      </c>
      <c r="BD1122" s="10">
        <f t="shared" si="7327"/>
        <v>0</v>
      </c>
      <c r="BE1122" s="10">
        <f t="shared" si="7327"/>
        <v>0</v>
      </c>
      <c r="BF1122" s="10">
        <f t="shared" si="7327"/>
        <v>0</v>
      </c>
      <c r="BG1122" s="10">
        <f t="shared" si="7327"/>
        <v>0</v>
      </c>
      <c r="BH1122" s="10">
        <f t="shared" si="7327"/>
        <v>0</v>
      </c>
      <c r="BI1122" s="10">
        <f t="shared" si="7327"/>
        <v>0</v>
      </c>
      <c r="BJ1122" s="10">
        <f t="shared" si="7327"/>
        <v>0</v>
      </c>
      <c r="BK1122" s="10">
        <f t="shared" si="7327"/>
        <v>0</v>
      </c>
      <c r="BL1122" s="10">
        <f t="shared" si="7327"/>
        <v>0</v>
      </c>
      <c r="BM1122" s="10">
        <f t="shared" si="7327"/>
        <v>0</v>
      </c>
      <c r="BN1122" s="10">
        <f t="shared" si="7327"/>
        <v>0</v>
      </c>
      <c r="BO1122" s="10">
        <f t="shared" si="7327"/>
        <v>0</v>
      </c>
      <c r="BP1122" s="10">
        <f t="shared" si="7327"/>
        <v>0</v>
      </c>
      <c r="BQ1122" s="10">
        <f t="shared" si="7327"/>
        <v>0</v>
      </c>
      <c r="BR1122" s="10">
        <f t="shared" si="7327"/>
        <v>0</v>
      </c>
      <c r="BS1122" s="10">
        <f t="shared" si="7327"/>
        <v>0</v>
      </c>
      <c r="BT1122" s="10">
        <f t="shared" si="7327"/>
        <v>0</v>
      </c>
      <c r="BU1122" s="10">
        <f t="shared" si="7327"/>
        <v>0</v>
      </c>
      <c r="BV1122" s="10">
        <f t="shared" si="7327"/>
        <v>0</v>
      </c>
      <c r="BW1122" s="10">
        <f t="shared" si="7327"/>
        <v>0</v>
      </c>
      <c r="BX1122" s="10">
        <f t="shared" ref="BX1122:CO1122" si="7328">-Bank_Fees</f>
        <v>0</v>
      </c>
      <c r="BY1122" s="10">
        <f t="shared" si="7328"/>
        <v>0</v>
      </c>
      <c r="BZ1122" s="10">
        <f t="shared" si="7328"/>
        <v>0</v>
      </c>
      <c r="CA1122" s="10">
        <f t="shared" si="7328"/>
        <v>0</v>
      </c>
      <c r="CB1122" s="10">
        <f t="shared" si="7328"/>
        <v>0</v>
      </c>
      <c r="CC1122" s="10">
        <f t="shared" si="7328"/>
        <v>0</v>
      </c>
      <c r="CD1122" s="10">
        <f t="shared" si="7328"/>
        <v>0</v>
      </c>
      <c r="CE1122" s="10">
        <f t="shared" si="7328"/>
        <v>0</v>
      </c>
      <c r="CF1122" s="10">
        <f t="shared" si="7328"/>
        <v>0</v>
      </c>
      <c r="CG1122" s="10">
        <f t="shared" si="7328"/>
        <v>0</v>
      </c>
      <c r="CH1122" s="10">
        <f t="shared" si="7328"/>
        <v>0</v>
      </c>
      <c r="CI1122" s="10">
        <f t="shared" si="7328"/>
        <v>0</v>
      </c>
      <c r="CJ1122" s="10">
        <f t="shared" si="7328"/>
        <v>0</v>
      </c>
      <c r="CK1122" s="10">
        <f t="shared" si="7328"/>
        <v>0</v>
      </c>
      <c r="CL1122" s="10">
        <f t="shared" si="7328"/>
        <v>0</v>
      </c>
      <c r="CM1122" s="10">
        <f t="shared" si="7328"/>
        <v>0</v>
      </c>
      <c r="CN1122" s="10">
        <f t="shared" si="7328"/>
        <v>0</v>
      </c>
      <c r="CO1122" s="10">
        <f t="shared" si="7328"/>
        <v>0</v>
      </c>
    </row>
    <row r="1123" spans="1:93">
      <c r="A1123" s="10"/>
      <c r="B1123" s="10"/>
      <c r="C1123" s="21" t="s">
        <v>438</v>
      </c>
      <c r="D1123" s="10"/>
      <c r="E1123" s="10"/>
      <c r="F1123" s="10"/>
      <c r="G1123" s="134" t="str">
        <f t="shared" si="7317"/>
        <v>тыс. руб.</v>
      </c>
      <c r="H1123" s="10"/>
      <c r="I1123" s="23">
        <f t="shared" ca="1" si="7318"/>
        <v>0</v>
      </c>
      <c r="J1123" s="10"/>
      <c r="K1123" s="10"/>
      <c r="L1123" s="10">
        <f t="shared" ref="L1123:AQ1123" ca="1" si="7329">-Profits_Tax * Flag_Construction</f>
        <v>0</v>
      </c>
      <c r="M1123" s="10">
        <f t="shared" ca="1" si="7329"/>
        <v>0</v>
      </c>
      <c r="N1123" s="10">
        <f t="shared" ca="1" si="7329"/>
        <v>0</v>
      </c>
      <c r="O1123" s="10">
        <f t="shared" ca="1" si="7329"/>
        <v>0</v>
      </c>
      <c r="P1123" s="10">
        <f t="shared" ca="1" si="7329"/>
        <v>0</v>
      </c>
      <c r="Q1123" s="10">
        <f t="shared" ca="1" si="7329"/>
        <v>0</v>
      </c>
      <c r="R1123" s="10">
        <f t="shared" ca="1" si="7329"/>
        <v>0</v>
      </c>
      <c r="S1123" s="10">
        <f t="shared" ca="1" si="7329"/>
        <v>0</v>
      </c>
      <c r="T1123" s="10">
        <f t="shared" ca="1" si="7329"/>
        <v>0</v>
      </c>
      <c r="U1123" s="10">
        <f t="shared" ca="1" si="7329"/>
        <v>0</v>
      </c>
      <c r="V1123" s="10">
        <f t="shared" ca="1" si="7329"/>
        <v>0</v>
      </c>
      <c r="W1123" s="10">
        <f t="shared" ca="1" si="7329"/>
        <v>0</v>
      </c>
      <c r="X1123" s="10">
        <f t="shared" ca="1" si="7329"/>
        <v>0</v>
      </c>
      <c r="Y1123" s="10">
        <f t="shared" ca="1" si="7329"/>
        <v>0</v>
      </c>
      <c r="Z1123" s="10">
        <f t="shared" ca="1" si="7329"/>
        <v>0</v>
      </c>
      <c r="AA1123" s="10">
        <f t="shared" ca="1" si="7329"/>
        <v>0</v>
      </c>
      <c r="AB1123" s="10">
        <f t="shared" ca="1" si="7329"/>
        <v>0</v>
      </c>
      <c r="AC1123" s="10">
        <f t="shared" ca="1" si="7329"/>
        <v>0</v>
      </c>
      <c r="AD1123" s="10">
        <f t="shared" ca="1" si="7329"/>
        <v>0</v>
      </c>
      <c r="AE1123" s="10">
        <f t="shared" ca="1" si="7329"/>
        <v>0</v>
      </c>
      <c r="AF1123" s="10">
        <f t="shared" ca="1" si="7329"/>
        <v>0</v>
      </c>
      <c r="AG1123" s="10">
        <f t="shared" ca="1" si="7329"/>
        <v>0</v>
      </c>
      <c r="AH1123" s="10">
        <f t="shared" ca="1" si="7329"/>
        <v>0</v>
      </c>
      <c r="AI1123" s="10">
        <f t="shared" ca="1" si="7329"/>
        <v>0</v>
      </c>
      <c r="AJ1123" s="10">
        <f t="shared" ca="1" si="7329"/>
        <v>0</v>
      </c>
      <c r="AK1123" s="10">
        <f t="shared" ca="1" si="7329"/>
        <v>0</v>
      </c>
      <c r="AL1123" s="10">
        <f t="shared" ca="1" si="7329"/>
        <v>0</v>
      </c>
      <c r="AM1123" s="10">
        <f t="shared" ca="1" si="7329"/>
        <v>0</v>
      </c>
      <c r="AN1123" s="10">
        <f t="shared" ca="1" si="7329"/>
        <v>0</v>
      </c>
      <c r="AO1123" s="10">
        <f t="shared" ca="1" si="7329"/>
        <v>0</v>
      </c>
      <c r="AP1123" s="10">
        <f t="shared" ca="1" si="7329"/>
        <v>0</v>
      </c>
      <c r="AQ1123" s="10">
        <f t="shared" ca="1" si="7329"/>
        <v>0</v>
      </c>
      <c r="AR1123" s="10">
        <f t="shared" ref="AR1123:BW1123" ca="1" si="7330">-Profits_Tax * Flag_Construction</f>
        <v>0</v>
      </c>
      <c r="AS1123" s="10">
        <f t="shared" ca="1" si="7330"/>
        <v>0</v>
      </c>
      <c r="AT1123" s="10">
        <f t="shared" ca="1" si="7330"/>
        <v>0</v>
      </c>
      <c r="AU1123" s="10">
        <f t="shared" ca="1" si="7330"/>
        <v>0</v>
      </c>
      <c r="AV1123" s="10">
        <f t="shared" ca="1" si="7330"/>
        <v>0</v>
      </c>
      <c r="AW1123" s="10">
        <f t="shared" ca="1" si="7330"/>
        <v>0</v>
      </c>
      <c r="AX1123" s="10">
        <f t="shared" ca="1" si="7330"/>
        <v>0</v>
      </c>
      <c r="AY1123" s="10">
        <f t="shared" ca="1" si="7330"/>
        <v>0</v>
      </c>
      <c r="AZ1123" s="10">
        <f t="shared" ca="1" si="7330"/>
        <v>0</v>
      </c>
      <c r="BA1123" s="10">
        <f t="shared" ca="1" si="7330"/>
        <v>0</v>
      </c>
      <c r="BB1123" s="10">
        <f t="shared" ca="1" si="7330"/>
        <v>0</v>
      </c>
      <c r="BC1123" s="10">
        <f t="shared" ca="1" si="7330"/>
        <v>0</v>
      </c>
      <c r="BD1123" s="10">
        <f t="shared" ca="1" si="7330"/>
        <v>0</v>
      </c>
      <c r="BE1123" s="10">
        <f t="shared" ca="1" si="7330"/>
        <v>0</v>
      </c>
      <c r="BF1123" s="10">
        <f t="shared" ca="1" si="7330"/>
        <v>0</v>
      </c>
      <c r="BG1123" s="10">
        <f t="shared" ca="1" si="7330"/>
        <v>0</v>
      </c>
      <c r="BH1123" s="10">
        <f t="shared" ca="1" si="7330"/>
        <v>0</v>
      </c>
      <c r="BI1123" s="10">
        <f t="shared" ca="1" si="7330"/>
        <v>0</v>
      </c>
      <c r="BJ1123" s="10">
        <f t="shared" ca="1" si="7330"/>
        <v>0</v>
      </c>
      <c r="BK1123" s="10">
        <f t="shared" ca="1" si="7330"/>
        <v>0</v>
      </c>
      <c r="BL1123" s="10">
        <f t="shared" ca="1" si="7330"/>
        <v>0</v>
      </c>
      <c r="BM1123" s="10">
        <f t="shared" ca="1" si="7330"/>
        <v>0</v>
      </c>
      <c r="BN1123" s="10">
        <f t="shared" ca="1" si="7330"/>
        <v>0</v>
      </c>
      <c r="BO1123" s="10">
        <f t="shared" ca="1" si="7330"/>
        <v>0</v>
      </c>
      <c r="BP1123" s="10">
        <f t="shared" ca="1" si="7330"/>
        <v>0</v>
      </c>
      <c r="BQ1123" s="10">
        <f t="shared" ca="1" si="7330"/>
        <v>0</v>
      </c>
      <c r="BR1123" s="10">
        <f t="shared" ca="1" si="7330"/>
        <v>0</v>
      </c>
      <c r="BS1123" s="10">
        <f t="shared" ca="1" si="7330"/>
        <v>0</v>
      </c>
      <c r="BT1123" s="10">
        <f t="shared" ca="1" si="7330"/>
        <v>0</v>
      </c>
      <c r="BU1123" s="10">
        <f t="shared" ca="1" si="7330"/>
        <v>0</v>
      </c>
      <c r="BV1123" s="10">
        <f t="shared" ca="1" si="7330"/>
        <v>0</v>
      </c>
      <c r="BW1123" s="10">
        <f t="shared" ca="1" si="7330"/>
        <v>0</v>
      </c>
      <c r="BX1123" s="10">
        <f t="shared" ref="BX1123:CO1123" ca="1" si="7331">-Profits_Tax * Flag_Construction</f>
        <v>0</v>
      </c>
      <c r="BY1123" s="10">
        <f t="shared" ca="1" si="7331"/>
        <v>0</v>
      </c>
      <c r="BZ1123" s="10">
        <f t="shared" ca="1" si="7331"/>
        <v>0</v>
      </c>
      <c r="CA1123" s="10">
        <f t="shared" ca="1" si="7331"/>
        <v>0</v>
      </c>
      <c r="CB1123" s="10">
        <f t="shared" ca="1" si="7331"/>
        <v>0</v>
      </c>
      <c r="CC1123" s="10">
        <f t="shared" ca="1" si="7331"/>
        <v>0</v>
      </c>
      <c r="CD1123" s="10">
        <f t="shared" ca="1" si="7331"/>
        <v>0</v>
      </c>
      <c r="CE1123" s="10">
        <f t="shared" ca="1" si="7331"/>
        <v>0</v>
      </c>
      <c r="CF1123" s="10">
        <f t="shared" ca="1" si="7331"/>
        <v>0</v>
      </c>
      <c r="CG1123" s="10">
        <f t="shared" ca="1" si="7331"/>
        <v>0</v>
      </c>
      <c r="CH1123" s="10">
        <f t="shared" ca="1" si="7331"/>
        <v>0</v>
      </c>
      <c r="CI1123" s="10">
        <f t="shared" ca="1" si="7331"/>
        <v>0</v>
      </c>
      <c r="CJ1123" s="10">
        <f t="shared" ca="1" si="7331"/>
        <v>0</v>
      </c>
      <c r="CK1123" s="10">
        <f t="shared" ca="1" si="7331"/>
        <v>0</v>
      </c>
      <c r="CL1123" s="10">
        <f t="shared" ca="1" si="7331"/>
        <v>0</v>
      </c>
      <c r="CM1123" s="10">
        <f t="shared" ca="1" si="7331"/>
        <v>0</v>
      </c>
      <c r="CN1123" s="10">
        <f t="shared" ca="1" si="7331"/>
        <v>0</v>
      </c>
      <c r="CO1123" s="10">
        <f t="shared" ca="1" si="7331"/>
        <v>0</v>
      </c>
    </row>
    <row r="1124" spans="1:93">
      <c r="A1124" s="10"/>
      <c r="B1124" s="10"/>
      <c r="C1124" s="21" t="s">
        <v>302</v>
      </c>
      <c r="D1124" s="10"/>
      <c r="E1124" s="10"/>
      <c r="F1124" s="10"/>
      <c r="G1124" s="134" t="str">
        <f t="shared" si="7317"/>
        <v>тыс. руб.</v>
      </c>
      <c r="H1124" s="10"/>
      <c r="I1124" s="23">
        <f t="shared" ca="1" si="7318"/>
        <v>961679.90095596761</v>
      </c>
      <c r="J1124" s="10"/>
      <c r="K1124" s="10"/>
      <c r="L1124" s="10">
        <f t="shared" ref="L1124:BW1124" ca="1" si="7332">-VAT_Cash_Flow*(VAT_Cash_Flow&lt;0)*Flag_Construction</f>
        <v>5234.3588965478193</v>
      </c>
      <c r="M1124" s="10">
        <f t="shared" ca="1" si="7332"/>
        <v>5308.6600317512566</v>
      </c>
      <c r="N1124" s="10">
        <f t="shared" ca="1" si="7332"/>
        <v>5384.015863203389</v>
      </c>
      <c r="O1124" s="10">
        <f t="shared" ca="1" si="7332"/>
        <v>5460.4413621987187</v>
      </c>
      <c r="P1124" s="10">
        <f t="shared" ca="1" si="7332"/>
        <v>45931.910967999196</v>
      </c>
      <c r="Q1124" s="10">
        <f t="shared" ca="1" si="7332"/>
        <v>46384.496760337934</v>
      </c>
      <c r="R1124" s="10">
        <f t="shared" ca="1" si="7332"/>
        <v>46841.542064486872</v>
      </c>
      <c r="S1124" s="10">
        <f t="shared" ca="1" si="7332"/>
        <v>47303.090821828868</v>
      </c>
      <c r="T1124" s="10">
        <f t="shared" ca="1" si="7332"/>
        <v>47769.187406719167</v>
      </c>
      <c r="U1124" s="10">
        <f t="shared" ca="1" si="7332"/>
        <v>48239.876630751445</v>
      </c>
      <c r="V1124" s="10">
        <f t="shared" ca="1" si="7332"/>
        <v>48715.20374706632</v>
      </c>
      <c r="W1124" s="10">
        <f t="shared" ca="1" si="7332"/>
        <v>49195.214454702043</v>
      </c>
      <c r="X1124" s="10">
        <f t="shared" ca="1" si="7332"/>
        <v>103752.06688500196</v>
      </c>
      <c r="Y1124" s="10">
        <f t="shared" ca="1" si="7332"/>
        <v>104774.37818031572</v>
      </c>
      <c r="Z1124" s="10">
        <f t="shared" ca="1" si="7332"/>
        <v>105806.76272444171</v>
      </c>
      <c r="AA1124" s="10">
        <f t="shared" ca="1" si="7332"/>
        <v>106849.31977319589</v>
      </c>
      <c r="AB1124" s="10">
        <f t="shared" ca="1" si="7332"/>
        <v>138729.3743854193</v>
      </c>
      <c r="AC1124" s="10">
        <f t="shared" ca="1" si="7332"/>
        <v>0</v>
      </c>
      <c r="AD1124" s="10">
        <f t="shared" ca="1" si="7332"/>
        <v>0</v>
      </c>
      <c r="AE1124" s="10">
        <f t="shared" ca="1" si="7332"/>
        <v>0</v>
      </c>
      <c r="AF1124" s="10">
        <f t="shared" ca="1" si="7332"/>
        <v>0</v>
      </c>
      <c r="AG1124" s="10">
        <f t="shared" ca="1" si="7332"/>
        <v>0</v>
      </c>
      <c r="AH1124" s="10">
        <f t="shared" ca="1" si="7332"/>
        <v>0</v>
      </c>
      <c r="AI1124" s="10">
        <f t="shared" ca="1" si="7332"/>
        <v>0</v>
      </c>
      <c r="AJ1124" s="10">
        <f t="shared" ca="1" si="7332"/>
        <v>0</v>
      </c>
      <c r="AK1124" s="10">
        <f t="shared" ca="1" si="7332"/>
        <v>0</v>
      </c>
      <c r="AL1124" s="10">
        <f t="shared" ca="1" si="7332"/>
        <v>0</v>
      </c>
      <c r="AM1124" s="10">
        <f t="shared" ca="1" si="7332"/>
        <v>0</v>
      </c>
      <c r="AN1124" s="10">
        <f t="shared" ca="1" si="7332"/>
        <v>0</v>
      </c>
      <c r="AO1124" s="10">
        <f t="shared" ca="1" si="7332"/>
        <v>0</v>
      </c>
      <c r="AP1124" s="10">
        <f t="shared" ca="1" si="7332"/>
        <v>0</v>
      </c>
      <c r="AQ1124" s="10">
        <f t="shared" ca="1" si="7332"/>
        <v>0</v>
      </c>
      <c r="AR1124" s="10">
        <f t="shared" ca="1" si="7332"/>
        <v>0</v>
      </c>
      <c r="AS1124" s="10">
        <f t="shared" ca="1" si="7332"/>
        <v>0</v>
      </c>
      <c r="AT1124" s="10">
        <f t="shared" ca="1" si="7332"/>
        <v>0</v>
      </c>
      <c r="AU1124" s="10">
        <f t="shared" ca="1" si="7332"/>
        <v>0</v>
      </c>
      <c r="AV1124" s="10">
        <f t="shared" ca="1" si="7332"/>
        <v>0</v>
      </c>
      <c r="AW1124" s="10">
        <f t="shared" ca="1" si="7332"/>
        <v>0</v>
      </c>
      <c r="AX1124" s="10">
        <f t="shared" ca="1" si="7332"/>
        <v>0</v>
      </c>
      <c r="AY1124" s="10">
        <f t="shared" ca="1" si="7332"/>
        <v>0</v>
      </c>
      <c r="AZ1124" s="10">
        <f t="shared" ca="1" si="7332"/>
        <v>0</v>
      </c>
      <c r="BA1124" s="10">
        <f t="shared" ca="1" si="7332"/>
        <v>0</v>
      </c>
      <c r="BB1124" s="10">
        <f t="shared" ca="1" si="7332"/>
        <v>0</v>
      </c>
      <c r="BC1124" s="10">
        <f t="shared" ca="1" si="7332"/>
        <v>0</v>
      </c>
      <c r="BD1124" s="10">
        <f t="shared" ca="1" si="7332"/>
        <v>0</v>
      </c>
      <c r="BE1124" s="10">
        <f t="shared" ca="1" si="7332"/>
        <v>0</v>
      </c>
      <c r="BF1124" s="10">
        <f t="shared" ca="1" si="7332"/>
        <v>0</v>
      </c>
      <c r="BG1124" s="10">
        <f t="shared" ca="1" si="7332"/>
        <v>0</v>
      </c>
      <c r="BH1124" s="10">
        <f t="shared" ca="1" si="7332"/>
        <v>0</v>
      </c>
      <c r="BI1124" s="10">
        <f t="shared" ca="1" si="7332"/>
        <v>0</v>
      </c>
      <c r="BJ1124" s="10">
        <f t="shared" ca="1" si="7332"/>
        <v>0</v>
      </c>
      <c r="BK1124" s="10">
        <f t="shared" ca="1" si="7332"/>
        <v>0</v>
      </c>
      <c r="BL1124" s="10">
        <f t="shared" ca="1" si="7332"/>
        <v>0</v>
      </c>
      <c r="BM1124" s="10">
        <f t="shared" ca="1" si="7332"/>
        <v>0</v>
      </c>
      <c r="BN1124" s="10">
        <f t="shared" ca="1" si="7332"/>
        <v>0</v>
      </c>
      <c r="BO1124" s="10">
        <f t="shared" ca="1" si="7332"/>
        <v>0</v>
      </c>
      <c r="BP1124" s="10">
        <f t="shared" ca="1" si="7332"/>
        <v>0</v>
      </c>
      <c r="BQ1124" s="10">
        <f t="shared" ca="1" si="7332"/>
        <v>0</v>
      </c>
      <c r="BR1124" s="10">
        <f t="shared" ca="1" si="7332"/>
        <v>0</v>
      </c>
      <c r="BS1124" s="10">
        <f t="shared" ca="1" si="7332"/>
        <v>0</v>
      </c>
      <c r="BT1124" s="10">
        <f t="shared" ca="1" si="7332"/>
        <v>0</v>
      </c>
      <c r="BU1124" s="10">
        <f t="shared" ca="1" si="7332"/>
        <v>0</v>
      </c>
      <c r="BV1124" s="10">
        <f t="shared" ca="1" si="7332"/>
        <v>0</v>
      </c>
      <c r="BW1124" s="10">
        <f t="shared" ca="1" si="7332"/>
        <v>0</v>
      </c>
      <c r="BX1124" s="10">
        <f t="shared" ref="BX1124:CO1124" ca="1" si="7333">-VAT_Cash_Flow*(VAT_Cash_Flow&lt;0)*Flag_Construction</f>
        <v>0</v>
      </c>
      <c r="BY1124" s="10">
        <f t="shared" ca="1" si="7333"/>
        <v>0</v>
      </c>
      <c r="BZ1124" s="10">
        <f t="shared" ca="1" si="7333"/>
        <v>0</v>
      </c>
      <c r="CA1124" s="10">
        <f t="shared" ca="1" si="7333"/>
        <v>0</v>
      </c>
      <c r="CB1124" s="10">
        <f t="shared" ca="1" si="7333"/>
        <v>0</v>
      </c>
      <c r="CC1124" s="10">
        <f t="shared" ca="1" si="7333"/>
        <v>0</v>
      </c>
      <c r="CD1124" s="10">
        <f t="shared" ca="1" si="7333"/>
        <v>0</v>
      </c>
      <c r="CE1124" s="10">
        <f t="shared" ca="1" si="7333"/>
        <v>0</v>
      </c>
      <c r="CF1124" s="10">
        <f t="shared" ca="1" si="7333"/>
        <v>0</v>
      </c>
      <c r="CG1124" s="10">
        <f t="shared" ca="1" si="7333"/>
        <v>0</v>
      </c>
      <c r="CH1124" s="10">
        <f t="shared" ca="1" si="7333"/>
        <v>0</v>
      </c>
      <c r="CI1124" s="10">
        <f t="shared" ca="1" si="7333"/>
        <v>0</v>
      </c>
      <c r="CJ1124" s="10">
        <f t="shared" ca="1" si="7333"/>
        <v>0</v>
      </c>
      <c r="CK1124" s="10">
        <f t="shared" ca="1" si="7333"/>
        <v>0</v>
      </c>
      <c r="CL1124" s="10">
        <f t="shared" ca="1" si="7333"/>
        <v>0</v>
      </c>
      <c r="CM1124" s="10">
        <f t="shared" ca="1" si="7333"/>
        <v>0</v>
      </c>
      <c r="CN1124" s="10">
        <f t="shared" ca="1" si="7333"/>
        <v>0</v>
      </c>
      <c r="CO1124" s="10">
        <f t="shared" ca="1" si="7333"/>
        <v>0</v>
      </c>
    </row>
    <row r="1125" spans="1:93">
      <c r="A1125" s="10"/>
      <c r="B1125" s="10"/>
      <c r="C1125" s="21" t="s">
        <v>339</v>
      </c>
      <c r="D1125" s="10"/>
      <c r="E1125" s="10"/>
      <c r="F1125" s="10"/>
      <c r="G1125" s="134" t="str">
        <f t="shared" si="7317"/>
        <v>тыс. руб.</v>
      </c>
      <c r="H1125" s="10"/>
      <c r="I1125" s="23">
        <f t="shared" ca="1" si="7318"/>
        <v>0</v>
      </c>
      <c r="J1125" s="10"/>
      <c r="K1125" s="10"/>
      <c r="L1125" s="10">
        <f t="shared" ref="L1125:BW1125" ca="1" si="7334">-(WC_Cash_Flow) * (Flag_Construction)</f>
        <v>0</v>
      </c>
      <c r="M1125" s="10">
        <f t="shared" ca="1" si="7334"/>
        <v>0</v>
      </c>
      <c r="N1125" s="10">
        <f t="shared" ca="1" si="7334"/>
        <v>0</v>
      </c>
      <c r="O1125" s="10">
        <f t="shared" ca="1" si="7334"/>
        <v>0</v>
      </c>
      <c r="P1125" s="10">
        <f t="shared" ca="1" si="7334"/>
        <v>0</v>
      </c>
      <c r="Q1125" s="10">
        <f t="shared" ca="1" si="7334"/>
        <v>0</v>
      </c>
      <c r="R1125" s="10">
        <f t="shared" ca="1" si="7334"/>
        <v>0</v>
      </c>
      <c r="S1125" s="10">
        <f t="shared" ca="1" si="7334"/>
        <v>0</v>
      </c>
      <c r="T1125" s="10">
        <f t="shared" ca="1" si="7334"/>
        <v>0</v>
      </c>
      <c r="U1125" s="10">
        <f t="shared" ca="1" si="7334"/>
        <v>0</v>
      </c>
      <c r="V1125" s="10">
        <f t="shared" ca="1" si="7334"/>
        <v>0</v>
      </c>
      <c r="W1125" s="10">
        <f t="shared" ca="1" si="7334"/>
        <v>0</v>
      </c>
      <c r="X1125" s="10">
        <f t="shared" ca="1" si="7334"/>
        <v>0</v>
      </c>
      <c r="Y1125" s="10">
        <f t="shared" ca="1" si="7334"/>
        <v>0</v>
      </c>
      <c r="Z1125" s="10">
        <f t="shared" ca="1" si="7334"/>
        <v>0</v>
      </c>
      <c r="AA1125" s="10">
        <f t="shared" ca="1" si="7334"/>
        <v>0</v>
      </c>
      <c r="AB1125" s="10">
        <f t="shared" ca="1" si="7334"/>
        <v>0</v>
      </c>
      <c r="AC1125" s="10">
        <f t="shared" ca="1" si="7334"/>
        <v>0</v>
      </c>
      <c r="AD1125" s="10">
        <f t="shared" ca="1" si="7334"/>
        <v>0</v>
      </c>
      <c r="AE1125" s="10">
        <f t="shared" ca="1" si="7334"/>
        <v>0</v>
      </c>
      <c r="AF1125" s="10">
        <f t="shared" ca="1" si="7334"/>
        <v>0</v>
      </c>
      <c r="AG1125" s="10">
        <f t="shared" ca="1" si="7334"/>
        <v>0</v>
      </c>
      <c r="AH1125" s="10">
        <f t="shared" ca="1" si="7334"/>
        <v>0</v>
      </c>
      <c r="AI1125" s="10">
        <f t="shared" ca="1" si="7334"/>
        <v>0</v>
      </c>
      <c r="AJ1125" s="10">
        <f t="shared" ca="1" si="7334"/>
        <v>0</v>
      </c>
      <c r="AK1125" s="10">
        <f t="shared" ca="1" si="7334"/>
        <v>0</v>
      </c>
      <c r="AL1125" s="10">
        <f t="shared" ca="1" si="7334"/>
        <v>0</v>
      </c>
      <c r="AM1125" s="10">
        <f t="shared" ca="1" si="7334"/>
        <v>0</v>
      </c>
      <c r="AN1125" s="10">
        <f t="shared" ca="1" si="7334"/>
        <v>0</v>
      </c>
      <c r="AO1125" s="10">
        <f t="shared" ca="1" si="7334"/>
        <v>0</v>
      </c>
      <c r="AP1125" s="10">
        <f t="shared" ca="1" si="7334"/>
        <v>0</v>
      </c>
      <c r="AQ1125" s="10">
        <f t="shared" ca="1" si="7334"/>
        <v>0</v>
      </c>
      <c r="AR1125" s="10">
        <f t="shared" ca="1" si="7334"/>
        <v>0</v>
      </c>
      <c r="AS1125" s="10">
        <f t="shared" ca="1" si="7334"/>
        <v>0</v>
      </c>
      <c r="AT1125" s="10">
        <f t="shared" ca="1" si="7334"/>
        <v>0</v>
      </c>
      <c r="AU1125" s="10">
        <f t="shared" ca="1" si="7334"/>
        <v>0</v>
      </c>
      <c r="AV1125" s="10">
        <f t="shared" ca="1" si="7334"/>
        <v>0</v>
      </c>
      <c r="AW1125" s="10">
        <f t="shared" ca="1" si="7334"/>
        <v>0</v>
      </c>
      <c r="AX1125" s="10">
        <f t="shared" ca="1" si="7334"/>
        <v>0</v>
      </c>
      <c r="AY1125" s="10">
        <f t="shared" ca="1" si="7334"/>
        <v>0</v>
      </c>
      <c r="AZ1125" s="10">
        <f t="shared" ca="1" si="7334"/>
        <v>0</v>
      </c>
      <c r="BA1125" s="10">
        <f t="shared" ca="1" si="7334"/>
        <v>0</v>
      </c>
      <c r="BB1125" s="10">
        <f t="shared" ca="1" si="7334"/>
        <v>0</v>
      </c>
      <c r="BC1125" s="10">
        <f t="shared" ca="1" si="7334"/>
        <v>0</v>
      </c>
      <c r="BD1125" s="10">
        <f t="shared" ca="1" si="7334"/>
        <v>0</v>
      </c>
      <c r="BE1125" s="10">
        <f t="shared" ca="1" si="7334"/>
        <v>0</v>
      </c>
      <c r="BF1125" s="10">
        <f t="shared" ca="1" si="7334"/>
        <v>0</v>
      </c>
      <c r="BG1125" s="10">
        <f t="shared" ca="1" si="7334"/>
        <v>0</v>
      </c>
      <c r="BH1125" s="10">
        <f t="shared" ca="1" si="7334"/>
        <v>0</v>
      </c>
      <c r="BI1125" s="10">
        <f t="shared" ca="1" si="7334"/>
        <v>0</v>
      </c>
      <c r="BJ1125" s="10">
        <f t="shared" ca="1" si="7334"/>
        <v>0</v>
      </c>
      <c r="BK1125" s="10">
        <f t="shared" ca="1" si="7334"/>
        <v>0</v>
      </c>
      <c r="BL1125" s="10">
        <f t="shared" ca="1" si="7334"/>
        <v>0</v>
      </c>
      <c r="BM1125" s="10">
        <f t="shared" ca="1" si="7334"/>
        <v>0</v>
      </c>
      <c r="BN1125" s="10">
        <f t="shared" ca="1" si="7334"/>
        <v>0</v>
      </c>
      <c r="BO1125" s="10">
        <f t="shared" ca="1" si="7334"/>
        <v>0</v>
      </c>
      <c r="BP1125" s="10">
        <f t="shared" ca="1" si="7334"/>
        <v>0</v>
      </c>
      <c r="BQ1125" s="10">
        <f t="shared" ca="1" si="7334"/>
        <v>0</v>
      </c>
      <c r="BR1125" s="10">
        <f t="shared" ca="1" si="7334"/>
        <v>0</v>
      </c>
      <c r="BS1125" s="10">
        <f t="shared" ca="1" si="7334"/>
        <v>0</v>
      </c>
      <c r="BT1125" s="10">
        <f t="shared" ca="1" si="7334"/>
        <v>0</v>
      </c>
      <c r="BU1125" s="10">
        <f t="shared" ca="1" si="7334"/>
        <v>0</v>
      </c>
      <c r="BV1125" s="10">
        <f t="shared" ca="1" si="7334"/>
        <v>0</v>
      </c>
      <c r="BW1125" s="10">
        <f t="shared" ca="1" si="7334"/>
        <v>0</v>
      </c>
      <c r="BX1125" s="10">
        <f t="shared" ref="BX1125:CO1125" ca="1" si="7335">-(WC_Cash_Flow) * (Flag_Construction)</f>
        <v>0</v>
      </c>
      <c r="BY1125" s="10">
        <f t="shared" ca="1" si="7335"/>
        <v>0</v>
      </c>
      <c r="BZ1125" s="10">
        <f t="shared" ca="1" si="7335"/>
        <v>0</v>
      </c>
      <c r="CA1125" s="10">
        <f t="shared" ca="1" si="7335"/>
        <v>0</v>
      </c>
      <c r="CB1125" s="10">
        <f t="shared" ca="1" si="7335"/>
        <v>0</v>
      </c>
      <c r="CC1125" s="10">
        <f t="shared" ca="1" si="7335"/>
        <v>0</v>
      </c>
      <c r="CD1125" s="10">
        <f t="shared" ca="1" si="7335"/>
        <v>0</v>
      </c>
      <c r="CE1125" s="10">
        <f t="shared" ca="1" si="7335"/>
        <v>0</v>
      </c>
      <c r="CF1125" s="10">
        <f t="shared" ca="1" si="7335"/>
        <v>0</v>
      </c>
      <c r="CG1125" s="10">
        <f t="shared" ca="1" si="7335"/>
        <v>0</v>
      </c>
      <c r="CH1125" s="10">
        <f t="shared" ca="1" si="7335"/>
        <v>0</v>
      </c>
      <c r="CI1125" s="10">
        <f t="shared" ca="1" si="7335"/>
        <v>0</v>
      </c>
      <c r="CJ1125" s="10">
        <f t="shared" ca="1" si="7335"/>
        <v>0</v>
      </c>
      <c r="CK1125" s="10">
        <f t="shared" ca="1" si="7335"/>
        <v>0</v>
      </c>
      <c r="CL1125" s="10">
        <f t="shared" ca="1" si="7335"/>
        <v>0</v>
      </c>
      <c r="CM1125" s="10">
        <f t="shared" ca="1" si="7335"/>
        <v>0</v>
      </c>
      <c r="CN1125" s="10">
        <f t="shared" ca="1" si="7335"/>
        <v>0</v>
      </c>
      <c r="CO1125" s="10">
        <f t="shared" ca="1" si="7335"/>
        <v>0</v>
      </c>
    </row>
    <row r="1126" spans="1:93">
      <c r="A1126" s="10"/>
      <c r="B1126" s="10"/>
      <c r="C1126" s="21" t="s">
        <v>303</v>
      </c>
      <c r="D1126" s="10"/>
      <c r="E1126" s="10"/>
      <c r="F1126" s="10"/>
      <c r="G1126" s="134" t="str">
        <f t="shared" si="7317"/>
        <v>тыс. руб.</v>
      </c>
      <c r="H1126" s="10"/>
      <c r="I1126" s="23">
        <f t="shared" ca="1" si="7318"/>
        <v>0</v>
      </c>
      <c r="J1126" s="10"/>
      <c r="K1126" s="10"/>
      <c r="L1126" s="10">
        <f t="shared" ref="L1126:BW1126" ca="1" si="7336">-(VAT_Cash_Flow)*((VAT_Cash_Flow)&gt;0) * (Flag_Construction)</f>
        <v>0</v>
      </c>
      <c r="M1126" s="10">
        <f t="shared" ca="1" si="7336"/>
        <v>0</v>
      </c>
      <c r="N1126" s="10">
        <f t="shared" ca="1" si="7336"/>
        <v>0</v>
      </c>
      <c r="O1126" s="10">
        <f t="shared" ca="1" si="7336"/>
        <v>0</v>
      </c>
      <c r="P1126" s="10">
        <f t="shared" ca="1" si="7336"/>
        <v>0</v>
      </c>
      <c r="Q1126" s="10">
        <f t="shared" ca="1" si="7336"/>
        <v>0</v>
      </c>
      <c r="R1126" s="10">
        <f t="shared" ca="1" si="7336"/>
        <v>0</v>
      </c>
      <c r="S1126" s="10">
        <f t="shared" ca="1" si="7336"/>
        <v>0</v>
      </c>
      <c r="T1126" s="10">
        <f t="shared" ca="1" si="7336"/>
        <v>0</v>
      </c>
      <c r="U1126" s="10">
        <f t="shared" ca="1" si="7336"/>
        <v>0</v>
      </c>
      <c r="V1126" s="10">
        <f t="shared" ca="1" si="7336"/>
        <v>0</v>
      </c>
      <c r="W1126" s="10">
        <f t="shared" ca="1" si="7336"/>
        <v>0</v>
      </c>
      <c r="X1126" s="10">
        <f t="shared" ca="1" si="7336"/>
        <v>0</v>
      </c>
      <c r="Y1126" s="10">
        <f t="shared" ca="1" si="7336"/>
        <v>0</v>
      </c>
      <c r="Z1126" s="10">
        <f t="shared" ca="1" si="7336"/>
        <v>0</v>
      </c>
      <c r="AA1126" s="10">
        <f t="shared" ca="1" si="7336"/>
        <v>0</v>
      </c>
      <c r="AB1126" s="10">
        <f t="shared" ca="1" si="7336"/>
        <v>0</v>
      </c>
      <c r="AC1126" s="10">
        <f t="shared" ca="1" si="7336"/>
        <v>0</v>
      </c>
      <c r="AD1126" s="10">
        <f t="shared" ca="1" si="7336"/>
        <v>0</v>
      </c>
      <c r="AE1126" s="10">
        <f t="shared" ca="1" si="7336"/>
        <v>0</v>
      </c>
      <c r="AF1126" s="10">
        <f t="shared" ca="1" si="7336"/>
        <v>0</v>
      </c>
      <c r="AG1126" s="10">
        <f t="shared" ca="1" si="7336"/>
        <v>0</v>
      </c>
      <c r="AH1126" s="10">
        <f t="shared" ca="1" si="7336"/>
        <v>0</v>
      </c>
      <c r="AI1126" s="10">
        <f t="shared" ca="1" si="7336"/>
        <v>0</v>
      </c>
      <c r="AJ1126" s="10">
        <f t="shared" ca="1" si="7336"/>
        <v>0</v>
      </c>
      <c r="AK1126" s="10">
        <f t="shared" ca="1" si="7336"/>
        <v>0</v>
      </c>
      <c r="AL1126" s="10">
        <f t="shared" ca="1" si="7336"/>
        <v>0</v>
      </c>
      <c r="AM1126" s="10">
        <f t="shared" ca="1" si="7336"/>
        <v>0</v>
      </c>
      <c r="AN1126" s="10">
        <f t="shared" ca="1" si="7336"/>
        <v>0</v>
      </c>
      <c r="AO1126" s="10">
        <f t="shared" ca="1" si="7336"/>
        <v>0</v>
      </c>
      <c r="AP1126" s="10">
        <f t="shared" ca="1" si="7336"/>
        <v>0</v>
      </c>
      <c r="AQ1126" s="10">
        <f t="shared" ca="1" si="7336"/>
        <v>0</v>
      </c>
      <c r="AR1126" s="10">
        <f t="shared" ca="1" si="7336"/>
        <v>0</v>
      </c>
      <c r="AS1126" s="10">
        <f t="shared" ca="1" si="7336"/>
        <v>0</v>
      </c>
      <c r="AT1126" s="10">
        <f t="shared" ca="1" si="7336"/>
        <v>0</v>
      </c>
      <c r="AU1126" s="10">
        <f t="shared" ca="1" si="7336"/>
        <v>0</v>
      </c>
      <c r="AV1126" s="10">
        <f t="shared" ca="1" si="7336"/>
        <v>0</v>
      </c>
      <c r="AW1126" s="10">
        <f t="shared" ca="1" si="7336"/>
        <v>0</v>
      </c>
      <c r="AX1126" s="10">
        <f t="shared" ca="1" si="7336"/>
        <v>0</v>
      </c>
      <c r="AY1126" s="10">
        <f t="shared" ca="1" si="7336"/>
        <v>0</v>
      </c>
      <c r="AZ1126" s="10">
        <f t="shared" ca="1" si="7336"/>
        <v>0</v>
      </c>
      <c r="BA1126" s="10">
        <f t="shared" ca="1" si="7336"/>
        <v>0</v>
      </c>
      <c r="BB1126" s="10">
        <f t="shared" ca="1" si="7336"/>
        <v>0</v>
      </c>
      <c r="BC1126" s="10">
        <f t="shared" ca="1" si="7336"/>
        <v>0</v>
      </c>
      <c r="BD1126" s="10">
        <f t="shared" ca="1" si="7336"/>
        <v>0</v>
      </c>
      <c r="BE1126" s="10">
        <f t="shared" ca="1" si="7336"/>
        <v>0</v>
      </c>
      <c r="BF1126" s="10">
        <f t="shared" ca="1" si="7336"/>
        <v>0</v>
      </c>
      <c r="BG1126" s="10">
        <f t="shared" ca="1" si="7336"/>
        <v>0</v>
      </c>
      <c r="BH1126" s="10">
        <f t="shared" ca="1" si="7336"/>
        <v>0</v>
      </c>
      <c r="BI1126" s="10">
        <f t="shared" ca="1" si="7336"/>
        <v>0</v>
      </c>
      <c r="BJ1126" s="10">
        <f t="shared" ca="1" si="7336"/>
        <v>0</v>
      </c>
      <c r="BK1126" s="10">
        <f t="shared" ca="1" si="7336"/>
        <v>0</v>
      </c>
      <c r="BL1126" s="10">
        <f t="shared" ca="1" si="7336"/>
        <v>0</v>
      </c>
      <c r="BM1126" s="10">
        <f t="shared" ca="1" si="7336"/>
        <v>0</v>
      </c>
      <c r="BN1126" s="10">
        <f t="shared" ca="1" si="7336"/>
        <v>0</v>
      </c>
      <c r="BO1126" s="10">
        <f t="shared" ca="1" si="7336"/>
        <v>0</v>
      </c>
      <c r="BP1126" s="10">
        <f t="shared" ca="1" si="7336"/>
        <v>0</v>
      </c>
      <c r="BQ1126" s="10">
        <f t="shared" ca="1" si="7336"/>
        <v>0</v>
      </c>
      <c r="BR1126" s="10">
        <f t="shared" ca="1" si="7336"/>
        <v>0</v>
      </c>
      <c r="BS1126" s="10">
        <f t="shared" ca="1" si="7336"/>
        <v>0</v>
      </c>
      <c r="BT1126" s="10">
        <f t="shared" ca="1" si="7336"/>
        <v>0</v>
      </c>
      <c r="BU1126" s="10">
        <f t="shared" ca="1" si="7336"/>
        <v>0</v>
      </c>
      <c r="BV1126" s="10">
        <f t="shared" ca="1" si="7336"/>
        <v>0</v>
      </c>
      <c r="BW1126" s="10">
        <f t="shared" ca="1" si="7336"/>
        <v>0</v>
      </c>
      <c r="BX1126" s="10">
        <f t="shared" ref="BX1126:CO1126" ca="1" si="7337">-(VAT_Cash_Flow)*((VAT_Cash_Flow)&gt;0) * (Flag_Construction)</f>
        <v>0</v>
      </c>
      <c r="BY1126" s="10">
        <f t="shared" ca="1" si="7337"/>
        <v>0</v>
      </c>
      <c r="BZ1126" s="10">
        <f t="shared" ca="1" si="7337"/>
        <v>0</v>
      </c>
      <c r="CA1126" s="10">
        <f t="shared" ca="1" si="7337"/>
        <v>0</v>
      </c>
      <c r="CB1126" s="10">
        <f t="shared" ca="1" si="7337"/>
        <v>0</v>
      </c>
      <c r="CC1126" s="10">
        <f t="shared" ca="1" si="7337"/>
        <v>0</v>
      </c>
      <c r="CD1126" s="10">
        <f t="shared" ca="1" si="7337"/>
        <v>0</v>
      </c>
      <c r="CE1126" s="10">
        <f t="shared" ca="1" si="7337"/>
        <v>0</v>
      </c>
      <c r="CF1126" s="10">
        <f t="shared" ca="1" si="7337"/>
        <v>0</v>
      </c>
      <c r="CG1126" s="10">
        <f t="shared" ca="1" si="7337"/>
        <v>0</v>
      </c>
      <c r="CH1126" s="10">
        <f t="shared" ca="1" si="7337"/>
        <v>0</v>
      </c>
      <c r="CI1126" s="10">
        <f t="shared" ca="1" si="7337"/>
        <v>0</v>
      </c>
      <c r="CJ1126" s="10">
        <f t="shared" ca="1" si="7337"/>
        <v>0</v>
      </c>
      <c r="CK1126" s="10">
        <f t="shared" ca="1" si="7337"/>
        <v>0</v>
      </c>
      <c r="CL1126" s="10">
        <f t="shared" ca="1" si="7337"/>
        <v>0</v>
      </c>
      <c r="CM1126" s="10">
        <f t="shared" ca="1" si="7337"/>
        <v>0</v>
      </c>
      <c r="CN1126" s="10">
        <f t="shared" ca="1" si="7337"/>
        <v>0</v>
      </c>
      <c r="CO1126" s="10">
        <f t="shared" ca="1" si="7337"/>
        <v>0</v>
      </c>
    </row>
    <row r="1127" spans="1:93">
      <c r="A1127" s="10"/>
      <c r="B1127" s="10"/>
      <c r="C1127" s="21" t="s">
        <v>96</v>
      </c>
      <c r="D1127" s="10"/>
      <c r="E1127" s="10"/>
      <c r="F1127" s="10"/>
      <c r="G1127" s="134" t="str">
        <f t="shared" si="7317"/>
        <v>тыс. руб.</v>
      </c>
      <c r="H1127" s="10"/>
      <c r="I1127" s="23">
        <f t="shared" ca="1" si="7318"/>
        <v>0</v>
      </c>
      <c r="J1127" s="10"/>
      <c r="K1127" s="10"/>
      <c r="L1127" s="10">
        <f t="shared" ref="L1127:BW1127" ca="1" si="7338">-(Revenue) * (Flag_Construction)</f>
        <v>0</v>
      </c>
      <c r="M1127" s="10">
        <f t="shared" ca="1" si="7338"/>
        <v>0</v>
      </c>
      <c r="N1127" s="10">
        <f t="shared" ca="1" si="7338"/>
        <v>0</v>
      </c>
      <c r="O1127" s="10">
        <f t="shared" ca="1" si="7338"/>
        <v>0</v>
      </c>
      <c r="P1127" s="10">
        <f t="shared" ca="1" si="7338"/>
        <v>0</v>
      </c>
      <c r="Q1127" s="10">
        <f t="shared" ca="1" si="7338"/>
        <v>0</v>
      </c>
      <c r="R1127" s="10">
        <f t="shared" ca="1" si="7338"/>
        <v>0</v>
      </c>
      <c r="S1127" s="10">
        <f t="shared" ca="1" si="7338"/>
        <v>0</v>
      </c>
      <c r="T1127" s="10">
        <f t="shared" ca="1" si="7338"/>
        <v>0</v>
      </c>
      <c r="U1127" s="10">
        <f t="shared" ca="1" si="7338"/>
        <v>0</v>
      </c>
      <c r="V1127" s="10">
        <f t="shared" ca="1" si="7338"/>
        <v>0</v>
      </c>
      <c r="W1127" s="10">
        <f t="shared" ca="1" si="7338"/>
        <v>0</v>
      </c>
      <c r="X1127" s="10">
        <f t="shared" ca="1" si="7338"/>
        <v>0</v>
      </c>
      <c r="Y1127" s="10">
        <f t="shared" ca="1" si="7338"/>
        <v>0</v>
      </c>
      <c r="Z1127" s="10">
        <f t="shared" ca="1" si="7338"/>
        <v>0</v>
      </c>
      <c r="AA1127" s="10">
        <f t="shared" ca="1" si="7338"/>
        <v>0</v>
      </c>
      <c r="AB1127" s="10">
        <f t="shared" ca="1" si="7338"/>
        <v>0</v>
      </c>
      <c r="AC1127" s="10">
        <f t="shared" ca="1" si="7338"/>
        <v>0</v>
      </c>
      <c r="AD1127" s="10">
        <f t="shared" ca="1" si="7338"/>
        <v>0</v>
      </c>
      <c r="AE1127" s="10">
        <f t="shared" ca="1" si="7338"/>
        <v>0</v>
      </c>
      <c r="AF1127" s="10">
        <f t="shared" ca="1" si="7338"/>
        <v>0</v>
      </c>
      <c r="AG1127" s="10">
        <f t="shared" ca="1" si="7338"/>
        <v>0</v>
      </c>
      <c r="AH1127" s="10">
        <f t="shared" ca="1" si="7338"/>
        <v>0</v>
      </c>
      <c r="AI1127" s="10">
        <f t="shared" ca="1" si="7338"/>
        <v>0</v>
      </c>
      <c r="AJ1127" s="10">
        <f t="shared" ca="1" si="7338"/>
        <v>0</v>
      </c>
      <c r="AK1127" s="10">
        <f t="shared" ca="1" si="7338"/>
        <v>0</v>
      </c>
      <c r="AL1127" s="10">
        <f t="shared" ca="1" si="7338"/>
        <v>0</v>
      </c>
      <c r="AM1127" s="10">
        <f t="shared" ca="1" si="7338"/>
        <v>0</v>
      </c>
      <c r="AN1127" s="10">
        <f t="shared" ca="1" si="7338"/>
        <v>0</v>
      </c>
      <c r="AO1127" s="10">
        <f t="shared" ca="1" si="7338"/>
        <v>0</v>
      </c>
      <c r="AP1127" s="10">
        <f t="shared" ca="1" si="7338"/>
        <v>0</v>
      </c>
      <c r="AQ1127" s="10">
        <f t="shared" ca="1" si="7338"/>
        <v>0</v>
      </c>
      <c r="AR1127" s="10">
        <f t="shared" ca="1" si="7338"/>
        <v>0</v>
      </c>
      <c r="AS1127" s="10">
        <f t="shared" ca="1" si="7338"/>
        <v>0</v>
      </c>
      <c r="AT1127" s="10">
        <f t="shared" ca="1" si="7338"/>
        <v>0</v>
      </c>
      <c r="AU1127" s="10">
        <f t="shared" ca="1" si="7338"/>
        <v>0</v>
      </c>
      <c r="AV1127" s="10">
        <f t="shared" ca="1" si="7338"/>
        <v>0</v>
      </c>
      <c r="AW1127" s="10">
        <f t="shared" ca="1" si="7338"/>
        <v>0</v>
      </c>
      <c r="AX1127" s="10">
        <f t="shared" ca="1" si="7338"/>
        <v>0</v>
      </c>
      <c r="AY1127" s="10">
        <f t="shared" ca="1" si="7338"/>
        <v>0</v>
      </c>
      <c r="AZ1127" s="10">
        <f t="shared" ca="1" si="7338"/>
        <v>0</v>
      </c>
      <c r="BA1127" s="10">
        <f t="shared" ca="1" si="7338"/>
        <v>0</v>
      </c>
      <c r="BB1127" s="10">
        <f t="shared" ca="1" si="7338"/>
        <v>0</v>
      </c>
      <c r="BC1127" s="10">
        <f t="shared" ca="1" si="7338"/>
        <v>0</v>
      </c>
      <c r="BD1127" s="10">
        <f t="shared" ca="1" si="7338"/>
        <v>0</v>
      </c>
      <c r="BE1127" s="10">
        <f t="shared" ca="1" si="7338"/>
        <v>0</v>
      </c>
      <c r="BF1127" s="10">
        <f t="shared" ca="1" si="7338"/>
        <v>0</v>
      </c>
      <c r="BG1127" s="10">
        <f t="shared" ca="1" si="7338"/>
        <v>0</v>
      </c>
      <c r="BH1127" s="10">
        <f t="shared" ca="1" si="7338"/>
        <v>0</v>
      </c>
      <c r="BI1127" s="10">
        <f t="shared" ca="1" si="7338"/>
        <v>0</v>
      </c>
      <c r="BJ1127" s="10">
        <f t="shared" ca="1" si="7338"/>
        <v>0</v>
      </c>
      <c r="BK1127" s="10">
        <f t="shared" ca="1" si="7338"/>
        <v>0</v>
      </c>
      <c r="BL1127" s="10">
        <f t="shared" ca="1" si="7338"/>
        <v>0</v>
      </c>
      <c r="BM1127" s="10">
        <f t="shared" ca="1" si="7338"/>
        <v>0</v>
      </c>
      <c r="BN1127" s="10">
        <f t="shared" ca="1" si="7338"/>
        <v>0</v>
      </c>
      <c r="BO1127" s="10">
        <f t="shared" ca="1" si="7338"/>
        <v>0</v>
      </c>
      <c r="BP1127" s="10">
        <f t="shared" ca="1" si="7338"/>
        <v>0</v>
      </c>
      <c r="BQ1127" s="10">
        <f t="shared" ca="1" si="7338"/>
        <v>0</v>
      </c>
      <c r="BR1127" s="10">
        <f t="shared" ca="1" si="7338"/>
        <v>0</v>
      </c>
      <c r="BS1127" s="10">
        <f t="shared" ca="1" si="7338"/>
        <v>0</v>
      </c>
      <c r="BT1127" s="10">
        <f t="shared" ca="1" si="7338"/>
        <v>0</v>
      </c>
      <c r="BU1127" s="10">
        <f t="shared" ca="1" si="7338"/>
        <v>0</v>
      </c>
      <c r="BV1127" s="10">
        <f t="shared" ca="1" si="7338"/>
        <v>0</v>
      </c>
      <c r="BW1127" s="10">
        <f t="shared" ca="1" si="7338"/>
        <v>0</v>
      </c>
      <c r="BX1127" s="10">
        <f t="shared" ref="BX1127:CO1127" ca="1" si="7339">-(Revenue) * (Flag_Construction)</f>
        <v>0</v>
      </c>
      <c r="BY1127" s="10">
        <f t="shared" ca="1" si="7339"/>
        <v>0</v>
      </c>
      <c r="BZ1127" s="10">
        <f t="shared" ca="1" si="7339"/>
        <v>0</v>
      </c>
      <c r="CA1127" s="10">
        <f t="shared" ca="1" si="7339"/>
        <v>0</v>
      </c>
      <c r="CB1127" s="10">
        <f t="shared" ca="1" si="7339"/>
        <v>0</v>
      </c>
      <c r="CC1127" s="10">
        <f t="shared" ca="1" si="7339"/>
        <v>0</v>
      </c>
      <c r="CD1127" s="10">
        <f t="shared" ca="1" si="7339"/>
        <v>0</v>
      </c>
      <c r="CE1127" s="10">
        <f t="shared" ca="1" si="7339"/>
        <v>0</v>
      </c>
      <c r="CF1127" s="10">
        <f t="shared" ca="1" si="7339"/>
        <v>0</v>
      </c>
      <c r="CG1127" s="10">
        <f t="shared" ca="1" si="7339"/>
        <v>0</v>
      </c>
      <c r="CH1127" s="10">
        <f t="shared" ca="1" si="7339"/>
        <v>0</v>
      </c>
      <c r="CI1127" s="10">
        <f t="shared" ca="1" si="7339"/>
        <v>0</v>
      </c>
      <c r="CJ1127" s="10">
        <f t="shared" ca="1" si="7339"/>
        <v>0</v>
      </c>
      <c r="CK1127" s="10">
        <f t="shared" ca="1" si="7339"/>
        <v>0</v>
      </c>
      <c r="CL1127" s="10">
        <f t="shared" ca="1" si="7339"/>
        <v>0</v>
      </c>
      <c r="CM1127" s="10">
        <f t="shared" ca="1" si="7339"/>
        <v>0</v>
      </c>
      <c r="CN1127" s="10">
        <f t="shared" ca="1" si="7339"/>
        <v>0</v>
      </c>
      <c r="CO1127" s="10">
        <f t="shared" ca="1" si="7339"/>
        <v>0</v>
      </c>
    </row>
    <row r="1128" spans="1:93">
      <c r="A1128" s="10"/>
      <c r="B1128" s="10"/>
      <c r="C1128" s="21" t="s">
        <v>510</v>
      </c>
      <c r="D1128" s="10"/>
      <c r="E1128" s="10"/>
      <c r="F1128" s="10"/>
      <c r="G1128" s="134" t="str">
        <f t="shared" si="7317"/>
        <v>тыс. руб.</v>
      </c>
      <c r="H1128" s="10"/>
      <c r="I1128" s="23">
        <f t="shared" ca="1" si="7318"/>
        <v>0</v>
      </c>
      <c r="J1128" s="10"/>
      <c r="K1128" s="10"/>
      <c r="L1128" s="10">
        <f t="shared" ref="L1128:AQ1128" si="7340">-MAX(L1290,0) * Flag_Construction</f>
        <v>0</v>
      </c>
      <c r="M1128" s="10">
        <f t="shared" ca="1" si="7340"/>
        <v>0</v>
      </c>
      <c r="N1128" s="10">
        <f t="shared" ca="1" si="7340"/>
        <v>0</v>
      </c>
      <c r="O1128" s="10">
        <f t="shared" ca="1" si="7340"/>
        <v>0</v>
      </c>
      <c r="P1128" s="10">
        <f t="shared" ca="1" si="7340"/>
        <v>0</v>
      </c>
      <c r="Q1128" s="10">
        <f t="shared" ca="1" si="7340"/>
        <v>0</v>
      </c>
      <c r="R1128" s="10">
        <f t="shared" ca="1" si="7340"/>
        <v>0</v>
      </c>
      <c r="S1128" s="10">
        <f t="shared" ca="1" si="7340"/>
        <v>0</v>
      </c>
      <c r="T1128" s="10">
        <f t="shared" ca="1" si="7340"/>
        <v>0</v>
      </c>
      <c r="U1128" s="10">
        <f t="shared" ca="1" si="7340"/>
        <v>0</v>
      </c>
      <c r="V1128" s="10">
        <f t="shared" ca="1" si="7340"/>
        <v>0</v>
      </c>
      <c r="W1128" s="10">
        <f t="shared" ca="1" si="7340"/>
        <v>0</v>
      </c>
      <c r="X1128" s="10">
        <f t="shared" ca="1" si="7340"/>
        <v>0</v>
      </c>
      <c r="Y1128" s="10">
        <f t="shared" ca="1" si="7340"/>
        <v>0</v>
      </c>
      <c r="Z1128" s="10">
        <f t="shared" ca="1" si="7340"/>
        <v>0</v>
      </c>
      <c r="AA1128" s="10">
        <f t="shared" ca="1" si="7340"/>
        <v>0</v>
      </c>
      <c r="AB1128" s="10">
        <f t="shared" ca="1" si="7340"/>
        <v>0</v>
      </c>
      <c r="AC1128" s="10">
        <f t="shared" ca="1" si="7340"/>
        <v>0</v>
      </c>
      <c r="AD1128" s="10">
        <f t="shared" ca="1" si="7340"/>
        <v>0</v>
      </c>
      <c r="AE1128" s="10">
        <f t="shared" ca="1" si="7340"/>
        <v>0</v>
      </c>
      <c r="AF1128" s="10">
        <f t="shared" ca="1" si="7340"/>
        <v>0</v>
      </c>
      <c r="AG1128" s="10">
        <f t="shared" ca="1" si="7340"/>
        <v>0</v>
      </c>
      <c r="AH1128" s="10">
        <f t="shared" ca="1" si="7340"/>
        <v>0</v>
      </c>
      <c r="AI1128" s="10">
        <f t="shared" ca="1" si="7340"/>
        <v>0</v>
      </c>
      <c r="AJ1128" s="10">
        <f t="shared" ca="1" si="7340"/>
        <v>0</v>
      </c>
      <c r="AK1128" s="10">
        <f t="shared" ca="1" si="7340"/>
        <v>0</v>
      </c>
      <c r="AL1128" s="10">
        <f t="shared" ca="1" si="7340"/>
        <v>0</v>
      </c>
      <c r="AM1128" s="10">
        <f t="shared" ca="1" si="7340"/>
        <v>0</v>
      </c>
      <c r="AN1128" s="10">
        <f t="shared" ca="1" si="7340"/>
        <v>0</v>
      </c>
      <c r="AO1128" s="10">
        <f t="shared" ca="1" si="7340"/>
        <v>0</v>
      </c>
      <c r="AP1128" s="10">
        <f t="shared" ca="1" si="7340"/>
        <v>0</v>
      </c>
      <c r="AQ1128" s="10">
        <f t="shared" ca="1" si="7340"/>
        <v>0</v>
      </c>
      <c r="AR1128" s="10">
        <f t="shared" ref="AR1128:BW1128" ca="1" si="7341">-MAX(AR1290,0) * Flag_Construction</f>
        <v>0</v>
      </c>
      <c r="AS1128" s="10">
        <f t="shared" ca="1" si="7341"/>
        <v>0</v>
      </c>
      <c r="AT1128" s="10">
        <f t="shared" ca="1" si="7341"/>
        <v>0</v>
      </c>
      <c r="AU1128" s="10">
        <f t="shared" ca="1" si="7341"/>
        <v>0</v>
      </c>
      <c r="AV1128" s="10">
        <f t="shared" ca="1" si="7341"/>
        <v>0</v>
      </c>
      <c r="AW1128" s="10">
        <f t="shared" ca="1" si="7341"/>
        <v>0</v>
      </c>
      <c r="AX1128" s="10">
        <f t="shared" ca="1" si="7341"/>
        <v>0</v>
      </c>
      <c r="AY1128" s="10">
        <f t="shared" ca="1" si="7341"/>
        <v>0</v>
      </c>
      <c r="AZ1128" s="10">
        <f t="shared" ca="1" si="7341"/>
        <v>0</v>
      </c>
      <c r="BA1128" s="10">
        <f t="shared" ca="1" si="7341"/>
        <v>0</v>
      </c>
      <c r="BB1128" s="10">
        <f t="shared" ca="1" si="7341"/>
        <v>0</v>
      </c>
      <c r="BC1128" s="10">
        <f t="shared" ca="1" si="7341"/>
        <v>0</v>
      </c>
      <c r="BD1128" s="10">
        <f t="shared" ca="1" si="7341"/>
        <v>0</v>
      </c>
      <c r="BE1128" s="10">
        <f t="shared" ca="1" si="7341"/>
        <v>0</v>
      </c>
      <c r="BF1128" s="10">
        <f t="shared" ca="1" si="7341"/>
        <v>0</v>
      </c>
      <c r="BG1128" s="10">
        <f t="shared" ca="1" si="7341"/>
        <v>0</v>
      </c>
      <c r="BH1128" s="10">
        <f t="shared" ca="1" si="7341"/>
        <v>0</v>
      </c>
      <c r="BI1128" s="10">
        <f t="shared" ca="1" si="7341"/>
        <v>0</v>
      </c>
      <c r="BJ1128" s="10">
        <f t="shared" ca="1" si="7341"/>
        <v>0</v>
      </c>
      <c r="BK1128" s="10">
        <f t="shared" ca="1" si="7341"/>
        <v>0</v>
      </c>
      <c r="BL1128" s="10">
        <f t="shared" ca="1" si="7341"/>
        <v>0</v>
      </c>
      <c r="BM1128" s="10">
        <f t="shared" ca="1" si="7341"/>
        <v>0</v>
      </c>
      <c r="BN1128" s="10">
        <f t="shared" ca="1" si="7341"/>
        <v>0</v>
      </c>
      <c r="BO1128" s="10">
        <f t="shared" ca="1" si="7341"/>
        <v>0</v>
      </c>
      <c r="BP1128" s="10">
        <f t="shared" ca="1" si="7341"/>
        <v>0</v>
      </c>
      <c r="BQ1128" s="10">
        <f t="shared" ca="1" si="7341"/>
        <v>0</v>
      </c>
      <c r="BR1128" s="10">
        <f t="shared" ca="1" si="7341"/>
        <v>0</v>
      </c>
      <c r="BS1128" s="10">
        <f t="shared" ca="1" si="7341"/>
        <v>0</v>
      </c>
      <c r="BT1128" s="10">
        <f t="shared" ca="1" si="7341"/>
        <v>0</v>
      </c>
      <c r="BU1128" s="10">
        <f t="shared" ca="1" si="7341"/>
        <v>0</v>
      </c>
      <c r="BV1128" s="10">
        <f t="shared" ca="1" si="7341"/>
        <v>0</v>
      </c>
      <c r="BW1128" s="10">
        <f t="shared" ca="1" si="7341"/>
        <v>0</v>
      </c>
      <c r="BX1128" s="10">
        <f t="shared" ref="BX1128:CO1128" ca="1" si="7342">-MAX(BX1290,0) * Flag_Construction</f>
        <v>0</v>
      </c>
      <c r="BY1128" s="10">
        <f t="shared" ca="1" si="7342"/>
        <v>0</v>
      </c>
      <c r="BZ1128" s="10">
        <f t="shared" ca="1" si="7342"/>
        <v>0</v>
      </c>
      <c r="CA1128" s="10">
        <f t="shared" ca="1" si="7342"/>
        <v>0</v>
      </c>
      <c r="CB1128" s="10">
        <f t="shared" ca="1" si="7342"/>
        <v>0</v>
      </c>
      <c r="CC1128" s="10">
        <f t="shared" ca="1" si="7342"/>
        <v>0</v>
      </c>
      <c r="CD1128" s="10">
        <f t="shared" ca="1" si="7342"/>
        <v>0</v>
      </c>
      <c r="CE1128" s="10">
        <f t="shared" ca="1" si="7342"/>
        <v>0</v>
      </c>
      <c r="CF1128" s="10">
        <f t="shared" ca="1" si="7342"/>
        <v>0</v>
      </c>
      <c r="CG1128" s="10">
        <f t="shared" ca="1" si="7342"/>
        <v>0</v>
      </c>
      <c r="CH1128" s="10">
        <f t="shared" ca="1" si="7342"/>
        <v>0</v>
      </c>
      <c r="CI1128" s="10">
        <f t="shared" ca="1" si="7342"/>
        <v>0</v>
      </c>
      <c r="CJ1128" s="10">
        <f t="shared" ca="1" si="7342"/>
        <v>0</v>
      </c>
      <c r="CK1128" s="10">
        <f t="shared" ca="1" si="7342"/>
        <v>0</v>
      </c>
      <c r="CL1128" s="10">
        <f t="shared" ca="1" si="7342"/>
        <v>0</v>
      </c>
      <c r="CM1128" s="10">
        <f t="shared" ca="1" si="7342"/>
        <v>0</v>
      </c>
      <c r="CN1128" s="10">
        <f t="shared" ca="1" si="7342"/>
        <v>0</v>
      </c>
      <c r="CO1128" s="10">
        <f t="shared" ca="1" si="7342"/>
        <v>0</v>
      </c>
    </row>
    <row r="1129" spans="1:93" ht="15" thickBot="1">
      <c r="A1129" s="10"/>
      <c r="B1129" s="10"/>
      <c r="C1129" s="21" t="s">
        <v>1204</v>
      </c>
      <c r="D1129" s="10"/>
      <c r="E1129" s="10"/>
      <c r="F1129" s="10"/>
      <c r="G1129" s="134" t="str">
        <f t="shared" si="7317"/>
        <v>тыс. руб.</v>
      </c>
      <c r="H1129" s="10"/>
      <c r="I1129" s="23">
        <f t="shared" ref="I1129" si="7343">SUM(L1129:CO1129)</f>
        <v>0</v>
      </c>
      <c r="J1129" s="10"/>
      <c r="K1129" s="10"/>
      <c r="L1129" s="10">
        <f>Предпосылки!L563 * (Flag_Historical+Flag_Construction)</f>
        <v>0</v>
      </c>
      <c r="M1129" s="10">
        <f>Предпосылки!M563 * (Flag_Historical+Flag_Construction)</f>
        <v>0</v>
      </c>
      <c r="N1129" s="10">
        <f>Предпосылки!N563 * (Flag_Historical+Flag_Construction)</f>
        <v>0</v>
      </c>
      <c r="O1129" s="10">
        <f>Предпосылки!O563 * (Flag_Historical+Flag_Construction)</f>
        <v>0</v>
      </c>
      <c r="P1129" s="10">
        <f>Предпосылки!P563 * (Flag_Historical+Flag_Construction)</f>
        <v>0</v>
      </c>
      <c r="Q1129" s="10">
        <f>Предпосылки!Q563 * (Flag_Historical+Flag_Construction)</f>
        <v>0</v>
      </c>
      <c r="R1129" s="10">
        <f>Предпосылки!R563 * (Flag_Historical+Flag_Construction)</f>
        <v>0</v>
      </c>
      <c r="S1129" s="10">
        <f>Предпосылки!S563 * (Flag_Historical+Flag_Construction)</f>
        <v>0</v>
      </c>
      <c r="T1129" s="10">
        <f>Предпосылки!T563 * (Flag_Historical+Flag_Construction)</f>
        <v>0</v>
      </c>
      <c r="U1129" s="10">
        <f>Предпосылки!U563 * (Flag_Historical+Flag_Construction)</f>
        <v>0</v>
      </c>
      <c r="V1129" s="10">
        <f>Предпосылки!V563 * (Flag_Historical+Flag_Construction)</f>
        <v>0</v>
      </c>
      <c r="W1129" s="10">
        <f>Предпосылки!W563 * (Flag_Historical+Flag_Construction)</f>
        <v>0</v>
      </c>
      <c r="X1129" s="10">
        <f>Предпосылки!X563 * (Flag_Historical+Flag_Construction)</f>
        <v>0</v>
      </c>
      <c r="Y1129" s="10">
        <f>Предпосылки!Y563 * (Flag_Historical+Flag_Construction)</f>
        <v>0</v>
      </c>
      <c r="Z1129" s="10">
        <f>Предпосылки!Z563 * (Flag_Historical+Flag_Construction)</f>
        <v>0</v>
      </c>
      <c r="AA1129" s="10">
        <f>Предпосылки!AA563 * (Flag_Historical+Flag_Construction)</f>
        <v>0</v>
      </c>
      <c r="AB1129" s="10">
        <f>Предпосылки!AB563 * (Flag_Historical+Flag_Construction)</f>
        <v>0</v>
      </c>
      <c r="AC1129" s="10">
        <f>Предпосылки!AC563 * (Flag_Historical+Flag_Construction)</f>
        <v>0</v>
      </c>
      <c r="AD1129" s="10">
        <f>Предпосылки!AD563 * (Flag_Historical+Flag_Construction)</f>
        <v>0</v>
      </c>
      <c r="AE1129" s="10">
        <f>Предпосылки!AE563 * (Flag_Historical+Flag_Construction)</f>
        <v>0</v>
      </c>
      <c r="AF1129" s="10">
        <f>Предпосылки!AF563 * (Flag_Historical+Flag_Construction)</f>
        <v>0</v>
      </c>
      <c r="AG1129" s="10">
        <f>Предпосылки!AG563 * (Flag_Historical+Flag_Construction)</f>
        <v>0</v>
      </c>
      <c r="AH1129" s="10">
        <f>Предпосылки!AH563 * (Flag_Historical+Flag_Construction)</f>
        <v>0</v>
      </c>
      <c r="AI1129" s="10">
        <f>Предпосылки!AI563 * (Flag_Historical+Flag_Construction)</f>
        <v>0</v>
      </c>
      <c r="AJ1129" s="10">
        <f>Предпосылки!AJ563 * (Flag_Historical+Flag_Construction)</f>
        <v>0</v>
      </c>
      <c r="AK1129" s="10">
        <f>Предпосылки!AK563 * (Flag_Historical+Flag_Construction)</f>
        <v>0</v>
      </c>
      <c r="AL1129" s="10">
        <f>Предпосылки!AL563 * (Flag_Historical+Flag_Construction)</f>
        <v>0</v>
      </c>
      <c r="AM1129" s="10">
        <f>Предпосылки!AM563 * (Flag_Historical+Flag_Construction)</f>
        <v>0</v>
      </c>
      <c r="AN1129" s="10">
        <f>Предпосылки!AN563 * (Flag_Historical+Flag_Construction)</f>
        <v>0</v>
      </c>
      <c r="AO1129" s="10">
        <f>Предпосылки!AO563 * (Flag_Historical+Flag_Construction)</f>
        <v>0</v>
      </c>
      <c r="AP1129" s="10">
        <f>Предпосылки!AP563 * (Flag_Historical+Flag_Construction)</f>
        <v>0</v>
      </c>
      <c r="AQ1129" s="10">
        <f>Предпосылки!AQ563 * (Flag_Historical+Flag_Construction)</f>
        <v>0</v>
      </c>
      <c r="AR1129" s="10">
        <f>Предпосылки!AR563 * (Flag_Historical+Flag_Construction)</f>
        <v>0</v>
      </c>
      <c r="AS1129" s="10">
        <f>Предпосылки!AS563 * (Flag_Historical+Flag_Construction)</f>
        <v>0</v>
      </c>
      <c r="AT1129" s="10">
        <f>Предпосылки!AT563 * (Flag_Historical+Flag_Construction)</f>
        <v>0</v>
      </c>
      <c r="AU1129" s="10">
        <f>Предпосылки!AU563 * (Flag_Historical+Flag_Construction)</f>
        <v>0</v>
      </c>
      <c r="AV1129" s="10">
        <f>Предпосылки!AV563 * (Flag_Historical+Flag_Construction)</f>
        <v>0</v>
      </c>
      <c r="AW1129" s="10">
        <f>Предпосылки!AW563 * (Flag_Historical+Flag_Construction)</f>
        <v>0</v>
      </c>
      <c r="AX1129" s="10">
        <f>Предпосылки!AX563 * (Flag_Historical+Flag_Construction)</f>
        <v>0</v>
      </c>
      <c r="AY1129" s="10">
        <f>Предпосылки!AY563 * (Flag_Historical+Flag_Construction)</f>
        <v>0</v>
      </c>
      <c r="AZ1129" s="10">
        <f>Предпосылки!AZ563 * (Flag_Historical+Flag_Construction)</f>
        <v>0</v>
      </c>
      <c r="BA1129" s="10">
        <f>Предпосылки!BA563 * (Flag_Historical+Flag_Construction)</f>
        <v>0</v>
      </c>
      <c r="BB1129" s="10">
        <f>Предпосылки!BB563 * (Flag_Historical+Flag_Construction)</f>
        <v>0</v>
      </c>
      <c r="BC1129" s="10">
        <f>Предпосылки!BC563 * (Flag_Historical+Flag_Construction)</f>
        <v>0</v>
      </c>
      <c r="BD1129" s="10">
        <f>Предпосылки!BD563 * (Flag_Historical+Flag_Construction)</f>
        <v>0</v>
      </c>
      <c r="BE1129" s="10">
        <f>Предпосылки!BE563 * (Flag_Historical+Flag_Construction)</f>
        <v>0</v>
      </c>
      <c r="BF1129" s="10">
        <f>Предпосылки!BF563 * (Flag_Historical+Flag_Construction)</f>
        <v>0</v>
      </c>
      <c r="BG1129" s="10">
        <f>Предпосылки!BG563 * (Flag_Historical+Flag_Construction)</f>
        <v>0</v>
      </c>
      <c r="BH1129" s="10">
        <f>Предпосылки!BH563 * (Flag_Historical+Flag_Construction)</f>
        <v>0</v>
      </c>
      <c r="BI1129" s="10">
        <f>Предпосылки!BI563 * (Flag_Historical+Flag_Construction)</f>
        <v>0</v>
      </c>
      <c r="BJ1129" s="10">
        <f>Предпосылки!BJ563 * (Flag_Historical+Flag_Construction)</f>
        <v>0</v>
      </c>
      <c r="BK1129" s="10">
        <f>Предпосылки!BK563 * (Flag_Historical+Flag_Construction)</f>
        <v>0</v>
      </c>
      <c r="BL1129" s="10">
        <f>Предпосылки!BL563 * (Flag_Historical+Flag_Construction)</f>
        <v>0</v>
      </c>
      <c r="BM1129" s="10">
        <f>Предпосылки!BM563 * (Flag_Historical+Flag_Construction)</f>
        <v>0</v>
      </c>
      <c r="BN1129" s="10">
        <f>Предпосылки!BN563 * (Flag_Historical+Flag_Construction)</f>
        <v>0</v>
      </c>
      <c r="BO1129" s="10">
        <f>Предпосылки!BO563 * (Flag_Historical+Flag_Construction)</f>
        <v>0</v>
      </c>
      <c r="BP1129" s="10">
        <f>Предпосылки!BP563 * (Flag_Historical+Flag_Construction)</f>
        <v>0</v>
      </c>
      <c r="BQ1129" s="10">
        <f>Предпосылки!BQ563 * (Flag_Historical+Flag_Construction)</f>
        <v>0</v>
      </c>
      <c r="BR1129" s="10">
        <f>Предпосылки!BR563 * (Flag_Historical+Flag_Construction)</f>
        <v>0</v>
      </c>
      <c r="BS1129" s="10">
        <f>Предпосылки!BS563 * (Flag_Historical+Flag_Construction)</f>
        <v>0</v>
      </c>
      <c r="BT1129" s="10">
        <f>Предпосылки!BT563 * (Flag_Historical+Flag_Construction)</f>
        <v>0</v>
      </c>
      <c r="BU1129" s="10">
        <f>Предпосылки!BU563 * (Flag_Historical+Flag_Construction)</f>
        <v>0</v>
      </c>
      <c r="BV1129" s="10">
        <f>Предпосылки!BV563 * (Flag_Historical+Flag_Construction)</f>
        <v>0</v>
      </c>
      <c r="BW1129" s="10">
        <f>Предпосылки!BW563 * (Flag_Historical+Flag_Construction)</f>
        <v>0</v>
      </c>
      <c r="BX1129" s="10">
        <f>Предпосылки!BX563 * (Flag_Historical+Flag_Construction)</f>
        <v>0</v>
      </c>
      <c r="BY1129" s="10">
        <f>Предпосылки!BY563 * (Flag_Historical+Flag_Construction)</f>
        <v>0</v>
      </c>
      <c r="BZ1129" s="10">
        <f>Предпосылки!BZ563 * (Flag_Historical+Flag_Construction)</f>
        <v>0</v>
      </c>
      <c r="CA1129" s="10">
        <f>Предпосылки!CA563 * (Flag_Historical+Flag_Construction)</f>
        <v>0</v>
      </c>
      <c r="CB1129" s="10">
        <f>Предпосылки!CB563 * (Flag_Historical+Flag_Construction)</f>
        <v>0</v>
      </c>
      <c r="CC1129" s="10">
        <f>Предпосылки!CC563 * (Flag_Historical+Flag_Construction)</f>
        <v>0</v>
      </c>
      <c r="CD1129" s="10">
        <f>Предпосылки!CD563 * (Flag_Historical+Flag_Construction)</f>
        <v>0</v>
      </c>
      <c r="CE1129" s="10">
        <f>Предпосылки!CE563 * (Flag_Historical+Flag_Construction)</f>
        <v>0</v>
      </c>
      <c r="CF1129" s="10">
        <f>Предпосылки!CF563 * (Flag_Historical+Flag_Construction)</f>
        <v>0</v>
      </c>
      <c r="CG1129" s="10">
        <f>Предпосылки!CG563 * (Flag_Historical+Flag_Construction)</f>
        <v>0</v>
      </c>
      <c r="CH1129" s="10">
        <f>Предпосылки!CH563 * (Flag_Historical+Flag_Construction)</f>
        <v>0</v>
      </c>
      <c r="CI1129" s="10">
        <f>Предпосылки!CI563 * (Flag_Historical+Flag_Construction)</f>
        <v>0</v>
      </c>
      <c r="CJ1129" s="10">
        <f>Предпосылки!CJ563 * (Flag_Historical+Flag_Construction)</f>
        <v>0</v>
      </c>
      <c r="CK1129" s="10">
        <f>Предпосылки!CK563 * (Flag_Historical+Flag_Construction)</f>
        <v>0</v>
      </c>
      <c r="CL1129" s="10">
        <f>Предпосылки!CL563 * (Flag_Historical+Flag_Construction)</f>
        <v>0</v>
      </c>
      <c r="CM1129" s="10">
        <f>Предпосылки!CM563 * (Flag_Historical+Flag_Construction)</f>
        <v>0</v>
      </c>
      <c r="CN1129" s="10">
        <f>Предпосылки!CN563 * (Flag_Historical+Flag_Construction)</f>
        <v>0</v>
      </c>
      <c r="CO1129" s="10">
        <f>Предпосылки!CO563 * (Flag_Historical+Flag_Construction)</f>
        <v>0</v>
      </c>
    </row>
    <row r="1130" spans="1:93" ht="15" thickTop="1">
      <c r="A1130" s="172"/>
      <c r="B1130" s="35"/>
      <c r="C1130" s="173" t="s">
        <v>484</v>
      </c>
      <c r="D1130" s="49"/>
      <c r="E1130" s="49"/>
      <c r="F1130" s="49"/>
      <c r="G1130" s="159" t="str">
        <f t="shared" si="7317"/>
        <v>тыс. руб.</v>
      </c>
      <c r="H1130" s="49"/>
      <c r="I1130" s="176">
        <f t="shared" ca="1" si="7318"/>
        <v>6025459.4802389424</v>
      </c>
      <c r="J1130" s="49"/>
      <c r="K1130" s="49"/>
      <c r="L1130" s="49">
        <f t="shared" ref="L1130:AQ1130" ca="1" si="7344">SUM(L1118:L1129)*(Flag_Historical+Flag_Construction)</f>
        <v>31406.153379286916</v>
      </c>
      <c r="M1130" s="49">
        <f t="shared" ca="1" si="7344"/>
        <v>31851.960190507532</v>
      </c>
      <c r="N1130" s="49">
        <f t="shared" ca="1" si="7344"/>
        <v>32304.095179220327</v>
      </c>
      <c r="O1130" s="49">
        <f t="shared" ca="1" si="7344"/>
        <v>32762.648173192309</v>
      </c>
      <c r="P1130" s="49">
        <f t="shared" ca="1" si="7344"/>
        <v>275591.46580799518</v>
      </c>
      <c r="Q1130" s="49">
        <f t="shared" ca="1" si="7344"/>
        <v>278306.9805620276</v>
      </c>
      <c r="R1130" s="49">
        <f t="shared" ca="1" si="7344"/>
        <v>281049.25238692126</v>
      </c>
      <c r="S1130" s="49">
        <f t="shared" ca="1" si="7344"/>
        <v>284557.5366734491</v>
      </c>
      <c r="T1130" s="49">
        <f t="shared" ca="1" si="7344"/>
        <v>293195.77878796187</v>
      </c>
      <c r="U1130" s="49">
        <f t="shared" ca="1" si="7344"/>
        <v>299864.08841733454</v>
      </c>
      <c r="V1130" s="49">
        <f t="shared" ca="1" si="7344"/>
        <v>306680.671823757</v>
      </c>
      <c r="W1130" s="49">
        <f t="shared" ca="1" si="7344"/>
        <v>313448.73444932338</v>
      </c>
      <c r="X1130" s="49">
        <f t="shared" ca="1" si="7344"/>
        <v>646653.2581487901</v>
      </c>
      <c r="Y1130" s="49">
        <f t="shared" ca="1" si="7344"/>
        <v>660955.27495578059</v>
      </c>
      <c r="Z1130" s="49">
        <f t="shared" ca="1" si="7344"/>
        <v>675843.90368952369</v>
      </c>
      <c r="AA1130" s="49">
        <f t="shared" ca="1" si="7344"/>
        <v>690520.69372146716</v>
      </c>
      <c r="AB1130" s="49">
        <f t="shared" ca="1" si="7344"/>
        <v>890466.98389240366</v>
      </c>
      <c r="AC1130" s="49">
        <f t="shared" ca="1" si="7344"/>
        <v>0</v>
      </c>
      <c r="AD1130" s="49">
        <f t="shared" ca="1" si="7344"/>
        <v>0</v>
      </c>
      <c r="AE1130" s="49">
        <f t="shared" ca="1" si="7344"/>
        <v>0</v>
      </c>
      <c r="AF1130" s="49">
        <f t="shared" ca="1" si="7344"/>
        <v>0</v>
      </c>
      <c r="AG1130" s="49">
        <f t="shared" ca="1" si="7344"/>
        <v>0</v>
      </c>
      <c r="AH1130" s="49">
        <f t="shared" ca="1" si="7344"/>
        <v>0</v>
      </c>
      <c r="AI1130" s="49">
        <f t="shared" ca="1" si="7344"/>
        <v>0</v>
      </c>
      <c r="AJ1130" s="49">
        <f t="shared" ca="1" si="7344"/>
        <v>0</v>
      </c>
      <c r="AK1130" s="49">
        <f t="shared" ca="1" si="7344"/>
        <v>0</v>
      </c>
      <c r="AL1130" s="49">
        <f t="shared" ca="1" si="7344"/>
        <v>0</v>
      </c>
      <c r="AM1130" s="49">
        <f t="shared" ca="1" si="7344"/>
        <v>0</v>
      </c>
      <c r="AN1130" s="49">
        <f t="shared" ca="1" si="7344"/>
        <v>0</v>
      </c>
      <c r="AO1130" s="49">
        <f t="shared" ca="1" si="7344"/>
        <v>0</v>
      </c>
      <c r="AP1130" s="49">
        <f t="shared" ca="1" si="7344"/>
        <v>0</v>
      </c>
      <c r="AQ1130" s="49">
        <f t="shared" ca="1" si="7344"/>
        <v>0</v>
      </c>
      <c r="AR1130" s="49">
        <f t="shared" ref="AR1130:BW1130" ca="1" si="7345">SUM(AR1118:AR1129)*(Flag_Historical+Flag_Construction)</f>
        <v>0</v>
      </c>
      <c r="AS1130" s="49">
        <f t="shared" ca="1" si="7345"/>
        <v>0</v>
      </c>
      <c r="AT1130" s="49">
        <f t="shared" ca="1" si="7345"/>
        <v>0</v>
      </c>
      <c r="AU1130" s="49">
        <f t="shared" ca="1" si="7345"/>
        <v>0</v>
      </c>
      <c r="AV1130" s="49">
        <f t="shared" ca="1" si="7345"/>
        <v>0</v>
      </c>
      <c r="AW1130" s="49">
        <f t="shared" ca="1" si="7345"/>
        <v>0</v>
      </c>
      <c r="AX1130" s="49">
        <f t="shared" ca="1" si="7345"/>
        <v>0</v>
      </c>
      <c r="AY1130" s="49">
        <f t="shared" ca="1" si="7345"/>
        <v>0</v>
      </c>
      <c r="AZ1130" s="49">
        <f t="shared" ca="1" si="7345"/>
        <v>0</v>
      </c>
      <c r="BA1130" s="49">
        <f t="shared" ca="1" si="7345"/>
        <v>0</v>
      </c>
      <c r="BB1130" s="49">
        <f t="shared" ca="1" si="7345"/>
        <v>0</v>
      </c>
      <c r="BC1130" s="49">
        <f t="shared" ca="1" si="7345"/>
        <v>0</v>
      </c>
      <c r="BD1130" s="49">
        <f t="shared" ca="1" si="7345"/>
        <v>0</v>
      </c>
      <c r="BE1130" s="49">
        <f t="shared" ca="1" si="7345"/>
        <v>0</v>
      </c>
      <c r="BF1130" s="49">
        <f t="shared" ca="1" si="7345"/>
        <v>0</v>
      </c>
      <c r="BG1130" s="49">
        <f t="shared" ca="1" si="7345"/>
        <v>0</v>
      </c>
      <c r="BH1130" s="49">
        <f t="shared" ca="1" si="7345"/>
        <v>0</v>
      </c>
      <c r="BI1130" s="49">
        <f t="shared" ca="1" si="7345"/>
        <v>0</v>
      </c>
      <c r="BJ1130" s="49">
        <f t="shared" ca="1" si="7345"/>
        <v>0</v>
      </c>
      <c r="BK1130" s="49">
        <f t="shared" ca="1" si="7345"/>
        <v>0</v>
      </c>
      <c r="BL1130" s="49">
        <f t="shared" ca="1" si="7345"/>
        <v>0</v>
      </c>
      <c r="BM1130" s="49">
        <f t="shared" ca="1" si="7345"/>
        <v>0</v>
      </c>
      <c r="BN1130" s="49">
        <f t="shared" ca="1" si="7345"/>
        <v>0</v>
      </c>
      <c r="BO1130" s="49">
        <f t="shared" ca="1" si="7345"/>
        <v>0</v>
      </c>
      <c r="BP1130" s="49">
        <f t="shared" ca="1" si="7345"/>
        <v>0</v>
      </c>
      <c r="BQ1130" s="49">
        <f t="shared" ca="1" si="7345"/>
        <v>0</v>
      </c>
      <c r="BR1130" s="49">
        <f t="shared" ca="1" si="7345"/>
        <v>0</v>
      </c>
      <c r="BS1130" s="49">
        <f t="shared" ca="1" si="7345"/>
        <v>0</v>
      </c>
      <c r="BT1130" s="49">
        <f t="shared" ca="1" si="7345"/>
        <v>0</v>
      </c>
      <c r="BU1130" s="49">
        <f t="shared" ca="1" si="7345"/>
        <v>0</v>
      </c>
      <c r="BV1130" s="49">
        <f t="shared" ca="1" si="7345"/>
        <v>0</v>
      </c>
      <c r="BW1130" s="49">
        <f t="shared" ca="1" si="7345"/>
        <v>0</v>
      </c>
      <c r="BX1130" s="49">
        <f t="shared" ref="BX1130:CO1130" ca="1" si="7346">SUM(BX1118:BX1129)*(Flag_Historical+Flag_Construction)</f>
        <v>0</v>
      </c>
      <c r="BY1130" s="49">
        <f t="shared" ca="1" si="7346"/>
        <v>0</v>
      </c>
      <c r="BZ1130" s="49">
        <f t="shared" ca="1" si="7346"/>
        <v>0</v>
      </c>
      <c r="CA1130" s="49">
        <f t="shared" ca="1" si="7346"/>
        <v>0</v>
      </c>
      <c r="CB1130" s="49">
        <f t="shared" ca="1" si="7346"/>
        <v>0</v>
      </c>
      <c r="CC1130" s="49">
        <f t="shared" ca="1" si="7346"/>
        <v>0</v>
      </c>
      <c r="CD1130" s="49">
        <f t="shared" ca="1" si="7346"/>
        <v>0</v>
      </c>
      <c r="CE1130" s="49">
        <f t="shared" ca="1" si="7346"/>
        <v>0</v>
      </c>
      <c r="CF1130" s="49">
        <f t="shared" ca="1" si="7346"/>
        <v>0</v>
      </c>
      <c r="CG1130" s="49">
        <f t="shared" ca="1" si="7346"/>
        <v>0</v>
      </c>
      <c r="CH1130" s="49">
        <f t="shared" ca="1" si="7346"/>
        <v>0</v>
      </c>
      <c r="CI1130" s="49">
        <f t="shared" ca="1" si="7346"/>
        <v>0</v>
      </c>
      <c r="CJ1130" s="49">
        <f t="shared" ca="1" si="7346"/>
        <v>0</v>
      </c>
      <c r="CK1130" s="49">
        <f t="shared" ca="1" si="7346"/>
        <v>0</v>
      </c>
      <c r="CL1130" s="49">
        <f t="shared" ca="1" si="7346"/>
        <v>0</v>
      </c>
      <c r="CM1130" s="49">
        <f t="shared" ca="1" si="7346"/>
        <v>0</v>
      </c>
      <c r="CN1130" s="49">
        <f t="shared" ca="1" si="7346"/>
        <v>0</v>
      </c>
      <c r="CO1130" s="49">
        <f t="shared" ca="1" si="7346"/>
        <v>0</v>
      </c>
    </row>
    <row r="1131" spans="1:93">
      <c r="A1131" s="10"/>
      <c r="B1131" s="10"/>
      <c r="C1131" s="21"/>
      <c r="D1131" s="10"/>
      <c r="E1131" s="10"/>
      <c r="F1131" s="10"/>
      <c r="G1131" s="11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  <c r="BB1131" s="10"/>
      <c r="BC1131" s="10"/>
      <c r="BD1131" s="10"/>
      <c r="BE1131" s="10"/>
      <c r="BF1131" s="10"/>
      <c r="BG1131" s="10"/>
      <c r="BH1131" s="10"/>
      <c r="BI1131" s="10"/>
      <c r="BJ1131" s="10"/>
      <c r="BK1131" s="10"/>
      <c r="BL1131" s="10"/>
      <c r="BM1131" s="10"/>
      <c r="BN1131" s="10"/>
      <c r="BO1131" s="10"/>
      <c r="BP1131" s="10"/>
      <c r="BQ1131" s="10"/>
      <c r="BR1131" s="10"/>
      <c r="BS1131" s="10"/>
      <c r="BT1131" s="10"/>
      <c r="BU1131" s="10"/>
      <c r="BV1131" s="10"/>
      <c r="BW1131" s="10"/>
      <c r="BX1131" s="10"/>
      <c r="BY1131" s="10"/>
      <c r="BZ1131" s="10"/>
      <c r="CA1131" s="10"/>
      <c r="CB1131" s="10"/>
      <c r="CC1131" s="10"/>
      <c r="CD1131" s="10"/>
      <c r="CE1131" s="10"/>
      <c r="CF1131" s="10"/>
      <c r="CG1131" s="10"/>
      <c r="CH1131" s="10"/>
      <c r="CI1131" s="10"/>
      <c r="CJ1131" s="10"/>
      <c r="CK1131" s="10"/>
      <c r="CL1131" s="10"/>
      <c r="CM1131" s="10"/>
      <c r="CN1131" s="10"/>
      <c r="CO1131" s="10"/>
    </row>
    <row r="1132" spans="1:93">
      <c r="A1132" s="10"/>
      <c r="B1132" s="10"/>
      <c r="C1132" s="21" t="s">
        <v>322</v>
      </c>
      <c r="D1132" s="10"/>
      <c r="E1132" s="10"/>
      <c r="F1132" s="10"/>
      <c r="G1132" s="134" t="str">
        <f>Monetary_Unit</f>
        <v>тыс. руб.</v>
      </c>
      <c r="H1132" s="10"/>
      <c r="I1132" s="23">
        <f ca="1">SUM(L1132:CO1132)</f>
        <v>5770079.4057358066</v>
      </c>
      <c r="J1132" s="10"/>
      <c r="K1132" s="10"/>
      <c r="L1132" s="10">
        <f ca="1">MAX(L$1130-SUM(L1121:L1122)*($E$1141="да"),0)</f>
        <v>31406.153379286916</v>
      </c>
      <c r="M1132" s="10">
        <f ca="1">MAX(M$1130-SUM(M1121:M1122)*($E$1141="да"),0)</f>
        <v>31851.960190507532</v>
      </c>
      <c r="N1132" s="10">
        <f t="shared" ref="N1132:BX1132" ca="1" si="7347">MAX(N$1130,0)-SUM(N1121:N1122)*($E$1141="да")</f>
        <v>32304.095179220327</v>
      </c>
      <c r="O1132" s="10">
        <f t="shared" ca="1" si="7347"/>
        <v>32762.648173192309</v>
      </c>
      <c r="P1132" s="10">
        <f t="shared" ca="1" si="7347"/>
        <v>275591.46580799518</v>
      </c>
      <c r="Q1132" s="10">
        <f t="shared" ca="1" si="7347"/>
        <v>278306.9805620276</v>
      </c>
      <c r="R1132" s="10">
        <f t="shared" ca="1" si="7347"/>
        <v>281049.25238692126</v>
      </c>
      <c r="S1132" s="10">
        <f t="shared" ca="1" si="7347"/>
        <v>283818.54493097332</v>
      </c>
      <c r="T1132" s="10">
        <f t="shared" ca="1" si="7347"/>
        <v>286615.12444031495</v>
      </c>
      <c r="U1132" s="10">
        <f t="shared" ca="1" si="7347"/>
        <v>289439.25978450867</v>
      </c>
      <c r="V1132" s="10">
        <f t="shared" ca="1" si="7347"/>
        <v>292291.22248239798</v>
      </c>
      <c r="W1132" s="10">
        <f t="shared" ca="1" si="7347"/>
        <v>295171.2867282122</v>
      </c>
      <c r="X1132" s="10">
        <f t="shared" ca="1" si="7347"/>
        <v>622512.40131001174</v>
      </c>
      <c r="Y1132" s="10">
        <f t="shared" ca="1" si="7347"/>
        <v>628646.26908189419</v>
      </c>
      <c r="Z1132" s="10">
        <f t="shared" ca="1" si="7347"/>
        <v>634840.57634665037</v>
      </c>
      <c r="AA1132" s="10">
        <f t="shared" ca="1" si="7347"/>
        <v>641095.91863917548</v>
      </c>
      <c r="AB1132" s="10">
        <f t="shared" ca="1" si="7347"/>
        <v>832376.24631251558</v>
      </c>
      <c r="AC1132" s="10">
        <f t="shared" ca="1" si="7347"/>
        <v>0</v>
      </c>
      <c r="AD1132" s="10">
        <f t="shared" ca="1" si="7347"/>
        <v>0</v>
      </c>
      <c r="AE1132" s="10">
        <f t="shared" ca="1" si="7347"/>
        <v>0</v>
      </c>
      <c r="AF1132" s="10">
        <f t="shared" ca="1" si="7347"/>
        <v>0</v>
      </c>
      <c r="AG1132" s="10">
        <f t="shared" ca="1" si="7347"/>
        <v>0</v>
      </c>
      <c r="AH1132" s="10">
        <f t="shared" ca="1" si="7347"/>
        <v>0</v>
      </c>
      <c r="AI1132" s="10">
        <f t="shared" ca="1" si="7347"/>
        <v>0</v>
      </c>
      <c r="AJ1132" s="10">
        <f t="shared" ca="1" si="7347"/>
        <v>0</v>
      </c>
      <c r="AK1132" s="10">
        <f t="shared" ca="1" si="7347"/>
        <v>0</v>
      </c>
      <c r="AL1132" s="10">
        <f t="shared" ca="1" si="7347"/>
        <v>0</v>
      </c>
      <c r="AM1132" s="10">
        <f t="shared" ca="1" si="7347"/>
        <v>0</v>
      </c>
      <c r="AN1132" s="10">
        <f t="shared" ca="1" si="7347"/>
        <v>0</v>
      </c>
      <c r="AO1132" s="10">
        <f t="shared" ca="1" si="7347"/>
        <v>0</v>
      </c>
      <c r="AP1132" s="10">
        <f t="shared" ca="1" si="7347"/>
        <v>0</v>
      </c>
      <c r="AQ1132" s="10">
        <f t="shared" ca="1" si="7347"/>
        <v>0</v>
      </c>
      <c r="AR1132" s="10">
        <f t="shared" ca="1" si="7347"/>
        <v>0</v>
      </c>
      <c r="AS1132" s="10">
        <f t="shared" ca="1" si="7347"/>
        <v>0</v>
      </c>
      <c r="AT1132" s="10">
        <f t="shared" ca="1" si="7347"/>
        <v>0</v>
      </c>
      <c r="AU1132" s="10">
        <f t="shared" ca="1" si="7347"/>
        <v>0</v>
      </c>
      <c r="AV1132" s="10">
        <f t="shared" ca="1" si="7347"/>
        <v>0</v>
      </c>
      <c r="AW1132" s="10">
        <f t="shared" ca="1" si="7347"/>
        <v>0</v>
      </c>
      <c r="AX1132" s="10">
        <f t="shared" ca="1" si="7347"/>
        <v>0</v>
      </c>
      <c r="AY1132" s="10">
        <f t="shared" ca="1" si="7347"/>
        <v>0</v>
      </c>
      <c r="AZ1132" s="10">
        <f t="shared" ca="1" si="7347"/>
        <v>0</v>
      </c>
      <c r="BA1132" s="10">
        <f t="shared" ca="1" si="7347"/>
        <v>0</v>
      </c>
      <c r="BB1132" s="10">
        <f t="shared" ca="1" si="7347"/>
        <v>0</v>
      </c>
      <c r="BC1132" s="10">
        <f t="shared" ca="1" si="7347"/>
        <v>0</v>
      </c>
      <c r="BD1132" s="10">
        <f t="shared" ca="1" si="7347"/>
        <v>0</v>
      </c>
      <c r="BE1132" s="10">
        <f t="shared" ca="1" si="7347"/>
        <v>0</v>
      </c>
      <c r="BF1132" s="10">
        <f t="shared" ca="1" si="7347"/>
        <v>0</v>
      </c>
      <c r="BG1132" s="10">
        <f t="shared" ca="1" si="7347"/>
        <v>0</v>
      </c>
      <c r="BH1132" s="10">
        <f t="shared" ca="1" si="7347"/>
        <v>0</v>
      </c>
      <c r="BI1132" s="10">
        <f t="shared" ca="1" si="7347"/>
        <v>0</v>
      </c>
      <c r="BJ1132" s="10">
        <f t="shared" ca="1" si="7347"/>
        <v>0</v>
      </c>
      <c r="BK1132" s="10">
        <f t="shared" ca="1" si="7347"/>
        <v>0</v>
      </c>
      <c r="BL1132" s="10">
        <f t="shared" ca="1" si="7347"/>
        <v>0</v>
      </c>
      <c r="BM1132" s="10">
        <f t="shared" ca="1" si="7347"/>
        <v>0</v>
      </c>
      <c r="BN1132" s="10">
        <f t="shared" ca="1" si="7347"/>
        <v>0</v>
      </c>
      <c r="BO1132" s="10">
        <f t="shared" ca="1" si="7347"/>
        <v>0</v>
      </c>
      <c r="BP1132" s="10">
        <f t="shared" ca="1" si="7347"/>
        <v>0</v>
      </c>
      <c r="BQ1132" s="10">
        <f t="shared" ca="1" si="7347"/>
        <v>0</v>
      </c>
      <c r="BR1132" s="10">
        <f t="shared" ca="1" si="7347"/>
        <v>0</v>
      </c>
      <c r="BS1132" s="10">
        <f t="shared" ca="1" si="7347"/>
        <v>0</v>
      </c>
      <c r="BT1132" s="10">
        <f t="shared" ca="1" si="7347"/>
        <v>0</v>
      </c>
      <c r="BU1132" s="10">
        <f t="shared" ca="1" si="7347"/>
        <v>0</v>
      </c>
      <c r="BV1132" s="10">
        <f t="shared" ca="1" si="7347"/>
        <v>0</v>
      </c>
      <c r="BW1132" s="10">
        <f t="shared" ca="1" si="7347"/>
        <v>0</v>
      </c>
      <c r="BX1132" s="10">
        <f t="shared" ca="1" si="7347"/>
        <v>0</v>
      </c>
      <c r="BY1132" s="10">
        <f t="shared" ref="BY1132:CO1132" ca="1" si="7348">MAX(BY$1130,0)-SUM(BY1121:BY1122)*($E$1141="да")</f>
        <v>0</v>
      </c>
      <c r="BZ1132" s="10">
        <f t="shared" ca="1" si="7348"/>
        <v>0</v>
      </c>
      <c r="CA1132" s="10">
        <f t="shared" ca="1" si="7348"/>
        <v>0</v>
      </c>
      <c r="CB1132" s="10">
        <f t="shared" ca="1" si="7348"/>
        <v>0</v>
      </c>
      <c r="CC1132" s="10">
        <f t="shared" ca="1" si="7348"/>
        <v>0</v>
      </c>
      <c r="CD1132" s="10">
        <f t="shared" ca="1" si="7348"/>
        <v>0</v>
      </c>
      <c r="CE1132" s="10">
        <f t="shared" ca="1" si="7348"/>
        <v>0</v>
      </c>
      <c r="CF1132" s="10">
        <f t="shared" ca="1" si="7348"/>
        <v>0</v>
      </c>
      <c r="CG1132" s="10">
        <f t="shared" ca="1" si="7348"/>
        <v>0</v>
      </c>
      <c r="CH1132" s="10">
        <f t="shared" ca="1" si="7348"/>
        <v>0</v>
      </c>
      <c r="CI1132" s="10">
        <f t="shared" ca="1" si="7348"/>
        <v>0</v>
      </c>
      <c r="CJ1132" s="10">
        <f t="shared" ca="1" si="7348"/>
        <v>0</v>
      </c>
      <c r="CK1132" s="10">
        <f t="shared" ca="1" si="7348"/>
        <v>0</v>
      </c>
      <c r="CL1132" s="10">
        <f t="shared" ca="1" si="7348"/>
        <v>0</v>
      </c>
      <c r="CM1132" s="10">
        <f t="shared" ca="1" si="7348"/>
        <v>0</v>
      </c>
      <c r="CN1132" s="10">
        <f t="shared" ca="1" si="7348"/>
        <v>0</v>
      </c>
      <c r="CO1132" s="10">
        <f t="shared" ca="1" si="7348"/>
        <v>0</v>
      </c>
    </row>
    <row r="1133" spans="1:93">
      <c r="A1133" s="10"/>
      <c r="B1133" s="10"/>
      <c r="C1133" s="21" t="s">
        <v>499</v>
      </c>
      <c r="D1133" s="10"/>
      <c r="E1133" s="10"/>
      <c r="F1133" s="10"/>
      <c r="G1133" s="134" t="str">
        <f>Monetary_Unit</f>
        <v>тыс. руб.</v>
      </c>
      <c r="H1133" s="10"/>
      <c r="I1133" s="23">
        <f>SUM(L1133:CO1133)</f>
        <v>5770079.4057358066</v>
      </c>
      <c r="J1133" s="11"/>
      <c r="K1133" s="11"/>
      <c r="L1133" s="64">
        <v>31406.153379286916</v>
      </c>
      <c r="M1133" s="64">
        <v>31851.960190507532</v>
      </c>
      <c r="N1133" s="64">
        <v>32304.095179220327</v>
      </c>
      <c r="O1133" s="64">
        <v>32762.648173192309</v>
      </c>
      <c r="P1133" s="64">
        <v>275591.46580799518</v>
      </c>
      <c r="Q1133" s="64">
        <v>278306.9805620276</v>
      </c>
      <c r="R1133" s="64">
        <v>281049.25238692126</v>
      </c>
      <c r="S1133" s="64">
        <v>283818.54493097332</v>
      </c>
      <c r="T1133" s="64">
        <v>286615.12444031495</v>
      </c>
      <c r="U1133" s="64">
        <v>289439.25978450867</v>
      </c>
      <c r="V1133" s="64">
        <v>292291.22248239798</v>
      </c>
      <c r="W1133" s="64">
        <v>295171.2867282122</v>
      </c>
      <c r="X1133" s="64">
        <v>622512.40131001174</v>
      </c>
      <c r="Y1133" s="64">
        <v>628646.26908189419</v>
      </c>
      <c r="Z1133" s="64">
        <v>634840.57634665037</v>
      </c>
      <c r="AA1133" s="64">
        <v>641095.91863917548</v>
      </c>
      <c r="AB1133" s="64">
        <v>832376.24631251558</v>
      </c>
      <c r="AC1133" s="64">
        <v>0</v>
      </c>
      <c r="AD1133" s="64">
        <v>0</v>
      </c>
      <c r="AE1133" s="64">
        <v>0</v>
      </c>
      <c r="AF1133" s="64">
        <v>0</v>
      </c>
      <c r="AG1133" s="64">
        <v>0</v>
      </c>
      <c r="AH1133" s="64">
        <v>0</v>
      </c>
      <c r="AI1133" s="64">
        <v>0</v>
      </c>
      <c r="AJ1133" s="64">
        <v>0</v>
      </c>
      <c r="AK1133" s="64">
        <v>0</v>
      </c>
      <c r="AL1133" s="64">
        <v>0</v>
      </c>
      <c r="AM1133" s="64">
        <v>0</v>
      </c>
      <c r="AN1133" s="64">
        <v>0</v>
      </c>
      <c r="AO1133" s="64">
        <v>0</v>
      </c>
      <c r="AP1133" s="64">
        <v>0</v>
      </c>
      <c r="AQ1133" s="64">
        <v>0</v>
      </c>
      <c r="AR1133" s="64">
        <v>0</v>
      </c>
      <c r="AS1133" s="64">
        <v>0</v>
      </c>
      <c r="AT1133" s="64">
        <v>0</v>
      </c>
      <c r="AU1133" s="64">
        <v>0</v>
      </c>
      <c r="AV1133" s="64">
        <v>0</v>
      </c>
      <c r="AW1133" s="64">
        <v>0</v>
      </c>
      <c r="AX1133" s="64">
        <v>0</v>
      </c>
      <c r="AY1133" s="64">
        <v>0</v>
      </c>
      <c r="AZ1133" s="64">
        <v>0</v>
      </c>
      <c r="BA1133" s="64">
        <v>0</v>
      </c>
      <c r="BB1133" s="64">
        <v>0</v>
      </c>
      <c r="BC1133" s="64">
        <v>0</v>
      </c>
      <c r="BD1133" s="64">
        <v>0</v>
      </c>
      <c r="BE1133" s="64">
        <v>0</v>
      </c>
      <c r="BF1133" s="64">
        <v>0</v>
      </c>
      <c r="BG1133" s="64">
        <v>0</v>
      </c>
      <c r="BH1133" s="64">
        <v>0</v>
      </c>
      <c r="BI1133" s="64">
        <v>0</v>
      </c>
      <c r="BJ1133" s="64">
        <v>0</v>
      </c>
      <c r="BK1133" s="64">
        <v>0</v>
      </c>
      <c r="BL1133" s="64">
        <v>0</v>
      </c>
      <c r="BM1133" s="64">
        <v>0</v>
      </c>
      <c r="BN1133" s="64">
        <v>0</v>
      </c>
      <c r="BO1133" s="64">
        <v>0</v>
      </c>
      <c r="BP1133" s="64">
        <v>0</v>
      </c>
      <c r="BQ1133" s="64">
        <v>0</v>
      </c>
      <c r="BR1133" s="64">
        <v>0</v>
      </c>
      <c r="BS1133" s="64">
        <v>0</v>
      </c>
      <c r="BT1133" s="64">
        <v>0</v>
      </c>
      <c r="BU1133" s="64">
        <v>0</v>
      </c>
      <c r="BV1133" s="64">
        <v>0</v>
      </c>
      <c r="BW1133" s="64">
        <v>0</v>
      </c>
      <c r="BX1133" s="64">
        <v>0</v>
      </c>
      <c r="BY1133" s="64">
        <v>0</v>
      </c>
      <c r="BZ1133" s="64">
        <v>0</v>
      </c>
      <c r="CA1133" s="64">
        <v>0</v>
      </c>
      <c r="CB1133" s="64">
        <v>0</v>
      </c>
      <c r="CC1133" s="64">
        <v>0</v>
      </c>
      <c r="CD1133" s="64">
        <v>0</v>
      </c>
      <c r="CE1133" s="64">
        <v>0</v>
      </c>
      <c r="CF1133" s="64">
        <v>0</v>
      </c>
      <c r="CG1133" s="64">
        <v>0</v>
      </c>
      <c r="CH1133" s="64">
        <v>0</v>
      </c>
      <c r="CI1133" s="64">
        <v>0</v>
      </c>
      <c r="CJ1133" s="64">
        <v>0</v>
      </c>
      <c r="CK1133" s="64">
        <v>0</v>
      </c>
      <c r="CL1133" s="64">
        <v>0</v>
      </c>
      <c r="CM1133" s="64">
        <v>0</v>
      </c>
      <c r="CN1133" s="64">
        <v>0</v>
      </c>
      <c r="CO1133" s="64">
        <v>0</v>
      </c>
    </row>
    <row r="1134" spans="1:93">
      <c r="A1134" s="10"/>
      <c r="B1134" s="10"/>
      <c r="C1134" s="10"/>
      <c r="D1134" s="10"/>
      <c r="E1134" s="10"/>
      <c r="F1134" s="10"/>
      <c r="G1134" s="11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  <c r="BB1134" s="10"/>
      <c r="BC1134" s="10"/>
      <c r="BD1134" s="10"/>
      <c r="BE1134" s="10"/>
      <c r="BF1134" s="10"/>
      <c r="BG1134" s="10"/>
      <c r="BH1134" s="10"/>
      <c r="BI1134" s="10"/>
      <c r="BJ1134" s="10"/>
      <c r="BK1134" s="10"/>
      <c r="BL1134" s="10"/>
      <c r="BM1134" s="10"/>
      <c r="BN1134" s="10"/>
      <c r="BO1134" s="10"/>
      <c r="BP1134" s="10"/>
      <c r="BQ1134" s="10"/>
      <c r="BR1134" s="10"/>
      <c r="BS1134" s="10"/>
      <c r="BT1134" s="10"/>
      <c r="BU1134" s="10"/>
      <c r="BV1134" s="10"/>
      <c r="BW1134" s="10"/>
      <c r="BX1134" s="10"/>
      <c r="BY1134" s="10"/>
      <c r="BZ1134" s="10"/>
      <c r="CA1134" s="10"/>
      <c r="CB1134" s="10"/>
      <c r="CC1134" s="10"/>
      <c r="CD1134" s="10"/>
      <c r="CE1134" s="10"/>
      <c r="CF1134" s="10"/>
      <c r="CG1134" s="10"/>
      <c r="CH1134" s="10"/>
      <c r="CI1134" s="10"/>
      <c r="CJ1134" s="10"/>
      <c r="CK1134" s="10"/>
      <c r="CL1134" s="10"/>
      <c r="CM1134" s="10"/>
      <c r="CN1134" s="10"/>
      <c r="CO1134" s="10"/>
    </row>
    <row r="1135" spans="1:93">
      <c r="A1135" s="10"/>
      <c r="B1135" s="10"/>
      <c r="C1135" s="54" t="s">
        <v>266</v>
      </c>
      <c r="D1135" s="46"/>
      <c r="E1135" s="61">
        <f ca="1">IF(SUM(Funding_Requirement_Check_Arr)&gt;Very_Small_Number,SUM(Funding_Requirement_Check_Arr),0)</f>
        <v>0</v>
      </c>
      <c r="G1135" s="89"/>
      <c r="H1135" s="46"/>
      <c r="I1135" s="46"/>
      <c r="J1135" s="46"/>
      <c r="K1135" s="46"/>
      <c r="L1135" s="61">
        <f t="shared" ref="L1135:R1135" ca="1" si="7349">ABS(L1132-L1133)</f>
        <v>0</v>
      </c>
      <c r="M1135" s="61">
        <f t="shared" ca="1" si="7349"/>
        <v>0</v>
      </c>
      <c r="N1135" s="61">
        <f t="shared" ca="1" si="7349"/>
        <v>0</v>
      </c>
      <c r="O1135" s="61">
        <f t="shared" ca="1" si="7349"/>
        <v>0</v>
      </c>
      <c r="P1135" s="61">
        <f t="shared" ca="1" si="7349"/>
        <v>0</v>
      </c>
      <c r="Q1135" s="61">
        <f t="shared" ca="1" si="7349"/>
        <v>0</v>
      </c>
      <c r="R1135" s="61">
        <f t="shared" ca="1" si="7349"/>
        <v>0</v>
      </c>
      <c r="S1135" s="61">
        <f t="shared" ref="S1135" ca="1" si="7350">ABS(S1132-S1133)</f>
        <v>0</v>
      </c>
      <c r="T1135" s="61">
        <f t="shared" ref="T1135:CE1135" ca="1" si="7351">ABS(T1132-T1133)</f>
        <v>0</v>
      </c>
      <c r="U1135" s="61">
        <f t="shared" ca="1" si="7351"/>
        <v>0</v>
      </c>
      <c r="V1135" s="61">
        <f t="shared" ca="1" si="7351"/>
        <v>0</v>
      </c>
      <c r="W1135" s="61">
        <f t="shared" ca="1" si="7351"/>
        <v>0</v>
      </c>
      <c r="X1135" s="61">
        <f t="shared" ca="1" si="7351"/>
        <v>0</v>
      </c>
      <c r="Y1135" s="61">
        <f t="shared" ca="1" si="7351"/>
        <v>0</v>
      </c>
      <c r="Z1135" s="61">
        <f t="shared" ca="1" si="7351"/>
        <v>0</v>
      </c>
      <c r="AA1135" s="61">
        <f t="shared" ca="1" si="7351"/>
        <v>0</v>
      </c>
      <c r="AB1135" s="61">
        <f t="shared" ca="1" si="7351"/>
        <v>0</v>
      </c>
      <c r="AC1135" s="61">
        <f t="shared" ca="1" si="7351"/>
        <v>0</v>
      </c>
      <c r="AD1135" s="61">
        <f t="shared" ca="1" si="7351"/>
        <v>0</v>
      </c>
      <c r="AE1135" s="61">
        <f t="shared" ca="1" si="7351"/>
        <v>0</v>
      </c>
      <c r="AF1135" s="61">
        <f t="shared" ca="1" si="7351"/>
        <v>0</v>
      </c>
      <c r="AG1135" s="61">
        <f t="shared" ca="1" si="7351"/>
        <v>0</v>
      </c>
      <c r="AH1135" s="61">
        <f t="shared" ca="1" si="7351"/>
        <v>0</v>
      </c>
      <c r="AI1135" s="61">
        <f t="shared" ca="1" si="7351"/>
        <v>0</v>
      </c>
      <c r="AJ1135" s="61">
        <f t="shared" ca="1" si="7351"/>
        <v>0</v>
      </c>
      <c r="AK1135" s="61">
        <f t="shared" ca="1" si="7351"/>
        <v>0</v>
      </c>
      <c r="AL1135" s="61">
        <f t="shared" ca="1" si="7351"/>
        <v>0</v>
      </c>
      <c r="AM1135" s="61">
        <f t="shared" ca="1" si="7351"/>
        <v>0</v>
      </c>
      <c r="AN1135" s="61">
        <f t="shared" ca="1" si="7351"/>
        <v>0</v>
      </c>
      <c r="AO1135" s="61">
        <f t="shared" ca="1" si="7351"/>
        <v>0</v>
      </c>
      <c r="AP1135" s="61">
        <f t="shared" ca="1" si="7351"/>
        <v>0</v>
      </c>
      <c r="AQ1135" s="61">
        <f t="shared" ca="1" si="7351"/>
        <v>0</v>
      </c>
      <c r="AR1135" s="61">
        <f t="shared" ca="1" si="7351"/>
        <v>0</v>
      </c>
      <c r="AS1135" s="61">
        <f t="shared" ca="1" si="7351"/>
        <v>0</v>
      </c>
      <c r="AT1135" s="61">
        <f t="shared" ca="1" si="7351"/>
        <v>0</v>
      </c>
      <c r="AU1135" s="61">
        <f t="shared" ca="1" si="7351"/>
        <v>0</v>
      </c>
      <c r="AV1135" s="61">
        <f t="shared" ca="1" si="7351"/>
        <v>0</v>
      </c>
      <c r="AW1135" s="61">
        <f t="shared" ca="1" si="7351"/>
        <v>0</v>
      </c>
      <c r="AX1135" s="61">
        <f t="shared" ca="1" si="7351"/>
        <v>0</v>
      </c>
      <c r="AY1135" s="61">
        <f t="shared" ca="1" si="7351"/>
        <v>0</v>
      </c>
      <c r="AZ1135" s="61">
        <f t="shared" ca="1" si="7351"/>
        <v>0</v>
      </c>
      <c r="BA1135" s="61">
        <f t="shared" ca="1" si="7351"/>
        <v>0</v>
      </c>
      <c r="BB1135" s="61">
        <f t="shared" ca="1" si="7351"/>
        <v>0</v>
      </c>
      <c r="BC1135" s="61">
        <f t="shared" ca="1" si="7351"/>
        <v>0</v>
      </c>
      <c r="BD1135" s="61">
        <f t="shared" ca="1" si="7351"/>
        <v>0</v>
      </c>
      <c r="BE1135" s="61">
        <f t="shared" ca="1" si="7351"/>
        <v>0</v>
      </c>
      <c r="BF1135" s="61">
        <f t="shared" ca="1" si="7351"/>
        <v>0</v>
      </c>
      <c r="BG1135" s="61">
        <f t="shared" ca="1" si="7351"/>
        <v>0</v>
      </c>
      <c r="BH1135" s="61">
        <f t="shared" ca="1" si="7351"/>
        <v>0</v>
      </c>
      <c r="BI1135" s="61">
        <f t="shared" ca="1" si="7351"/>
        <v>0</v>
      </c>
      <c r="BJ1135" s="61">
        <f t="shared" ca="1" si="7351"/>
        <v>0</v>
      </c>
      <c r="BK1135" s="61">
        <f t="shared" ca="1" si="7351"/>
        <v>0</v>
      </c>
      <c r="BL1135" s="61">
        <f t="shared" ca="1" si="7351"/>
        <v>0</v>
      </c>
      <c r="BM1135" s="61">
        <f t="shared" ca="1" si="7351"/>
        <v>0</v>
      </c>
      <c r="BN1135" s="61">
        <f t="shared" ca="1" si="7351"/>
        <v>0</v>
      </c>
      <c r="BO1135" s="61">
        <f t="shared" ca="1" si="7351"/>
        <v>0</v>
      </c>
      <c r="BP1135" s="61">
        <f t="shared" ca="1" si="7351"/>
        <v>0</v>
      </c>
      <c r="BQ1135" s="61">
        <f t="shared" ca="1" si="7351"/>
        <v>0</v>
      </c>
      <c r="BR1135" s="61">
        <f t="shared" ca="1" si="7351"/>
        <v>0</v>
      </c>
      <c r="BS1135" s="61">
        <f t="shared" ca="1" si="7351"/>
        <v>0</v>
      </c>
      <c r="BT1135" s="61">
        <f t="shared" ca="1" si="7351"/>
        <v>0</v>
      </c>
      <c r="BU1135" s="61">
        <f t="shared" ca="1" si="7351"/>
        <v>0</v>
      </c>
      <c r="BV1135" s="61">
        <f t="shared" ca="1" si="7351"/>
        <v>0</v>
      </c>
      <c r="BW1135" s="61">
        <f t="shared" ca="1" si="7351"/>
        <v>0</v>
      </c>
      <c r="BX1135" s="61">
        <f t="shared" ca="1" si="7351"/>
        <v>0</v>
      </c>
      <c r="BY1135" s="61">
        <f t="shared" ca="1" si="7351"/>
        <v>0</v>
      </c>
      <c r="BZ1135" s="61">
        <f t="shared" ca="1" si="7351"/>
        <v>0</v>
      </c>
      <c r="CA1135" s="61">
        <f t="shared" ca="1" si="7351"/>
        <v>0</v>
      </c>
      <c r="CB1135" s="61">
        <f t="shared" ca="1" si="7351"/>
        <v>0</v>
      </c>
      <c r="CC1135" s="61">
        <f t="shared" ca="1" si="7351"/>
        <v>0</v>
      </c>
      <c r="CD1135" s="61">
        <f t="shared" ca="1" si="7351"/>
        <v>0</v>
      </c>
      <c r="CE1135" s="61">
        <f t="shared" ca="1" si="7351"/>
        <v>0</v>
      </c>
      <c r="CF1135" s="61">
        <f t="shared" ref="CF1135:CO1135" ca="1" si="7352">ABS(CF1132-CF1133)</f>
        <v>0</v>
      </c>
      <c r="CG1135" s="61">
        <f t="shared" ca="1" si="7352"/>
        <v>0</v>
      </c>
      <c r="CH1135" s="61">
        <f t="shared" ca="1" si="7352"/>
        <v>0</v>
      </c>
      <c r="CI1135" s="61">
        <f t="shared" ca="1" si="7352"/>
        <v>0</v>
      </c>
      <c r="CJ1135" s="61">
        <f t="shared" ca="1" si="7352"/>
        <v>0</v>
      </c>
      <c r="CK1135" s="61">
        <f t="shared" ca="1" si="7352"/>
        <v>0</v>
      </c>
      <c r="CL1135" s="61">
        <f t="shared" ca="1" si="7352"/>
        <v>0</v>
      </c>
      <c r="CM1135" s="61">
        <f t="shared" ca="1" si="7352"/>
        <v>0</v>
      </c>
      <c r="CN1135" s="61">
        <f t="shared" ca="1" si="7352"/>
        <v>0</v>
      </c>
      <c r="CO1135" s="61">
        <f t="shared" ca="1" si="7352"/>
        <v>0</v>
      </c>
    </row>
    <row r="1136" spans="1:93">
      <c r="A1136" s="10"/>
      <c r="B1136" s="10"/>
      <c r="C1136" s="10"/>
      <c r="D1136" s="10"/>
      <c r="E1136" s="10"/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  <c r="BM1136" s="11"/>
      <c r="BN1136" s="11"/>
      <c r="BO1136" s="11"/>
      <c r="BP1136" s="11"/>
      <c r="BQ1136" s="11"/>
      <c r="BR1136" s="11"/>
      <c r="BS1136" s="11"/>
      <c r="BT1136" s="11"/>
      <c r="BU1136" s="11"/>
      <c r="BV1136" s="11"/>
      <c r="BW1136" s="11"/>
      <c r="BX1136" s="11"/>
      <c r="BY1136" s="11"/>
      <c r="BZ1136" s="11"/>
      <c r="CA1136" s="11"/>
      <c r="CB1136" s="11"/>
      <c r="CC1136" s="11"/>
      <c r="CD1136" s="11"/>
      <c r="CE1136" s="11"/>
      <c r="CF1136" s="11"/>
      <c r="CG1136" s="11"/>
      <c r="CH1136" s="11"/>
      <c r="CI1136" s="11"/>
      <c r="CJ1136" s="11"/>
      <c r="CK1136" s="11"/>
      <c r="CL1136" s="11"/>
      <c r="CM1136" s="11"/>
      <c r="CN1136" s="11"/>
      <c r="CO1136" s="11"/>
    </row>
    <row r="1137" spans="1:94">
      <c r="A1137" s="10"/>
      <c r="B1137" s="10"/>
      <c r="C1137" s="67" t="s">
        <v>522</v>
      </c>
      <c r="D1137" s="10"/>
      <c r="E1137" s="10"/>
      <c r="F1137" s="10"/>
      <c r="G1137" s="11"/>
      <c r="H1137" s="10"/>
      <c r="I1137" s="157"/>
      <c r="J1137" s="10"/>
      <c r="K1137" s="10"/>
      <c r="L1137" s="460"/>
      <c r="M1137" s="460"/>
      <c r="N1137" s="460"/>
      <c r="O1137" s="460"/>
      <c r="P1137" s="460"/>
      <c r="Q1137" s="460"/>
      <c r="R1137" s="460"/>
      <c r="S1137" s="460"/>
      <c r="T1137" s="460"/>
      <c r="U1137" s="460"/>
      <c r="V1137" s="460"/>
      <c r="W1137" s="460"/>
      <c r="X1137" s="460"/>
      <c r="Y1137" s="460"/>
      <c r="Z1137" s="460"/>
      <c r="AA1137" s="460"/>
      <c r="AB1137" s="460"/>
      <c r="AC1137" s="460"/>
      <c r="AD1137" s="460"/>
      <c r="AE1137" s="460"/>
      <c r="AF1137" s="460"/>
      <c r="AG1137" s="460"/>
      <c r="AH1137" s="460"/>
      <c r="AI1137" s="460"/>
      <c r="AJ1137" s="460"/>
      <c r="AK1137" s="460"/>
      <c r="AL1137" s="460"/>
      <c r="AM1137" s="460"/>
      <c r="AN1137" s="460"/>
      <c r="AO1137" s="460"/>
      <c r="AP1137" s="460"/>
      <c r="AQ1137" s="460"/>
      <c r="AR1137" s="460"/>
      <c r="AS1137" s="460"/>
      <c r="AT1137" s="460"/>
      <c r="AU1137" s="460"/>
      <c r="AV1137" s="460"/>
      <c r="AW1137" s="460"/>
      <c r="AX1137" s="460"/>
      <c r="AY1137" s="460"/>
      <c r="AZ1137" s="460"/>
      <c r="BA1137" s="460"/>
      <c r="BB1137" s="460"/>
      <c r="BC1137" s="460"/>
      <c r="BD1137" s="460"/>
      <c r="BE1137" s="460"/>
      <c r="BF1137" s="460"/>
      <c r="BG1137" s="460"/>
      <c r="BH1137" s="460"/>
      <c r="BI1137" s="460"/>
      <c r="BJ1137" s="460"/>
      <c r="BK1137" s="460"/>
      <c r="BL1137" s="460"/>
      <c r="BM1137" s="460"/>
      <c r="BN1137" s="460"/>
      <c r="BO1137" s="460"/>
      <c r="BP1137" s="460"/>
      <c r="BQ1137" s="460"/>
      <c r="BR1137" s="460"/>
      <c r="BS1137" s="460"/>
      <c r="BT1137" s="460"/>
      <c r="BU1137" s="460"/>
      <c r="BV1137" s="460"/>
      <c r="BW1137" s="460"/>
      <c r="BX1137" s="460"/>
      <c r="BY1137" s="460"/>
      <c r="BZ1137" s="460"/>
      <c r="CA1137" s="460"/>
      <c r="CB1137" s="460"/>
      <c r="CC1137" s="460"/>
      <c r="CD1137" s="460"/>
      <c r="CE1137" s="460"/>
      <c r="CF1137" s="460"/>
      <c r="CG1137" s="460"/>
      <c r="CH1137" s="460"/>
      <c r="CI1137" s="460"/>
      <c r="CJ1137" s="460"/>
      <c r="CK1137" s="460"/>
      <c r="CL1137" s="460"/>
      <c r="CM1137" s="460"/>
      <c r="CN1137" s="460"/>
      <c r="CO1137" s="460"/>
      <c r="CP1137" s="460"/>
    </row>
    <row r="1138" spans="1:94">
      <c r="A1138" s="10"/>
      <c r="B1138" s="10"/>
      <c r="C1138" s="17" t="s">
        <v>344</v>
      </c>
      <c r="D1138" s="10"/>
      <c r="E1138" s="10"/>
      <c r="F1138" s="10"/>
      <c r="G1138" s="134" t="str">
        <f t="shared" ref="G1138:G1139" si="7353">Monetary_Unit</f>
        <v>тыс. руб.</v>
      </c>
      <c r="H1138" s="10"/>
      <c r="I1138" s="23">
        <f>SUM(L1138:CO1138)</f>
        <v>1154015.8811471611</v>
      </c>
      <c r="J1138" s="10"/>
      <c r="K1138" s="10"/>
      <c r="L1138" s="452">
        <f>IF($E$1142="да",IF($I$1133*(1-$E$1140)&gt;SUM($K1138:K1138),MIN(L1133,$I$1133*(1-$E$1140)-SUM($K1138:K1138)),0),L1133-L1139)</f>
        <v>31406.153379286916</v>
      </c>
      <c r="M1138" s="452">
        <f>IF($E$1142="да",IF($I$1133*(1-$E$1140)&gt;SUM($K1138:L1138),MIN(M1133,$I$1133*(1-$E$1140)-SUM($K1138:L1138)),0),M1133-M1139)</f>
        <v>31851.960190507532</v>
      </c>
      <c r="N1138" s="452">
        <f>IF($E$1142="да",IF($I$1133*(1-$E$1140)&gt;SUM($K1138:M1138),MIN(N1133,$I$1133*(1-$E$1140)-SUM($K1138:M1138)),0),N1133-N1139)</f>
        <v>32304.095179220327</v>
      </c>
      <c r="O1138" s="452">
        <f>IF($E$1142="да",IF($I$1133*(1-$E$1140)&gt;SUM($K1138:N1138),MIN(O1133,$I$1133*(1-$E$1140)-SUM($K1138:N1138)),0),O1133-O1139)</f>
        <v>32762.648173192309</v>
      </c>
      <c r="P1138" s="452">
        <f>IF($E$1142="да",IF($I$1133*(1-$E$1140)&gt;SUM($K1138:O1138),MIN(P1133,$I$1133*(1-$E$1140)-SUM($K1138:O1138)),0),P1133-P1139)</f>
        <v>275591.46580799518</v>
      </c>
      <c r="Q1138" s="452">
        <f>IF($E$1142="да",IF($I$1133*(1-$E$1140)&gt;SUM($K1138:P1138),MIN(Q1133,$I$1133*(1-$E$1140)-SUM($K1138:P1138)),0),Q1133-Q1139)</f>
        <v>278306.9805620276</v>
      </c>
      <c r="R1138" s="452">
        <f>IF($E$1142="да",IF($I$1133*(1-$E$1140)&gt;SUM($K1138:Q1138),MIN(R1133,$I$1133*(1-$E$1140)-SUM($K1138:Q1138)),0),R1133-R1139)</f>
        <v>281049.25238692126</v>
      </c>
      <c r="S1138" s="452">
        <f>IF($E$1142="да",IF($I$1133*(1-$E$1140)&gt;SUM($K1138:R1138),MIN(S1133,$I$1133*(1-$E$1140)-SUM($K1138:R1138)),0),S1133-S1139)</f>
        <v>190743.32546801004</v>
      </c>
      <c r="T1138" s="452">
        <f>IF($E$1142="да",IF($I$1133*(1-$E$1140)&gt;SUM($K1138:S1138),MIN(T1133,$I$1133*(1-$E$1140)-SUM($K1138:S1138)),0),T1133-T1139)</f>
        <v>0</v>
      </c>
      <c r="U1138" s="452">
        <f>IF($E$1142="да",IF($I$1133*(1-$E$1140)&gt;SUM($K1138:T1138),MIN(U1133,$I$1133*(1-$E$1140)-SUM($K1138:T1138)),0),U1133-U1139)</f>
        <v>0</v>
      </c>
      <c r="V1138" s="452">
        <f>IF($E$1142="да",IF($I$1133*(1-$E$1140)&gt;SUM($K1138:U1138),MIN(V1133,$I$1133*(1-$E$1140)-SUM($K1138:U1138)),0),V1133-V1139)</f>
        <v>0</v>
      </c>
      <c r="W1138" s="452">
        <f>IF($E$1142="да",IF($I$1133*(1-$E$1140)&gt;SUM($K1138:V1138),MIN(W1133,$I$1133*(1-$E$1140)-SUM($K1138:V1138)),0),W1133-W1139)</f>
        <v>0</v>
      </c>
      <c r="X1138" s="452">
        <f>IF($E$1142="да",IF($I$1133*(1-$E$1140)&gt;SUM($K1138:W1138),MIN(X1133,$I$1133*(1-$E$1140)-SUM($K1138:W1138)),0),X1133-X1139)</f>
        <v>0</v>
      </c>
      <c r="Y1138" s="452">
        <f>IF($E$1142="да",IF($I$1133*(1-$E$1140)&gt;SUM($K1138:X1138),MIN(Y1133,$I$1133*(1-$E$1140)-SUM($K1138:X1138)),0),Y1133-Y1139)</f>
        <v>0</v>
      </c>
      <c r="Z1138" s="452">
        <f>IF($E$1142="да",IF($I$1133*(1-$E$1140)&gt;SUM($K1138:Y1138),MIN(Z1133,$I$1133*(1-$E$1140)-SUM($K1138:Y1138)),0),Z1133-Z1139)</f>
        <v>0</v>
      </c>
      <c r="AA1138" s="452">
        <f>IF($E$1142="да",IF($I$1133*(1-$E$1140)&gt;SUM($K1138:Z1138),MIN(AA1133,$I$1133*(1-$E$1140)-SUM($K1138:Z1138)),0),AA1133-AA1139)</f>
        <v>0</v>
      </c>
      <c r="AB1138" s="452">
        <f>IF($E$1142="да",IF($I$1133*(1-$E$1140)&gt;SUM($K1138:AA1138),MIN(AB1133,$I$1133*(1-$E$1140)-SUM($K1138:AA1138)),0),AB1133-AB1139)</f>
        <v>0</v>
      </c>
      <c r="AC1138" s="452">
        <f>IF($E$1142="да",IF($I$1133*(1-$E$1140)&gt;SUM($K1138:AB1138),MIN(AC1133,$I$1133*(1-$E$1140)-SUM($K1138:AB1138)),0),AC1133-AC1139)</f>
        <v>0</v>
      </c>
      <c r="AD1138" s="452">
        <f>IF($E$1142="да",IF($I$1133*(1-$E$1140)&gt;SUM($K1138:AC1138),MIN(AD1133,$I$1133*(1-$E$1140)-SUM($K1138:AC1138)),0),AD1133-AD1139)</f>
        <v>0</v>
      </c>
      <c r="AE1138" s="452">
        <f>IF($E$1142="да",IF($I$1133*(1-$E$1140)&gt;SUM($K1138:AD1138),MIN(AE1133,$I$1133*(1-$E$1140)-SUM($K1138:AD1138)),0),AE1133-AE1139)</f>
        <v>0</v>
      </c>
      <c r="AF1138" s="452">
        <f>IF($E$1142="да",IF($I$1133*(1-$E$1140)&gt;SUM($K1138:AE1138),MIN(AF1133,$I$1133*(1-$E$1140)-SUM($K1138:AE1138)),0),AF1133-AF1139)</f>
        <v>0</v>
      </c>
      <c r="AG1138" s="452">
        <f>IF($E$1142="да",IF($I$1133*(1-$E$1140)&gt;SUM($K1138:AF1138),MIN(AG1133,$I$1133*(1-$E$1140)-SUM($K1138:AF1138)),0),AG1133-AG1139)</f>
        <v>0</v>
      </c>
      <c r="AH1138" s="452">
        <f>IF($E$1142="да",IF($I$1133*(1-$E$1140)&gt;SUM($K1138:AG1138),MIN(AH1133,$I$1133*(1-$E$1140)-SUM($K1138:AG1138)),0),AH1133-AH1139)</f>
        <v>0</v>
      </c>
      <c r="AI1138" s="452">
        <f>IF($E$1142="да",IF($I$1133*(1-$E$1140)&gt;SUM($K1138:AH1138),MIN(AI1133,$I$1133*(1-$E$1140)-SUM($K1138:AH1138)),0),AI1133-AI1139)</f>
        <v>0</v>
      </c>
      <c r="AJ1138" s="452">
        <f>IF($E$1142="да",IF($I$1133*(1-$E$1140)&gt;SUM($K1138:AI1138),MIN(AJ1133,$I$1133*(1-$E$1140)-SUM($K1138:AI1138)),0),AJ1133-AJ1139)</f>
        <v>0</v>
      </c>
      <c r="AK1138" s="452">
        <f>IF($E$1142="да",IF($I$1133*(1-$E$1140)&gt;SUM($K1138:AJ1138),MIN(AK1133,$I$1133*(1-$E$1140)-SUM($K1138:AJ1138)),0),AK1133-AK1139)</f>
        <v>0</v>
      </c>
      <c r="AL1138" s="452">
        <f>IF($E$1142="да",IF($I$1133*(1-$E$1140)&gt;SUM($K1138:AK1138),MIN(AL1133,$I$1133*(1-$E$1140)-SUM($K1138:AK1138)),0),AL1133-AL1139)</f>
        <v>0</v>
      </c>
      <c r="AM1138" s="452">
        <f>IF($E$1142="да",IF($I$1133*(1-$E$1140)&gt;SUM($K1138:AL1138),MIN(AM1133,$I$1133*(1-$E$1140)-SUM($K1138:AL1138)),0),AM1133-AM1139)</f>
        <v>0</v>
      </c>
      <c r="AN1138" s="452">
        <f>IF($E$1142="да",IF($I$1133*(1-$E$1140)&gt;SUM($K1138:AM1138),MIN(AN1133,$I$1133*(1-$E$1140)-SUM($K1138:AM1138)),0),AN1133-AN1139)</f>
        <v>0</v>
      </c>
      <c r="AO1138" s="452">
        <f>IF($E$1142="да",IF($I$1133*(1-$E$1140)&gt;SUM($K1138:AN1138),MIN(AO1133,$I$1133*(1-$E$1140)-SUM($K1138:AN1138)),0),AO1133-AO1139)</f>
        <v>0</v>
      </c>
      <c r="AP1138" s="452">
        <f>IF($E$1142="да",IF($I$1133*(1-$E$1140)&gt;SUM($K1138:AO1138),MIN(AP1133,$I$1133*(1-$E$1140)-SUM($K1138:AO1138)),0),AP1133-AP1139)</f>
        <v>0</v>
      </c>
      <c r="AQ1138" s="452">
        <f>IF($E$1142="да",IF($I$1133*(1-$E$1140)&gt;SUM($K1138:AP1138),MIN(AQ1133,$I$1133*(1-$E$1140)-SUM($K1138:AP1138)),0),AQ1133-AQ1139)</f>
        <v>0</v>
      </c>
      <c r="AR1138" s="452">
        <f>IF($E$1142="да",IF($I$1133*(1-$E$1140)&gt;SUM($K1138:AQ1138),MIN(AR1133,$I$1133*(1-$E$1140)-SUM($K1138:AQ1138)),0),AR1133-AR1139)</f>
        <v>0</v>
      </c>
      <c r="AS1138" s="452">
        <f>IF($E$1142="да",IF($I$1133*(1-$E$1140)&gt;SUM($K1138:AR1138),MIN(AS1133,$I$1133*(1-$E$1140)-SUM($K1138:AR1138)),0),AS1133-AS1139)</f>
        <v>0</v>
      </c>
      <c r="AT1138" s="452">
        <f>IF($E$1142="да",IF($I$1133*(1-$E$1140)&gt;SUM($K1138:AS1138),MIN(AT1133,$I$1133*(1-$E$1140)-SUM($K1138:AS1138)),0),AT1133-AT1139)</f>
        <v>0</v>
      </c>
      <c r="AU1138" s="452">
        <f>IF($E$1142="да",IF($I$1133*(1-$E$1140)&gt;SUM($K1138:AT1138),MIN(AU1133,$I$1133*(1-$E$1140)-SUM($K1138:AT1138)),0),AU1133-AU1139)</f>
        <v>0</v>
      </c>
      <c r="AV1138" s="452">
        <f>IF($E$1142="да",IF($I$1133*(1-$E$1140)&gt;SUM($K1138:AU1138),MIN(AV1133,$I$1133*(1-$E$1140)-SUM($K1138:AU1138)),0),AV1133-AV1139)</f>
        <v>0</v>
      </c>
      <c r="AW1138" s="452">
        <f>IF($E$1142="да",IF($I$1133*(1-$E$1140)&gt;SUM($K1138:AV1138),MIN(AW1133,$I$1133*(1-$E$1140)-SUM($K1138:AV1138)),0),AW1133-AW1139)</f>
        <v>0</v>
      </c>
      <c r="AX1138" s="452">
        <f>IF($E$1142="да",IF($I$1133*(1-$E$1140)&gt;SUM($K1138:AW1138),MIN(AX1133,$I$1133*(1-$E$1140)-SUM($K1138:AW1138)),0),AX1133-AX1139)</f>
        <v>0</v>
      </c>
      <c r="AY1138" s="452">
        <f>IF($E$1142="да",IF($I$1133*(1-$E$1140)&gt;SUM($K1138:AX1138),MIN(AY1133,$I$1133*(1-$E$1140)-SUM($K1138:AX1138)),0),AY1133-AY1139)</f>
        <v>0</v>
      </c>
      <c r="AZ1138" s="452">
        <f>IF($E$1142="да",IF($I$1133*(1-$E$1140)&gt;SUM($K1138:AY1138),MIN(AZ1133,$I$1133*(1-$E$1140)-SUM($K1138:AY1138)),0),AZ1133-AZ1139)</f>
        <v>0</v>
      </c>
      <c r="BA1138" s="452">
        <f>IF($E$1142="да",IF($I$1133*(1-$E$1140)&gt;SUM($K1138:AZ1138),MIN(BA1133,$I$1133*(1-$E$1140)-SUM($K1138:AZ1138)),0),BA1133-BA1139)</f>
        <v>0</v>
      </c>
      <c r="BB1138" s="452">
        <f>IF($E$1142="да",IF($I$1133*(1-$E$1140)&gt;SUM($K1138:BA1138),MIN(BB1133,$I$1133*(1-$E$1140)-SUM($K1138:BA1138)),0),BB1133-BB1139)</f>
        <v>0</v>
      </c>
      <c r="BC1138" s="452">
        <f>IF($E$1142="да",IF($I$1133*(1-$E$1140)&gt;SUM($K1138:BB1138),MIN(BC1133,$I$1133*(1-$E$1140)-SUM($K1138:BB1138)),0),BC1133-BC1139)</f>
        <v>0</v>
      </c>
      <c r="BD1138" s="452">
        <f>IF($E$1142="да",IF($I$1133*(1-$E$1140)&gt;SUM($K1138:BC1138),MIN(BD1133,$I$1133*(1-$E$1140)-SUM($K1138:BC1138)),0),BD1133-BD1139)</f>
        <v>0</v>
      </c>
      <c r="BE1138" s="452">
        <f>IF($E$1142="да",IF($I$1133*(1-$E$1140)&gt;SUM($K1138:BD1138),MIN(BE1133,$I$1133*(1-$E$1140)-SUM($K1138:BD1138)),0),BE1133-BE1139)</f>
        <v>0</v>
      </c>
      <c r="BF1138" s="452">
        <f>IF($E$1142="да",IF($I$1133*(1-$E$1140)&gt;SUM($K1138:BE1138),MIN(BF1133,$I$1133*(1-$E$1140)-SUM($K1138:BE1138)),0),BF1133-BF1139)</f>
        <v>0</v>
      </c>
      <c r="BG1138" s="452">
        <f>IF($E$1142="да",IF($I$1133*(1-$E$1140)&gt;SUM($K1138:BF1138),MIN(BG1133,$I$1133*(1-$E$1140)-SUM($K1138:BF1138)),0),BG1133-BG1139)</f>
        <v>0</v>
      </c>
      <c r="BH1138" s="452">
        <f>IF($E$1142="да",IF($I$1133*(1-$E$1140)&gt;SUM($K1138:BG1138),MIN(BH1133,$I$1133*(1-$E$1140)-SUM($K1138:BG1138)),0),BH1133-BH1139)</f>
        <v>0</v>
      </c>
      <c r="BI1138" s="452">
        <f>IF($E$1142="да",IF($I$1133*(1-$E$1140)&gt;SUM($K1138:BH1138),MIN(BI1133,$I$1133*(1-$E$1140)-SUM($K1138:BH1138)),0),BI1133-BI1139)</f>
        <v>0</v>
      </c>
      <c r="BJ1138" s="452">
        <f>IF($E$1142="да",IF($I$1133*(1-$E$1140)&gt;SUM($K1138:BI1138),MIN(BJ1133,$I$1133*(1-$E$1140)-SUM($K1138:BI1138)),0),BJ1133-BJ1139)</f>
        <v>0</v>
      </c>
      <c r="BK1138" s="452">
        <f>IF($E$1142="да",IF($I$1133*(1-$E$1140)&gt;SUM($K1138:BJ1138),MIN(BK1133,$I$1133*(1-$E$1140)-SUM($K1138:BJ1138)),0),BK1133-BK1139)</f>
        <v>0</v>
      </c>
      <c r="BL1138" s="452">
        <f>IF($E$1142="да",IF($I$1133*(1-$E$1140)&gt;SUM($K1138:BK1138),MIN(BL1133,$I$1133*(1-$E$1140)-SUM($K1138:BK1138)),0),BL1133-BL1139)</f>
        <v>0</v>
      </c>
      <c r="BM1138" s="452">
        <f>IF($E$1142="да",IF($I$1133*(1-$E$1140)&gt;SUM($K1138:BL1138),MIN(BM1133,$I$1133*(1-$E$1140)-SUM($K1138:BL1138)),0),BM1133-BM1139)</f>
        <v>0</v>
      </c>
      <c r="BN1138" s="452">
        <f>IF($E$1142="да",IF($I$1133*(1-$E$1140)&gt;SUM($K1138:BM1138),MIN(BN1133,$I$1133*(1-$E$1140)-SUM($K1138:BM1138)),0),BN1133-BN1139)</f>
        <v>0</v>
      </c>
      <c r="BO1138" s="452">
        <f>IF($E$1142="да",IF($I$1133*(1-$E$1140)&gt;SUM($K1138:BN1138),MIN(BO1133,$I$1133*(1-$E$1140)-SUM($K1138:BN1138)),0),BO1133-BO1139)</f>
        <v>0</v>
      </c>
      <c r="BP1138" s="452">
        <f>IF($E$1142="да",IF($I$1133*(1-$E$1140)&gt;SUM($K1138:BO1138),MIN(BP1133,$I$1133*(1-$E$1140)-SUM($K1138:BO1138)),0),BP1133-BP1139)</f>
        <v>0</v>
      </c>
      <c r="BQ1138" s="452">
        <f>IF($E$1142="да",IF($I$1133*(1-$E$1140)&gt;SUM($K1138:BP1138),MIN(BQ1133,$I$1133*(1-$E$1140)-SUM($K1138:BP1138)),0),BQ1133-BQ1139)</f>
        <v>0</v>
      </c>
      <c r="BR1138" s="452">
        <f>IF($E$1142="да",IF($I$1133*(1-$E$1140)&gt;SUM($K1138:BQ1138),MIN(BR1133,$I$1133*(1-$E$1140)-SUM($K1138:BQ1138)),0),BR1133-BR1139)</f>
        <v>0</v>
      </c>
      <c r="BS1138" s="452">
        <f>IF($E$1142="да",IF($I$1133*(1-$E$1140)&gt;SUM($K1138:BR1138),MIN(BS1133,$I$1133*(1-$E$1140)-SUM($K1138:BR1138)),0),BS1133-BS1139)</f>
        <v>0</v>
      </c>
      <c r="BT1138" s="452">
        <f>IF($E$1142="да",IF($I$1133*(1-$E$1140)&gt;SUM($K1138:BS1138),MIN(BT1133,$I$1133*(1-$E$1140)-SUM($K1138:BS1138)),0),BT1133-BT1139)</f>
        <v>0</v>
      </c>
      <c r="BU1138" s="452">
        <f>IF($E$1142="да",IF($I$1133*(1-$E$1140)&gt;SUM($K1138:BT1138),MIN(BU1133,$I$1133*(1-$E$1140)-SUM($K1138:BT1138)),0),BU1133-BU1139)</f>
        <v>0</v>
      </c>
      <c r="BV1138" s="452">
        <f>IF($E$1142="да",IF($I$1133*(1-$E$1140)&gt;SUM($K1138:BU1138),MIN(BV1133,$I$1133*(1-$E$1140)-SUM($K1138:BU1138)),0),BV1133-BV1139)</f>
        <v>0</v>
      </c>
      <c r="BW1138" s="452">
        <f>IF($E$1142="да",IF($I$1133*(1-$E$1140)&gt;SUM($K1138:BV1138),MIN(BW1133,$I$1133*(1-$E$1140)-SUM($K1138:BV1138)),0),BW1133-BW1139)</f>
        <v>0</v>
      </c>
      <c r="BX1138" s="452">
        <f>IF($E$1142="да",IF($I$1133*(1-$E$1140)&gt;SUM($K1138:BW1138),MIN(BX1133,$I$1133*(1-$E$1140)-SUM($K1138:BW1138)),0),BX1133-BX1139)</f>
        <v>0</v>
      </c>
      <c r="BY1138" s="452">
        <f>IF($E$1142="да",IF($I$1133*(1-$E$1140)&gt;SUM($K1138:BX1138),MIN(BY1133,$I$1133*(1-$E$1140)-SUM($K1138:BX1138)),0),BY1133-BY1139)</f>
        <v>0</v>
      </c>
      <c r="BZ1138" s="452">
        <f>IF($E$1142="да",IF($I$1133*(1-$E$1140)&gt;SUM($K1138:BY1138),MIN(BZ1133,$I$1133*(1-$E$1140)-SUM($K1138:BY1138)),0),BZ1133-BZ1139)</f>
        <v>0</v>
      </c>
      <c r="CA1138" s="452">
        <f>IF($E$1142="да",IF($I$1133*(1-$E$1140)&gt;SUM($K1138:BZ1138),MIN(CA1133,$I$1133*(1-$E$1140)-SUM($K1138:BZ1138)),0),CA1133-CA1139)</f>
        <v>0</v>
      </c>
      <c r="CB1138" s="452">
        <f>IF($E$1142="да",IF($I$1133*(1-$E$1140)&gt;SUM($K1138:CA1138),MIN(CB1133,$I$1133*(1-$E$1140)-SUM($K1138:CA1138)),0),CB1133-CB1139)</f>
        <v>0</v>
      </c>
      <c r="CC1138" s="452">
        <f>IF($E$1142="да",IF($I$1133*(1-$E$1140)&gt;SUM($K1138:CB1138),MIN(CC1133,$I$1133*(1-$E$1140)-SUM($K1138:CB1138)),0),CC1133-CC1139)</f>
        <v>0</v>
      </c>
      <c r="CD1138" s="452">
        <f>IF($E$1142="да",IF($I$1133*(1-$E$1140)&gt;SUM($K1138:CC1138),MIN(CD1133,$I$1133*(1-$E$1140)-SUM($K1138:CC1138)),0),CD1133-CD1139)</f>
        <v>0</v>
      </c>
      <c r="CE1138" s="452">
        <f>IF($E$1142="да",IF($I$1133*(1-$E$1140)&gt;SUM($K1138:CD1138),MIN(CE1133,$I$1133*(1-$E$1140)-SUM($K1138:CD1138)),0),CE1133-CE1139)</f>
        <v>0</v>
      </c>
      <c r="CF1138" s="452">
        <f>IF($E$1142="да",IF($I$1133*(1-$E$1140)&gt;SUM($K1138:CE1138),MIN(CF1133,$I$1133*(1-$E$1140)-SUM($K1138:CE1138)),0),CF1133-CF1139)</f>
        <v>0</v>
      </c>
      <c r="CG1138" s="452">
        <f>IF($E$1142="да",IF($I$1133*(1-$E$1140)&gt;SUM($K1138:CF1138),MIN(CG1133,$I$1133*(1-$E$1140)-SUM($K1138:CF1138)),0),CG1133-CG1139)</f>
        <v>0</v>
      </c>
      <c r="CH1138" s="452">
        <f>IF($E$1142="да",IF($I$1133*(1-$E$1140)&gt;SUM($K1138:CG1138),MIN(CH1133,$I$1133*(1-$E$1140)-SUM($K1138:CG1138)),0),CH1133-CH1139)</f>
        <v>0</v>
      </c>
      <c r="CI1138" s="452">
        <f>IF($E$1142="да",IF($I$1133*(1-$E$1140)&gt;SUM($K1138:CH1138),MIN(CI1133,$I$1133*(1-$E$1140)-SUM($K1138:CH1138)),0),CI1133-CI1139)</f>
        <v>0</v>
      </c>
      <c r="CJ1138" s="452">
        <f>IF($E$1142="да",IF($I$1133*(1-$E$1140)&gt;SUM($K1138:CI1138),MIN(CJ1133,$I$1133*(1-$E$1140)-SUM($K1138:CI1138)),0),CJ1133-CJ1139)</f>
        <v>0</v>
      </c>
      <c r="CK1138" s="452">
        <f>IF($E$1142="да",IF($I$1133*(1-$E$1140)&gt;SUM($K1138:CJ1138),MIN(CK1133,$I$1133*(1-$E$1140)-SUM($K1138:CJ1138)),0),CK1133-CK1139)</f>
        <v>0</v>
      </c>
      <c r="CL1138" s="452">
        <f>IF($E$1142="да",IF($I$1133*(1-$E$1140)&gt;SUM($K1138:CK1138),MIN(CL1133,$I$1133*(1-$E$1140)-SUM($K1138:CK1138)),0),CL1133-CL1139)</f>
        <v>0</v>
      </c>
      <c r="CM1138" s="452">
        <f>IF($E$1142="да",IF($I$1133*(1-$E$1140)&gt;SUM($K1138:CL1138),MIN(CM1133,$I$1133*(1-$E$1140)-SUM($K1138:CL1138)),0),CM1133-CM1139)</f>
        <v>0</v>
      </c>
      <c r="CN1138" s="452">
        <f>IF($E$1142="да",IF($I$1133*(1-$E$1140)&gt;SUM($K1138:CM1138),MIN(CN1133,$I$1133*(1-$E$1140)-SUM($K1138:CM1138)),0),CN1133-CN1139)</f>
        <v>0</v>
      </c>
      <c r="CO1138" s="452">
        <f>IF($E$1142="да",IF($I$1133*(1-$E$1140)&gt;SUM($K1138:CN1138),MIN(CO1133,$I$1133*(1-$E$1140)-SUM($K1138:CN1138)),0),CO1133-CO1139)</f>
        <v>0</v>
      </c>
    </row>
    <row r="1139" spans="1:94">
      <c r="A1139" s="10"/>
      <c r="B1139" s="10"/>
      <c r="C1139" s="17" t="s">
        <v>343</v>
      </c>
      <c r="D1139" s="10"/>
      <c r="E1139" s="231"/>
      <c r="F1139" s="10">
        <f>23100*200</f>
        <v>4620000</v>
      </c>
      <c r="G1139" s="134" t="str">
        <f t="shared" si="7353"/>
        <v>тыс. руб.</v>
      </c>
      <c r="H1139" s="10"/>
      <c r="I1139" s="23">
        <f>SUM(L1139:CO1139)</f>
        <v>4616063.5245886445</v>
      </c>
      <c r="J1139" s="10"/>
      <c r="K1139" s="10"/>
      <c r="L1139" s="452">
        <f>IF($E$1142="да",L1133-L1138,L1133*MAX($L1140:L1140)*L1156)</f>
        <v>0</v>
      </c>
      <c r="M1139" s="452">
        <f>IF($E$1142="да",M1133-M1138,M1133*MAX($L1140:M1140)*M1156)</f>
        <v>0</v>
      </c>
      <c r="N1139" s="452">
        <f>IF($E$1142="да",N1133-N1138,N1133*MAX($L1140:N1140)*N1156)</f>
        <v>0</v>
      </c>
      <c r="O1139" s="452">
        <f>IF($E$1142="да",O1133-O1138,O1133*MAX($L1140:O1140)*O1156)</f>
        <v>0</v>
      </c>
      <c r="P1139" s="452">
        <f>IF($E$1142="да",P1133-P1138,P1133*MAX($L1140:P1140)*P1156)</f>
        <v>0</v>
      </c>
      <c r="Q1139" s="452">
        <f>IF($E$1142="да",Q1133-Q1138,Q1133*MAX($L1140:Q1140)*Q1156)</f>
        <v>0</v>
      </c>
      <c r="R1139" s="452">
        <f>IF($E$1142="да",R1133-R1138,R1133*MAX($L1140:R1140)*R1156)</f>
        <v>0</v>
      </c>
      <c r="S1139" s="452">
        <f>IF($E$1142="да",S1133-S1138,S1133*MAX($L1140:S1140)*S1156)</f>
        <v>93075.219462963287</v>
      </c>
      <c r="T1139" s="452">
        <f>IF($E$1142="да",T1133-T1138,T1133*MAX($L1140:T1140)*T1156)</f>
        <v>286615.12444031495</v>
      </c>
      <c r="U1139" s="452">
        <f>IF($E$1142="да",U1133-U1138,U1133*MAX($L1140:U1140)*U1156)</f>
        <v>289439.25978450867</v>
      </c>
      <c r="V1139" s="452">
        <f>IF($E$1142="да",V1133-V1138,V1133*MAX($L1140:V1140)*V1156)</f>
        <v>292291.22248239798</v>
      </c>
      <c r="W1139" s="452">
        <f>IF($E$1142="да",W1133-W1138,W1133*MAX($L1140:W1140)*W1156)</f>
        <v>295171.2867282122</v>
      </c>
      <c r="X1139" s="452">
        <f>IF($E$1142="да",X1133-X1138,X1133*MAX($L1140:X1140)*X1156)</f>
        <v>622512.40131001174</v>
      </c>
      <c r="Y1139" s="452">
        <f>IF($E$1142="да",Y1133-Y1138,Y1133*MAX($L1140:Y1140)*Y1156)</f>
        <v>628646.26908189419</v>
      </c>
      <c r="Z1139" s="452">
        <f>IF($E$1142="да",Z1133-Z1138,Z1133*MAX($L1140:Z1140)*Z1156)</f>
        <v>634840.57634665037</v>
      </c>
      <c r="AA1139" s="452">
        <f>IF($E$1142="да",AA1133-AA1138,AA1133*MAX($L1140:AA1140)*AA1156)</f>
        <v>641095.91863917548</v>
      </c>
      <c r="AB1139" s="452">
        <f>IF($E$1142="да",AB1133-AB1138,AB1133*MAX($L1140:AB1140)*AB1156)</f>
        <v>832376.24631251558</v>
      </c>
      <c r="AC1139" s="452">
        <f>IF($E$1142="да",AC1133-AC1138,AC1133*MAX($L1140:AC1140)*AC1156)</f>
        <v>0</v>
      </c>
      <c r="AD1139" s="452">
        <f>IF($E$1142="да",AD1133-AD1138,AD1133*MAX($L1140:AD1140)*AD1156)</f>
        <v>0</v>
      </c>
      <c r="AE1139" s="452">
        <f>IF($E$1142="да",AE1133-AE1138,AE1133*MAX($L1140:AE1140)*AE1156)</f>
        <v>0</v>
      </c>
      <c r="AF1139" s="452">
        <f>IF($E$1142="да",AF1133-AF1138,AF1133*MAX($L1140:AF1140)*AF1156)</f>
        <v>0</v>
      </c>
      <c r="AG1139" s="452">
        <f>IF($E$1142="да",AG1133-AG1138,AG1133*MAX($L1140:AG1140)*AG1156)</f>
        <v>0</v>
      </c>
      <c r="AH1139" s="452">
        <f>IF($E$1142="да",AH1133-AH1138,AH1133*MAX($L1140:AH1140)*AH1156)</f>
        <v>0</v>
      </c>
      <c r="AI1139" s="452">
        <f>IF($E$1142="да",AI1133-AI1138,AI1133*MAX($L1140:AI1140)*AI1156)</f>
        <v>0</v>
      </c>
      <c r="AJ1139" s="452">
        <f>IF($E$1142="да",AJ1133-AJ1138,AJ1133*MAX($L1140:AJ1140)*AJ1156)</f>
        <v>0</v>
      </c>
      <c r="AK1139" s="452">
        <f>IF($E$1142="да",AK1133-AK1138,AK1133*MAX($L1140:AK1140)*AK1156)</f>
        <v>0</v>
      </c>
      <c r="AL1139" s="452">
        <f>IF($E$1142="да",AL1133-AL1138,AL1133*MAX($L1140:AL1140)*AL1156)</f>
        <v>0</v>
      </c>
      <c r="AM1139" s="452">
        <f>IF($E$1142="да",AM1133-AM1138,AM1133*MAX($L1140:AM1140)*AM1156)</f>
        <v>0</v>
      </c>
      <c r="AN1139" s="452">
        <f>IF($E$1142="да",AN1133-AN1138,AN1133*MAX($L1140:AN1140)*AN1156)</f>
        <v>0</v>
      </c>
      <c r="AO1139" s="452">
        <f>IF($E$1142="да",AO1133-AO1138,AO1133*MAX($L1140:AO1140)*AO1156)</f>
        <v>0</v>
      </c>
      <c r="AP1139" s="452">
        <f>IF($E$1142="да",AP1133-AP1138,AP1133*MAX($L1140:AP1140)*AP1156)</f>
        <v>0</v>
      </c>
      <c r="AQ1139" s="452">
        <f>IF($E$1142="да",AQ1133-AQ1138,AQ1133*MAX($L1140:AQ1140)*AQ1156)</f>
        <v>0</v>
      </c>
      <c r="AR1139" s="452">
        <f>IF($E$1142="да",AR1133-AR1138,AR1133*MAX($L1140:AR1140)*AR1156)</f>
        <v>0</v>
      </c>
      <c r="AS1139" s="452">
        <f>IF($E$1142="да",AS1133-AS1138,AS1133*MAX($L1140:AS1140)*AS1156)</f>
        <v>0</v>
      </c>
      <c r="AT1139" s="452">
        <f>IF($E$1142="да",AT1133-AT1138,AT1133*MAX($L1140:AT1140)*AT1156)</f>
        <v>0</v>
      </c>
      <c r="AU1139" s="452">
        <f>IF($E$1142="да",AU1133-AU1138,AU1133*MAX($L1140:AU1140)*AU1156)</f>
        <v>0</v>
      </c>
      <c r="AV1139" s="452">
        <f>IF($E$1142="да",AV1133-AV1138,AV1133*MAX($L1140:AV1140)*AV1156)</f>
        <v>0</v>
      </c>
      <c r="AW1139" s="452">
        <f>IF($E$1142="да",AW1133-AW1138,AW1133*MAX($L1140:AW1140)*AW1156)</f>
        <v>0</v>
      </c>
      <c r="AX1139" s="452">
        <f>IF($E$1142="да",AX1133-AX1138,AX1133*MAX($L1140:AX1140)*AX1156)</f>
        <v>0</v>
      </c>
      <c r="AY1139" s="452">
        <f>IF($E$1142="да",AY1133-AY1138,AY1133*MAX($L1140:AY1140)*AY1156)</f>
        <v>0</v>
      </c>
      <c r="AZ1139" s="452">
        <f>IF($E$1142="да",AZ1133-AZ1138,AZ1133*MAX($L1140:AZ1140)*AZ1156)</f>
        <v>0</v>
      </c>
      <c r="BA1139" s="452">
        <f>IF($E$1142="да",BA1133-BA1138,BA1133*MAX($L1140:BA1140)*BA1156)</f>
        <v>0</v>
      </c>
      <c r="BB1139" s="452">
        <f>IF($E$1142="да",BB1133-BB1138,BB1133*MAX($L1140:BB1140)*BB1156)</f>
        <v>0</v>
      </c>
      <c r="BC1139" s="452">
        <f>IF($E$1142="да",BC1133-BC1138,BC1133*MAX($L1140:BC1140)*BC1156)</f>
        <v>0</v>
      </c>
      <c r="BD1139" s="452">
        <f>IF($E$1142="да",BD1133-BD1138,BD1133*MAX($L1140:BD1140)*BD1156)</f>
        <v>0</v>
      </c>
      <c r="BE1139" s="452">
        <f>IF($E$1142="да",BE1133-BE1138,BE1133*MAX($L1140:BE1140)*BE1156)</f>
        <v>0</v>
      </c>
      <c r="BF1139" s="452">
        <f>IF($E$1142="да",BF1133-BF1138,BF1133*MAX($L1140:BF1140)*BF1156)</f>
        <v>0</v>
      </c>
      <c r="BG1139" s="452">
        <f>IF($E$1142="да",BG1133-BG1138,BG1133*MAX($L1140:BG1140)*BG1156)</f>
        <v>0</v>
      </c>
      <c r="BH1139" s="452">
        <f>IF($E$1142="да",BH1133-BH1138,BH1133*MAX($L1140:BH1140)*BH1156)</f>
        <v>0</v>
      </c>
      <c r="BI1139" s="452">
        <f>IF($E$1142="да",BI1133-BI1138,BI1133*MAX($L1140:BI1140)*BI1156)</f>
        <v>0</v>
      </c>
      <c r="BJ1139" s="452">
        <f>IF($E$1142="да",BJ1133-BJ1138,BJ1133*MAX($L1140:BJ1140)*BJ1156)</f>
        <v>0</v>
      </c>
      <c r="BK1139" s="452">
        <f>IF($E$1142="да",BK1133-BK1138,BK1133*MAX($L1140:BK1140)*BK1156)</f>
        <v>0</v>
      </c>
      <c r="BL1139" s="452">
        <f>IF($E$1142="да",BL1133-BL1138,BL1133*MAX($L1140:BL1140)*BL1156)</f>
        <v>0</v>
      </c>
      <c r="BM1139" s="452">
        <f>IF($E$1142="да",BM1133-BM1138,BM1133*MAX($L1140:BM1140)*BM1156)</f>
        <v>0</v>
      </c>
      <c r="BN1139" s="452">
        <f>IF($E$1142="да",BN1133-BN1138,BN1133*MAX($L1140:BN1140)*BN1156)</f>
        <v>0</v>
      </c>
      <c r="BO1139" s="452">
        <f>IF($E$1142="да",BO1133-BO1138,BO1133*MAX($L1140:BO1140)*BO1156)</f>
        <v>0</v>
      </c>
      <c r="BP1139" s="452">
        <f>IF($E$1142="да",BP1133-BP1138,BP1133*MAX($L1140:BP1140)*BP1156)</f>
        <v>0</v>
      </c>
      <c r="BQ1139" s="452">
        <f>IF($E$1142="да",BQ1133-BQ1138,BQ1133*MAX($L1140:BQ1140)*BQ1156)</f>
        <v>0</v>
      </c>
      <c r="BR1139" s="452">
        <f>IF($E$1142="да",BR1133-BR1138,BR1133*MAX($L1140:BR1140)*BR1156)</f>
        <v>0</v>
      </c>
      <c r="BS1139" s="452">
        <f>IF($E$1142="да",BS1133-BS1138,BS1133*MAX($L1140:BS1140)*BS1156)</f>
        <v>0</v>
      </c>
      <c r="BT1139" s="452">
        <f>IF($E$1142="да",BT1133-BT1138,BT1133*MAX($L1140:BT1140)*BT1156)</f>
        <v>0</v>
      </c>
      <c r="BU1139" s="452">
        <f>IF($E$1142="да",BU1133-BU1138,BU1133*MAX($L1140:BU1140)*BU1156)</f>
        <v>0</v>
      </c>
      <c r="BV1139" s="452">
        <f>IF($E$1142="да",BV1133-BV1138,BV1133*MAX($L1140:BV1140)*BV1156)</f>
        <v>0</v>
      </c>
      <c r="BW1139" s="452">
        <f>IF($E$1142="да",BW1133-BW1138,BW1133*MAX($L1140:BW1140)*BW1156)</f>
        <v>0</v>
      </c>
      <c r="BX1139" s="452">
        <f>IF($E$1142="да",BX1133-BX1138,BX1133*MAX($L1140:BX1140)*BX1156)</f>
        <v>0</v>
      </c>
      <c r="BY1139" s="452">
        <f>IF($E$1142="да",BY1133-BY1138,BY1133*MAX($L1140:BY1140)*BY1156)</f>
        <v>0</v>
      </c>
      <c r="BZ1139" s="452">
        <f>IF($E$1142="да",BZ1133-BZ1138,BZ1133*MAX($L1140:BZ1140)*BZ1156)</f>
        <v>0</v>
      </c>
      <c r="CA1139" s="452">
        <f>IF($E$1142="да",CA1133-CA1138,CA1133*MAX($L1140:CA1140)*CA1156)</f>
        <v>0</v>
      </c>
      <c r="CB1139" s="452">
        <f>IF($E$1142="да",CB1133-CB1138,CB1133*MAX($L1140:CB1140)*CB1156)</f>
        <v>0</v>
      </c>
      <c r="CC1139" s="452">
        <f>IF($E$1142="да",CC1133-CC1138,CC1133*MAX($L1140:CC1140)*CC1156)</f>
        <v>0</v>
      </c>
      <c r="CD1139" s="452">
        <f>IF($E$1142="да",CD1133-CD1138,CD1133*MAX($L1140:CD1140)*CD1156)</f>
        <v>0</v>
      </c>
      <c r="CE1139" s="452">
        <f>IF($E$1142="да",CE1133-CE1138,CE1133*MAX($L1140:CE1140)*CE1156)</f>
        <v>0</v>
      </c>
      <c r="CF1139" s="452">
        <f>IF($E$1142="да",CF1133-CF1138,CF1133*MAX($L1140:CF1140)*CF1156)</f>
        <v>0</v>
      </c>
      <c r="CG1139" s="452">
        <f>IF($E$1142="да",CG1133-CG1138,CG1133*MAX($L1140:CG1140)*CG1156)</f>
        <v>0</v>
      </c>
      <c r="CH1139" s="452">
        <f>IF($E$1142="да",CH1133-CH1138,CH1133*MAX($L1140:CH1140)*CH1156)</f>
        <v>0</v>
      </c>
      <c r="CI1139" s="452">
        <f>IF($E$1142="да",CI1133-CI1138,CI1133*MAX($L1140:CI1140)*CI1156)</f>
        <v>0</v>
      </c>
      <c r="CJ1139" s="452">
        <f>IF($E$1142="да",CJ1133-CJ1138,CJ1133*MAX($L1140:CJ1140)*CJ1156)</f>
        <v>0</v>
      </c>
      <c r="CK1139" s="452">
        <f>IF($E$1142="да",CK1133-CK1138,CK1133*MAX($L1140:CK1140)*CK1156)</f>
        <v>0</v>
      </c>
      <c r="CL1139" s="452">
        <f>IF($E$1142="да",CL1133-CL1138,CL1133*MAX($L1140:CL1140)*CL1156)</f>
        <v>0</v>
      </c>
      <c r="CM1139" s="452">
        <f>IF($E$1142="да",CM1133-CM1138,CM1133*MAX($L1140:CM1140)*CM1156)</f>
        <v>0</v>
      </c>
      <c r="CN1139" s="452">
        <f>IF($E$1142="да",CN1133-CN1138,CN1133*MAX($L1140:CN1140)*CN1156)</f>
        <v>0</v>
      </c>
      <c r="CO1139" s="452">
        <f>IF($E$1142="да",CO1133-CO1138,CO1133*MAX($L1140:CO1140)*CO1156)</f>
        <v>0</v>
      </c>
    </row>
    <row r="1140" spans="1:94">
      <c r="A1140" s="10"/>
      <c r="B1140" s="10"/>
      <c r="C1140" s="17" t="s">
        <v>334</v>
      </c>
      <c r="D1140" s="10"/>
      <c r="E1140" s="178">
        <f>Предпосылки!E569</f>
        <v>0.8</v>
      </c>
      <c r="F1140" s="10"/>
      <c r="G1140" s="11" t="s">
        <v>28</v>
      </c>
      <c r="H1140" s="10"/>
      <c r="I1140" s="10"/>
      <c r="J1140" s="10"/>
      <c r="K1140" s="10"/>
      <c r="L1140" s="470">
        <f>IFERROR($I1133*$E1140/($I1133-SUM($K1133:K1133))*L1156*(L1156&gt;K1156),0)</f>
        <v>0.8</v>
      </c>
      <c r="M1140" s="470">
        <f>IFERROR($I1133*$E1140/($I1133-SUM($K1133:L1133))*M1156*(M1156&gt;L1156),0)</f>
        <v>0</v>
      </c>
      <c r="N1140" s="470">
        <f>IFERROR($I1133*$E1140/($I1133-SUM($K1133:M1133))*N1156*(N1156&gt;M1156),0)</f>
        <v>0</v>
      </c>
      <c r="O1140" s="470">
        <f>IFERROR($I1133*$E1140/($I1133-SUM($K1133:N1133))*O1156*(O1156&gt;N1156),0)</f>
        <v>0</v>
      </c>
      <c r="P1140" s="470">
        <f>IFERROR($I1133*$E1140/($I1133-SUM($K1133:O1133))*P1156*(P1156&gt;O1156),0)</f>
        <v>0</v>
      </c>
      <c r="Q1140" s="470">
        <f>IFERROR($I1133*$E1140/($I1133-SUM($K1133:P1133))*Q1156*(Q1156&gt;P1156),0)</f>
        <v>0</v>
      </c>
      <c r="R1140" s="470">
        <f>IFERROR($I1133*$E1140/($I1133-SUM($K1133:Q1133))*R1156*(R1156&gt;Q1156),0)</f>
        <v>0</v>
      </c>
      <c r="S1140" s="470">
        <f>IFERROR($I1133*$E1140/($I1133-SUM($K1133:R1133))*S1156*(S1156&gt;R1156),0)</f>
        <v>0</v>
      </c>
      <c r="T1140" s="470">
        <f>IFERROR($I1133*$E1140/($I1133-SUM($K1133:S1133))*T1156*(T1156&gt;S1156),0)</f>
        <v>0</v>
      </c>
      <c r="U1140" s="470">
        <f>IFERROR($I1133*$E1140/($I1133-SUM($K1133:T1133))*U1156*(U1156&gt;T1156),0)</f>
        <v>0</v>
      </c>
      <c r="V1140" s="470">
        <f>IFERROR($I1133*$E1140/($I1133-SUM($K1133:U1133))*V1156*(V1156&gt;U1156),0)</f>
        <v>0</v>
      </c>
      <c r="W1140" s="470">
        <f>IFERROR($I1133*$E1140/($I1133-SUM($K1133:V1133))*W1156*(W1156&gt;V1156),0)</f>
        <v>0</v>
      </c>
      <c r="X1140" s="470">
        <f>IFERROR($I1133*$E1140/($I1133-SUM($K1133:W1133))*X1156*(X1156&gt;W1156),0)</f>
        <v>0</v>
      </c>
      <c r="Y1140" s="470">
        <f>IFERROR($I1133*$E1140/($I1133-SUM($K1133:X1133))*Y1156*(Y1156&gt;X1156),0)</f>
        <v>0</v>
      </c>
      <c r="Z1140" s="470">
        <f>IFERROR($I1133*$E1140/($I1133-SUM($K1133:Y1133))*Z1156*(Z1156&gt;Y1156),0)</f>
        <v>0</v>
      </c>
      <c r="AA1140" s="470">
        <f>IFERROR($I1133*$E1140/($I1133-SUM($K1133:Z1133))*AA1156*(AA1156&gt;Z1156),0)</f>
        <v>0</v>
      </c>
      <c r="AB1140" s="470">
        <f>IFERROR($I1133*$E1140/($I1133-SUM($K1133:AA1133))*AB1156*(AB1156&gt;AA1156),0)</f>
        <v>0</v>
      </c>
      <c r="AC1140" s="470">
        <f>IFERROR($I1133*$E1140/($I1133-SUM($K1133:AB1133))*AC1156*(AC1156&gt;AB1156),0)</f>
        <v>0</v>
      </c>
      <c r="AD1140" s="470">
        <f>IFERROR($I1133*$E1140/($I1133-SUM($K1133:AC1133))*AD1156*(AD1156&gt;AC1156),0)</f>
        <v>0</v>
      </c>
      <c r="AE1140" s="470">
        <f>IFERROR($I1133*$E1140/($I1133-SUM($K1133:AD1133))*AE1156*(AE1156&gt;AD1156),0)</f>
        <v>0</v>
      </c>
      <c r="AF1140" s="470">
        <f>IFERROR($I1133*$E1140/($I1133-SUM($K1133:AE1133))*AF1156*(AF1156&gt;AE1156),0)</f>
        <v>0</v>
      </c>
      <c r="AG1140" s="470">
        <f>IFERROR($I1133*$E1140/($I1133-SUM($K1133:AF1133))*AG1156*(AG1156&gt;AF1156),0)</f>
        <v>0</v>
      </c>
      <c r="AH1140" s="470">
        <f>IFERROR($I1133*$E1140/($I1133-SUM($K1133:AG1133))*AH1156*(AH1156&gt;AG1156),0)</f>
        <v>0</v>
      </c>
      <c r="AI1140" s="470">
        <f>IFERROR($I1133*$E1140/($I1133-SUM($K1133:AH1133))*AI1156*(AI1156&gt;AH1156),0)</f>
        <v>0</v>
      </c>
      <c r="AJ1140" s="470">
        <f>IFERROR($I1133*$E1140/($I1133-SUM($K1133:AI1133))*AJ1156*(AJ1156&gt;AI1156),0)</f>
        <v>0</v>
      </c>
      <c r="AK1140" s="470">
        <f>IFERROR($I1133*$E1140/($I1133-SUM($K1133:AJ1133))*AK1156*(AK1156&gt;AJ1156),0)</f>
        <v>0</v>
      </c>
      <c r="AL1140" s="470">
        <f>IFERROR($I1133*$E1140/($I1133-SUM($K1133:AK1133))*AL1156*(AL1156&gt;AK1156),0)</f>
        <v>0</v>
      </c>
      <c r="AM1140" s="470">
        <f>IFERROR($I1133*$E1140/($I1133-SUM($K1133:AL1133))*AM1156*(AM1156&gt;AL1156),0)</f>
        <v>0</v>
      </c>
      <c r="AN1140" s="470">
        <f>IFERROR($I1133*$E1140/($I1133-SUM($K1133:AM1133))*AN1156*(AN1156&gt;AM1156),0)</f>
        <v>0</v>
      </c>
      <c r="AO1140" s="470">
        <f>IFERROR($I1133*$E1140/($I1133-SUM($K1133:AN1133))*AO1156*(AO1156&gt;AN1156),0)</f>
        <v>0</v>
      </c>
      <c r="AP1140" s="470">
        <f>IFERROR($I1133*$E1140/($I1133-SUM($K1133:AO1133))*AP1156*(AP1156&gt;AO1156),0)</f>
        <v>0</v>
      </c>
      <c r="AQ1140" s="470">
        <f>IFERROR($I1133*$E1140/($I1133-SUM($K1133:AP1133))*AQ1156*(AQ1156&gt;AP1156),0)</f>
        <v>0</v>
      </c>
      <c r="AR1140" s="470">
        <f>IFERROR($I1133*$E1140/($I1133-SUM($K1133:AQ1133))*AR1156*(AR1156&gt;AQ1156),0)</f>
        <v>0</v>
      </c>
      <c r="AS1140" s="470">
        <f>IFERROR($I1133*$E1140/($I1133-SUM($K1133:AR1133))*AS1156*(AS1156&gt;AR1156),0)</f>
        <v>0</v>
      </c>
      <c r="AT1140" s="470">
        <f>IFERROR($I1133*$E1140/($I1133-SUM($K1133:AS1133))*AT1156*(AT1156&gt;AS1156),0)</f>
        <v>0</v>
      </c>
      <c r="AU1140" s="470">
        <f>IFERROR($I1133*$E1140/($I1133-SUM($K1133:AT1133))*AU1156*(AU1156&gt;AT1156),0)</f>
        <v>0</v>
      </c>
      <c r="AV1140" s="470">
        <f>IFERROR($I1133*$E1140/($I1133-SUM($K1133:AU1133))*AV1156*(AV1156&gt;AU1156),0)</f>
        <v>0</v>
      </c>
      <c r="AW1140" s="470">
        <f>IFERROR($I1133*$E1140/($I1133-SUM($K1133:AV1133))*AW1156*(AW1156&gt;AV1156),0)</f>
        <v>0</v>
      </c>
      <c r="AX1140" s="470">
        <f>IFERROR($I1133*$E1140/($I1133-SUM($K1133:AW1133))*AX1156*(AX1156&gt;AW1156),0)</f>
        <v>0</v>
      </c>
      <c r="AY1140" s="470">
        <f>IFERROR($I1133*$E1140/($I1133-SUM($K1133:AX1133))*AY1156*(AY1156&gt;AX1156),0)</f>
        <v>0</v>
      </c>
      <c r="AZ1140" s="470">
        <f>IFERROR($I1133*$E1140/($I1133-SUM($K1133:AY1133))*AZ1156*(AZ1156&gt;AY1156),0)</f>
        <v>0</v>
      </c>
      <c r="BA1140" s="470">
        <f>IFERROR($I1133*$E1140/($I1133-SUM($K1133:AZ1133))*BA1156*(BA1156&gt;AZ1156),0)</f>
        <v>0</v>
      </c>
      <c r="BB1140" s="470">
        <f>IFERROR($I1133*$E1140/($I1133-SUM($K1133:BA1133))*BB1156*(BB1156&gt;BA1156),0)</f>
        <v>0</v>
      </c>
      <c r="BC1140" s="470">
        <f>IFERROR($I1133*$E1140/($I1133-SUM($K1133:BB1133))*BC1156*(BC1156&gt;BB1156),0)</f>
        <v>0</v>
      </c>
      <c r="BD1140" s="470">
        <f>IFERROR($I1133*$E1140/($I1133-SUM($K1133:BC1133))*BD1156*(BD1156&gt;BC1156),0)</f>
        <v>0</v>
      </c>
      <c r="BE1140" s="470">
        <f>IFERROR($I1133*$E1140/($I1133-SUM($K1133:BD1133))*BE1156*(BE1156&gt;BD1156),0)</f>
        <v>0</v>
      </c>
      <c r="BF1140" s="470">
        <f>IFERROR($I1133*$E1140/($I1133-SUM($K1133:BE1133))*BF1156*(BF1156&gt;BE1156),0)</f>
        <v>0</v>
      </c>
      <c r="BG1140" s="470">
        <f>IFERROR($I1133*$E1140/($I1133-SUM($K1133:BF1133))*BG1156*(BG1156&gt;BF1156),0)</f>
        <v>0</v>
      </c>
      <c r="BH1140" s="470">
        <f>IFERROR($I1133*$E1140/($I1133-SUM($K1133:BG1133))*BH1156*(BH1156&gt;BG1156),0)</f>
        <v>0</v>
      </c>
      <c r="BI1140" s="470">
        <f>IFERROR($I1133*$E1140/($I1133-SUM($K1133:BH1133))*BI1156*(BI1156&gt;BH1156),0)</f>
        <v>0</v>
      </c>
      <c r="BJ1140" s="470">
        <f>IFERROR($I1133*$E1140/($I1133-SUM($K1133:BI1133))*BJ1156*(BJ1156&gt;BI1156),0)</f>
        <v>0</v>
      </c>
      <c r="BK1140" s="470">
        <f>IFERROR($I1133*$E1140/($I1133-SUM($K1133:BJ1133))*BK1156*(BK1156&gt;BJ1156),0)</f>
        <v>0</v>
      </c>
      <c r="BL1140" s="470">
        <f>IFERROR($I1133*$E1140/($I1133-SUM($K1133:BK1133))*BL1156*(BL1156&gt;BK1156),0)</f>
        <v>0</v>
      </c>
      <c r="BM1140" s="470">
        <f>IFERROR($I1133*$E1140/($I1133-SUM($K1133:BL1133))*BM1156*(BM1156&gt;BL1156),0)</f>
        <v>0</v>
      </c>
      <c r="BN1140" s="470">
        <f>IFERROR($I1133*$E1140/($I1133-SUM($K1133:BM1133))*BN1156*(BN1156&gt;BM1156),0)</f>
        <v>0</v>
      </c>
      <c r="BO1140" s="470">
        <f>IFERROR($I1133*$E1140/($I1133-SUM($K1133:BN1133))*BO1156*(BO1156&gt;BN1156),0)</f>
        <v>0</v>
      </c>
      <c r="BP1140" s="470">
        <f>IFERROR($I1133*$E1140/($I1133-SUM($K1133:BO1133))*BP1156*(BP1156&gt;BO1156),0)</f>
        <v>0</v>
      </c>
      <c r="BQ1140" s="470">
        <f>IFERROR($I1133*$E1140/($I1133-SUM($K1133:BP1133))*BQ1156*(BQ1156&gt;BP1156),0)</f>
        <v>0</v>
      </c>
      <c r="BR1140" s="470">
        <f>IFERROR($I1133*$E1140/($I1133-SUM($K1133:BQ1133))*BR1156*(BR1156&gt;BQ1156),0)</f>
        <v>0</v>
      </c>
      <c r="BS1140" s="470">
        <f>IFERROR($I1133*$E1140/($I1133-SUM($K1133:BR1133))*BS1156*(BS1156&gt;BR1156),0)</f>
        <v>0</v>
      </c>
      <c r="BT1140" s="470">
        <f>IFERROR($I1133*$E1140/($I1133-SUM($K1133:BS1133))*BT1156*(BT1156&gt;BS1156),0)</f>
        <v>0</v>
      </c>
      <c r="BU1140" s="470">
        <f>IFERROR($I1133*$E1140/($I1133-SUM($K1133:BT1133))*BU1156*(BU1156&gt;BT1156),0)</f>
        <v>0</v>
      </c>
      <c r="BV1140" s="470">
        <f>IFERROR($I1133*$E1140/($I1133-SUM($K1133:BU1133))*BV1156*(BV1156&gt;BU1156),0)</f>
        <v>0</v>
      </c>
      <c r="BW1140" s="470">
        <f>IFERROR($I1133*$E1140/($I1133-SUM($K1133:BV1133))*BW1156*(BW1156&gt;BV1156),0)</f>
        <v>0</v>
      </c>
      <c r="BX1140" s="470">
        <f>IFERROR($I1133*$E1140/($I1133-SUM($K1133:BW1133))*BX1156*(BX1156&gt;BW1156),0)</f>
        <v>0</v>
      </c>
      <c r="BY1140" s="470">
        <f>IFERROR($I1133*$E1140/($I1133-SUM($K1133:BX1133))*BY1156*(BY1156&gt;BX1156),0)</f>
        <v>0</v>
      </c>
      <c r="BZ1140" s="470">
        <f>IFERROR($I1133*$E1140/($I1133-SUM($K1133:BY1133))*BZ1156*(BZ1156&gt;BY1156),0)</f>
        <v>0</v>
      </c>
      <c r="CA1140" s="470">
        <f>IFERROR($I1133*$E1140/($I1133-SUM($K1133:BZ1133))*CA1156*(CA1156&gt;BZ1156),0)</f>
        <v>0</v>
      </c>
      <c r="CB1140" s="470">
        <f>IFERROR($I1133*$E1140/($I1133-SUM($K1133:CA1133))*CB1156*(CB1156&gt;CA1156),0)</f>
        <v>0</v>
      </c>
      <c r="CC1140" s="470">
        <f>IFERROR($I1133*$E1140/($I1133-SUM($K1133:CB1133))*CC1156*(CC1156&gt;CB1156),0)</f>
        <v>0</v>
      </c>
      <c r="CD1140" s="470">
        <f>IFERROR($I1133*$E1140/($I1133-SUM($K1133:CC1133))*CD1156*(CD1156&gt;CC1156),0)</f>
        <v>0</v>
      </c>
      <c r="CE1140" s="470">
        <f>IFERROR($I1133*$E1140/($I1133-SUM($K1133:CD1133))*CE1156*(CE1156&gt;CD1156),0)</f>
        <v>0</v>
      </c>
      <c r="CF1140" s="470">
        <f>IFERROR($I1133*$E1140/($I1133-SUM($K1133:CE1133))*CF1156*(CF1156&gt;CE1156),0)</f>
        <v>0</v>
      </c>
      <c r="CG1140" s="470">
        <f>IFERROR($I1133*$E1140/($I1133-SUM($K1133:CF1133))*CG1156*(CG1156&gt;CF1156),0)</f>
        <v>0</v>
      </c>
      <c r="CH1140" s="470">
        <f>IFERROR($I1133*$E1140/($I1133-SUM($K1133:CG1133))*CH1156*(CH1156&gt;CG1156),0)</f>
        <v>0</v>
      </c>
      <c r="CI1140" s="470">
        <f>IFERROR($I1133*$E1140/($I1133-SUM($K1133:CH1133))*CI1156*(CI1156&gt;CH1156),0)</f>
        <v>0</v>
      </c>
      <c r="CJ1140" s="470">
        <f>IFERROR($I1133*$E1140/($I1133-SUM($K1133:CI1133))*CJ1156*(CJ1156&gt;CI1156),0)</f>
        <v>0</v>
      </c>
      <c r="CK1140" s="470">
        <f>IFERROR($I1133*$E1140/($I1133-SUM($K1133:CJ1133))*CK1156*(CK1156&gt;CJ1156),0)</f>
        <v>0</v>
      </c>
      <c r="CL1140" s="470">
        <f>IFERROR($I1133*$E1140/($I1133-SUM($K1133:CK1133))*CL1156*(CL1156&gt;CK1156),0)</f>
        <v>0</v>
      </c>
      <c r="CM1140" s="470">
        <f>IFERROR($I1133*$E1140/($I1133-SUM($K1133:CL1133))*CM1156*(CM1156&gt;CL1156),0)</f>
        <v>0</v>
      </c>
      <c r="CN1140" s="470">
        <f>IFERROR($I1133*$E1140/($I1133-SUM($K1133:CM1133))*CN1156*(CN1156&gt;CM1156),0)</f>
        <v>0</v>
      </c>
      <c r="CO1140" s="470">
        <f>IFERROR($I1133*$E1140/($I1133-SUM($K1133:CN1133))*CO1156*(CO1156&gt;CN1156),0)</f>
        <v>0</v>
      </c>
      <c r="CP1140" s="10"/>
    </row>
    <row r="1141" spans="1:94">
      <c r="A1141" s="10"/>
      <c r="B1141" s="10"/>
      <c r="C1141" s="405" t="s">
        <v>1144</v>
      </c>
      <c r="D1141" s="10"/>
      <c r="E1141" s="188" t="str">
        <f>Предпосылки!E597</f>
        <v>да</v>
      </c>
      <c r="F1141" s="10"/>
      <c r="G1141" s="11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  <c r="BB1141" s="10"/>
      <c r="BC1141" s="10"/>
      <c r="BD1141" s="10"/>
      <c r="BE1141" s="10"/>
      <c r="BF1141" s="10"/>
      <c r="BG1141" s="10"/>
      <c r="BH1141" s="10"/>
      <c r="BI1141" s="10"/>
      <c r="BJ1141" s="10"/>
      <c r="BK1141" s="10"/>
      <c r="BL1141" s="10"/>
      <c r="BM1141" s="10"/>
      <c r="BN1141" s="10"/>
      <c r="BO1141" s="10"/>
      <c r="BP1141" s="10"/>
      <c r="BQ1141" s="10"/>
      <c r="BR1141" s="10"/>
      <c r="BS1141" s="10"/>
      <c r="BT1141" s="10"/>
      <c r="BU1141" s="10"/>
      <c r="BV1141" s="10"/>
      <c r="BW1141" s="10"/>
      <c r="BX1141" s="10"/>
      <c r="BY1141" s="10"/>
      <c r="BZ1141" s="10"/>
      <c r="CA1141" s="10"/>
      <c r="CB1141" s="10"/>
      <c r="CC1141" s="10"/>
      <c r="CD1141" s="10"/>
      <c r="CE1141" s="10"/>
      <c r="CF1141" s="10"/>
      <c r="CG1141" s="10"/>
      <c r="CH1141" s="10"/>
      <c r="CI1141" s="10"/>
      <c r="CJ1141" s="10"/>
      <c r="CK1141" s="10"/>
      <c r="CL1141" s="10"/>
      <c r="CM1141" s="10"/>
      <c r="CN1141" s="10"/>
      <c r="CO1141" s="10"/>
    </row>
    <row r="1142" spans="1:94">
      <c r="A1142" s="10"/>
      <c r="B1142" s="10"/>
      <c r="C1142" s="17" t="s">
        <v>1199</v>
      </c>
      <c r="D1142" s="10"/>
      <c r="E1142" s="188" t="str">
        <f>Предпосылки!E599</f>
        <v>да</v>
      </c>
      <c r="F1142" s="10"/>
      <c r="G1142" s="11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  <c r="BB1142" s="10"/>
      <c r="BC1142" s="10"/>
      <c r="BD1142" s="10"/>
      <c r="BE1142" s="10"/>
      <c r="BF1142" s="10"/>
      <c r="BG1142" s="10"/>
      <c r="BH1142" s="10"/>
      <c r="BI1142" s="10"/>
      <c r="BJ1142" s="10"/>
      <c r="BK1142" s="10"/>
      <c r="BL1142" s="10"/>
      <c r="BM1142" s="10"/>
      <c r="BN1142" s="10"/>
      <c r="BO1142" s="10"/>
      <c r="BP1142" s="10"/>
      <c r="BQ1142" s="10"/>
      <c r="BR1142" s="10"/>
      <c r="BS1142" s="10"/>
      <c r="BT1142" s="10"/>
      <c r="BU1142" s="10"/>
      <c r="BV1142" s="10"/>
      <c r="BW1142" s="10"/>
      <c r="BX1142" s="10"/>
      <c r="BY1142" s="10"/>
      <c r="BZ1142" s="10"/>
      <c r="CA1142" s="10"/>
      <c r="CB1142" s="10"/>
      <c r="CC1142" s="10"/>
      <c r="CD1142" s="10"/>
      <c r="CE1142" s="10"/>
      <c r="CF1142" s="10"/>
      <c r="CG1142" s="10"/>
      <c r="CH1142" s="10"/>
      <c r="CI1142" s="10"/>
      <c r="CJ1142" s="10"/>
      <c r="CK1142" s="10"/>
      <c r="CL1142" s="10"/>
      <c r="CM1142" s="10"/>
      <c r="CN1142" s="10"/>
      <c r="CO1142" s="10"/>
    </row>
    <row r="1143" spans="1:94">
      <c r="A1143" s="10"/>
      <c r="B1143" s="10"/>
      <c r="C1143" s="17" t="s">
        <v>485</v>
      </c>
      <c r="D1143" s="10"/>
      <c r="E1143" s="157"/>
      <c r="F1143" s="10"/>
      <c r="G1143" s="134" t="str">
        <f>Monetary_Unit</f>
        <v>тыс. руб.</v>
      </c>
      <c r="H1143" s="10"/>
      <c r="I1143" s="23">
        <f>SUM(L1143:CO1143)</f>
        <v>4616063.5245886445</v>
      </c>
      <c r="J1143" s="10"/>
      <c r="K1143" s="10"/>
      <c r="L1143" s="10">
        <f t="shared" ref="L1143:BW1143" si="7354">L$1156*MAX(L$1139,0)</f>
        <v>0</v>
      </c>
      <c r="M1143" s="10">
        <f t="shared" si="7354"/>
        <v>0</v>
      </c>
      <c r="N1143" s="10">
        <f t="shared" si="7354"/>
        <v>0</v>
      </c>
      <c r="O1143" s="10">
        <f t="shared" si="7354"/>
        <v>0</v>
      </c>
      <c r="P1143" s="10">
        <f t="shared" si="7354"/>
        <v>0</v>
      </c>
      <c r="Q1143" s="10">
        <f t="shared" si="7354"/>
        <v>0</v>
      </c>
      <c r="R1143" s="10">
        <f t="shared" si="7354"/>
        <v>0</v>
      </c>
      <c r="S1143" s="10">
        <f t="shared" si="7354"/>
        <v>93075.219462963287</v>
      </c>
      <c r="T1143" s="10">
        <f t="shared" si="7354"/>
        <v>286615.12444031495</v>
      </c>
      <c r="U1143" s="10">
        <f t="shared" si="7354"/>
        <v>289439.25978450867</v>
      </c>
      <c r="V1143" s="10">
        <f t="shared" si="7354"/>
        <v>292291.22248239798</v>
      </c>
      <c r="W1143" s="10">
        <f t="shared" si="7354"/>
        <v>295171.2867282122</v>
      </c>
      <c r="X1143" s="10">
        <f t="shared" si="7354"/>
        <v>622512.40131001174</v>
      </c>
      <c r="Y1143" s="10">
        <f t="shared" si="7354"/>
        <v>628646.26908189419</v>
      </c>
      <c r="Z1143" s="10">
        <f t="shared" si="7354"/>
        <v>634840.57634665037</v>
      </c>
      <c r="AA1143" s="10">
        <f t="shared" si="7354"/>
        <v>641095.91863917548</v>
      </c>
      <c r="AB1143" s="10">
        <f t="shared" si="7354"/>
        <v>832376.24631251558</v>
      </c>
      <c r="AC1143" s="10">
        <f t="shared" si="7354"/>
        <v>0</v>
      </c>
      <c r="AD1143" s="10">
        <f t="shared" si="7354"/>
        <v>0</v>
      </c>
      <c r="AE1143" s="10">
        <f t="shared" si="7354"/>
        <v>0</v>
      </c>
      <c r="AF1143" s="10">
        <f t="shared" si="7354"/>
        <v>0</v>
      </c>
      <c r="AG1143" s="10">
        <f t="shared" si="7354"/>
        <v>0</v>
      </c>
      <c r="AH1143" s="10">
        <f t="shared" si="7354"/>
        <v>0</v>
      </c>
      <c r="AI1143" s="10">
        <f t="shared" si="7354"/>
        <v>0</v>
      </c>
      <c r="AJ1143" s="10">
        <f t="shared" si="7354"/>
        <v>0</v>
      </c>
      <c r="AK1143" s="10">
        <f t="shared" si="7354"/>
        <v>0</v>
      </c>
      <c r="AL1143" s="10">
        <f t="shared" si="7354"/>
        <v>0</v>
      </c>
      <c r="AM1143" s="10">
        <f t="shared" si="7354"/>
        <v>0</v>
      </c>
      <c r="AN1143" s="10">
        <f t="shared" si="7354"/>
        <v>0</v>
      </c>
      <c r="AO1143" s="10">
        <f t="shared" si="7354"/>
        <v>0</v>
      </c>
      <c r="AP1143" s="10">
        <f t="shared" si="7354"/>
        <v>0</v>
      </c>
      <c r="AQ1143" s="10">
        <f t="shared" si="7354"/>
        <v>0</v>
      </c>
      <c r="AR1143" s="10">
        <f t="shared" si="7354"/>
        <v>0</v>
      </c>
      <c r="AS1143" s="10">
        <f t="shared" si="7354"/>
        <v>0</v>
      </c>
      <c r="AT1143" s="10">
        <f t="shared" si="7354"/>
        <v>0</v>
      </c>
      <c r="AU1143" s="10">
        <f t="shared" si="7354"/>
        <v>0</v>
      </c>
      <c r="AV1143" s="10">
        <f t="shared" si="7354"/>
        <v>0</v>
      </c>
      <c r="AW1143" s="10">
        <f t="shared" si="7354"/>
        <v>0</v>
      </c>
      <c r="AX1143" s="10">
        <f t="shared" si="7354"/>
        <v>0</v>
      </c>
      <c r="AY1143" s="10">
        <f t="shared" si="7354"/>
        <v>0</v>
      </c>
      <c r="AZ1143" s="10">
        <f t="shared" si="7354"/>
        <v>0</v>
      </c>
      <c r="BA1143" s="10">
        <f t="shared" si="7354"/>
        <v>0</v>
      </c>
      <c r="BB1143" s="10">
        <f t="shared" si="7354"/>
        <v>0</v>
      </c>
      <c r="BC1143" s="10">
        <f t="shared" si="7354"/>
        <v>0</v>
      </c>
      <c r="BD1143" s="10">
        <f t="shared" si="7354"/>
        <v>0</v>
      </c>
      <c r="BE1143" s="10">
        <f t="shared" si="7354"/>
        <v>0</v>
      </c>
      <c r="BF1143" s="10">
        <f t="shared" si="7354"/>
        <v>0</v>
      </c>
      <c r="BG1143" s="10">
        <f t="shared" si="7354"/>
        <v>0</v>
      </c>
      <c r="BH1143" s="10">
        <f t="shared" si="7354"/>
        <v>0</v>
      </c>
      <c r="BI1143" s="10">
        <f t="shared" si="7354"/>
        <v>0</v>
      </c>
      <c r="BJ1143" s="10">
        <f t="shared" si="7354"/>
        <v>0</v>
      </c>
      <c r="BK1143" s="10">
        <f t="shared" si="7354"/>
        <v>0</v>
      </c>
      <c r="BL1143" s="10">
        <f t="shared" si="7354"/>
        <v>0</v>
      </c>
      <c r="BM1143" s="10">
        <f t="shared" si="7354"/>
        <v>0</v>
      </c>
      <c r="BN1143" s="10">
        <f t="shared" si="7354"/>
        <v>0</v>
      </c>
      <c r="BO1143" s="10">
        <f t="shared" si="7354"/>
        <v>0</v>
      </c>
      <c r="BP1143" s="10">
        <f t="shared" si="7354"/>
        <v>0</v>
      </c>
      <c r="BQ1143" s="10">
        <f t="shared" si="7354"/>
        <v>0</v>
      </c>
      <c r="BR1143" s="10">
        <f t="shared" si="7354"/>
        <v>0</v>
      </c>
      <c r="BS1143" s="10">
        <f t="shared" si="7354"/>
        <v>0</v>
      </c>
      <c r="BT1143" s="10">
        <f t="shared" si="7354"/>
        <v>0</v>
      </c>
      <c r="BU1143" s="10">
        <f t="shared" si="7354"/>
        <v>0</v>
      </c>
      <c r="BV1143" s="10">
        <f t="shared" si="7354"/>
        <v>0</v>
      </c>
      <c r="BW1143" s="10">
        <f t="shared" si="7354"/>
        <v>0</v>
      </c>
      <c r="BX1143" s="10">
        <f t="shared" ref="BX1143:CO1143" si="7355">BX$1156*MAX(BX$1139,0)</f>
        <v>0</v>
      </c>
      <c r="BY1143" s="10">
        <f t="shared" si="7355"/>
        <v>0</v>
      </c>
      <c r="BZ1143" s="10">
        <f t="shared" si="7355"/>
        <v>0</v>
      </c>
      <c r="CA1143" s="10">
        <f t="shared" si="7355"/>
        <v>0</v>
      </c>
      <c r="CB1143" s="10">
        <f t="shared" si="7355"/>
        <v>0</v>
      </c>
      <c r="CC1143" s="10">
        <f t="shared" si="7355"/>
        <v>0</v>
      </c>
      <c r="CD1143" s="10">
        <f t="shared" si="7355"/>
        <v>0</v>
      </c>
      <c r="CE1143" s="10">
        <f t="shared" si="7355"/>
        <v>0</v>
      </c>
      <c r="CF1143" s="10">
        <f t="shared" si="7355"/>
        <v>0</v>
      </c>
      <c r="CG1143" s="10">
        <f t="shared" si="7355"/>
        <v>0</v>
      </c>
      <c r="CH1143" s="10">
        <f t="shared" si="7355"/>
        <v>0</v>
      </c>
      <c r="CI1143" s="10">
        <f t="shared" si="7355"/>
        <v>0</v>
      </c>
      <c r="CJ1143" s="10">
        <f t="shared" si="7355"/>
        <v>0</v>
      </c>
      <c r="CK1143" s="10">
        <f t="shared" si="7355"/>
        <v>0</v>
      </c>
      <c r="CL1143" s="10">
        <f t="shared" si="7355"/>
        <v>0</v>
      </c>
      <c r="CM1143" s="10">
        <f t="shared" si="7355"/>
        <v>0</v>
      </c>
      <c r="CN1143" s="10">
        <f t="shared" si="7355"/>
        <v>0</v>
      </c>
      <c r="CO1143" s="10">
        <f t="shared" si="7355"/>
        <v>0</v>
      </c>
    </row>
    <row r="1144" spans="1:94" ht="15" thickBot="1">
      <c r="A1144" s="10"/>
      <c r="B1144" s="10"/>
      <c r="C1144" s="17" t="s">
        <v>486</v>
      </c>
      <c r="D1144" s="10"/>
      <c r="E1144" s="10"/>
      <c r="F1144" s="10"/>
      <c r="G1144" s="134" t="str">
        <f>Monetary_Unit</f>
        <v>тыс. руб.</v>
      </c>
      <c r="H1144" s="10"/>
      <c r="I1144" s="23">
        <f>SUM(L1144:CO1144)</f>
        <v>1409395.9556502979</v>
      </c>
      <c r="J1144" s="10"/>
      <c r="K1144" s="10"/>
      <c r="L1144" s="10">
        <f>L1138+MAX(L1139-L1143,0)+SUM(L1121:L1122)*($E$1141="да")</f>
        <v>31406.153379286916</v>
      </c>
      <c r="M1144" s="10">
        <f t="shared" ref="M1144:BX1144" si="7356">M1138+MAX(M1139-M1143,0)+SUM(M1121:M1122)*($E$1141="да")</f>
        <v>31851.960190507532</v>
      </c>
      <c r="N1144" s="10">
        <f t="shared" si="7356"/>
        <v>32304.095179220327</v>
      </c>
      <c r="O1144" s="10">
        <f t="shared" si="7356"/>
        <v>32762.648173192309</v>
      </c>
      <c r="P1144" s="10">
        <f t="shared" si="7356"/>
        <v>275591.46580799518</v>
      </c>
      <c r="Q1144" s="10">
        <f t="shared" si="7356"/>
        <v>278306.9805620276</v>
      </c>
      <c r="R1144" s="10">
        <f t="shared" si="7356"/>
        <v>281049.25238692126</v>
      </c>
      <c r="S1144" s="10">
        <f t="shared" si="7356"/>
        <v>191482.31721048584</v>
      </c>
      <c r="T1144" s="10">
        <f t="shared" si="7356"/>
        <v>6580.6543476469105</v>
      </c>
      <c r="U1144" s="10">
        <f t="shared" si="7356"/>
        <v>10424.828632825871</v>
      </c>
      <c r="V1144" s="10">
        <f t="shared" si="7356"/>
        <v>14389.449341359013</v>
      </c>
      <c r="W1144" s="10">
        <f t="shared" si="7356"/>
        <v>18277.447721111192</v>
      </c>
      <c r="X1144" s="10">
        <f t="shared" si="7356"/>
        <v>24140.856838778414</v>
      </c>
      <c r="Y1144" s="10">
        <f t="shared" si="7356"/>
        <v>32309.00587388641</v>
      </c>
      <c r="Z1144" s="10">
        <f t="shared" si="7356"/>
        <v>41003.327342873301</v>
      </c>
      <c r="AA1144" s="10">
        <f t="shared" si="7356"/>
        <v>49424.775082291708</v>
      </c>
      <c r="AB1144" s="10">
        <f t="shared" si="7356"/>
        <v>58090.737579888082</v>
      </c>
      <c r="AC1144" s="10">
        <f t="shared" si="7356"/>
        <v>0</v>
      </c>
      <c r="AD1144" s="10">
        <f t="shared" si="7356"/>
        <v>0</v>
      </c>
      <c r="AE1144" s="10">
        <f t="shared" si="7356"/>
        <v>0</v>
      </c>
      <c r="AF1144" s="10">
        <f t="shared" si="7356"/>
        <v>0</v>
      </c>
      <c r="AG1144" s="10">
        <f t="shared" si="7356"/>
        <v>0</v>
      </c>
      <c r="AH1144" s="10">
        <f t="shared" si="7356"/>
        <v>0</v>
      </c>
      <c r="AI1144" s="10">
        <f t="shared" si="7356"/>
        <v>0</v>
      </c>
      <c r="AJ1144" s="10">
        <f t="shared" si="7356"/>
        <v>0</v>
      </c>
      <c r="AK1144" s="10">
        <f t="shared" si="7356"/>
        <v>0</v>
      </c>
      <c r="AL1144" s="10">
        <f t="shared" si="7356"/>
        <v>0</v>
      </c>
      <c r="AM1144" s="10">
        <f t="shared" si="7356"/>
        <v>0</v>
      </c>
      <c r="AN1144" s="10">
        <f t="shared" si="7356"/>
        <v>0</v>
      </c>
      <c r="AO1144" s="10">
        <f t="shared" si="7356"/>
        <v>0</v>
      </c>
      <c r="AP1144" s="10">
        <f t="shared" si="7356"/>
        <v>0</v>
      </c>
      <c r="AQ1144" s="10">
        <f t="shared" si="7356"/>
        <v>0</v>
      </c>
      <c r="AR1144" s="10">
        <f t="shared" si="7356"/>
        <v>0</v>
      </c>
      <c r="AS1144" s="10">
        <f t="shared" si="7356"/>
        <v>0</v>
      </c>
      <c r="AT1144" s="10">
        <f t="shared" si="7356"/>
        <v>0</v>
      </c>
      <c r="AU1144" s="10">
        <f t="shared" si="7356"/>
        <v>0</v>
      </c>
      <c r="AV1144" s="10">
        <f t="shared" si="7356"/>
        <v>0</v>
      </c>
      <c r="AW1144" s="10">
        <f t="shared" si="7356"/>
        <v>0</v>
      </c>
      <c r="AX1144" s="10">
        <f t="shared" si="7356"/>
        <v>0</v>
      </c>
      <c r="AY1144" s="10">
        <f t="shared" si="7356"/>
        <v>0</v>
      </c>
      <c r="AZ1144" s="10">
        <f t="shared" si="7356"/>
        <v>0</v>
      </c>
      <c r="BA1144" s="10">
        <f t="shared" si="7356"/>
        <v>0</v>
      </c>
      <c r="BB1144" s="10">
        <f t="shared" si="7356"/>
        <v>0</v>
      </c>
      <c r="BC1144" s="10">
        <f t="shared" si="7356"/>
        <v>0</v>
      </c>
      <c r="BD1144" s="10">
        <f t="shared" si="7356"/>
        <v>0</v>
      </c>
      <c r="BE1144" s="10">
        <f t="shared" si="7356"/>
        <v>0</v>
      </c>
      <c r="BF1144" s="10">
        <f t="shared" si="7356"/>
        <v>0</v>
      </c>
      <c r="BG1144" s="10">
        <f t="shared" si="7356"/>
        <v>0</v>
      </c>
      <c r="BH1144" s="10">
        <f t="shared" si="7356"/>
        <v>0</v>
      </c>
      <c r="BI1144" s="10">
        <f t="shared" si="7356"/>
        <v>0</v>
      </c>
      <c r="BJ1144" s="10">
        <f t="shared" si="7356"/>
        <v>0</v>
      </c>
      <c r="BK1144" s="10">
        <f t="shared" si="7356"/>
        <v>0</v>
      </c>
      <c r="BL1144" s="10">
        <f t="shared" si="7356"/>
        <v>0</v>
      </c>
      <c r="BM1144" s="10">
        <f t="shared" si="7356"/>
        <v>0</v>
      </c>
      <c r="BN1144" s="10">
        <f t="shared" si="7356"/>
        <v>0</v>
      </c>
      <c r="BO1144" s="10">
        <f t="shared" si="7356"/>
        <v>0</v>
      </c>
      <c r="BP1144" s="10">
        <f t="shared" si="7356"/>
        <v>0</v>
      </c>
      <c r="BQ1144" s="10">
        <f t="shared" si="7356"/>
        <v>0</v>
      </c>
      <c r="BR1144" s="10">
        <f t="shared" si="7356"/>
        <v>0</v>
      </c>
      <c r="BS1144" s="10">
        <f t="shared" si="7356"/>
        <v>0</v>
      </c>
      <c r="BT1144" s="10">
        <f t="shared" si="7356"/>
        <v>0</v>
      </c>
      <c r="BU1144" s="10">
        <f t="shared" si="7356"/>
        <v>0</v>
      </c>
      <c r="BV1144" s="10">
        <f t="shared" si="7356"/>
        <v>0</v>
      </c>
      <c r="BW1144" s="10">
        <f t="shared" si="7356"/>
        <v>0</v>
      </c>
      <c r="BX1144" s="10">
        <f t="shared" si="7356"/>
        <v>0</v>
      </c>
      <c r="BY1144" s="10">
        <f t="shared" ref="BY1144:CO1144" si="7357">BY1138+MAX(BY1139-BY1143,0)+SUM(BY1121:BY1122)*($E$1141="да")</f>
        <v>0</v>
      </c>
      <c r="BZ1144" s="10">
        <f t="shared" si="7357"/>
        <v>0</v>
      </c>
      <c r="CA1144" s="10">
        <f t="shared" si="7357"/>
        <v>0</v>
      </c>
      <c r="CB1144" s="10">
        <f t="shared" si="7357"/>
        <v>0</v>
      </c>
      <c r="CC1144" s="10">
        <f t="shared" si="7357"/>
        <v>0</v>
      </c>
      <c r="CD1144" s="10">
        <f t="shared" si="7357"/>
        <v>0</v>
      </c>
      <c r="CE1144" s="10">
        <f t="shared" si="7357"/>
        <v>0</v>
      </c>
      <c r="CF1144" s="10">
        <f t="shared" si="7357"/>
        <v>0</v>
      </c>
      <c r="CG1144" s="10">
        <f t="shared" si="7357"/>
        <v>0</v>
      </c>
      <c r="CH1144" s="10">
        <f t="shared" si="7357"/>
        <v>0</v>
      </c>
      <c r="CI1144" s="10">
        <f t="shared" si="7357"/>
        <v>0</v>
      </c>
      <c r="CJ1144" s="10">
        <f t="shared" si="7357"/>
        <v>0</v>
      </c>
      <c r="CK1144" s="10">
        <f t="shared" si="7357"/>
        <v>0</v>
      </c>
      <c r="CL1144" s="10">
        <f t="shared" si="7357"/>
        <v>0</v>
      </c>
      <c r="CM1144" s="10">
        <f t="shared" si="7357"/>
        <v>0</v>
      </c>
      <c r="CN1144" s="10">
        <f t="shared" si="7357"/>
        <v>0</v>
      </c>
      <c r="CO1144" s="10">
        <f t="shared" si="7357"/>
        <v>0</v>
      </c>
    </row>
    <row r="1145" spans="1:94" ht="15" thickTop="1">
      <c r="A1145" s="172"/>
      <c r="B1145" s="35"/>
      <c r="C1145" s="173" t="s">
        <v>942</v>
      </c>
      <c r="D1145" s="49"/>
      <c r="E1145" s="49"/>
      <c r="F1145" s="49"/>
      <c r="G1145" s="159" t="str">
        <f>Monetary_Unit</f>
        <v>тыс. руб.</v>
      </c>
      <c r="H1145" s="49"/>
      <c r="I1145" s="176">
        <f>SUM(L1145:CO1145)</f>
        <v>6025459.4802389424</v>
      </c>
      <c r="J1145" s="49"/>
      <c r="K1145" s="49"/>
      <c r="L1145" s="49">
        <f t="shared" ref="L1145:R1145" si="7358">SUM(L1143:L1144)</f>
        <v>31406.153379286916</v>
      </c>
      <c r="M1145" s="49">
        <f t="shared" si="7358"/>
        <v>31851.960190507532</v>
      </c>
      <c r="N1145" s="49">
        <f t="shared" si="7358"/>
        <v>32304.095179220327</v>
      </c>
      <c r="O1145" s="49">
        <f t="shared" si="7358"/>
        <v>32762.648173192309</v>
      </c>
      <c r="P1145" s="49">
        <f t="shared" si="7358"/>
        <v>275591.46580799518</v>
      </c>
      <c r="Q1145" s="49">
        <f t="shared" si="7358"/>
        <v>278306.9805620276</v>
      </c>
      <c r="R1145" s="49">
        <f t="shared" si="7358"/>
        <v>281049.25238692126</v>
      </c>
      <c r="S1145" s="49">
        <f t="shared" ref="S1145" si="7359">SUM(S1143:S1144)</f>
        <v>284557.5366734491</v>
      </c>
      <c r="T1145" s="49">
        <f t="shared" ref="T1145:CE1145" si="7360">SUM(T1143:T1144)</f>
        <v>293195.77878796187</v>
      </c>
      <c r="U1145" s="49">
        <f t="shared" si="7360"/>
        <v>299864.08841733454</v>
      </c>
      <c r="V1145" s="49">
        <f t="shared" si="7360"/>
        <v>306680.671823757</v>
      </c>
      <c r="W1145" s="49">
        <f t="shared" si="7360"/>
        <v>313448.73444932338</v>
      </c>
      <c r="X1145" s="49">
        <f t="shared" si="7360"/>
        <v>646653.2581487901</v>
      </c>
      <c r="Y1145" s="49">
        <f t="shared" si="7360"/>
        <v>660955.27495578059</v>
      </c>
      <c r="Z1145" s="49">
        <f t="shared" si="7360"/>
        <v>675843.90368952369</v>
      </c>
      <c r="AA1145" s="49">
        <f t="shared" si="7360"/>
        <v>690520.69372146716</v>
      </c>
      <c r="AB1145" s="49">
        <f t="shared" si="7360"/>
        <v>890466.98389240366</v>
      </c>
      <c r="AC1145" s="49">
        <f t="shared" si="7360"/>
        <v>0</v>
      </c>
      <c r="AD1145" s="49">
        <f t="shared" si="7360"/>
        <v>0</v>
      </c>
      <c r="AE1145" s="49">
        <f t="shared" si="7360"/>
        <v>0</v>
      </c>
      <c r="AF1145" s="49">
        <f t="shared" si="7360"/>
        <v>0</v>
      </c>
      <c r="AG1145" s="49">
        <f t="shared" si="7360"/>
        <v>0</v>
      </c>
      <c r="AH1145" s="49">
        <f t="shared" si="7360"/>
        <v>0</v>
      </c>
      <c r="AI1145" s="49">
        <f t="shared" si="7360"/>
        <v>0</v>
      </c>
      <c r="AJ1145" s="49">
        <f t="shared" si="7360"/>
        <v>0</v>
      </c>
      <c r="AK1145" s="49">
        <f t="shared" si="7360"/>
        <v>0</v>
      </c>
      <c r="AL1145" s="49">
        <f t="shared" si="7360"/>
        <v>0</v>
      </c>
      <c r="AM1145" s="49">
        <f t="shared" si="7360"/>
        <v>0</v>
      </c>
      <c r="AN1145" s="49">
        <f t="shared" si="7360"/>
        <v>0</v>
      </c>
      <c r="AO1145" s="49">
        <f t="shared" si="7360"/>
        <v>0</v>
      </c>
      <c r="AP1145" s="49">
        <f t="shared" si="7360"/>
        <v>0</v>
      </c>
      <c r="AQ1145" s="49">
        <f t="shared" si="7360"/>
        <v>0</v>
      </c>
      <c r="AR1145" s="49">
        <f t="shared" si="7360"/>
        <v>0</v>
      </c>
      <c r="AS1145" s="49">
        <f t="shared" si="7360"/>
        <v>0</v>
      </c>
      <c r="AT1145" s="49">
        <f t="shared" si="7360"/>
        <v>0</v>
      </c>
      <c r="AU1145" s="49">
        <f t="shared" si="7360"/>
        <v>0</v>
      </c>
      <c r="AV1145" s="49">
        <f t="shared" si="7360"/>
        <v>0</v>
      </c>
      <c r="AW1145" s="49">
        <f t="shared" si="7360"/>
        <v>0</v>
      </c>
      <c r="AX1145" s="49">
        <f t="shared" si="7360"/>
        <v>0</v>
      </c>
      <c r="AY1145" s="49">
        <f t="shared" si="7360"/>
        <v>0</v>
      </c>
      <c r="AZ1145" s="49">
        <f t="shared" si="7360"/>
        <v>0</v>
      </c>
      <c r="BA1145" s="49">
        <f t="shared" si="7360"/>
        <v>0</v>
      </c>
      <c r="BB1145" s="49">
        <f t="shared" si="7360"/>
        <v>0</v>
      </c>
      <c r="BC1145" s="49">
        <f t="shared" si="7360"/>
        <v>0</v>
      </c>
      <c r="BD1145" s="49">
        <f t="shared" si="7360"/>
        <v>0</v>
      </c>
      <c r="BE1145" s="49">
        <f t="shared" si="7360"/>
        <v>0</v>
      </c>
      <c r="BF1145" s="49">
        <f t="shared" si="7360"/>
        <v>0</v>
      </c>
      <c r="BG1145" s="49">
        <f t="shared" si="7360"/>
        <v>0</v>
      </c>
      <c r="BH1145" s="49">
        <f t="shared" si="7360"/>
        <v>0</v>
      </c>
      <c r="BI1145" s="49">
        <f t="shared" si="7360"/>
        <v>0</v>
      </c>
      <c r="BJ1145" s="49">
        <f t="shared" si="7360"/>
        <v>0</v>
      </c>
      <c r="BK1145" s="49">
        <f t="shared" si="7360"/>
        <v>0</v>
      </c>
      <c r="BL1145" s="49">
        <f t="shared" si="7360"/>
        <v>0</v>
      </c>
      <c r="BM1145" s="49">
        <f t="shared" si="7360"/>
        <v>0</v>
      </c>
      <c r="BN1145" s="49">
        <f t="shared" si="7360"/>
        <v>0</v>
      </c>
      <c r="BO1145" s="49">
        <f t="shared" si="7360"/>
        <v>0</v>
      </c>
      <c r="BP1145" s="49">
        <f t="shared" si="7360"/>
        <v>0</v>
      </c>
      <c r="BQ1145" s="49">
        <f t="shared" si="7360"/>
        <v>0</v>
      </c>
      <c r="BR1145" s="49">
        <f t="shared" si="7360"/>
        <v>0</v>
      </c>
      <c r="BS1145" s="49">
        <f t="shared" si="7360"/>
        <v>0</v>
      </c>
      <c r="BT1145" s="49">
        <f t="shared" si="7360"/>
        <v>0</v>
      </c>
      <c r="BU1145" s="49">
        <f t="shared" si="7360"/>
        <v>0</v>
      </c>
      <c r="BV1145" s="49">
        <f t="shared" si="7360"/>
        <v>0</v>
      </c>
      <c r="BW1145" s="49">
        <f t="shared" si="7360"/>
        <v>0</v>
      </c>
      <c r="BX1145" s="49">
        <f t="shared" si="7360"/>
        <v>0</v>
      </c>
      <c r="BY1145" s="49">
        <f t="shared" si="7360"/>
        <v>0</v>
      </c>
      <c r="BZ1145" s="49">
        <f t="shared" si="7360"/>
        <v>0</v>
      </c>
      <c r="CA1145" s="49">
        <f t="shared" si="7360"/>
        <v>0</v>
      </c>
      <c r="CB1145" s="49">
        <f t="shared" si="7360"/>
        <v>0</v>
      </c>
      <c r="CC1145" s="49">
        <f t="shared" si="7360"/>
        <v>0</v>
      </c>
      <c r="CD1145" s="49">
        <f t="shared" si="7360"/>
        <v>0</v>
      </c>
      <c r="CE1145" s="49">
        <f t="shared" si="7360"/>
        <v>0</v>
      </c>
      <c r="CF1145" s="49">
        <f t="shared" ref="CF1145:CO1145" si="7361">SUM(CF1143:CF1144)</f>
        <v>0</v>
      </c>
      <c r="CG1145" s="49">
        <f t="shared" si="7361"/>
        <v>0</v>
      </c>
      <c r="CH1145" s="49">
        <f t="shared" si="7361"/>
        <v>0</v>
      </c>
      <c r="CI1145" s="49">
        <f t="shared" si="7361"/>
        <v>0</v>
      </c>
      <c r="CJ1145" s="49">
        <f t="shared" si="7361"/>
        <v>0</v>
      </c>
      <c r="CK1145" s="49">
        <f t="shared" si="7361"/>
        <v>0</v>
      </c>
      <c r="CL1145" s="49">
        <f t="shared" si="7361"/>
        <v>0</v>
      </c>
      <c r="CM1145" s="49">
        <f t="shared" si="7361"/>
        <v>0</v>
      </c>
      <c r="CN1145" s="49">
        <f t="shared" si="7361"/>
        <v>0</v>
      </c>
      <c r="CO1145" s="49">
        <f t="shared" si="7361"/>
        <v>0</v>
      </c>
    </row>
    <row r="1146" spans="1:94">
      <c r="A1146" s="10"/>
      <c r="B1146" s="10"/>
      <c r="C1146" s="10"/>
      <c r="D1146" s="10"/>
      <c r="E1146" s="10"/>
      <c r="F1146" s="10"/>
      <c r="G1146" s="11"/>
      <c r="H1146" s="10"/>
      <c r="I1146" s="231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  <c r="BB1146" s="10"/>
      <c r="BC1146" s="10"/>
      <c r="BD1146" s="10"/>
      <c r="BE1146" s="10"/>
      <c r="BF1146" s="10"/>
      <c r="BG1146" s="10"/>
      <c r="BH1146" s="10"/>
      <c r="BI1146" s="10"/>
      <c r="BJ1146" s="10"/>
      <c r="BK1146" s="10"/>
      <c r="BL1146" s="10"/>
      <c r="BM1146" s="10"/>
      <c r="BN1146" s="10"/>
      <c r="BO1146" s="10"/>
      <c r="BP1146" s="10"/>
      <c r="BQ1146" s="10"/>
      <c r="BR1146" s="10"/>
      <c r="BS1146" s="10"/>
      <c r="BT1146" s="10"/>
      <c r="BU1146" s="10"/>
      <c r="BV1146" s="10"/>
      <c r="BW1146" s="10"/>
      <c r="BX1146" s="10"/>
      <c r="BY1146" s="10"/>
      <c r="BZ1146" s="10"/>
      <c r="CA1146" s="10"/>
      <c r="CB1146" s="10"/>
      <c r="CC1146" s="10"/>
      <c r="CD1146" s="10"/>
      <c r="CE1146" s="10"/>
      <c r="CF1146" s="10"/>
      <c r="CG1146" s="10"/>
      <c r="CH1146" s="10"/>
      <c r="CI1146" s="10"/>
      <c r="CJ1146" s="10"/>
      <c r="CK1146" s="10"/>
      <c r="CL1146" s="10"/>
      <c r="CM1146" s="10"/>
      <c r="CN1146" s="10"/>
      <c r="CO1146" s="10"/>
    </row>
    <row r="1147" spans="1:94" ht="22.5" customHeight="1">
      <c r="A1147" s="10"/>
      <c r="B1147" s="5" t="s">
        <v>489</v>
      </c>
      <c r="C1147" s="5"/>
      <c r="D1147" s="15"/>
      <c r="E1147" s="5"/>
      <c r="F1147" s="5"/>
      <c r="G1147" s="6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</row>
    <row r="1148" spans="1:94">
      <c r="A1148" s="10"/>
      <c r="B1148" s="10"/>
      <c r="C1148" s="10"/>
      <c r="D1148" s="10"/>
      <c r="E1148" s="10"/>
      <c r="F1148" s="10"/>
      <c r="G1148" s="89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  <c r="BB1148" s="10"/>
      <c r="BC1148" s="10"/>
      <c r="BD1148" s="10"/>
      <c r="BE1148" s="10"/>
      <c r="BF1148" s="10"/>
      <c r="BG1148" s="10"/>
      <c r="BH1148" s="10"/>
      <c r="BI1148" s="10"/>
      <c r="BJ1148" s="10"/>
      <c r="BK1148" s="10"/>
      <c r="BL1148" s="10"/>
      <c r="BM1148" s="10"/>
      <c r="BN1148" s="10"/>
      <c r="BO1148" s="10"/>
      <c r="BP1148" s="10"/>
      <c r="BQ1148" s="10"/>
      <c r="BR1148" s="10"/>
      <c r="BS1148" s="10"/>
      <c r="BT1148" s="10"/>
      <c r="BU1148" s="10"/>
      <c r="BV1148" s="10"/>
      <c r="BW1148" s="10"/>
      <c r="BX1148" s="10"/>
      <c r="BY1148" s="10"/>
      <c r="BZ1148" s="10"/>
      <c r="CA1148" s="10"/>
      <c r="CB1148" s="10"/>
      <c r="CC1148" s="10"/>
      <c r="CD1148" s="10"/>
      <c r="CE1148" s="10"/>
      <c r="CF1148" s="10"/>
      <c r="CG1148" s="10"/>
      <c r="CH1148" s="10"/>
      <c r="CI1148" s="10"/>
      <c r="CJ1148" s="10"/>
      <c r="CK1148" s="10"/>
      <c r="CL1148" s="10"/>
      <c r="CM1148" s="10"/>
      <c r="CN1148" s="10"/>
      <c r="CO1148" s="10"/>
    </row>
    <row r="1149" spans="1:94" ht="16" thickBot="1">
      <c r="A1149" s="10"/>
      <c r="B1149" s="10"/>
      <c r="C1149" s="12" t="s">
        <v>169</v>
      </c>
      <c r="D1149" s="10"/>
      <c r="E1149" s="10"/>
      <c r="F1149" s="10"/>
      <c r="G1149" s="89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  <c r="BB1149" s="10"/>
      <c r="BC1149" s="10"/>
      <c r="BD1149" s="10"/>
      <c r="BE1149" s="10"/>
      <c r="BF1149" s="10"/>
      <c r="BG1149" s="10"/>
      <c r="BH1149" s="10"/>
      <c r="BI1149" s="10"/>
      <c r="BJ1149" s="10"/>
      <c r="BK1149" s="10"/>
      <c r="BL1149" s="10"/>
      <c r="BM1149" s="10"/>
      <c r="BN1149" s="10"/>
      <c r="BO1149" s="10"/>
      <c r="BP1149" s="10"/>
      <c r="BQ1149" s="10"/>
      <c r="BR1149" s="10"/>
      <c r="BS1149" s="10"/>
      <c r="BT1149" s="10"/>
      <c r="BU1149" s="10"/>
      <c r="BV1149" s="10"/>
      <c r="BW1149" s="10"/>
      <c r="BX1149" s="10"/>
      <c r="BY1149" s="10"/>
      <c r="BZ1149" s="10"/>
      <c r="CA1149" s="10"/>
      <c r="CB1149" s="10"/>
      <c r="CC1149" s="10"/>
      <c r="CD1149" s="10"/>
      <c r="CE1149" s="10"/>
      <c r="CF1149" s="10"/>
      <c r="CG1149" s="10"/>
      <c r="CH1149" s="10"/>
      <c r="CI1149" s="10"/>
      <c r="CJ1149" s="10"/>
      <c r="CK1149" s="10"/>
      <c r="CL1149" s="10"/>
      <c r="CM1149" s="10"/>
      <c r="CN1149" s="10"/>
      <c r="CO1149" s="10"/>
    </row>
    <row r="1150" spans="1:94">
      <c r="A1150" s="10"/>
      <c r="B1150" s="10"/>
      <c r="C1150" s="21"/>
      <c r="D1150" s="10"/>
      <c r="E1150" s="10"/>
      <c r="F1150" s="10"/>
      <c r="G1150" s="89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  <c r="BB1150" s="10"/>
      <c r="BC1150" s="10"/>
      <c r="BD1150" s="10"/>
      <c r="BE1150" s="10"/>
      <c r="BF1150" s="10"/>
      <c r="BG1150" s="10"/>
      <c r="BH1150" s="10"/>
      <c r="BI1150" s="10"/>
      <c r="BJ1150" s="10"/>
      <c r="BK1150" s="10"/>
      <c r="BL1150" s="10"/>
      <c r="BM1150" s="10"/>
      <c r="BN1150" s="10"/>
      <c r="BO1150" s="10"/>
      <c r="BP1150" s="10"/>
      <c r="BQ1150" s="10"/>
      <c r="BR1150" s="10"/>
      <c r="BS1150" s="10"/>
      <c r="BT1150" s="10"/>
      <c r="BU1150" s="10"/>
      <c r="BV1150" s="10"/>
      <c r="BW1150" s="10"/>
      <c r="BX1150" s="10"/>
      <c r="BY1150" s="10"/>
      <c r="BZ1150" s="10"/>
      <c r="CA1150" s="10"/>
      <c r="CB1150" s="10"/>
      <c r="CC1150" s="10"/>
      <c r="CD1150" s="10"/>
      <c r="CE1150" s="10"/>
      <c r="CF1150" s="10"/>
      <c r="CG1150" s="10"/>
      <c r="CH1150" s="10"/>
      <c r="CI1150" s="10"/>
      <c r="CJ1150" s="10"/>
      <c r="CK1150" s="10"/>
      <c r="CL1150" s="10"/>
      <c r="CM1150" s="10"/>
      <c r="CN1150" s="10"/>
      <c r="CO1150" s="10"/>
    </row>
    <row r="1151" spans="1:94">
      <c r="A1151" s="10"/>
      <c r="B1151" s="10"/>
      <c r="C1151" s="17" t="s">
        <v>943</v>
      </c>
      <c r="D1151" s="10"/>
      <c r="E1151" s="10"/>
      <c r="F1151" s="10"/>
      <c r="G1151" s="11" t="str">
        <f>MIN(L1151:AY1151) &amp; ".." &amp; MAX(L1151:AY1151)</f>
        <v>0..1</v>
      </c>
      <c r="H1151" s="10"/>
      <c r="I1151" s="10"/>
      <c r="J1151" s="10"/>
      <c r="K1151" s="10"/>
      <c r="L1151" s="79">
        <f t="shared" ref="L1151:BW1151" si="7362">Flag_Construction</f>
        <v>1</v>
      </c>
      <c r="M1151" s="79">
        <f t="shared" si="7362"/>
        <v>1</v>
      </c>
      <c r="N1151" s="79">
        <f t="shared" si="7362"/>
        <v>1</v>
      </c>
      <c r="O1151" s="79">
        <f t="shared" si="7362"/>
        <v>1</v>
      </c>
      <c r="P1151" s="79">
        <f t="shared" si="7362"/>
        <v>1</v>
      </c>
      <c r="Q1151" s="79">
        <f t="shared" si="7362"/>
        <v>1</v>
      </c>
      <c r="R1151" s="79">
        <f t="shared" si="7362"/>
        <v>1</v>
      </c>
      <c r="S1151" s="79">
        <f t="shared" si="7362"/>
        <v>1</v>
      </c>
      <c r="T1151" s="79">
        <f t="shared" si="7362"/>
        <v>1</v>
      </c>
      <c r="U1151" s="79">
        <f t="shared" si="7362"/>
        <v>1</v>
      </c>
      <c r="V1151" s="79">
        <f t="shared" si="7362"/>
        <v>1</v>
      </c>
      <c r="W1151" s="79">
        <f t="shared" si="7362"/>
        <v>1</v>
      </c>
      <c r="X1151" s="79">
        <f t="shared" si="7362"/>
        <v>1</v>
      </c>
      <c r="Y1151" s="79">
        <f t="shared" si="7362"/>
        <v>1</v>
      </c>
      <c r="Z1151" s="79">
        <f t="shared" si="7362"/>
        <v>1</v>
      </c>
      <c r="AA1151" s="79">
        <f t="shared" si="7362"/>
        <v>1</v>
      </c>
      <c r="AB1151" s="79">
        <f t="shared" si="7362"/>
        <v>1</v>
      </c>
      <c r="AC1151" s="79">
        <f t="shared" si="7362"/>
        <v>0</v>
      </c>
      <c r="AD1151" s="79">
        <f t="shared" si="7362"/>
        <v>0</v>
      </c>
      <c r="AE1151" s="79">
        <f t="shared" si="7362"/>
        <v>0</v>
      </c>
      <c r="AF1151" s="79">
        <f t="shared" si="7362"/>
        <v>0</v>
      </c>
      <c r="AG1151" s="79">
        <f t="shared" si="7362"/>
        <v>0</v>
      </c>
      <c r="AH1151" s="79">
        <f t="shared" si="7362"/>
        <v>0</v>
      </c>
      <c r="AI1151" s="79">
        <f t="shared" si="7362"/>
        <v>0</v>
      </c>
      <c r="AJ1151" s="79">
        <f t="shared" si="7362"/>
        <v>0</v>
      </c>
      <c r="AK1151" s="79">
        <f t="shared" si="7362"/>
        <v>0</v>
      </c>
      <c r="AL1151" s="79">
        <f t="shared" si="7362"/>
        <v>0</v>
      </c>
      <c r="AM1151" s="79">
        <f t="shared" si="7362"/>
        <v>0</v>
      </c>
      <c r="AN1151" s="79">
        <f t="shared" si="7362"/>
        <v>0</v>
      </c>
      <c r="AO1151" s="79">
        <f t="shared" si="7362"/>
        <v>0</v>
      </c>
      <c r="AP1151" s="79">
        <f t="shared" si="7362"/>
        <v>0</v>
      </c>
      <c r="AQ1151" s="79">
        <f t="shared" si="7362"/>
        <v>0</v>
      </c>
      <c r="AR1151" s="79">
        <f t="shared" si="7362"/>
        <v>0</v>
      </c>
      <c r="AS1151" s="79">
        <f t="shared" si="7362"/>
        <v>0</v>
      </c>
      <c r="AT1151" s="79">
        <f t="shared" si="7362"/>
        <v>0</v>
      </c>
      <c r="AU1151" s="79">
        <f t="shared" si="7362"/>
        <v>0</v>
      </c>
      <c r="AV1151" s="79">
        <f t="shared" si="7362"/>
        <v>0</v>
      </c>
      <c r="AW1151" s="79">
        <f t="shared" si="7362"/>
        <v>0</v>
      </c>
      <c r="AX1151" s="79">
        <f t="shared" si="7362"/>
        <v>0</v>
      </c>
      <c r="AY1151" s="79">
        <f t="shared" si="7362"/>
        <v>0</v>
      </c>
      <c r="AZ1151" s="79">
        <f t="shared" si="7362"/>
        <v>0</v>
      </c>
      <c r="BA1151" s="79">
        <f t="shared" si="7362"/>
        <v>0</v>
      </c>
      <c r="BB1151" s="79">
        <f t="shared" si="7362"/>
        <v>0</v>
      </c>
      <c r="BC1151" s="79">
        <f t="shared" si="7362"/>
        <v>0</v>
      </c>
      <c r="BD1151" s="79">
        <f t="shared" si="7362"/>
        <v>0</v>
      </c>
      <c r="BE1151" s="79">
        <f t="shared" si="7362"/>
        <v>0</v>
      </c>
      <c r="BF1151" s="79">
        <f t="shared" si="7362"/>
        <v>0</v>
      </c>
      <c r="BG1151" s="79">
        <f t="shared" si="7362"/>
        <v>0</v>
      </c>
      <c r="BH1151" s="79">
        <f t="shared" si="7362"/>
        <v>0</v>
      </c>
      <c r="BI1151" s="79">
        <f t="shared" si="7362"/>
        <v>0</v>
      </c>
      <c r="BJ1151" s="79">
        <f t="shared" si="7362"/>
        <v>0</v>
      </c>
      <c r="BK1151" s="79">
        <f t="shared" si="7362"/>
        <v>0</v>
      </c>
      <c r="BL1151" s="79">
        <f t="shared" si="7362"/>
        <v>0</v>
      </c>
      <c r="BM1151" s="79">
        <f t="shared" si="7362"/>
        <v>0</v>
      </c>
      <c r="BN1151" s="79">
        <f t="shared" si="7362"/>
        <v>0</v>
      </c>
      <c r="BO1151" s="79">
        <f t="shared" si="7362"/>
        <v>0</v>
      </c>
      <c r="BP1151" s="79">
        <f t="shared" si="7362"/>
        <v>0</v>
      </c>
      <c r="BQ1151" s="79">
        <f t="shared" si="7362"/>
        <v>0</v>
      </c>
      <c r="BR1151" s="79">
        <f t="shared" si="7362"/>
        <v>0</v>
      </c>
      <c r="BS1151" s="79">
        <f t="shared" si="7362"/>
        <v>0</v>
      </c>
      <c r="BT1151" s="79">
        <f t="shared" si="7362"/>
        <v>0</v>
      </c>
      <c r="BU1151" s="79">
        <f t="shared" si="7362"/>
        <v>0</v>
      </c>
      <c r="BV1151" s="79">
        <f t="shared" si="7362"/>
        <v>0</v>
      </c>
      <c r="BW1151" s="79">
        <f t="shared" si="7362"/>
        <v>0</v>
      </c>
      <c r="BX1151" s="79">
        <f t="shared" ref="BX1151:CO1151" si="7363">Flag_Construction</f>
        <v>0</v>
      </c>
      <c r="BY1151" s="79">
        <f t="shared" si="7363"/>
        <v>0</v>
      </c>
      <c r="BZ1151" s="79">
        <f t="shared" si="7363"/>
        <v>0</v>
      </c>
      <c r="CA1151" s="79">
        <f t="shared" si="7363"/>
        <v>0</v>
      </c>
      <c r="CB1151" s="79">
        <f t="shared" si="7363"/>
        <v>0</v>
      </c>
      <c r="CC1151" s="79">
        <f t="shared" si="7363"/>
        <v>0</v>
      </c>
      <c r="CD1151" s="79">
        <f t="shared" si="7363"/>
        <v>0</v>
      </c>
      <c r="CE1151" s="79">
        <f t="shared" si="7363"/>
        <v>0</v>
      </c>
      <c r="CF1151" s="79">
        <f t="shared" si="7363"/>
        <v>0</v>
      </c>
      <c r="CG1151" s="79">
        <f t="shared" si="7363"/>
        <v>0</v>
      </c>
      <c r="CH1151" s="79">
        <f t="shared" si="7363"/>
        <v>0</v>
      </c>
      <c r="CI1151" s="79">
        <f t="shared" si="7363"/>
        <v>0</v>
      </c>
      <c r="CJ1151" s="79">
        <f t="shared" si="7363"/>
        <v>0</v>
      </c>
      <c r="CK1151" s="79">
        <f t="shared" si="7363"/>
        <v>0</v>
      </c>
      <c r="CL1151" s="79">
        <f t="shared" si="7363"/>
        <v>0</v>
      </c>
      <c r="CM1151" s="79">
        <f t="shared" si="7363"/>
        <v>0</v>
      </c>
      <c r="CN1151" s="79">
        <f t="shared" si="7363"/>
        <v>0</v>
      </c>
      <c r="CO1151" s="79">
        <f t="shared" si="7363"/>
        <v>0</v>
      </c>
    </row>
    <row r="1152" spans="1:94">
      <c r="A1152" s="10"/>
      <c r="B1152" s="10"/>
      <c r="C1152" s="17" t="s">
        <v>487</v>
      </c>
      <c r="D1152" s="10"/>
      <c r="E1152" s="10"/>
      <c r="F1152" s="10"/>
      <c r="G1152" s="11" t="str">
        <f>Monetary_Unit</f>
        <v>тыс. руб.</v>
      </c>
      <c r="H1152" s="10"/>
      <c r="I1152" s="23">
        <f>SUM(L1152:CO1152)</f>
        <v>4616063.5245886445</v>
      </c>
      <c r="J1152" s="10"/>
      <c r="K1152" s="10"/>
      <c r="L1152" s="52">
        <f t="shared" ref="L1152:R1152" si="7364">MAX(L$1143,0)*L1156</f>
        <v>0</v>
      </c>
      <c r="M1152" s="52">
        <f t="shared" si="7364"/>
        <v>0</v>
      </c>
      <c r="N1152" s="52">
        <f t="shared" si="7364"/>
        <v>0</v>
      </c>
      <c r="O1152" s="52">
        <f t="shared" si="7364"/>
        <v>0</v>
      </c>
      <c r="P1152" s="52">
        <f t="shared" si="7364"/>
        <v>0</v>
      </c>
      <c r="Q1152" s="52">
        <f t="shared" si="7364"/>
        <v>0</v>
      </c>
      <c r="R1152" s="52">
        <f t="shared" si="7364"/>
        <v>0</v>
      </c>
      <c r="S1152" s="52">
        <f t="shared" ref="S1152" si="7365">MAX(S$1143,0)*S1156</f>
        <v>93075.219462963287</v>
      </c>
      <c r="T1152" s="52">
        <f t="shared" ref="T1152:CE1152" si="7366">MAX(T$1143,0)*T1156</f>
        <v>286615.12444031495</v>
      </c>
      <c r="U1152" s="52">
        <f t="shared" si="7366"/>
        <v>289439.25978450867</v>
      </c>
      <c r="V1152" s="52">
        <f t="shared" si="7366"/>
        <v>292291.22248239798</v>
      </c>
      <c r="W1152" s="52">
        <f t="shared" si="7366"/>
        <v>295171.2867282122</v>
      </c>
      <c r="X1152" s="52">
        <f t="shared" si="7366"/>
        <v>622512.40131001174</v>
      </c>
      <c r="Y1152" s="52">
        <f t="shared" si="7366"/>
        <v>628646.26908189419</v>
      </c>
      <c r="Z1152" s="52">
        <f t="shared" si="7366"/>
        <v>634840.57634665037</v>
      </c>
      <c r="AA1152" s="52">
        <f t="shared" si="7366"/>
        <v>641095.91863917548</v>
      </c>
      <c r="AB1152" s="52">
        <f t="shared" si="7366"/>
        <v>832376.24631251558</v>
      </c>
      <c r="AC1152" s="52">
        <f t="shared" si="7366"/>
        <v>0</v>
      </c>
      <c r="AD1152" s="52">
        <f t="shared" si="7366"/>
        <v>0</v>
      </c>
      <c r="AE1152" s="52">
        <f t="shared" si="7366"/>
        <v>0</v>
      </c>
      <c r="AF1152" s="52">
        <f t="shared" si="7366"/>
        <v>0</v>
      </c>
      <c r="AG1152" s="52">
        <f t="shared" si="7366"/>
        <v>0</v>
      </c>
      <c r="AH1152" s="52">
        <f t="shared" si="7366"/>
        <v>0</v>
      </c>
      <c r="AI1152" s="52">
        <f t="shared" si="7366"/>
        <v>0</v>
      </c>
      <c r="AJ1152" s="52">
        <f t="shared" si="7366"/>
        <v>0</v>
      </c>
      <c r="AK1152" s="52">
        <f t="shared" si="7366"/>
        <v>0</v>
      </c>
      <c r="AL1152" s="52">
        <f t="shared" si="7366"/>
        <v>0</v>
      </c>
      <c r="AM1152" s="52">
        <f t="shared" si="7366"/>
        <v>0</v>
      </c>
      <c r="AN1152" s="52">
        <f t="shared" si="7366"/>
        <v>0</v>
      </c>
      <c r="AO1152" s="52">
        <f t="shared" si="7366"/>
        <v>0</v>
      </c>
      <c r="AP1152" s="52">
        <f t="shared" si="7366"/>
        <v>0</v>
      </c>
      <c r="AQ1152" s="52">
        <f t="shared" si="7366"/>
        <v>0</v>
      </c>
      <c r="AR1152" s="52">
        <f t="shared" si="7366"/>
        <v>0</v>
      </c>
      <c r="AS1152" s="52">
        <f t="shared" si="7366"/>
        <v>0</v>
      </c>
      <c r="AT1152" s="52">
        <f t="shared" si="7366"/>
        <v>0</v>
      </c>
      <c r="AU1152" s="52">
        <f t="shared" si="7366"/>
        <v>0</v>
      </c>
      <c r="AV1152" s="52">
        <f t="shared" si="7366"/>
        <v>0</v>
      </c>
      <c r="AW1152" s="52">
        <f t="shared" si="7366"/>
        <v>0</v>
      </c>
      <c r="AX1152" s="52">
        <f t="shared" si="7366"/>
        <v>0</v>
      </c>
      <c r="AY1152" s="52">
        <f t="shared" si="7366"/>
        <v>0</v>
      </c>
      <c r="AZ1152" s="52">
        <f t="shared" si="7366"/>
        <v>0</v>
      </c>
      <c r="BA1152" s="52">
        <f t="shared" si="7366"/>
        <v>0</v>
      </c>
      <c r="BB1152" s="52">
        <f t="shared" si="7366"/>
        <v>0</v>
      </c>
      <c r="BC1152" s="52">
        <f t="shared" si="7366"/>
        <v>0</v>
      </c>
      <c r="BD1152" s="52">
        <f t="shared" si="7366"/>
        <v>0</v>
      </c>
      <c r="BE1152" s="52">
        <f t="shared" si="7366"/>
        <v>0</v>
      </c>
      <c r="BF1152" s="52">
        <f t="shared" si="7366"/>
        <v>0</v>
      </c>
      <c r="BG1152" s="52">
        <f t="shared" si="7366"/>
        <v>0</v>
      </c>
      <c r="BH1152" s="52">
        <f t="shared" si="7366"/>
        <v>0</v>
      </c>
      <c r="BI1152" s="52">
        <f t="shared" si="7366"/>
        <v>0</v>
      </c>
      <c r="BJ1152" s="52">
        <f t="shared" si="7366"/>
        <v>0</v>
      </c>
      <c r="BK1152" s="52">
        <f t="shared" si="7366"/>
        <v>0</v>
      </c>
      <c r="BL1152" s="52">
        <f t="shared" si="7366"/>
        <v>0</v>
      </c>
      <c r="BM1152" s="52">
        <f t="shared" si="7366"/>
        <v>0</v>
      </c>
      <c r="BN1152" s="52">
        <f t="shared" si="7366"/>
        <v>0</v>
      </c>
      <c r="BO1152" s="52">
        <f t="shared" si="7366"/>
        <v>0</v>
      </c>
      <c r="BP1152" s="52">
        <f t="shared" si="7366"/>
        <v>0</v>
      </c>
      <c r="BQ1152" s="52">
        <f t="shared" si="7366"/>
        <v>0</v>
      </c>
      <c r="BR1152" s="52">
        <f t="shared" si="7366"/>
        <v>0</v>
      </c>
      <c r="BS1152" s="52">
        <f t="shared" si="7366"/>
        <v>0</v>
      </c>
      <c r="BT1152" s="52">
        <f t="shared" si="7366"/>
        <v>0</v>
      </c>
      <c r="BU1152" s="52">
        <f t="shared" si="7366"/>
        <v>0</v>
      </c>
      <c r="BV1152" s="52">
        <f t="shared" si="7366"/>
        <v>0</v>
      </c>
      <c r="BW1152" s="52">
        <f t="shared" si="7366"/>
        <v>0</v>
      </c>
      <c r="BX1152" s="52">
        <f t="shared" si="7366"/>
        <v>0</v>
      </c>
      <c r="BY1152" s="52">
        <f t="shared" si="7366"/>
        <v>0</v>
      </c>
      <c r="BZ1152" s="52">
        <f t="shared" si="7366"/>
        <v>0</v>
      </c>
      <c r="CA1152" s="52">
        <f t="shared" si="7366"/>
        <v>0</v>
      </c>
      <c r="CB1152" s="52">
        <f t="shared" si="7366"/>
        <v>0</v>
      </c>
      <c r="CC1152" s="52">
        <f t="shared" si="7366"/>
        <v>0</v>
      </c>
      <c r="CD1152" s="52">
        <f t="shared" si="7366"/>
        <v>0</v>
      </c>
      <c r="CE1152" s="52">
        <f t="shared" si="7366"/>
        <v>0</v>
      </c>
      <c r="CF1152" s="52">
        <f t="shared" ref="CF1152:CO1152" si="7367">MAX(CF$1143,0)*CF1156</f>
        <v>0</v>
      </c>
      <c r="CG1152" s="52">
        <f t="shared" si="7367"/>
        <v>0</v>
      </c>
      <c r="CH1152" s="52">
        <f t="shared" si="7367"/>
        <v>0</v>
      </c>
      <c r="CI1152" s="52">
        <f t="shared" si="7367"/>
        <v>0</v>
      </c>
      <c r="CJ1152" s="52">
        <f t="shared" si="7367"/>
        <v>0</v>
      </c>
      <c r="CK1152" s="52">
        <f t="shared" si="7367"/>
        <v>0</v>
      </c>
      <c r="CL1152" s="52">
        <f t="shared" si="7367"/>
        <v>0</v>
      </c>
      <c r="CM1152" s="52">
        <f t="shared" si="7367"/>
        <v>0</v>
      </c>
      <c r="CN1152" s="52">
        <f t="shared" si="7367"/>
        <v>0</v>
      </c>
      <c r="CO1152" s="52">
        <f t="shared" si="7367"/>
        <v>0</v>
      </c>
    </row>
    <row r="1153" spans="1:93">
      <c r="A1153" s="10"/>
      <c r="B1153" s="10"/>
      <c r="C1153" s="21"/>
      <c r="D1153" s="10"/>
      <c r="E1153" s="10"/>
      <c r="F1153" s="10"/>
      <c r="G1153" s="11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  <c r="BB1153" s="10"/>
      <c r="BC1153" s="10"/>
      <c r="BD1153" s="10"/>
      <c r="BE1153" s="10"/>
      <c r="BF1153" s="10"/>
      <c r="BG1153" s="10"/>
      <c r="BH1153" s="10"/>
      <c r="BI1153" s="10"/>
      <c r="BJ1153" s="10"/>
      <c r="BK1153" s="10"/>
      <c r="BL1153" s="10"/>
      <c r="BM1153" s="10"/>
      <c r="BN1153" s="10"/>
      <c r="BO1153" s="10"/>
      <c r="BP1153" s="10"/>
      <c r="BQ1153" s="10"/>
      <c r="BR1153" s="10"/>
      <c r="BS1153" s="10"/>
      <c r="BT1153" s="10"/>
      <c r="BU1153" s="10"/>
      <c r="BV1153" s="10"/>
      <c r="BW1153" s="10"/>
      <c r="BX1153" s="10"/>
      <c r="BY1153" s="10"/>
      <c r="BZ1153" s="10"/>
      <c r="CA1153" s="10"/>
      <c r="CB1153" s="10"/>
      <c r="CC1153" s="10"/>
      <c r="CD1153" s="10"/>
      <c r="CE1153" s="10"/>
      <c r="CF1153" s="10"/>
      <c r="CG1153" s="10"/>
      <c r="CH1153" s="10"/>
      <c r="CI1153" s="10"/>
      <c r="CJ1153" s="10"/>
      <c r="CK1153" s="10"/>
      <c r="CL1153" s="10"/>
      <c r="CM1153" s="10"/>
      <c r="CN1153" s="10"/>
      <c r="CO1153" s="10"/>
    </row>
    <row r="1154" spans="1:93" ht="16" thickBot="1">
      <c r="A1154" s="10"/>
      <c r="B1154" s="10"/>
      <c r="C1154" s="30" t="s">
        <v>162</v>
      </c>
      <c r="D1154" s="10"/>
      <c r="E1154" s="10"/>
      <c r="F1154" s="10"/>
      <c r="G1154" s="11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  <c r="BB1154" s="10"/>
      <c r="BC1154" s="10"/>
      <c r="BD1154" s="10"/>
      <c r="BE1154" s="10"/>
      <c r="BF1154" s="10"/>
      <c r="BG1154" s="10"/>
      <c r="BH1154" s="10"/>
      <c r="BI1154" s="10"/>
      <c r="BJ1154" s="10"/>
      <c r="BK1154" s="10"/>
      <c r="BL1154" s="10"/>
      <c r="BM1154" s="10"/>
      <c r="BN1154" s="10"/>
      <c r="BO1154" s="10"/>
      <c r="BP1154" s="10"/>
      <c r="BQ1154" s="10"/>
      <c r="BR1154" s="10"/>
      <c r="BS1154" s="10"/>
      <c r="BT1154" s="10"/>
      <c r="BU1154" s="10"/>
      <c r="BV1154" s="10"/>
      <c r="BW1154" s="10"/>
      <c r="BX1154" s="10"/>
      <c r="BY1154" s="10"/>
      <c r="BZ1154" s="10"/>
      <c r="CA1154" s="10"/>
      <c r="CB1154" s="10"/>
      <c r="CC1154" s="10"/>
      <c r="CD1154" s="10"/>
      <c r="CE1154" s="10"/>
      <c r="CF1154" s="10"/>
      <c r="CG1154" s="10"/>
      <c r="CH1154" s="10"/>
      <c r="CI1154" s="10"/>
      <c r="CJ1154" s="10"/>
      <c r="CK1154" s="10"/>
      <c r="CL1154" s="10"/>
      <c r="CM1154" s="10"/>
      <c r="CN1154" s="10"/>
      <c r="CO1154" s="10"/>
    </row>
    <row r="1155" spans="1:93">
      <c r="A1155" s="10"/>
      <c r="B1155" s="10"/>
      <c r="C1155" s="17"/>
      <c r="D1155" s="10"/>
      <c r="E1155" s="10"/>
      <c r="F1155" s="10"/>
      <c r="G1155" s="11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  <c r="BB1155" s="10"/>
      <c r="BC1155" s="10"/>
      <c r="BD1155" s="10"/>
      <c r="BE1155" s="10"/>
      <c r="BF1155" s="10"/>
      <c r="BG1155" s="10"/>
      <c r="BH1155" s="10"/>
      <c r="BI1155" s="10"/>
      <c r="BJ1155" s="10"/>
      <c r="BK1155" s="10"/>
      <c r="BL1155" s="10"/>
      <c r="BM1155" s="10"/>
      <c r="BN1155" s="10"/>
      <c r="BO1155" s="10"/>
      <c r="BP1155" s="10"/>
      <c r="BQ1155" s="10"/>
      <c r="BR1155" s="10"/>
      <c r="BS1155" s="10"/>
      <c r="BT1155" s="10"/>
      <c r="BU1155" s="10"/>
      <c r="BV1155" s="10"/>
      <c r="BW1155" s="10"/>
      <c r="BX1155" s="10"/>
      <c r="BY1155" s="10"/>
      <c r="BZ1155" s="10"/>
      <c r="CA1155" s="10"/>
      <c r="CB1155" s="10"/>
      <c r="CC1155" s="10"/>
      <c r="CD1155" s="10"/>
      <c r="CE1155" s="10"/>
      <c r="CF1155" s="10"/>
      <c r="CG1155" s="10"/>
      <c r="CH1155" s="10"/>
      <c r="CI1155" s="10"/>
      <c r="CJ1155" s="10"/>
      <c r="CK1155" s="10"/>
      <c r="CL1155" s="10"/>
      <c r="CM1155" s="10"/>
      <c r="CN1155" s="10"/>
      <c r="CO1155" s="10"/>
    </row>
    <row r="1156" spans="1:93">
      <c r="A1156" s="10"/>
      <c r="B1156" s="10"/>
      <c r="C1156" s="17" t="s">
        <v>534</v>
      </c>
      <c r="D1156" s="10"/>
      <c r="E1156" s="10"/>
      <c r="F1156" s="10"/>
      <c r="G1156" s="11" t="str">
        <f>MIN(L1156:CO1156) &amp; ".." &amp; MAX(L1156:CO1156)</f>
        <v>0..1</v>
      </c>
      <c r="H1156" s="10"/>
      <c r="I1156" s="10"/>
      <c r="J1156" s="10"/>
      <c r="K1156" s="10"/>
      <c r="L1156" s="79">
        <f>(Предпосылки!$E$584&lt;=End_of_period)*(Предпосылки!$E$588&gt;End_of_period)</f>
        <v>1</v>
      </c>
      <c r="M1156" s="79">
        <f>(Предпосылки!$E$584&lt;=End_of_period)*(Предпосылки!$E$588&gt;End_of_period)</f>
        <v>1</v>
      </c>
      <c r="N1156" s="79">
        <f>(Предпосылки!$E$584&lt;=End_of_period)*(Предпосылки!$E$588&gt;End_of_period)</f>
        <v>1</v>
      </c>
      <c r="O1156" s="79">
        <f>(Предпосылки!$E$584&lt;=End_of_period)*(Предпосылки!$E$588&gt;End_of_period)</f>
        <v>1</v>
      </c>
      <c r="P1156" s="79">
        <f>(Предпосылки!$E$584&lt;=End_of_period)*(Предпосылки!$E$588&gt;End_of_period)</f>
        <v>1</v>
      </c>
      <c r="Q1156" s="79">
        <f>(Предпосылки!$E$584&lt;=End_of_period)*(Предпосылки!$E$588&gt;End_of_period)</f>
        <v>1</v>
      </c>
      <c r="R1156" s="79">
        <f>(Предпосылки!$E$584&lt;=End_of_period)*(Предпосылки!$E$588&gt;End_of_period)</f>
        <v>1</v>
      </c>
      <c r="S1156" s="79">
        <f>(Предпосылки!$E$584&lt;=End_of_period)*(Предпосылки!$E$588&gt;End_of_period)</f>
        <v>1</v>
      </c>
      <c r="T1156" s="79">
        <f>(Предпосылки!$E$584&lt;=End_of_period)*(Предпосылки!$E$588&gt;End_of_period)</f>
        <v>1</v>
      </c>
      <c r="U1156" s="79">
        <f>(Предпосылки!$E$584&lt;=End_of_period)*(Предпосылки!$E$588&gt;End_of_period)</f>
        <v>1</v>
      </c>
      <c r="V1156" s="79">
        <f>(Предпосылки!$E$584&lt;=End_of_period)*(Предпосылки!$E$588&gt;End_of_period)</f>
        <v>1</v>
      </c>
      <c r="W1156" s="79">
        <f>(Предпосылки!$E$584&lt;=End_of_period)*(Предпосылки!$E$588&gt;End_of_period)</f>
        <v>1</v>
      </c>
      <c r="X1156" s="79">
        <f>(Предпосылки!$E$584&lt;=End_of_period)*(Предпосылки!$E$588&gt;End_of_period)</f>
        <v>1</v>
      </c>
      <c r="Y1156" s="79">
        <f>(Предпосылки!$E$584&lt;=End_of_period)*(Предпосылки!$E$588&gt;End_of_period)</f>
        <v>1</v>
      </c>
      <c r="Z1156" s="79">
        <f>(Предпосылки!$E$584&lt;=End_of_period)*(Предпосылки!$E$588&gt;End_of_period)</f>
        <v>1</v>
      </c>
      <c r="AA1156" s="79">
        <f>(Предпосылки!$E$584&lt;=End_of_period)*(Предпосылки!$E$588&gt;End_of_period)</f>
        <v>1</v>
      </c>
      <c r="AB1156" s="79">
        <f>(Предпосылки!$E$584&lt;=End_of_period)*(Предпосылки!$E$588&gt;End_of_period)</f>
        <v>1</v>
      </c>
      <c r="AC1156" s="79">
        <f>(Предпосылки!$E$584&lt;=End_of_period)*(Предпосылки!$E$588&gt;End_of_period)</f>
        <v>0</v>
      </c>
      <c r="AD1156" s="79">
        <f>(Предпосылки!$E$584&lt;=End_of_period)*(Предпосылки!$E$588&gt;End_of_period)</f>
        <v>0</v>
      </c>
      <c r="AE1156" s="79">
        <f>(Предпосылки!$E$584&lt;=End_of_period)*(Предпосылки!$E$588&gt;End_of_period)</f>
        <v>0</v>
      </c>
      <c r="AF1156" s="79">
        <f>(Предпосылки!$E$584&lt;=End_of_period)*(Предпосылки!$E$588&gt;End_of_period)</f>
        <v>0</v>
      </c>
      <c r="AG1156" s="79">
        <f>(Предпосылки!$E$584&lt;=End_of_period)*(Предпосылки!$E$588&gt;End_of_period)</f>
        <v>0</v>
      </c>
      <c r="AH1156" s="79">
        <f>(Предпосылки!$E$584&lt;=End_of_period)*(Предпосылки!$E$588&gt;End_of_period)</f>
        <v>0</v>
      </c>
      <c r="AI1156" s="79">
        <f>(Предпосылки!$E$584&lt;=End_of_period)*(Предпосылки!$E$588&gt;End_of_period)</f>
        <v>0</v>
      </c>
      <c r="AJ1156" s="79">
        <f>(Предпосылки!$E$584&lt;=End_of_period)*(Предпосылки!$E$588&gt;End_of_period)</f>
        <v>0</v>
      </c>
      <c r="AK1156" s="79">
        <f>(Предпосылки!$E$584&lt;=End_of_period)*(Предпосылки!$E$588&gt;End_of_period)</f>
        <v>0</v>
      </c>
      <c r="AL1156" s="79">
        <f>(Предпосылки!$E$584&lt;=End_of_period)*(Предпосылки!$E$588&gt;End_of_period)</f>
        <v>0</v>
      </c>
      <c r="AM1156" s="79">
        <f>(Предпосылки!$E$584&lt;=End_of_period)*(Предпосылки!$E$588&gt;End_of_period)</f>
        <v>0</v>
      </c>
      <c r="AN1156" s="79">
        <f>(Предпосылки!$E$584&lt;=End_of_period)*(Предпосылки!$E$588&gt;End_of_period)</f>
        <v>0</v>
      </c>
      <c r="AO1156" s="79">
        <f>(Предпосылки!$E$584&lt;=End_of_period)*(Предпосылки!$E$588&gt;End_of_period)</f>
        <v>0</v>
      </c>
      <c r="AP1156" s="79">
        <f>(Предпосылки!$E$584&lt;=End_of_period)*(Предпосылки!$E$588&gt;End_of_period)</f>
        <v>0</v>
      </c>
      <c r="AQ1156" s="79">
        <f>(Предпосылки!$E$584&lt;=End_of_period)*(Предпосылки!$E$588&gt;End_of_period)</f>
        <v>0</v>
      </c>
      <c r="AR1156" s="79">
        <f>(Предпосылки!$E$584&lt;=End_of_period)*(Предпосылки!$E$588&gt;End_of_period)</f>
        <v>0</v>
      </c>
      <c r="AS1156" s="79">
        <f>(Предпосылки!$E$584&lt;=End_of_period)*(Предпосылки!$E$588&gt;End_of_period)</f>
        <v>0</v>
      </c>
      <c r="AT1156" s="79">
        <f>(Предпосылки!$E$584&lt;=End_of_period)*(Предпосылки!$E$588&gt;End_of_period)</f>
        <v>0</v>
      </c>
      <c r="AU1156" s="79">
        <f>(Предпосылки!$E$584&lt;=End_of_period)*(Предпосылки!$E$588&gt;End_of_period)</f>
        <v>0</v>
      </c>
      <c r="AV1156" s="79">
        <f>(Предпосылки!$E$584&lt;=End_of_period)*(Предпосылки!$E$588&gt;End_of_period)</f>
        <v>0</v>
      </c>
      <c r="AW1156" s="79">
        <f>(Предпосылки!$E$584&lt;=End_of_period)*(Предпосылки!$E$588&gt;End_of_period)</f>
        <v>0</v>
      </c>
      <c r="AX1156" s="79">
        <f>(Предпосылки!$E$584&lt;=End_of_period)*(Предпосылки!$E$588&gt;End_of_period)</f>
        <v>0</v>
      </c>
      <c r="AY1156" s="79">
        <f>(Предпосылки!$E$584&lt;=End_of_period)*(Предпосылки!$E$588&gt;End_of_period)</f>
        <v>0</v>
      </c>
      <c r="AZ1156" s="79">
        <f>(Предпосылки!$E$584&lt;=End_of_period)*(Предпосылки!$E$588&gt;End_of_period)</f>
        <v>0</v>
      </c>
      <c r="BA1156" s="79">
        <f>(Предпосылки!$E$584&lt;=End_of_period)*(Предпосылки!$E$588&gt;End_of_period)</f>
        <v>0</v>
      </c>
      <c r="BB1156" s="79">
        <f>(Предпосылки!$E$584&lt;=End_of_period)*(Предпосылки!$E$588&gt;End_of_period)</f>
        <v>0</v>
      </c>
      <c r="BC1156" s="79">
        <f>(Предпосылки!$E$584&lt;=End_of_period)*(Предпосылки!$E$588&gt;End_of_period)</f>
        <v>0</v>
      </c>
      <c r="BD1156" s="79">
        <f>(Предпосылки!$E$584&lt;=End_of_period)*(Предпосылки!$E$588&gt;End_of_period)</f>
        <v>0</v>
      </c>
      <c r="BE1156" s="79">
        <f>(Предпосылки!$E$584&lt;=End_of_period)*(Предпосылки!$E$588&gt;End_of_period)</f>
        <v>0</v>
      </c>
      <c r="BF1156" s="79">
        <f>(Предпосылки!$E$584&lt;=End_of_period)*(Предпосылки!$E$588&gt;End_of_period)</f>
        <v>0</v>
      </c>
      <c r="BG1156" s="79">
        <f>(Предпосылки!$E$584&lt;=End_of_period)*(Предпосылки!$E$588&gt;End_of_period)</f>
        <v>0</v>
      </c>
      <c r="BH1156" s="79">
        <f>(Предпосылки!$E$584&lt;=End_of_period)*(Предпосылки!$E$588&gt;End_of_period)</f>
        <v>0</v>
      </c>
      <c r="BI1156" s="79">
        <f>(Предпосылки!$E$584&lt;=End_of_period)*(Предпосылки!$E$588&gt;End_of_period)</f>
        <v>0</v>
      </c>
      <c r="BJ1156" s="79">
        <f>(Предпосылки!$E$584&lt;=End_of_period)*(Предпосылки!$E$588&gt;End_of_period)</f>
        <v>0</v>
      </c>
      <c r="BK1156" s="79">
        <f>(Предпосылки!$E$584&lt;=End_of_period)*(Предпосылки!$E$588&gt;End_of_period)</f>
        <v>0</v>
      </c>
      <c r="BL1156" s="79">
        <f>(Предпосылки!$E$584&lt;=End_of_period)*(Предпосылки!$E$588&gt;End_of_period)</f>
        <v>0</v>
      </c>
      <c r="BM1156" s="79">
        <f>(Предпосылки!$E$584&lt;=End_of_period)*(Предпосылки!$E$588&gt;End_of_period)</f>
        <v>0</v>
      </c>
      <c r="BN1156" s="79">
        <f>(Предпосылки!$E$584&lt;=End_of_period)*(Предпосылки!$E$588&gt;End_of_period)</f>
        <v>0</v>
      </c>
      <c r="BO1156" s="79">
        <f>(Предпосылки!$E$584&lt;=End_of_period)*(Предпосылки!$E$588&gt;End_of_period)</f>
        <v>0</v>
      </c>
      <c r="BP1156" s="79">
        <f>(Предпосылки!$E$584&lt;=End_of_period)*(Предпосылки!$E$588&gt;End_of_period)</f>
        <v>0</v>
      </c>
      <c r="BQ1156" s="79">
        <f>(Предпосылки!$E$584&lt;=End_of_period)*(Предпосылки!$E$588&gt;End_of_period)</f>
        <v>0</v>
      </c>
      <c r="BR1156" s="79">
        <f>(Предпосылки!$E$584&lt;=End_of_period)*(Предпосылки!$E$588&gt;End_of_period)</f>
        <v>0</v>
      </c>
      <c r="BS1156" s="79">
        <f>(Предпосылки!$E$584&lt;=End_of_period)*(Предпосылки!$E$588&gt;End_of_period)</f>
        <v>0</v>
      </c>
      <c r="BT1156" s="79">
        <f>(Предпосылки!$E$584&lt;=End_of_period)*(Предпосылки!$E$588&gt;End_of_period)</f>
        <v>0</v>
      </c>
      <c r="BU1156" s="79">
        <f>(Предпосылки!$E$584&lt;=End_of_period)*(Предпосылки!$E$588&gt;End_of_period)</f>
        <v>0</v>
      </c>
      <c r="BV1156" s="79">
        <f>(Предпосылки!$E$584&lt;=End_of_period)*(Предпосылки!$E$588&gt;End_of_period)</f>
        <v>0</v>
      </c>
      <c r="BW1156" s="79">
        <f>(Предпосылки!$E$584&lt;=End_of_period)*(Предпосылки!$E$588&gt;End_of_period)</f>
        <v>0</v>
      </c>
      <c r="BX1156" s="79">
        <f>(Предпосылки!$E$584&lt;=End_of_period)*(Предпосылки!$E$588&gt;End_of_period)</f>
        <v>0</v>
      </c>
      <c r="BY1156" s="79">
        <f>(Предпосылки!$E$584&lt;=End_of_period)*(Предпосылки!$E$588&gt;End_of_period)</f>
        <v>0</v>
      </c>
      <c r="BZ1156" s="79">
        <f>(Предпосылки!$E$584&lt;=End_of_period)*(Предпосылки!$E$588&gt;End_of_period)</f>
        <v>0</v>
      </c>
      <c r="CA1156" s="79">
        <f>(Предпосылки!$E$584&lt;=End_of_period)*(Предпосылки!$E$588&gt;End_of_period)</f>
        <v>0</v>
      </c>
      <c r="CB1156" s="79">
        <f>(Предпосылки!$E$584&lt;=End_of_period)*(Предпосылки!$E$588&gt;End_of_period)</f>
        <v>0</v>
      </c>
      <c r="CC1156" s="79">
        <f>(Предпосылки!$E$584&lt;=End_of_period)*(Предпосылки!$E$588&gt;End_of_period)</f>
        <v>0</v>
      </c>
      <c r="CD1156" s="79">
        <f>(Предпосылки!$E$584&lt;=End_of_period)*(Предпосылки!$E$588&gt;End_of_period)</f>
        <v>0</v>
      </c>
      <c r="CE1156" s="79">
        <f>(Предпосылки!$E$584&lt;=End_of_period)*(Предпосылки!$E$588&gt;End_of_period)</f>
        <v>0</v>
      </c>
      <c r="CF1156" s="79">
        <f>(Предпосылки!$E$584&lt;=End_of_period)*(Предпосылки!$E$588&gt;End_of_period)</f>
        <v>0</v>
      </c>
      <c r="CG1156" s="79">
        <f>(Предпосылки!$E$584&lt;=End_of_period)*(Предпосылки!$E$588&gt;End_of_period)</f>
        <v>0</v>
      </c>
      <c r="CH1156" s="79">
        <f>(Предпосылки!$E$584&lt;=End_of_period)*(Предпосылки!$E$588&gt;End_of_period)</f>
        <v>0</v>
      </c>
      <c r="CI1156" s="79">
        <f>(Предпосылки!$E$584&lt;=End_of_period)*(Предпосылки!$E$588&gt;End_of_period)</f>
        <v>0</v>
      </c>
      <c r="CJ1156" s="79">
        <f>(Предпосылки!$E$584&lt;=End_of_period)*(Предпосылки!$E$588&gt;End_of_period)</f>
        <v>0</v>
      </c>
      <c r="CK1156" s="79">
        <f>(Предпосылки!$E$584&lt;=End_of_period)*(Предпосылки!$E$588&gt;End_of_period)</f>
        <v>0</v>
      </c>
      <c r="CL1156" s="79">
        <f>(Предпосылки!$E$584&lt;=End_of_period)*(Предпосылки!$E$588&gt;End_of_period)</f>
        <v>0</v>
      </c>
      <c r="CM1156" s="79">
        <f>(Предпосылки!$E$584&lt;=End_of_period)*(Предпосылки!$E$588&gt;End_of_period)</f>
        <v>0</v>
      </c>
      <c r="CN1156" s="79">
        <f>(Предпосылки!$E$584&lt;=End_of_period)*(Предпосылки!$E$588&gt;End_of_period)</f>
        <v>0</v>
      </c>
      <c r="CO1156" s="79">
        <f>(Предпосылки!$E$584&lt;=End_of_period)*(Предпосылки!$E$588&gt;End_of_period)</f>
        <v>0</v>
      </c>
    </row>
    <row r="1157" spans="1:93">
      <c r="A1157" s="10"/>
      <c r="B1157" s="10"/>
      <c r="C1157" s="17" t="s">
        <v>535</v>
      </c>
      <c r="D1157" s="10"/>
      <c r="E1157" s="10"/>
      <c r="F1157" s="10"/>
      <c r="G1157" s="11" t="str">
        <f>MIN(L1157:CO1157) &amp; ".." &amp; MAX(L1157:CO1157)</f>
        <v>0..1</v>
      </c>
      <c r="H1157" s="10"/>
      <c r="I1157" s="10"/>
      <c r="J1157" s="10"/>
      <c r="K1157" s="10"/>
      <c r="L1157" s="79">
        <f t="shared" ref="L1157" si="7368">L1156</f>
        <v>1</v>
      </c>
      <c r="M1157" s="79">
        <f t="shared" ref="M1157:BX1157" si="7369">M1156</f>
        <v>1</v>
      </c>
      <c r="N1157" s="79">
        <f t="shared" si="7369"/>
        <v>1</v>
      </c>
      <c r="O1157" s="79">
        <f t="shared" si="7369"/>
        <v>1</v>
      </c>
      <c r="P1157" s="79">
        <f t="shared" si="7369"/>
        <v>1</v>
      </c>
      <c r="Q1157" s="79">
        <f t="shared" si="7369"/>
        <v>1</v>
      </c>
      <c r="R1157" s="79">
        <f t="shared" si="7369"/>
        <v>1</v>
      </c>
      <c r="S1157" s="79">
        <f t="shared" si="7369"/>
        <v>1</v>
      </c>
      <c r="T1157" s="79">
        <f t="shared" si="7369"/>
        <v>1</v>
      </c>
      <c r="U1157" s="79">
        <f t="shared" si="7369"/>
        <v>1</v>
      </c>
      <c r="V1157" s="79">
        <f t="shared" si="7369"/>
        <v>1</v>
      </c>
      <c r="W1157" s="79">
        <f t="shared" si="7369"/>
        <v>1</v>
      </c>
      <c r="X1157" s="79">
        <f t="shared" si="7369"/>
        <v>1</v>
      </c>
      <c r="Y1157" s="79">
        <f t="shared" si="7369"/>
        <v>1</v>
      </c>
      <c r="Z1157" s="79">
        <f t="shared" si="7369"/>
        <v>1</v>
      </c>
      <c r="AA1157" s="79">
        <f t="shared" si="7369"/>
        <v>1</v>
      </c>
      <c r="AB1157" s="79">
        <f t="shared" si="7369"/>
        <v>1</v>
      </c>
      <c r="AC1157" s="79">
        <f t="shared" si="7369"/>
        <v>0</v>
      </c>
      <c r="AD1157" s="79">
        <f t="shared" si="7369"/>
        <v>0</v>
      </c>
      <c r="AE1157" s="79">
        <f t="shared" si="7369"/>
        <v>0</v>
      </c>
      <c r="AF1157" s="79">
        <f t="shared" si="7369"/>
        <v>0</v>
      </c>
      <c r="AG1157" s="79">
        <f t="shared" si="7369"/>
        <v>0</v>
      </c>
      <c r="AH1157" s="79">
        <f t="shared" si="7369"/>
        <v>0</v>
      </c>
      <c r="AI1157" s="79">
        <f t="shared" si="7369"/>
        <v>0</v>
      </c>
      <c r="AJ1157" s="79">
        <f t="shared" si="7369"/>
        <v>0</v>
      </c>
      <c r="AK1157" s="79">
        <f t="shared" si="7369"/>
        <v>0</v>
      </c>
      <c r="AL1157" s="79">
        <f t="shared" si="7369"/>
        <v>0</v>
      </c>
      <c r="AM1157" s="79">
        <f t="shared" si="7369"/>
        <v>0</v>
      </c>
      <c r="AN1157" s="79">
        <f t="shared" si="7369"/>
        <v>0</v>
      </c>
      <c r="AO1157" s="79">
        <f t="shared" si="7369"/>
        <v>0</v>
      </c>
      <c r="AP1157" s="79">
        <f t="shared" si="7369"/>
        <v>0</v>
      </c>
      <c r="AQ1157" s="79">
        <f t="shared" si="7369"/>
        <v>0</v>
      </c>
      <c r="AR1157" s="79">
        <f t="shared" si="7369"/>
        <v>0</v>
      </c>
      <c r="AS1157" s="79">
        <f t="shared" si="7369"/>
        <v>0</v>
      </c>
      <c r="AT1157" s="79">
        <f t="shared" si="7369"/>
        <v>0</v>
      </c>
      <c r="AU1157" s="79">
        <f t="shared" si="7369"/>
        <v>0</v>
      </c>
      <c r="AV1157" s="79">
        <f t="shared" si="7369"/>
        <v>0</v>
      </c>
      <c r="AW1157" s="79">
        <f t="shared" si="7369"/>
        <v>0</v>
      </c>
      <c r="AX1157" s="79">
        <f t="shared" si="7369"/>
        <v>0</v>
      </c>
      <c r="AY1157" s="79">
        <f t="shared" si="7369"/>
        <v>0</v>
      </c>
      <c r="AZ1157" s="79">
        <f t="shared" si="7369"/>
        <v>0</v>
      </c>
      <c r="BA1157" s="79">
        <f t="shared" si="7369"/>
        <v>0</v>
      </c>
      <c r="BB1157" s="79">
        <f t="shared" si="7369"/>
        <v>0</v>
      </c>
      <c r="BC1157" s="79">
        <f t="shared" si="7369"/>
        <v>0</v>
      </c>
      <c r="BD1157" s="79">
        <f t="shared" si="7369"/>
        <v>0</v>
      </c>
      <c r="BE1157" s="79">
        <f t="shared" si="7369"/>
        <v>0</v>
      </c>
      <c r="BF1157" s="79">
        <f t="shared" si="7369"/>
        <v>0</v>
      </c>
      <c r="BG1157" s="79">
        <f t="shared" si="7369"/>
        <v>0</v>
      </c>
      <c r="BH1157" s="79">
        <f t="shared" si="7369"/>
        <v>0</v>
      </c>
      <c r="BI1157" s="79">
        <f t="shared" si="7369"/>
        <v>0</v>
      </c>
      <c r="BJ1157" s="79">
        <f t="shared" si="7369"/>
        <v>0</v>
      </c>
      <c r="BK1157" s="79">
        <f t="shared" si="7369"/>
        <v>0</v>
      </c>
      <c r="BL1157" s="79">
        <f t="shared" si="7369"/>
        <v>0</v>
      </c>
      <c r="BM1157" s="79">
        <f t="shared" si="7369"/>
        <v>0</v>
      </c>
      <c r="BN1157" s="79">
        <f t="shared" si="7369"/>
        <v>0</v>
      </c>
      <c r="BO1157" s="79">
        <f t="shared" si="7369"/>
        <v>0</v>
      </c>
      <c r="BP1157" s="79">
        <f t="shared" si="7369"/>
        <v>0</v>
      </c>
      <c r="BQ1157" s="79">
        <f t="shared" si="7369"/>
        <v>0</v>
      </c>
      <c r="BR1157" s="79">
        <f t="shared" si="7369"/>
        <v>0</v>
      </c>
      <c r="BS1157" s="79">
        <f t="shared" si="7369"/>
        <v>0</v>
      </c>
      <c r="BT1157" s="79">
        <f t="shared" si="7369"/>
        <v>0</v>
      </c>
      <c r="BU1157" s="79">
        <f t="shared" si="7369"/>
        <v>0</v>
      </c>
      <c r="BV1157" s="79">
        <f t="shared" si="7369"/>
        <v>0</v>
      </c>
      <c r="BW1157" s="79">
        <f t="shared" si="7369"/>
        <v>0</v>
      </c>
      <c r="BX1157" s="79">
        <f t="shared" si="7369"/>
        <v>0</v>
      </c>
      <c r="BY1157" s="79">
        <f t="shared" ref="BY1157:CO1157" si="7370">BY1156</f>
        <v>0</v>
      </c>
      <c r="BZ1157" s="79">
        <f t="shared" si="7370"/>
        <v>0</v>
      </c>
      <c r="CA1157" s="79">
        <f t="shared" si="7370"/>
        <v>0</v>
      </c>
      <c r="CB1157" s="79">
        <f t="shared" si="7370"/>
        <v>0</v>
      </c>
      <c r="CC1157" s="79">
        <f t="shared" si="7370"/>
        <v>0</v>
      </c>
      <c r="CD1157" s="79">
        <f t="shared" si="7370"/>
        <v>0</v>
      </c>
      <c r="CE1157" s="79">
        <f t="shared" si="7370"/>
        <v>0</v>
      </c>
      <c r="CF1157" s="79">
        <f t="shared" si="7370"/>
        <v>0</v>
      </c>
      <c r="CG1157" s="79">
        <f t="shared" si="7370"/>
        <v>0</v>
      </c>
      <c r="CH1157" s="79">
        <f t="shared" si="7370"/>
        <v>0</v>
      </c>
      <c r="CI1157" s="79">
        <f t="shared" si="7370"/>
        <v>0</v>
      </c>
      <c r="CJ1157" s="79">
        <f t="shared" si="7370"/>
        <v>0</v>
      </c>
      <c r="CK1157" s="79">
        <f t="shared" si="7370"/>
        <v>0</v>
      </c>
      <c r="CL1157" s="79">
        <f t="shared" si="7370"/>
        <v>0</v>
      </c>
      <c r="CM1157" s="79">
        <f t="shared" si="7370"/>
        <v>0</v>
      </c>
      <c r="CN1157" s="79">
        <f t="shared" si="7370"/>
        <v>0</v>
      </c>
      <c r="CO1157" s="79">
        <f t="shared" si="7370"/>
        <v>0</v>
      </c>
    </row>
    <row r="1158" spans="1:93">
      <c r="A1158" s="10"/>
      <c r="B1158" s="10"/>
      <c r="C1158" s="17" t="s">
        <v>409</v>
      </c>
      <c r="D1158" s="10"/>
      <c r="E1158" s="10"/>
      <c r="F1158" s="10"/>
      <c r="G1158" s="11" t="str">
        <f>MIN(L1158:CO1158) &amp; ".." &amp; MAX(L1158:CO1158)</f>
        <v>0..1</v>
      </c>
      <c r="H1158" s="10"/>
      <c r="I1158" s="10"/>
      <c r="J1158" s="10"/>
      <c r="K1158" s="10"/>
      <c r="L1158" s="79">
        <f>(Предпосылки!$E$588&lt;=End_of_period)*(Предпосылки!$E$590&gt;=End_of_period)</f>
        <v>0</v>
      </c>
      <c r="M1158" s="79">
        <f>(Предпосылки!$E$588&lt;=End_of_period)*(Предпосылки!$E$590&gt;=End_of_period)</f>
        <v>0</v>
      </c>
      <c r="N1158" s="79">
        <f>(Предпосылки!$E$588&lt;=End_of_period)*(Предпосылки!$E$590&gt;=End_of_period)</f>
        <v>0</v>
      </c>
      <c r="O1158" s="79">
        <f>(Предпосылки!$E$588&lt;=End_of_period)*(Предпосылки!$E$590&gt;=End_of_period)</f>
        <v>0</v>
      </c>
      <c r="P1158" s="79">
        <f>(Предпосылки!$E$588&lt;=End_of_period)*(Предпосылки!$E$590&gt;=End_of_period)</f>
        <v>0</v>
      </c>
      <c r="Q1158" s="79">
        <f>(Предпосылки!$E$588&lt;=End_of_period)*(Предпосылки!$E$590&gt;=End_of_period)</f>
        <v>0</v>
      </c>
      <c r="R1158" s="79">
        <f>(Предпосылки!$E$588&lt;=End_of_period)*(Предпосылки!$E$590&gt;=End_of_period)</f>
        <v>0</v>
      </c>
      <c r="S1158" s="79">
        <f>(Предпосылки!$E$588&lt;=End_of_period)*(Предпосылки!$E$590&gt;=End_of_period)</f>
        <v>0</v>
      </c>
      <c r="T1158" s="79">
        <f>(Предпосылки!$E$588&lt;=End_of_period)*(Предпосылки!$E$590&gt;=End_of_period)</f>
        <v>0</v>
      </c>
      <c r="U1158" s="79">
        <f>(Предпосылки!$E$588&lt;=End_of_period)*(Предпосылки!$E$590&gt;=End_of_period)</f>
        <v>0</v>
      </c>
      <c r="V1158" s="79">
        <f>(Предпосылки!$E$588&lt;=End_of_period)*(Предпосылки!$E$590&gt;=End_of_period)</f>
        <v>0</v>
      </c>
      <c r="W1158" s="79">
        <f>(Предпосылки!$E$588&lt;=End_of_period)*(Предпосылки!$E$590&gt;=End_of_period)</f>
        <v>0</v>
      </c>
      <c r="X1158" s="79">
        <f>(Предпосылки!$E$588&lt;=End_of_period)*(Предпосылки!$E$590&gt;=End_of_period)</f>
        <v>0</v>
      </c>
      <c r="Y1158" s="79">
        <f>(Предпосылки!$E$588&lt;=End_of_period)*(Предпосылки!$E$590&gt;=End_of_period)</f>
        <v>0</v>
      </c>
      <c r="Z1158" s="79">
        <f>(Предпосылки!$E$588&lt;=End_of_period)*(Предпосылки!$E$590&gt;=End_of_period)</f>
        <v>0</v>
      </c>
      <c r="AA1158" s="79">
        <f>(Предпосылки!$E$588&lt;=End_of_period)*(Предпосылки!$E$590&gt;=End_of_period)</f>
        <v>0</v>
      </c>
      <c r="AB1158" s="79">
        <f>(Предпосылки!$E$588&lt;=End_of_period)*(Предпосылки!$E$590&gt;=End_of_period)</f>
        <v>0</v>
      </c>
      <c r="AC1158" s="79">
        <f>(Предпосылки!$E$588&lt;=End_of_period)*(Предпосылки!$E$590&gt;=End_of_period)</f>
        <v>1</v>
      </c>
      <c r="AD1158" s="79">
        <f>(Предпосылки!$E$588&lt;=End_of_period)*(Предпосылки!$E$590&gt;=End_of_period)</f>
        <v>1</v>
      </c>
      <c r="AE1158" s="79">
        <f>(Предпосылки!$E$588&lt;=End_of_period)*(Предпосылки!$E$590&gt;=End_of_period)</f>
        <v>1</v>
      </c>
      <c r="AF1158" s="79">
        <f>(Предпосылки!$E$588&lt;=End_of_period)*(Предпосылки!$E$590&gt;=End_of_period)</f>
        <v>1</v>
      </c>
      <c r="AG1158" s="79">
        <f>(Предпосылки!$E$588&lt;=End_of_period)*(Предпосылки!$E$590&gt;=End_of_period)</f>
        <v>1</v>
      </c>
      <c r="AH1158" s="79">
        <f>(Предпосылки!$E$588&lt;=End_of_period)*(Предпосылки!$E$590&gt;=End_of_period)</f>
        <v>1</v>
      </c>
      <c r="AI1158" s="79">
        <f>(Предпосылки!$E$588&lt;=End_of_period)*(Предпосылки!$E$590&gt;=End_of_period)</f>
        <v>1</v>
      </c>
      <c r="AJ1158" s="79">
        <f>(Предпосылки!$E$588&lt;=End_of_period)*(Предпосылки!$E$590&gt;=End_of_period)</f>
        <v>1</v>
      </c>
      <c r="AK1158" s="79">
        <f>(Предпосылки!$E$588&lt;=End_of_period)*(Предпосылки!$E$590&gt;=End_of_period)</f>
        <v>1</v>
      </c>
      <c r="AL1158" s="79">
        <f>(Предпосылки!$E$588&lt;=End_of_period)*(Предпосылки!$E$590&gt;=End_of_period)</f>
        <v>1</v>
      </c>
      <c r="AM1158" s="79">
        <f>(Предпосылки!$E$588&lt;=End_of_period)*(Предпосылки!$E$590&gt;=End_of_period)</f>
        <v>1</v>
      </c>
      <c r="AN1158" s="79">
        <f>(Предпосылки!$E$588&lt;=End_of_period)*(Предпосылки!$E$590&gt;=End_of_period)</f>
        <v>1</v>
      </c>
      <c r="AO1158" s="79">
        <f>(Предпосылки!$E$588&lt;=End_of_period)*(Предпосылки!$E$590&gt;=End_of_period)</f>
        <v>1</v>
      </c>
      <c r="AP1158" s="79">
        <f>(Предпосылки!$E$588&lt;=End_of_period)*(Предпосылки!$E$590&gt;=End_of_period)</f>
        <v>1</v>
      </c>
      <c r="AQ1158" s="79">
        <f>(Предпосылки!$E$588&lt;=End_of_period)*(Предпосылки!$E$590&gt;=End_of_period)</f>
        <v>1</v>
      </c>
      <c r="AR1158" s="79">
        <f>(Предпосылки!$E$588&lt;=End_of_period)*(Предпосылки!$E$590&gt;=End_of_period)</f>
        <v>1</v>
      </c>
      <c r="AS1158" s="79">
        <f>(Предпосылки!$E$588&lt;=End_of_period)*(Предпосылки!$E$590&gt;=End_of_period)</f>
        <v>1</v>
      </c>
      <c r="AT1158" s="79">
        <f>(Предпосылки!$E$588&lt;=End_of_period)*(Предпосылки!$E$590&gt;=End_of_period)</f>
        <v>1</v>
      </c>
      <c r="AU1158" s="79">
        <f>(Предпосылки!$E$588&lt;=End_of_period)*(Предпосылки!$E$590&gt;=End_of_period)</f>
        <v>1</v>
      </c>
      <c r="AV1158" s="79">
        <f>(Предпосылки!$E$588&lt;=End_of_period)*(Предпосылки!$E$590&gt;=End_of_period)</f>
        <v>1</v>
      </c>
      <c r="AW1158" s="79">
        <f>(Предпосылки!$E$588&lt;=End_of_period)*(Предпосылки!$E$590&gt;=End_of_period)</f>
        <v>1</v>
      </c>
      <c r="AX1158" s="79">
        <f>(Предпосылки!$E$588&lt;=End_of_period)*(Предпосылки!$E$590&gt;=End_of_period)</f>
        <v>1</v>
      </c>
      <c r="AY1158" s="79">
        <f>(Предпосылки!$E$588&lt;=End_of_period)*(Предпосылки!$E$590&gt;=End_of_period)</f>
        <v>1</v>
      </c>
      <c r="AZ1158" s="79">
        <f>(Предпосылки!$E$588&lt;=End_of_period)*(Предпосылки!$E$590&gt;=End_of_period)</f>
        <v>1</v>
      </c>
      <c r="BA1158" s="79">
        <f>(Предпосылки!$E$588&lt;=End_of_period)*(Предпосылки!$E$590&gt;=End_of_period)</f>
        <v>1</v>
      </c>
      <c r="BB1158" s="79">
        <f>(Предпосылки!$E$588&lt;=End_of_period)*(Предпосылки!$E$590&gt;=End_of_period)</f>
        <v>1</v>
      </c>
      <c r="BC1158" s="79">
        <f>(Предпосылки!$E$588&lt;=End_of_period)*(Предпосылки!$E$590&gt;=End_of_period)</f>
        <v>1</v>
      </c>
      <c r="BD1158" s="79">
        <f>(Предпосылки!$E$588&lt;=End_of_period)*(Предпосылки!$E$590&gt;=End_of_period)</f>
        <v>1</v>
      </c>
      <c r="BE1158" s="79">
        <f>(Предпосылки!$E$588&lt;=End_of_period)*(Предпосылки!$E$590&gt;=End_of_period)</f>
        <v>1</v>
      </c>
      <c r="BF1158" s="79">
        <f>(Предпосылки!$E$588&lt;=End_of_period)*(Предпосылки!$E$590&gt;=End_of_period)</f>
        <v>1</v>
      </c>
      <c r="BG1158" s="79">
        <f>(Предпосылки!$E$588&lt;=End_of_period)*(Предпосылки!$E$590&gt;=End_of_period)</f>
        <v>1</v>
      </c>
      <c r="BH1158" s="79">
        <f>(Предпосылки!$E$588&lt;=End_of_period)*(Предпосылки!$E$590&gt;=End_of_period)</f>
        <v>0</v>
      </c>
      <c r="BI1158" s="79">
        <f>(Предпосылки!$E$588&lt;=End_of_period)*(Предпосылки!$E$590&gt;=End_of_period)</f>
        <v>0</v>
      </c>
      <c r="BJ1158" s="79">
        <f>(Предпосылки!$E$588&lt;=End_of_period)*(Предпосылки!$E$590&gt;=End_of_period)</f>
        <v>0</v>
      </c>
      <c r="BK1158" s="79">
        <f>(Предпосылки!$E$588&lt;=End_of_period)*(Предпосылки!$E$590&gt;=End_of_period)</f>
        <v>0</v>
      </c>
      <c r="BL1158" s="79">
        <f>(Предпосылки!$E$588&lt;=End_of_period)*(Предпосылки!$E$590&gt;=End_of_period)</f>
        <v>0</v>
      </c>
      <c r="BM1158" s="79">
        <f>(Предпосылки!$E$588&lt;=End_of_period)*(Предпосылки!$E$590&gt;=End_of_period)</f>
        <v>0</v>
      </c>
      <c r="BN1158" s="79">
        <f>(Предпосылки!$E$588&lt;=End_of_period)*(Предпосылки!$E$590&gt;=End_of_period)</f>
        <v>0</v>
      </c>
      <c r="BO1158" s="79">
        <f>(Предпосылки!$E$588&lt;=End_of_period)*(Предпосылки!$E$590&gt;=End_of_period)</f>
        <v>0</v>
      </c>
      <c r="BP1158" s="79">
        <f>(Предпосылки!$E$588&lt;=End_of_period)*(Предпосылки!$E$590&gt;=End_of_period)</f>
        <v>0</v>
      </c>
      <c r="BQ1158" s="79">
        <f>(Предпосылки!$E$588&lt;=End_of_period)*(Предпосылки!$E$590&gt;=End_of_period)</f>
        <v>0</v>
      </c>
      <c r="BR1158" s="79">
        <f>(Предпосылки!$E$588&lt;=End_of_period)*(Предпосылки!$E$590&gt;=End_of_period)</f>
        <v>0</v>
      </c>
      <c r="BS1158" s="79">
        <f>(Предпосылки!$E$588&lt;=End_of_period)*(Предпосылки!$E$590&gt;=End_of_period)</f>
        <v>0</v>
      </c>
      <c r="BT1158" s="79">
        <f>(Предпосылки!$E$588&lt;=End_of_period)*(Предпосылки!$E$590&gt;=End_of_period)</f>
        <v>0</v>
      </c>
      <c r="BU1158" s="79">
        <f>(Предпосылки!$E$588&lt;=End_of_period)*(Предпосылки!$E$590&gt;=End_of_period)</f>
        <v>0</v>
      </c>
      <c r="BV1158" s="79">
        <f>(Предпосылки!$E$588&lt;=End_of_period)*(Предпосылки!$E$590&gt;=End_of_period)</f>
        <v>0</v>
      </c>
      <c r="BW1158" s="79">
        <f>(Предпосылки!$E$588&lt;=End_of_period)*(Предпосылки!$E$590&gt;=End_of_period)</f>
        <v>0</v>
      </c>
      <c r="BX1158" s="79">
        <f>(Предпосылки!$E$588&lt;=End_of_period)*(Предпосылки!$E$590&gt;=End_of_period)</f>
        <v>0</v>
      </c>
      <c r="BY1158" s="79">
        <f>(Предпосылки!$E$588&lt;=End_of_period)*(Предпосылки!$E$590&gt;=End_of_period)</f>
        <v>0</v>
      </c>
      <c r="BZ1158" s="79">
        <f>(Предпосылки!$E$588&lt;=End_of_period)*(Предпосылки!$E$590&gt;=End_of_period)</f>
        <v>0</v>
      </c>
      <c r="CA1158" s="79">
        <f>(Предпосылки!$E$588&lt;=End_of_period)*(Предпосылки!$E$590&gt;=End_of_period)</f>
        <v>0</v>
      </c>
      <c r="CB1158" s="79">
        <f>(Предпосылки!$E$588&lt;=End_of_period)*(Предпосылки!$E$590&gt;=End_of_period)</f>
        <v>0</v>
      </c>
      <c r="CC1158" s="79">
        <f>(Предпосылки!$E$588&lt;=End_of_period)*(Предпосылки!$E$590&gt;=End_of_period)</f>
        <v>0</v>
      </c>
      <c r="CD1158" s="79">
        <f>(Предпосылки!$E$588&lt;=End_of_period)*(Предпосылки!$E$590&gt;=End_of_period)</f>
        <v>0</v>
      </c>
      <c r="CE1158" s="79">
        <f>(Предпосылки!$E$588&lt;=End_of_period)*(Предпосылки!$E$590&gt;=End_of_period)</f>
        <v>0</v>
      </c>
      <c r="CF1158" s="79">
        <f>(Предпосылки!$E$588&lt;=End_of_period)*(Предпосылки!$E$590&gt;=End_of_period)</f>
        <v>0</v>
      </c>
      <c r="CG1158" s="79">
        <f>(Предпосылки!$E$588&lt;=End_of_period)*(Предпосылки!$E$590&gt;=End_of_period)</f>
        <v>0</v>
      </c>
      <c r="CH1158" s="79">
        <f>(Предпосылки!$E$588&lt;=End_of_period)*(Предпосылки!$E$590&gt;=End_of_period)</f>
        <v>0</v>
      </c>
      <c r="CI1158" s="79">
        <f>(Предпосылки!$E$588&lt;=End_of_period)*(Предпосылки!$E$590&gt;=End_of_period)</f>
        <v>0</v>
      </c>
      <c r="CJ1158" s="79">
        <f>(Предпосылки!$E$588&lt;=End_of_period)*(Предпосылки!$E$590&gt;=End_of_period)</f>
        <v>0</v>
      </c>
      <c r="CK1158" s="79">
        <f>(Предпосылки!$E$588&lt;=End_of_period)*(Предпосылки!$E$590&gt;=End_of_period)</f>
        <v>0</v>
      </c>
      <c r="CL1158" s="79">
        <f>(Предпосылки!$E$588&lt;=End_of_period)*(Предпосылки!$E$590&gt;=End_of_period)</f>
        <v>0</v>
      </c>
      <c r="CM1158" s="79">
        <f>(Предпосылки!$E$588&lt;=End_of_period)*(Предпосылки!$E$590&gt;=End_of_period)</f>
        <v>0</v>
      </c>
      <c r="CN1158" s="79">
        <f>(Предпосылки!$E$588&lt;=End_of_period)*(Предпосылки!$E$590&gt;=End_of_period)</f>
        <v>0</v>
      </c>
      <c r="CO1158" s="79">
        <f>(Предпосылки!$E$588&lt;=End_of_period)*(Предпосылки!$E$590&gt;=End_of_period)</f>
        <v>0</v>
      </c>
    </row>
    <row r="1159" spans="1:93">
      <c r="A1159" s="10"/>
      <c r="B1159" s="10"/>
      <c r="C1159" s="17" t="s">
        <v>533</v>
      </c>
      <c r="D1159" s="10"/>
      <c r="E1159" s="10"/>
      <c r="F1159" s="10"/>
      <c r="G1159" s="11" t="str">
        <f>MIN(L1159:CO1159) &amp; ".." &amp; MAX(L1159:CO1159)</f>
        <v>0..1</v>
      </c>
      <c r="H1159" s="10"/>
      <c r="I1159" s="10"/>
      <c r="J1159" s="10"/>
      <c r="K1159" s="10"/>
      <c r="L1159" s="79">
        <f t="shared" ref="L1159" si="7371">(L1158&gt;K1158)*L1158</f>
        <v>0</v>
      </c>
      <c r="M1159" s="79">
        <f t="shared" ref="M1159" si="7372">(M1158&gt;L1158)*M1158</f>
        <v>0</v>
      </c>
      <c r="N1159" s="79">
        <f t="shared" ref="N1159" si="7373">(N1158&gt;M1158)*N1158</f>
        <v>0</v>
      </c>
      <c r="O1159" s="79">
        <f t="shared" ref="O1159" si="7374">(O1158&gt;N1158)*O1158</f>
        <v>0</v>
      </c>
      <c r="P1159" s="79">
        <f t="shared" ref="P1159" si="7375">(P1158&gt;O1158)*P1158</f>
        <v>0</v>
      </c>
      <c r="Q1159" s="79">
        <f t="shared" ref="Q1159" si="7376">(Q1158&gt;P1158)*Q1158</f>
        <v>0</v>
      </c>
      <c r="R1159" s="79">
        <f t="shared" ref="R1159" si="7377">(R1158&gt;Q1158)*R1158</f>
        <v>0</v>
      </c>
      <c r="S1159" s="79">
        <f t="shared" ref="S1159" si="7378">(S1158&gt;R1158)*S1158</f>
        <v>0</v>
      </c>
      <c r="T1159" s="79">
        <f t="shared" ref="T1159" si="7379">(T1158&gt;S1158)*T1158</f>
        <v>0</v>
      </c>
      <c r="U1159" s="79">
        <f t="shared" ref="U1159" si="7380">(U1158&gt;T1158)*U1158</f>
        <v>0</v>
      </c>
      <c r="V1159" s="79">
        <f t="shared" ref="V1159" si="7381">(V1158&gt;U1158)*V1158</f>
        <v>0</v>
      </c>
      <c r="W1159" s="79">
        <f t="shared" ref="W1159" si="7382">(W1158&gt;V1158)*W1158</f>
        <v>0</v>
      </c>
      <c r="X1159" s="79">
        <f t="shared" ref="X1159" si="7383">(X1158&gt;W1158)*X1158</f>
        <v>0</v>
      </c>
      <c r="Y1159" s="79">
        <f t="shared" ref="Y1159" si="7384">(Y1158&gt;X1158)*Y1158</f>
        <v>0</v>
      </c>
      <c r="Z1159" s="79">
        <f t="shared" ref="Z1159" si="7385">(Z1158&gt;Y1158)*Z1158</f>
        <v>0</v>
      </c>
      <c r="AA1159" s="79">
        <f t="shared" ref="AA1159" si="7386">(AA1158&gt;Z1158)*AA1158</f>
        <v>0</v>
      </c>
      <c r="AB1159" s="79">
        <f t="shared" ref="AB1159" si="7387">(AB1158&gt;AA1158)*AB1158</f>
        <v>0</v>
      </c>
      <c r="AC1159" s="79">
        <f t="shared" ref="AC1159" si="7388">(AC1158&gt;AB1158)*AC1158</f>
        <v>1</v>
      </c>
      <c r="AD1159" s="79">
        <f t="shared" ref="AD1159" si="7389">(AD1158&gt;AC1158)*AD1158</f>
        <v>0</v>
      </c>
      <c r="AE1159" s="79">
        <f t="shared" ref="AE1159" si="7390">(AE1158&gt;AD1158)*AE1158</f>
        <v>0</v>
      </c>
      <c r="AF1159" s="79">
        <f t="shared" ref="AF1159" si="7391">(AF1158&gt;AE1158)*AF1158</f>
        <v>0</v>
      </c>
      <c r="AG1159" s="79">
        <f t="shared" ref="AG1159" si="7392">(AG1158&gt;AF1158)*AG1158</f>
        <v>0</v>
      </c>
      <c r="AH1159" s="79">
        <f t="shared" ref="AH1159" si="7393">(AH1158&gt;AG1158)*AH1158</f>
        <v>0</v>
      </c>
      <c r="AI1159" s="79">
        <f t="shared" ref="AI1159" si="7394">(AI1158&gt;AH1158)*AI1158</f>
        <v>0</v>
      </c>
      <c r="AJ1159" s="79">
        <f t="shared" ref="AJ1159" si="7395">(AJ1158&gt;AI1158)*AJ1158</f>
        <v>0</v>
      </c>
      <c r="AK1159" s="79">
        <f t="shared" ref="AK1159" si="7396">(AK1158&gt;AJ1158)*AK1158</f>
        <v>0</v>
      </c>
      <c r="AL1159" s="79">
        <f t="shared" ref="AL1159" si="7397">(AL1158&gt;AK1158)*AL1158</f>
        <v>0</v>
      </c>
      <c r="AM1159" s="79">
        <f t="shared" ref="AM1159" si="7398">(AM1158&gt;AL1158)*AM1158</f>
        <v>0</v>
      </c>
      <c r="AN1159" s="79">
        <f t="shared" ref="AN1159" si="7399">(AN1158&gt;AM1158)*AN1158</f>
        <v>0</v>
      </c>
      <c r="AO1159" s="79">
        <f t="shared" ref="AO1159" si="7400">(AO1158&gt;AN1158)*AO1158</f>
        <v>0</v>
      </c>
      <c r="AP1159" s="79">
        <f t="shared" ref="AP1159" si="7401">(AP1158&gt;AO1158)*AP1158</f>
        <v>0</v>
      </c>
      <c r="AQ1159" s="79">
        <f t="shared" ref="AQ1159" si="7402">(AQ1158&gt;AP1158)*AQ1158</f>
        <v>0</v>
      </c>
      <c r="AR1159" s="79">
        <f t="shared" ref="AR1159" si="7403">(AR1158&gt;AQ1158)*AR1158</f>
        <v>0</v>
      </c>
      <c r="AS1159" s="79">
        <f t="shared" ref="AS1159" si="7404">(AS1158&gt;AR1158)*AS1158</f>
        <v>0</v>
      </c>
      <c r="AT1159" s="79">
        <f t="shared" ref="AT1159" si="7405">(AT1158&gt;AS1158)*AT1158</f>
        <v>0</v>
      </c>
      <c r="AU1159" s="79">
        <f t="shared" ref="AU1159" si="7406">(AU1158&gt;AT1158)*AU1158</f>
        <v>0</v>
      </c>
      <c r="AV1159" s="79">
        <f t="shared" ref="AV1159" si="7407">(AV1158&gt;AU1158)*AV1158</f>
        <v>0</v>
      </c>
      <c r="AW1159" s="79">
        <f t="shared" ref="AW1159" si="7408">(AW1158&gt;AV1158)*AW1158</f>
        <v>0</v>
      </c>
      <c r="AX1159" s="79">
        <f t="shared" ref="AX1159" si="7409">(AX1158&gt;AW1158)*AX1158</f>
        <v>0</v>
      </c>
      <c r="AY1159" s="79">
        <f t="shared" ref="AY1159" si="7410">(AY1158&gt;AX1158)*AY1158</f>
        <v>0</v>
      </c>
      <c r="AZ1159" s="79">
        <f t="shared" ref="AZ1159" si="7411">(AZ1158&gt;AY1158)*AZ1158</f>
        <v>0</v>
      </c>
      <c r="BA1159" s="79">
        <f t="shared" ref="BA1159" si="7412">(BA1158&gt;AZ1158)*BA1158</f>
        <v>0</v>
      </c>
      <c r="BB1159" s="79">
        <f t="shared" ref="BB1159" si="7413">(BB1158&gt;BA1158)*BB1158</f>
        <v>0</v>
      </c>
      <c r="BC1159" s="79">
        <f t="shared" ref="BC1159" si="7414">(BC1158&gt;BB1158)*BC1158</f>
        <v>0</v>
      </c>
      <c r="BD1159" s="79">
        <f t="shared" ref="BD1159" si="7415">(BD1158&gt;BC1158)*BD1158</f>
        <v>0</v>
      </c>
      <c r="BE1159" s="79">
        <f t="shared" ref="BE1159" si="7416">(BE1158&gt;BD1158)*BE1158</f>
        <v>0</v>
      </c>
      <c r="BF1159" s="79">
        <f t="shared" ref="BF1159" si="7417">(BF1158&gt;BE1158)*BF1158</f>
        <v>0</v>
      </c>
      <c r="BG1159" s="79">
        <f t="shared" ref="BG1159" si="7418">(BG1158&gt;BF1158)*BG1158</f>
        <v>0</v>
      </c>
      <c r="BH1159" s="79">
        <f t="shared" ref="BH1159" si="7419">(BH1158&gt;BG1158)*BH1158</f>
        <v>0</v>
      </c>
      <c r="BI1159" s="79">
        <f t="shared" ref="BI1159" si="7420">(BI1158&gt;BH1158)*BI1158</f>
        <v>0</v>
      </c>
      <c r="BJ1159" s="79">
        <f t="shared" ref="BJ1159" si="7421">(BJ1158&gt;BI1158)*BJ1158</f>
        <v>0</v>
      </c>
      <c r="BK1159" s="79">
        <f t="shared" ref="BK1159" si="7422">(BK1158&gt;BJ1158)*BK1158</f>
        <v>0</v>
      </c>
      <c r="BL1159" s="79">
        <f t="shared" ref="BL1159" si="7423">(BL1158&gt;BK1158)*BL1158</f>
        <v>0</v>
      </c>
      <c r="BM1159" s="79">
        <f t="shared" ref="BM1159" si="7424">(BM1158&gt;BL1158)*BM1158</f>
        <v>0</v>
      </c>
      <c r="BN1159" s="79">
        <f t="shared" ref="BN1159" si="7425">(BN1158&gt;BM1158)*BN1158</f>
        <v>0</v>
      </c>
      <c r="BO1159" s="79">
        <f t="shared" ref="BO1159" si="7426">(BO1158&gt;BN1158)*BO1158</f>
        <v>0</v>
      </c>
      <c r="BP1159" s="79">
        <f t="shared" ref="BP1159" si="7427">(BP1158&gt;BO1158)*BP1158</f>
        <v>0</v>
      </c>
      <c r="BQ1159" s="79">
        <f t="shared" ref="BQ1159" si="7428">(BQ1158&gt;BP1158)*BQ1158</f>
        <v>0</v>
      </c>
      <c r="BR1159" s="79">
        <f t="shared" ref="BR1159" si="7429">(BR1158&gt;BQ1158)*BR1158</f>
        <v>0</v>
      </c>
      <c r="BS1159" s="79">
        <f t="shared" ref="BS1159" si="7430">(BS1158&gt;BR1158)*BS1158</f>
        <v>0</v>
      </c>
      <c r="BT1159" s="79">
        <f t="shared" ref="BT1159" si="7431">(BT1158&gt;BS1158)*BT1158</f>
        <v>0</v>
      </c>
      <c r="BU1159" s="79">
        <f t="shared" ref="BU1159" si="7432">(BU1158&gt;BT1158)*BU1158</f>
        <v>0</v>
      </c>
      <c r="BV1159" s="79">
        <f t="shared" ref="BV1159" si="7433">(BV1158&gt;BU1158)*BV1158</f>
        <v>0</v>
      </c>
      <c r="BW1159" s="79">
        <f t="shared" ref="BW1159" si="7434">(BW1158&gt;BV1158)*BW1158</f>
        <v>0</v>
      </c>
      <c r="BX1159" s="79">
        <f t="shared" ref="BX1159" si="7435">(BX1158&gt;BW1158)*BX1158</f>
        <v>0</v>
      </c>
      <c r="BY1159" s="79">
        <f t="shared" ref="BY1159" si="7436">(BY1158&gt;BX1158)*BY1158</f>
        <v>0</v>
      </c>
      <c r="BZ1159" s="79">
        <f t="shared" ref="BZ1159" si="7437">(BZ1158&gt;BY1158)*BZ1158</f>
        <v>0</v>
      </c>
      <c r="CA1159" s="79">
        <f t="shared" ref="CA1159" si="7438">(CA1158&gt;BZ1158)*CA1158</f>
        <v>0</v>
      </c>
      <c r="CB1159" s="79">
        <f t="shared" ref="CB1159" si="7439">(CB1158&gt;CA1158)*CB1158</f>
        <v>0</v>
      </c>
      <c r="CC1159" s="79">
        <f t="shared" ref="CC1159" si="7440">(CC1158&gt;CB1158)*CC1158</f>
        <v>0</v>
      </c>
      <c r="CD1159" s="79">
        <f t="shared" ref="CD1159" si="7441">(CD1158&gt;CC1158)*CD1158</f>
        <v>0</v>
      </c>
      <c r="CE1159" s="79">
        <f t="shared" ref="CE1159" si="7442">(CE1158&gt;CD1158)*CE1158</f>
        <v>0</v>
      </c>
      <c r="CF1159" s="79">
        <f t="shared" ref="CF1159" si="7443">(CF1158&gt;CE1158)*CF1158</f>
        <v>0</v>
      </c>
      <c r="CG1159" s="79">
        <f t="shared" ref="CG1159" si="7444">(CG1158&gt;CF1158)*CG1158</f>
        <v>0</v>
      </c>
      <c r="CH1159" s="79">
        <f t="shared" ref="CH1159" si="7445">(CH1158&gt;CG1158)*CH1158</f>
        <v>0</v>
      </c>
      <c r="CI1159" s="79">
        <f t="shared" ref="CI1159" si="7446">(CI1158&gt;CH1158)*CI1158</f>
        <v>0</v>
      </c>
      <c r="CJ1159" s="79">
        <f t="shared" ref="CJ1159" si="7447">(CJ1158&gt;CI1158)*CJ1158</f>
        <v>0</v>
      </c>
      <c r="CK1159" s="79">
        <f t="shared" ref="CK1159" si="7448">(CK1158&gt;CJ1158)*CK1158</f>
        <v>0</v>
      </c>
      <c r="CL1159" s="79">
        <f t="shared" ref="CL1159" si="7449">(CL1158&gt;CK1158)*CL1158</f>
        <v>0</v>
      </c>
      <c r="CM1159" s="79">
        <f t="shared" ref="CM1159" si="7450">(CM1158&gt;CL1158)*CM1158</f>
        <v>0</v>
      </c>
      <c r="CN1159" s="79">
        <f t="shared" ref="CN1159" si="7451">(CN1158&gt;CM1158)*CN1158</f>
        <v>0</v>
      </c>
      <c r="CO1159" s="79">
        <f t="shared" ref="CO1159" si="7452">(CO1158&gt;CN1158)*CO1158</f>
        <v>0</v>
      </c>
    </row>
    <row r="1160" spans="1:93">
      <c r="A1160" s="10"/>
      <c r="B1160" s="10"/>
      <c r="C1160" s="17" t="s">
        <v>532</v>
      </c>
      <c r="D1160" s="10"/>
      <c r="E1160" s="10"/>
      <c r="F1160" s="10"/>
      <c r="G1160" s="11" t="str">
        <f>MIN(L1160:CO1160) &amp; ".." &amp; MAX(L1160:CO1160)</f>
        <v>0..0</v>
      </c>
      <c r="H1160" s="10"/>
      <c r="I1160" s="10"/>
      <c r="J1160" s="10"/>
      <c r="K1160" s="10"/>
      <c r="L1160" s="79">
        <f>(Предпосылки!$E$590&lt;=End_of_period)*(Предпосылки!$E$590&gt;=Beginning_of_period)*Предпосылки!$E$578</f>
        <v>0</v>
      </c>
      <c r="M1160" s="79">
        <f>(Предпосылки!$E$590&lt;=End_of_period)*(Предпосылки!$E$590&gt;=Beginning_of_period)*Предпосылки!$E$578</f>
        <v>0</v>
      </c>
      <c r="N1160" s="79">
        <f>(Предпосылки!$E$590&lt;=End_of_period)*(Предпосылки!$E$590&gt;=Beginning_of_period)*Предпосылки!$E$578</f>
        <v>0</v>
      </c>
      <c r="O1160" s="79">
        <f>(Предпосылки!$E$590&lt;=End_of_period)*(Предпосылки!$E$590&gt;=Beginning_of_period)*Предпосылки!$E$578</f>
        <v>0</v>
      </c>
      <c r="P1160" s="79">
        <f>(Предпосылки!$E$590&lt;=End_of_period)*(Предпосылки!$E$590&gt;=Beginning_of_period)*Предпосылки!$E$578</f>
        <v>0</v>
      </c>
      <c r="Q1160" s="79">
        <f>(Предпосылки!$E$590&lt;=End_of_period)*(Предпосылки!$E$590&gt;=Beginning_of_period)*Предпосылки!$E$578</f>
        <v>0</v>
      </c>
      <c r="R1160" s="79">
        <f>(Предпосылки!$E$590&lt;=End_of_period)*(Предпосылки!$E$590&gt;=Beginning_of_period)*Предпосылки!$E$578</f>
        <v>0</v>
      </c>
      <c r="S1160" s="79">
        <f>(Предпосылки!$E$590&lt;=End_of_period)*(Предпосылки!$E$590&gt;=Beginning_of_period)*Предпосылки!$E$578</f>
        <v>0</v>
      </c>
      <c r="T1160" s="79">
        <f>(Предпосылки!$E$590&lt;=End_of_period)*(Предпосылки!$E$590&gt;=Beginning_of_period)*Предпосылки!$E$578</f>
        <v>0</v>
      </c>
      <c r="U1160" s="79">
        <f>(Предпосылки!$E$590&lt;=End_of_period)*(Предпосылки!$E$590&gt;=Beginning_of_period)*Предпосылки!$E$578</f>
        <v>0</v>
      </c>
      <c r="V1160" s="79">
        <f>(Предпосылки!$E$590&lt;=End_of_period)*(Предпосылки!$E$590&gt;=Beginning_of_period)*Предпосылки!$E$578</f>
        <v>0</v>
      </c>
      <c r="W1160" s="79">
        <f>(Предпосылки!$E$590&lt;=End_of_period)*(Предпосылки!$E$590&gt;=Beginning_of_period)*Предпосылки!$E$578</f>
        <v>0</v>
      </c>
      <c r="X1160" s="79">
        <f>(Предпосылки!$E$590&lt;=End_of_period)*(Предпосылки!$E$590&gt;=Beginning_of_period)*Предпосылки!$E$578</f>
        <v>0</v>
      </c>
      <c r="Y1160" s="79">
        <f>(Предпосылки!$E$590&lt;=End_of_period)*(Предпосылки!$E$590&gt;=Beginning_of_period)*Предпосылки!$E$578</f>
        <v>0</v>
      </c>
      <c r="Z1160" s="79">
        <f>(Предпосылки!$E$590&lt;=End_of_period)*(Предпосылки!$E$590&gt;=Beginning_of_period)*Предпосылки!$E$578</f>
        <v>0</v>
      </c>
      <c r="AA1160" s="79">
        <f>(Предпосылки!$E$590&lt;=End_of_period)*(Предпосылки!$E$590&gt;=Beginning_of_period)*Предпосылки!$E$578</f>
        <v>0</v>
      </c>
      <c r="AB1160" s="79">
        <f>(Предпосылки!$E$590&lt;=End_of_period)*(Предпосылки!$E$590&gt;=Beginning_of_period)*Предпосылки!$E$578</f>
        <v>0</v>
      </c>
      <c r="AC1160" s="79">
        <f>(Предпосылки!$E$590&lt;=End_of_period)*(Предпосылки!$E$590&gt;=Beginning_of_period)*Предпосылки!$E$578</f>
        <v>0</v>
      </c>
      <c r="AD1160" s="79">
        <f>(Предпосылки!$E$590&lt;=End_of_period)*(Предпосылки!$E$590&gt;=Beginning_of_period)*Предпосылки!$E$578</f>
        <v>0</v>
      </c>
      <c r="AE1160" s="79">
        <f>(Предпосылки!$E$590&lt;=End_of_period)*(Предпосылки!$E$590&gt;=Beginning_of_period)*Предпосылки!$E$578</f>
        <v>0</v>
      </c>
      <c r="AF1160" s="79">
        <f>(Предпосылки!$E$590&lt;=End_of_period)*(Предпосылки!$E$590&gt;=Beginning_of_period)*Предпосылки!$E$578</f>
        <v>0</v>
      </c>
      <c r="AG1160" s="79">
        <f>(Предпосылки!$E$590&lt;=End_of_period)*(Предпосылки!$E$590&gt;=Beginning_of_period)*Предпосылки!$E$578</f>
        <v>0</v>
      </c>
      <c r="AH1160" s="79">
        <f>(Предпосылки!$E$590&lt;=End_of_period)*(Предпосылки!$E$590&gt;=Beginning_of_period)*Предпосылки!$E$578</f>
        <v>0</v>
      </c>
      <c r="AI1160" s="79">
        <f>(Предпосылки!$E$590&lt;=End_of_period)*(Предпосылки!$E$590&gt;=Beginning_of_period)*Предпосылки!$E$578</f>
        <v>0</v>
      </c>
      <c r="AJ1160" s="79">
        <f>(Предпосылки!$E$590&lt;=End_of_period)*(Предпосылки!$E$590&gt;=Beginning_of_period)*Предпосылки!$E$578</f>
        <v>0</v>
      </c>
      <c r="AK1160" s="79">
        <f>(Предпосылки!$E$590&lt;=End_of_period)*(Предпосылки!$E$590&gt;=Beginning_of_period)*Предпосылки!$E$578</f>
        <v>0</v>
      </c>
      <c r="AL1160" s="79">
        <f>(Предпосылки!$E$590&lt;=End_of_period)*(Предпосылки!$E$590&gt;=Beginning_of_period)*Предпосылки!$E$578</f>
        <v>0</v>
      </c>
      <c r="AM1160" s="79">
        <f>(Предпосылки!$E$590&lt;=End_of_period)*(Предпосылки!$E$590&gt;=Beginning_of_period)*Предпосылки!$E$578</f>
        <v>0</v>
      </c>
      <c r="AN1160" s="79">
        <f>(Предпосылки!$E$590&lt;=End_of_period)*(Предпосылки!$E$590&gt;=Beginning_of_period)*Предпосылки!$E$578</f>
        <v>0</v>
      </c>
      <c r="AO1160" s="79">
        <f>(Предпосылки!$E$590&lt;=End_of_period)*(Предпосылки!$E$590&gt;=Beginning_of_period)*Предпосылки!$E$578</f>
        <v>0</v>
      </c>
      <c r="AP1160" s="79">
        <f>(Предпосылки!$E$590&lt;=End_of_period)*(Предпосылки!$E$590&gt;=Beginning_of_period)*Предпосылки!$E$578</f>
        <v>0</v>
      </c>
      <c r="AQ1160" s="79">
        <f>(Предпосылки!$E$590&lt;=End_of_period)*(Предпосылки!$E$590&gt;=Beginning_of_period)*Предпосылки!$E$578</f>
        <v>0</v>
      </c>
      <c r="AR1160" s="79">
        <f>(Предпосылки!$E$590&lt;=End_of_period)*(Предпосылки!$E$590&gt;=Beginning_of_period)*Предпосылки!$E$578</f>
        <v>0</v>
      </c>
      <c r="AS1160" s="79">
        <f>(Предпосылки!$E$590&lt;=End_of_period)*(Предпосылки!$E$590&gt;=Beginning_of_period)*Предпосылки!$E$578</f>
        <v>0</v>
      </c>
      <c r="AT1160" s="79">
        <f>(Предпосылки!$E$590&lt;=End_of_period)*(Предпосылки!$E$590&gt;=Beginning_of_period)*Предпосылки!$E$578</f>
        <v>0</v>
      </c>
      <c r="AU1160" s="79">
        <f>(Предпосылки!$E$590&lt;=End_of_period)*(Предпосылки!$E$590&gt;=Beginning_of_period)*Предпосылки!$E$578</f>
        <v>0</v>
      </c>
      <c r="AV1160" s="79">
        <f>(Предпосылки!$E$590&lt;=End_of_period)*(Предпосылки!$E$590&gt;=Beginning_of_period)*Предпосылки!$E$578</f>
        <v>0</v>
      </c>
      <c r="AW1160" s="79">
        <f>(Предпосылки!$E$590&lt;=End_of_period)*(Предпосылки!$E$590&gt;=Beginning_of_period)*Предпосылки!$E$578</f>
        <v>0</v>
      </c>
      <c r="AX1160" s="79">
        <f>(Предпосылки!$E$590&lt;=End_of_period)*(Предпосылки!$E$590&gt;=Beginning_of_period)*Предпосылки!$E$578</f>
        <v>0</v>
      </c>
      <c r="AY1160" s="79">
        <f>(Предпосылки!$E$590&lt;=End_of_period)*(Предпосылки!$E$590&gt;=Beginning_of_period)*Предпосылки!$E$578</f>
        <v>0</v>
      </c>
      <c r="AZ1160" s="79">
        <f>(Предпосылки!$E$590&lt;=End_of_period)*(Предпосылки!$E$590&gt;=Beginning_of_period)*Предпосылки!$E$578</f>
        <v>0</v>
      </c>
      <c r="BA1160" s="79">
        <f>(Предпосылки!$E$590&lt;=End_of_period)*(Предпосылки!$E$590&gt;=Beginning_of_period)*Предпосылки!$E$578</f>
        <v>0</v>
      </c>
      <c r="BB1160" s="79">
        <f>(Предпосылки!$E$590&lt;=End_of_period)*(Предпосылки!$E$590&gt;=Beginning_of_period)*Предпосылки!$E$578</f>
        <v>0</v>
      </c>
      <c r="BC1160" s="79">
        <f>(Предпосылки!$E$590&lt;=End_of_period)*(Предпосылки!$E$590&gt;=Beginning_of_period)*Предпосылки!$E$578</f>
        <v>0</v>
      </c>
      <c r="BD1160" s="79">
        <f>(Предпосылки!$E$590&lt;=End_of_period)*(Предпосылки!$E$590&gt;=Beginning_of_period)*Предпосылки!$E$578</f>
        <v>0</v>
      </c>
      <c r="BE1160" s="79">
        <f>(Предпосылки!$E$590&lt;=End_of_period)*(Предпосылки!$E$590&gt;=Beginning_of_period)*Предпосылки!$E$578</f>
        <v>0</v>
      </c>
      <c r="BF1160" s="79">
        <f>(Предпосылки!$E$590&lt;=End_of_period)*(Предпосылки!$E$590&gt;=Beginning_of_period)*Предпосылки!$E$578</f>
        <v>0</v>
      </c>
      <c r="BG1160" s="79">
        <f>(Предпосылки!$E$590&lt;=End_of_period)*(Предпосылки!$E$590&gt;=Beginning_of_period)*Предпосылки!$E$578</f>
        <v>0</v>
      </c>
      <c r="BH1160" s="79">
        <f>(Предпосылки!$E$590&lt;=End_of_period)*(Предпосылки!$E$590&gt;=Beginning_of_period)*Предпосылки!$E$578</f>
        <v>0</v>
      </c>
      <c r="BI1160" s="79">
        <f>(Предпосылки!$E$590&lt;=End_of_period)*(Предпосылки!$E$590&gt;=Beginning_of_period)*Предпосылки!$E$578</f>
        <v>0</v>
      </c>
      <c r="BJ1160" s="79">
        <f>(Предпосылки!$E$590&lt;=End_of_period)*(Предпосылки!$E$590&gt;=Beginning_of_period)*Предпосылки!$E$578</f>
        <v>0</v>
      </c>
      <c r="BK1160" s="79">
        <f>(Предпосылки!$E$590&lt;=End_of_period)*(Предпосылки!$E$590&gt;=Beginning_of_period)*Предпосылки!$E$578</f>
        <v>0</v>
      </c>
      <c r="BL1160" s="79">
        <f>(Предпосылки!$E$590&lt;=End_of_period)*(Предпосылки!$E$590&gt;=Beginning_of_period)*Предпосылки!$E$578</f>
        <v>0</v>
      </c>
      <c r="BM1160" s="79">
        <f>(Предпосылки!$E$590&lt;=End_of_period)*(Предпосылки!$E$590&gt;=Beginning_of_period)*Предпосылки!$E$578</f>
        <v>0</v>
      </c>
      <c r="BN1160" s="79">
        <f>(Предпосылки!$E$590&lt;=End_of_period)*(Предпосылки!$E$590&gt;=Beginning_of_period)*Предпосылки!$E$578</f>
        <v>0</v>
      </c>
      <c r="BO1160" s="79">
        <f>(Предпосылки!$E$590&lt;=End_of_period)*(Предпосылки!$E$590&gt;=Beginning_of_period)*Предпосылки!$E$578</f>
        <v>0</v>
      </c>
      <c r="BP1160" s="79">
        <f>(Предпосылки!$E$590&lt;=End_of_period)*(Предпосылки!$E$590&gt;=Beginning_of_period)*Предпосылки!$E$578</f>
        <v>0</v>
      </c>
      <c r="BQ1160" s="79">
        <f>(Предпосылки!$E$590&lt;=End_of_period)*(Предпосылки!$E$590&gt;=Beginning_of_period)*Предпосылки!$E$578</f>
        <v>0</v>
      </c>
      <c r="BR1160" s="79">
        <f>(Предпосылки!$E$590&lt;=End_of_period)*(Предпосылки!$E$590&gt;=Beginning_of_period)*Предпосылки!$E$578</f>
        <v>0</v>
      </c>
      <c r="BS1160" s="79">
        <f>(Предпосылки!$E$590&lt;=End_of_period)*(Предпосылки!$E$590&gt;=Beginning_of_period)*Предпосылки!$E$578</f>
        <v>0</v>
      </c>
      <c r="BT1160" s="79">
        <f>(Предпосылки!$E$590&lt;=End_of_period)*(Предпосылки!$E$590&gt;=Beginning_of_period)*Предпосылки!$E$578</f>
        <v>0</v>
      </c>
      <c r="BU1160" s="79">
        <f>(Предпосылки!$E$590&lt;=End_of_period)*(Предпосылки!$E$590&gt;=Beginning_of_period)*Предпосылки!$E$578</f>
        <v>0</v>
      </c>
      <c r="BV1160" s="79">
        <f>(Предпосылки!$E$590&lt;=End_of_period)*(Предпосылки!$E$590&gt;=Beginning_of_period)*Предпосылки!$E$578</f>
        <v>0</v>
      </c>
      <c r="BW1160" s="79">
        <f>(Предпосылки!$E$590&lt;=End_of_period)*(Предпосылки!$E$590&gt;=Beginning_of_period)*Предпосылки!$E$578</f>
        <v>0</v>
      </c>
      <c r="BX1160" s="79">
        <f>(Предпосылки!$E$590&lt;=End_of_period)*(Предпосылки!$E$590&gt;=Beginning_of_period)*Предпосылки!$E$578</f>
        <v>0</v>
      </c>
      <c r="BY1160" s="79">
        <f>(Предпосылки!$E$590&lt;=End_of_period)*(Предпосылки!$E$590&gt;=Beginning_of_period)*Предпосылки!$E$578</f>
        <v>0</v>
      </c>
      <c r="BZ1160" s="79">
        <f>(Предпосылки!$E$590&lt;=End_of_period)*(Предпосылки!$E$590&gt;=Beginning_of_period)*Предпосылки!$E$578</f>
        <v>0</v>
      </c>
      <c r="CA1160" s="79">
        <f>(Предпосылки!$E$590&lt;=End_of_period)*(Предпосылки!$E$590&gt;=Beginning_of_period)*Предпосылки!$E$578</f>
        <v>0</v>
      </c>
      <c r="CB1160" s="79">
        <f>(Предпосылки!$E$590&lt;=End_of_period)*(Предпосылки!$E$590&gt;=Beginning_of_period)*Предпосылки!$E$578</f>
        <v>0</v>
      </c>
      <c r="CC1160" s="79">
        <f>(Предпосылки!$E$590&lt;=End_of_period)*(Предпосылки!$E$590&gt;=Beginning_of_period)*Предпосылки!$E$578</f>
        <v>0</v>
      </c>
      <c r="CD1160" s="79">
        <f>(Предпосылки!$E$590&lt;=End_of_period)*(Предпосылки!$E$590&gt;=Beginning_of_period)*Предпосылки!$E$578</f>
        <v>0</v>
      </c>
      <c r="CE1160" s="79">
        <f>(Предпосылки!$E$590&lt;=End_of_period)*(Предпосылки!$E$590&gt;=Beginning_of_period)*Предпосылки!$E$578</f>
        <v>0</v>
      </c>
      <c r="CF1160" s="79">
        <f>(Предпосылки!$E$590&lt;=End_of_period)*(Предпосылки!$E$590&gt;=Beginning_of_period)*Предпосылки!$E$578</f>
        <v>0</v>
      </c>
      <c r="CG1160" s="79">
        <f>(Предпосылки!$E$590&lt;=End_of_period)*(Предпосылки!$E$590&gt;=Beginning_of_period)*Предпосылки!$E$578</f>
        <v>0</v>
      </c>
      <c r="CH1160" s="79">
        <f>(Предпосылки!$E$590&lt;=End_of_period)*(Предпосылки!$E$590&gt;=Beginning_of_period)*Предпосылки!$E$578</f>
        <v>0</v>
      </c>
      <c r="CI1160" s="79">
        <f>(Предпосылки!$E$590&lt;=End_of_period)*(Предпосылки!$E$590&gt;=Beginning_of_period)*Предпосылки!$E$578</f>
        <v>0</v>
      </c>
      <c r="CJ1160" s="79">
        <f>(Предпосылки!$E$590&lt;=End_of_period)*(Предпосылки!$E$590&gt;=Beginning_of_period)*Предпосылки!$E$578</f>
        <v>0</v>
      </c>
      <c r="CK1160" s="79">
        <f>(Предпосылки!$E$590&lt;=End_of_period)*(Предпосылки!$E$590&gt;=Beginning_of_period)*Предпосылки!$E$578</f>
        <v>0</v>
      </c>
      <c r="CL1160" s="79">
        <f>(Предпосылки!$E$590&lt;=End_of_period)*(Предпосылки!$E$590&gt;=Beginning_of_period)*Предпосылки!$E$578</f>
        <v>0</v>
      </c>
      <c r="CM1160" s="79">
        <f>(Предпосылки!$E$590&lt;=End_of_period)*(Предпосылки!$E$590&gt;=Beginning_of_period)*Предпосылки!$E$578</f>
        <v>0</v>
      </c>
      <c r="CN1160" s="79">
        <f>(Предпосылки!$E$590&lt;=End_of_period)*(Предпосылки!$E$590&gt;=Beginning_of_period)*Предпосылки!$E$578</f>
        <v>0</v>
      </c>
      <c r="CO1160" s="79">
        <f>(Предпосылки!$E$590&lt;=End_of_period)*(Предпосылки!$E$590&gt;=Beginning_of_period)*Предпосылки!$E$578</f>
        <v>0</v>
      </c>
    </row>
    <row r="1161" spans="1:93">
      <c r="A1161" s="10"/>
      <c r="B1161" s="10"/>
      <c r="C1161" s="17"/>
      <c r="D1161" s="10"/>
      <c r="E1161" s="10"/>
      <c r="F1161" s="10"/>
      <c r="G1161" s="11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  <c r="BB1161" s="10"/>
      <c r="BC1161" s="10"/>
      <c r="BD1161" s="10"/>
      <c r="BE1161" s="10"/>
      <c r="BF1161" s="10"/>
      <c r="BG1161" s="10"/>
      <c r="BH1161" s="10"/>
      <c r="BI1161" s="10"/>
      <c r="BJ1161" s="10"/>
      <c r="BK1161" s="10"/>
      <c r="BL1161" s="10"/>
      <c r="BM1161" s="10"/>
      <c r="BN1161" s="10"/>
      <c r="BO1161" s="10"/>
      <c r="BP1161" s="10"/>
      <c r="BQ1161" s="10"/>
      <c r="BR1161" s="10"/>
      <c r="BS1161" s="10"/>
      <c r="BT1161" s="10"/>
      <c r="BU1161" s="10"/>
      <c r="BV1161" s="10"/>
      <c r="BW1161" s="10"/>
      <c r="BX1161" s="10"/>
      <c r="BY1161" s="10"/>
      <c r="BZ1161" s="10"/>
      <c r="CA1161" s="10"/>
      <c r="CB1161" s="10"/>
      <c r="CC1161" s="10"/>
      <c r="CD1161" s="10"/>
      <c r="CE1161" s="10"/>
      <c r="CF1161" s="10"/>
      <c r="CG1161" s="10"/>
      <c r="CH1161" s="10"/>
      <c r="CI1161" s="10"/>
      <c r="CJ1161" s="10"/>
      <c r="CK1161" s="10"/>
      <c r="CL1161" s="10"/>
      <c r="CM1161" s="10"/>
      <c r="CN1161" s="10"/>
      <c r="CO1161" s="10"/>
    </row>
    <row r="1162" spans="1:93">
      <c r="A1162" s="10"/>
      <c r="B1162" s="10"/>
      <c r="C1162" s="17" t="s">
        <v>180</v>
      </c>
      <c r="D1162" s="10"/>
      <c r="E1162" s="10"/>
      <c r="F1162" s="10"/>
      <c r="G1162" s="11" t="str">
        <f>Monetary_Unit</f>
        <v>тыс. руб.</v>
      </c>
      <c r="H1162" s="10"/>
      <c r="I1162" s="10"/>
      <c r="J1162" s="10"/>
      <c r="K1162" s="10"/>
      <c r="L1162" s="52">
        <f t="shared" ref="L1162" si="7453">K1165</f>
        <v>0</v>
      </c>
      <c r="M1162" s="52">
        <f t="shared" ref="M1162" si="7454">L1165</f>
        <v>0</v>
      </c>
      <c r="N1162" s="52">
        <f t="shared" ref="N1162" si="7455">M1165</f>
        <v>0</v>
      </c>
      <c r="O1162" s="52">
        <f t="shared" ref="O1162" si="7456">N1165</f>
        <v>0</v>
      </c>
      <c r="P1162" s="52">
        <f t="shared" ref="P1162" si="7457">O1165</f>
        <v>0</v>
      </c>
      <c r="Q1162" s="52">
        <f t="shared" ref="Q1162" si="7458">P1165</f>
        <v>0</v>
      </c>
      <c r="R1162" s="52">
        <f t="shared" ref="R1162" si="7459">Q1165</f>
        <v>0</v>
      </c>
      <c r="S1162" s="52">
        <f t="shared" ref="S1162" si="7460">R1165</f>
        <v>0</v>
      </c>
      <c r="T1162" s="52">
        <f t="shared" ref="T1162" si="7461">S1165</f>
        <v>93075.219462963287</v>
      </c>
      <c r="U1162" s="52">
        <f t="shared" ref="U1162" si="7462">T1165</f>
        <v>379690.34390327823</v>
      </c>
      <c r="V1162" s="52">
        <f t="shared" ref="V1162" si="7463">U1165</f>
        <v>669129.60368778696</v>
      </c>
      <c r="W1162" s="52">
        <f t="shared" ref="W1162" si="7464">V1165</f>
        <v>961420.82617018488</v>
      </c>
      <c r="X1162" s="52">
        <f t="shared" ref="X1162" si="7465">W1165</f>
        <v>1256592.112898397</v>
      </c>
      <c r="Y1162" s="52">
        <f t="shared" ref="Y1162" si="7466">X1165</f>
        <v>1879104.5142084088</v>
      </c>
      <c r="Z1162" s="52">
        <f t="shared" ref="Z1162" si="7467">Y1165</f>
        <v>2507750.7832903028</v>
      </c>
      <c r="AA1162" s="52">
        <f t="shared" ref="AA1162" si="7468">Z1165</f>
        <v>3142591.3596369531</v>
      </c>
      <c r="AB1162" s="52">
        <f t="shared" ref="AB1162" si="7469">AA1165</f>
        <v>3783687.2782761287</v>
      </c>
      <c r="AC1162" s="52">
        <f t="shared" ref="AC1162" si="7470">AB1165</f>
        <v>4616063.5245886445</v>
      </c>
      <c r="AD1162" s="52">
        <f t="shared" ref="AD1162" si="7471">AC1165</f>
        <v>4495805.9500073316</v>
      </c>
      <c r="AE1162" s="52">
        <f t="shared" ref="AE1162" si="7472">AD1165</f>
        <v>4374168.0381170874</v>
      </c>
      <c r="AF1162" s="52">
        <f t="shared" ref="AF1162" si="7473">AE1165</f>
        <v>4250828.5281117735</v>
      </c>
      <c r="AG1162" s="52">
        <f t="shared" ref="AG1162" si="7474">AF1165</f>
        <v>4125222.4499160405</v>
      </c>
      <c r="AH1162" s="52">
        <f t="shared" ref="AH1162" si="7475">AG1165</f>
        <v>3998161.2541356659</v>
      </c>
      <c r="AI1162" s="52">
        <f t="shared" ref="AI1162" si="7476">AH1165</f>
        <v>3869598.1264479118</v>
      </c>
      <c r="AJ1162" s="52">
        <f t="shared" ref="AJ1162" si="7477">AI1165</f>
        <v>3739236.5234453464</v>
      </c>
      <c r="AK1162" s="52">
        <f t="shared" ref="AK1162" si="7478">AJ1165</f>
        <v>3606568.3681428847</v>
      </c>
      <c r="AL1162" s="52">
        <f t="shared" ref="AL1162" si="7479">AK1165</f>
        <v>3472318.4487806205</v>
      </c>
      <c r="AM1162" s="52">
        <f t="shared" ref="AM1162" si="7480">AL1165</f>
        <v>3336436.3859030483</v>
      </c>
      <c r="AN1162" s="52">
        <f t="shared" ref="AN1162" si="7481">AM1165</f>
        <v>3198653.462726674</v>
      </c>
      <c r="AO1162" s="52">
        <f t="shared" ref="AO1162" si="7482">AN1165</f>
        <v>3058682.3180184551</v>
      </c>
      <c r="AP1162" s="52">
        <f t="shared" ref="AP1162" si="7483">AO1165</f>
        <v>2916779.6856331495</v>
      </c>
      <c r="AQ1162" s="52">
        <f t="shared" ref="AQ1162" si="7484">AP1165</f>
        <v>2773109.6477034264</v>
      </c>
      <c r="AR1162" s="52">
        <f t="shared" ref="AR1162" si="7485">AQ1165</f>
        <v>2627435.2942976062</v>
      </c>
      <c r="AS1162" s="52">
        <f t="shared" ref="AS1162" si="7486">AR1165</f>
        <v>2479426.5311982608</v>
      </c>
      <c r="AT1162" s="52">
        <f t="shared" ref="AT1162" si="7487">AS1165</f>
        <v>2329555.4519931669</v>
      </c>
      <c r="AU1162" s="52">
        <f t="shared" ref="AU1162" si="7488">AT1165</f>
        <v>2177763.7585033504</v>
      </c>
      <c r="AV1162" s="52">
        <f t="shared" ref="AV1162" si="7489">AU1165</f>
        <v>2023848.643856613</v>
      </c>
      <c r="AW1162" s="52">
        <f t="shared" ref="AW1162" si="7490">AV1165</f>
        <v>1867515.0379988309</v>
      </c>
      <c r="AX1162" s="52">
        <f t="shared" ref="AX1162" si="7491">AW1165</f>
        <v>1709164.0640122641</v>
      </c>
      <c r="AY1162" s="52">
        <f t="shared" ref="AY1162" si="7492">AX1165</f>
        <v>1548733.0365677271</v>
      </c>
      <c r="AZ1162" s="52">
        <f t="shared" ref="AZ1162" si="7493">AY1165</f>
        <v>1386057.7315221743</v>
      </c>
      <c r="BA1162" s="52">
        <f t="shared" ref="BA1162" si="7494">AZ1165</f>
        <v>1220929.9150941351</v>
      </c>
      <c r="BB1162" s="52">
        <f t="shared" ref="BB1162" si="7495">BA1165</f>
        <v>1053619.0083958807</v>
      </c>
      <c r="BC1162" s="52">
        <f t="shared" ref="BC1162" si="7496">BB1165</f>
        <v>884057.62976388773</v>
      </c>
      <c r="BD1162" s="52">
        <f t="shared" ref="BD1162" si="7497">BC1165</f>
        <v>712124.24751105381</v>
      </c>
      <c r="BE1162" s="52">
        <f t="shared" ref="BE1162" si="7498">BD1165</f>
        <v>537736.13931138162</v>
      </c>
      <c r="BF1162" s="52">
        <f t="shared" ref="BF1162" si="7499">BE1165</f>
        <v>360941.61383031344</v>
      </c>
      <c r="BG1162" s="52">
        <f t="shared" ref="BG1162" si="7500">BF1165</f>
        <v>181720.95747018265</v>
      </c>
      <c r="BH1162" s="52">
        <f t="shared" ref="BH1162" si="7501">BG1165</f>
        <v>0</v>
      </c>
      <c r="BI1162" s="52">
        <f t="shared" ref="BI1162" si="7502">BH1165</f>
        <v>0</v>
      </c>
      <c r="BJ1162" s="52">
        <f t="shared" ref="BJ1162" si="7503">BI1165</f>
        <v>0</v>
      </c>
      <c r="BK1162" s="52">
        <f t="shared" ref="BK1162" si="7504">BJ1165</f>
        <v>0</v>
      </c>
      <c r="BL1162" s="52">
        <f t="shared" ref="BL1162" si="7505">BK1165</f>
        <v>0</v>
      </c>
      <c r="BM1162" s="52">
        <f t="shared" ref="BM1162" si="7506">BL1165</f>
        <v>0</v>
      </c>
      <c r="BN1162" s="52">
        <f t="shared" ref="BN1162" si="7507">BM1165</f>
        <v>0</v>
      </c>
      <c r="BO1162" s="52">
        <f t="shared" ref="BO1162" si="7508">BN1165</f>
        <v>0</v>
      </c>
      <c r="BP1162" s="52">
        <f t="shared" ref="BP1162" si="7509">BO1165</f>
        <v>0</v>
      </c>
      <c r="BQ1162" s="52">
        <f t="shared" ref="BQ1162" si="7510">BP1165</f>
        <v>0</v>
      </c>
      <c r="BR1162" s="52">
        <f t="shared" ref="BR1162" si="7511">BQ1165</f>
        <v>0</v>
      </c>
      <c r="BS1162" s="52">
        <f t="shared" ref="BS1162" si="7512">BR1165</f>
        <v>0</v>
      </c>
      <c r="BT1162" s="52">
        <f t="shared" ref="BT1162" si="7513">BS1165</f>
        <v>0</v>
      </c>
      <c r="BU1162" s="52">
        <f t="shared" ref="BU1162" si="7514">BT1165</f>
        <v>0</v>
      </c>
      <c r="BV1162" s="52">
        <f t="shared" ref="BV1162" si="7515">BU1165</f>
        <v>0</v>
      </c>
      <c r="BW1162" s="52">
        <f t="shared" ref="BW1162" si="7516">BV1165</f>
        <v>0</v>
      </c>
      <c r="BX1162" s="52">
        <f t="shared" ref="BX1162" si="7517">BW1165</f>
        <v>0</v>
      </c>
      <c r="BY1162" s="52">
        <f t="shared" ref="BY1162" si="7518">BX1165</f>
        <v>0</v>
      </c>
      <c r="BZ1162" s="52">
        <f t="shared" ref="BZ1162" si="7519">BY1165</f>
        <v>0</v>
      </c>
      <c r="CA1162" s="52">
        <f t="shared" ref="CA1162" si="7520">BZ1165</f>
        <v>0</v>
      </c>
      <c r="CB1162" s="52">
        <f t="shared" ref="CB1162" si="7521">CA1165</f>
        <v>0</v>
      </c>
      <c r="CC1162" s="52">
        <f t="shared" ref="CC1162" si="7522">CB1165</f>
        <v>0</v>
      </c>
      <c r="CD1162" s="52">
        <f t="shared" ref="CD1162" si="7523">CC1165</f>
        <v>0</v>
      </c>
      <c r="CE1162" s="52">
        <f t="shared" ref="CE1162" si="7524">CD1165</f>
        <v>0</v>
      </c>
      <c r="CF1162" s="52">
        <f t="shared" ref="CF1162" si="7525">CE1165</f>
        <v>0</v>
      </c>
      <c r="CG1162" s="52">
        <f t="shared" ref="CG1162" si="7526">CF1165</f>
        <v>0</v>
      </c>
      <c r="CH1162" s="52">
        <f t="shared" ref="CH1162" si="7527">CG1165</f>
        <v>0</v>
      </c>
      <c r="CI1162" s="52">
        <f t="shared" ref="CI1162" si="7528">CH1165</f>
        <v>0</v>
      </c>
      <c r="CJ1162" s="52">
        <f t="shared" ref="CJ1162" si="7529">CI1165</f>
        <v>0</v>
      </c>
      <c r="CK1162" s="52">
        <f t="shared" ref="CK1162" si="7530">CJ1165</f>
        <v>0</v>
      </c>
      <c r="CL1162" s="52">
        <f t="shared" ref="CL1162" si="7531">CK1165</f>
        <v>0</v>
      </c>
      <c r="CM1162" s="52">
        <f t="shared" ref="CM1162" si="7532">CL1165</f>
        <v>0</v>
      </c>
      <c r="CN1162" s="52">
        <f t="shared" ref="CN1162" si="7533">CM1165</f>
        <v>0</v>
      </c>
      <c r="CO1162" s="52">
        <f t="shared" ref="CO1162" si="7534">CN1165</f>
        <v>0</v>
      </c>
    </row>
    <row r="1163" spans="1:93">
      <c r="A1163" s="10"/>
      <c r="B1163" s="10"/>
      <c r="C1163" s="17" t="s">
        <v>170</v>
      </c>
      <c r="D1163" s="10"/>
      <c r="E1163" s="10"/>
      <c r="F1163" s="10"/>
      <c r="G1163" s="11" t="str">
        <f>Monetary_Unit</f>
        <v>тыс. руб.</v>
      </c>
      <c r="H1163" s="10"/>
      <c r="I1163" s="23">
        <f>SUM(L1163:CO1163)</f>
        <v>4616063.5245886445</v>
      </c>
      <c r="J1163" s="10"/>
      <c r="K1163" s="10"/>
      <c r="L1163" s="52">
        <f t="shared" ref="L1163" si="7535">MIN($E1201-L1162,L$1152)*L1156</f>
        <v>0</v>
      </c>
      <c r="M1163" s="52">
        <f t="shared" ref="M1163:BX1163" si="7536">MIN($E1201-M1162,M$1152)*M1156</f>
        <v>0</v>
      </c>
      <c r="N1163" s="52">
        <f t="shared" si="7536"/>
        <v>0</v>
      </c>
      <c r="O1163" s="52">
        <f t="shared" si="7536"/>
        <v>0</v>
      </c>
      <c r="P1163" s="52">
        <f t="shared" si="7536"/>
        <v>0</v>
      </c>
      <c r="Q1163" s="52">
        <f t="shared" si="7536"/>
        <v>0</v>
      </c>
      <c r="R1163" s="52">
        <f t="shared" si="7536"/>
        <v>0</v>
      </c>
      <c r="S1163" s="52">
        <f t="shared" si="7536"/>
        <v>93075.219462963287</v>
      </c>
      <c r="T1163" s="52">
        <f t="shared" si="7536"/>
        <v>286615.12444031495</v>
      </c>
      <c r="U1163" s="52">
        <f t="shared" si="7536"/>
        <v>289439.25978450867</v>
      </c>
      <c r="V1163" s="52">
        <f t="shared" si="7536"/>
        <v>292291.22248239798</v>
      </c>
      <c r="W1163" s="52">
        <f t="shared" si="7536"/>
        <v>295171.2867282122</v>
      </c>
      <c r="X1163" s="52">
        <f t="shared" si="7536"/>
        <v>622512.40131001174</v>
      </c>
      <c r="Y1163" s="52">
        <f t="shared" si="7536"/>
        <v>628646.26908189419</v>
      </c>
      <c r="Z1163" s="52">
        <f t="shared" si="7536"/>
        <v>634840.57634665037</v>
      </c>
      <c r="AA1163" s="52">
        <f t="shared" si="7536"/>
        <v>641095.91863917548</v>
      </c>
      <c r="AB1163" s="52">
        <f t="shared" si="7536"/>
        <v>832376.24631251558</v>
      </c>
      <c r="AC1163" s="52">
        <f t="shared" si="7536"/>
        <v>0</v>
      </c>
      <c r="AD1163" s="52">
        <f t="shared" si="7536"/>
        <v>0</v>
      </c>
      <c r="AE1163" s="52">
        <f t="shared" si="7536"/>
        <v>0</v>
      </c>
      <c r="AF1163" s="52">
        <f t="shared" si="7536"/>
        <v>0</v>
      </c>
      <c r="AG1163" s="52">
        <f t="shared" si="7536"/>
        <v>0</v>
      </c>
      <c r="AH1163" s="52">
        <f t="shared" si="7536"/>
        <v>0</v>
      </c>
      <c r="AI1163" s="52">
        <f t="shared" si="7536"/>
        <v>0</v>
      </c>
      <c r="AJ1163" s="52">
        <f t="shared" si="7536"/>
        <v>0</v>
      </c>
      <c r="AK1163" s="52">
        <f t="shared" si="7536"/>
        <v>0</v>
      </c>
      <c r="AL1163" s="52">
        <f t="shared" si="7536"/>
        <v>0</v>
      </c>
      <c r="AM1163" s="52">
        <f t="shared" si="7536"/>
        <v>0</v>
      </c>
      <c r="AN1163" s="52">
        <f t="shared" si="7536"/>
        <v>0</v>
      </c>
      <c r="AO1163" s="52">
        <f t="shared" si="7536"/>
        <v>0</v>
      </c>
      <c r="AP1163" s="52">
        <f t="shared" si="7536"/>
        <v>0</v>
      </c>
      <c r="AQ1163" s="52">
        <f t="shared" si="7536"/>
        <v>0</v>
      </c>
      <c r="AR1163" s="52">
        <f t="shared" si="7536"/>
        <v>0</v>
      </c>
      <c r="AS1163" s="52">
        <f t="shared" si="7536"/>
        <v>0</v>
      </c>
      <c r="AT1163" s="52">
        <f t="shared" si="7536"/>
        <v>0</v>
      </c>
      <c r="AU1163" s="52">
        <f t="shared" si="7536"/>
        <v>0</v>
      </c>
      <c r="AV1163" s="52">
        <f t="shared" si="7536"/>
        <v>0</v>
      </c>
      <c r="AW1163" s="52">
        <f t="shared" si="7536"/>
        <v>0</v>
      </c>
      <c r="AX1163" s="52">
        <f t="shared" si="7536"/>
        <v>0</v>
      </c>
      <c r="AY1163" s="52">
        <f t="shared" si="7536"/>
        <v>0</v>
      </c>
      <c r="AZ1163" s="52">
        <f t="shared" si="7536"/>
        <v>0</v>
      </c>
      <c r="BA1163" s="52">
        <f t="shared" si="7536"/>
        <v>0</v>
      </c>
      <c r="BB1163" s="52">
        <f t="shared" si="7536"/>
        <v>0</v>
      </c>
      <c r="BC1163" s="52">
        <f t="shared" si="7536"/>
        <v>0</v>
      </c>
      <c r="BD1163" s="52">
        <f t="shared" si="7536"/>
        <v>0</v>
      </c>
      <c r="BE1163" s="52">
        <f t="shared" si="7536"/>
        <v>0</v>
      </c>
      <c r="BF1163" s="52">
        <f t="shared" si="7536"/>
        <v>0</v>
      </c>
      <c r="BG1163" s="52">
        <f t="shared" si="7536"/>
        <v>0</v>
      </c>
      <c r="BH1163" s="52">
        <f t="shared" si="7536"/>
        <v>0</v>
      </c>
      <c r="BI1163" s="52">
        <f t="shared" si="7536"/>
        <v>0</v>
      </c>
      <c r="BJ1163" s="52">
        <f t="shared" si="7536"/>
        <v>0</v>
      </c>
      <c r="BK1163" s="52">
        <f t="shared" si="7536"/>
        <v>0</v>
      </c>
      <c r="BL1163" s="52">
        <f t="shared" si="7536"/>
        <v>0</v>
      </c>
      <c r="BM1163" s="52">
        <f t="shared" si="7536"/>
        <v>0</v>
      </c>
      <c r="BN1163" s="52">
        <f t="shared" si="7536"/>
        <v>0</v>
      </c>
      <c r="BO1163" s="52">
        <f t="shared" si="7536"/>
        <v>0</v>
      </c>
      <c r="BP1163" s="52">
        <f t="shared" si="7536"/>
        <v>0</v>
      </c>
      <c r="BQ1163" s="52">
        <f t="shared" si="7536"/>
        <v>0</v>
      </c>
      <c r="BR1163" s="52">
        <f t="shared" si="7536"/>
        <v>0</v>
      </c>
      <c r="BS1163" s="52">
        <f t="shared" si="7536"/>
        <v>0</v>
      </c>
      <c r="BT1163" s="52">
        <f t="shared" si="7536"/>
        <v>0</v>
      </c>
      <c r="BU1163" s="52">
        <f t="shared" si="7536"/>
        <v>0</v>
      </c>
      <c r="BV1163" s="52">
        <f t="shared" si="7536"/>
        <v>0</v>
      </c>
      <c r="BW1163" s="52">
        <f t="shared" si="7536"/>
        <v>0</v>
      </c>
      <c r="BX1163" s="52">
        <f t="shared" si="7536"/>
        <v>0</v>
      </c>
      <c r="BY1163" s="52">
        <f t="shared" ref="BY1163:CO1163" si="7537">MIN($E1201-BY1162,BY$1152)*BY1156</f>
        <v>0</v>
      </c>
      <c r="BZ1163" s="52">
        <f t="shared" si="7537"/>
        <v>0</v>
      </c>
      <c r="CA1163" s="52">
        <f t="shared" si="7537"/>
        <v>0</v>
      </c>
      <c r="CB1163" s="52">
        <f t="shared" si="7537"/>
        <v>0</v>
      </c>
      <c r="CC1163" s="52">
        <f t="shared" si="7537"/>
        <v>0</v>
      </c>
      <c r="CD1163" s="52">
        <f t="shared" si="7537"/>
        <v>0</v>
      </c>
      <c r="CE1163" s="52">
        <f t="shared" si="7537"/>
        <v>0</v>
      </c>
      <c r="CF1163" s="52">
        <f t="shared" si="7537"/>
        <v>0</v>
      </c>
      <c r="CG1163" s="52">
        <f t="shared" si="7537"/>
        <v>0</v>
      </c>
      <c r="CH1163" s="52">
        <f t="shared" si="7537"/>
        <v>0</v>
      </c>
      <c r="CI1163" s="52">
        <f t="shared" si="7537"/>
        <v>0</v>
      </c>
      <c r="CJ1163" s="52">
        <f t="shared" si="7537"/>
        <v>0</v>
      </c>
      <c r="CK1163" s="52">
        <f t="shared" si="7537"/>
        <v>0</v>
      </c>
      <c r="CL1163" s="52">
        <f t="shared" si="7537"/>
        <v>0</v>
      </c>
      <c r="CM1163" s="52">
        <f t="shared" si="7537"/>
        <v>0</v>
      </c>
      <c r="CN1163" s="52">
        <f t="shared" si="7537"/>
        <v>0</v>
      </c>
      <c r="CO1163" s="52">
        <f t="shared" si="7537"/>
        <v>0</v>
      </c>
    </row>
    <row r="1164" spans="1:93">
      <c r="A1164" s="10"/>
      <c r="B1164" s="10"/>
      <c r="C1164" s="17" t="s">
        <v>395</v>
      </c>
      <c r="D1164" s="10"/>
      <c r="E1164" s="10"/>
      <c r="F1164" s="10"/>
      <c r="G1164" s="11" t="str">
        <f>Monetary_Unit</f>
        <v>тыс. руб.</v>
      </c>
      <c r="H1164" s="10"/>
      <c r="I1164" s="23">
        <f>SUM(L1164:CO1164)</f>
        <v>-4616063.5245886445</v>
      </c>
      <c r="J1164" s="10"/>
      <c r="K1164" s="10"/>
      <c r="L1164" s="52">
        <f>-MIN(L1162,CHOOSE(Предпосылки!$E$580,L1188,L1198))*L$1158</f>
        <v>0</v>
      </c>
      <c r="M1164" s="52">
        <f>-MIN(M1162,CHOOSE(Предпосылки!$E$580,M1188,M1198))*M$1158</f>
        <v>0</v>
      </c>
      <c r="N1164" s="52">
        <f>-MIN(N1162,CHOOSE(Предпосылки!$E$580,N1188,N1198))*N$1158</f>
        <v>0</v>
      </c>
      <c r="O1164" s="52">
        <f>-MIN(O1162,CHOOSE(Предпосылки!$E$580,O1188,O1198))*O$1158</f>
        <v>0</v>
      </c>
      <c r="P1164" s="52">
        <f>-MIN(P1162,CHOOSE(Предпосылки!$E$580,P1188,P1198))*P$1158</f>
        <v>0</v>
      </c>
      <c r="Q1164" s="52">
        <f>-MIN(Q1162,CHOOSE(Предпосылки!$E$580,Q1188,Q1198))*Q$1158</f>
        <v>0</v>
      </c>
      <c r="R1164" s="52">
        <f>-MIN(R1162,CHOOSE(Предпосылки!$E$580,R1188,R1198))*R$1158</f>
        <v>0</v>
      </c>
      <c r="S1164" s="52">
        <f>-MIN(S1162,CHOOSE(Предпосылки!$E$580,S1188,S1198))*S$1158</f>
        <v>0</v>
      </c>
      <c r="T1164" s="52">
        <f>-MIN(T1162,CHOOSE(Предпосылки!$E$580,T1188,T1198))*T$1158</f>
        <v>0</v>
      </c>
      <c r="U1164" s="52">
        <f>-MIN(U1162,CHOOSE(Предпосылки!$E$580,U1188,U1198))*U$1158</f>
        <v>0</v>
      </c>
      <c r="V1164" s="52">
        <f>-MIN(V1162,CHOOSE(Предпосылки!$E$580,V1188,V1198))*V$1158</f>
        <v>0</v>
      </c>
      <c r="W1164" s="52">
        <f>-MIN(W1162,CHOOSE(Предпосылки!$E$580,W1188,W1198))*W$1158</f>
        <v>0</v>
      </c>
      <c r="X1164" s="52">
        <f>-MIN(X1162,CHOOSE(Предпосылки!$E$580,X1188,X1198))*X$1158</f>
        <v>0</v>
      </c>
      <c r="Y1164" s="52">
        <f>-MIN(Y1162,CHOOSE(Предпосылки!$E$580,Y1188,Y1198))*Y$1158</f>
        <v>0</v>
      </c>
      <c r="Z1164" s="52">
        <f>-MIN(Z1162,CHOOSE(Предпосылки!$E$580,Z1188,Z1198))*Z$1158</f>
        <v>0</v>
      </c>
      <c r="AA1164" s="52">
        <f>-MIN(AA1162,CHOOSE(Предпосылки!$E$580,AA1188,AA1198))*AA$1158</f>
        <v>0</v>
      </c>
      <c r="AB1164" s="52">
        <f>-MIN(AB1162,CHOOSE(Предпосылки!$E$580,AB1188,AB1198))*AB$1158</f>
        <v>0</v>
      </c>
      <c r="AC1164" s="52">
        <f>-MIN(AC1162,CHOOSE(Предпосылки!$E$580,AC1188,AC1198))*AC$1158</f>
        <v>-120257.5745813126</v>
      </c>
      <c r="AD1164" s="52">
        <f>-MIN(AD1162,CHOOSE(Предпосылки!$E$580,AD1188,AD1198))*AD$1158</f>
        <v>-121637.91189024376</v>
      </c>
      <c r="AE1164" s="52">
        <f>-MIN(AE1162,CHOOSE(Предпосылки!$E$580,AE1188,AE1198))*AE$1158</f>
        <v>-123339.51000531408</v>
      </c>
      <c r="AF1164" s="52">
        <f>-MIN(AF1162,CHOOSE(Предпосылки!$E$580,AF1188,AF1198))*AF$1158</f>
        <v>-125606.07819573313</v>
      </c>
      <c r="AG1164" s="52">
        <f>-MIN(AG1162,CHOOSE(Предпосылки!$E$580,AG1188,AG1198))*AG$1158</f>
        <v>-127061.19578037452</v>
      </c>
      <c r="AH1164" s="52">
        <f>-MIN(AH1162,CHOOSE(Предпосылки!$E$580,AH1188,AH1198))*AH$1158</f>
        <v>-128563.12768775418</v>
      </c>
      <c r="AI1164" s="52">
        <f>-MIN(AI1162,CHOOSE(Предпосылки!$E$580,AI1188,AI1198))*AI$1158</f>
        <v>-130361.60300256562</v>
      </c>
      <c r="AJ1164" s="52">
        <f>-MIN(AJ1162,CHOOSE(Предпосылки!$E$580,AJ1188,AJ1198))*AJ$1158</f>
        <v>-132668.15530246156</v>
      </c>
      <c r="AK1164" s="52">
        <f>-MIN(AK1162,CHOOSE(Предпосылки!$E$580,AK1188,AK1198))*AK$1158</f>
        <v>-134249.91936226428</v>
      </c>
      <c r="AL1164" s="52">
        <f>-MIN(AL1162,CHOOSE(Предпосылки!$E$580,AL1188,AL1198))*AL$1158</f>
        <v>-135882.06287757197</v>
      </c>
      <c r="AM1164" s="52">
        <f>-MIN(AM1162,CHOOSE(Предпосылки!$E$580,AM1188,AM1198))*AM$1158</f>
        <v>-137782.92317637434</v>
      </c>
      <c r="AN1164" s="52">
        <f>-MIN(AN1162,CHOOSE(Предпосылки!$E$580,AN1188,AN1198))*AN$1158</f>
        <v>-139971.14470821922</v>
      </c>
      <c r="AO1164" s="52">
        <f>-MIN(AO1162,CHOOSE(Предпосылки!$E$580,AO1188,AO1198))*AO$1158</f>
        <v>-141902.63238530574</v>
      </c>
      <c r="AP1164" s="52">
        <f>-MIN(AP1162,CHOOSE(Предпосылки!$E$580,AP1188,AP1198))*AP$1158</f>
        <v>-143670.03792972286</v>
      </c>
      <c r="AQ1164" s="52">
        <f>-MIN(AQ1162,CHOOSE(Предпосылки!$E$580,AQ1188,AQ1198))*AQ$1158</f>
        <v>-145674.35340582032</v>
      </c>
      <c r="AR1164" s="52">
        <f>-MIN(AR1162,CHOOSE(Предпосылки!$E$580,AR1188,AR1198))*AR$1158</f>
        <v>-148008.7630993452</v>
      </c>
      <c r="AS1164" s="52">
        <f>-MIN(AS1162,CHOOSE(Предпосылки!$E$580,AS1188,AS1198))*AS$1158</f>
        <v>-149871.07920509396</v>
      </c>
      <c r="AT1164" s="52">
        <f>-MIN(AT1162,CHOOSE(Предпосылки!$E$580,AT1188,AT1198))*AT$1158</f>
        <v>-151791.69348981642</v>
      </c>
      <c r="AU1164" s="52">
        <f>-MIN(AU1162,CHOOSE(Предпосылки!$E$580,AU1188,AU1198))*AU$1158</f>
        <v>-153915.11464673752</v>
      </c>
      <c r="AV1164" s="52">
        <f>-MIN(AV1162,CHOOSE(Предпосылки!$E$580,AV1188,AV1198))*AV$1158</f>
        <v>-156333.60585778209</v>
      </c>
      <c r="AW1164" s="52">
        <f>-MIN(AW1162,CHOOSE(Предпосылки!$E$580,AW1188,AW1198))*AW$1158</f>
        <v>-158350.97398656677</v>
      </c>
      <c r="AX1164" s="52">
        <f>-MIN(AX1162,CHOOSE(Предпосылки!$E$580,AX1188,AX1198))*AX$1158</f>
        <v>-160431.02744453712</v>
      </c>
      <c r="AY1164" s="52">
        <f>-MIN(AY1162,CHOOSE(Предпосылки!$E$580,AY1188,AY1198))*AY$1158</f>
        <v>-162675.30504555287</v>
      </c>
      <c r="AZ1164" s="52">
        <f>-MIN(AZ1162,CHOOSE(Предпосылки!$E$580,AZ1188,AZ1198))*AZ$1158</f>
        <v>-165127.81642803919</v>
      </c>
      <c r="BA1164" s="52">
        <f>-MIN(BA1162,CHOOSE(Предпосылки!$E$580,BA1188,BA1198))*BA$1158</f>
        <v>-167310.90669825437</v>
      </c>
      <c r="BB1164" s="52">
        <f>-MIN(BB1162,CHOOSE(Предпосылки!$E$580,BB1188,BB1198))*BB$1158</f>
        <v>-169561.37863199293</v>
      </c>
      <c r="BC1164" s="52">
        <f>-MIN(BC1162,CHOOSE(Предпосылки!$E$580,BC1188,BC1198))*BC$1158</f>
        <v>-171933.38225283392</v>
      </c>
      <c r="BD1164" s="52">
        <f>-MIN(BD1162,CHOOSE(Предпосылки!$E$580,BD1188,BD1198))*BD$1158</f>
        <v>-174388.10819967216</v>
      </c>
      <c r="BE1164" s="52">
        <f>-MIN(BE1162,CHOOSE(Предпосылки!$E$580,BE1188,BE1198))*BE$1158</f>
        <v>-176794.52548106818</v>
      </c>
      <c r="BF1164" s="52">
        <f>-MIN(BF1162,CHOOSE(Предпосылки!$E$580,BF1188,BF1198))*BF$1158</f>
        <v>-179220.65636013079</v>
      </c>
      <c r="BG1164" s="52">
        <f>-MIN(BG1162,CHOOSE(Предпосылки!$E$580,BG1188,BG1198))*BG$1158</f>
        <v>-181720.95747018265</v>
      </c>
      <c r="BH1164" s="52">
        <f>-MIN(BH1162,CHOOSE(Предпосылки!$E$580,BH1188,BH1198))*BH$1158</f>
        <v>0</v>
      </c>
      <c r="BI1164" s="52">
        <f>-MIN(BI1162,CHOOSE(Предпосылки!$E$580,BI1188,BI1198))*BI$1158</f>
        <v>0</v>
      </c>
      <c r="BJ1164" s="52">
        <f>-MIN(BJ1162,CHOOSE(Предпосылки!$E$580,BJ1188,BJ1198))*BJ$1158</f>
        <v>0</v>
      </c>
      <c r="BK1164" s="52">
        <f>-MIN(BK1162,CHOOSE(Предпосылки!$E$580,BK1188,BK1198))*BK$1158</f>
        <v>0</v>
      </c>
      <c r="BL1164" s="52">
        <f>-MIN(BL1162,CHOOSE(Предпосылки!$E$580,BL1188,BL1198))*BL$1158</f>
        <v>0</v>
      </c>
      <c r="BM1164" s="52">
        <f>-MIN(BM1162,CHOOSE(Предпосылки!$E$580,BM1188,BM1198))*BM$1158</f>
        <v>0</v>
      </c>
      <c r="BN1164" s="52">
        <f>-MIN(BN1162,CHOOSE(Предпосылки!$E$580,BN1188,BN1198))*BN$1158</f>
        <v>0</v>
      </c>
      <c r="BO1164" s="52">
        <f>-MIN(BO1162,CHOOSE(Предпосылки!$E$580,BO1188,BO1198))*BO$1158</f>
        <v>0</v>
      </c>
      <c r="BP1164" s="52">
        <f>-MIN(BP1162,CHOOSE(Предпосылки!$E$580,BP1188,BP1198))*BP$1158</f>
        <v>0</v>
      </c>
      <c r="BQ1164" s="52">
        <f>-MIN(BQ1162,CHOOSE(Предпосылки!$E$580,BQ1188,BQ1198))*BQ$1158</f>
        <v>0</v>
      </c>
      <c r="BR1164" s="52">
        <f>-MIN(BR1162,CHOOSE(Предпосылки!$E$580,BR1188,BR1198))*BR$1158</f>
        <v>0</v>
      </c>
      <c r="BS1164" s="52">
        <f>-MIN(BS1162,CHOOSE(Предпосылки!$E$580,BS1188,BS1198))*BS$1158</f>
        <v>0</v>
      </c>
      <c r="BT1164" s="52">
        <f>-MIN(BT1162,CHOOSE(Предпосылки!$E$580,BT1188,BT1198))*BT$1158</f>
        <v>0</v>
      </c>
      <c r="BU1164" s="52">
        <f>-MIN(BU1162,CHOOSE(Предпосылки!$E$580,BU1188,BU1198))*BU$1158</f>
        <v>0</v>
      </c>
      <c r="BV1164" s="52">
        <f>-MIN(BV1162,CHOOSE(Предпосылки!$E$580,BV1188,BV1198))*BV$1158</f>
        <v>0</v>
      </c>
      <c r="BW1164" s="52">
        <f>-MIN(BW1162,CHOOSE(Предпосылки!$E$580,BW1188,BW1198))*BW$1158</f>
        <v>0</v>
      </c>
      <c r="BX1164" s="52">
        <f>-MIN(BX1162,CHOOSE(Предпосылки!$E$580,BX1188,BX1198))*BX$1158</f>
        <v>0</v>
      </c>
      <c r="BY1164" s="52">
        <f>-MIN(BY1162,CHOOSE(Предпосылки!$E$580,BY1188,BY1198))*BY$1158</f>
        <v>0</v>
      </c>
      <c r="BZ1164" s="52">
        <f>-MIN(BZ1162,CHOOSE(Предпосылки!$E$580,BZ1188,BZ1198))*BZ$1158</f>
        <v>0</v>
      </c>
      <c r="CA1164" s="52">
        <f>-MIN(CA1162,CHOOSE(Предпосылки!$E$580,CA1188,CA1198))*CA$1158</f>
        <v>0</v>
      </c>
      <c r="CB1164" s="52">
        <f>-MIN(CB1162,CHOOSE(Предпосылки!$E$580,CB1188,CB1198))*CB$1158</f>
        <v>0</v>
      </c>
      <c r="CC1164" s="52">
        <f>-MIN(CC1162,CHOOSE(Предпосылки!$E$580,CC1188,CC1198))*CC$1158</f>
        <v>0</v>
      </c>
      <c r="CD1164" s="52">
        <f>-MIN(CD1162,CHOOSE(Предпосылки!$E$580,CD1188,CD1198))*CD$1158</f>
        <v>0</v>
      </c>
      <c r="CE1164" s="52">
        <f>-MIN(CE1162,CHOOSE(Предпосылки!$E$580,CE1188,CE1198))*CE$1158</f>
        <v>0</v>
      </c>
      <c r="CF1164" s="52">
        <f>-MIN(CF1162,CHOOSE(Предпосылки!$E$580,CF1188,CF1198))*CF$1158</f>
        <v>0</v>
      </c>
      <c r="CG1164" s="52">
        <f>-MIN(CG1162,CHOOSE(Предпосылки!$E$580,CG1188,CG1198))*CG$1158</f>
        <v>0</v>
      </c>
      <c r="CH1164" s="52">
        <f>-MIN(CH1162,CHOOSE(Предпосылки!$E$580,CH1188,CH1198))*CH$1158</f>
        <v>0</v>
      </c>
      <c r="CI1164" s="52">
        <f>-MIN(CI1162,CHOOSE(Предпосылки!$E$580,CI1188,CI1198))*CI$1158</f>
        <v>0</v>
      </c>
      <c r="CJ1164" s="52">
        <f>-MIN(CJ1162,CHOOSE(Предпосылки!$E$580,CJ1188,CJ1198))*CJ$1158</f>
        <v>0</v>
      </c>
      <c r="CK1164" s="52">
        <f>-MIN(CK1162,CHOOSE(Предпосылки!$E$580,CK1188,CK1198))*CK$1158</f>
        <v>0</v>
      </c>
      <c r="CL1164" s="52">
        <f>-MIN(CL1162,CHOOSE(Предпосылки!$E$580,CL1188,CL1198))*CL$1158</f>
        <v>0</v>
      </c>
      <c r="CM1164" s="52">
        <f>-MIN(CM1162,CHOOSE(Предпосылки!$E$580,CM1188,CM1198))*CM$1158</f>
        <v>0</v>
      </c>
      <c r="CN1164" s="52">
        <f>-MIN(CN1162,CHOOSE(Предпосылки!$E$580,CN1188,CN1198))*CN$1158</f>
        <v>0</v>
      </c>
      <c r="CO1164" s="52">
        <f>-MIN(CO1162,CHOOSE(Предпосылки!$E$580,CO1188,CO1198))*CO$1158</f>
        <v>0</v>
      </c>
    </row>
    <row r="1165" spans="1:93">
      <c r="A1165" s="10"/>
      <c r="B1165" s="10"/>
      <c r="C1165" s="17" t="s">
        <v>179</v>
      </c>
      <c r="D1165" s="10"/>
      <c r="E1165" s="10"/>
      <c r="F1165" s="10"/>
      <c r="G1165" s="11" t="str">
        <f>Monetary_Unit</f>
        <v>тыс. руб.</v>
      </c>
      <c r="H1165" s="10"/>
      <c r="I1165" s="10"/>
      <c r="J1165" s="10"/>
      <c r="K1165" s="10"/>
      <c r="L1165" s="52">
        <f t="shared" ref="L1165" si="7538">SUM(L1162:L1164)*ABS(SUM(L1162:L1164)&gt;Accuracy)</f>
        <v>0</v>
      </c>
      <c r="M1165" s="52">
        <f t="shared" ref="M1165:BX1165" si="7539">SUM(M1162:M1164)*ABS(SUM(M1162:M1164)&gt;Accuracy)</f>
        <v>0</v>
      </c>
      <c r="N1165" s="52">
        <f t="shared" si="7539"/>
        <v>0</v>
      </c>
      <c r="O1165" s="52">
        <f t="shared" si="7539"/>
        <v>0</v>
      </c>
      <c r="P1165" s="52">
        <f t="shared" si="7539"/>
        <v>0</v>
      </c>
      <c r="Q1165" s="52">
        <f t="shared" si="7539"/>
        <v>0</v>
      </c>
      <c r="R1165" s="52">
        <f t="shared" si="7539"/>
        <v>0</v>
      </c>
      <c r="S1165" s="52">
        <f t="shared" si="7539"/>
        <v>93075.219462963287</v>
      </c>
      <c r="T1165" s="52">
        <f t="shared" si="7539"/>
        <v>379690.34390327823</v>
      </c>
      <c r="U1165" s="52">
        <f t="shared" si="7539"/>
        <v>669129.60368778696</v>
      </c>
      <c r="V1165" s="52">
        <f t="shared" si="7539"/>
        <v>961420.82617018488</v>
      </c>
      <c r="W1165" s="52">
        <f t="shared" si="7539"/>
        <v>1256592.112898397</v>
      </c>
      <c r="X1165" s="52">
        <f t="shared" si="7539"/>
        <v>1879104.5142084088</v>
      </c>
      <c r="Y1165" s="52">
        <f t="shared" si="7539"/>
        <v>2507750.7832903028</v>
      </c>
      <c r="Z1165" s="52">
        <f t="shared" si="7539"/>
        <v>3142591.3596369531</v>
      </c>
      <c r="AA1165" s="52">
        <f t="shared" si="7539"/>
        <v>3783687.2782761287</v>
      </c>
      <c r="AB1165" s="52">
        <f t="shared" si="7539"/>
        <v>4616063.5245886445</v>
      </c>
      <c r="AC1165" s="52">
        <f t="shared" si="7539"/>
        <v>4495805.9500073316</v>
      </c>
      <c r="AD1165" s="52">
        <f t="shared" si="7539"/>
        <v>4374168.0381170874</v>
      </c>
      <c r="AE1165" s="52">
        <f t="shared" si="7539"/>
        <v>4250828.5281117735</v>
      </c>
      <c r="AF1165" s="52">
        <f t="shared" si="7539"/>
        <v>4125222.4499160405</v>
      </c>
      <c r="AG1165" s="52">
        <f t="shared" si="7539"/>
        <v>3998161.2541356659</v>
      </c>
      <c r="AH1165" s="52">
        <f t="shared" si="7539"/>
        <v>3869598.1264479118</v>
      </c>
      <c r="AI1165" s="52">
        <f t="shared" si="7539"/>
        <v>3739236.5234453464</v>
      </c>
      <c r="AJ1165" s="52">
        <f t="shared" si="7539"/>
        <v>3606568.3681428847</v>
      </c>
      <c r="AK1165" s="52">
        <f t="shared" si="7539"/>
        <v>3472318.4487806205</v>
      </c>
      <c r="AL1165" s="52">
        <f t="shared" si="7539"/>
        <v>3336436.3859030483</v>
      </c>
      <c r="AM1165" s="52">
        <f t="shared" si="7539"/>
        <v>3198653.462726674</v>
      </c>
      <c r="AN1165" s="52">
        <f t="shared" si="7539"/>
        <v>3058682.3180184551</v>
      </c>
      <c r="AO1165" s="52">
        <f t="shared" si="7539"/>
        <v>2916779.6856331495</v>
      </c>
      <c r="AP1165" s="52">
        <f t="shared" si="7539"/>
        <v>2773109.6477034264</v>
      </c>
      <c r="AQ1165" s="52">
        <f t="shared" si="7539"/>
        <v>2627435.2942976062</v>
      </c>
      <c r="AR1165" s="52">
        <f t="shared" si="7539"/>
        <v>2479426.5311982608</v>
      </c>
      <c r="AS1165" s="52">
        <f t="shared" si="7539"/>
        <v>2329555.4519931669</v>
      </c>
      <c r="AT1165" s="52">
        <f t="shared" si="7539"/>
        <v>2177763.7585033504</v>
      </c>
      <c r="AU1165" s="52">
        <f t="shared" si="7539"/>
        <v>2023848.643856613</v>
      </c>
      <c r="AV1165" s="52">
        <f t="shared" si="7539"/>
        <v>1867515.0379988309</v>
      </c>
      <c r="AW1165" s="52">
        <f t="shared" si="7539"/>
        <v>1709164.0640122641</v>
      </c>
      <c r="AX1165" s="52">
        <f t="shared" si="7539"/>
        <v>1548733.0365677271</v>
      </c>
      <c r="AY1165" s="52">
        <f t="shared" si="7539"/>
        <v>1386057.7315221743</v>
      </c>
      <c r="AZ1165" s="52">
        <f t="shared" si="7539"/>
        <v>1220929.9150941351</v>
      </c>
      <c r="BA1165" s="52">
        <f t="shared" si="7539"/>
        <v>1053619.0083958807</v>
      </c>
      <c r="BB1165" s="52">
        <f t="shared" si="7539"/>
        <v>884057.62976388773</v>
      </c>
      <c r="BC1165" s="52">
        <f t="shared" si="7539"/>
        <v>712124.24751105381</v>
      </c>
      <c r="BD1165" s="52">
        <f t="shared" si="7539"/>
        <v>537736.13931138162</v>
      </c>
      <c r="BE1165" s="52">
        <f t="shared" si="7539"/>
        <v>360941.61383031344</v>
      </c>
      <c r="BF1165" s="52">
        <f t="shared" si="7539"/>
        <v>181720.95747018265</v>
      </c>
      <c r="BG1165" s="52">
        <f t="shared" si="7539"/>
        <v>0</v>
      </c>
      <c r="BH1165" s="52">
        <f t="shared" si="7539"/>
        <v>0</v>
      </c>
      <c r="BI1165" s="52">
        <f t="shared" si="7539"/>
        <v>0</v>
      </c>
      <c r="BJ1165" s="52">
        <f t="shared" si="7539"/>
        <v>0</v>
      </c>
      <c r="BK1165" s="52">
        <f t="shared" si="7539"/>
        <v>0</v>
      </c>
      <c r="BL1165" s="52">
        <f t="shared" si="7539"/>
        <v>0</v>
      </c>
      <c r="BM1165" s="52">
        <f t="shared" si="7539"/>
        <v>0</v>
      </c>
      <c r="BN1165" s="52">
        <f t="shared" si="7539"/>
        <v>0</v>
      </c>
      <c r="BO1165" s="52">
        <f t="shared" si="7539"/>
        <v>0</v>
      </c>
      <c r="BP1165" s="52">
        <f t="shared" si="7539"/>
        <v>0</v>
      </c>
      <c r="BQ1165" s="52">
        <f t="shared" si="7539"/>
        <v>0</v>
      </c>
      <c r="BR1165" s="52">
        <f t="shared" si="7539"/>
        <v>0</v>
      </c>
      <c r="BS1165" s="52">
        <f t="shared" si="7539"/>
        <v>0</v>
      </c>
      <c r="BT1165" s="52">
        <f t="shared" si="7539"/>
        <v>0</v>
      </c>
      <c r="BU1165" s="52">
        <f t="shared" si="7539"/>
        <v>0</v>
      </c>
      <c r="BV1165" s="52">
        <f t="shared" si="7539"/>
        <v>0</v>
      </c>
      <c r="BW1165" s="52">
        <f t="shared" si="7539"/>
        <v>0</v>
      </c>
      <c r="BX1165" s="52">
        <f t="shared" si="7539"/>
        <v>0</v>
      </c>
      <c r="BY1165" s="52">
        <f t="shared" ref="BY1165:CO1165" si="7540">SUM(BY1162:BY1164)*ABS(SUM(BY1162:BY1164)&gt;Accuracy)</f>
        <v>0</v>
      </c>
      <c r="BZ1165" s="52">
        <f t="shared" si="7540"/>
        <v>0</v>
      </c>
      <c r="CA1165" s="52">
        <f t="shared" si="7540"/>
        <v>0</v>
      </c>
      <c r="CB1165" s="52">
        <f t="shared" si="7540"/>
        <v>0</v>
      </c>
      <c r="CC1165" s="52">
        <f t="shared" si="7540"/>
        <v>0</v>
      </c>
      <c r="CD1165" s="52">
        <f t="shared" si="7540"/>
        <v>0</v>
      </c>
      <c r="CE1165" s="52">
        <f t="shared" si="7540"/>
        <v>0</v>
      </c>
      <c r="CF1165" s="52">
        <f t="shared" si="7540"/>
        <v>0</v>
      </c>
      <c r="CG1165" s="52">
        <f t="shared" si="7540"/>
        <v>0</v>
      </c>
      <c r="CH1165" s="52">
        <f t="shared" si="7540"/>
        <v>0</v>
      </c>
      <c r="CI1165" s="52">
        <f t="shared" si="7540"/>
        <v>0</v>
      </c>
      <c r="CJ1165" s="52">
        <f t="shared" si="7540"/>
        <v>0</v>
      </c>
      <c r="CK1165" s="52">
        <f t="shared" si="7540"/>
        <v>0</v>
      </c>
      <c r="CL1165" s="52">
        <f t="shared" si="7540"/>
        <v>0</v>
      </c>
      <c r="CM1165" s="52">
        <f t="shared" si="7540"/>
        <v>0</v>
      </c>
      <c r="CN1165" s="52">
        <f t="shared" si="7540"/>
        <v>0</v>
      </c>
      <c r="CO1165" s="52">
        <f t="shared" si="7540"/>
        <v>0</v>
      </c>
    </row>
    <row r="1166" spans="1:93">
      <c r="A1166" s="10"/>
      <c r="B1166" s="10"/>
      <c r="C1166" s="17"/>
      <c r="D1166" s="10"/>
      <c r="E1166" s="10"/>
      <c r="F1166" s="10"/>
      <c r="G1166" s="11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  <c r="BB1166" s="10"/>
      <c r="BC1166" s="10"/>
      <c r="BD1166" s="10"/>
      <c r="BE1166" s="10"/>
      <c r="BF1166" s="10"/>
      <c r="BG1166" s="10"/>
      <c r="BH1166" s="10"/>
      <c r="BI1166" s="10"/>
      <c r="BJ1166" s="10"/>
      <c r="BK1166" s="10"/>
      <c r="BL1166" s="10"/>
      <c r="BM1166" s="10"/>
      <c r="BN1166" s="10"/>
      <c r="BO1166" s="10"/>
      <c r="BP1166" s="10"/>
      <c r="BQ1166" s="10"/>
      <c r="BR1166" s="10"/>
      <c r="BS1166" s="10"/>
      <c r="BT1166" s="10"/>
      <c r="BU1166" s="10"/>
      <c r="BV1166" s="10"/>
      <c r="BW1166" s="10"/>
      <c r="BX1166" s="10"/>
      <c r="BY1166" s="10"/>
      <c r="BZ1166" s="10"/>
      <c r="CA1166" s="10"/>
      <c r="CB1166" s="10"/>
      <c r="CC1166" s="10"/>
      <c r="CD1166" s="10"/>
      <c r="CE1166" s="10"/>
      <c r="CF1166" s="10"/>
      <c r="CG1166" s="10"/>
      <c r="CH1166" s="10"/>
      <c r="CI1166" s="10"/>
      <c r="CJ1166" s="10"/>
      <c r="CK1166" s="10"/>
      <c r="CL1166" s="10"/>
      <c r="CM1166" s="10"/>
      <c r="CN1166" s="10"/>
      <c r="CO1166" s="10"/>
    </row>
    <row r="1167" spans="1:93">
      <c r="A1167" s="10"/>
      <c r="B1167" s="10"/>
      <c r="C1167" s="67" t="s">
        <v>536</v>
      </c>
      <c r="D1167" s="10"/>
      <c r="E1167" s="62"/>
      <c r="F1167" s="10"/>
      <c r="G1167" s="11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  <c r="BB1167" s="10"/>
      <c r="BC1167" s="10"/>
      <c r="BD1167" s="10"/>
      <c r="BE1167" s="10"/>
      <c r="BF1167" s="10"/>
      <c r="BG1167" s="10"/>
      <c r="BH1167" s="10"/>
      <c r="BI1167" s="10"/>
      <c r="BJ1167" s="10"/>
      <c r="BK1167" s="10"/>
      <c r="BL1167" s="10"/>
      <c r="BM1167" s="10"/>
      <c r="BN1167" s="10"/>
      <c r="BO1167" s="10"/>
      <c r="BP1167" s="10"/>
      <c r="BQ1167" s="10"/>
      <c r="BR1167" s="10"/>
      <c r="BS1167" s="10"/>
      <c r="BT1167" s="10"/>
      <c r="BU1167" s="10"/>
      <c r="BV1167" s="10"/>
      <c r="BW1167" s="10"/>
      <c r="BX1167" s="10"/>
      <c r="BY1167" s="10"/>
      <c r="BZ1167" s="10"/>
      <c r="CA1167" s="10"/>
      <c r="CB1167" s="10"/>
      <c r="CC1167" s="10"/>
      <c r="CD1167" s="10"/>
      <c r="CE1167" s="10"/>
      <c r="CF1167" s="10"/>
      <c r="CG1167" s="10"/>
      <c r="CH1167" s="10"/>
      <c r="CI1167" s="10"/>
      <c r="CJ1167" s="10"/>
      <c r="CK1167" s="10"/>
      <c r="CL1167" s="10"/>
      <c r="CM1167" s="10"/>
      <c r="CN1167" s="10"/>
      <c r="CO1167" s="10"/>
    </row>
    <row r="1168" spans="1:93">
      <c r="A1168" s="10"/>
      <c r="B1168" s="10"/>
      <c r="C1168" s="17" t="s">
        <v>396</v>
      </c>
      <c r="D1168" s="10"/>
      <c r="E1168" s="62"/>
      <c r="F1168" s="10"/>
      <c r="G1168" s="11" t="str">
        <f>Monetary_Unit</f>
        <v>тыс. руб.</v>
      </c>
      <c r="H1168" s="10"/>
      <c r="I1168" s="23">
        <f>SUM(L1168:CO1168)</f>
        <v>5711596.5853568427</v>
      </c>
      <c r="J1168" s="10"/>
      <c r="K1168" s="10"/>
      <c r="L1168" s="52">
        <f t="shared" ref="L1168" si="7541">IF(L1185=0,0,L1180/(1-(1+L1177+Very_Small_Number)^-L1185))*L1184</f>
        <v>0</v>
      </c>
      <c r="M1168" s="52">
        <f t="shared" ref="M1168:BX1168" si="7542">IF(M1185=0,0,M1180/(1-(1+M1177+Very_Small_Number)^-M1185))*M1184</f>
        <v>0</v>
      </c>
      <c r="N1168" s="52">
        <f t="shared" si="7542"/>
        <v>0</v>
      </c>
      <c r="O1168" s="52">
        <f t="shared" si="7542"/>
        <v>0</v>
      </c>
      <c r="P1168" s="52">
        <f t="shared" si="7542"/>
        <v>0</v>
      </c>
      <c r="Q1168" s="52">
        <f t="shared" si="7542"/>
        <v>0</v>
      </c>
      <c r="R1168" s="52">
        <f t="shared" si="7542"/>
        <v>0</v>
      </c>
      <c r="S1168" s="52">
        <f t="shared" si="7542"/>
        <v>0</v>
      </c>
      <c r="T1168" s="52">
        <f t="shared" si="7542"/>
        <v>0</v>
      </c>
      <c r="U1168" s="52">
        <f t="shared" si="7542"/>
        <v>0</v>
      </c>
      <c r="V1168" s="52">
        <f t="shared" si="7542"/>
        <v>0</v>
      </c>
      <c r="W1168" s="52">
        <f t="shared" si="7542"/>
        <v>0</v>
      </c>
      <c r="X1168" s="52">
        <f t="shared" si="7542"/>
        <v>0</v>
      </c>
      <c r="Y1168" s="52">
        <f t="shared" si="7542"/>
        <v>0</v>
      </c>
      <c r="Z1168" s="52">
        <f t="shared" si="7542"/>
        <v>0</v>
      </c>
      <c r="AA1168" s="52">
        <f t="shared" si="7542"/>
        <v>0</v>
      </c>
      <c r="AB1168" s="52">
        <f t="shared" si="7542"/>
        <v>0</v>
      </c>
      <c r="AC1168" s="52">
        <f t="shared" si="7542"/>
        <v>184129.98233729877</v>
      </c>
      <c r="AD1168" s="52">
        <f t="shared" si="7542"/>
        <v>184529.92608404497</v>
      </c>
      <c r="AE1168" s="52">
        <f t="shared" si="7542"/>
        <v>184529.92645086435</v>
      </c>
      <c r="AF1168" s="52">
        <f t="shared" si="7542"/>
        <v>183778.37545030384</v>
      </c>
      <c r="AG1168" s="52">
        <f t="shared" si="7542"/>
        <v>184141.84230996619</v>
      </c>
      <c r="AH1168" s="52">
        <f t="shared" si="7542"/>
        <v>184493.56977985476</v>
      </c>
      <c r="AI1168" s="52">
        <f t="shared" si="7542"/>
        <v>184493.570218026</v>
      </c>
      <c r="AJ1168" s="52">
        <f t="shared" si="7542"/>
        <v>183839.35101372047</v>
      </c>
      <c r="AK1168" s="52">
        <f t="shared" si="7542"/>
        <v>184153.95646721125</v>
      </c>
      <c r="AL1168" s="52">
        <f t="shared" si="7542"/>
        <v>184456.46835558253</v>
      </c>
      <c r="AM1168" s="52">
        <f t="shared" si="7542"/>
        <v>184456.46889259617</v>
      </c>
      <c r="AN1168" s="52">
        <f t="shared" si="7542"/>
        <v>184109.94064674672</v>
      </c>
      <c r="AO1168" s="52">
        <f t="shared" si="7542"/>
        <v>184109.94125730632</v>
      </c>
      <c r="AP1168" s="52">
        <f t="shared" si="7542"/>
        <v>184361.50534732631</v>
      </c>
      <c r="AQ1168" s="52">
        <f t="shared" si="7542"/>
        <v>184361.50603197794</v>
      </c>
      <c r="AR1168" s="52">
        <f t="shared" si="7542"/>
        <v>183965.0351404864</v>
      </c>
      <c r="AS1168" s="52">
        <f t="shared" si="7542"/>
        <v>184178.8701525373</v>
      </c>
      <c r="AT1168" s="52">
        <f t="shared" si="7542"/>
        <v>184379.94044290439</v>
      </c>
      <c r="AU1168" s="52">
        <f t="shared" si="7542"/>
        <v>184379.94136158164</v>
      </c>
      <c r="AV1168" s="52">
        <f t="shared" si="7542"/>
        <v>184029.83592918972</v>
      </c>
      <c r="AW1168" s="52">
        <f t="shared" si="7542"/>
        <v>184191.75398495881</v>
      </c>
      <c r="AX1168" s="52">
        <f t="shared" si="7542"/>
        <v>184340.59377562374</v>
      </c>
      <c r="AY1168" s="52">
        <f t="shared" si="7542"/>
        <v>184340.59514066196</v>
      </c>
      <c r="AZ1168" s="52">
        <f t="shared" si="7542"/>
        <v>184095.9215484591</v>
      </c>
      <c r="BA1168" s="52">
        <f t="shared" si="7542"/>
        <v>184204.8972083446</v>
      </c>
      <c r="BB1168" s="52">
        <f t="shared" si="7542"/>
        <v>184300.49823985421</v>
      </c>
      <c r="BC1168" s="52">
        <f t="shared" si="7542"/>
        <v>184300.50076673643</v>
      </c>
      <c r="BD1168" s="52">
        <f t="shared" si="7542"/>
        <v>184214.83910692509</v>
      </c>
      <c r="BE1168" s="52">
        <f t="shared" si="7542"/>
        <v>184214.84343623795</v>
      </c>
      <c r="BF1168" s="52">
        <f t="shared" si="7542"/>
        <v>184256.08772684549</v>
      </c>
      <c r="BG1168" s="52">
        <f t="shared" si="7542"/>
        <v>184256.10075266927</v>
      </c>
      <c r="BH1168" s="52">
        <f t="shared" si="7542"/>
        <v>0</v>
      </c>
      <c r="BI1168" s="52">
        <f t="shared" si="7542"/>
        <v>0</v>
      </c>
      <c r="BJ1168" s="52">
        <f t="shared" si="7542"/>
        <v>0</v>
      </c>
      <c r="BK1168" s="52">
        <f t="shared" si="7542"/>
        <v>0</v>
      </c>
      <c r="BL1168" s="52">
        <f t="shared" si="7542"/>
        <v>0</v>
      </c>
      <c r="BM1168" s="52">
        <f t="shared" si="7542"/>
        <v>0</v>
      </c>
      <c r="BN1168" s="52">
        <f t="shared" si="7542"/>
        <v>0</v>
      </c>
      <c r="BO1168" s="52">
        <f t="shared" si="7542"/>
        <v>0</v>
      </c>
      <c r="BP1168" s="52">
        <f t="shared" si="7542"/>
        <v>0</v>
      </c>
      <c r="BQ1168" s="52">
        <f t="shared" si="7542"/>
        <v>0</v>
      </c>
      <c r="BR1168" s="52">
        <f t="shared" si="7542"/>
        <v>0</v>
      </c>
      <c r="BS1168" s="52">
        <f t="shared" si="7542"/>
        <v>0</v>
      </c>
      <c r="BT1168" s="52">
        <f t="shared" si="7542"/>
        <v>0</v>
      </c>
      <c r="BU1168" s="52">
        <f t="shared" si="7542"/>
        <v>0</v>
      </c>
      <c r="BV1168" s="52">
        <f t="shared" si="7542"/>
        <v>0</v>
      </c>
      <c r="BW1168" s="52">
        <f t="shared" si="7542"/>
        <v>0</v>
      </c>
      <c r="BX1168" s="52">
        <f t="shared" si="7542"/>
        <v>0</v>
      </c>
      <c r="BY1168" s="52">
        <f t="shared" ref="BY1168:CO1168" si="7543">IF(BY1185=0,0,BY1180/(1-(1+BY1177+Very_Small_Number)^-BY1185))*BY1184</f>
        <v>0</v>
      </c>
      <c r="BZ1168" s="52">
        <f t="shared" si="7543"/>
        <v>0</v>
      </c>
      <c r="CA1168" s="52">
        <f t="shared" si="7543"/>
        <v>0</v>
      </c>
      <c r="CB1168" s="52">
        <f t="shared" si="7543"/>
        <v>0</v>
      </c>
      <c r="CC1168" s="52">
        <f t="shared" si="7543"/>
        <v>0</v>
      </c>
      <c r="CD1168" s="52">
        <f t="shared" si="7543"/>
        <v>0</v>
      </c>
      <c r="CE1168" s="52">
        <f t="shared" si="7543"/>
        <v>0</v>
      </c>
      <c r="CF1168" s="52">
        <f t="shared" si="7543"/>
        <v>0</v>
      </c>
      <c r="CG1168" s="52">
        <f t="shared" si="7543"/>
        <v>0</v>
      </c>
      <c r="CH1168" s="52">
        <f t="shared" si="7543"/>
        <v>0</v>
      </c>
      <c r="CI1168" s="52">
        <f t="shared" si="7543"/>
        <v>0</v>
      </c>
      <c r="CJ1168" s="52">
        <f t="shared" si="7543"/>
        <v>0</v>
      </c>
      <c r="CK1168" s="52">
        <f t="shared" si="7543"/>
        <v>0</v>
      </c>
      <c r="CL1168" s="52">
        <f t="shared" si="7543"/>
        <v>0</v>
      </c>
      <c r="CM1168" s="52">
        <f t="shared" si="7543"/>
        <v>0</v>
      </c>
      <c r="CN1168" s="52">
        <f t="shared" si="7543"/>
        <v>0</v>
      </c>
      <c r="CO1168" s="52">
        <f t="shared" si="7543"/>
        <v>0</v>
      </c>
    </row>
    <row r="1169" spans="1:93">
      <c r="A1169" s="10"/>
      <c r="B1169" s="10"/>
      <c r="C1169" s="21" t="s">
        <v>332</v>
      </c>
      <c r="D1169" s="10"/>
      <c r="E1169" s="62"/>
      <c r="F1169" s="10"/>
      <c r="G1169" s="11" t="str">
        <f>Monetary_Unit</f>
        <v>тыс. руб.</v>
      </c>
      <c r="H1169" s="10"/>
      <c r="I1169" s="23">
        <f>SUM(L1169:CO1169)</f>
        <v>1095533.0737940255</v>
      </c>
      <c r="J1169" s="10"/>
      <c r="K1169" s="10"/>
      <c r="L1169" s="52">
        <f t="shared" ref="L1169" si="7544">L1180*L$1158</f>
        <v>0</v>
      </c>
      <c r="M1169" s="52">
        <f t="shared" ref="M1169:BX1169" si="7545">M1180*M$1158</f>
        <v>0</v>
      </c>
      <c r="N1169" s="52">
        <f t="shared" si="7545"/>
        <v>0</v>
      </c>
      <c r="O1169" s="52">
        <f t="shared" si="7545"/>
        <v>0</v>
      </c>
      <c r="P1169" s="52">
        <f t="shared" si="7545"/>
        <v>0</v>
      </c>
      <c r="Q1169" s="52">
        <f t="shared" si="7545"/>
        <v>0</v>
      </c>
      <c r="R1169" s="52">
        <f t="shared" si="7545"/>
        <v>0</v>
      </c>
      <c r="S1169" s="52">
        <f t="shared" si="7545"/>
        <v>0</v>
      </c>
      <c r="T1169" s="52">
        <f t="shared" si="7545"/>
        <v>0</v>
      </c>
      <c r="U1169" s="52">
        <f t="shared" si="7545"/>
        <v>0</v>
      </c>
      <c r="V1169" s="52">
        <f t="shared" si="7545"/>
        <v>0</v>
      </c>
      <c r="W1169" s="52">
        <f t="shared" si="7545"/>
        <v>0</v>
      </c>
      <c r="X1169" s="52">
        <f t="shared" si="7545"/>
        <v>0</v>
      </c>
      <c r="Y1169" s="52">
        <f t="shared" si="7545"/>
        <v>0</v>
      </c>
      <c r="Z1169" s="52">
        <f t="shared" si="7545"/>
        <v>0</v>
      </c>
      <c r="AA1169" s="52">
        <f t="shared" si="7545"/>
        <v>0</v>
      </c>
      <c r="AB1169" s="52">
        <f t="shared" si="7545"/>
        <v>0</v>
      </c>
      <c r="AC1169" s="52">
        <f t="shared" si="7545"/>
        <v>63872.407755986169</v>
      </c>
      <c r="AD1169" s="52">
        <f t="shared" si="7545"/>
        <v>62892.014193801202</v>
      </c>
      <c r="AE1169" s="52">
        <f t="shared" si="7545"/>
        <v>61190.416445550276</v>
      </c>
      <c r="AF1169" s="52">
        <f t="shared" si="7545"/>
        <v>58172.297254570709</v>
      </c>
      <c r="AG1169" s="52">
        <f t="shared" si="7545"/>
        <v>57080.646529591679</v>
      </c>
      <c r="AH1169" s="52">
        <f t="shared" si="7545"/>
        <v>55930.44209210058</v>
      </c>
      <c r="AI1169" s="52">
        <f t="shared" si="7545"/>
        <v>54131.967215460383</v>
      </c>
      <c r="AJ1169" s="52">
        <f t="shared" si="7545"/>
        <v>51171.195711258915</v>
      </c>
      <c r="AK1169" s="52">
        <f t="shared" si="7545"/>
        <v>49904.037104946961</v>
      </c>
      <c r="AL1169" s="52">
        <f t="shared" si="7545"/>
        <v>48574.405478010551</v>
      </c>
      <c r="AM1169" s="52">
        <f t="shared" si="7545"/>
        <v>46673.54571622183</v>
      </c>
      <c r="AN1169" s="52">
        <f t="shared" si="7545"/>
        <v>44138.79593852751</v>
      </c>
      <c r="AO1169" s="52">
        <f t="shared" si="7545"/>
        <v>42207.308872000569</v>
      </c>
      <c r="AP1169" s="52">
        <f t="shared" si="7545"/>
        <v>40691.467417603446</v>
      </c>
      <c r="AQ1169" s="52">
        <f t="shared" si="7545"/>
        <v>38687.152626157636</v>
      </c>
      <c r="AR1169" s="52">
        <f t="shared" si="7545"/>
        <v>35956.272041141216</v>
      </c>
      <c r="AS1169" s="52">
        <f t="shared" si="7545"/>
        <v>34307.790947443333</v>
      </c>
      <c r="AT1169" s="52">
        <f t="shared" si="7545"/>
        <v>32588.246953087979</v>
      </c>
      <c r="AU1169" s="52">
        <f t="shared" si="7545"/>
        <v>30464.826714844134</v>
      </c>
      <c r="AV1169" s="52">
        <f t="shared" si="7545"/>
        <v>27696.230071407623</v>
      </c>
      <c r="AW1169" s="52">
        <f t="shared" si="7545"/>
        <v>25840.779998392045</v>
      </c>
      <c r="AX1169" s="52">
        <f t="shared" si="7545"/>
        <v>23909.566331086633</v>
      </c>
      <c r="AY1169" s="52">
        <f t="shared" si="7545"/>
        <v>21665.290095109085</v>
      </c>
      <c r="AZ1169" s="52">
        <f t="shared" si="7545"/>
        <v>18968.105120419892</v>
      </c>
      <c r="BA1169" s="52">
        <f t="shared" si="7545"/>
        <v>16893.990510090218</v>
      </c>
      <c r="BB1169" s="52">
        <f t="shared" si="7545"/>
        <v>14739.119607861281</v>
      </c>
      <c r="BC1169" s="52">
        <f t="shared" si="7545"/>
        <v>12367.118513902496</v>
      </c>
      <c r="BD1169" s="52">
        <f t="shared" si="7545"/>
        <v>9826.7309072529442</v>
      </c>
      <c r="BE1169" s="52">
        <f t="shared" si="7545"/>
        <v>7420.3179551697622</v>
      </c>
      <c r="BF1169" s="52">
        <f t="shared" si="7545"/>
        <v>5035.4313667147007</v>
      </c>
      <c r="BG1169" s="52">
        <f t="shared" si="7545"/>
        <v>2535.1563083135316</v>
      </c>
      <c r="BH1169" s="52">
        <f t="shared" si="7545"/>
        <v>0</v>
      </c>
      <c r="BI1169" s="52">
        <f t="shared" si="7545"/>
        <v>0</v>
      </c>
      <c r="BJ1169" s="52">
        <f t="shared" si="7545"/>
        <v>0</v>
      </c>
      <c r="BK1169" s="52">
        <f t="shared" si="7545"/>
        <v>0</v>
      </c>
      <c r="BL1169" s="52">
        <f t="shared" si="7545"/>
        <v>0</v>
      </c>
      <c r="BM1169" s="52">
        <f t="shared" si="7545"/>
        <v>0</v>
      </c>
      <c r="BN1169" s="52">
        <f t="shared" si="7545"/>
        <v>0</v>
      </c>
      <c r="BO1169" s="52">
        <f t="shared" si="7545"/>
        <v>0</v>
      </c>
      <c r="BP1169" s="52">
        <f t="shared" si="7545"/>
        <v>0</v>
      </c>
      <c r="BQ1169" s="52">
        <f t="shared" si="7545"/>
        <v>0</v>
      </c>
      <c r="BR1169" s="52">
        <f t="shared" si="7545"/>
        <v>0</v>
      </c>
      <c r="BS1169" s="52">
        <f t="shared" si="7545"/>
        <v>0</v>
      </c>
      <c r="BT1169" s="52">
        <f t="shared" si="7545"/>
        <v>0</v>
      </c>
      <c r="BU1169" s="52">
        <f t="shared" si="7545"/>
        <v>0</v>
      </c>
      <c r="BV1169" s="52">
        <f t="shared" si="7545"/>
        <v>0</v>
      </c>
      <c r="BW1169" s="52">
        <f t="shared" si="7545"/>
        <v>0</v>
      </c>
      <c r="BX1169" s="52">
        <f t="shared" si="7545"/>
        <v>0</v>
      </c>
      <c r="BY1169" s="52">
        <f t="shared" ref="BY1169:CO1169" si="7546">BY1180*BY$1158</f>
        <v>0</v>
      </c>
      <c r="BZ1169" s="52">
        <f t="shared" si="7546"/>
        <v>0</v>
      </c>
      <c r="CA1169" s="52">
        <f t="shared" si="7546"/>
        <v>0</v>
      </c>
      <c r="CB1169" s="52">
        <f t="shared" si="7546"/>
        <v>0</v>
      </c>
      <c r="CC1169" s="52">
        <f t="shared" si="7546"/>
        <v>0</v>
      </c>
      <c r="CD1169" s="52">
        <f t="shared" si="7546"/>
        <v>0</v>
      </c>
      <c r="CE1169" s="52">
        <f t="shared" si="7546"/>
        <v>0</v>
      </c>
      <c r="CF1169" s="52">
        <f t="shared" si="7546"/>
        <v>0</v>
      </c>
      <c r="CG1169" s="52">
        <f t="shared" si="7546"/>
        <v>0</v>
      </c>
      <c r="CH1169" s="52">
        <f t="shared" si="7546"/>
        <v>0</v>
      </c>
      <c r="CI1169" s="52">
        <f t="shared" si="7546"/>
        <v>0</v>
      </c>
      <c r="CJ1169" s="52">
        <f t="shared" si="7546"/>
        <v>0</v>
      </c>
      <c r="CK1169" s="52">
        <f t="shared" si="7546"/>
        <v>0</v>
      </c>
      <c r="CL1169" s="52">
        <f t="shared" si="7546"/>
        <v>0</v>
      </c>
      <c r="CM1169" s="52">
        <f t="shared" si="7546"/>
        <v>0</v>
      </c>
      <c r="CN1169" s="52">
        <f t="shared" si="7546"/>
        <v>0</v>
      </c>
      <c r="CO1169" s="52">
        <f t="shared" si="7546"/>
        <v>0</v>
      </c>
    </row>
    <row r="1170" spans="1:93">
      <c r="A1170" s="10"/>
      <c r="B1170" s="10"/>
      <c r="C1170" s="21" t="s">
        <v>194</v>
      </c>
      <c r="D1170" s="10"/>
      <c r="E1170" s="62"/>
      <c r="F1170" s="10"/>
      <c r="G1170" s="11" t="str">
        <f>Monetary_Unit</f>
        <v>тыс. руб.</v>
      </c>
      <c r="H1170" s="10"/>
      <c r="I1170" s="23">
        <f>SUM(L1170:CO1170)</f>
        <v>4616063.5115628177</v>
      </c>
      <c r="J1170" s="10"/>
      <c r="K1170" s="10"/>
      <c r="L1170" s="52">
        <f t="shared" ref="L1170" si="7547">(L1168-L1169)*L$1158</f>
        <v>0</v>
      </c>
      <c r="M1170" s="52">
        <f t="shared" ref="M1170:BX1170" si="7548">(M1168-M1169)*M$1158</f>
        <v>0</v>
      </c>
      <c r="N1170" s="52">
        <f t="shared" si="7548"/>
        <v>0</v>
      </c>
      <c r="O1170" s="52">
        <f t="shared" si="7548"/>
        <v>0</v>
      </c>
      <c r="P1170" s="52">
        <f t="shared" si="7548"/>
        <v>0</v>
      </c>
      <c r="Q1170" s="52">
        <f t="shared" si="7548"/>
        <v>0</v>
      </c>
      <c r="R1170" s="52">
        <f t="shared" si="7548"/>
        <v>0</v>
      </c>
      <c r="S1170" s="52">
        <f t="shared" si="7548"/>
        <v>0</v>
      </c>
      <c r="T1170" s="52">
        <f t="shared" si="7548"/>
        <v>0</v>
      </c>
      <c r="U1170" s="52">
        <f t="shared" si="7548"/>
        <v>0</v>
      </c>
      <c r="V1170" s="52">
        <f t="shared" si="7548"/>
        <v>0</v>
      </c>
      <c r="W1170" s="52">
        <f t="shared" si="7548"/>
        <v>0</v>
      </c>
      <c r="X1170" s="52">
        <f t="shared" si="7548"/>
        <v>0</v>
      </c>
      <c r="Y1170" s="52">
        <f t="shared" si="7548"/>
        <v>0</v>
      </c>
      <c r="Z1170" s="52">
        <f t="shared" si="7548"/>
        <v>0</v>
      </c>
      <c r="AA1170" s="52">
        <f t="shared" si="7548"/>
        <v>0</v>
      </c>
      <c r="AB1170" s="52">
        <f t="shared" si="7548"/>
        <v>0</v>
      </c>
      <c r="AC1170" s="52">
        <f t="shared" si="7548"/>
        <v>120257.5745813126</v>
      </c>
      <c r="AD1170" s="52">
        <f t="shared" si="7548"/>
        <v>121637.91189024376</v>
      </c>
      <c r="AE1170" s="52">
        <f t="shared" si="7548"/>
        <v>123339.51000531408</v>
      </c>
      <c r="AF1170" s="52">
        <f t="shared" si="7548"/>
        <v>125606.07819573313</v>
      </c>
      <c r="AG1170" s="52">
        <f t="shared" si="7548"/>
        <v>127061.19578037452</v>
      </c>
      <c r="AH1170" s="52">
        <f t="shared" si="7548"/>
        <v>128563.12768775418</v>
      </c>
      <c r="AI1170" s="52">
        <f t="shared" si="7548"/>
        <v>130361.60300256562</v>
      </c>
      <c r="AJ1170" s="52">
        <f t="shared" si="7548"/>
        <v>132668.15530246156</v>
      </c>
      <c r="AK1170" s="52">
        <f t="shared" si="7548"/>
        <v>134249.91936226428</v>
      </c>
      <c r="AL1170" s="52">
        <f t="shared" si="7548"/>
        <v>135882.06287757197</v>
      </c>
      <c r="AM1170" s="52">
        <f t="shared" si="7548"/>
        <v>137782.92317637434</v>
      </c>
      <c r="AN1170" s="52">
        <f t="shared" si="7548"/>
        <v>139971.14470821922</v>
      </c>
      <c r="AO1170" s="52">
        <f t="shared" si="7548"/>
        <v>141902.63238530574</v>
      </c>
      <c r="AP1170" s="52">
        <f t="shared" si="7548"/>
        <v>143670.03792972286</v>
      </c>
      <c r="AQ1170" s="52">
        <f t="shared" si="7548"/>
        <v>145674.35340582032</v>
      </c>
      <c r="AR1170" s="52">
        <f t="shared" si="7548"/>
        <v>148008.7630993452</v>
      </c>
      <c r="AS1170" s="52">
        <f t="shared" si="7548"/>
        <v>149871.07920509396</v>
      </c>
      <c r="AT1170" s="52">
        <f t="shared" si="7548"/>
        <v>151791.69348981642</v>
      </c>
      <c r="AU1170" s="52">
        <f t="shared" si="7548"/>
        <v>153915.11464673752</v>
      </c>
      <c r="AV1170" s="52">
        <f t="shared" si="7548"/>
        <v>156333.60585778209</v>
      </c>
      <c r="AW1170" s="52">
        <f t="shared" si="7548"/>
        <v>158350.97398656677</v>
      </c>
      <c r="AX1170" s="52">
        <f t="shared" si="7548"/>
        <v>160431.02744453712</v>
      </c>
      <c r="AY1170" s="52">
        <f t="shared" si="7548"/>
        <v>162675.30504555287</v>
      </c>
      <c r="AZ1170" s="52">
        <f t="shared" si="7548"/>
        <v>165127.81642803919</v>
      </c>
      <c r="BA1170" s="52">
        <f t="shared" si="7548"/>
        <v>167310.90669825437</v>
      </c>
      <c r="BB1170" s="52">
        <f t="shared" si="7548"/>
        <v>169561.37863199293</v>
      </c>
      <c r="BC1170" s="52">
        <f t="shared" si="7548"/>
        <v>171933.38225283392</v>
      </c>
      <c r="BD1170" s="52">
        <f t="shared" si="7548"/>
        <v>174388.10819967216</v>
      </c>
      <c r="BE1170" s="52">
        <f t="shared" si="7548"/>
        <v>176794.52548106818</v>
      </c>
      <c r="BF1170" s="52">
        <f t="shared" si="7548"/>
        <v>179220.65636013079</v>
      </c>
      <c r="BG1170" s="52">
        <f t="shared" si="7548"/>
        <v>181720.94444435573</v>
      </c>
      <c r="BH1170" s="52">
        <f t="shared" si="7548"/>
        <v>0</v>
      </c>
      <c r="BI1170" s="52">
        <f t="shared" si="7548"/>
        <v>0</v>
      </c>
      <c r="BJ1170" s="52">
        <f t="shared" si="7548"/>
        <v>0</v>
      </c>
      <c r="BK1170" s="52">
        <f t="shared" si="7548"/>
        <v>0</v>
      </c>
      <c r="BL1170" s="52">
        <f t="shared" si="7548"/>
        <v>0</v>
      </c>
      <c r="BM1170" s="52">
        <f t="shared" si="7548"/>
        <v>0</v>
      </c>
      <c r="BN1170" s="52">
        <f t="shared" si="7548"/>
        <v>0</v>
      </c>
      <c r="BO1170" s="52">
        <f t="shared" si="7548"/>
        <v>0</v>
      </c>
      <c r="BP1170" s="52">
        <f t="shared" si="7548"/>
        <v>0</v>
      </c>
      <c r="BQ1170" s="52">
        <f t="shared" si="7548"/>
        <v>0</v>
      </c>
      <c r="BR1170" s="52">
        <f t="shared" si="7548"/>
        <v>0</v>
      </c>
      <c r="BS1170" s="52">
        <f t="shared" si="7548"/>
        <v>0</v>
      </c>
      <c r="BT1170" s="52">
        <f t="shared" si="7548"/>
        <v>0</v>
      </c>
      <c r="BU1170" s="52">
        <f t="shared" si="7548"/>
        <v>0</v>
      </c>
      <c r="BV1170" s="52">
        <f t="shared" si="7548"/>
        <v>0</v>
      </c>
      <c r="BW1170" s="52">
        <f t="shared" si="7548"/>
        <v>0</v>
      </c>
      <c r="BX1170" s="52">
        <f t="shared" si="7548"/>
        <v>0</v>
      </c>
      <c r="BY1170" s="52">
        <f t="shared" ref="BY1170:CO1170" si="7549">(BY1168-BY1169)*BY$1158</f>
        <v>0</v>
      </c>
      <c r="BZ1170" s="52">
        <f t="shared" si="7549"/>
        <v>0</v>
      </c>
      <c r="CA1170" s="52">
        <f t="shared" si="7549"/>
        <v>0</v>
      </c>
      <c r="CB1170" s="52">
        <f t="shared" si="7549"/>
        <v>0</v>
      </c>
      <c r="CC1170" s="52">
        <f t="shared" si="7549"/>
        <v>0</v>
      </c>
      <c r="CD1170" s="52">
        <f t="shared" si="7549"/>
        <v>0</v>
      </c>
      <c r="CE1170" s="52">
        <f t="shared" si="7549"/>
        <v>0</v>
      </c>
      <c r="CF1170" s="52">
        <f t="shared" si="7549"/>
        <v>0</v>
      </c>
      <c r="CG1170" s="52">
        <f t="shared" si="7549"/>
        <v>0</v>
      </c>
      <c r="CH1170" s="52">
        <f t="shared" si="7549"/>
        <v>0</v>
      </c>
      <c r="CI1170" s="52">
        <f t="shared" si="7549"/>
        <v>0</v>
      </c>
      <c r="CJ1170" s="52">
        <f t="shared" si="7549"/>
        <v>0</v>
      </c>
      <c r="CK1170" s="52">
        <f t="shared" si="7549"/>
        <v>0</v>
      </c>
      <c r="CL1170" s="52">
        <f t="shared" si="7549"/>
        <v>0</v>
      </c>
      <c r="CM1170" s="52">
        <f t="shared" si="7549"/>
        <v>0</v>
      </c>
      <c r="CN1170" s="52">
        <f t="shared" si="7549"/>
        <v>0</v>
      </c>
      <c r="CO1170" s="52">
        <f t="shared" si="7549"/>
        <v>0</v>
      </c>
    </row>
    <row r="1171" spans="1:93">
      <c r="A1171" s="10"/>
      <c r="B1171" s="10"/>
      <c r="C1171" s="17"/>
      <c r="D1171" s="10"/>
      <c r="E1171" s="10"/>
      <c r="F1171" s="10"/>
      <c r="G1171" s="11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  <c r="BB1171" s="10"/>
      <c r="BC1171" s="10"/>
      <c r="BD1171" s="10"/>
      <c r="BE1171" s="10"/>
      <c r="BF1171" s="10"/>
      <c r="BG1171" s="10"/>
      <c r="BH1171" s="10"/>
      <c r="BI1171" s="10"/>
      <c r="BJ1171" s="10"/>
      <c r="BK1171" s="10"/>
      <c r="BL1171" s="10"/>
      <c r="BM1171" s="10"/>
      <c r="BN1171" s="10"/>
      <c r="BO1171" s="10"/>
      <c r="BP1171" s="10"/>
      <c r="BQ1171" s="10"/>
      <c r="BR1171" s="10"/>
      <c r="BS1171" s="10"/>
      <c r="BT1171" s="10"/>
      <c r="BU1171" s="10"/>
      <c r="BV1171" s="10"/>
      <c r="BW1171" s="10"/>
      <c r="BX1171" s="10"/>
      <c r="BY1171" s="10"/>
      <c r="BZ1171" s="10"/>
      <c r="CA1171" s="10"/>
      <c r="CB1171" s="10"/>
      <c r="CC1171" s="10"/>
      <c r="CD1171" s="10"/>
      <c r="CE1171" s="10"/>
      <c r="CF1171" s="10"/>
      <c r="CG1171" s="10"/>
      <c r="CH1171" s="10"/>
      <c r="CI1171" s="10"/>
      <c r="CJ1171" s="10"/>
      <c r="CK1171" s="10"/>
      <c r="CL1171" s="10"/>
      <c r="CM1171" s="10"/>
      <c r="CN1171" s="10"/>
      <c r="CO1171" s="10"/>
    </row>
    <row r="1172" spans="1:93">
      <c r="A1172" s="10"/>
      <c r="B1172" s="10"/>
      <c r="C1172" s="67" t="s">
        <v>434</v>
      </c>
      <c r="D1172" s="10"/>
      <c r="E1172" s="10"/>
      <c r="F1172" s="10"/>
      <c r="G1172" s="11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  <c r="BB1172" s="10"/>
      <c r="BC1172" s="10"/>
      <c r="BD1172" s="10"/>
      <c r="BE1172" s="10"/>
      <c r="BF1172" s="10"/>
      <c r="BG1172" s="10"/>
      <c r="BH1172" s="10"/>
      <c r="BI1172" s="10"/>
      <c r="BJ1172" s="10"/>
      <c r="BK1172" s="10"/>
      <c r="BL1172" s="10"/>
      <c r="BM1172" s="10"/>
      <c r="BN1172" s="10"/>
      <c r="BO1172" s="10"/>
      <c r="BP1172" s="10"/>
      <c r="BQ1172" s="10"/>
      <c r="BR1172" s="10"/>
      <c r="BS1172" s="10"/>
      <c r="BT1172" s="10"/>
      <c r="BU1172" s="10"/>
      <c r="BV1172" s="10"/>
      <c r="BW1172" s="10"/>
      <c r="BX1172" s="10"/>
      <c r="BY1172" s="10"/>
      <c r="BZ1172" s="10"/>
      <c r="CA1172" s="10"/>
      <c r="CB1172" s="10"/>
      <c r="CC1172" s="10"/>
      <c r="CD1172" s="10"/>
      <c r="CE1172" s="10"/>
      <c r="CF1172" s="10"/>
      <c r="CG1172" s="10"/>
      <c r="CH1172" s="10"/>
      <c r="CI1172" s="10"/>
      <c r="CJ1172" s="10"/>
      <c r="CK1172" s="10"/>
      <c r="CL1172" s="10"/>
      <c r="CM1172" s="10"/>
      <c r="CN1172" s="10"/>
      <c r="CO1172" s="10"/>
    </row>
    <row r="1173" spans="1:93">
      <c r="A1173" s="10"/>
      <c r="B1173" s="10"/>
      <c r="C1173" s="40" t="s">
        <v>337</v>
      </c>
      <c r="D1173" s="10"/>
      <c r="E1173" s="178">
        <f xml:space="preserve"> Предпосылки!E591 + Debt_rate_sens</f>
        <v>0.03</v>
      </c>
      <c r="F1173" s="10"/>
      <c r="G1173" s="11" t="s">
        <v>1012</v>
      </c>
      <c r="H1173" s="10"/>
      <c r="I1173" s="10"/>
      <c r="J1173" s="10"/>
      <c r="K1173" s="10"/>
      <c r="L1173" s="58">
        <f t="shared" ref="L1173:AQ1173" si="7550">CBR_Rate_Forecast/Period_length*$E$1174+$E$1173</f>
        <v>7.8E-2</v>
      </c>
      <c r="M1173" s="58">
        <f t="shared" si="7550"/>
        <v>7.8E-2</v>
      </c>
      <c r="N1173" s="58">
        <f t="shared" si="7550"/>
        <v>7.8E-2</v>
      </c>
      <c r="O1173" s="58">
        <f t="shared" si="7550"/>
        <v>7.8E-2</v>
      </c>
      <c r="P1173" s="58">
        <f t="shared" si="7550"/>
        <v>6.3E-2</v>
      </c>
      <c r="Q1173" s="58">
        <f t="shared" si="7550"/>
        <v>6.3E-2</v>
      </c>
      <c r="R1173" s="58">
        <f t="shared" si="7550"/>
        <v>6.3E-2</v>
      </c>
      <c r="S1173" s="58">
        <f t="shared" si="7550"/>
        <v>6.3E-2</v>
      </c>
      <c r="T1173" s="58">
        <f t="shared" si="7550"/>
        <v>5.5500000000000001E-2</v>
      </c>
      <c r="U1173" s="58">
        <f t="shared" si="7550"/>
        <v>5.5500000000000001E-2</v>
      </c>
      <c r="V1173" s="58">
        <f t="shared" si="7550"/>
        <v>5.5500000000000001E-2</v>
      </c>
      <c r="W1173" s="58">
        <f t="shared" si="7550"/>
        <v>5.5500000000000001E-2</v>
      </c>
      <c r="X1173" s="58">
        <f t="shared" si="7550"/>
        <v>5.5500000000000001E-2</v>
      </c>
      <c r="Y1173" s="58">
        <f t="shared" si="7550"/>
        <v>5.5500000000000001E-2</v>
      </c>
      <c r="Z1173" s="58">
        <f t="shared" si="7550"/>
        <v>5.5500000000000001E-2</v>
      </c>
      <c r="AA1173" s="58">
        <f t="shared" si="7550"/>
        <v>5.5500000000000001E-2</v>
      </c>
      <c r="AB1173" s="58">
        <f t="shared" si="7550"/>
        <v>5.5500000000000001E-2</v>
      </c>
      <c r="AC1173" s="58">
        <f t="shared" si="7550"/>
        <v>5.5500000000000001E-2</v>
      </c>
      <c r="AD1173" s="58">
        <f t="shared" si="7550"/>
        <v>5.5500000000000001E-2</v>
      </c>
      <c r="AE1173" s="58">
        <f t="shared" si="7550"/>
        <v>5.5500000000000001E-2</v>
      </c>
      <c r="AF1173" s="58">
        <f t="shared" si="7550"/>
        <v>5.5500000000000001E-2</v>
      </c>
      <c r="AG1173" s="58">
        <f t="shared" si="7550"/>
        <v>5.5500000000000001E-2</v>
      </c>
      <c r="AH1173" s="58">
        <f t="shared" si="7550"/>
        <v>5.5500000000000001E-2</v>
      </c>
      <c r="AI1173" s="58">
        <f t="shared" si="7550"/>
        <v>5.5500000000000001E-2</v>
      </c>
      <c r="AJ1173" s="58">
        <f t="shared" si="7550"/>
        <v>5.5500000000000001E-2</v>
      </c>
      <c r="AK1173" s="58">
        <f t="shared" si="7550"/>
        <v>5.5500000000000001E-2</v>
      </c>
      <c r="AL1173" s="58">
        <f t="shared" si="7550"/>
        <v>5.5500000000000001E-2</v>
      </c>
      <c r="AM1173" s="58">
        <f t="shared" si="7550"/>
        <v>5.5500000000000001E-2</v>
      </c>
      <c r="AN1173" s="58">
        <f t="shared" si="7550"/>
        <v>5.5500000000000001E-2</v>
      </c>
      <c r="AO1173" s="58">
        <f t="shared" si="7550"/>
        <v>5.5500000000000001E-2</v>
      </c>
      <c r="AP1173" s="58">
        <f t="shared" si="7550"/>
        <v>5.5500000000000001E-2</v>
      </c>
      <c r="AQ1173" s="58">
        <f t="shared" si="7550"/>
        <v>5.5500000000000001E-2</v>
      </c>
      <c r="AR1173" s="58">
        <f t="shared" ref="AR1173:BW1173" si="7551">CBR_Rate_Forecast/Period_length*$E$1174+$E$1173</f>
        <v>5.5500000000000001E-2</v>
      </c>
      <c r="AS1173" s="58">
        <f t="shared" si="7551"/>
        <v>5.5500000000000001E-2</v>
      </c>
      <c r="AT1173" s="58">
        <f t="shared" si="7551"/>
        <v>5.5500000000000001E-2</v>
      </c>
      <c r="AU1173" s="58">
        <f t="shared" si="7551"/>
        <v>5.5500000000000001E-2</v>
      </c>
      <c r="AV1173" s="58">
        <f t="shared" si="7551"/>
        <v>5.5500000000000001E-2</v>
      </c>
      <c r="AW1173" s="58">
        <f t="shared" si="7551"/>
        <v>5.5500000000000001E-2</v>
      </c>
      <c r="AX1173" s="58">
        <f t="shared" si="7551"/>
        <v>5.5500000000000001E-2</v>
      </c>
      <c r="AY1173" s="58">
        <f t="shared" si="7551"/>
        <v>5.5500000000000001E-2</v>
      </c>
      <c r="AZ1173" s="58">
        <f t="shared" si="7551"/>
        <v>5.5500000000000001E-2</v>
      </c>
      <c r="BA1173" s="58">
        <f t="shared" si="7551"/>
        <v>5.5500000000000001E-2</v>
      </c>
      <c r="BB1173" s="58">
        <f t="shared" si="7551"/>
        <v>5.5500000000000001E-2</v>
      </c>
      <c r="BC1173" s="58">
        <f t="shared" si="7551"/>
        <v>5.5500000000000001E-2</v>
      </c>
      <c r="BD1173" s="58">
        <f t="shared" si="7551"/>
        <v>5.5500000000000001E-2</v>
      </c>
      <c r="BE1173" s="58">
        <f t="shared" si="7551"/>
        <v>5.5500000000000001E-2</v>
      </c>
      <c r="BF1173" s="58">
        <f t="shared" si="7551"/>
        <v>5.5500000000000001E-2</v>
      </c>
      <c r="BG1173" s="58">
        <f t="shared" si="7551"/>
        <v>5.5500000000000001E-2</v>
      </c>
      <c r="BH1173" s="58">
        <f t="shared" si="7551"/>
        <v>5.5500000000000001E-2</v>
      </c>
      <c r="BI1173" s="58">
        <f t="shared" si="7551"/>
        <v>5.5500000000000001E-2</v>
      </c>
      <c r="BJ1173" s="58">
        <f t="shared" si="7551"/>
        <v>5.5500000000000001E-2</v>
      </c>
      <c r="BK1173" s="58">
        <f t="shared" si="7551"/>
        <v>5.5500000000000001E-2</v>
      </c>
      <c r="BL1173" s="58">
        <f t="shared" si="7551"/>
        <v>5.5500000000000001E-2</v>
      </c>
      <c r="BM1173" s="58">
        <f t="shared" si="7551"/>
        <v>5.5500000000000001E-2</v>
      </c>
      <c r="BN1173" s="58">
        <f t="shared" si="7551"/>
        <v>5.5500000000000001E-2</v>
      </c>
      <c r="BO1173" s="58">
        <f t="shared" si="7551"/>
        <v>5.5500000000000001E-2</v>
      </c>
      <c r="BP1173" s="58">
        <f t="shared" si="7551"/>
        <v>5.5500000000000001E-2</v>
      </c>
      <c r="BQ1173" s="58">
        <f t="shared" si="7551"/>
        <v>5.5500000000000001E-2</v>
      </c>
      <c r="BR1173" s="58">
        <f t="shared" si="7551"/>
        <v>5.5500000000000001E-2</v>
      </c>
      <c r="BS1173" s="58">
        <f t="shared" si="7551"/>
        <v>5.5500000000000001E-2</v>
      </c>
      <c r="BT1173" s="58">
        <f t="shared" si="7551"/>
        <v>5.5500000000000001E-2</v>
      </c>
      <c r="BU1173" s="58">
        <f t="shared" si="7551"/>
        <v>5.5500000000000001E-2</v>
      </c>
      <c r="BV1173" s="58">
        <f t="shared" si="7551"/>
        <v>5.5500000000000001E-2</v>
      </c>
      <c r="BW1173" s="58">
        <f t="shared" si="7551"/>
        <v>5.5500000000000001E-2</v>
      </c>
      <c r="BX1173" s="58">
        <f t="shared" ref="BX1173:CO1173" si="7552">CBR_Rate_Forecast/Period_length*$E$1174+$E$1173</f>
        <v>5.5500000000000001E-2</v>
      </c>
      <c r="BY1173" s="58">
        <f t="shared" si="7552"/>
        <v>5.5500000000000001E-2</v>
      </c>
      <c r="BZ1173" s="58">
        <f t="shared" si="7552"/>
        <v>5.5500000000000001E-2</v>
      </c>
      <c r="CA1173" s="58">
        <f t="shared" si="7552"/>
        <v>5.5500000000000001E-2</v>
      </c>
      <c r="CB1173" s="58">
        <f t="shared" si="7552"/>
        <v>5.5500000000000001E-2</v>
      </c>
      <c r="CC1173" s="58">
        <f t="shared" si="7552"/>
        <v>5.5500000000000001E-2</v>
      </c>
      <c r="CD1173" s="58">
        <f t="shared" si="7552"/>
        <v>5.5500000000000001E-2</v>
      </c>
      <c r="CE1173" s="58">
        <f t="shared" si="7552"/>
        <v>5.5500000000000001E-2</v>
      </c>
      <c r="CF1173" s="58">
        <f t="shared" si="7552"/>
        <v>5.5500000000000001E-2</v>
      </c>
      <c r="CG1173" s="58">
        <f t="shared" si="7552"/>
        <v>5.5500000000000001E-2</v>
      </c>
      <c r="CH1173" s="58">
        <f t="shared" si="7552"/>
        <v>5.5500000000000001E-2</v>
      </c>
      <c r="CI1173" s="58">
        <f t="shared" si="7552"/>
        <v>5.5500000000000001E-2</v>
      </c>
      <c r="CJ1173" s="58">
        <f t="shared" si="7552"/>
        <v>5.5500000000000001E-2</v>
      </c>
      <c r="CK1173" s="58">
        <f t="shared" si="7552"/>
        <v>5.5500000000000001E-2</v>
      </c>
      <c r="CL1173" s="58">
        <f t="shared" si="7552"/>
        <v>5.5500000000000001E-2</v>
      </c>
      <c r="CM1173" s="58">
        <f t="shared" si="7552"/>
        <v>5.5500000000000001E-2</v>
      </c>
      <c r="CN1173" s="58">
        <f t="shared" si="7552"/>
        <v>5.5500000000000001E-2</v>
      </c>
      <c r="CO1173" s="58">
        <f t="shared" si="7552"/>
        <v>5.5500000000000001E-2</v>
      </c>
    </row>
    <row r="1174" spans="1:93">
      <c r="A1174" s="10"/>
      <c r="B1174" s="10"/>
      <c r="C1174" s="40" t="s">
        <v>1234</v>
      </c>
      <c r="D1174" s="10"/>
      <c r="E1174" s="178">
        <f xml:space="preserve"> Предпосылки!E592</f>
        <v>0.3</v>
      </c>
      <c r="F1174" s="10"/>
      <c r="G1174" s="11" t="s">
        <v>28</v>
      </c>
      <c r="H1174" s="10"/>
      <c r="I1174" s="10"/>
      <c r="J1174" s="10"/>
      <c r="K1174" s="10"/>
    </row>
    <row r="1175" spans="1:93">
      <c r="A1175" s="10"/>
      <c r="B1175" s="10"/>
      <c r="C1175" s="40" t="s">
        <v>502</v>
      </c>
      <c r="D1175" s="10"/>
      <c r="E1175" s="178">
        <f xml:space="preserve"> Предпосылки!E593 + Debt_rate_sens</f>
        <v>0</v>
      </c>
      <c r="F1175" s="10"/>
      <c r="G1175" s="11" t="s">
        <v>1012</v>
      </c>
      <c r="H1175" s="10"/>
      <c r="I1175" s="10"/>
      <c r="J1175" s="10"/>
      <c r="K1175" s="10"/>
      <c r="L1175" s="58">
        <f>$E$1175</f>
        <v>0</v>
      </c>
      <c r="M1175" s="58">
        <f t="shared" ref="M1175:BX1175" si="7553">$E$1175</f>
        <v>0</v>
      </c>
      <c r="N1175" s="58">
        <f t="shared" si="7553"/>
        <v>0</v>
      </c>
      <c r="O1175" s="58">
        <f t="shared" si="7553"/>
        <v>0</v>
      </c>
      <c r="P1175" s="58">
        <f t="shared" si="7553"/>
        <v>0</v>
      </c>
      <c r="Q1175" s="58">
        <f t="shared" si="7553"/>
        <v>0</v>
      </c>
      <c r="R1175" s="58">
        <f t="shared" si="7553"/>
        <v>0</v>
      </c>
      <c r="S1175" s="58">
        <f t="shared" si="7553"/>
        <v>0</v>
      </c>
      <c r="T1175" s="58">
        <f t="shared" si="7553"/>
        <v>0</v>
      </c>
      <c r="U1175" s="58">
        <f t="shared" si="7553"/>
        <v>0</v>
      </c>
      <c r="V1175" s="58">
        <f t="shared" si="7553"/>
        <v>0</v>
      </c>
      <c r="W1175" s="58">
        <f t="shared" si="7553"/>
        <v>0</v>
      </c>
      <c r="X1175" s="58">
        <f t="shared" si="7553"/>
        <v>0</v>
      </c>
      <c r="Y1175" s="58">
        <f t="shared" si="7553"/>
        <v>0</v>
      </c>
      <c r="Z1175" s="58">
        <f t="shared" si="7553"/>
        <v>0</v>
      </c>
      <c r="AA1175" s="58">
        <f t="shared" si="7553"/>
        <v>0</v>
      </c>
      <c r="AB1175" s="58">
        <f t="shared" si="7553"/>
        <v>0</v>
      </c>
      <c r="AC1175" s="58">
        <f t="shared" si="7553"/>
        <v>0</v>
      </c>
      <c r="AD1175" s="58">
        <f t="shared" si="7553"/>
        <v>0</v>
      </c>
      <c r="AE1175" s="58">
        <f t="shared" si="7553"/>
        <v>0</v>
      </c>
      <c r="AF1175" s="58">
        <f t="shared" si="7553"/>
        <v>0</v>
      </c>
      <c r="AG1175" s="58">
        <f t="shared" si="7553"/>
        <v>0</v>
      </c>
      <c r="AH1175" s="58">
        <f t="shared" si="7553"/>
        <v>0</v>
      </c>
      <c r="AI1175" s="58">
        <f t="shared" si="7553"/>
        <v>0</v>
      </c>
      <c r="AJ1175" s="58">
        <f t="shared" si="7553"/>
        <v>0</v>
      </c>
      <c r="AK1175" s="58">
        <f t="shared" si="7553"/>
        <v>0</v>
      </c>
      <c r="AL1175" s="58">
        <f t="shared" si="7553"/>
        <v>0</v>
      </c>
      <c r="AM1175" s="58">
        <f t="shared" si="7553"/>
        <v>0</v>
      </c>
      <c r="AN1175" s="58">
        <f t="shared" si="7553"/>
        <v>0</v>
      </c>
      <c r="AO1175" s="58">
        <f t="shared" si="7553"/>
        <v>0</v>
      </c>
      <c r="AP1175" s="58">
        <f t="shared" si="7553"/>
        <v>0</v>
      </c>
      <c r="AQ1175" s="58">
        <f t="shared" si="7553"/>
        <v>0</v>
      </c>
      <c r="AR1175" s="58">
        <f t="shared" si="7553"/>
        <v>0</v>
      </c>
      <c r="AS1175" s="58">
        <f t="shared" si="7553"/>
        <v>0</v>
      </c>
      <c r="AT1175" s="58">
        <f t="shared" si="7553"/>
        <v>0</v>
      </c>
      <c r="AU1175" s="58">
        <f t="shared" si="7553"/>
        <v>0</v>
      </c>
      <c r="AV1175" s="58">
        <f t="shared" si="7553"/>
        <v>0</v>
      </c>
      <c r="AW1175" s="58">
        <f t="shared" si="7553"/>
        <v>0</v>
      </c>
      <c r="AX1175" s="58">
        <f t="shared" si="7553"/>
        <v>0</v>
      </c>
      <c r="AY1175" s="58">
        <f t="shared" si="7553"/>
        <v>0</v>
      </c>
      <c r="AZ1175" s="58">
        <f t="shared" si="7553"/>
        <v>0</v>
      </c>
      <c r="BA1175" s="58">
        <f t="shared" si="7553"/>
        <v>0</v>
      </c>
      <c r="BB1175" s="58">
        <f t="shared" si="7553"/>
        <v>0</v>
      </c>
      <c r="BC1175" s="58">
        <f t="shared" si="7553"/>
        <v>0</v>
      </c>
      <c r="BD1175" s="58">
        <f t="shared" si="7553"/>
        <v>0</v>
      </c>
      <c r="BE1175" s="58">
        <f t="shared" si="7553"/>
        <v>0</v>
      </c>
      <c r="BF1175" s="58">
        <f t="shared" si="7553"/>
        <v>0</v>
      </c>
      <c r="BG1175" s="58">
        <f t="shared" si="7553"/>
        <v>0</v>
      </c>
      <c r="BH1175" s="58">
        <f t="shared" si="7553"/>
        <v>0</v>
      </c>
      <c r="BI1175" s="58">
        <f t="shared" si="7553"/>
        <v>0</v>
      </c>
      <c r="BJ1175" s="58">
        <f t="shared" si="7553"/>
        <v>0</v>
      </c>
      <c r="BK1175" s="58">
        <f t="shared" si="7553"/>
        <v>0</v>
      </c>
      <c r="BL1175" s="58">
        <f t="shared" si="7553"/>
        <v>0</v>
      </c>
      <c r="BM1175" s="58">
        <f t="shared" si="7553"/>
        <v>0</v>
      </c>
      <c r="BN1175" s="58">
        <f t="shared" si="7553"/>
        <v>0</v>
      </c>
      <c r="BO1175" s="58">
        <f t="shared" si="7553"/>
        <v>0</v>
      </c>
      <c r="BP1175" s="58">
        <f t="shared" si="7553"/>
        <v>0</v>
      </c>
      <c r="BQ1175" s="58">
        <f t="shared" si="7553"/>
        <v>0</v>
      </c>
      <c r="BR1175" s="58">
        <f t="shared" si="7553"/>
        <v>0</v>
      </c>
      <c r="BS1175" s="58">
        <f t="shared" si="7553"/>
        <v>0</v>
      </c>
      <c r="BT1175" s="58">
        <f t="shared" si="7553"/>
        <v>0</v>
      </c>
      <c r="BU1175" s="58">
        <f t="shared" si="7553"/>
        <v>0</v>
      </c>
      <c r="BV1175" s="58">
        <f t="shared" si="7553"/>
        <v>0</v>
      </c>
      <c r="BW1175" s="58">
        <f t="shared" si="7553"/>
        <v>0</v>
      </c>
      <c r="BX1175" s="58">
        <f t="shared" si="7553"/>
        <v>0</v>
      </c>
      <c r="BY1175" s="58">
        <f t="shared" ref="BY1175:CO1175" si="7554">$E$1175</f>
        <v>0</v>
      </c>
      <c r="BZ1175" s="58">
        <f t="shared" si="7554"/>
        <v>0</v>
      </c>
      <c r="CA1175" s="58">
        <f t="shared" si="7554"/>
        <v>0</v>
      </c>
      <c r="CB1175" s="58">
        <f t="shared" si="7554"/>
        <v>0</v>
      </c>
      <c r="CC1175" s="58">
        <f t="shared" si="7554"/>
        <v>0</v>
      </c>
      <c r="CD1175" s="58">
        <f t="shared" si="7554"/>
        <v>0</v>
      </c>
      <c r="CE1175" s="58">
        <f t="shared" si="7554"/>
        <v>0</v>
      </c>
      <c r="CF1175" s="58">
        <f t="shared" si="7554"/>
        <v>0</v>
      </c>
      <c r="CG1175" s="58">
        <f t="shared" si="7554"/>
        <v>0</v>
      </c>
      <c r="CH1175" s="58">
        <f t="shared" si="7554"/>
        <v>0</v>
      </c>
      <c r="CI1175" s="58">
        <f t="shared" si="7554"/>
        <v>0</v>
      </c>
      <c r="CJ1175" s="58">
        <f t="shared" si="7554"/>
        <v>0</v>
      </c>
      <c r="CK1175" s="58">
        <f t="shared" si="7554"/>
        <v>0</v>
      </c>
      <c r="CL1175" s="58">
        <f t="shared" si="7554"/>
        <v>0</v>
      </c>
      <c r="CM1175" s="58">
        <f t="shared" si="7554"/>
        <v>0</v>
      </c>
      <c r="CN1175" s="58">
        <f t="shared" si="7554"/>
        <v>0</v>
      </c>
      <c r="CO1175" s="58">
        <f t="shared" si="7554"/>
        <v>0</v>
      </c>
    </row>
    <row r="1176" spans="1:93">
      <c r="A1176" s="10"/>
      <c r="B1176" s="10"/>
      <c r="C1176" s="40" t="str">
        <f>"Сценарий расчета ставки: "&amp;CHOOSE(E1176,Предпосылки!C571,Предпосылки!C572)</f>
        <v>Сценарий расчета ставки: Доля ключевой ставки ЦБ плюс маржа</v>
      </c>
      <c r="D1176" s="10"/>
      <c r="E1176" s="474">
        <f>Предпосылки!E574</f>
        <v>1</v>
      </c>
      <c r="F1176" s="10"/>
      <c r="G1176" s="11"/>
      <c r="H1176" s="10"/>
      <c r="I1176" s="10"/>
      <c r="J1176" s="10"/>
      <c r="K1176" s="10"/>
      <c r="L1176" s="58"/>
      <c r="M1176" s="58"/>
      <c r="N1176" s="58"/>
      <c r="O1176" s="58"/>
      <c r="P1176" s="58"/>
      <c r="Q1176" s="58"/>
      <c r="R1176" s="58"/>
      <c r="S1176" s="58"/>
      <c r="T1176" s="58"/>
      <c r="U1176" s="58"/>
      <c r="V1176" s="58"/>
      <c r="W1176" s="58"/>
      <c r="X1176" s="58"/>
      <c r="Y1176" s="58"/>
      <c r="Z1176" s="58"/>
      <c r="AA1176" s="58"/>
      <c r="AB1176" s="58"/>
      <c r="AC1176" s="58"/>
      <c r="AD1176" s="58"/>
      <c r="AE1176" s="58"/>
      <c r="AF1176" s="58"/>
      <c r="AG1176" s="58"/>
      <c r="AH1176" s="58"/>
      <c r="AI1176" s="58"/>
      <c r="AJ1176" s="58"/>
      <c r="AK1176" s="58"/>
      <c r="AL1176" s="58"/>
      <c r="AM1176" s="58"/>
      <c r="AN1176" s="58"/>
      <c r="AO1176" s="58"/>
      <c r="AP1176" s="58"/>
      <c r="AQ1176" s="58"/>
      <c r="AR1176" s="58"/>
      <c r="AS1176" s="58"/>
      <c r="AT1176" s="58"/>
      <c r="AU1176" s="58"/>
      <c r="AV1176" s="58"/>
      <c r="AW1176" s="58"/>
      <c r="AX1176" s="58"/>
      <c r="AY1176" s="58"/>
      <c r="AZ1176" s="58"/>
      <c r="BA1176" s="58"/>
      <c r="BB1176" s="58"/>
      <c r="BC1176" s="58"/>
      <c r="BD1176" s="58"/>
      <c r="BE1176" s="58"/>
      <c r="BF1176" s="58"/>
      <c r="BG1176" s="58"/>
      <c r="BH1176" s="58"/>
      <c r="BI1176" s="58"/>
      <c r="BJ1176" s="58"/>
      <c r="BK1176" s="58"/>
      <c r="BL1176" s="58"/>
      <c r="BM1176" s="58"/>
      <c r="BN1176" s="58"/>
      <c r="BO1176" s="58"/>
      <c r="BP1176" s="58"/>
      <c r="BQ1176" s="58"/>
      <c r="BR1176" s="58"/>
      <c r="BS1176" s="58"/>
      <c r="BT1176" s="58"/>
      <c r="BU1176" s="58"/>
      <c r="BV1176" s="58"/>
      <c r="BW1176" s="58"/>
      <c r="BX1176" s="58"/>
      <c r="BY1176" s="58"/>
      <c r="BZ1176" s="58"/>
      <c r="CA1176" s="58"/>
      <c r="CB1176" s="58"/>
      <c r="CC1176" s="58"/>
      <c r="CD1176" s="58"/>
      <c r="CE1176" s="58"/>
      <c r="CF1176" s="58"/>
      <c r="CG1176" s="58"/>
      <c r="CH1176" s="58"/>
      <c r="CI1176" s="58"/>
      <c r="CJ1176" s="58"/>
      <c r="CK1176" s="58"/>
      <c r="CL1176" s="58"/>
      <c r="CM1176" s="58"/>
      <c r="CN1176" s="58"/>
      <c r="CO1176" s="58"/>
    </row>
    <row r="1177" spans="1:93">
      <c r="A1177" s="10"/>
      <c r="B1177" s="10"/>
      <c r="C1177" s="17" t="s">
        <v>321</v>
      </c>
      <c r="D1177" s="10"/>
      <c r="F1177" s="10"/>
      <c r="G1177" s="11" t="s">
        <v>28</v>
      </c>
      <c r="H1177" s="10"/>
      <c r="I1177" s="10"/>
      <c r="J1177" s="10"/>
      <c r="K1177" s="10"/>
      <c r="L1177" s="58">
        <f t="shared" ref="L1177:AQ1177" si="7555">CHOOSE($E$1176,L1173,L1175)*Period_length*Flag_Financial_Model</f>
        <v>1.9232876712328765E-2</v>
      </c>
      <c r="M1177" s="58">
        <f t="shared" si="7555"/>
        <v>1.9446575342465754E-2</v>
      </c>
      <c r="N1177" s="58">
        <f t="shared" si="7555"/>
        <v>1.966027397260274E-2</v>
      </c>
      <c r="O1177" s="58">
        <f t="shared" si="7555"/>
        <v>1.966027397260274E-2</v>
      </c>
      <c r="P1177" s="58">
        <f t="shared" si="7555"/>
        <v>1.5534246575342464E-2</v>
      </c>
      <c r="Q1177" s="58">
        <f t="shared" si="7555"/>
        <v>1.5706849315068494E-2</v>
      </c>
      <c r="R1177" s="58">
        <f t="shared" si="7555"/>
        <v>1.5879452054794522E-2</v>
      </c>
      <c r="S1177" s="58">
        <f t="shared" si="7555"/>
        <v>1.5879452054794522E-2</v>
      </c>
      <c r="T1177" s="58">
        <f t="shared" si="7555"/>
        <v>1.3684931506849315E-2</v>
      </c>
      <c r="U1177" s="58">
        <f t="shared" si="7555"/>
        <v>1.3836986301369864E-2</v>
      </c>
      <c r="V1177" s="58">
        <f t="shared" si="7555"/>
        <v>1.3989041095890413E-2</v>
      </c>
      <c r="W1177" s="58">
        <f t="shared" si="7555"/>
        <v>1.3989041095890413E-2</v>
      </c>
      <c r="X1177" s="58">
        <f t="shared" si="7555"/>
        <v>1.3799180327868853E-2</v>
      </c>
      <c r="Y1177" s="58">
        <f t="shared" si="7555"/>
        <v>1.3799180327868853E-2</v>
      </c>
      <c r="Z1177" s="58">
        <f t="shared" si="7555"/>
        <v>1.3950819672131147E-2</v>
      </c>
      <c r="AA1177" s="58">
        <f t="shared" si="7555"/>
        <v>1.3950819672131147E-2</v>
      </c>
      <c r="AB1177" s="58">
        <f t="shared" si="7555"/>
        <v>1.3684931506849315E-2</v>
      </c>
      <c r="AC1177" s="58">
        <f t="shared" si="7555"/>
        <v>1.3836986301369864E-2</v>
      </c>
      <c r="AD1177" s="58">
        <f t="shared" si="7555"/>
        <v>1.3989041095890413E-2</v>
      </c>
      <c r="AE1177" s="58">
        <f t="shared" si="7555"/>
        <v>1.3989041095890413E-2</v>
      </c>
      <c r="AF1177" s="58">
        <f t="shared" si="7555"/>
        <v>1.3684931506849315E-2</v>
      </c>
      <c r="AG1177" s="58">
        <f t="shared" si="7555"/>
        <v>1.3836986301369864E-2</v>
      </c>
      <c r="AH1177" s="58">
        <f t="shared" si="7555"/>
        <v>1.3989041095890413E-2</v>
      </c>
      <c r="AI1177" s="58">
        <f t="shared" si="7555"/>
        <v>1.3989041095890413E-2</v>
      </c>
      <c r="AJ1177" s="58">
        <f t="shared" si="7555"/>
        <v>1.3684931506849315E-2</v>
      </c>
      <c r="AK1177" s="58">
        <f t="shared" si="7555"/>
        <v>1.3836986301369864E-2</v>
      </c>
      <c r="AL1177" s="58">
        <f t="shared" si="7555"/>
        <v>1.3989041095890413E-2</v>
      </c>
      <c r="AM1177" s="58">
        <f t="shared" si="7555"/>
        <v>1.3989041095890413E-2</v>
      </c>
      <c r="AN1177" s="58">
        <f t="shared" si="7555"/>
        <v>1.3799180327868853E-2</v>
      </c>
      <c r="AO1177" s="58">
        <f t="shared" si="7555"/>
        <v>1.3799180327868853E-2</v>
      </c>
      <c r="AP1177" s="58">
        <f t="shared" si="7555"/>
        <v>1.3950819672131147E-2</v>
      </c>
      <c r="AQ1177" s="58">
        <f t="shared" si="7555"/>
        <v>1.3950819672131147E-2</v>
      </c>
      <c r="AR1177" s="58">
        <f t="shared" ref="AR1177:BW1177" si="7556">CHOOSE($E$1176,AR1173,AR1175)*Period_length*Flag_Financial_Model</f>
        <v>1.3684931506849315E-2</v>
      </c>
      <c r="AS1177" s="58">
        <f t="shared" si="7556"/>
        <v>1.3836986301369864E-2</v>
      </c>
      <c r="AT1177" s="58">
        <f t="shared" si="7556"/>
        <v>1.3989041095890413E-2</v>
      </c>
      <c r="AU1177" s="58">
        <f t="shared" si="7556"/>
        <v>1.3989041095890413E-2</v>
      </c>
      <c r="AV1177" s="58">
        <f t="shared" si="7556"/>
        <v>1.3684931506849315E-2</v>
      </c>
      <c r="AW1177" s="58">
        <f t="shared" si="7556"/>
        <v>1.3836986301369864E-2</v>
      </c>
      <c r="AX1177" s="58">
        <f t="shared" si="7556"/>
        <v>1.3989041095890413E-2</v>
      </c>
      <c r="AY1177" s="58">
        <f t="shared" si="7556"/>
        <v>1.3989041095890413E-2</v>
      </c>
      <c r="AZ1177" s="58">
        <f t="shared" si="7556"/>
        <v>1.3684931506849315E-2</v>
      </c>
      <c r="BA1177" s="58">
        <f t="shared" si="7556"/>
        <v>1.3836986301369864E-2</v>
      </c>
      <c r="BB1177" s="58">
        <f t="shared" si="7556"/>
        <v>1.3989041095890413E-2</v>
      </c>
      <c r="BC1177" s="58">
        <f t="shared" si="7556"/>
        <v>1.3989041095890413E-2</v>
      </c>
      <c r="BD1177" s="58">
        <f t="shared" si="7556"/>
        <v>1.3799180327868853E-2</v>
      </c>
      <c r="BE1177" s="58">
        <f t="shared" si="7556"/>
        <v>1.3799180327868853E-2</v>
      </c>
      <c r="BF1177" s="58">
        <f t="shared" si="7556"/>
        <v>1.3950819672131147E-2</v>
      </c>
      <c r="BG1177" s="58">
        <f t="shared" si="7556"/>
        <v>1.3950819672131147E-2</v>
      </c>
      <c r="BH1177" s="58">
        <f t="shared" si="7556"/>
        <v>1.3684931506849315E-2</v>
      </c>
      <c r="BI1177" s="58">
        <f t="shared" si="7556"/>
        <v>1.3836986301369864E-2</v>
      </c>
      <c r="BJ1177" s="58">
        <f t="shared" si="7556"/>
        <v>1.3989041095890413E-2</v>
      </c>
      <c r="BK1177" s="58">
        <f t="shared" si="7556"/>
        <v>1.3989041095890413E-2</v>
      </c>
      <c r="BL1177" s="58">
        <f t="shared" si="7556"/>
        <v>1.3684931506849315E-2</v>
      </c>
      <c r="BM1177" s="58">
        <f t="shared" si="7556"/>
        <v>1.3836986301369864E-2</v>
      </c>
      <c r="BN1177" s="58">
        <f t="shared" si="7556"/>
        <v>1.3989041095890413E-2</v>
      </c>
      <c r="BO1177" s="58">
        <f t="shared" si="7556"/>
        <v>1.3989041095890413E-2</v>
      </c>
      <c r="BP1177" s="58">
        <f t="shared" si="7556"/>
        <v>1.3684931506849315E-2</v>
      </c>
      <c r="BQ1177" s="58">
        <f t="shared" si="7556"/>
        <v>1.3836986301369864E-2</v>
      </c>
      <c r="BR1177" s="58">
        <f t="shared" si="7556"/>
        <v>1.3989041095890413E-2</v>
      </c>
      <c r="BS1177" s="58">
        <f t="shared" si="7556"/>
        <v>1.3989041095890413E-2</v>
      </c>
      <c r="BT1177" s="58">
        <f t="shared" si="7556"/>
        <v>1.3799180327868853E-2</v>
      </c>
      <c r="BU1177" s="58">
        <f t="shared" si="7556"/>
        <v>1.3799180327868853E-2</v>
      </c>
      <c r="BV1177" s="58">
        <f t="shared" si="7556"/>
        <v>1.3950819672131147E-2</v>
      </c>
      <c r="BW1177" s="58">
        <f t="shared" si="7556"/>
        <v>1.3950819672131147E-2</v>
      </c>
      <c r="BX1177" s="58">
        <f t="shared" ref="BX1177:CO1177" si="7557">CHOOSE($E$1176,BX1173,BX1175)*Period_length*Flag_Financial_Model</f>
        <v>1.3684931506849315E-2</v>
      </c>
      <c r="BY1177" s="58">
        <f t="shared" si="7557"/>
        <v>1.3836986301369864E-2</v>
      </c>
      <c r="BZ1177" s="58">
        <f t="shared" si="7557"/>
        <v>1.3989041095890413E-2</v>
      </c>
      <c r="CA1177" s="58">
        <f t="shared" si="7557"/>
        <v>1.3989041095890413E-2</v>
      </c>
      <c r="CB1177" s="58">
        <f t="shared" si="7557"/>
        <v>1.3684931506849315E-2</v>
      </c>
      <c r="CC1177" s="58">
        <f t="shared" si="7557"/>
        <v>1.3836986301369864E-2</v>
      </c>
      <c r="CD1177" s="58">
        <f t="shared" si="7557"/>
        <v>1.3989041095890413E-2</v>
      </c>
      <c r="CE1177" s="58">
        <f t="shared" si="7557"/>
        <v>1.3989041095890413E-2</v>
      </c>
      <c r="CF1177" s="58">
        <f t="shared" si="7557"/>
        <v>1.3684931506849315E-2</v>
      </c>
      <c r="CG1177" s="58">
        <f t="shared" si="7557"/>
        <v>1.3836986301369864E-2</v>
      </c>
      <c r="CH1177" s="58">
        <f t="shared" si="7557"/>
        <v>1.3989041095890413E-2</v>
      </c>
      <c r="CI1177" s="58">
        <f t="shared" si="7557"/>
        <v>1.3989041095890413E-2</v>
      </c>
      <c r="CJ1177" s="58">
        <f t="shared" si="7557"/>
        <v>1.3799180327868853E-2</v>
      </c>
      <c r="CK1177" s="58">
        <f t="shared" si="7557"/>
        <v>1.3799180327868853E-2</v>
      </c>
      <c r="CL1177" s="58">
        <f t="shared" si="7557"/>
        <v>1.3950819672131147E-2</v>
      </c>
      <c r="CM1177" s="58">
        <f t="shared" si="7557"/>
        <v>1.3950819672131147E-2</v>
      </c>
      <c r="CN1177" s="58">
        <f t="shared" si="7557"/>
        <v>1.3684931506849315E-2</v>
      </c>
      <c r="CO1177" s="58">
        <f t="shared" si="7557"/>
        <v>1.3836986301369864E-2</v>
      </c>
    </row>
    <row r="1178" spans="1:93">
      <c r="A1178" s="10"/>
      <c r="B1178" s="10"/>
      <c r="C1178" s="17" t="s">
        <v>505</v>
      </c>
      <c r="D1178" s="10"/>
      <c r="E1178" s="10"/>
      <c r="F1178" s="10"/>
      <c r="G1178" s="11" t="str">
        <f>Monetary_Unit</f>
        <v>тыс. руб.</v>
      </c>
      <c r="H1178" s="10"/>
      <c r="I1178" s="23">
        <f>SUM(L1178:CO1178)</f>
        <v>1330786.673672708</v>
      </c>
      <c r="J1178" s="10"/>
      <c r="K1178" s="10"/>
      <c r="L1178" s="52">
        <f t="shared" ref="L1178" si="7558">L1177*(K1165+L1163/2)</f>
        <v>0</v>
      </c>
      <c r="M1178" s="52">
        <f t="shared" ref="M1178" si="7559">M1177*(L1165+M1163/2)</f>
        <v>0</v>
      </c>
      <c r="N1178" s="52">
        <f t="shared" ref="N1178" si="7560">N1177*(M1165+N1163/2)</f>
        <v>0</v>
      </c>
      <c r="O1178" s="52">
        <f t="shared" ref="O1178" si="7561">O1177*(N1165+O1163/2)</f>
        <v>0</v>
      </c>
      <c r="P1178" s="52">
        <f t="shared" ref="P1178" si="7562">P1177*(O1165+P1163/2)</f>
        <v>0</v>
      </c>
      <c r="Q1178" s="52">
        <f t="shared" ref="Q1178" si="7563">Q1177*(P1165+Q1163/2)</f>
        <v>0</v>
      </c>
      <c r="R1178" s="52">
        <f t="shared" ref="R1178" si="7564">R1177*(Q1165+R1163/2)</f>
        <v>0</v>
      </c>
      <c r="S1178" s="52">
        <f t="shared" ref="S1178" si="7565">S1177*(R1165+S1163/2)</f>
        <v>738.99174247580174</v>
      </c>
      <c r="T1178" s="52">
        <f t="shared" ref="T1178" si="7566">T1177*(S1165+T1163/2)</f>
        <v>3234.8821767320223</v>
      </c>
      <c r="U1178" s="52">
        <f t="shared" ref="U1178" si="7567">U1177*(T1165+U1163/2)</f>
        <v>7256.2536237105141</v>
      </c>
      <c r="V1178" s="52">
        <f t="shared" ref="V1178" si="7568">V1177*(U1165+V1163/2)</f>
        <v>11404.918486102473</v>
      </c>
      <c r="W1178" s="52">
        <f t="shared" ref="W1178" si="7569">W1177*(V1165+W1163/2)</f>
        <v>15513.937077923534</v>
      </c>
      <c r="X1178" s="52">
        <f t="shared" ref="X1178" si="7570">X1177*(W1165+X1163/2)</f>
        <v>21635.021605468475</v>
      </c>
      <c r="Y1178" s="52">
        <f t="shared" ref="Y1178" si="7571">Y1177*(X1165+Y1163/2)</f>
        <v>30267.503661225743</v>
      </c>
      <c r="Z1178" s="52">
        <f t="shared" ref="Z1178" si="7572">Z1177*(Y1165+Z1163/2)</f>
        <v>39413.452160910616</v>
      </c>
      <c r="AA1178" s="52">
        <f t="shared" ref="AA1178" si="7573">AA1177*(Z1165+AA1163/2)</f>
        <v>48313.632138229776</v>
      </c>
      <c r="AB1178" s="52">
        <f t="shared" ref="AB1178" si="7574">AB1177*(AA1165+AB1163/2)</f>
        <v>57475.007205903479</v>
      </c>
      <c r="AC1178" s="52">
        <f t="shared" ref="AC1178" si="7575">AC1177*(AB1165+AC1163/2)</f>
        <v>63872.407755986169</v>
      </c>
      <c r="AD1178" s="52">
        <f t="shared" ref="AD1178" si="7576">AD1177*(AC1165+AD1163/2)</f>
        <v>62892.014193801202</v>
      </c>
      <c r="AE1178" s="52">
        <f t="shared" ref="AE1178" si="7577">AE1177*(AD1165+AE1163/2)</f>
        <v>61190.416445550276</v>
      </c>
      <c r="AF1178" s="52">
        <f t="shared" ref="AF1178" si="7578">AF1177*(AE1165+AF1163/2)</f>
        <v>58172.297254570709</v>
      </c>
      <c r="AG1178" s="52">
        <f t="shared" ref="AG1178" si="7579">AG1177*(AF1165+AG1163/2)</f>
        <v>57080.646529591679</v>
      </c>
      <c r="AH1178" s="52">
        <f t="shared" ref="AH1178" si="7580">AH1177*(AG1165+AH1163/2)</f>
        <v>55930.44209210058</v>
      </c>
      <c r="AI1178" s="52">
        <f t="shared" ref="AI1178" si="7581">AI1177*(AH1165+AI1163/2)</f>
        <v>54131.967215460383</v>
      </c>
      <c r="AJ1178" s="52">
        <f t="shared" ref="AJ1178" si="7582">AJ1177*(AI1165+AJ1163/2)</f>
        <v>51171.195711258915</v>
      </c>
      <c r="AK1178" s="52">
        <f t="shared" ref="AK1178" si="7583">AK1177*(AJ1165+AK1163/2)</f>
        <v>49904.037104946961</v>
      </c>
      <c r="AL1178" s="52">
        <f t="shared" ref="AL1178" si="7584">AL1177*(AK1165+AL1163/2)</f>
        <v>48574.405478010551</v>
      </c>
      <c r="AM1178" s="52">
        <f t="shared" ref="AM1178" si="7585">AM1177*(AL1165+AM1163/2)</f>
        <v>46673.54571622183</v>
      </c>
      <c r="AN1178" s="52">
        <f t="shared" ref="AN1178" si="7586">AN1177*(AM1165+AN1163/2)</f>
        <v>44138.79593852751</v>
      </c>
      <c r="AO1178" s="52">
        <f t="shared" ref="AO1178" si="7587">AO1177*(AN1165+AO1163/2)</f>
        <v>42207.308872000569</v>
      </c>
      <c r="AP1178" s="52">
        <f t="shared" ref="AP1178" si="7588">AP1177*(AO1165+AP1163/2)</f>
        <v>40691.467417603446</v>
      </c>
      <c r="AQ1178" s="52">
        <f t="shared" ref="AQ1178" si="7589">AQ1177*(AP1165+AQ1163/2)</f>
        <v>38687.152626157636</v>
      </c>
      <c r="AR1178" s="52">
        <f t="shared" ref="AR1178" si="7590">AR1177*(AQ1165+AR1163/2)</f>
        <v>35956.272041141216</v>
      </c>
      <c r="AS1178" s="52">
        <f t="shared" ref="AS1178" si="7591">AS1177*(AR1165+AS1163/2)</f>
        <v>34307.790947443333</v>
      </c>
      <c r="AT1178" s="52">
        <f t="shared" ref="AT1178" si="7592">AT1177*(AS1165+AT1163/2)</f>
        <v>32588.246953087979</v>
      </c>
      <c r="AU1178" s="52">
        <f t="shared" ref="AU1178" si="7593">AU1177*(AT1165+AU1163/2)</f>
        <v>30464.826714844134</v>
      </c>
      <c r="AV1178" s="52">
        <f t="shared" ref="AV1178" si="7594">AV1177*(AU1165+AV1163/2)</f>
        <v>27696.230071407623</v>
      </c>
      <c r="AW1178" s="52">
        <f t="shared" ref="AW1178" si="7595">AW1177*(AV1165+AW1163/2)</f>
        <v>25840.779998392045</v>
      </c>
      <c r="AX1178" s="52">
        <f t="shared" ref="AX1178" si="7596">AX1177*(AW1165+AX1163/2)</f>
        <v>23909.566331086633</v>
      </c>
      <c r="AY1178" s="52">
        <f t="shared" ref="AY1178" si="7597">AY1177*(AX1165+AY1163/2)</f>
        <v>21665.290095109085</v>
      </c>
      <c r="AZ1178" s="52">
        <f t="shared" ref="AZ1178" si="7598">AZ1177*(AY1165+AZ1163/2)</f>
        <v>18968.105120419892</v>
      </c>
      <c r="BA1178" s="52">
        <f t="shared" ref="BA1178" si="7599">BA1177*(AZ1165+BA1163/2)</f>
        <v>16893.990510090218</v>
      </c>
      <c r="BB1178" s="52">
        <f t="shared" ref="BB1178" si="7600">BB1177*(BA1165+BB1163/2)</f>
        <v>14739.119607861281</v>
      </c>
      <c r="BC1178" s="52">
        <f t="shared" ref="BC1178" si="7601">BC1177*(BB1165+BC1163/2)</f>
        <v>12367.118513902496</v>
      </c>
      <c r="BD1178" s="52">
        <f t="shared" ref="BD1178" si="7602">BD1177*(BC1165+BD1163/2)</f>
        <v>9826.7309072529442</v>
      </c>
      <c r="BE1178" s="52">
        <f t="shared" ref="BE1178" si="7603">BE1177*(BD1165+BE1163/2)</f>
        <v>7420.3179551697622</v>
      </c>
      <c r="BF1178" s="52">
        <f t="shared" ref="BF1178" si="7604">BF1177*(BE1165+BF1163/2)</f>
        <v>5035.4313667147007</v>
      </c>
      <c r="BG1178" s="52">
        <f t="shared" ref="BG1178" si="7605">BG1177*(BF1165+BG1163/2)</f>
        <v>2535.1563083135316</v>
      </c>
      <c r="BH1178" s="52">
        <f t="shared" ref="BH1178" si="7606">BH1177*(BG1165+BH1163/2)</f>
        <v>0</v>
      </c>
      <c r="BI1178" s="52">
        <f t="shared" ref="BI1178" si="7607">BI1177*(BH1165+BI1163/2)</f>
        <v>0</v>
      </c>
      <c r="BJ1178" s="52">
        <f t="shared" ref="BJ1178" si="7608">BJ1177*(BI1165+BJ1163/2)</f>
        <v>0</v>
      </c>
      <c r="BK1178" s="52">
        <f t="shared" ref="BK1178" si="7609">BK1177*(BJ1165+BK1163/2)</f>
        <v>0</v>
      </c>
      <c r="BL1178" s="52">
        <f t="shared" ref="BL1178" si="7610">BL1177*(BK1165+BL1163/2)</f>
        <v>0</v>
      </c>
      <c r="BM1178" s="52">
        <f t="shared" ref="BM1178" si="7611">BM1177*(BL1165+BM1163/2)</f>
        <v>0</v>
      </c>
      <c r="BN1178" s="52">
        <f t="shared" ref="BN1178" si="7612">BN1177*(BM1165+BN1163/2)</f>
        <v>0</v>
      </c>
      <c r="BO1178" s="52">
        <f t="shared" ref="BO1178" si="7613">BO1177*(BN1165+BO1163/2)</f>
        <v>0</v>
      </c>
      <c r="BP1178" s="52">
        <f t="shared" ref="BP1178" si="7614">BP1177*(BO1165+BP1163/2)</f>
        <v>0</v>
      </c>
      <c r="BQ1178" s="52">
        <f t="shared" ref="BQ1178" si="7615">BQ1177*(BP1165+BQ1163/2)</f>
        <v>0</v>
      </c>
      <c r="BR1178" s="52">
        <f t="shared" ref="BR1178" si="7616">BR1177*(BQ1165+BR1163/2)</f>
        <v>0</v>
      </c>
      <c r="BS1178" s="52">
        <f t="shared" ref="BS1178" si="7617">BS1177*(BR1165+BS1163/2)</f>
        <v>0</v>
      </c>
      <c r="BT1178" s="52">
        <f t="shared" ref="BT1178" si="7618">BT1177*(BS1165+BT1163/2)</f>
        <v>0</v>
      </c>
      <c r="BU1178" s="52">
        <f t="shared" ref="BU1178" si="7619">BU1177*(BT1165+BU1163/2)</f>
        <v>0</v>
      </c>
      <c r="BV1178" s="52">
        <f t="shared" ref="BV1178" si="7620">BV1177*(BU1165+BV1163/2)</f>
        <v>0</v>
      </c>
      <c r="BW1178" s="52">
        <f t="shared" ref="BW1178" si="7621">BW1177*(BV1165+BW1163/2)</f>
        <v>0</v>
      </c>
      <c r="BX1178" s="52">
        <f t="shared" ref="BX1178" si="7622">BX1177*(BW1165+BX1163/2)</f>
        <v>0</v>
      </c>
      <c r="BY1178" s="52">
        <f t="shared" ref="BY1178" si="7623">BY1177*(BX1165+BY1163/2)</f>
        <v>0</v>
      </c>
      <c r="BZ1178" s="52">
        <f t="shared" ref="BZ1178" si="7624">BZ1177*(BY1165+BZ1163/2)</f>
        <v>0</v>
      </c>
      <c r="CA1178" s="52">
        <f t="shared" ref="CA1178" si="7625">CA1177*(BZ1165+CA1163/2)</f>
        <v>0</v>
      </c>
      <c r="CB1178" s="52">
        <f t="shared" ref="CB1178" si="7626">CB1177*(CA1165+CB1163/2)</f>
        <v>0</v>
      </c>
      <c r="CC1178" s="52">
        <f t="shared" ref="CC1178" si="7627">CC1177*(CB1165+CC1163/2)</f>
        <v>0</v>
      </c>
      <c r="CD1178" s="52">
        <f t="shared" ref="CD1178" si="7628">CD1177*(CC1165+CD1163/2)</f>
        <v>0</v>
      </c>
      <c r="CE1178" s="52">
        <f t="shared" ref="CE1178" si="7629">CE1177*(CD1165+CE1163/2)</f>
        <v>0</v>
      </c>
      <c r="CF1178" s="52">
        <f t="shared" ref="CF1178" si="7630">CF1177*(CE1165+CF1163/2)</f>
        <v>0</v>
      </c>
      <c r="CG1178" s="52">
        <f t="shared" ref="CG1178" si="7631">CG1177*(CF1165+CG1163/2)</f>
        <v>0</v>
      </c>
      <c r="CH1178" s="52">
        <f t="shared" ref="CH1178" si="7632">CH1177*(CG1165+CH1163/2)</f>
        <v>0</v>
      </c>
      <c r="CI1178" s="52">
        <f t="shared" ref="CI1178" si="7633">CI1177*(CH1165+CI1163/2)</f>
        <v>0</v>
      </c>
      <c r="CJ1178" s="52">
        <f t="shared" ref="CJ1178" si="7634">CJ1177*(CI1165+CJ1163/2)</f>
        <v>0</v>
      </c>
      <c r="CK1178" s="52">
        <f t="shared" ref="CK1178" si="7635">CK1177*(CJ1165+CK1163/2)</f>
        <v>0</v>
      </c>
      <c r="CL1178" s="52">
        <f t="shared" ref="CL1178" si="7636">CL1177*(CK1165+CL1163/2)</f>
        <v>0</v>
      </c>
      <c r="CM1178" s="52">
        <f t="shared" ref="CM1178" si="7637">CM1177*(CL1165+CM1163/2)</f>
        <v>0</v>
      </c>
      <c r="CN1178" s="52">
        <f t="shared" ref="CN1178" si="7638">CN1177*(CM1165+CN1163/2)</f>
        <v>0</v>
      </c>
      <c r="CO1178" s="52">
        <f t="shared" ref="CO1178" si="7639">CO1177*(CN1165+CO1163/2)</f>
        <v>0</v>
      </c>
    </row>
    <row r="1179" spans="1:93">
      <c r="A1179" s="10"/>
      <c r="B1179" s="10"/>
      <c r="C1179" s="17" t="s">
        <v>340</v>
      </c>
      <c r="D1179" s="10"/>
      <c r="E1179" s="10"/>
      <c r="F1179" s="10"/>
      <c r="G1179" s="11" t="str">
        <f>Monetary_Unit</f>
        <v>тыс. руб.</v>
      </c>
      <c r="H1179" s="10"/>
      <c r="I1179" s="23">
        <f>SUM(L1179:CO1179)</f>
        <v>235253.59987868241</v>
      </c>
      <c r="J1179" s="10"/>
      <c r="K1179" s="10"/>
      <c r="L1179" s="52">
        <f t="shared" ref="L1179" si="7640">L1178*NOT(Flag_Operations)</f>
        <v>0</v>
      </c>
      <c r="M1179" s="52">
        <f t="shared" ref="M1179:BX1179" si="7641">M1178*NOT(Flag_Operations)</f>
        <v>0</v>
      </c>
      <c r="N1179" s="52">
        <f t="shared" si="7641"/>
        <v>0</v>
      </c>
      <c r="O1179" s="52">
        <f t="shared" si="7641"/>
        <v>0</v>
      </c>
      <c r="P1179" s="52">
        <f t="shared" si="7641"/>
        <v>0</v>
      </c>
      <c r="Q1179" s="52">
        <f t="shared" si="7641"/>
        <v>0</v>
      </c>
      <c r="R1179" s="52">
        <f t="shared" si="7641"/>
        <v>0</v>
      </c>
      <c r="S1179" s="52">
        <f t="shared" si="7641"/>
        <v>738.99174247580174</v>
      </c>
      <c r="T1179" s="52">
        <f t="shared" si="7641"/>
        <v>3234.8821767320223</v>
      </c>
      <c r="U1179" s="52">
        <f t="shared" si="7641"/>
        <v>7256.2536237105141</v>
      </c>
      <c r="V1179" s="52">
        <f t="shared" si="7641"/>
        <v>11404.918486102473</v>
      </c>
      <c r="W1179" s="52">
        <f t="shared" si="7641"/>
        <v>15513.937077923534</v>
      </c>
      <c r="X1179" s="52">
        <f t="shared" si="7641"/>
        <v>21635.021605468475</v>
      </c>
      <c r="Y1179" s="52">
        <f t="shared" si="7641"/>
        <v>30267.503661225743</v>
      </c>
      <c r="Z1179" s="52">
        <f t="shared" si="7641"/>
        <v>39413.452160910616</v>
      </c>
      <c r="AA1179" s="52">
        <f t="shared" si="7641"/>
        <v>48313.632138229776</v>
      </c>
      <c r="AB1179" s="52">
        <f t="shared" si="7641"/>
        <v>57475.007205903479</v>
      </c>
      <c r="AC1179" s="52">
        <f t="shared" si="7641"/>
        <v>0</v>
      </c>
      <c r="AD1179" s="52">
        <f t="shared" si="7641"/>
        <v>0</v>
      </c>
      <c r="AE1179" s="52">
        <f t="shared" si="7641"/>
        <v>0</v>
      </c>
      <c r="AF1179" s="52">
        <f t="shared" si="7641"/>
        <v>0</v>
      </c>
      <c r="AG1179" s="52">
        <f t="shared" si="7641"/>
        <v>0</v>
      </c>
      <c r="AH1179" s="52">
        <f t="shared" si="7641"/>
        <v>0</v>
      </c>
      <c r="AI1179" s="52">
        <f t="shared" si="7641"/>
        <v>0</v>
      </c>
      <c r="AJ1179" s="52">
        <f t="shared" si="7641"/>
        <v>0</v>
      </c>
      <c r="AK1179" s="52">
        <f t="shared" si="7641"/>
        <v>0</v>
      </c>
      <c r="AL1179" s="52">
        <f t="shared" si="7641"/>
        <v>0</v>
      </c>
      <c r="AM1179" s="52">
        <f t="shared" si="7641"/>
        <v>0</v>
      </c>
      <c r="AN1179" s="52">
        <f t="shared" si="7641"/>
        <v>0</v>
      </c>
      <c r="AO1179" s="52">
        <f t="shared" si="7641"/>
        <v>0</v>
      </c>
      <c r="AP1179" s="52">
        <f t="shared" si="7641"/>
        <v>0</v>
      </c>
      <c r="AQ1179" s="52">
        <f t="shared" si="7641"/>
        <v>0</v>
      </c>
      <c r="AR1179" s="52">
        <f t="shared" si="7641"/>
        <v>0</v>
      </c>
      <c r="AS1179" s="52">
        <f t="shared" si="7641"/>
        <v>0</v>
      </c>
      <c r="AT1179" s="52">
        <f t="shared" si="7641"/>
        <v>0</v>
      </c>
      <c r="AU1179" s="52">
        <f t="shared" si="7641"/>
        <v>0</v>
      </c>
      <c r="AV1179" s="52">
        <f t="shared" si="7641"/>
        <v>0</v>
      </c>
      <c r="AW1179" s="52">
        <f t="shared" si="7641"/>
        <v>0</v>
      </c>
      <c r="AX1179" s="52">
        <f t="shared" si="7641"/>
        <v>0</v>
      </c>
      <c r="AY1179" s="52">
        <f t="shared" si="7641"/>
        <v>0</v>
      </c>
      <c r="AZ1179" s="52">
        <f t="shared" si="7641"/>
        <v>0</v>
      </c>
      <c r="BA1179" s="52">
        <f t="shared" si="7641"/>
        <v>0</v>
      </c>
      <c r="BB1179" s="52">
        <f t="shared" si="7641"/>
        <v>0</v>
      </c>
      <c r="BC1179" s="52">
        <f t="shared" si="7641"/>
        <v>0</v>
      </c>
      <c r="BD1179" s="52">
        <f t="shared" si="7641"/>
        <v>0</v>
      </c>
      <c r="BE1179" s="52">
        <f t="shared" si="7641"/>
        <v>0</v>
      </c>
      <c r="BF1179" s="52">
        <f t="shared" si="7641"/>
        <v>0</v>
      </c>
      <c r="BG1179" s="52">
        <f t="shared" si="7641"/>
        <v>0</v>
      </c>
      <c r="BH1179" s="52">
        <f t="shared" si="7641"/>
        <v>0</v>
      </c>
      <c r="BI1179" s="52">
        <f t="shared" si="7641"/>
        <v>0</v>
      </c>
      <c r="BJ1179" s="52">
        <f t="shared" si="7641"/>
        <v>0</v>
      </c>
      <c r="BK1179" s="52">
        <f t="shared" si="7641"/>
        <v>0</v>
      </c>
      <c r="BL1179" s="52">
        <f t="shared" si="7641"/>
        <v>0</v>
      </c>
      <c r="BM1179" s="52">
        <f t="shared" si="7641"/>
        <v>0</v>
      </c>
      <c r="BN1179" s="52">
        <f t="shared" si="7641"/>
        <v>0</v>
      </c>
      <c r="BO1179" s="52">
        <f t="shared" si="7641"/>
        <v>0</v>
      </c>
      <c r="BP1179" s="52">
        <f t="shared" si="7641"/>
        <v>0</v>
      </c>
      <c r="BQ1179" s="52">
        <f t="shared" si="7641"/>
        <v>0</v>
      </c>
      <c r="BR1179" s="52">
        <f t="shared" si="7641"/>
        <v>0</v>
      </c>
      <c r="BS1179" s="52">
        <f t="shared" si="7641"/>
        <v>0</v>
      </c>
      <c r="BT1179" s="52">
        <f t="shared" si="7641"/>
        <v>0</v>
      </c>
      <c r="BU1179" s="52">
        <f t="shared" si="7641"/>
        <v>0</v>
      </c>
      <c r="BV1179" s="52">
        <f t="shared" si="7641"/>
        <v>0</v>
      </c>
      <c r="BW1179" s="52">
        <f t="shared" si="7641"/>
        <v>0</v>
      </c>
      <c r="BX1179" s="52">
        <f t="shared" si="7641"/>
        <v>0</v>
      </c>
      <c r="BY1179" s="52">
        <f t="shared" ref="BY1179:CO1179" si="7642">BY1178*NOT(Flag_Operations)</f>
        <v>0</v>
      </c>
      <c r="BZ1179" s="52">
        <f t="shared" si="7642"/>
        <v>0</v>
      </c>
      <c r="CA1179" s="52">
        <f t="shared" si="7642"/>
        <v>0</v>
      </c>
      <c r="CB1179" s="52">
        <f t="shared" si="7642"/>
        <v>0</v>
      </c>
      <c r="CC1179" s="52">
        <f t="shared" si="7642"/>
        <v>0</v>
      </c>
      <c r="CD1179" s="52">
        <f t="shared" si="7642"/>
        <v>0</v>
      </c>
      <c r="CE1179" s="52">
        <f t="shared" si="7642"/>
        <v>0</v>
      </c>
      <c r="CF1179" s="52">
        <f t="shared" si="7642"/>
        <v>0</v>
      </c>
      <c r="CG1179" s="52">
        <f t="shared" si="7642"/>
        <v>0</v>
      </c>
      <c r="CH1179" s="52">
        <f t="shared" si="7642"/>
        <v>0</v>
      </c>
      <c r="CI1179" s="52">
        <f t="shared" si="7642"/>
        <v>0</v>
      </c>
      <c r="CJ1179" s="52">
        <f t="shared" si="7642"/>
        <v>0</v>
      </c>
      <c r="CK1179" s="52">
        <f t="shared" si="7642"/>
        <v>0</v>
      </c>
      <c r="CL1179" s="52">
        <f t="shared" si="7642"/>
        <v>0</v>
      </c>
      <c r="CM1179" s="52">
        <f t="shared" si="7642"/>
        <v>0</v>
      </c>
      <c r="CN1179" s="52">
        <f t="shared" si="7642"/>
        <v>0</v>
      </c>
      <c r="CO1179" s="52">
        <f t="shared" si="7642"/>
        <v>0</v>
      </c>
    </row>
    <row r="1180" spans="1:93">
      <c r="A1180" s="10"/>
      <c r="B1180" s="10"/>
      <c r="C1180" s="17" t="s">
        <v>410</v>
      </c>
      <c r="D1180" s="10"/>
      <c r="E1180" s="10"/>
      <c r="F1180" s="10"/>
      <c r="G1180" s="11" t="str">
        <f>Monetary_Unit</f>
        <v>тыс. руб.</v>
      </c>
      <c r="H1180" s="10"/>
      <c r="I1180" s="23">
        <f>SUM(L1180:CO1180)</f>
        <v>1095533.0737940255</v>
      </c>
      <c r="J1180" s="10"/>
      <c r="K1180" s="10"/>
      <c r="L1180" s="52">
        <f t="shared" ref="L1180" si="7643">L1178*Flag_Operations</f>
        <v>0</v>
      </c>
      <c r="M1180" s="52">
        <f t="shared" ref="M1180:BX1180" si="7644">M1178*Flag_Operations</f>
        <v>0</v>
      </c>
      <c r="N1180" s="52">
        <f t="shared" si="7644"/>
        <v>0</v>
      </c>
      <c r="O1180" s="52">
        <f t="shared" si="7644"/>
        <v>0</v>
      </c>
      <c r="P1180" s="52">
        <f t="shared" si="7644"/>
        <v>0</v>
      </c>
      <c r="Q1180" s="52">
        <f t="shared" si="7644"/>
        <v>0</v>
      </c>
      <c r="R1180" s="52">
        <f t="shared" si="7644"/>
        <v>0</v>
      </c>
      <c r="S1180" s="52">
        <f t="shared" si="7644"/>
        <v>0</v>
      </c>
      <c r="T1180" s="52">
        <f t="shared" si="7644"/>
        <v>0</v>
      </c>
      <c r="U1180" s="52">
        <f t="shared" si="7644"/>
        <v>0</v>
      </c>
      <c r="V1180" s="52">
        <f t="shared" si="7644"/>
        <v>0</v>
      </c>
      <c r="W1180" s="52">
        <f t="shared" si="7644"/>
        <v>0</v>
      </c>
      <c r="X1180" s="52">
        <f t="shared" si="7644"/>
        <v>0</v>
      </c>
      <c r="Y1180" s="52">
        <f t="shared" si="7644"/>
        <v>0</v>
      </c>
      <c r="Z1180" s="52">
        <f t="shared" si="7644"/>
        <v>0</v>
      </c>
      <c r="AA1180" s="52">
        <f t="shared" si="7644"/>
        <v>0</v>
      </c>
      <c r="AB1180" s="52">
        <f t="shared" si="7644"/>
        <v>0</v>
      </c>
      <c r="AC1180" s="52">
        <f t="shared" si="7644"/>
        <v>63872.407755986169</v>
      </c>
      <c r="AD1180" s="52">
        <f t="shared" si="7644"/>
        <v>62892.014193801202</v>
      </c>
      <c r="AE1180" s="52">
        <f t="shared" si="7644"/>
        <v>61190.416445550276</v>
      </c>
      <c r="AF1180" s="52">
        <f t="shared" si="7644"/>
        <v>58172.297254570709</v>
      </c>
      <c r="AG1180" s="52">
        <f t="shared" si="7644"/>
        <v>57080.646529591679</v>
      </c>
      <c r="AH1180" s="52">
        <f t="shared" si="7644"/>
        <v>55930.44209210058</v>
      </c>
      <c r="AI1180" s="52">
        <f t="shared" si="7644"/>
        <v>54131.967215460383</v>
      </c>
      <c r="AJ1180" s="52">
        <f t="shared" si="7644"/>
        <v>51171.195711258915</v>
      </c>
      <c r="AK1180" s="52">
        <f t="shared" si="7644"/>
        <v>49904.037104946961</v>
      </c>
      <c r="AL1180" s="52">
        <f t="shared" si="7644"/>
        <v>48574.405478010551</v>
      </c>
      <c r="AM1180" s="52">
        <f t="shared" si="7644"/>
        <v>46673.54571622183</v>
      </c>
      <c r="AN1180" s="52">
        <f t="shared" si="7644"/>
        <v>44138.79593852751</v>
      </c>
      <c r="AO1180" s="52">
        <f t="shared" si="7644"/>
        <v>42207.308872000569</v>
      </c>
      <c r="AP1180" s="52">
        <f t="shared" si="7644"/>
        <v>40691.467417603446</v>
      </c>
      <c r="AQ1180" s="52">
        <f t="shared" si="7644"/>
        <v>38687.152626157636</v>
      </c>
      <c r="AR1180" s="52">
        <f t="shared" si="7644"/>
        <v>35956.272041141216</v>
      </c>
      <c r="AS1180" s="52">
        <f t="shared" si="7644"/>
        <v>34307.790947443333</v>
      </c>
      <c r="AT1180" s="52">
        <f t="shared" si="7644"/>
        <v>32588.246953087979</v>
      </c>
      <c r="AU1180" s="52">
        <f t="shared" si="7644"/>
        <v>30464.826714844134</v>
      </c>
      <c r="AV1180" s="52">
        <f t="shared" si="7644"/>
        <v>27696.230071407623</v>
      </c>
      <c r="AW1180" s="52">
        <f t="shared" si="7644"/>
        <v>25840.779998392045</v>
      </c>
      <c r="AX1180" s="52">
        <f t="shared" si="7644"/>
        <v>23909.566331086633</v>
      </c>
      <c r="AY1180" s="52">
        <f t="shared" si="7644"/>
        <v>21665.290095109085</v>
      </c>
      <c r="AZ1180" s="52">
        <f t="shared" si="7644"/>
        <v>18968.105120419892</v>
      </c>
      <c r="BA1180" s="52">
        <f t="shared" si="7644"/>
        <v>16893.990510090218</v>
      </c>
      <c r="BB1180" s="52">
        <f t="shared" si="7644"/>
        <v>14739.119607861281</v>
      </c>
      <c r="BC1180" s="52">
        <f t="shared" si="7644"/>
        <v>12367.118513902496</v>
      </c>
      <c r="BD1180" s="52">
        <f t="shared" si="7644"/>
        <v>9826.7309072529442</v>
      </c>
      <c r="BE1180" s="52">
        <f t="shared" si="7644"/>
        <v>7420.3179551697622</v>
      </c>
      <c r="BF1180" s="52">
        <f t="shared" si="7644"/>
        <v>5035.4313667147007</v>
      </c>
      <c r="BG1180" s="52">
        <f t="shared" si="7644"/>
        <v>2535.1563083135316</v>
      </c>
      <c r="BH1180" s="52">
        <f t="shared" si="7644"/>
        <v>0</v>
      </c>
      <c r="BI1180" s="52">
        <f t="shared" si="7644"/>
        <v>0</v>
      </c>
      <c r="BJ1180" s="52">
        <f t="shared" si="7644"/>
        <v>0</v>
      </c>
      <c r="BK1180" s="52">
        <f t="shared" si="7644"/>
        <v>0</v>
      </c>
      <c r="BL1180" s="52">
        <f t="shared" si="7644"/>
        <v>0</v>
      </c>
      <c r="BM1180" s="52">
        <f t="shared" si="7644"/>
        <v>0</v>
      </c>
      <c r="BN1180" s="52">
        <f t="shared" si="7644"/>
        <v>0</v>
      </c>
      <c r="BO1180" s="52">
        <f t="shared" si="7644"/>
        <v>0</v>
      </c>
      <c r="BP1180" s="52">
        <f t="shared" si="7644"/>
        <v>0</v>
      </c>
      <c r="BQ1180" s="52">
        <f t="shared" si="7644"/>
        <v>0</v>
      </c>
      <c r="BR1180" s="52">
        <f t="shared" si="7644"/>
        <v>0</v>
      </c>
      <c r="BS1180" s="52">
        <f t="shared" si="7644"/>
        <v>0</v>
      </c>
      <c r="BT1180" s="52">
        <f t="shared" si="7644"/>
        <v>0</v>
      </c>
      <c r="BU1180" s="52">
        <f t="shared" si="7644"/>
        <v>0</v>
      </c>
      <c r="BV1180" s="52">
        <f t="shared" si="7644"/>
        <v>0</v>
      </c>
      <c r="BW1180" s="52">
        <f t="shared" si="7644"/>
        <v>0</v>
      </c>
      <c r="BX1180" s="52">
        <f t="shared" si="7644"/>
        <v>0</v>
      </c>
      <c r="BY1180" s="52">
        <f t="shared" ref="BY1180:CO1180" si="7645">BY1178*Flag_Operations</f>
        <v>0</v>
      </c>
      <c r="BZ1180" s="52">
        <f t="shared" si="7645"/>
        <v>0</v>
      </c>
      <c r="CA1180" s="52">
        <f t="shared" si="7645"/>
        <v>0</v>
      </c>
      <c r="CB1180" s="52">
        <f t="shared" si="7645"/>
        <v>0</v>
      </c>
      <c r="CC1180" s="52">
        <f t="shared" si="7645"/>
        <v>0</v>
      </c>
      <c r="CD1180" s="52">
        <f t="shared" si="7645"/>
        <v>0</v>
      </c>
      <c r="CE1180" s="52">
        <f t="shared" si="7645"/>
        <v>0</v>
      </c>
      <c r="CF1180" s="52">
        <f t="shared" si="7645"/>
        <v>0</v>
      </c>
      <c r="CG1180" s="52">
        <f t="shared" si="7645"/>
        <v>0</v>
      </c>
      <c r="CH1180" s="52">
        <f t="shared" si="7645"/>
        <v>0</v>
      </c>
      <c r="CI1180" s="52">
        <f t="shared" si="7645"/>
        <v>0</v>
      </c>
      <c r="CJ1180" s="52">
        <f t="shared" si="7645"/>
        <v>0</v>
      </c>
      <c r="CK1180" s="52">
        <f t="shared" si="7645"/>
        <v>0</v>
      </c>
      <c r="CL1180" s="52">
        <f t="shared" si="7645"/>
        <v>0</v>
      </c>
      <c r="CM1180" s="52">
        <f t="shared" si="7645"/>
        <v>0</v>
      </c>
      <c r="CN1180" s="52">
        <f t="shared" si="7645"/>
        <v>0</v>
      </c>
      <c r="CO1180" s="52">
        <f t="shared" si="7645"/>
        <v>0</v>
      </c>
    </row>
    <row r="1181" spans="1:93">
      <c r="A1181" s="10"/>
      <c r="B1181" s="10"/>
      <c r="C1181" s="17" t="s">
        <v>183</v>
      </c>
      <c r="D1181" s="10"/>
      <c r="E1181" s="10"/>
      <c r="F1181" s="10"/>
      <c r="G1181" s="11" t="str">
        <f>Monetary_Unit</f>
        <v>тыс. руб.</v>
      </c>
      <c r="H1181" s="10"/>
      <c r="I1181" s="23">
        <f>SUM(L1181:CO1181)</f>
        <v>1330786.673672708</v>
      </c>
      <c r="J1181" s="10"/>
      <c r="K1181" s="10"/>
      <c r="L1181" s="52">
        <f t="shared" ref="L1181" si="7646">SUM(L1179:L1180)</f>
        <v>0</v>
      </c>
      <c r="M1181" s="52">
        <f t="shared" ref="M1181:BX1181" si="7647">SUM(M1179:M1180)</f>
        <v>0</v>
      </c>
      <c r="N1181" s="52">
        <f t="shared" si="7647"/>
        <v>0</v>
      </c>
      <c r="O1181" s="52">
        <f t="shared" si="7647"/>
        <v>0</v>
      </c>
      <c r="P1181" s="52">
        <f t="shared" si="7647"/>
        <v>0</v>
      </c>
      <c r="Q1181" s="52">
        <f t="shared" si="7647"/>
        <v>0</v>
      </c>
      <c r="R1181" s="52">
        <f t="shared" si="7647"/>
        <v>0</v>
      </c>
      <c r="S1181" s="52">
        <f t="shared" si="7647"/>
        <v>738.99174247580174</v>
      </c>
      <c r="T1181" s="52">
        <f t="shared" si="7647"/>
        <v>3234.8821767320223</v>
      </c>
      <c r="U1181" s="52">
        <f t="shared" si="7647"/>
        <v>7256.2536237105141</v>
      </c>
      <c r="V1181" s="52">
        <f t="shared" si="7647"/>
        <v>11404.918486102473</v>
      </c>
      <c r="W1181" s="52">
        <f t="shared" si="7647"/>
        <v>15513.937077923534</v>
      </c>
      <c r="X1181" s="52">
        <f t="shared" si="7647"/>
        <v>21635.021605468475</v>
      </c>
      <c r="Y1181" s="52">
        <f t="shared" si="7647"/>
        <v>30267.503661225743</v>
      </c>
      <c r="Z1181" s="52">
        <f t="shared" si="7647"/>
        <v>39413.452160910616</v>
      </c>
      <c r="AA1181" s="52">
        <f t="shared" si="7647"/>
        <v>48313.632138229776</v>
      </c>
      <c r="AB1181" s="52">
        <f t="shared" si="7647"/>
        <v>57475.007205903479</v>
      </c>
      <c r="AC1181" s="52">
        <f t="shared" si="7647"/>
        <v>63872.407755986169</v>
      </c>
      <c r="AD1181" s="52">
        <f t="shared" si="7647"/>
        <v>62892.014193801202</v>
      </c>
      <c r="AE1181" s="52">
        <f t="shared" si="7647"/>
        <v>61190.416445550276</v>
      </c>
      <c r="AF1181" s="52">
        <f t="shared" si="7647"/>
        <v>58172.297254570709</v>
      </c>
      <c r="AG1181" s="52">
        <f t="shared" si="7647"/>
        <v>57080.646529591679</v>
      </c>
      <c r="AH1181" s="52">
        <f t="shared" si="7647"/>
        <v>55930.44209210058</v>
      </c>
      <c r="AI1181" s="52">
        <f t="shared" si="7647"/>
        <v>54131.967215460383</v>
      </c>
      <c r="AJ1181" s="52">
        <f t="shared" si="7647"/>
        <v>51171.195711258915</v>
      </c>
      <c r="AK1181" s="52">
        <f t="shared" si="7647"/>
        <v>49904.037104946961</v>
      </c>
      <c r="AL1181" s="52">
        <f t="shared" si="7647"/>
        <v>48574.405478010551</v>
      </c>
      <c r="AM1181" s="52">
        <f t="shared" si="7647"/>
        <v>46673.54571622183</v>
      </c>
      <c r="AN1181" s="52">
        <f t="shared" si="7647"/>
        <v>44138.79593852751</v>
      </c>
      <c r="AO1181" s="52">
        <f t="shared" si="7647"/>
        <v>42207.308872000569</v>
      </c>
      <c r="AP1181" s="52">
        <f t="shared" si="7647"/>
        <v>40691.467417603446</v>
      </c>
      <c r="AQ1181" s="52">
        <f t="shared" si="7647"/>
        <v>38687.152626157636</v>
      </c>
      <c r="AR1181" s="52">
        <f t="shared" si="7647"/>
        <v>35956.272041141216</v>
      </c>
      <c r="AS1181" s="52">
        <f t="shared" si="7647"/>
        <v>34307.790947443333</v>
      </c>
      <c r="AT1181" s="52">
        <f t="shared" si="7647"/>
        <v>32588.246953087979</v>
      </c>
      <c r="AU1181" s="52">
        <f t="shared" si="7647"/>
        <v>30464.826714844134</v>
      </c>
      <c r="AV1181" s="52">
        <f t="shared" si="7647"/>
        <v>27696.230071407623</v>
      </c>
      <c r="AW1181" s="52">
        <f t="shared" si="7647"/>
        <v>25840.779998392045</v>
      </c>
      <c r="AX1181" s="52">
        <f t="shared" si="7647"/>
        <v>23909.566331086633</v>
      </c>
      <c r="AY1181" s="52">
        <f t="shared" si="7647"/>
        <v>21665.290095109085</v>
      </c>
      <c r="AZ1181" s="52">
        <f t="shared" si="7647"/>
        <v>18968.105120419892</v>
      </c>
      <c r="BA1181" s="52">
        <f t="shared" si="7647"/>
        <v>16893.990510090218</v>
      </c>
      <c r="BB1181" s="52">
        <f t="shared" si="7647"/>
        <v>14739.119607861281</v>
      </c>
      <c r="BC1181" s="52">
        <f t="shared" si="7647"/>
        <v>12367.118513902496</v>
      </c>
      <c r="BD1181" s="52">
        <f t="shared" si="7647"/>
        <v>9826.7309072529442</v>
      </c>
      <c r="BE1181" s="52">
        <f t="shared" si="7647"/>
        <v>7420.3179551697622</v>
      </c>
      <c r="BF1181" s="52">
        <f t="shared" si="7647"/>
        <v>5035.4313667147007</v>
      </c>
      <c r="BG1181" s="52">
        <f t="shared" si="7647"/>
        <v>2535.1563083135316</v>
      </c>
      <c r="BH1181" s="52">
        <f t="shared" si="7647"/>
        <v>0</v>
      </c>
      <c r="BI1181" s="52">
        <f t="shared" si="7647"/>
        <v>0</v>
      </c>
      <c r="BJ1181" s="52">
        <f t="shared" si="7647"/>
        <v>0</v>
      </c>
      <c r="BK1181" s="52">
        <f t="shared" si="7647"/>
        <v>0</v>
      </c>
      <c r="BL1181" s="52">
        <f t="shared" si="7647"/>
        <v>0</v>
      </c>
      <c r="BM1181" s="52">
        <f t="shared" si="7647"/>
        <v>0</v>
      </c>
      <c r="BN1181" s="52">
        <f t="shared" si="7647"/>
        <v>0</v>
      </c>
      <c r="BO1181" s="52">
        <f t="shared" si="7647"/>
        <v>0</v>
      </c>
      <c r="BP1181" s="52">
        <f t="shared" si="7647"/>
        <v>0</v>
      </c>
      <c r="BQ1181" s="52">
        <f t="shared" si="7647"/>
        <v>0</v>
      </c>
      <c r="BR1181" s="52">
        <f t="shared" si="7647"/>
        <v>0</v>
      </c>
      <c r="BS1181" s="52">
        <f t="shared" si="7647"/>
        <v>0</v>
      </c>
      <c r="BT1181" s="52">
        <f t="shared" si="7647"/>
        <v>0</v>
      </c>
      <c r="BU1181" s="52">
        <f t="shared" si="7647"/>
        <v>0</v>
      </c>
      <c r="BV1181" s="52">
        <f t="shared" si="7647"/>
        <v>0</v>
      </c>
      <c r="BW1181" s="52">
        <f t="shared" si="7647"/>
        <v>0</v>
      </c>
      <c r="BX1181" s="52">
        <f t="shared" si="7647"/>
        <v>0</v>
      </c>
      <c r="BY1181" s="52">
        <f t="shared" ref="BY1181:CO1181" si="7648">SUM(BY1179:BY1180)</f>
        <v>0</v>
      </c>
      <c r="BZ1181" s="52">
        <f t="shared" si="7648"/>
        <v>0</v>
      </c>
      <c r="CA1181" s="52">
        <f t="shared" si="7648"/>
        <v>0</v>
      </c>
      <c r="CB1181" s="52">
        <f t="shared" si="7648"/>
        <v>0</v>
      </c>
      <c r="CC1181" s="52">
        <f t="shared" si="7648"/>
        <v>0</v>
      </c>
      <c r="CD1181" s="52">
        <f t="shared" si="7648"/>
        <v>0</v>
      </c>
      <c r="CE1181" s="52">
        <f t="shared" si="7648"/>
        <v>0</v>
      </c>
      <c r="CF1181" s="52">
        <f t="shared" si="7648"/>
        <v>0</v>
      </c>
      <c r="CG1181" s="52">
        <f t="shared" si="7648"/>
        <v>0</v>
      </c>
      <c r="CH1181" s="52">
        <f t="shared" si="7648"/>
        <v>0</v>
      </c>
      <c r="CI1181" s="52">
        <f t="shared" si="7648"/>
        <v>0</v>
      </c>
      <c r="CJ1181" s="52">
        <f t="shared" si="7648"/>
        <v>0</v>
      </c>
      <c r="CK1181" s="52">
        <f t="shared" si="7648"/>
        <v>0</v>
      </c>
      <c r="CL1181" s="52">
        <f t="shared" si="7648"/>
        <v>0</v>
      </c>
      <c r="CM1181" s="52">
        <f t="shared" si="7648"/>
        <v>0</v>
      </c>
      <c r="CN1181" s="52">
        <f t="shared" si="7648"/>
        <v>0</v>
      </c>
      <c r="CO1181" s="52">
        <f t="shared" si="7648"/>
        <v>0</v>
      </c>
    </row>
    <row r="1182" spans="1:93">
      <c r="A1182" s="10"/>
      <c r="B1182" s="10"/>
      <c r="C1182" s="17"/>
      <c r="D1182" s="10"/>
      <c r="E1182" s="62"/>
      <c r="F1182" s="10"/>
      <c r="G1182" s="11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  <c r="BB1182" s="10"/>
      <c r="BC1182" s="10"/>
      <c r="BD1182" s="10"/>
      <c r="BE1182" s="10"/>
      <c r="BF1182" s="10"/>
      <c r="BG1182" s="10"/>
      <c r="BH1182" s="10"/>
      <c r="BI1182" s="10"/>
      <c r="BJ1182" s="10"/>
      <c r="BK1182" s="10"/>
      <c r="BL1182" s="10"/>
      <c r="BM1182" s="10"/>
      <c r="BN1182" s="10"/>
      <c r="BO1182" s="10"/>
      <c r="BP1182" s="10"/>
      <c r="BQ1182" s="10"/>
      <c r="BR1182" s="10"/>
      <c r="BS1182" s="10"/>
      <c r="BT1182" s="10"/>
      <c r="BU1182" s="10"/>
      <c r="BV1182" s="10"/>
      <c r="BW1182" s="10"/>
      <c r="BX1182" s="10"/>
      <c r="BY1182" s="10"/>
      <c r="BZ1182" s="10"/>
      <c r="CA1182" s="10"/>
      <c r="CB1182" s="10"/>
      <c r="CC1182" s="10"/>
      <c r="CD1182" s="10"/>
      <c r="CE1182" s="10"/>
      <c r="CF1182" s="10"/>
      <c r="CG1182" s="10"/>
      <c r="CH1182" s="10"/>
      <c r="CI1182" s="10"/>
      <c r="CJ1182" s="10"/>
      <c r="CK1182" s="10"/>
      <c r="CL1182" s="10"/>
      <c r="CM1182" s="10"/>
      <c r="CN1182" s="10"/>
      <c r="CO1182" s="10"/>
    </row>
    <row r="1183" spans="1:93">
      <c r="A1183" s="10"/>
      <c r="B1183" s="10"/>
      <c r="C1183" s="17" t="s">
        <v>184</v>
      </c>
      <c r="D1183" s="10"/>
      <c r="E1183" s="62"/>
      <c r="F1183" s="10"/>
      <c r="G1183" s="11" t="str">
        <f>MIN(L1183:CO1183) &amp; ".." &amp; MAX(L1183:CO1183)</f>
        <v>0..1</v>
      </c>
      <c r="H1183" s="10"/>
      <c r="I1183" s="10"/>
      <c r="J1183" s="10"/>
      <c r="K1183" s="10"/>
      <c r="L1183" s="79">
        <f>(Предпосылки!$E$589&lt;=End_of_period)*(Предпосылки!$E$590&gt;=Beginning_of_period)</f>
        <v>1</v>
      </c>
      <c r="M1183" s="79">
        <f>(Предпосылки!$E$589&lt;=End_of_period)*(Предпосылки!$E$590&gt;=Beginning_of_period)</f>
        <v>1</v>
      </c>
      <c r="N1183" s="79">
        <f>(Предпосылки!$E$589&lt;=End_of_period)*(Предпосылки!$E$590&gt;=Beginning_of_period)</f>
        <v>1</v>
      </c>
      <c r="O1183" s="79">
        <f>(Предпосылки!$E$589&lt;=End_of_period)*(Предпосылки!$E$590&gt;=Beginning_of_period)</f>
        <v>1</v>
      </c>
      <c r="P1183" s="79">
        <f>(Предпосылки!$E$589&lt;=End_of_period)*(Предпосылки!$E$590&gt;=Beginning_of_period)</f>
        <v>1</v>
      </c>
      <c r="Q1183" s="79">
        <f>(Предпосылки!$E$589&lt;=End_of_period)*(Предпосылки!$E$590&gt;=Beginning_of_period)</f>
        <v>1</v>
      </c>
      <c r="R1183" s="79">
        <f>(Предпосылки!$E$589&lt;=End_of_period)*(Предпосылки!$E$590&gt;=Beginning_of_period)</f>
        <v>1</v>
      </c>
      <c r="S1183" s="79">
        <f>(Предпосылки!$E$589&lt;=End_of_period)*(Предпосылки!$E$590&gt;=Beginning_of_period)</f>
        <v>1</v>
      </c>
      <c r="T1183" s="79">
        <f>(Предпосылки!$E$589&lt;=End_of_period)*(Предпосылки!$E$590&gt;=Beginning_of_period)</f>
        <v>1</v>
      </c>
      <c r="U1183" s="79">
        <f>(Предпосылки!$E$589&lt;=End_of_period)*(Предпосылки!$E$590&gt;=Beginning_of_period)</f>
        <v>1</v>
      </c>
      <c r="V1183" s="79">
        <f>(Предпосылки!$E$589&lt;=End_of_period)*(Предпосылки!$E$590&gt;=Beginning_of_period)</f>
        <v>1</v>
      </c>
      <c r="W1183" s="79">
        <f>(Предпосылки!$E$589&lt;=End_of_period)*(Предпосылки!$E$590&gt;=Beginning_of_period)</f>
        <v>1</v>
      </c>
      <c r="X1183" s="79">
        <f>(Предпосылки!$E$589&lt;=End_of_period)*(Предпосылки!$E$590&gt;=Beginning_of_period)</f>
        <v>1</v>
      </c>
      <c r="Y1183" s="79">
        <f>(Предпосылки!$E$589&lt;=End_of_period)*(Предпосылки!$E$590&gt;=Beginning_of_period)</f>
        <v>1</v>
      </c>
      <c r="Z1183" s="79">
        <f>(Предпосылки!$E$589&lt;=End_of_period)*(Предпосылки!$E$590&gt;=Beginning_of_period)</f>
        <v>1</v>
      </c>
      <c r="AA1183" s="79">
        <f>(Предпосылки!$E$589&lt;=End_of_period)*(Предпосылки!$E$590&gt;=Beginning_of_period)</f>
        <v>1</v>
      </c>
      <c r="AB1183" s="79">
        <f>(Предпосылки!$E$589&lt;=End_of_period)*(Предпосылки!$E$590&gt;=Beginning_of_period)</f>
        <v>1</v>
      </c>
      <c r="AC1183" s="79">
        <f>(Предпосылки!$E$589&lt;=End_of_period)*(Предпосылки!$E$590&gt;=Beginning_of_period)</f>
        <v>1</v>
      </c>
      <c r="AD1183" s="79">
        <f>(Предпосылки!$E$589&lt;=End_of_period)*(Предпосылки!$E$590&gt;=Beginning_of_period)</f>
        <v>1</v>
      </c>
      <c r="AE1183" s="79">
        <f>(Предпосылки!$E$589&lt;=End_of_period)*(Предпосылки!$E$590&gt;=Beginning_of_period)</f>
        <v>1</v>
      </c>
      <c r="AF1183" s="79">
        <f>(Предпосылки!$E$589&lt;=End_of_period)*(Предпосылки!$E$590&gt;=Beginning_of_period)</f>
        <v>1</v>
      </c>
      <c r="AG1183" s="79">
        <f>(Предпосылки!$E$589&lt;=End_of_period)*(Предпосылки!$E$590&gt;=Beginning_of_period)</f>
        <v>1</v>
      </c>
      <c r="AH1183" s="79">
        <f>(Предпосылки!$E$589&lt;=End_of_period)*(Предпосылки!$E$590&gt;=Beginning_of_period)</f>
        <v>1</v>
      </c>
      <c r="AI1183" s="79">
        <f>(Предпосылки!$E$589&lt;=End_of_period)*(Предпосылки!$E$590&gt;=Beginning_of_period)</f>
        <v>1</v>
      </c>
      <c r="AJ1183" s="79">
        <f>(Предпосылки!$E$589&lt;=End_of_period)*(Предпосылки!$E$590&gt;=Beginning_of_period)</f>
        <v>1</v>
      </c>
      <c r="AK1183" s="79">
        <f>(Предпосылки!$E$589&lt;=End_of_period)*(Предпосылки!$E$590&gt;=Beginning_of_period)</f>
        <v>1</v>
      </c>
      <c r="AL1183" s="79">
        <f>(Предпосылки!$E$589&lt;=End_of_period)*(Предпосылки!$E$590&gt;=Beginning_of_period)</f>
        <v>1</v>
      </c>
      <c r="AM1183" s="79">
        <f>(Предпосылки!$E$589&lt;=End_of_period)*(Предпосылки!$E$590&gt;=Beginning_of_period)</f>
        <v>1</v>
      </c>
      <c r="AN1183" s="79">
        <f>(Предпосылки!$E$589&lt;=End_of_period)*(Предпосылки!$E$590&gt;=Beginning_of_period)</f>
        <v>1</v>
      </c>
      <c r="AO1183" s="79">
        <f>(Предпосылки!$E$589&lt;=End_of_period)*(Предпосылки!$E$590&gt;=Beginning_of_period)</f>
        <v>1</v>
      </c>
      <c r="AP1183" s="79">
        <f>(Предпосылки!$E$589&lt;=End_of_period)*(Предпосылки!$E$590&gt;=Beginning_of_period)</f>
        <v>1</v>
      </c>
      <c r="AQ1183" s="79">
        <f>(Предпосылки!$E$589&lt;=End_of_period)*(Предпосылки!$E$590&gt;=Beginning_of_period)</f>
        <v>1</v>
      </c>
      <c r="AR1183" s="79">
        <f>(Предпосылки!$E$589&lt;=End_of_period)*(Предпосылки!$E$590&gt;=Beginning_of_period)</f>
        <v>1</v>
      </c>
      <c r="AS1183" s="79">
        <f>(Предпосылки!$E$589&lt;=End_of_period)*(Предпосылки!$E$590&gt;=Beginning_of_period)</f>
        <v>1</v>
      </c>
      <c r="AT1183" s="79">
        <f>(Предпосылки!$E$589&lt;=End_of_period)*(Предпосылки!$E$590&gt;=Beginning_of_period)</f>
        <v>1</v>
      </c>
      <c r="AU1183" s="79">
        <f>(Предпосылки!$E$589&lt;=End_of_period)*(Предпосылки!$E$590&gt;=Beginning_of_period)</f>
        <v>1</v>
      </c>
      <c r="AV1183" s="79">
        <f>(Предпосылки!$E$589&lt;=End_of_period)*(Предпосылки!$E$590&gt;=Beginning_of_period)</f>
        <v>1</v>
      </c>
      <c r="AW1183" s="79">
        <f>(Предпосылки!$E$589&lt;=End_of_period)*(Предпосылки!$E$590&gt;=Beginning_of_period)</f>
        <v>1</v>
      </c>
      <c r="AX1183" s="79">
        <f>(Предпосылки!$E$589&lt;=End_of_period)*(Предпосылки!$E$590&gt;=Beginning_of_period)</f>
        <v>1</v>
      </c>
      <c r="AY1183" s="79">
        <f>(Предпосылки!$E$589&lt;=End_of_period)*(Предпосылки!$E$590&gt;=Beginning_of_period)</f>
        <v>1</v>
      </c>
      <c r="AZ1183" s="79">
        <f>(Предпосылки!$E$589&lt;=End_of_period)*(Предпосылки!$E$590&gt;=Beginning_of_period)</f>
        <v>1</v>
      </c>
      <c r="BA1183" s="79">
        <f>(Предпосылки!$E$589&lt;=End_of_period)*(Предпосылки!$E$590&gt;=Beginning_of_period)</f>
        <v>1</v>
      </c>
      <c r="BB1183" s="79">
        <f>(Предпосылки!$E$589&lt;=End_of_period)*(Предпосылки!$E$590&gt;=Beginning_of_period)</f>
        <v>1</v>
      </c>
      <c r="BC1183" s="79">
        <f>(Предпосылки!$E$589&lt;=End_of_period)*(Предпосылки!$E$590&gt;=Beginning_of_period)</f>
        <v>1</v>
      </c>
      <c r="BD1183" s="79">
        <f>(Предпосылки!$E$589&lt;=End_of_period)*(Предпосылки!$E$590&gt;=Beginning_of_period)</f>
        <v>1</v>
      </c>
      <c r="BE1183" s="79">
        <f>(Предпосылки!$E$589&lt;=End_of_period)*(Предпосылки!$E$590&gt;=Beginning_of_period)</f>
        <v>1</v>
      </c>
      <c r="BF1183" s="79">
        <f>(Предпосылки!$E$589&lt;=End_of_period)*(Предпосылки!$E$590&gt;=Beginning_of_period)</f>
        <v>1</v>
      </c>
      <c r="BG1183" s="79">
        <f>(Предпосылки!$E$589&lt;=End_of_period)*(Предпосылки!$E$590&gt;=Beginning_of_period)</f>
        <v>1</v>
      </c>
      <c r="BH1183" s="79">
        <f>(Предпосылки!$E$589&lt;=End_of_period)*(Предпосылки!$E$590&gt;=Beginning_of_period)</f>
        <v>0</v>
      </c>
      <c r="BI1183" s="79">
        <f>(Предпосылки!$E$589&lt;=End_of_period)*(Предпосылки!$E$590&gt;=Beginning_of_period)</f>
        <v>0</v>
      </c>
      <c r="BJ1183" s="79">
        <f>(Предпосылки!$E$589&lt;=End_of_period)*(Предпосылки!$E$590&gt;=Beginning_of_period)</f>
        <v>0</v>
      </c>
      <c r="BK1183" s="79">
        <f>(Предпосылки!$E$589&lt;=End_of_period)*(Предпосылки!$E$590&gt;=Beginning_of_period)</f>
        <v>0</v>
      </c>
      <c r="BL1183" s="79">
        <f>(Предпосылки!$E$589&lt;=End_of_period)*(Предпосылки!$E$590&gt;=Beginning_of_period)</f>
        <v>0</v>
      </c>
      <c r="BM1183" s="79">
        <f>(Предпосылки!$E$589&lt;=End_of_period)*(Предпосылки!$E$590&gt;=Beginning_of_period)</f>
        <v>0</v>
      </c>
      <c r="BN1183" s="79">
        <f>(Предпосылки!$E$589&lt;=End_of_period)*(Предпосылки!$E$590&gt;=Beginning_of_period)</f>
        <v>0</v>
      </c>
      <c r="BO1183" s="79">
        <f>(Предпосылки!$E$589&lt;=End_of_period)*(Предпосылки!$E$590&gt;=Beginning_of_period)</f>
        <v>0</v>
      </c>
      <c r="BP1183" s="79">
        <f>(Предпосылки!$E$589&lt;=End_of_period)*(Предпосылки!$E$590&gt;=Beginning_of_period)</f>
        <v>0</v>
      </c>
      <c r="BQ1183" s="79">
        <f>(Предпосылки!$E$589&lt;=End_of_period)*(Предпосылки!$E$590&gt;=Beginning_of_period)</f>
        <v>0</v>
      </c>
      <c r="BR1183" s="79">
        <f>(Предпосылки!$E$589&lt;=End_of_period)*(Предпосылки!$E$590&gt;=Beginning_of_period)</f>
        <v>0</v>
      </c>
      <c r="BS1183" s="79">
        <f>(Предпосылки!$E$589&lt;=End_of_period)*(Предпосылки!$E$590&gt;=Beginning_of_period)</f>
        <v>0</v>
      </c>
      <c r="BT1183" s="79">
        <f>(Предпосылки!$E$589&lt;=End_of_period)*(Предпосылки!$E$590&gt;=Beginning_of_period)</f>
        <v>0</v>
      </c>
      <c r="BU1183" s="79">
        <f>(Предпосылки!$E$589&lt;=End_of_period)*(Предпосылки!$E$590&gt;=Beginning_of_period)</f>
        <v>0</v>
      </c>
      <c r="BV1183" s="79">
        <f>(Предпосылки!$E$589&lt;=End_of_period)*(Предпосылки!$E$590&gt;=Beginning_of_period)</f>
        <v>0</v>
      </c>
      <c r="BW1183" s="79">
        <f>(Предпосылки!$E$589&lt;=End_of_period)*(Предпосылки!$E$590&gt;=Beginning_of_period)</f>
        <v>0</v>
      </c>
      <c r="BX1183" s="79">
        <f>(Предпосылки!$E$589&lt;=End_of_period)*(Предпосылки!$E$590&gt;=Beginning_of_period)</f>
        <v>0</v>
      </c>
      <c r="BY1183" s="79">
        <f>(Предпосылки!$E$589&lt;=End_of_period)*(Предпосылки!$E$590&gt;=Beginning_of_period)</f>
        <v>0</v>
      </c>
      <c r="BZ1183" s="79">
        <f>(Предпосылки!$E$589&lt;=End_of_period)*(Предпосылки!$E$590&gt;=Beginning_of_period)</f>
        <v>0</v>
      </c>
      <c r="CA1183" s="79">
        <f>(Предпосылки!$E$589&lt;=End_of_period)*(Предпосылки!$E$590&gt;=Beginning_of_period)</f>
        <v>0</v>
      </c>
      <c r="CB1183" s="79">
        <f>(Предпосылки!$E$589&lt;=End_of_period)*(Предпосылки!$E$590&gt;=Beginning_of_period)</f>
        <v>0</v>
      </c>
      <c r="CC1183" s="79">
        <f>(Предпосылки!$E$589&lt;=End_of_period)*(Предпосылки!$E$590&gt;=Beginning_of_period)</f>
        <v>0</v>
      </c>
      <c r="CD1183" s="79">
        <f>(Предпосылки!$E$589&lt;=End_of_period)*(Предпосылки!$E$590&gt;=Beginning_of_period)</f>
        <v>0</v>
      </c>
      <c r="CE1183" s="79">
        <f>(Предпосылки!$E$589&lt;=End_of_period)*(Предпосылки!$E$590&gt;=Beginning_of_period)</f>
        <v>0</v>
      </c>
      <c r="CF1183" s="79">
        <f>(Предпосылки!$E$589&lt;=End_of_period)*(Предпосылки!$E$590&gt;=Beginning_of_period)</f>
        <v>0</v>
      </c>
      <c r="CG1183" s="79">
        <f>(Предпосылки!$E$589&lt;=End_of_period)*(Предпосылки!$E$590&gt;=Beginning_of_period)</f>
        <v>0</v>
      </c>
      <c r="CH1183" s="79">
        <f>(Предпосылки!$E$589&lt;=End_of_period)*(Предпосылки!$E$590&gt;=Beginning_of_period)</f>
        <v>0</v>
      </c>
      <c r="CI1183" s="79">
        <f>(Предпосылки!$E$589&lt;=End_of_period)*(Предпосылки!$E$590&gt;=Beginning_of_period)</f>
        <v>0</v>
      </c>
      <c r="CJ1183" s="79">
        <f>(Предпосылки!$E$589&lt;=End_of_period)*(Предпосылки!$E$590&gt;=Beginning_of_period)</f>
        <v>0</v>
      </c>
      <c r="CK1183" s="79">
        <f>(Предпосылки!$E$589&lt;=End_of_period)*(Предпосылки!$E$590&gt;=Beginning_of_period)</f>
        <v>0</v>
      </c>
      <c r="CL1183" s="79">
        <f>(Предпосылки!$E$589&lt;=End_of_period)*(Предпосылки!$E$590&gt;=Beginning_of_period)</f>
        <v>0</v>
      </c>
      <c r="CM1183" s="79">
        <f>(Предпосылки!$E$589&lt;=End_of_period)*(Предпосылки!$E$590&gt;=Beginning_of_period)</f>
        <v>0</v>
      </c>
      <c r="CN1183" s="79">
        <f>(Предпосылки!$E$589&lt;=End_of_period)*(Предпосылки!$E$590&gt;=Beginning_of_period)</f>
        <v>0</v>
      </c>
      <c r="CO1183" s="79">
        <f>(Предпосылки!$E$589&lt;=End_of_period)*(Предпосылки!$E$590&gt;=Beginning_of_period)</f>
        <v>0</v>
      </c>
    </row>
    <row r="1184" spans="1:93">
      <c r="A1184" s="10"/>
      <c r="B1184" s="10"/>
      <c r="C1184" s="17" t="s">
        <v>202</v>
      </c>
      <c r="D1184" s="10"/>
      <c r="E1184" s="62"/>
      <c r="F1184" s="10"/>
      <c r="G1184" s="11" t="str">
        <f>MIN(L1184:CO1184) &amp; ".." &amp; MAX(L1184:CO1184)</f>
        <v>0..1</v>
      </c>
      <c r="H1184" s="10"/>
      <c r="I1184" s="10"/>
      <c r="J1184" s="10"/>
      <c r="K1184" s="10"/>
      <c r="L1184" s="79">
        <f>(Предпосылки!$E$588&lt;=End_of_period)*(Предпосылки!$E$590&gt;=End_of_period)</f>
        <v>0</v>
      </c>
      <c r="M1184" s="79">
        <f>(Предпосылки!$E$588&lt;=End_of_period)*(Предпосылки!$E$590&gt;=End_of_period)</f>
        <v>0</v>
      </c>
      <c r="N1184" s="79">
        <f>(Предпосылки!$E$588&lt;=End_of_period)*(Предпосылки!$E$590&gt;=End_of_period)</f>
        <v>0</v>
      </c>
      <c r="O1184" s="79">
        <f>(Предпосылки!$E$588&lt;=End_of_period)*(Предпосылки!$E$590&gt;=End_of_period)</f>
        <v>0</v>
      </c>
      <c r="P1184" s="79">
        <f>(Предпосылки!$E$588&lt;=End_of_period)*(Предпосылки!$E$590&gt;=End_of_period)</f>
        <v>0</v>
      </c>
      <c r="Q1184" s="79">
        <f>(Предпосылки!$E$588&lt;=End_of_period)*(Предпосылки!$E$590&gt;=End_of_period)</f>
        <v>0</v>
      </c>
      <c r="R1184" s="79">
        <f>(Предпосылки!$E$588&lt;=End_of_period)*(Предпосылки!$E$590&gt;=End_of_period)</f>
        <v>0</v>
      </c>
      <c r="S1184" s="79">
        <f>(Предпосылки!$E$588&lt;=End_of_period)*(Предпосылки!$E$590&gt;=End_of_period)</f>
        <v>0</v>
      </c>
      <c r="T1184" s="79">
        <f>(Предпосылки!$E$588&lt;=End_of_period)*(Предпосылки!$E$590&gt;=End_of_period)</f>
        <v>0</v>
      </c>
      <c r="U1184" s="79">
        <f>(Предпосылки!$E$588&lt;=End_of_period)*(Предпосылки!$E$590&gt;=End_of_period)</f>
        <v>0</v>
      </c>
      <c r="V1184" s="79">
        <f>(Предпосылки!$E$588&lt;=End_of_period)*(Предпосылки!$E$590&gt;=End_of_period)</f>
        <v>0</v>
      </c>
      <c r="W1184" s="79">
        <f>(Предпосылки!$E$588&lt;=End_of_period)*(Предпосылки!$E$590&gt;=End_of_period)</f>
        <v>0</v>
      </c>
      <c r="X1184" s="79">
        <f>(Предпосылки!$E$588&lt;=End_of_period)*(Предпосылки!$E$590&gt;=End_of_period)</f>
        <v>0</v>
      </c>
      <c r="Y1184" s="79">
        <f>(Предпосылки!$E$588&lt;=End_of_period)*(Предпосылки!$E$590&gt;=End_of_period)</f>
        <v>0</v>
      </c>
      <c r="Z1184" s="79">
        <f>(Предпосылки!$E$588&lt;=End_of_period)*(Предпосылки!$E$590&gt;=End_of_period)</f>
        <v>0</v>
      </c>
      <c r="AA1184" s="79">
        <f>(Предпосылки!$E$588&lt;=End_of_period)*(Предпосылки!$E$590&gt;=End_of_period)</f>
        <v>0</v>
      </c>
      <c r="AB1184" s="79">
        <f>(Предпосылки!$E$588&lt;=End_of_period)*(Предпосылки!$E$590&gt;=End_of_period)</f>
        <v>0</v>
      </c>
      <c r="AC1184" s="79">
        <f>(Предпосылки!$E$588&lt;=End_of_period)*(Предпосылки!$E$590&gt;=End_of_period)</f>
        <v>1</v>
      </c>
      <c r="AD1184" s="79">
        <f>(Предпосылки!$E$588&lt;=End_of_period)*(Предпосылки!$E$590&gt;=End_of_period)</f>
        <v>1</v>
      </c>
      <c r="AE1184" s="79">
        <f>(Предпосылки!$E$588&lt;=End_of_period)*(Предпосылки!$E$590&gt;=End_of_period)</f>
        <v>1</v>
      </c>
      <c r="AF1184" s="79">
        <f>(Предпосылки!$E$588&lt;=End_of_period)*(Предпосылки!$E$590&gt;=End_of_period)</f>
        <v>1</v>
      </c>
      <c r="AG1184" s="79">
        <f>(Предпосылки!$E$588&lt;=End_of_period)*(Предпосылки!$E$590&gt;=End_of_period)</f>
        <v>1</v>
      </c>
      <c r="AH1184" s="79">
        <f>(Предпосылки!$E$588&lt;=End_of_period)*(Предпосылки!$E$590&gt;=End_of_period)</f>
        <v>1</v>
      </c>
      <c r="AI1184" s="79">
        <f>(Предпосылки!$E$588&lt;=End_of_period)*(Предпосылки!$E$590&gt;=End_of_period)</f>
        <v>1</v>
      </c>
      <c r="AJ1184" s="79">
        <f>(Предпосылки!$E$588&lt;=End_of_period)*(Предпосылки!$E$590&gt;=End_of_period)</f>
        <v>1</v>
      </c>
      <c r="AK1184" s="79">
        <f>(Предпосылки!$E$588&lt;=End_of_period)*(Предпосылки!$E$590&gt;=End_of_period)</f>
        <v>1</v>
      </c>
      <c r="AL1184" s="79">
        <f>(Предпосылки!$E$588&lt;=End_of_period)*(Предпосылки!$E$590&gt;=End_of_period)</f>
        <v>1</v>
      </c>
      <c r="AM1184" s="79">
        <f>(Предпосылки!$E$588&lt;=End_of_period)*(Предпосылки!$E$590&gt;=End_of_period)</f>
        <v>1</v>
      </c>
      <c r="AN1184" s="79">
        <f>(Предпосылки!$E$588&lt;=End_of_period)*(Предпосылки!$E$590&gt;=End_of_period)</f>
        <v>1</v>
      </c>
      <c r="AO1184" s="79">
        <f>(Предпосылки!$E$588&lt;=End_of_period)*(Предпосылки!$E$590&gt;=End_of_period)</f>
        <v>1</v>
      </c>
      <c r="AP1184" s="79">
        <f>(Предпосылки!$E$588&lt;=End_of_period)*(Предпосылки!$E$590&gt;=End_of_period)</f>
        <v>1</v>
      </c>
      <c r="AQ1184" s="79">
        <f>(Предпосылки!$E$588&lt;=End_of_period)*(Предпосылки!$E$590&gt;=End_of_period)</f>
        <v>1</v>
      </c>
      <c r="AR1184" s="79">
        <f>(Предпосылки!$E$588&lt;=End_of_period)*(Предпосылки!$E$590&gt;=End_of_period)</f>
        <v>1</v>
      </c>
      <c r="AS1184" s="79">
        <f>(Предпосылки!$E$588&lt;=End_of_period)*(Предпосылки!$E$590&gt;=End_of_period)</f>
        <v>1</v>
      </c>
      <c r="AT1184" s="79">
        <f>(Предпосылки!$E$588&lt;=End_of_period)*(Предпосылки!$E$590&gt;=End_of_period)</f>
        <v>1</v>
      </c>
      <c r="AU1184" s="79">
        <f>(Предпосылки!$E$588&lt;=End_of_period)*(Предпосылки!$E$590&gt;=End_of_period)</f>
        <v>1</v>
      </c>
      <c r="AV1184" s="79">
        <f>(Предпосылки!$E$588&lt;=End_of_period)*(Предпосылки!$E$590&gt;=End_of_period)</f>
        <v>1</v>
      </c>
      <c r="AW1184" s="79">
        <f>(Предпосылки!$E$588&lt;=End_of_period)*(Предпосылки!$E$590&gt;=End_of_period)</f>
        <v>1</v>
      </c>
      <c r="AX1184" s="79">
        <f>(Предпосылки!$E$588&lt;=End_of_period)*(Предпосылки!$E$590&gt;=End_of_period)</f>
        <v>1</v>
      </c>
      <c r="AY1184" s="79">
        <f>(Предпосылки!$E$588&lt;=End_of_period)*(Предпосылки!$E$590&gt;=End_of_period)</f>
        <v>1</v>
      </c>
      <c r="AZ1184" s="79">
        <f>(Предпосылки!$E$588&lt;=End_of_period)*(Предпосылки!$E$590&gt;=End_of_period)</f>
        <v>1</v>
      </c>
      <c r="BA1184" s="79">
        <f>(Предпосылки!$E$588&lt;=End_of_period)*(Предпосылки!$E$590&gt;=End_of_period)</f>
        <v>1</v>
      </c>
      <c r="BB1184" s="79">
        <f>(Предпосылки!$E$588&lt;=End_of_period)*(Предпосылки!$E$590&gt;=End_of_period)</f>
        <v>1</v>
      </c>
      <c r="BC1184" s="79">
        <f>(Предпосылки!$E$588&lt;=End_of_period)*(Предпосылки!$E$590&gt;=End_of_period)</f>
        <v>1</v>
      </c>
      <c r="BD1184" s="79">
        <f>(Предпосылки!$E$588&lt;=End_of_period)*(Предпосылки!$E$590&gt;=End_of_period)</f>
        <v>1</v>
      </c>
      <c r="BE1184" s="79">
        <f>(Предпосылки!$E$588&lt;=End_of_period)*(Предпосылки!$E$590&gt;=End_of_period)</f>
        <v>1</v>
      </c>
      <c r="BF1184" s="79">
        <f>(Предпосылки!$E$588&lt;=End_of_period)*(Предпосылки!$E$590&gt;=End_of_period)</f>
        <v>1</v>
      </c>
      <c r="BG1184" s="79">
        <f>(Предпосылки!$E$588&lt;=End_of_period)*(Предпосылки!$E$590&gt;=End_of_period)</f>
        <v>1</v>
      </c>
      <c r="BH1184" s="79">
        <f>(Предпосылки!$E$588&lt;=End_of_period)*(Предпосылки!$E$590&gt;=End_of_period)</f>
        <v>0</v>
      </c>
      <c r="BI1184" s="79">
        <f>(Предпосылки!$E$588&lt;=End_of_period)*(Предпосылки!$E$590&gt;=End_of_period)</f>
        <v>0</v>
      </c>
      <c r="BJ1184" s="79">
        <f>(Предпосылки!$E$588&lt;=End_of_period)*(Предпосылки!$E$590&gt;=End_of_period)</f>
        <v>0</v>
      </c>
      <c r="BK1184" s="79">
        <f>(Предпосылки!$E$588&lt;=End_of_period)*(Предпосылки!$E$590&gt;=End_of_period)</f>
        <v>0</v>
      </c>
      <c r="BL1184" s="79">
        <f>(Предпосылки!$E$588&lt;=End_of_period)*(Предпосылки!$E$590&gt;=End_of_period)</f>
        <v>0</v>
      </c>
      <c r="BM1184" s="79">
        <f>(Предпосылки!$E$588&lt;=End_of_period)*(Предпосылки!$E$590&gt;=End_of_period)</f>
        <v>0</v>
      </c>
      <c r="BN1184" s="79">
        <f>(Предпосылки!$E$588&lt;=End_of_period)*(Предпосылки!$E$590&gt;=End_of_period)</f>
        <v>0</v>
      </c>
      <c r="BO1184" s="79">
        <f>(Предпосылки!$E$588&lt;=End_of_period)*(Предпосылки!$E$590&gt;=End_of_period)</f>
        <v>0</v>
      </c>
      <c r="BP1184" s="79">
        <f>(Предпосылки!$E$588&lt;=End_of_period)*(Предпосылки!$E$590&gt;=End_of_period)</f>
        <v>0</v>
      </c>
      <c r="BQ1184" s="79">
        <f>(Предпосылки!$E$588&lt;=End_of_period)*(Предпосылки!$E$590&gt;=End_of_period)</f>
        <v>0</v>
      </c>
      <c r="BR1184" s="79">
        <f>(Предпосылки!$E$588&lt;=End_of_period)*(Предпосылки!$E$590&gt;=End_of_period)</f>
        <v>0</v>
      </c>
      <c r="BS1184" s="79">
        <f>(Предпосылки!$E$588&lt;=End_of_period)*(Предпосылки!$E$590&gt;=End_of_period)</f>
        <v>0</v>
      </c>
      <c r="BT1184" s="79">
        <f>(Предпосылки!$E$588&lt;=End_of_period)*(Предпосылки!$E$590&gt;=End_of_period)</f>
        <v>0</v>
      </c>
      <c r="BU1184" s="79">
        <f>(Предпосылки!$E$588&lt;=End_of_period)*(Предпосылки!$E$590&gt;=End_of_period)</f>
        <v>0</v>
      </c>
      <c r="BV1184" s="79">
        <f>(Предпосылки!$E$588&lt;=End_of_period)*(Предпосылки!$E$590&gt;=End_of_period)</f>
        <v>0</v>
      </c>
      <c r="BW1184" s="79">
        <f>(Предпосылки!$E$588&lt;=End_of_period)*(Предпосылки!$E$590&gt;=End_of_period)</f>
        <v>0</v>
      </c>
      <c r="BX1184" s="79">
        <f>(Предпосылки!$E$588&lt;=End_of_period)*(Предпосылки!$E$590&gt;=End_of_period)</f>
        <v>0</v>
      </c>
      <c r="BY1184" s="79">
        <f>(Предпосылки!$E$588&lt;=End_of_period)*(Предпосылки!$E$590&gt;=End_of_period)</f>
        <v>0</v>
      </c>
      <c r="BZ1184" s="79">
        <f>(Предпосылки!$E$588&lt;=End_of_period)*(Предпосылки!$E$590&gt;=End_of_period)</f>
        <v>0</v>
      </c>
      <c r="CA1184" s="79">
        <f>(Предпосылки!$E$588&lt;=End_of_period)*(Предпосылки!$E$590&gt;=End_of_period)</f>
        <v>0</v>
      </c>
      <c r="CB1184" s="79">
        <f>(Предпосылки!$E$588&lt;=End_of_period)*(Предпосылки!$E$590&gt;=End_of_period)</f>
        <v>0</v>
      </c>
      <c r="CC1184" s="79">
        <f>(Предпосылки!$E$588&lt;=End_of_period)*(Предпосылки!$E$590&gt;=End_of_period)</f>
        <v>0</v>
      </c>
      <c r="CD1184" s="79">
        <f>(Предпосылки!$E$588&lt;=End_of_period)*(Предпосылки!$E$590&gt;=End_of_period)</f>
        <v>0</v>
      </c>
      <c r="CE1184" s="79">
        <f>(Предпосылки!$E$588&lt;=End_of_period)*(Предпосылки!$E$590&gt;=End_of_period)</f>
        <v>0</v>
      </c>
      <c r="CF1184" s="79">
        <f>(Предпосылки!$E$588&lt;=End_of_period)*(Предпосылки!$E$590&gt;=End_of_period)</f>
        <v>0</v>
      </c>
      <c r="CG1184" s="79">
        <f>(Предпосылки!$E$588&lt;=End_of_period)*(Предпосылки!$E$590&gt;=End_of_period)</f>
        <v>0</v>
      </c>
      <c r="CH1184" s="79">
        <f>(Предпосылки!$E$588&lt;=End_of_period)*(Предпосылки!$E$590&gt;=End_of_period)</f>
        <v>0</v>
      </c>
      <c r="CI1184" s="79">
        <f>(Предпосылки!$E$588&lt;=End_of_period)*(Предпосылки!$E$590&gt;=End_of_period)</f>
        <v>0</v>
      </c>
      <c r="CJ1184" s="79">
        <f>(Предпосылки!$E$588&lt;=End_of_period)*(Предпосылки!$E$590&gt;=End_of_period)</f>
        <v>0</v>
      </c>
      <c r="CK1184" s="79">
        <f>(Предпосылки!$E$588&lt;=End_of_period)*(Предпосылки!$E$590&gt;=End_of_period)</f>
        <v>0</v>
      </c>
      <c r="CL1184" s="79">
        <f>(Предпосылки!$E$588&lt;=End_of_period)*(Предпосылки!$E$590&gt;=End_of_period)</f>
        <v>0</v>
      </c>
      <c r="CM1184" s="79">
        <f>(Предпосылки!$E$588&lt;=End_of_period)*(Предпосылки!$E$590&gt;=End_of_period)</f>
        <v>0</v>
      </c>
      <c r="CN1184" s="79">
        <f>(Предпосылки!$E$588&lt;=End_of_period)*(Предпосылки!$E$590&gt;=End_of_period)</f>
        <v>0</v>
      </c>
      <c r="CO1184" s="79">
        <f>(Предпосылки!$E$588&lt;=End_of_period)*(Предпосылки!$E$590&gt;=End_of_period)</f>
        <v>0</v>
      </c>
    </row>
    <row r="1185" spans="1:93">
      <c r="A1185" s="10"/>
      <c r="B1185" s="10"/>
      <c r="C1185" s="17" t="s">
        <v>342</v>
      </c>
      <c r="D1185" s="10"/>
      <c r="E1185" s="62"/>
      <c r="F1185" s="10"/>
      <c r="G1185" s="11" t="str">
        <f>MIN(L1185:CO1185) &amp; ".." &amp; MAX(L1185:CO1185)</f>
        <v>0..31</v>
      </c>
      <c r="H1185" s="10"/>
      <c r="I1185" s="10"/>
      <c r="J1185" s="10"/>
      <c r="K1185" s="10"/>
      <c r="L1185" s="10">
        <f>MAX(SUM(L1184:$CO1184),0)*L1184</f>
        <v>0</v>
      </c>
      <c r="M1185" s="10">
        <f>MAX(SUM(M1184:$CO1184),0)*M1184</f>
        <v>0</v>
      </c>
      <c r="N1185" s="10">
        <f>MAX(SUM(N1184:$CO1184),0)*N1184</f>
        <v>0</v>
      </c>
      <c r="O1185" s="10">
        <f>MAX(SUM(O1184:$CO1184),0)*O1184</f>
        <v>0</v>
      </c>
      <c r="P1185" s="10">
        <f>MAX(SUM(P1184:$CO1184),0)*P1184</f>
        <v>0</v>
      </c>
      <c r="Q1185" s="10">
        <f>MAX(SUM(Q1184:$CO1184),0)*Q1184</f>
        <v>0</v>
      </c>
      <c r="R1185" s="10">
        <f>MAX(SUM(R1184:$CO1184),0)*R1184</f>
        <v>0</v>
      </c>
      <c r="S1185" s="10">
        <f>MAX(SUM(S1184:$CO1184),0)*S1184</f>
        <v>0</v>
      </c>
      <c r="T1185" s="10">
        <f>MAX(SUM(T1184:$CO1184),0)*T1184</f>
        <v>0</v>
      </c>
      <c r="U1185" s="10">
        <f>MAX(SUM(U1184:$CO1184),0)*U1184</f>
        <v>0</v>
      </c>
      <c r="V1185" s="10">
        <f>MAX(SUM(V1184:$CO1184),0)*V1184</f>
        <v>0</v>
      </c>
      <c r="W1185" s="10">
        <f>MAX(SUM(W1184:$CO1184),0)*W1184</f>
        <v>0</v>
      </c>
      <c r="X1185" s="10">
        <f>MAX(SUM(X1184:$CO1184),0)*X1184</f>
        <v>0</v>
      </c>
      <c r="Y1185" s="10">
        <f>MAX(SUM(Y1184:$CO1184),0)*Y1184</f>
        <v>0</v>
      </c>
      <c r="Z1185" s="10">
        <f>MAX(SUM(Z1184:$CO1184),0)*Z1184</f>
        <v>0</v>
      </c>
      <c r="AA1185" s="10">
        <f>MAX(SUM(AA1184:$CO1184),0)*AA1184</f>
        <v>0</v>
      </c>
      <c r="AB1185" s="10">
        <f>MAX(SUM(AB1184:$CO1184),0)*AB1184</f>
        <v>0</v>
      </c>
      <c r="AC1185" s="10">
        <f>MAX(SUM(AC1184:$CO1184),0)*AC1184</f>
        <v>31</v>
      </c>
      <c r="AD1185" s="10">
        <f>MAX(SUM(AD1184:$CO1184),0)*AD1184</f>
        <v>30</v>
      </c>
      <c r="AE1185" s="10">
        <f>MAX(SUM(AE1184:$CO1184),0)*AE1184</f>
        <v>29</v>
      </c>
      <c r="AF1185" s="10">
        <f>MAX(SUM(AF1184:$CO1184),0)*AF1184</f>
        <v>28</v>
      </c>
      <c r="AG1185" s="10">
        <f>MAX(SUM(AG1184:$CO1184),0)*AG1184</f>
        <v>27</v>
      </c>
      <c r="AH1185" s="10">
        <f>MAX(SUM(AH1184:$CO1184),0)*AH1184</f>
        <v>26</v>
      </c>
      <c r="AI1185" s="10">
        <f>MAX(SUM(AI1184:$CO1184),0)*AI1184</f>
        <v>25</v>
      </c>
      <c r="AJ1185" s="10">
        <f>MAX(SUM(AJ1184:$CO1184),0)*AJ1184</f>
        <v>24</v>
      </c>
      <c r="AK1185" s="10">
        <f>MAX(SUM(AK1184:$CO1184),0)*AK1184</f>
        <v>23</v>
      </c>
      <c r="AL1185" s="10">
        <f>MAX(SUM(AL1184:$CO1184),0)*AL1184</f>
        <v>22</v>
      </c>
      <c r="AM1185" s="10">
        <f>MAX(SUM(AM1184:$CO1184),0)*AM1184</f>
        <v>21</v>
      </c>
      <c r="AN1185" s="10">
        <f>MAX(SUM(AN1184:$CO1184),0)*AN1184</f>
        <v>20</v>
      </c>
      <c r="AO1185" s="10">
        <f>MAX(SUM(AO1184:$CO1184),0)*AO1184</f>
        <v>19</v>
      </c>
      <c r="AP1185" s="10">
        <f>MAX(SUM(AP1184:$CO1184),0)*AP1184</f>
        <v>18</v>
      </c>
      <c r="AQ1185" s="10">
        <f>MAX(SUM(AQ1184:$CO1184),0)*AQ1184</f>
        <v>17</v>
      </c>
      <c r="AR1185" s="10">
        <f>MAX(SUM(AR1184:$CO1184),0)*AR1184</f>
        <v>16</v>
      </c>
      <c r="AS1185" s="10">
        <f>MAX(SUM(AS1184:$CO1184),0)*AS1184</f>
        <v>15</v>
      </c>
      <c r="AT1185" s="10">
        <f>MAX(SUM(AT1184:$CO1184),0)*AT1184</f>
        <v>14</v>
      </c>
      <c r="AU1185" s="10">
        <f>MAX(SUM(AU1184:$CO1184),0)*AU1184</f>
        <v>13</v>
      </c>
      <c r="AV1185" s="10">
        <f>MAX(SUM(AV1184:$CO1184),0)*AV1184</f>
        <v>12</v>
      </c>
      <c r="AW1185" s="10">
        <f>MAX(SUM(AW1184:$CO1184),0)*AW1184</f>
        <v>11</v>
      </c>
      <c r="AX1185" s="10">
        <f>MAX(SUM(AX1184:$CO1184),0)*AX1184</f>
        <v>10</v>
      </c>
      <c r="AY1185" s="10">
        <f>MAX(SUM(AY1184:$CO1184),0)*AY1184</f>
        <v>9</v>
      </c>
      <c r="AZ1185" s="10">
        <f>MAX(SUM(AZ1184:$CO1184),0)*AZ1184</f>
        <v>8</v>
      </c>
      <c r="BA1185" s="10">
        <f>MAX(SUM(BA1184:$CO1184),0)*BA1184</f>
        <v>7</v>
      </c>
      <c r="BB1185" s="10">
        <f>MAX(SUM(BB1184:$CO1184),0)*BB1184</f>
        <v>6</v>
      </c>
      <c r="BC1185" s="10">
        <f>MAX(SUM(BC1184:$CO1184),0)*BC1184</f>
        <v>5</v>
      </c>
      <c r="BD1185" s="10">
        <f>MAX(SUM(BD1184:$CO1184),0)*BD1184</f>
        <v>4</v>
      </c>
      <c r="BE1185" s="10">
        <f>MAX(SUM(BE1184:$CO1184),0)*BE1184</f>
        <v>3</v>
      </c>
      <c r="BF1185" s="10">
        <f>MAX(SUM(BF1184:$CO1184),0)*BF1184</f>
        <v>2</v>
      </c>
      <c r="BG1185" s="10">
        <f>MAX(SUM(BG1184:$CO1184),0)*BG1184</f>
        <v>1</v>
      </c>
      <c r="BH1185" s="10">
        <f>MAX(SUM(BH1184:$CO1184),0)*BH1184</f>
        <v>0</v>
      </c>
      <c r="BI1185" s="10">
        <f>MAX(SUM(BI1184:$CO1184),0)*BI1184</f>
        <v>0</v>
      </c>
      <c r="BJ1185" s="10">
        <f>MAX(SUM(BJ1184:$CO1184),0)*BJ1184</f>
        <v>0</v>
      </c>
      <c r="BK1185" s="10">
        <f>MAX(SUM(BK1184:$CO1184),0)*BK1184</f>
        <v>0</v>
      </c>
      <c r="BL1185" s="10">
        <f>MAX(SUM(BL1184:$CO1184),0)*BL1184</f>
        <v>0</v>
      </c>
      <c r="BM1185" s="10">
        <f>MAX(SUM(BM1184:$CO1184),0)*BM1184</f>
        <v>0</v>
      </c>
      <c r="BN1185" s="10">
        <f>MAX(SUM(BN1184:$CO1184),0)*BN1184</f>
        <v>0</v>
      </c>
      <c r="BO1185" s="10">
        <f>MAX(SUM(BO1184:$CO1184),0)*BO1184</f>
        <v>0</v>
      </c>
      <c r="BP1185" s="10">
        <f>MAX(SUM(BP1184:$CO1184),0)*BP1184</f>
        <v>0</v>
      </c>
      <c r="BQ1185" s="10">
        <f>MAX(SUM(BQ1184:$CO1184),0)*BQ1184</f>
        <v>0</v>
      </c>
      <c r="BR1185" s="10">
        <f>MAX(SUM(BR1184:$CO1184),0)*BR1184</f>
        <v>0</v>
      </c>
      <c r="BS1185" s="10">
        <f>MAX(SUM(BS1184:$CO1184),0)*BS1184</f>
        <v>0</v>
      </c>
      <c r="BT1185" s="10">
        <f>MAX(SUM(BT1184:$CO1184),0)*BT1184</f>
        <v>0</v>
      </c>
      <c r="BU1185" s="10">
        <f>MAX(SUM(BU1184:$CO1184),0)*BU1184</f>
        <v>0</v>
      </c>
      <c r="BV1185" s="10">
        <f>MAX(SUM(BV1184:$CO1184),0)*BV1184</f>
        <v>0</v>
      </c>
      <c r="BW1185" s="10">
        <f>MAX(SUM(BW1184:$CO1184),0)*BW1184</f>
        <v>0</v>
      </c>
      <c r="BX1185" s="10">
        <f>MAX(SUM(BX1184:$CO1184),0)*BX1184</f>
        <v>0</v>
      </c>
      <c r="BY1185" s="10">
        <f>MAX(SUM(BY1184:$CO1184),0)*BY1184</f>
        <v>0</v>
      </c>
      <c r="BZ1185" s="10">
        <f>MAX(SUM(BZ1184:$CO1184),0)*BZ1184</f>
        <v>0</v>
      </c>
      <c r="CA1185" s="10">
        <f>MAX(SUM(CA1184:$CO1184),0)*CA1184</f>
        <v>0</v>
      </c>
      <c r="CB1185" s="10">
        <f>MAX(SUM(CB1184:$CO1184),0)*CB1184</f>
        <v>0</v>
      </c>
      <c r="CC1185" s="10">
        <f>MAX(SUM(CC1184:$CO1184),0)*CC1184</f>
        <v>0</v>
      </c>
      <c r="CD1185" s="10">
        <f>MAX(SUM(CD1184:$CO1184),0)*CD1184</f>
        <v>0</v>
      </c>
      <c r="CE1185" s="10">
        <f>MAX(SUM(CE1184:$CO1184),0)*CE1184</f>
        <v>0</v>
      </c>
      <c r="CF1185" s="10">
        <f>MAX(SUM(CF1184:$CO1184),0)*CF1184</f>
        <v>0</v>
      </c>
      <c r="CG1185" s="10">
        <f>MAX(SUM(CG1184:$CO1184),0)*CG1184</f>
        <v>0</v>
      </c>
      <c r="CH1185" s="10">
        <f>MAX(SUM(CH1184:$CO1184),0)*CH1184</f>
        <v>0</v>
      </c>
      <c r="CI1185" s="10">
        <f>MAX(SUM(CI1184:$CO1184),0)*CI1184</f>
        <v>0</v>
      </c>
      <c r="CJ1185" s="10">
        <f>MAX(SUM(CJ1184:$CO1184),0)*CJ1184</f>
        <v>0</v>
      </c>
      <c r="CK1185" s="10">
        <f>MAX(SUM(CK1184:$CO1184),0)*CK1184</f>
        <v>0</v>
      </c>
      <c r="CL1185" s="10">
        <f>MAX(SUM(CL1184:$CO1184),0)*CL1184</f>
        <v>0</v>
      </c>
      <c r="CM1185" s="10">
        <f>MAX(SUM(CM1184:$CO1184),0)*CM1184</f>
        <v>0</v>
      </c>
      <c r="CN1185" s="10">
        <f>MAX(SUM(CN1184:$CO1184),0)*CN1184</f>
        <v>0</v>
      </c>
      <c r="CO1185" s="10">
        <f>MAX(SUM(CO1184:$CO1184),0)*CO1184</f>
        <v>0</v>
      </c>
    </row>
    <row r="1186" spans="1:93">
      <c r="A1186" s="10"/>
      <c r="B1186" s="10"/>
      <c r="C1186" s="17"/>
      <c r="D1186" s="10"/>
      <c r="E1186" s="62"/>
      <c r="F1186" s="10"/>
      <c r="G1186" s="11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  <c r="BB1186" s="10"/>
      <c r="BC1186" s="10"/>
      <c r="BD1186" s="10"/>
      <c r="BE1186" s="10"/>
      <c r="BF1186" s="10"/>
      <c r="BG1186" s="10"/>
      <c r="BH1186" s="10"/>
      <c r="BI1186" s="10"/>
      <c r="BJ1186" s="10"/>
      <c r="BK1186" s="10"/>
      <c r="BL1186" s="10"/>
      <c r="BM1186" s="10"/>
      <c r="BN1186" s="10"/>
      <c r="BO1186" s="10"/>
      <c r="BP1186" s="10"/>
      <c r="BQ1186" s="10"/>
      <c r="BR1186" s="10"/>
      <c r="BS1186" s="10"/>
      <c r="BT1186" s="10"/>
      <c r="BU1186" s="10"/>
      <c r="BV1186" s="10"/>
      <c r="BW1186" s="10"/>
      <c r="BX1186" s="10"/>
      <c r="BY1186" s="10"/>
      <c r="BZ1186" s="10"/>
      <c r="CA1186" s="10"/>
      <c r="CB1186" s="10"/>
      <c r="CC1186" s="10"/>
      <c r="CD1186" s="10"/>
      <c r="CE1186" s="10"/>
      <c r="CF1186" s="10"/>
      <c r="CG1186" s="10"/>
      <c r="CH1186" s="10"/>
      <c r="CI1186" s="10"/>
      <c r="CJ1186" s="10"/>
      <c r="CK1186" s="10"/>
      <c r="CL1186" s="10"/>
      <c r="CM1186" s="10"/>
      <c r="CN1186" s="10"/>
      <c r="CO1186" s="10"/>
    </row>
    <row r="1187" spans="1:93">
      <c r="A1187" s="10"/>
      <c r="B1187" s="10"/>
      <c r="C1187" s="67" t="s">
        <v>519</v>
      </c>
      <c r="D1187" s="10"/>
      <c r="E1187" s="10"/>
      <c r="F1187" s="10"/>
      <c r="G1187" s="11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  <c r="BB1187" s="10"/>
      <c r="BC1187" s="10"/>
      <c r="BD1187" s="10"/>
      <c r="BE1187" s="10"/>
      <c r="BF1187" s="10"/>
      <c r="BG1187" s="10"/>
      <c r="BH1187" s="10"/>
      <c r="BI1187" s="10"/>
      <c r="BJ1187" s="10"/>
      <c r="BK1187" s="10"/>
      <c r="BL1187" s="10"/>
      <c r="BM1187" s="10"/>
      <c r="BN1187" s="10"/>
      <c r="BO1187" s="10"/>
      <c r="BP1187" s="10"/>
      <c r="BQ1187" s="10"/>
      <c r="BR1187" s="10"/>
      <c r="BS1187" s="10"/>
      <c r="BT1187" s="10"/>
      <c r="BU1187" s="10"/>
      <c r="BV1187" s="10"/>
      <c r="BW1187" s="10"/>
      <c r="BX1187" s="10"/>
      <c r="BY1187" s="10"/>
      <c r="BZ1187" s="10"/>
      <c r="CA1187" s="10"/>
      <c r="CB1187" s="10"/>
      <c r="CC1187" s="10"/>
      <c r="CD1187" s="10"/>
      <c r="CE1187" s="10"/>
      <c r="CF1187" s="10"/>
      <c r="CG1187" s="10"/>
      <c r="CH1187" s="10"/>
      <c r="CI1187" s="10"/>
      <c r="CJ1187" s="10"/>
      <c r="CK1187" s="10"/>
      <c r="CL1187" s="10"/>
      <c r="CM1187" s="10"/>
      <c r="CN1187" s="10"/>
      <c r="CO1187" s="10"/>
    </row>
    <row r="1188" spans="1:93">
      <c r="A1188" s="10"/>
      <c r="B1188" s="10"/>
      <c r="C1188" s="17" t="s">
        <v>194</v>
      </c>
      <c r="D1188" s="10"/>
      <c r="E1188" s="10"/>
      <c r="F1188" s="10"/>
      <c r="G1188" s="11" t="str">
        <f>Monetary_Unit</f>
        <v>тыс. руб.</v>
      </c>
      <c r="H1188" s="10"/>
      <c r="I1188" s="23">
        <f>SUM(L1188:CO1188)</f>
        <v>4616063.5245886445</v>
      </c>
      <c r="J1188" s="10"/>
      <c r="K1188" s="10"/>
      <c r="L1188" s="52">
        <f t="shared" ref="L1188" si="7649">IF(L1185=1,MAX(L1162,L1170),L1170)</f>
        <v>0</v>
      </c>
      <c r="M1188" s="52">
        <f t="shared" ref="M1188:BX1188" si="7650">IF(M1185=1,MAX(M1162,M1170),M1170)</f>
        <v>0</v>
      </c>
      <c r="N1188" s="52">
        <f t="shared" si="7650"/>
        <v>0</v>
      </c>
      <c r="O1188" s="52">
        <f t="shared" si="7650"/>
        <v>0</v>
      </c>
      <c r="P1188" s="52">
        <f t="shared" si="7650"/>
        <v>0</v>
      </c>
      <c r="Q1188" s="52">
        <f t="shared" si="7650"/>
        <v>0</v>
      </c>
      <c r="R1188" s="52">
        <f t="shared" si="7650"/>
        <v>0</v>
      </c>
      <c r="S1188" s="52">
        <f t="shared" si="7650"/>
        <v>0</v>
      </c>
      <c r="T1188" s="52">
        <f t="shared" si="7650"/>
        <v>0</v>
      </c>
      <c r="U1188" s="52">
        <f t="shared" si="7650"/>
        <v>0</v>
      </c>
      <c r="V1188" s="52">
        <f t="shared" si="7650"/>
        <v>0</v>
      </c>
      <c r="W1188" s="52">
        <f t="shared" si="7650"/>
        <v>0</v>
      </c>
      <c r="X1188" s="52">
        <f t="shared" si="7650"/>
        <v>0</v>
      </c>
      <c r="Y1188" s="52">
        <f t="shared" si="7650"/>
        <v>0</v>
      </c>
      <c r="Z1188" s="52">
        <f t="shared" si="7650"/>
        <v>0</v>
      </c>
      <c r="AA1188" s="52">
        <f t="shared" si="7650"/>
        <v>0</v>
      </c>
      <c r="AB1188" s="52">
        <f t="shared" si="7650"/>
        <v>0</v>
      </c>
      <c r="AC1188" s="52">
        <f t="shared" si="7650"/>
        <v>120257.5745813126</v>
      </c>
      <c r="AD1188" s="52">
        <f t="shared" si="7650"/>
        <v>121637.91189024376</v>
      </c>
      <c r="AE1188" s="52">
        <f t="shared" si="7650"/>
        <v>123339.51000531408</v>
      </c>
      <c r="AF1188" s="52">
        <f t="shared" si="7650"/>
        <v>125606.07819573313</v>
      </c>
      <c r="AG1188" s="52">
        <f t="shared" si="7650"/>
        <v>127061.19578037452</v>
      </c>
      <c r="AH1188" s="52">
        <f t="shared" si="7650"/>
        <v>128563.12768775418</v>
      </c>
      <c r="AI1188" s="52">
        <f t="shared" si="7650"/>
        <v>130361.60300256562</v>
      </c>
      <c r="AJ1188" s="52">
        <f t="shared" si="7650"/>
        <v>132668.15530246156</v>
      </c>
      <c r="AK1188" s="52">
        <f t="shared" si="7650"/>
        <v>134249.91936226428</v>
      </c>
      <c r="AL1188" s="52">
        <f t="shared" si="7650"/>
        <v>135882.06287757197</v>
      </c>
      <c r="AM1188" s="52">
        <f t="shared" si="7650"/>
        <v>137782.92317637434</v>
      </c>
      <c r="AN1188" s="52">
        <f t="shared" si="7650"/>
        <v>139971.14470821922</v>
      </c>
      <c r="AO1188" s="52">
        <f t="shared" si="7650"/>
        <v>141902.63238530574</v>
      </c>
      <c r="AP1188" s="52">
        <f t="shared" si="7650"/>
        <v>143670.03792972286</v>
      </c>
      <c r="AQ1188" s="52">
        <f t="shared" si="7650"/>
        <v>145674.35340582032</v>
      </c>
      <c r="AR1188" s="52">
        <f t="shared" si="7650"/>
        <v>148008.7630993452</v>
      </c>
      <c r="AS1188" s="52">
        <f t="shared" si="7650"/>
        <v>149871.07920509396</v>
      </c>
      <c r="AT1188" s="52">
        <f t="shared" si="7650"/>
        <v>151791.69348981642</v>
      </c>
      <c r="AU1188" s="52">
        <f t="shared" si="7650"/>
        <v>153915.11464673752</v>
      </c>
      <c r="AV1188" s="52">
        <f t="shared" si="7650"/>
        <v>156333.60585778209</v>
      </c>
      <c r="AW1188" s="52">
        <f t="shared" si="7650"/>
        <v>158350.97398656677</v>
      </c>
      <c r="AX1188" s="52">
        <f t="shared" si="7650"/>
        <v>160431.02744453712</v>
      </c>
      <c r="AY1188" s="52">
        <f t="shared" si="7650"/>
        <v>162675.30504555287</v>
      </c>
      <c r="AZ1188" s="52">
        <f t="shared" si="7650"/>
        <v>165127.81642803919</v>
      </c>
      <c r="BA1188" s="52">
        <f t="shared" si="7650"/>
        <v>167310.90669825437</v>
      </c>
      <c r="BB1188" s="52">
        <f t="shared" si="7650"/>
        <v>169561.37863199293</v>
      </c>
      <c r="BC1188" s="52">
        <f t="shared" si="7650"/>
        <v>171933.38225283392</v>
      </c>
      <c r="BD1188" s="52">
        <f t="shared" si="7650"/>
        <v>174388.10819967216</v>
      </c>
      <c r="BE1188" s="52">
        <f t="shared" si="7650"/>
        <v>176794.52548106818</v>
      </c>
      <c r="BF1188" s="52">
        <f t="shared" si="7650"/>
        <v>179220.65636013079</v>
      </c>
      <c r="BG1188" s="52">
        <f t="shared" si="7650"/>
        <v>181720.95747018265</v>
      </c>
      <c r="BH1188" s="52">
        <f t="shared" si="7650"/>
        <v>0</v>
      </c>
      <c r="BI1188" s="52">
        <f t="shared" si="7650"/>
        <v>0</v>
      </c>
      <c r="BJ1188" s="52">
        <f t="shared" si="7650"/>
        <v>0</v>
      </c>
      <c r="BK1188" s="52">
        <f t="shared" si="7650"/>
        <v>0</v>
      </c>
      <c r="BL1188" s="52">
        <f t="shared" si="7650"/>
        <v>0</v>
      </c>
      <c r="BM1188" s="52">
        <f t="shared" si="7650"/>
        <v>0</v>
      </c>
      <c r="BN1188" s="52">
        <f t="shared" si="7650"/>
        <v>0</v>
      </c>
      <c r="BO1188" s="52">
        <f t="shared" si="7650"/>
        <v>0</v>
      </c>
      <c r="BP1188" s="52">
        <f t="shared" si="7650"/>
        <v>0</v>
      </c>
      <c r="BQ1188" s="52">
        <f t="shared" si="7650"/>
        <v>0</v>
      </c>
      <c r="BR1188" s="52">
        <f t="shared" si="7650"/>
        <v>0</v>
      </c>
      <c r="BS1188" s="52">
        <f t="shared" si="7650"/>
        <v>0</v>
      </c>
      <c r="BT1188" s="52">
        <f t="shared" si="7650"/>
        <v>0</v>
      </c>
      <c r="BU1188" s="52">
        <f t="shared" si="7650"/>
        <v>0</v>
      </c>
      <c r="BV1188" s="52">
        <f t="shared" si="7650"/>
        <v>0</v>
      </c>
      <c r="BW1188" s="52">
        <f t="shared" si="7650"/>
        <v>0</v>
      </c>
      <c r="BX1188" s="52">
        <f t="shared" si="7650"/>
        <v>0</v>
      </c>
      <c r="BY1188" s="52">
        <f t="shared" ref="BY1188:CO1188" si="7651">IF(BY1185=1,MAX(BY1162,BY1170),BY1170)</f>
        <v>0</v>
      </c>
      <c r="BZ1188" s="52">
        <f t="shared" si="7651"/>
        <v>0</v>
      </c>
      <c r="CA1188" s="52">
        <f t="shared" si="7651"/>
        <v>0</v>
      </c>
      <c r="CB1188" s="52">
        <f t="shared" si="7651"/>
        <v>0</v>
      </c>
      <c r="CC1188" s="52">
        <f t="shared" si="7651"/>
        <v>0</v>
      </c>
      <c r="CD1188" s="52">
        <f t="shared" si="7651"/>
        <v>0</v>
      </c>
      <c r="CE1188" s="52">
        <f t="shared" si="7651"/>
        <v>0</v>
      </c>
      <c r="CF1188" s="52">
        <f t="shared" si="7651"/>
        <v>0</v>
      </c>
      <c r="CG1188" s="52">
        <f t="shared" si="7651"/>
        <v>0</v>
      </c>
      <c r="CH1188" s="52">
        <f t="shared" si="7651"/>
        <v>0</v>
      </c>
      <c r="CI1188" s="52">
        <f t="shared" si="7651"/>
        <v>0</v>
      </c>
      <c r="CJ1188" s="52">
        <f t="shared" si="7651"/>
        <v>0</v>
      </c>
      <c r="CK1188" s="52">
        <f t="shared" si="7651"/>
        <v>0</v>
      </c>
      <c r="CL1188" s="52">
        <f t="shared" si="7651"/>
        <v>0</v>
      </c>
      <c r="CM1188" s="52">
        <f t="shared" si="7651"/>
        <v>0</v>
      </c>
      <c r="CN1188" s="52">
        <f t="shared" si="7651"/>
        <v>0</v>
      </c>
      <c r="CO1188" s="52">
        <f t="shared" si="7651"/>
        <v>0</v>
      </c>
    </row>
    <row r="1189" spans="1:93">
      <c r="A1189" s="10"/>
      <c r="B1189" s="10"/>
      <c r="C1189" s="17" t="s">
        <v>182</v>
      </c>
      <c r="D1189" s="10"/>
      <c r="E1189" s="10"/>
      <c r="F1189" s="10"/>
      <c r="G1189" s="11" t="str">
        <f>Monetary_Unit</f>
        <v>тыс. руб.</v>
      </c>
      <c r="H1189" s="10"/>
      <c r="I1189" s="23">
        <f>SUM(L1189:CO1189)</f>
        <v>1330786.673672708</v>
      </c>
      <c r="J1189" s="10"/>
      <c r="K1189" s="10"/>
      <c r="L1189" s="52">
        <f t="shared" ref="L1189" si="7652">L1178</f>
        <v>0</v>
      </c>
      <c r="M1189" s="52">
        <f t="shared" ref="M1189:BX1189" si="7653">M1178</f>
        <v>0</v>
      </c>
      <c r="N1189" s="52">
        <f t="shared" si="7653"/>
        <v>0</v>
      </c>
      <c r="O1189" s="52">
        <f t="shared" si="7653"/>
        <v>0</v>
      </c>
      <c r="P1189" s="52">
        <f t="shared" si="7653"/>
        <v>0</v>
      </c>
      <c r="Q1189" s="52">
        <f t="shared" si="7653"/>
        <v>0</v>
      </c>
      <c r="R1189" s="52">
        <f t="shared" si="7653"/>
        <v>0</v>
      </c>
      <c r="S1189" s="52">
        <f t="shared" si="7653"/>
        <v>738.99174247580174</v>
      </c>
      <c r="T1189" s="52">
        <f t="shared" si="7653"/>
        <v>3234.8821767320223</v>
      </c>
      <c r="U1189" s="52">
        <f t="shared" si="7653"/>
        <v>7256.2536237105141</v>
      </c>
      <c r="V1189" s="52">
        <f t="shared" si="7653"/>
        <v>11404.918486102473</v>
      </c>
      <c r="W1189" s="52">
        <f t="shared" si="7653"/>
        <v>15513.937077923534</v>
      </c>
      <c r="X1189" s="52">
        <f t="shared" si="7653"/>
        <v>21635.021605468475</v>
      </c>
      <c r="Y1189" s="52">
        <f t="shared" si="7653"/>
        <v>30267.503661225743</v>
      </c>
      <c r="Z1189" s="52">
        <f t="shared" si="7653"/>
        <v>39413.452160910616</v>
      </c>
      <c r="AA1189" s="52">
        <f t="shared" si="7653"/>
        <v>48313.632138229776</v>
      </c>
      <c r="AB1189" s="52">
        <f t="shared" si="7653"/>
        <v>57475.007205903479</v>
      </c>
      <c r="AC1189" s="52">
        <f t="shared" si="7653"/>
        <v>63872.407755986169</v>
      </c>
      <c r="AD1189" s="52">
        <f t="shared" si="7653"/>
        <v>62892.014193801202</v>
      </c>
      <c r="AE1189" s="52">
        <f t="shared" si="7653"/>
        <v>61190.416445550276</v>
      </c>
      <c r="AF1189" s="52">
        <f t="shared" si="7653"/>
        <v>58172.297254570709</v>
      </c>
      <c r="AG1189" s="52">
        <f t="shared" si="7653"/>
        <v>57080.646529591679</v>
      </c>
      <c r="AH1189" s="52">
        <f t="shared" si="7653"/>
        <v>55930.44209210058</v>
      </c>
      <c r="AI1189" s="52">
        <f t="shared" si="7653"/>
        <v>54131.967215460383</v>
      </c>
      <c r="AJ1189" s="52">
        <f t="shared" si="7653"/>
        <v>51171.195711258915</v>
      </c>
      <c r="AK1189" s="52">
        <f t="shared" si="7653"/>
        <v>49904.037104946961</v>
      </c>
      <c r="AL1189" s="52">
        <f t="shared" si="7653"/>
        <v>48574.405478010551</v>
      </c>
      <c r="AM1189" s="52">
        <f t="shared" si="7653"/>
        <v>46673.54571622183</v>
      </c>
      <c r="AN1189" s="52">
        <f t="shared" si="7653"/>
        <v>44138.79593852751</v>
      </c>
      <c r="AO1189" s="52">
        <f t="shared" si="7653"/>
        <v>42207.308872000569</v>
      </c>
      <c r="AP1189" s="52">
        <f t="shared" si="7653"/>
        <v>40691.467417603446</v>
      </c>
      <c r="AQ1189" s="52">
        <f t="shared" si="7653"/>
        <v>38687.152626157636</v>
      </c>
      <c r="AR1189" s="52">
        <f t="shared" si="7653"/>
        <v>35956.272041141216</v>
      </c>
      <c r="AS1189" s="52">
        <f t="shared" si="7653"/>
        <v>34307.790947443333</v>
      </c>
      <c r="AT1189" s="52">
        <f t="shared" si="7653"/>
        <v>32588.246953087979</v>
      </c>
      <c r="AU1189" s="52">
        <f t="shared" si="7653"/>
        <v>30464.826714844134</v>
      </c>
      <c r="AV1189" s="52">
        <f t="shared" si="7653"/>
        <v>27696.230071407623</v>
      </c>
      <c r="AW1189" s="52">
        <f t="shared" si="7653"/>
        <v>25840.779998392045</v>
      </c>
      <c r="AX1189" s="52">
        <f t="shared" si="7653"/>
        <v>23909.566331086633</v>
      </c>
      <c r="AY1189" s="52">
        <f t="shared" si="7653"/>
        <v>21665.290095109085</v>
      </c>
      <c r="AZ1189" s="52">
        <f t="shared" si="7653"/>
        <v>18968.105120419892</v>
      </c>
      <c r="BA1189" s="52">
        <f t="shared" si="7653"/>
        <v>16893.990510090218</v>
      </c>
      <c r="BB1189" s="52">
        <f t="shared" si="7653"/>
        <v>14739.119607861281</v>
      </c>
      <c r="BC1189" s="52">
        <f t="shared" si="7653"/>
        <v>12367.118513902496</v>
      </c>
      <c r="BD1189" s="52">
        <f t="shared" si="7653"/>
        <v>9826.7309072529442</v>
      </c>
      <c r="BE1189" s="52">
        <f t="shared" si="7653"/>
        <v>7420.3179551697622</v>
      </c>
      <c r="BF1189" s="52">
        <f t="shared" si="7653"/>
        <v>5035.4313667147007</v>
      </c>
      <c r="BG1189" s="52">
        <f t="shared" si="7653"/>
        <v>2535.1563083135316</v>
      </c>
      <c r="BH1189" s="52">
        <f t="shared" si="7653"/>
        <v>0</v>
      </c>
      <c r="BI1189" s="52">
        <f t="shared" si="7653"/>
        <v>0</v>
      </c>
      <c r="BJ1189" s="52">
        <f t="shared" si="7653"/>
        <v>0</v>
      </c>
      <c r="BK1189" s="52">
        <f t="shared" si="7653"/>
        <v>0</v>
      </c>
      <c r="BL1189" s="52">
        <f t="shared" si="7653"/>
        <v>0</v>
      </c>
      <c r="BM1189" s="52">
        <f t="shared" si="7653"/>
        <v>0</v>
      </c>
      <c r="BN1189" s="52">
        <f t="shared" si="7653"/>
        <v>0</v>
      </c>
      <c r="BO1189" s="52">
        <f t="shared" si="7653"/>
        <v>0</v>
      </c>
      <c r="BP1189" s="52">
        <f t="shared" si="7653"/>
        <v>0</v>
      </c>
      <c r="BQ1189" s="52">
        <f t="shared" si="7653"/>
        <v>0</v>
      </c>
      <c r="BR1189" s="52">
        <f t="shared" si="7653"/>
        <v>0</v>
      </c>
      <c r="BS1189" s="52">
        <f t="shared" si="7653"/>
        <v>0</v>
      </c>
      <c r="BT1189" s="52">
        <f t="shared" si="7653"/>
        <v>0</v>
      </c>
      <c r="BU1189" s="52">
        <f t="shared" si="7653"/>
        <v>0</v>
      </c>
      <c r="BV1189" s="52">
        <f t="shared" si="7653"/>
        <v>0</v>
      </c>
      <c r="BW1189" s="52">
        <f t="shared" si="7653"/>
        <v>0</v>
      </c>
      <c r="BX1189" s="52">
        <f t="shared" si="7653"/>
        <v>0</v>
      </c>
      <c r="BY1189" s="52">
        <f t="shared" ref="BY1189:CO1189" si="7654">BY1178</f>
        <v>0</v>
      </c>
      <c r="BZ1189" s="52">
        <f t="shared" si="7654"/>
        <v>0</v>
      </c>
      <c r="CA1189" s="52">
        <f t="shared" si="7654"/>
        <v>0</v>
      </c>
      <c r="CB1189" s="52">
        <f t="shared" si="7654"/>
        <v>0</v>
      </c>
      <c r="CC1189" s="52">
        <f t="shared" si="7654"/>
        <v>0</v>
      </c>
      <c r="CD1189" s="52">
        <f t="shared" si="7654"/>
        <v>0</v>
      </c>
      <c r="CE1189" s="52">
        <f t="shared" si="7654"/>
        <v>0</v>
      </c>
      <c r="CF1189" s="52">
        <f t="shared" si="7654"/>
        <v>0</v>
      </c>
      <c r="CG1189" s="52">
        <f t="shared" si="7654"/>
        <v>0</v>
      </c>
      <c r="CH1189" s="52">
        <f t="shared" si="7654"/>
        <v>0</v>
      </c>
      <c r="CI1189" s="52">
        <f t="shared" si="7654"/>
        <v>0</v>
      </c>
      <c r="CJ1189" s="52">
        <f t="shared" si="7654"/>
        <v>0</v>
      </c>
      <c r="CK1189" s="52">
        <f t="shared" si="7654"/>
        <v>0</v>
      </c>
      <c r="CL1189" s="52">
        <f t="shared" si="7654"/>
        <v>0</v>
      </c>
      <c r="CM1189" s="52">
        <f t="shared" si="7654"/>
        <v>0</v>
      </c>
      <c r="CN1189" s="52">
        <f t="shared" si="7654"/>
        <v>0</v>
      </c>
      <c r="CO1189" s="52">
        <f t="shared" si="7654"/>
        <v>0</v>
      </c>
    </row>
    <row r="1190" spans="1:93">
      <c r="A1190" s="10"/>
      <c r="B1190" s="10"/>
      <c r="C1190" s="17" t="s">
        <v>195</v>
      </c>
      <c r="D1190" s="10"/>
      <c r="E1190" s="10"/>
      <c r="F1190" s="10"/>
      <c r="G1190" s="11" t="str">
        <f>Monetary_Unit</f>
        <v>тыс. руб.</v>
      </c>
      <c r="H1190" s="10"/>
      <c r="I1190" s="23">
        <f>SUM(L1190:CO1190)</f>
        <v>1330786.673672708</v>
      </c>
      <c r="J1190" s="10"/>
      <c r="K1190" s="10"/>
      <c r="L1190" s="10">
        <f t="shared" ref="L1190" si="7655">L1181</f>
        <v>0</v>
      </c>
      <c r="M1190" s="10">
        <f t="shared" ref="M1190:BX1190" si="7656">M1181</f>
        <v>0</v>
      </c>
      <c r="N1190" s="10">
        <f t="shared" si="7656"/>
        <v>0</v>
      </c>
      <c r="O1190" s="10">
        <f t="shared" si="7656"/>
        <v>0</v>
      </c>
      <c r="P1190" s="10">
        <f t="shared" si="7656"/>
        <v>0</v>
      </c>
      <c r="Q1190" s="10">
        <f t="shared" si="7656"/>
        <v>0</v>
      </c>
      <c r="R1190" s="10">
        <f t="shared" si="7656"/>
        <v>0</v>
      </c>
      <c r="S1190" s="10">
        <f t="shared" si="7656"/>
        <v>738.99174247580174</v>
      </c>
      <c r="T1190" s="10">
        <f t="shared" si="7656"/>
        <v>3234.8821767320223</v>
      </c>
      <c r="U1190" s="10">
        <f t="shared" si="7656"/>
        <v>7256.2536237105141</v>
      </c>
      <c r="V1190" s="10">
        <f t="shared" si="7656"/>
        <v>11404.918486102473</v>
      </c>
      <c r="W1190" s="10">
        <f t="shared" si="7656"/>
        <v>15513.937077923534</v>
      </c>
      <c r="X1190" s="10">
        <f t="shared" si="7656"/>
        <v>21635.021605468475</v>
      </c>
      <c r="Y1190" s="10">
        <f t="shared" si="7656"/>
        <v>30267.503661225743</v>
      </c>
      <c r="Z1190" s="10">
        <f t="shared" si="7656"/>
        <v>39413.452160910616</v>
      </c>
      <c r="AA1190" s="10">
        <f t="shared" si="7656"/>
        <v>48313.632138229776</v>
      </c>
      <c r="AB1190" s="10">
        <f t="shared" si="7656"/>
        <v>57475.007205903479</v>
      </c>
      <c r="AC1190" s="10">
        <f t="shared" si="7656"/>
        <v>63872.407755986169</v>
      </c>
      <c r="AD1190" s="10">
        <f t="shared" si="7656"/>
        <v>62892.014193801202</v>
      </c>
      <c r="AE1190" s="10">
        <f t="shared" si="7656"/>
        <v>61190.416445550276</v>
      </c>
      <c r="AF1190" s="10">
        <f t="shared" si="7656"/>
        <v>58172.297254570709</v>
      </c>
      <c r="AG1190" s="10">
        <f t="shared" si="7656"/>
        <v>57080.646529591679</v>
      </c>
      <c r="AH1190" s="10">
        <f t="shared" si="7656"/>
        <v>55930.44209210058</v>
      </c>
      <c r="AI1190" s="10">
        <f t="shared" si="7656"/>
        <v>54131.967215460383</v>
      </c>
      <c r="AJ1190" s="10">
        <f t="shared" si="7656"/>
        <v>51171.195711258915</v>
      </c>
      <c r="AK1190" s="10">
        <f t="shared" si="7656"/>
        <v>49904.037104946961</v>
      </c>
      <c r="AL1190" s="10">
        <f t="shared" si="7656"/>
        <v>48574.405478010551</v>
      </c>
      <c r="AM1190" s="10">
        <f t="shared" si="7656"/>
        <v>46673.54571622183</v>
      </c>
      <c r="AN1190" s="10">
        <f t="shared" si="7656"/>
        <v>44138.79593852751</v>
      </c>
      <c r="AO1190" s="10">
        <f t="shared" si="7656"/>
        <v>42207.308872000569</v>
      </c>
      <c r="AP1190" s="10">
        <f t="shared" si="7656"/>
        <v>40691.467417603446</v>
      </c>
      <c r="AQ1190" s="10">
        <f t="shared" si="7656"/>
        <v>38687.152626157636</v>
      </c>
      <c r="AR1190" s="10">
        <f t="shared" si="7656"/>
        <v>35956.272041141216</v>
      </c>
      <c r="AS1190" s="10">
        <f t="shared" si="7656"/>
        <v>34307.790947443333</v>
      </c>
      <c r="AT1190" s="10">
        <f t="shared" si="7656"/>
        <v>32588.246953087979</v>
      </c>
      <c r="AU1190" s="10">
        <f t="shared" si="7656"/>
        <v>30464.826714844134</v>
      </c>
      <c r="AV1190" s="10">
        <f t="shared" si="7656"/>
        <v>27696.230071407623</v>
      </c>
      <c r="AW1190" s="10">
        <f t="shared" si="7656"/>
        <v>25840.779998392045</v>
      </c>
      <c r="AX1190" s="10">
        <f t="shared" si="7656"/>
        <v>23909.566331086633</v>
      </c>
      <c r="AY1190" s="10">
        <f t="shared" si="7656"/>
        <v>21665.290095109085</v>
      </c>
      <c r="AZ1190" s="10">
        <f t="shared" si="7656"/>
        <v>18968.105120419892</v>
      </c>
      <c r="BA1190" s="10">
        <f t="shared" si="7656"/>
        <v>16893.990510090218</v>
      </c>
      <c r="BB1190" s="10">
        <f t="shared" si="7656"/>
        <v>14739.119607861281</v>
      </c>
      <c r="BC1190" s="10">
        <f t="shared" si="7656"/>
        <v>12367.118513902496</v>
      </c>
      <c r="BD1190" s="10">
        <f t="shared" si="7656"/>
        <v>9826.7309072529442</v>
      </c>
      <c r="BE1190" s="10">
        <f t="shared" si="7656"/>
        <v>7420.3179551697622</v>
      </c>
      <c r="BF1190" s="10">
        <f t="shared" si="7656"/>
        <v>5035.4313667147007</v>
      </c>
      <c r="BG1190" s="10">
        <f t="shared" si="7656"/>
        <v>2535.1563083135316</v>
      </c>
      <c r="BH1190" s="10">
        <f t="shared" si="7656"/>
        <v>0</v>
      </c>
      <c r="BI1190" s="10">
        <f t="shared" si="7656"/>
        <v>0</v>
      </c>
      <c r="BJ1190" s="10">
        <f t="shared" si="7656"/>
        <v>0</v>
      </c>
      <c r="BK1190" s="10">
        <f t="shared" si="7656"/>
        <v>0</v>
      </c>
      <c r="BL1190" s="10">
        <f t="shared" si="7656"/>
        <v>0</v>
      </c>
      <c r="BM1190" s="10">
        <f t="shared" si="7656"/>
        <v>0</v>
      </c>
      <c r="BN1190" s="10">
        <f t="shared" si="7656"/>
        <v>0</v>
      </c>
      <c r="BO1190" s="10">
        <f t="shared" si="7656"/>
        <v>0</v>
      </c>
      <c r="BP1190" s="10">
        <f t="shared" si="7656"/>
        <v>0</v>
      </c>
      <c r="BQ1190" s="10">
        <f t="shared" si="7656"/>
        <v>0</v>
      </c>
      <c r="BR1190" s="10">
        <f t="shared" si="7656"/>
        <v>0</v>
      </c>
      <c r="BS1190" s="10">
        <f t="shared" si="7656"/>
        <v>0</v>
      </c>
      <c r="BT1190" s="10">
        <f t="shared" si="7656"/>
        <v>0</v>
      </c>
      <c r="BU1190" s="10">
        <f t="shared" si="7656"/>
        <v>0</v>
      </c>
      <c r="BV1190" s="10">
        <f t="shared" si="7656"/>
        <v>0</v>
      </c>
      <c r="BW1190" s="10">
        <f t="shared" si="7656"/>
        <v>0</v>
      </c>
      <c r="BX1190" s="10">
        <f t="shared" si="7656"/>
        <v>0</v>
      </c>
      <c r="BY1190" s="10">
        <f t="shared" ref="BY1190:CO1190" si="7657">BY1181</f>
        <v>0</v>
      </c>
      <c r="BZ1190" s="10">
        <f t="shared" si="7657"/>
        <v>0</v>
      </c>
      <c r="CA1190" s="10">
        <f t="shared" si="7657"/>
        <v>0</v>
      </c>
      <c r="CB1190" s="10">
        <f t="shared" si="7657"/>
        <v>0</v>
      </c>
      <c r="CC1190" s="10">
        <f t="shared" si="7657"/>
        <v>0</v>
      </c>
      <c r="CD1190" s="10">
        <f t="shared" si="7657"/>
        <v>0</v>
      </c>
      <c r="CE1190" s="10">
        <f t="shared" si="7657"/>
        <v>0</v>
      </c>
      <c r="CF1190" s="10">
        <f t="shared" si="7657"/>
        <v>0</v>
      </c>
      <c r="CG1190" s="10">
        <f t="shared" si="7657"/>
        <v>0</v>
      </c>
      <c r="CH1190" s="10">
        <f t="shared" si="7657"/>
        <v>0</v>
      </c>
      <c r="CI1190" s="10">
        <f t="shared" si="7657"/>
        <v>0</v>
      </c>
      <c r="CJ1190" s="10">
        <f t="shared" si="7657"/>
        <v>0</v>
      </c>
      <c r="CK1190" s="10">
        <f t="shared" si="7657"/>
        <v>0</v>
      </c>
      <c r="CL1190" s="10">
        <f t="shared" si="7657"/>
        <v>0</v>
      </c>
      <c r="CM1190" s="10">
        <f t="shared" si="7657"/>
        <v>0</v>
      </c>
      <c r="CN1190" s="10">
        <f t="shared" si="7657"/>
        <v>0</v>
      </c>
      <c r="CO1190" s="10">
        <f t="shared" si="7657"/>
        <v>0</v>
      </c>
    </row>
    <row r="1191" spans="1:93">
      <c r="A1191" s="10"/>
      <c r="B1191" s="10"/>
      <c r="C1191" s="17"/>
      <c r="D1191" s="10"/>
      <c r="E1191" s="10"/>
      <c r="F1191" s="10"/>
      <c r="G1191" s="11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  <c r="BB1191" s="10"/>
      <c r="BC1191" s="10"/>
      <c r="BD1191" s="10"/>
      <c r="BE1191" s="10"/>
      <c r="BF1191" s="10"/>
      <c r="BG1191" s="10"/>
      <c r="BH1191" s="10"/>
      <c r="BI1191" s="10"/>
      <c r="BJ1191" s="10"/>
      <c r="BK1191" s="10"/>
      <c r="BL1191" s="10"/>
      <c r="BM1191" s="10"/>
      <c r="BN1191" s="10"/>
      <c r="BO1191" s="10"/>
      <c r="BP1191" s="10"/>
      <c r="BQ1191" s="10"/>
      <c r="BR1191" s="10"/>
      <c r="BS1191" s="10"/>
      <c r="BT1191" s="10"/>
      <c r="BU1191" s="10"/>
      <c r="BV1191" s="10"/>
      <c r="BW1191" s="10"/>
      <c r="BX1191" s="10"/>
      <c r="BY1191" s="10"/>
      <c r="BZ1191" s="10"/>
      <c r="CA1191" s="10"/>
      <c r="CB1191" s="10"/>
      <c r="CC1191" s="10"/>
      <c r="CD1191" s="10"/>
      <c r="CE1191" s="10"/>
      <c r="CF1191" s="10"/>
      <c r="CG1191" s="10"/>
      <c r="CH1191" s="10"/>
      <c r="CI1191" s="10"/>
      <c r="CJ1191" s="10"/>
      <c r="CK1191" s="10"/>
      <c r="CL1191" s="10"/>
      <c r="CM1191" s="10"/>
      <c r="CN1191" s="10"/>
      <c r="CO1191" s="10"/>
    </row>
    <row r="1192" spans="1:93">
      <c r="A1192" s="10"/>
      <c r="B1192" s="10"/>
      <c r="C1192" s="67" t="s">
        <v>520</v>
      </c>
      <c r="D1192" s="10"/>
      <c r="E1192" s="10"/>
      <c r="F1192" s="10"/>
      <c r="G1192" s="11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  <c r="BB1192" s="10"/>
      <c r="BC1192" s="10"/>
      <c r="BD1192" s="10"/>
      <c r="BE1192" s="10"/>
      <c r="BF1192" s="10"/>
      <c r="BG1192" s="10"/>
      <c r="BH1192" s="10"/>
      <c r="BI1192" s="10"/>
      <c r="BJ1192" s="10"/>
      <c r="BK1192" s="10"/>
      <c r="BL1192" s="10"/>
      <c r="BM1192" s="10"/>
      <c r="BN1192" s="10"/>
      <c r="BO1192" s="10"/>
      <c r="BP1192" s="10"/>
      <c r="BQ1192" s="10"/>
      <c r="BR1192" s="10"/>
      <c r="BS1192" s="10"/>
      <c r="BT1192" s="10"/>
      <c r="BU1192" s="10"/>
      <c r="BV1192" s="10"/>
      <c r="BW1192" s="10"/>
      <c r="BX1192" s="10"/>
      <c r="BY1192" s="10"/>
      <c r="BZ1192" s="10"/>
      <c r="CA1192" s="10"/>
      <c r="CB1192" s="10"/>
      <c r="CC1192" s="10"/>
      <c r="CD1192" s="10"/>
      <c r="CE1192" s="10"/>
      <c r="CF1192" s="10"/>
      <c r="CG1192" s="10"/>
      <c r="CH1192" s="10"/>
      <c r="CI1192" s="10"/>
      <c r="CJ1192" s="10"/>
      <c r="CK1192" s="10"/>
      <c r="CL1192" s="10"/>
      <c r="CM1192" s="10"/>
      <c r="CN1192" s="10"/>
      <c r="CO1192" s="10"/>
    </row>
    <row r="1193" spans="1:93" ht="14.65" customHeight="1">
      <c r="A1193" s="10"/>
      <c r="B1193" s="10"/>
      <c r="C1193" s="17" t="s">
        <v>185</v>
      </c>
      <c r="D1193" s="10"/>
      <c r="E1193" s="10"/>
      <c r="F1193" s="10"/>
      <c r="G1193" s="11" t="str">
        <f>Monetary_Unit</f>
        <v>тыс. руб.</v>
      </c>
      <c r="H1193" s="10"/>
      <c r="I1193" s="23">
        <f ca="1">SUM(L1193:CO1193)</f>
        <v>9856578.4922559615</v>
      </c>
      <c r="J1193" s="10"/>
      <c r="K1193" s="10"/>
      <c r="L1193" s="10">
        <f t="shared" ref="L1193:BW1193" ca="1" si="7658">CFADS</f>
        <v>-31406.153379286916</v>
      </c>
      <c r="M1193" s="10">
        <f t="shared" ca="1" si="7658"/>
        <v>-31851.960190507532</v>
      </c>
      <c r="N1193" s="10">
        <f t="shared" ca="1" si="7658"/>
        <v>-32304.095179220327</v>
      </c>
      <c r="O1193" s="10">
        <f t="shared" ca="1" si="7658"/>
        <v>-32762.648173192309</v>
      </c>
      <c r="P1193" s="10">
        <f t="shared" ca="1" si="7658"/>
        <v>-275591.46580799518</v>
      </c>
      <c r="Q1193" s="10">
        <f t="shared" ca="1" si="7658"/>
        <v>-278306.9805620276</v>
      </c>
      <c r="R1193" s="10">
        <f t="shared" ca="1" si="7658"/>
        <v>-281049.25238692126</v>
      </c>
      <c r="S1193" s="10">
        <f t="shared" ca="1" si="7658"/>
        <v>-283818.54493097326</v>
      </c>
      <c r="T1193" s="10">
        <f t="shared" ca="1" si="7658"/>
        <v>-289960.89661122987</v>
      </c>
      <c r="U1193" s="10">
        <f t="shared" ca="1" si="7658"/>
        <v>-292607.834793624</v>
      </c>
      <c r="V1193" s="10">
        <f t="shared" ca="1" si="7658"/>
        <v>-295275.75333765452</v>
      </c>
      <c r="W1193" s="10">
        <f t="shared" ca="1" si="7658"/>
        <v>-297934.79737139982</v>
      </c>
      <c r="X1193" s="10">
        <f t="shared" ca="1" si="7658"/>
        <v>-625018.23654332163</v>
      </c>
      <c r="Y1193" s="10">
        <f t="shared" ca="1" si="7658"/>
        <v>-630687.77129455493</v>
      </c>
      <c r="Z1193" s="10">
        <f t="shared" ca="1" si="7658"/>
        <v>-636430.45152861311</v>
      </c>
      <c r="AA1193" s="10">
        <f t="shared" ca="1" si="7658"/>
        <v>-642207.06158323737</v>
      </c>
      <c r="AB1193" s="10">
        <f t="shared" ca="1" si="7658"/>
        <v>-832991.97668650013</v>
      </c>
      <c r="AC1193" s="10">
        <f t="shared" ca="1" si="7658"/>
        <v>870232.3965845874</v>
      </c>
      <c r="AD1193" s="10">
        <f t="shared" ca="1" si="7658"/>
        <v>323525.51156056835</v>
      </c>
      <c r="AE1193" s="10">
        <f t="shared" ca="1" si="7658"/>
        <v>220677.87583811313</v>
      </c>
      <c r="AF1193" s="10">
        <f t="shared" ca="1" si="7658"/>
        <v>162368.51874953369</v>
      </c>
      <c r="AG1193" s="10">
        <f t="shared" ca="1" si="7658"/>
        <v>170471.89456974238</v>
      </c>
      <c r="AH1193" s="10">
        <f t="shared" ca="1" si="7658"/>
        <v>241676.05608745053</v>
      </c>
      <c r="AI1193" s="10">
        <f t="shared" ca="1" si="7658"/>
        <v>262666.76439716335</v>
      </c>
      <c r="AJ1193" s="10">
        <f t="shared" ca="1" si="7658"/>
        <v>192566.15963543567</v>
      </c>
      <c r="AK1193" s="10">
        <f t="shared" ca="1" si="7658"/>
        <v>201164.54111336311</v>
      </c>
      <c r="AL1193" s="10">
        <f t="shared" ca="1" si="7658"/>
        <v>283932.27617986838</v>
      </c>
      <c r="AM1193" s="10">
        <f t="shared" ca="1" si="7658"/>
        <v>307659.43050999579</v>
      </c>
      <c r="AN1193" s="10">
        <f t="shared" ca="1" si="7658"/>
        <v>226858.25057665067</v>
      </c>
      <c r="AO1193" s="10">
        <f t="shared" ca="1" si="7658"/>
        <v>234047.02808842011</v>
      </c>
      <c r="AP1193" s="10">
        <f t="shared" ca="1" si="7658"/>
        <v>326091.39529012598</v>
      </c>
      <c r="AQ1193" s="10">
        <f t="shared" ca="1" si="7658"/>
        <v>345160.48852029972</v>
      </c>
      <c r="AR1193" s="10">
        <f t="shared" ca="1" si="7658"/>
        <v>245562.49792075154</v>
      </c>
      <c r="AS1193" s="10">
        <f t="shared" ca="1" si="7658"/>
        <v>246113.70882875129</v>
      </c>
      <c r="AT1193" s="10">
        <f t="shared" ca="1" si="7658"/>
        <v>337076.85495761334</v>
      </c>
      <c r="AU1193" s="10">
        <f t="shared" ca="1" si="7658"/>
        <v>351177.08044978726</v>
      </c>
      <c r="AV1193" s="10">
        <f t="shared" ca="1" si="7658"/>
        <v>248086.55026546764</v>
      </c>
      <c r="AW1193" s="10">
        <f t="shared" ca="1" si="7658"/>
        <v>292165.11672781332</v>
      </c>
      <c r="AX1193" s="10">
        <f t="shared" ca="1" si="7658"/>
        <v>269191.79577147099</v>
      </c>
      <c r="AY1193" s="10">
        <f t="shared" ca="1" si="7658"/>
        <v>194949.11604679129</v>
      </c>
      <c r="AZ1193" s="10">
        <f t="shared" ca="1" si="7658"/>
        <v>141205.65106453441</v>
      </c>
      <c r="BA1193" s="10">
        <f t="shared" ca="1" si="7658"/>
        <v>182897.85665672921</v>
      </c>
      <c r="BB1193" s="10">
        <f t="shared" ca="1" si="7658"/>
        <v>246245.57558774002</v>
      </c>
      <c r="BC1193" s="10">
        <f t="shared" ca="1" si="7658"/>
        <v>202016.04742557846</v>
      </c>
      <c r="BD1193" s="10">
        <f t="shared" ca="1" si="7658"/>
        <v>148330.5331067309</v>
      </c>
      <c r="BE1193" s="10">
        <f t="shared" ca="1" si="7658"/>
        <v>186921.41067506073</v>
      </c>
      <c r="BF1193" s="10">
        <f t="shared" ca="1" si="7658"/>
        <v>253412.90176951466</v>
      </c>
      <c r="BG1193" s="10">
        <f t="shared" ca="1" si="7658"/>
        <v>207443.65395520223</v>
      </c>
      <c r="BH1193" s="10">
        <f t="shared" ca="1" si="7658"/>
        <v>149271.3857948205</v>
      </c>
      <c r="BI1193" s="10">
        <f t="shared" ca="1" si="7658"/>
        <v>194467.00727934242</v>
      </c>
      <c r="BJ1193" s="10">
        <f t="shared" ca="1" si="7658"/>
        <v>263143.28819603729</v>
      </c>
      <c r="BK1193" s="10">
        <f t="shared" ca="1" si="7658"/>
        <v>215603.7609729098</v>
      </c>
      <c r="BL1193" s="10">
        <f t="shared" ca="1" si="7658"/>
        <v>155296.66139235115</v>
      </c>
      <c r="BM1193" s="10">
        <f t="shared" ca="1" si="7658"/>
        <v>202301.54613887856</v>
      </c>
      <c r="BN1193" s="10">
        <f t="shared" ca="1" si="7658"/>
        <v>273726.34847685776</v>
      </c>
      <c r="BO1193" s="10">
        <f t="shared" ca="1" si="7658"/>
        <v>211339.56051991874</v>
      </c>
      <c r="BP1193" s="10">
        <f t="shared" ca="1" si="7658"/>
        <v>149413.85129333788</v>
      </c>
      <c r="BQ1193" s="10">
        <f t="shared" ca="1" si="7658"/>
        <v>190474.5039588192</v>
      </c>
      <c r="BR1193" s="10">
        <f t="shared" ca="1" si="7658"/>
        <v>258984.87029722304</v>
      </c>
      <c r="BS1193" s="10">
        <f t="shared" ca="1" si="7658"/>
        <v>219743.48235772018</v>
      </c>
      <c r="BT1193" s="10">
        <f t="shared" ca="1" si="7658"/>
        <v>157749.91729861218</v>
      </c>
      <c r="BU1193" s="10">
        <f t="shared" ca="1" si="7658"/>
        <v>197317.58972668709</v>
      </c>
      <c r="BV1193" s="10">
        <f t="shared" ca="1" si="7658"/>
        <v>269303.81083330908</v>
      </c>
      <c r="BW1193" s="10">
        <f t="shared" ca="1" si="7658"/>
        <v>228492.77329331194</v>
      </c>
      <c r="BX1193" s="10">
        <f t="shared" ref="BX1193:CO1193" ca="1" si="7659">CFADS</f>
        <v>161499.22810249944</v>
      </c>
      <c r="BY1193" s="10">
        <f t="shared" ca="1" si="7659"/>
        <v>205913.19083422472</v>
      </c>
      <c r="BZ1193" s="10">
        <f t="shared" ca="1" si="7659"/>
        <v>280016.72812416521</v>
      </c>
      <c r="CA1193" s="10">
        <f t="shared" ca="1" si="7659"/>
        <v>237573.24292879915</v>
      </c>
      <c r="CB1193" s="10">
        <f t="shared" ca="1" si="7659"/>
        <v>167906.9021982312</v>
      </c>
      <c r="CC1193" s="10">
        <f t="shared" ca="1" si="7659"/>
        <v>214098.72207169505</v>
      </c>
      <c r="CD1193" s="10">
        <f t="shared" ca="1" si="7659"/>
        <v>291167.7366661366</v>
      </c>
      <c r="CE1193" s="10">
        <f t="shared" ca="1" si="7659"/>
        <v>247026.51206295507</v>
      </c>
      <c r="CF1193" s="10">
        <f t="shared" ca="1" si="7659"/>
        <v>174570.84607735806</v>
      </c>
      <c r="CG1193" s="10">
        <f t="shared" ca="1" si="7659"/>
        <v>222611.67455866357</v>
      </c>
      <c r="CH1193" s="10">
        <f t="shared" ca="1" si="7659"/>
        <v>302764.78554978635</v>
      </c>
      <c r="CI1193" s="10">
        <f t="shared" ca="1" si="7659"/>
        <v>256857.91196247865</v>
      </c>
      <c r="CJ1193" s="10">
        <f t="shared" ca="1" si="7659"/>
        <v>184327.12636069866</v>
      </c>
      <c r="CK1193" s="10">
        <f t="shared" ca="1" si="7659"/>
        <v>230615.70664995754</v>
      </c>
      <c r="CL1193" s="10">
        <f t="shared" ca="1" si="7659"/>
        <v>314835.06059641473</v>
      </c>
      <c r="CM1193" s="10">
        <f t="shared" ca="1" si="7659"/>
        <v>267091.91898776783</v>
      </c>
      <c r="CN1193" s="10">
        <f t="shared" ca="1" si="7659"/>
        <v>188709.02758838091</v>
      </c>
      <c r="CO1193" s="10">
        <f t="shared" ca="1" si="7659"/>
        <v>240672.75455501606</v>
      </c>
    </row>
    <row r="1194" spans="1:93" ht="14.65" customHeight="1">
      <c r="A1194" s="10"/>
      <c r="B1194" s="10"/>
      <c r="C1194" s="17" t="s">
        <v>526</v>
      </c>
      <c r="D1194" s="452"/>
      <c r="E1194" s="410" t="str">
        <f>Предпосылки!E598</f>
        <v>да</v>
      </c>
      <c r="F1194" s="452"/>
      <c r="G1194" s="11" t="str">
        <f>Monetary_Unit</f>
        <v>тыс. руб.</v>
      </c>
      <c r="H1194" s="10"/>
      <c r="I1194" s="23">
        <f ca="1">SUM(L1194:CO1194)</f>
        <v>20551397.285503946</v>
      </c>
      <c r="J1194" s="10"/>
      <c r="K1194" s="10"/>
      <c r="L1194" s="452">
        <f t="shared" ref="L1194:AQ1194" ca="1" si="7660">MAX(L1193+IF($E$1194="да",Cash_BoP,0),0)</f>
        <v>0</v>
      </c>
      <c r="M1194" s="452">
        <f t="shared" ca="1" si="7660"/>
        <v>0</v>
      </c>
      <c r="N1194" s="452">
        <f t="shared" ca="1" si="7660"/>
        <v>0</v>
      </c>
      <c r="O1194" s="452">
        <f t="shared" ca="1" si="7660"/>
        <v>0</v>
      </c>
      <c r="P1194" s="452">
        <f t="shared" ca="1" si="7660"/>
        <v>0</v>
      </c>
      <c r="Q1194" s="452">
        <f t="shared" ca="1" si="7660"/>
        <v>0</v>
      </c>
      <c r="R1194" s="452">
        <f t="shared" ca="1" si="7660"/>
        <v>0</v>
      </c>
      <c r="S1194" s="452">
        <f t="shared" ca="1" si="7660"/>
        <v>0</v>
      </c>
      <c r="T1194" s="452">
        <f t="shared" ca="1" si="7660"/>
        <v>0</v>
      </c>
      <c r="U1194" s="452">
        <f t="shared" ca="1" si="7660"/>
        <v>0</v>
      </c>
      <c r="V1194" s="452">
        <f t="shared" ca="1" si="7660"/>
        <v>0</v>
      </c>
      <c r="W1194" s="452">
        <f t="shared" ca="1" si="7660"/>
        <v>0</v>
      </c>
      <c r="X1194" s="452">
        <f t="shared" ca="1" si="7660"/>
        <v>0</v>
      </c>
      <c r="Y1194" s="452">
        <f t="shared" ca="1" si="7660"/>
        <v>0</v>
      </c>
      <c r="Z1194" s="452">
        <f t="shared" ca="1" si="7660"/>
        <v>0</v>
      </c>
      <c r="AA1194" s="452">
        <f t="shared" ca="1" si="7660"/>
        <v>0</v>
      </c>
      <c r="AB1194" s="452">
        <f t="shared" ca="1" si="7660"/>
        <v>0</v>
      </c>
      <c r="AC1194" s="452">
        <f t="shared" ca="1" si="7660"/>
        <v>870232.3965845874</v>
      </c>
      <c r="AD1194" s="452">
        <f t="shared" ca="1" si="7660"/>
        <v>950577.52883955278</v>
      </c>
      <c r="AE1194" s="452">
        <f t="shared" ca="1" si="7660"/>
        <v>867702.24970280298</v>
      </c>
      <c r="AF1194" s="452">
        <f t="shared" ca="1" si="7660"/>
        <v>830152.99473578006</v>
      </c>
      <c r="AG1194" s="452">
        <f t="shared" ca="1" si="7660"/>
        <v>801244.28541601275</v>
      </c>
      <c r="AH1194" s="452">
        <f t="shared" ca="1" si="7660"/>
        <v>755249.7177689767</v>
      </c>
      <c r="AI1194" s="452">
        <f t="shared" ca="1" si="7660"/>
        <v>658789.06674414803</v>
      </c>
      <c r="AJ1194" s="452">
        <f t="shared" ca="1" si="7660"/>
        <v>616411.57578917791</v>
      </c>
      <c r="AK1194" s="452">
        <f t="shared" ca="1" si="7660"/>
        <v>584370.98408819432</v>
      </c>
      <c r="AL1194" s="452">
        <f t="shared" ca="1" si="7660"/>
        <v>532219.78903673554</v>
      </c>
      <c r="AM1194" s="452">
        <f t="shared" ca="1" si="7660"/>
        <v>421303.36232848174</v>
      </c>
      <c r="AN1194" s="452">
        <f t="shared" ca="1" si="7660"/>
        <v>375795.48280377197</v>
      </c>
      <c r="AO1194" s="452">
        <f t="shared" ca="1" si="7660"/>
        <v>338410.18294039101</v>
      </c>
      <c r="AP1194" s="452">
        <f t="shared" ca="1" si="7660"/>
        <v>326091.39529012598</v>
      </c>
      <c r="AQ1194" s="452">
        <f t="shared" ca="1" si="7660"/>
        <v>345160.48852029972</v>
      </c>
      <c r="AR1194" s="452">
        <f t="shared" ref="AR1194:BW1194" ca="1" si="7661">MAX(AR1193+IF($E$1194="да",Cash_BoP,0),0)</f>
        <v>245562.49792075154</v>
      </c>
      <c r="AS1194" s="452">
        <f t="shared" ca="1" si="7661"/>
        <v>246113.70882875129</v>
      </c>
      <c r="AT1194" s="452">
        <f t="shared" ca="1" si="7661"/>
        <v>337076.85495761334</v>
      </c>
      <c r="AU1194" s="452">
        <f t="shared" ca="1" si="7661"/>
        <v>351177.08044978726</v>
      </c>
      <c r="AV1194" s="452">
        <f t="shared" ca="1" si="7661"/>
        <v>248086.55026546764</v>
      </c>
      <c r="AW1194" s="452">
        <f t="shared" ca="1" si="7661"/>
        <v>292165.11672781332</v>
      </c>
      <c r="AX1194" s="452">
        <f t="shared" ca="1" si="7661"/>
        <v>269191.79577147099</v>
      </c>
      <c r="AY1194" s="452">
        <f t="shared" ca="1" si="7661"/>
        <v>194949.11604679129</v>
      </c>
      <c r="AZ1194" s="452">
        <f t="shared" ca="1" si="7661"/>
        <v>141205.65106453441</v>
      </c>
      <c r="BA1194" s="452">
        <f t="shared" ca="1" si="7661"/>
        <v>182897.85665672921</v>
      </c>
      <c r="BB1194" s="452">
        <f t="shared" ca="1" si="7661"/>
        <v>246245.57558774002</v>
      </c>
      <c r="BC1194" s="452">
        <f t="shared" ca="1" si="7661"/>
        <v>202016.04742557846</v>
      </c>
      <c r="BD1194" s="452">
        <f t="shared" ca="1" si="7661"/>
        <v>148330.5331067309</v>
      </c>
      <c r="BE1194" s="452">
        <f t="shared" ca="1" si="7661"/>
        <v>186921.41067506073</v>
      </c>
      <c r="BF1194" s="452">
        <f t="shared" ca="1" si="7661"/>
        <v>253412.90176951466</v>
      </c>
      <c r="BG1194" s="452">
        <f t="shared" ca="1" si="7661"/>
        <v>207443.65395520223</v>
      </c>
      <c r="BH1194" s="452">
        <f t="shared" ca="1" si="7661"/>
        <v>149271.3857948205</v>
      </c>
      <c r="BI1194" s="452">
        <f t="shared" ca="1" si="7661"/>
        <v>194467.00727934242</v>
      </c>
      <c r="BJ1194" s="452">
        <f t="shared" ca="1" si="7661"/>
        <v>263143.28819603729</v>
      </c>
      <c r="BK1194" s="452">
        <f t="shared" ca="1" si="7661"/>
        <v>215603.7609729098</v>
      </c>
      <c r="BL1194" s="452">
        <f t="shared" ca="1" si="7661"/>
        <v>155296.66139235115</v>
      </c>
      <c r="BM1194" s="452">
        <f t="shared" ca="1" si="7661"/>
        <v>202301.54613887856</v>
      </c>
      <c r="BN1194" s="452">
        <f t="shared" ca="1" si="7661"/>
        <v>273726.34847685776</v>
      </c>
      <c r="BO1194" s="452">
        <f t="shared" ca="1" si="7661"/>
        <v>211339.56051991874</v>
      </c>
      <c r="BP1194" s="452">
        <f t="shared" ca="1" si="7661"/>
        <v>149413.85129333788</v>
      </c>
      <c r="BQ1194" s="452">
        <f t="shared" ca="1" si="7661"/>
        <v>190474.5039588192</v>
      </c>
      <c r="BR1194" s="452">
        <f t="shared" ca="1" si="7661"/>
        <v>258984.87029722304</v>
      </c>
      <c r="BS1194" s="452">
        <f t="shared" ca="1" si="7661"/>
        <v>219743.48235772018</v>
      </c>
      <c r="BT1194" s="452">
        <f t="shared" ca="1" si="7661"/>
        <v>157749.91729861218</v>
      </c>
      <c r="BU1194" s="452">
        <f t="shared" ca="1" si="7661"/>
        <v>197317.58972668709</v>
      </c>
      <c r="BV1194" s="452">
        <f t="shared" ca="1" si="7661"/>
        <v>269303.81083330908</v>
      </c>
      <c r="BW1194" s="452">
        <f t="shared" ca="1" si="7661"/>
        <v>228492.77329331194</v>
      </c>
      <c r="BX1194" s="452">
        <f t="shared" ref="BX1194:CO1194" ca="1" si="7662">MAX(BX1193+IF($E$1194="да",Cash_BoP,0),0)</f>
        <v>161499.22810249944</v>
      </c>
      <c r="BY1194" s="452">
        <f t="shared" ca="1" si="7662"/>
        <v>205913.19083422472</v>
      </c>
      <c r="BZ1194" s="452">
        <f t="shared" ca="1" si="7662"/>
        <v>280016.72812416521</v>
      </c>
      <c r="CA1194" s="452">
        <f t="shared" ca="1" si="7662"/>
        <v>237573.24292879915</v>
      </c>
      <c r="CB1194" s="452">
        <f t="shared" ca="1" si="7662"/>
        <v>167906.9021982312</v>
      </c>
      <c r="CC1194" s="452">
        <f t="shared" ca="1" si="7662"/>
        <v>214098.72207169505</v>
      </c>
      <c r="CD1194" s="452">
        <f t="shared" ca="1" si="7662"/>
        <v>291167.7366661366</v>
      </c>
      <c r="CE1194" s="452">
        <f t="shared" ca="1" si="7662"/>
        <v>247026.51206295507</v>
      </c>
      <c r="CF1194" s="452">
        <f t="shared" ca="1" si="7662"/>
        <v>174570.84607735806</v>
      </c>
      <c r="CG1194" s="452">
        <f t="shared" ca="1" si="7662"/>
        <v>222611.67455866357</v>
      </c>
      <c r="CH1194" s="452">
        <f t="shared" ca="1" si="7662"/>
        <v>302764.78554978635</v>
      </c>
      <c r="CI1194" s="452">
        <f t="shared" ca="1" si="7662"/>
        <v>256857.91196247865</v>
      </c>
      <c r="CJ1194" s="452">
        <f t="shared" ca="1" si="7662"/>
        <v>184327.12636069866</v>
      </c>
      <c r="CK1194" s="452">
        <f t="shared" ca="1" si="7662"/>
        <v>230615.70664995754</v>
      </c>
      <c r="CL1194" s="452">
        <f t="shared" ca="1" si="7662"/>
        <v>314835.06059641473</v>
      </c>
      <c r="CM1194" s="452">
        <f t="shared" ca="1" si="7662"/>
        <v>267091.91898776783</v>
      </c>
      <c r="CN1194" s="452">
        <f t="shared" ca="1" si="7662"/>
        <v>188709.02758838091</v>
      </c>
      <c r="CO1194" s="452">
        <f t="shared" ca="1" si="7662"/>
        <v>240672.75455501606</v>
      </c>
    </row>
    <row r="1195" spans="1:93" ht="14.65" customHeight="1">
      <c r="A1195" s="10"/>
      <c r="B1195" s="10"/>
      <c r="C1195" s="17" t="s">
        <v>527</v>
      </c>
      <c r="D1195" s="10"/>
      <c r="E1195" s="185">
        <f>Предпосылки!E596</f>
        <v>1.2</v>
      </c>
      <c r="F1195" s="10"/>
      <c r="G1195" s="11" t="s">
        <v>93</v>
      </c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  <c r="BB1195" s="10"/>
      <c r="BC1195" s="10"/>
      <c r="BD1195" s="10"/>
      <c r="BE1195" s="10"/>
      <c r="BF1195" s="10"/>
      <c r="BG1195" s="10"/>
      <c r="BH1195" s="10"/>
      <c r="BI1195" s="10"/>
      <c r="BJ1195" s="10"/>
      <c r="BK1195" s="10"/>
      <c r="BL1195" s="10"/>
      <c r="BM1195" s="10"/>
      <c r="BN1195" s="10"/>
      <c r="BO1195" s="10"/>
      <c r="BP1195" s="10"/>
      <c r="BQ1195" s="10"/>
      <c r="BR1195" s="10"/>
      <c r="BS1195" s="10"/>
      <c r="BT1195" s="10"/>
      <c r="BU1195" s="10"/>
      <c r="BV1195" s="10"/>
      <c r="BW1195" s="10"/>
      <c r="BX1195" s="10"/>
      <c r="BY1195" s="10"/>
      <c r="BZ1195" s="10"/>
      <c r="CA1195" s="10"/>
      <c r="CB1195" s="10"/>
      <c r="CC1195" s="10"/>
      <c r="CD1195" s="10"/>
      <c r="CE1195" s="10"/>
      <c r="CF1195" s="10"/>
      <c r="CG1195" s="10"/>
      <c r="CH1195" s="10"/>
      <c r="CI1195" s="10"/>
      <c r="CJ1195" s="10"/>
      <c r="CK1195" s="10"/>
      <c r="CL1195" s="10"/>
      <c r="CM1195" s="10"/>
      <c r="CN1195" s="10"/>
      <c r="CO1195" s="10"/>
    </row>
    <row r="1196" spans="1:93" ht="14.65" customHeight="1">
      <c r="A1196" s="10"/>
      <c r="B1196" s="10"/>
      <c r="C1196" s="17" t="s">
        <v>528</v>
      </c>
      <c r="D1196" s="10"/>
      <c r="E1196" s="10"/>
      <c r="F1196" s="10"/>
      <c r="G1196" s="11" t="str">
        <f>Monetary_Unit</f>
        <v>тыс. руб.</v>
      </c>
      <c r="H1196" s="10"/>
      <c r="I1196" s="23">
        <f ca="1">SUM(L1196:CO1196)</f>
        <v>17126164.404586621</v>
      </c>
      <c r="J1196" s="10"/>
      <c r="K1196" s="10"/>
      <c r="L1196" s="10">
        <f t="shared" ref="L1196" ca="1" si="7663">L1194/MAX($E1195,Very_Small_Number)</f>
        <v>0</v>
      </c>
      <c r="M1196" s="10">
        <f t="shared" ref="M1196:BX1196" ca="1" si="7664">M1194/MAX($E1195,Very_Small_Number)</f>
        <v>0</v>
      </c>
      <c r="N1196" s="10">
        <f t="shared" ca="1" si="7664"/>
        <v>0</v>
      </c>
      <c r="O1196" s="10">
        <f t="shared" ca="1" si="7664"/>
        <v>0</v>
      </c>
      <c r="P1196" s="10">
        <f t="shared" ca="1" si="7664"/>
        <v>0</v>
      </c>
      <c r="Q1196" s="10">
        <f t="shared" ca="1" si="7664"/>
        <v>0</v>
      </c>
      <c r="R1196" s="10">
        <f t="shared" ca="1" si="7664"/>
        <v>0</v>
      </c>
      <c r="S1196" s="10">
        <f t="shared" ca="1" si="7664"/>
        <v>0</v>
      </c>
      <c r="T1196" s="10">
        <f t="shared" ca="1" si="7664"/>
        <v>0</v>
      </c>
      <c r="U1196" s="10">
        <f t="shared" ca="1" si="7664"/>
        <v>0</v>
      </c>
      <c r="V1196" s="10">
        <f t="shared" ca="1" si="7664"/>
        <v>0</v>
      </c>
      <c r="W1196" s="10">
        <f t="shared" ca="1" si="7664"/>
        <v>0</v>
      </c>
      <c r="X1196" s="10">
        <f t="shared" ca="1" si="7664"/>
        <v>0</v>
      </c>
      <c r="Y1196" s="10">
        <f t="shared" ca="1" si="7664"/>
        <v>0</v>
      </c>
      <c r="Z1196" s="10">
        <f t="shared" ca="1" si="7664"/>
        <v>0</v>
      </c>
      <c r="AA1196" s="10">
        <f t="shared" ca="1" si="7664"/>
        <v>0</v>
      </c>
      <c r="AB1196" s="10">
        <f t="shared" ca="1" si="7664"/>
        <v>0</v>
      </c>
      <c r="AC1196" s="10">
        <f t="shared" ca="1" si="7664"/>
        <v>725193.66382048954</v>
      </c>
      <c r="AD1196" s="10">
        <f t="shared" ca="1" si="7664"/>
        <v>792147.94069962739</v>
      </c>
      <c r="AE1196" s="10">
        <f t="shared" ca="1" si="7664"/>
        <v>723085.2080856692</v>
      </c>
      <c r="AF1196" s="10">
        <f t="shared" ca="1" si="7664"/>
        <v>691794.16227981669</v>
      </c>
      <c r="AG1196" s="10">
        <f t="shared" ca="1" si="7664"/>
        <v>667703.57118001068</v>
      </c>
      <c r="AH1196" s="10">
        <f t="shared" ca="1" si="7664"/>
        <v>629374.76480748062</v>
      </c>
      <c r="AI1196" s="10">
        <f t="shared" ca="1" si="7664"/>
        <v>548990.88895345677</v>
      </c>
      <c r="AJ1196" s="10">
        <f t="shared" ca="1" si="7664"/>
        <v>513676.31315764826</v>
      </c>
      <c r="AK1196" s="10">
        <f t="shared" ca="1" si="7664"/>
        <v>486975.82007349527</v>
      </c>
      <c r="AL1196" s="10">
        <f t="shared" ca="1" si="7664"/>
        <v>443516.49086394632</v>
      </c>
      <c r="AM1196" s="10">
        <f t="shared" ca="1" si="7664"/>
        <v>351086.13527373481</v>
      </c>
      <c r="AN1196" s="10">
        <f t="shared" ca="1" si="7664"/>
        <v>313162.90233647666</v>
      </c>
      <c r="AO1196" s="10">
        <f t="shared" ca="1" si="7664"/>
        <v>282008.48578365921</v>
      </c>
      <c r="AP1196" s="10">
        <f t="shared" ca="1" si="7664"/>
        <v>271742.82940843835</v>
      </c>
      <c r="AQ1196" s="10">
        <f t="shared" ca="1" si="7664"/>
        <v>287633.74043358309</v>
      </c>
      <c r="AR1196" s="10">
        <f t="shared" ca="1" si="7664"/>
        <v>204635.41493395963</v>
      </c>
      <c r="AS1196" s="10">
        <f t="shared" ca="1" si="7664"/>
        <v>205094.75735729275</v>
      </c>
      <c r="AT1196" s="10">
        <f t="shared" ca="1" si="7664"/>
        <v>280897.37913134444</v>
      </c>
      <c r="AU1196" s="10">
        <f t="shared" ca="1" si="7664"/>
        <v>292647.56704148941</v>
      </c>
      <c r="AV1196" s="10">
        <f t="shared" ca="1" si="7664"/>
        <v>206738.7918878897</v>
      </c>
      <c r="AW1196" s="10">
        <f t="shared" ca="1" si="7664"/>
        <v>243470.9306065111</v>
      </c>
      <c r="AX1196" s="10">
        <f t="shared" ca="1" si="7664"/>
        <v>224326.49647622585</v>
      </c>
      <c r="AY1196" s="10">
        <f t="shared" ca="1" si="7664"/>
        <v>162457.59670565941</v>
      </c>
      <c r="AZ1196" s="10">
        <f t="shared" ca="1" si="7664"/>
        <v>117671.37588711201</v>
      </c>
      <c r="BA1196" s="10">
        <f t="shared" ca="1" si="7664"/>
        <v>152414.88054727434</v>
      </c>
      <c r="BB1196" s="10">
        <f t="shared" ca="1" si="7664"/>
        <v>205204.6463231167</v>
      </c>
      <c r="BC1196" s="10">
        <f t="shared" ca="1" si="7664"/>
        <v>168346.70618798205</v>
      </c>
      <c r="BD1196" s="10">
        <f t="shared" ca="1" si="7664"/>
        <v>123608.77758894242</v>
      </c>
      <c r="BE1196" s="10">
        <f t="shared" ca="1" si="7664"/>
        <v>155767.84222921729</v>
      </c>
      <c r="BF1196" s="10">
        <f t="shared" ca="1" si="7664"/>
        <v>211177.41814126223</v>
      </c>
      <c r="BG1196" s="10">
        <f t="shared" ca="1" si="7664"/>
        <v>172869.71162933519</v>
      </c>
      <c r="BH1196" s="10">
        <f t="shared" ca="1" si="7664"/>
        <v>124392.82149568375</v>
      </c>
      <c r="BI1196" s="10">
        <f t="shared" ca="1" si="7664"/>
        <v>162055.83939945203</v>
      </c>
      <c r="BJ1196" s="10">
        <f t="shared" ca="1" si="7664"/>
        <v>219286.07349669776</v>
      </c>
      <c r="BK1196" s="10">
        <f t="shared" ca="1" si="7664"/>
        <v>179669.80081075817</v>
      </c>
      <c r="BL1196" s="10">
        <f t="shared" ca="1" si="7664"/>
        <v>129413.88449362596</v>
      </c>
      <c r="BM1196" s="10">
        <f t="shared" ca="1" si="7664"/>
        <v>168584.62178239881</v>
      </c>
      <c r="BN1196" s="10">
        <f t="shared" ca="1" si="7664"/>
        <v>228105.29039738147</v>
      </c>
      <c r="BO1196" s="10">
        <f t="shared" ca="1" si="7664"/>
        <v>176116.30043326563</v>
      </c>
      <c r="BP1196" s="10">
        <f t="shared" ca="1" si="7664"/>
        <v>124511.54274444823</v>
      </c>
      <c r="BQ1196" s="10">
        <f t="shared" ca="1" si="7664"/>
        <v>158728.75329901601</v>
      </c>
      <c r="BR1196" s="10">
        <f t="shared" ca="1" si="7664"/>
        <v>215820.72524768588</v>
      </c>
      <c r="BS1196" s="10">
        <f t="shared" ca="1" si="7664"/>
        <v>183119.56863143347</v>
      </c>
      <c r="BT1196" s="10">
        <f t="shared" ca="1" si="7664"/>
        <v>131458.26441551017</v>
      </c>
      <c r="BU1196" s="10">
        <f t="shared" ca="1" si="7664"/>
        <v>164431.32477223926</v>
      </c>
      <c r="BV1196" s="10">
        <f t="shared" ca="1" si="7664"/>
        <v>224419.84236109091</v>
      </c>
      <c r="BW1196" s="10">
        <f t="shared" ca="1" si="7664"/>
        <v>190410.64441109329</v>
      </c>
      <c r="BX1196" s="10">
        <f t="shared" ca="1" si="7664"/>
        <v>134582.69008541622</v>
      </c>
      <c r="BY1196" s="10">
        <f t="shared" ref="BY1196:CO1196" ca="1" si="7665">BY1194/MAX($E1195,Very_Small_Number)</f>
        <v>171594.32569518726</v>
      </c>
      <c r="BZ1196" s="10">
        <f t="shared" ca="1" si="7665"/>
        <v>233347.27343680436</v>
      </c>
      <c r="CA1196" s="10">
        <f t="shared" ca="1" si="7665"/>
        <v>197977.70244066598</v>
      </c>
      <c r="CB1196" s="10">
        <f t="shared" ca="1" si="7665"/>
        <v>139922.41849852601</v>
      </c>
      <c r="CC1196" s="10">
        <f t="shared" ca="1" si="7665"/>
        <v>178415.60172641254</v>
      </c>
      <c r="CD1196" s="10">
        <f t="shared" ca="1" si="7665"/>
        <v>242639.78055511383</v>
      </c>
      <c r="CE1196" s="10">
        <f t="shared" ca="1" si="7665"/>
        <v>205855.42671912923</v>
      </c>
      <c r="CF1196" s="10">
        <f t="shared" ca="1" si="7665"/>
        <v>145475.70506446506</v>
      </c>
      <c r="CG1196" s="10">
        <f t="shared" ca="1" si="7665"/>
        <v>185509.72879888632</v>
      </c>
      <c r="CH1196" s="10">
        <f t="shared" ca="1" si="7665"/>
        <v>252303.98795815531</v>
      </c>
      <c r="CI1196" s="10">
        <f t="shared" ca="1" si="7665"/>
        <v>214048.25996873222</v>
      </c>
      <c r="CJ1196" s="10">
        <f t="shared" ca="1" si="7665"/>
        <v>153605.93863391556</v>
      </c>
      <c r="CK1196" s="10">
        <f t="shared" ca="1" si="7665"/>
        <v>192179.75554163128</v>
      </c>
      <c r="CL1196" s="10">
        <f t="shared" ca="1" si="7665"/>
        <v>262362.55049701227</v>
      </c>
      <c r="CM1196" s="10">
        <f t="shared" ca="1" si="7665"/>
        <v>222576.59915647321</v>
      </c>
      <c r="CN1196" s="10">
        <f t="shared" ca="1" si="7665"/>
        <v>157257.52299031743</v>
      </c>
      <c r="CO1196" s="10">
        <f t="shared" ca="1" si="7665"/>
        <v>200560.62879584671</v>
      </c>
    </row>
    <row r="1197" spans="1:93" ht="14.65" customHeight="1">
      <c r="A1197" s="10"/>
      <c r="B1197" s="10"/>
      <c r="C1197" s="17" t="s">
        <v>529</v>
      </c>
      <c r="D1197" s="10"/>
      <c r="E1197" s="10"/>
      <c r="F1197" s="10"/>
      <c r="G1197" s="11" t="str">
        <f>Monetary_Unit</f>
        <v>тыс. руб.</v>
      </c>
      <c r="H1197" s="10"/>
      <c r="I1197" s="23">
        <f>SUM(L1197:CO1197)</f>
        <v>-1330786.673672708</v>
      </c>
      <c r="J1197" s="10"/>
      <c r="K1197" s="10"/>
      <c r="L1197" s="10">
        <f t="shared" ref="L1197" si="7666">-L1181</f>
        <v>0</v>
      </c>
      <c r="M1197" s="10">
        <f t="shared" ref="M1197:BX1197" si="7667">-M1181</f>
        <v>0</v>
      </c>
      <c r="N1197" s="10">
        <f t="shared" si="7667"/>
        <v>0</v>
      </c>
      <c r="O1197" s="10">
        <f t="shared" si="7667"/>
        <v>0</v>
      </c>
      <c r="P1197" s="10">
        <f t="shared" si="7667"/>
        <v>0</v>
      </c>
      <c r="Q1197" s="10">
        <f t="shared" si="7667"/>
        <v>0</v>
      </c>
      <c r="R1197" s="10">
        <f t="shared" si="7667"/>
        <v>0</v>
      </c>
      <c r="S1197" s="10">
        <f t="shared" si="7667"/>
        <v>-738.99174247580174</v>
      </c>
      <c r="T1197" s="10">
        <f t="shared" si="7667"/>
        <v>-3234.8821767320223</v>
      </c>
      <c r="U1197" s="10">
        <f t="shared" si="7667"/>
        <v>-7256.2536237105141</v>
      </c>
      <c r="V1197" s="10">
        <f t="shared" si="7667"/>
        <v>-11404.918486102473</v>
      </c>
      <c r="W1197" s="10">
        <f t="shared" si="7667"/>
        <v>-15513.937077923534</v>
      </c>
      <c r="X1197" s="10">
        <f t="shared" si="7667"/>
        <v>-21635.021605468475</v>
      </c>
      <c r="Y1197" s="10">
        <f t="shared" si="7667"/>
        <v>-30267.503661225743</v>
      </c>
      <c r="Z1197" s="10">
        <f t="shared" si="7667"/>
        <v>-39413.452160910616</v>
      </c>
      <c r="AA1197" s="10">
        <f t="shared" si="7667"/>
        <v>-48313.632138229776</v>
      </c>
      <c r="AB1197" s="10">
        <f t="shared" si="7667"/>
        <v>-57475.007205903479</v>
      </c>
      <c r="AC1197" s="10">
        <f t="shared" si="7667"/>
        <v>-63872.407755986169</v>
      </c>
      <c r="AD1197" s="10">
        <f t="shared" si="7667"/>
        <v>-62892.014193801202</v>
      </c>
      <c r="AE1197" s="10">
        <f t="shared" si="7667"/>
        <v>-61190.416445550276</v>
      </c>
      <c r="AF1197" s="10">
        <f t="shared" si="7667"/>
        <v>-58172.297254570709</v>
      </c>
      <c r="AG1197" s="10">
        <f t="shared" si="7667"/>
        <v>-57080.646529591679</v>
      </c>
      <c r="AH1197" s="10">
        <f t="shared" si="7667"/>
        <v>-55930.44209210058</v>
      </c>
      <c r="AI1197" s="10">
        <f t="shared" si="7667"/>
        <v>-54131.967215460383</v>
      </c>
      <c r="AJ1197" s="10">
        <f t="shared" si="7667"/>
        <v>-51171.195711258915</v>
      </c>
      <c r="AK1197" s="10">
        <f t="shared" si="7667"/>
        <v>-49904.037104946961</v>
      </c>
      <c r="AL1197" s="10">
        <f t="shared" si="7667"/>
        <v>-48574.405478010551</v>
      </c>
      <c r="AM1197" s="10">
        <f t="shared" si="7667"/>
        <v>-46673.54571622183</v>
      </c>
      <c r="AN1197" s="10">
        <f t="shared" si="7667"/>
        <v>-44138.79593852751</v>
      </c>
      <c r="AO1197" s="10">
        <f t="shared" si="7667"/>
        <v>-42207.308872000569</v>
      </c>
      <c r="AP1197" s="10">
        <f t="shared" si="7667"/>
        <v>-40691.467417603446</v>
      </c>
      <c r="AQ1197" s="10">
        <f t="shared" si="7667"/>
        <v>-38687.152626157636</v>
      </c>
      <c r="AR1197" s="10">
        <f t="shared" si="7667"/>
        <v>-35956.272041141216</v>
      </c>
      <c r="AS1197" s="10">
        <f t="shared" si="7667"/>
        <v>-34307.790947443333</v>
      </c>
      <c r="AT1197" s="10">
        <f t="shared" si="7667"/>
        <v>-32588.246953087979</v>
      </c>
      <c r="AU1197" s="10">
        <f t="shared" si="7667"/>
        <v>-30464.826714844134</v>
      </c>
      <c r="AV1197" s="10">
        <f t="shared" si="7667"/>
        <v>-27696.230071407623</v>
      </c>
      <c r="AW1197" s="10">
        <f t="shared" si="7667"/>
        <v>-25840.779998392045</v>
      </c>
      <c r="AX1197" s="10">
        <f t="shared" si="7667"/>
        <v>-23909.566331086633</v>
      </c>
      <c r="AY1197" s="10">
        <f t="shared" si="7667"/>
        <v>-21665.290095109085</v>
      </c>
      <c r="AZ1197" s="10">
        <f t="shared" si="7667"/>
        <v>-18968.105120419892</v>
      </c>
      <c r="BA1197" s="10">
        <f t="shared" si="7667"/>
        <v>-16893.990510090218</v>
      </c>
      <c r="BB1197" s="10">
        <f t="shared" si="7667"/>
        <v>-14739.119607861281</v>
      </c>
      <c r="BC1197" s="10">
        <f t="shared" si="7667"/>
        <v>-12367.118513902496</v>
      </c>
      <c r="BD1197" s="10">
        <f t="shared" si="7667"/>
        <v>-9826.7309072529442</v>
      </c>
      <c r="BE1197" s="10">
        <f t="shared" si="7667"/>
        <v>-7420.3179551697622</v>
      </c>
      <c r="BF1197" s="10">
        <f t="shared" si="7667"/>
        <v>-5035.4313667147007</v>
      </c>
      <c r="BG1197" s="10">
        <f t="shared" si="7667"/>
        <v>-2535.1563083135316</v>
      </c>
      <c r="BH1197" s="10">
        <f t="shared" si="7667"/>
        <v>0</v>
      </c>
      <c r="BI1197" s="10">
        <f t="shared" si="7667"/>
        <v>0</v>
      </c>
      <c r="BJ1197" s="10">
        <f t="shared" si="7667"/>
        <v>0</v>
      </c>
      <c r="BK1197" s="10">
        <f t="shared" si="7667"/>
        <v>0</v>
      </c>
      <c r="BL1197" s="10">
        <f t="shared" si="7667"/>
        <v>0</v>
      </c>
      <c r="BM1197" s="10">
        <f t="shared" si="7667"/>
        <v>0</v>
      </c>
      <c r="BN1197" s="10">
        <f t="shared" si="7667"/>
        <v>0</v>
      </c>
      <c r="BO1197" s="10">
        <f t="shared" si="7667"/>
        <v>0</v>
      </c>
      <c r="BP1197" s="10">
        <f t="shared" si="7667"/>
        <v>0</v>
      </c>
      <c r="BQ1197" s="10">
        <f t="shared" si="7667"/>
        <v>0</v>
      </c>
      <c r="BR1197" s="10">
        <f t="shared" si="7667"/>
        <v>0</v>
      </c>
      <c r="BS1197" s="10">
        <f t="shared" si="7667"/>
        <v>0</v>
      </c>
      <c r="BT1197" s="10">
        <f t="shared" si="7667"/>
        <v>0</v>
      </c>
      <c r="BU1197" s="10">
        <f t="shared" si="7667"/>
        <v>0</v>
      </c>
      <c r="BV1197" s="10">
        <f t="shared" si="7667"/>
        <v>0</v>
      </c>
      <c r="BW1197" s="10">
        <f t="shared" si="7667"/>
        <v>0</v>
      </c>
      <c r="BX1197" s="10">
        <f t="shared" si="7667"/>
        <v>0</v>
      </c>
      <c r="BY1197" s="10">
        <f t="shared" ref="BY1197:CO1197" si="7668">-BY1181</f>
        <v>0</v>
      </c>
      <c r="BZ1197" s="10">
        <f t="shared" si="7668"/>
        <v>0</v>
      </c>
      <c r="CA1197" s="10">
        <f t="shared" si="7668"/>
        <v>0</v>
      </c>
      <c r="CB1197" s="10">
        <f t="shared" si="7668"/>
        <v>0</v>
      </c>
      <c r="CC1197" s="10">
        <f t="shared" si="7668"/>
        <v>0</v>
      </c>
      <c r="CD1197" s="10">
        <f t="shared" si="7668"/>
        <v>0</v>
      </c>
      <c r="CE1197" s="10">
        <f t="shared" si="7668"/>
        <v>0</v>
      </c>
      <c r="CF1197" s="10">
        <f t="shared" si="7668"/>
        <v>0</v>
      </c>
      <c r="CG1197" s="10">
        <f t="shared" si="7668"/>
        <v>0</v>
      </c>
      <c r="CH1197" s="10">
        <f t="shared" si="7668"/>
        <v>0</v>
      </c>
      <c r="CI1197" s="10">
        <f t="shared" si="7668"/>
        <v>0</v>
      </c>
      <c r="CJ1197" s="10">
        <f t="shared" si="7668"/>
        <v>0</v>
      </c>
      <c r="CK1197" s="10">
        <f t="shared" si="7668"/>
        <v>0</v>
      </c>
      <c r="CL1197" s="10">
        <f t="shared" si="7668"/>
        <v>0</v>
      </c>
      <c r="CM1197" s="10">
        <f t="shared" si="7668"/>
        <v>0</v>
      </c>
      <c r="CN1197" s="10">
        <f t="shared" si="7668"/>
        <v>0</v>
      </c>
      <c r="CO1197" s="10">
        <f t="shared" si="7668"/>
        <v>0</v>
      </c>
    </row>
    <row r="1198" spans="1:93" ht="14.65" customHeight="1">
      <c r="A1198" s="10"/>
      <c r="B1198" s="10"/>
      <c r="C1198" s="17" t="s">
        <v>530</v>
      </c>
      <c r="D1198" s="10"/>
      <c r="E1198" s="10"/>
      <c r="F1198" s="10"/>
      <c r="G1198" s="11" t="str">
        <f>Monetary_Unit</f>
        <v>тыс. руб.</v>
      </c>
      <c r="H1198" s="10"/>
      <c r="I1198" s="23">
        <f ca="1">SUM(L1198:CO1198)</f>
        <v>9759890.1360381171</v>
      </c>
      <c r="J1198" s="10"/>
      <c r="K1198" s="10"/>
      <c r="L1198" s="10">
        <f t="shared" ref="L1198" ca="1" si="7669">MAX(0,MIN(SUM(L1196:L1197),L1162))</f>
        <v>0</v>
      </c>
      <c r="M1198" s="10">
        <f t="shared" ref="M1198:BX1198" ca="1" si="7670">MAX(0,MIN(SUM(M1196:M1197),M1162))</f>
        <v>0</v>
      </c>
      <c r="N1198" s="10">
        <f t="shared" ca="1" si="7670"/>
        <v>0</v>
      </c>
      <c r="O1198" s="10">
        <f t="shared" ca="1" si="7670"/>
        <v>0</v>
      </c>
      <c r="P1198" s="10">
        <f t="shared" ca="1" si="7670"/>
        <v>0</v>
      </c>
      <c r="Q1198" s="10">
        <f t="shared" ca="1" si="7670"/>
        <v>0</v>
      </c>
      <c r="R1198" s="10">
        <f t="shared" ca="1" si="7670"/>
        <v>0</v>
      </c>
      <c r="S1198" s="10">
        <f t="shared" ca="1" si="7670"/>
        <v>0</v>
      </c>
      <c r="T1198" s="10">
        <f t="shared" ca="1" si="7670"/>
        <v>0</v>
      </c>
      <c r="U1198" s="10">
        <f t="shared" ca="1" si="7670"/>
        <v>0</v>
      </c>
      <c r="V1198" s="10">
        <f t="shared" ca="1" si="7670"/>
        <v>0</v>
      </c>
      <c r="W1198" s="10">
        <f t="shared" ca="1" si="7670"/>
        <v>0</v>
      </c>
      <c r="X1198" s="10">
        <f t="shared" ca="1" si="7670"/>
        <v>0</v>
      </c>
      <c r="Y1198" s="10">
        <f t="shared" ca="1" si="7670"/>
        <v>0</v>
      </c>
      <c r="Z1198" s="10">
        <f t="shared" ca="1" si="7670"/>
        <v>0</v>
      </c>
      <c r="AA1198" s="10">
        <f t="shared" ca="1" si="7670"/>
        <v>0</v>
      </c>
      <c r="AB1198" s="10">
        <f t="shared" ca="1" si="7670"/>
        <v>0</v>
      </c>
      <c r="AC1198" s="10">
        <f t="shared" ca="1" si="7670"/>
        <v>661321.25606450334</v>
      </c>
      <c r="AD1198" s="10">
        <f t="shared" ca="1" si="7670"/>
        <v>729255.92650582618</v>
      </c>
      <c r="AE1198" s="10">
        <f t="shared" ca="1" si="7670"/>
        <v>661894.79164011893</v>
      </c>
      <c r="AF1198" s="10">
        <f t="shared" ca="1" si="7670"/>
        <v>633621.86502524593</v>
      </c>
      <c r="AG1198" s="10">
        <f t="shared" ca="1" si="7670"/>
        <v>610622.92465041904</v>
      </c>
      <c r="AH1198" s="10">
        <f t="shared" ca="1" si="7670"/>
        <v>573444.32271538</v>
      </c>
      <c r="AI1198" s="10">
        <f t="shared" ca="1" si="7670"/>
        <v>494858.9217379964</v>
      </c>
      <c r="AJ1198" s="10">
        <f t="shared" ca="1" si="7670"/>
        <v>462505.11744638934</v>
      </c>
      <c r="AK1198" s="10">
        <f t="shared" ca="1" si="7670"/>
        <v>437071.7829685483</v>
      </c>
      <c r="AL1198" s="10">
        <f t="shared" ca="1" si="7670"/>
        <v>394942.08538593579</v>
      </c>
      <c r="AM1198" s="10">
        <f t="shared" ca="1" si="7670"/>
        <v>304412.58955751295</v>
      </c>
      <c r="AN1198" s="10">
        <f t="shared" ca="1" si="7670"/>
        <v>269024.10639794916</v>
      </c>
      <c r="AO1198" s="10">
        <f t="shared" ca="1" si="7670"/>
        <v>239801.17691165864</v>
      </c>
      <c r="AP1198" s="10">
        <f t="shared" ca="1" si="7670"/>
        <v>231051.36199083491</v>
      </c>
      <c r="AQ1198" s="10">
        <f t="shared" ca="1" si="7670"/>
        <v>248946.58780742547</v>
      </c>
      <c r="AR1198" s="10">
        <f t="shared" ca="1" si="7670"/>
        <v>168679.14289281843</v>
      </c>
      <c r="AS1198" s="10">
        <f t="shared" ca="1" si="7670"/>
        <v>170786.96640984941</v>
      </c>
      <c r="AT1198" s="10">
        <f t="shared" ca="1" si="7670"/>
        <v>248309.13217825646</v>
      </c>
      <c r="AU1198" s="10">
        <f t="shared" ca="1" si="7670"/>
        <v>262182.74032664526</v>
      </c>
      <c r="AV1198" s="10">
        <f t="shared" ca="1" si="7670"/>
        <v>179042.56181648208</v>
      </c>
      <c r="AW1198" s="10">
        <f t="shared" ca="1" si="7670"/>
        <v>217630.15060811906</v>
      </c>
      <c r="AX1198" s="10">
        <f t="shared" ca="1" si="7670"/>
        <v>200416.93014513922</v>
      </c>
      <c r="AY1198" s="10">
        <f t="shared" ca="1" si="7670"/>
        <v>140792.30661055032</v>
      </c>
      <c r="AZ1198" s="10">
        <f t="shared" ca="1" si="7670"/>
        <v>98703.27076669212</v>
      </c>
      <c r="BA1198" s="10">
        <f t="shared" ca="1" si="7670"/>
        <v>135520.89003718412</v>
      </c>
      <c r="BB1198" s="10">
        <f t="shared" ca="1" si="7670"/>
        <v>190465.52671525543</v>
      </c>
      <c r="BC1198" s="10">
        <f t="shared" ca="1" si="7670"/>
        <v>155979.58767407955</v>
      </c>
      <c r="BD1198" s="10">
        <f t="shared" ca="1" si="7670"/>
        <v>113782.04668168948</v>
      </c>
      <c r="BE1198" s="10">
        <f t="shared" ca="1" si="7670"/>
        <v>148347.52427404752</v>
      </c>
      <c r="BF1198" s="10">
        <f t="shared" ca="1" si="7670"/>
        <v>206141.98677454752</v>
      </c>
      <c r="BG1198" s="10">
        <f t="shared" ca="1" si="7670"/>
        <v>170334.55532102165</v>
      </c>
      <c r="BH1198" s="10">
        <f t="shared" ca="1" si="7670"/>
        <v>0</v>
      </c>
      <c r="BI1198" s="10">
        <f t="shared" ca="1" si="7670"/>
        <v>0</v>
      </c>
      <c r="BJ1198" s="10">
        <f t="shared" ca="1" si="7670"/>
        <v>0</v>
      </c>
      <c r="BK1198" s="10">
        <f t="shared" ca="1" si="7670"/>
        <v>0</v>
      </c>
      <c r="BL1198" s="10">
        <f t="shared" ca="1" si="7670"/>
        <v>0</v>
      </c>
      <c r="BM1198" s="10">
        <f t="shared" ca="1" si="7670"/>
        <v>0</v>
      </c>
      <c r="BN1198" s="10">
        <f t="shared" ca="1" si="7670"/>
        <v>0</v>
      </c>
      <c r="BO1198" s="10">
        <f t="shared" ca="1" si="7670"/>
        <v>0</v>
      </c>
      <c r="BP1198" s="10">
        <f t="shared" ca="1" si="7670"/>
        <v>0</v>
      </c>
      <c r="BQ1198" s="10">
        <f t="shared" ca="1" si="7670"/>
        <v>0</v>
      </c>
      <c r="BR1198" s="10">
        <f t="shared" ca="1" si="7670"/>
        <v>0</v>
      </c>
      <c r="BS1198" s="10">
        <f t="shared" ca="1" si="7670"/>
        <v>0</v>
      </c>
      <c r="BT1198" s="10">
        <f t="shared" ca="1" si="7670"/>
        <v>0</v>
      </c>
      <c r="BU1198" s="10">
        <f t="shared" ca="1" si="7670"/>
        <v>0</v>
      </c>
      <c r="BV1198" s="10">
        <f t="shared" ca="1" si="7670"/>
        <v>0</v>
      </c>
      <c r="BW1198" s="10">
        <f t="shared" ca="1" si="7670"/>
        <v>0</v>
      </c>
      <c r="BX1198" s="10">
        <f t="shared" ca="1" si="7670"/>
        <v>0</v>
      </c>
      <c r="BY1198" s="10">
        <f t="shared" ref="BY1198:CO1198" ca="1" si="7671">MAX(0,MIN(SUM(BY1196:BY1197),BY1162))</f>
        <v>0</v>
      </c>
      <c r="BZ1198" s="10">
        <f t="shared" ca="1" si="7671"/>
        <v>0</v>
      </c>
      <c r="CA1198" s="10">
        <f t="shared" ca="1" si="7671"/>
        <v>0</v>
      </c>
      <c r="CB1198" s="10">
        <f t="shared" ca="1" si="7671"/>
        <v>0</v>
      </c>
      <c r="CC1198" s="10">
        <f t="shared" ca="1" si="7671"/>
        <v>0</v>
      </c>
      <c r="CD1198" s="10">
        <f t="shared" ca="1" si="7671"/>
        <v>0</v>
      </c>
      <c r="CE1198" s="10">
        <f t="shared" ca="1" si="7671"/>
        <v>0</v>
      </c>
      <c r="CF1198" s="10">
        <f t="shared" ca="1" si="7671"/>
        <v>0</v>
      </c>
      <c r="CG1198" s="10">
        <f t="shared" ca="1" si="7671"/>
        <v>0</v>
      </c>
      <c r="CH1198" s="10">
        <f t="shared" ca="1" si="7671"/>
        <v>0</v>
      </c>
      <c r="CI1198" s="10">
        <f t="shared" ca="1" si="7671"/>
        <v>0</v>
      </c>
      <c r="CJ1198" s="10">
        <f t="shared" ca="1" si="7671"/>
        <v>0</v>
      </c>
      <c r="CK1198" s="10">
        <f t="shared" ca="1" si="7671"/>
        <v>0</v>
      </c>
      <c r="CL1198" s="10">
        <f t="shared" ca="1" si="7671"/>
        <v>0</v>
      </c>
      <c r="CM1198" s="10">
        <f t="shared" ca="1" si="7671"/>
        <v>0</v>
      </c>
      <c r="CN1198" s="10">
        <f t="shared" ca="1" si="7671"/>
        <v>0</v>
      </c>
      <c r="CO1198" s="10">
        <f t="shared" ca="1" si="7671"/>
        <v>0</v>
      </c>
    </row>
    <row r="1199" spans="1:93" ht="14.65" customHeight="1">
      <c r="A1199" s="10"/>
      <c r="B1199" s="10"/>
      <c r="C1199" s="17"/>
      <c r="D1199" s="10"/>
      <c r="E1199" s="10"/>
      <c r="F1199" s="10"/>
      <c r="G1199" s="11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  <c r="BB1199" s="10"/>
      <c r="BC1199" s="10"/>
      <c r="BD1199" s="10"/>
      <c r="BE1199" s="10"/>
      <c r="BF1199" s="10"/>
      <c r="BG1199" s="10"/>
      <c r="BH1199" s="10"/>
      <c r="BI1199" s="10"/>
      <c r="BJ1199" s="10"/>
      <c r="BK1199" s="10"/>
      <c r="BL1199" s="10"/>
      <c r="BM1199" s="10"/>
      <c r="BN1199" s="10"/>
      <c r="BO1199" s="10"/>
      <c r="BP1199" s="10"/>
      <c r="BQ1199" s="10"/>
      <c r="BR1199" s="10"/>
      <c r="BS1199" s="10"/>
      <c r="BT1199" s="10"/>
      <c r="BU1199" s="10"/>
      <c r="BV1199" s="10"/>
      <c r="BW1199" s="10"/>
      <c r="BX1199" s="10"/>
      <c r="BY1199" s="10"/>
      <c r="BZ1199" s="10"/>
      <c r="CA1199" s="10"/>
      <c r="CB1199" s="10"/>
      <c r="CC1199" s="10"/>
      <c r="CD1199" s="10"/>
      <c r="CE1199" s="10"/>
      <c r="CF1199" s="10"/>
      <c r="CG1199" s="10"/>
      <c r="CH1199" s="10"/>
      <c r="CI1199" s="10"/>
      <c r="CJ1199" s="10"/>
      <c r="CK1199" s="10"/>
      <c r="CL1199" s="10"/>
      <c r="CM1199" s="10"/>
      <c r="CN1199" s="10"/>
      <c r="CO1199" s="10"/>
    </row>
    <row r="1200" spans="1:93">
      <c r="A1200" s="10"/>
      <c r="B1200" s="10"/>
      <c r="C1200" s="67" t="s">
        <v>320</v>
      </c>
      <c r="D1200" s="10"/>
      <c r="E1200" s="10"/>
      <c r="F1200" s="10"/>
      <c r="G1200" s="11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  <c r="BB1200" s="10"/>
      <c r="BC1200" s="10"/>
      <c r="BD1200" s="10"/>
      <c r="BE1200" s="10"/>
      <c r="BF1200" s="10"/>
      <c r="BG1200" s="10"/>
      <c r="BH1200" s="10"/>
      <c r="BI1200" s="10"/>
      <c r="BJ1200" s="10"/>
      <c r="BK1200" s="10"/>
      <c r="BL1200" s="10"/>
      <c r="BM1200" s="10"/>
      <c r="BN1200" s="10"/>
      <c r="BO1200" s="10"/>
      <c r="BP1200" s="10"/>
      <c r="BQ1200" s="10"/>
      <c r="BR1200" s="10"/>
      <c r="BS1200" s="10"/>
      <c r="BT1200" s="10"/>
      <c r="BU1200" s="10"/>
      <c r="BV1200" s="10"/>
      <c r="BW1200" s="10"/>
      <c r="BX1200" s="10"/>
      <c r="BY1200" s="10"/>
      <c r="BZ1200" s="10"/>
      <c r="CA1200" s="10"/>
      <c r="CB1200" s="10"/>
      <c r="CC1200" s="10"/>
      <c r="CD1200" s="10"/>
      <c r="CE1200" s="10"/>
      <c r="CF1200" s="10"/>
      <c r="CG1200" s="10"/>
      <c r="CH1200" s="10"/>
      <c r="CI1200" s="10"/>
      <c r="CJ1200" s="10"/>
      <c r="CK1200" s="10"/>
      <c r="CL1200" s="10"/>
      <c r="CM1200" s="10"/>
      <c r="CN1200" s="10"/>
      <c r="CO1200" s="10"/>
    </row>
    <row r="1201" spans="1:93">
      <c r="A1201" s="10"/>
      <c r="B1201" s="10"/>
      <c r="C1201" s="17" t="s">
        <v>411</v>
      </c>
      <c r="D1201" s="452"/>
      <c r="E1201" s="65">
        <f>I1143</f>
        <v>4616063.5245886445</v>
      </c>
      <c r="F1201" s="452"/>
      <c r="G1201" s="11" t="str">
        <f>Monetary_Unit</f>
        <v>тыс. руб.</v>
      </c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  <c r="BB1201" s="10"/>
      <c r="BC1201" s="10"/>
      <c r="BD1201" s="10"/>
      <c r="BE1201" s="10"/>
      <c r="BF1201" s="10"/>
      <c r="BG1201" s="10"/>
      <c r="BH1201" s="10"/>
      <c r="BI1201" s="10"/>
      <c r="BJ1201" s="10"/>
      <c r="BK1201" s="10"/>
      <c r="BL1201" s="10"/>
      <c r="BM1201" s="10"/>
      <c r="BN1201" s="10"/>
      <c r="BO1201" s="10"/>
      <c r="BP1201" s="10"/>
      <c r="BQ1201" s="10"/>
      <c r="BR1201" s="10"/>
      <c r="BS1201" s="10"/>
      <c r="BT1201" s="10"/>
      <c r="BU1201" s="10"/>
      <c r="BV1201" s="10"/>
      <c r="BW1201" s="10"/>
      <c r="BX1201" s="10"/>
      <c r="BY1201" s="10"/>
      <c r="BZ1201" s="10"/>
      <c r="CA1201" s="10"/>
      <c r="CB1201" s="10"/>
      <c r="CC1201" s="10"/>
      <c r="CD1201" s="10"/>
      <c r="CE1201" s="10"/>
      <c r="CF1201" s="10"/>
      <c r="CG1201" s="10"/>
      <c r="CH1201" s="10"/>
      <c r="CI1201" s="10"/>
      <c r="CJ1201" s="10"/>
      <c r="CK1201" s="10"/>
      <c r="CL1201" s="10"/>
      <c r="CM1201" s="10"/>
      <c r="CN1201" s="10"/>
      <c r="CO1201" s="10"/>
    </row>
    <row r="1202" spans="1:93">
      <c r="A1202" s="10"/>
      <c r="B1202" s="10"/>
      <c r="C1202" s="17" t="s">
        <v>412</v>
      </c>
      <c r="D1202" s="10"/>
      <c r="E1202" s="10"/>
      <c r="F1202" s="10"/>
      <c r="G1202" s="11" t="str">
        <f>Monetary_Unit</f>
        <v>тыс. руб.</v>
      </c>
      <c r="H1202" s="10"/>
      <c r="I1202" s="10"/>
      <c r="J1202" s="10"/>
      <c r="K1202" s="10"/>
      <c r="L1202" s="52">
        <f>MAX(($E$1201-SUM($K1163:L1163)),0)*L1156</f>
        <v>4616063.5245886445</v>
      </c>
      <c r="M1202" s="52">
        <f>MAX(($E$1201-SUM($K1163:M1163)),0)*M1156</f>
        <v>4616063.5245886445</v>
      </c>
      <c r="N1202" s="52">
        <f>MAX(($E$1201-SUM($K1163:N1163)),0)*N1156</f>
        <v>4616063.5245886445</v>
      </c>
      <c r="O1202" s="52">
        <f>MAX(($E$1201-SUM($K1163:O1163)),0)*O1156</f>
        <v>4616063.5245886445</v>
      </c>
      <c r="P1202" s="52">
        <f>MAX(($E$1201-SUM($K1163:P1163)),0)*P1156</f>
        <v>4616063.5245886445</v>
      </c>
      <c r="Q1202" s="52">
        <f>MAX(($E$1201-SUM($K1163:Q1163)),0)*Q1156</f>
        <v>4616063.5245886445</v>
      </c>
      <c r="R1202" s="52">
        <f>MAX(($E$1201-SUM($K1163:R1163)),0)*R1156</f>
        <v>4616063.5245886445</v>
      </c>
      <c r="S1202" s="52">
        <f>MAX(($E$1201-SUM($K1163:S1163)),0)*S1156</f>
        <v>4522988.3051256817</v>
      </c>
      <c r="T1202" s="52">
        <f>MAX(($E$1201-SUM($K1163:T1163)),0)*T1156</f>
        <v>4236373.1806853665</v>
      </c>
      <c r="U1202" s="52">
        <f>MAX(($E$1201-SUM($K1163:U1163)),0)*U1156</f>
        <v>3946933.9209008575</v>
      </c>
      <c r="V1202" s="52">
        <f>MAX(($E$1201-SUM($K1163:V1163)),0)*V1156</f>
        <v>3654642.6984184599</v>
      </c>
      <c r="W1202" s="52">
        <f>MAX(($E$1201-SUM($K1163:W1163)),0)*W1156</f>
        <v>3359471.4116902472</v>
      </c>
      <c r="X1202" s="52">
        <f>MAX(($E$1201-SUM($K1163:X1163)),0)*X1156</f>
        <v>2736959.0103802355</v>
      </c>
      <c r="Y1202" s="52">
        <f>MAX(($E$1201-SUM($K1163:Y1163)),0)*Y1156</f>
        <v>2108312.7412983417</v>
      </c>
      <c r="Z1202" s="52">
        <f>MAX(($E$1201-SUM($K1163:Z1163)),0)*Z1156</f>
        <v>1473472.1649516914</v>
      </c>
      <c r="AA1202" s="52">
        <f>MAX(($E$1201-SUM($K1163:AA1163)),0)*AA1156</f>
        <v>832376.24631251581</v>
      </c>
      <c r="AB1202" s="52">
        <f>MAX(($E$1201-SUM($K1163:AB1163)),0)*AB1156</f>
        <v>0</v>
      </c>
      <c r="AC1202" s="52">
        <f>MAX(($E$1201-SUM($K1163:AC1163)),0)*AC1156</f>
        <v>0</v>
      </c>
      <c r="AD1202" s="52">
        <f>MAX(($E$1201-SUM($K1163:AD1163)),0)*AD1156</f>
        <v>0</v>
      </c>
      <c r="AE1202" s="52">
        <f>MAX(($E$1201-SUM($K1163:AE1163)),0)*AE1156</f>
        <v>0</v>
      </c>
      <c r="AF1202" s="52">
        <f>MAX(($E$1201-SUM($K1163:AF1163)),0)*AF1156</f>
        <v>0</v>
      </c>
      <c r="AG1202" s="52">
        <f>MAX(($E$1201-SUM($K1163:AG1163)),0)*AG1156</f>
        <v>0</v>
      </c>
      <c r="AH1202" s="52">
        <f>MAX(($E$1201-SUM($K1163:AH1163)),0)*AH1156</f>
        <v>0</v>
      </c>
      <c r="AI1202" s="52">
        <f>MAX(($E$1201-SUM($K1163:AI1163)),0)*AI1156</f>
        <v>0</v>
      </c>
      <c r="AJ1202" s="52">
        <f>MAX(($E$1201-SUM($K1163:AJ1163)),0)*AJ1156</f>
        <v>0</v>
      </c>
      <c r="AK1202" s="52">
        <f>MAX(($E$1201-SUM($K1163:AK1163)),0)*AK1156</f>
        <v>0</v>
      </c>
      <c r="AL1202" s="52">
        <f>MAX(($E$1201-SUM($K1163:AL1163)),0)*AL1156</f>
        <v>0</v>
      </c>
      <c r="AM1202" s="52">
        <f>MAX(($E$1201-SUM($K1163:AM1163)),0)*AM1156</f>
        <v>0</v>
      </c>
      <c r="AN1202" s="52">
        <f>MAX(($E$1201-SUM($K1163:AN1163)),0)*AN1156</f>
        <v>0</v>
      </c>
      <c r="AO1202" s="52">
        <f>MAX(($E$1201-SUM($K1163:AO1163)),0)*AO1156</f>
        <v>0</v>
      </c>
      <c r="AP1202" s="52">
        <f>MAX(($E$1201-SUM($K1163:AP1163)),0)*AP1156</f>
        <v>0</v>
      </c>
      <c r="AQ1202" s="52">
        <f>MAX(($E$1201-SUM($K1163:AQ1163)),0)*AQ1156</f>
        <v>0</v>
      </c>
      <c r="AR1202" s="52">
        <f>MAX(($E$1201-SUM($K1163:AR1163)),0)*AR1156</f>
        <v>0</v>
      </c>
      <c r="AS1202" s="52">
        <f>MAX(($E$1201-SUM($K1163:AS1163)),0)*AS1156</f>
        <v>0</v>
      </c>
      <c r="AT1202" s="52">
        <f>MAX(($E$1201-SUM($K1163:AT1163)),0)*AT1156</f>
        <v>0</v>
      </c>
      <c r="AU1202" s="52">
        <f>MAX(($E$1201-SUM($K1163:AU1163)),0)*AU1156</f>
        <v>0</v>
      </c>
      <c r="AV1202" s="52">
        <f>MAX(($E$1201-SUM($K1163:AV1163)),0)*AV1156</f>
        <v>0</v>
      </c>
      <c r="AW1202" s="52">
        <f>MAX(($E$1201-SUM($K1163:AW1163)),0)*AW1156</f>
        <v>0</v>
      </c>
      <c r="AX1202" s="52">
        <f>MAX(($E$1201-SUM($K1163:AX1163)),0)*AX1156</f>
        <v>0</v>
      </c>
      <c r="AY1202" s="52">
        <f>MAX(($E$1201-SUM($K1163:AY1163)),0)*AY1156</f>
        <v>0</v>
      </c>
      <c r="AZ1202" s="52">
        <f>MAX(($E$1201-SUM($K1163:AZ1163)),0)*AZ1156</f>
        <v>0</v>
      </c>
      <c r="BA1202" s="52">
        <f>MAX(($E$1201-SUM($K1163:BA1163)),0)*BA1156</f>
        <v>0</v>
      </c>
      <c r="BB1202" s="52">
        <f>MAX(($E$1201-SUM($K1163:BB1163)),0)*BB1156</f>
        <v>0</v>
      </c>
      <c r="BC1202" s="52">
        <f>MAX(($E$1201-SUM($K1163:BC1163)),0)*BC1156</f>
        <v>0</v>
      </c>
      <c r="BD1202" s="52">
        <f>MAX(($E$1201-SUM($K1163:BD1163)),0)*BD1156</f>
        <v>0</v>
      </c>
      <c r="BE1202" s="52">
        <f>MAX(($E$1201-SUM($K1163:BE1163)),0)*BE1156</f>
        <v>0</v>
      </c>
      <c r="BF1202" s="52">
        <f>MAX(($E$1201-SUM($K1163:BF1163)),0)*BF1156</f>
        <v>0</v>
      </c>
      <c r="BG1202" s="52">
        <f>MAX(($E$1201-SUM($K1163:BG1163)),0)*BG1156</f>
        <v>0</v>
      </c>
      <c r="BH1202" s="52">
        <f>MAX(($E$1201-SUM($K1163:BH1163)),0)*BH1156</f>
        <v>0</v>
      </c>
      <c r="BI1202" s="52">
        <f>MAX(($E$1201-SUM($K1163:BI1163)),0)*BI1156</f>
        <v>0</v>
      </c>
      <c r="BJ1202" s="52">
        <f>MAX(($E$1201-SUM($K1163:BJ1163)),0)*BJ1156</f>
        <v>0</v>
      </c>
      <c r="BK1202" s="52">
        <f>MAX(($E$1201-SUM($K1163:BK1163)),0)*BK1156</f>
        <v>0</v>
      </c>
      <c r="BL1202" s="52">
        <f>MAX(($E$1201-SUM($K1163:BL1163)),0)*BL1156</f>
        <v>0</v>
      </c>
      <c r="BM1202" s="52">
        <f>MAX(($E$1201-SUM($K1163:BM1163)),0)*BM1156</f>
        <v>0</v>
      </c>
      <c r="BN1202" s="52">
        <f>MAX(($E$1201-SUM($K1163:BN1163)),0)*BN1156</f>
        <v>0</v>
      </c>
      <c r="BO1202" s="52">
        <f>MAX(($E$1201-SUM($K1163:BO1163)),0)*BO1156</f>
        <v>0</v>
      </c>
      <c r="BP1202" s="52">
        <f>MAX(($E$1201-SUM($K1163:BP1163)),0)*BP1156</f>
        <v>0</v>
      </c>
      <c r="BQ1202" s="52">
        <f>MAX(($E$1201-SUM($K1163:BQ1163)),0)*BQ1156</f>
        <v>0</v>
      </c>
      <c r="BR1202" s="52">
        <f>MAX(($E$1201-SUM($K1163:BR1163)),0)*BR1156</f>
        <v>0</v>
      </c>
      <c r="BS1202" s="52">
        <f>MAX(($E$1201-SUM($K1163:BS1163)),0)*BS1156</f>
        <v>0</v>
      </c>
      <c r="BT1202" s="52">
        <f>MAX(($E$1201-SUM($K1163:BT1163)),0)*BT1156</f>
        <v>0</v>
      </c>
      <c r="BU1202" s="52">
        <f>MAX(($E$1201-SUM($K1163:BU1163)),0)*BU1156</f>
        <v>0</v>
      </c>
      <c r="BV1202" s="52">
        <f>MAX(($E$1201-SUM($K1163:BV1163)),0)*BV1156</f>
        <v>0</v>
      </c>
      <c r="BW1202" s="52">
        <f>MAX(($E$1201-SUM($K1163:BW1163)),0)*BW1156</f>
        <v>0</v>
      </c>
      <c r="BX1202" s="52">
        <f>MAX(($E$1201-SUM($K1163:BX1163)),0)*BX1156</f>
        <v>0</v>
      </c>
      <c r="BY1202" s="52">
        <f>MAX(($E$1201-SUM($K1163:BY1163)),0)*BY1156</f>
        <v>0</v>
      </c>
      <c r="BZ1202" s="52">
        <f>MAX(($E$1201-SUM($K1163:BZ1163)),0)*BZ1156</f>
        <v>0</v>
      </c>
      <c r="CA1202" s="52">
        <f>MAX(($E$1201-SUM($K1163:CA1163)),0)*CA1156</f>
        <v>0</v>
      </c>
      <c r="CB1202" s="52">
        <f>MAX(($E$1201-SUM($K1163:CB1163)),0)*CB1156</f>
        <v>0</v>
      </c>
      <c r="CC1202" s="52">
        <f>MAX(($E$1201-SUM($K1163:CC1163)),0)*CC1156</f>
        <v>0</v>
      </c>
      <c r="CD1202" s="52">
        <f>MAX(($E$1201-SUM($K1163:CD1163)),0)*CD1156</f>
        <v>0</v>
      </c>
      <c r="CE1202" s="52">
        <f>MAX(($E$1201-SUM($K1163:CE1163)),0)*CE1156</f>
        <v>0</v>
      </c>
      <c r="CF1202" s="52">
        <f>MAX(($E$1201-SUM($K1163:CF1163)),0)*CF1156</f>
        <v>0</v>
      </c>
      <c r="CG1202" s="52">
        <f>MAX(($E$1201-SUM($K1163:CG1163)),0)*CG1156</f>
        <v>0</v>
      </c>
      <c r="CH1202" s="52">
        <f>MAX(($E$1201-SUM($K1163:CH1163)),0)*CH1156</f>
        <v>0</v>
      </c>
      <c r="CI1202" s="52">
        <f>MAX(($E$1201-SUM($K1163:CI1163)),0)*CI1156</f>
        <v>0</v>
      </c>
      <c r="CJ1202" s="52">
        <f>MAX(($E$1201-SUM($K1163:CJ1163)),0)*CJ1156</f>
        <v>0</v>
      </c>
      <c r="CK1202" s="52">
        <f>MAX(($E$1201-SUM($K1163:CK1163)),0)*CK1156</f>
        <v>0</v>
      </c>
      <c r="CL1202" s="52">
        <f>MAX(($E$1201-SUM($K1163:CL1163)),0)*CL1156</f>
        <v>0</v>
      </c>
      <c r="CM1202" s="52">
        <f>MAX(($E$1201-SUM($K1163:CM1163)),0)*CM1156</f>
        <v>0</v>
      </c>
      <c r="CN1202" s="52">
        <f>MAX(($E$1201-SUM($K1163:CN1163)),0)*CN1156</f>
        <v>0</v>
      </c>
      <c r="CO1202" s="52">
        <f>MAX(($E$1201-SUM($K1163:CO1163)),0)*CO1156</f>
        <v>0</v>
      </c>
    </row>
    <row r="1203" spans="1:93">
      <c r="A1203" s="10"/>
      <c r="B1203" s="10"/>
      <c r="C1203" s="17" t="s">
        <v>482</v>
      </c>
      <c r="D1203" s="10"/>
      <c r="E1203" s="178">
        <f>Предпосылки!E594</f>
        <v>2E-3</v>
      </c>
      <c r="F1203" s="10"/>
      <c r="G1203" s="11" t="s">
        <v>28</v>
      </c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  <c r="BB1203" s="10"/>
      <c r="BC1203" s="10"/>
      <c r="BD1203" s="10"/>
      <c r="BE1203" s="10"/>
      <c r="BF1203" s="10"/>
      <c r="BG1203" s="10"/>
      <c r="BH1203" s="10"/>
      <c r="BI1203" s="10"/>
      <c r="BJ1203" s="10"/>
      <c r="BK1203" s="10"/>
      <c r="BL1203" s="10"/>
      <c r="BM1203" s="10"/>
      <c r="BN1203" s="10"/>
      <c r="BO1203" s="10"/>
      <c r="BP1203" s="10"/>
      <c r="BQ1203" s="10"/>
      <c r="BR1203" s="10"/>
      <c r="BS1203" s="10"/>
      <c r="BT1203" s="10"/>
      <c r="BU1203" s="10"/>
      <c r="BV1203" s="10"/>
      <c r="BW1203" s="10"/>
      <c r="BX1203" s="10"/>
      <c r="BY1203" s="10"/>
      <c r="BZ1203" s="10"/>
      <c r="CA1203" s="10"/>
      <c r="CB1203" s="10"/>
      <c r="CC1203" s="10"/>
      <c r="CD1203" s="10"/>
      <c r="CE1203" s="10"/>
      <c r="CF1203" s="10"/>
      <c r="CG1203" s="10"/>
      <c r="CH1203" s="10"/>
      <c r="CI1203" s="10"/>
      <c r="CJ1203" s="10"/>
      <c r="CK1203" s="10"/>
      <c r="CL1203" s="10"/>
      <c r="CM1203" s="10"/>
      <c r="CN1203" s="10"/>
      <c r="CO1203" s="10"/>
    </row>
    <row r="1204" spans="1:93">
      <c r="A1204" s="10"/>
      <c r="B1204" s="10"/>
      <c r="C1204" s="17" t="s">
        <v>341</v>
      </c>
      <c r="D1204" s="10"/>
      <c r="E1204" s="178">
        <f>Предпосылки!E595</f>
        <v>3.0000000000000001E-3</v>
      </c>
      <c r="F1204" s="10"/>
      <c r="G1204" s="11" t="s">
        <v>28</v>
      </c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  <c r="BB1204" s="10"/>
      <c r="BC1204" s="10"/>
      <c r="BD1204" s="10"/>
      <c r="BE1204" s="10"/>
      <c r="BF1204" s="10"/>
      <c r="BG1204" s="10"/>
      <c r="BH1204" s="10"/>
      <c r="BI1204" s="10"/>
      <c r="BJ1204" s="10"/>
      <c r="BK1204" s="10"/>
      <c r="BL1204" s="10"/>
      <c r="BM1204" s="10"/>
      <c r="BN1204" s="10"/>
      <c r="BO1204" s="10"/>
      <c r="BP1204" s="10"/>
      <c r="BQ1204" s="10"/>
      <c r="BR1204" s="10"/>
      <c r="BS1204" s="10"/>
      <c r="BT1204" s="10"/>
      <c r="BU1204" s="10"/>
      <c r="BV1204" s="10"/>
      <c r="BW1204" s="10"/>
      <c r="BX1204" s="10"/>
      <c r="BY1204" s="10"/>
      <c r="BZ1204" s="10"/>
      <c r="CA1204" s="10"/>
      <c r="CB1204" s="10"/>
      <c r="CC1204" s="10"/>
      <c r="CD1204" s="10"/>
      <c r="CE1204" s="10"/>
      <c r="CF1204" s="10"/>
      <c r="CG1204" s="10"/>
      <c r="CH1204" s="10"/>
      <c r="CI1204" s="10"/>
      <c r="CJ1204" s="10"/>
      <c r="CK1204" s="10"/>
      <c r="CL1204" s="10"/>
      <c r="CM1204" s="10"/>
      <c r="CN1204" s="10"/>
      <c r="CO1204" s="10"/>
    </row>
    <row r="1205" spans="1:93">
      <c r="A1205" s="10"/>
      <c r="B1205" s="10"/>
      <c r="C1205" s="17"/>
      <c r="D1205" s="10"/>
      <c r="E1205" s="10"/>
      <c r="F1205" s="10"/>
      <c r="G1205" s="11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  <c r="BB1205" s="10"/>
      <c r="BC1205" s="10"/>
      <c r="BD1205" s="10"/>
      <c r="BE1205" s="10"/>
      <c r="BF1205" s="10"/>
      <c r="BG1205" s="10"/>
      <c r="BH1205" s="10"/>
      <c r="BI1205" s="10"/>
      <c r="BJ1205" s="10"/>
      <c r="BK1205" s="10"/>
      <c r="BL1205" s="10"/>
      <c r="BM1205" s="10"/>
      <c r="BN1205" s="10"/>
      <c r="BO1205" s="10"/>
      <c r="BP1205" s="10"/>
      <c r="BQ1205" s="10"/>
      <c r="BR1205" s="10"/>
      <c r="BS1205" s="10"/>
      <c r="BT1205" s="10"/>
      <c r="BU1205" s="10"/>
      <c r="BV1205" s="10"/>
      <c r="BW1205" s="10"/>
      <c r="BX1205" s="10"/>
      <c r="BY1205" s="10"/>
      <c r="BZ1205" s="10"/>
      <c r="CA1205" s="10"/>
      <c r="CB1205" s="10"/>
      <c r="CC1205" s="10"/>
      <c r="CD1205" s="10"/>
      <c r="CE1205" s="10"/>
      <c r="CF1205" s="10"/>
      <c r="CG1205" s="10"/>
      <c r="CH1205" s="10"/>
      <c r="CI1205" s="10"/>
      <c r="CJ1205" s="10"/>
      <c r="CK1205" s="10"/>
      <c r="CL1205" s="10"/>
      <c r="CM1205" s="10"/>
      <c r="CN1205" s="10"/>
      <c r="CO1205" s="10"/>
    </row>
    <row r="1206" spans="1:93">
      <c r="A1206" s="10"/>
      <c r="B1206" s="10"/>
      <c r="C1206" s="17" t="s">
        <v>483</v>
      </c>
      <c r="D1206" s="10"/>
      <c r="E1206" s="10"/>
      <c r="F1206" s="10"/>
      <c r="G1206" s="11" t="str">
        <f>Monetary_Unit</f>
        <v>тыс. руб.</v>
      </c>
      <c r="H1206" s="10"/>
      <c r="I1206" s="23">
        <f>SUM(L1206:CO1206)</f>
        <v>0</v>
      </c>
      <c r="J1206" s="10"/>
      <c r="K1206" s="10"/>
      <c r="L1206" s="52">
        <f t="shared" ref="L1206" si="7672">$E1203*$E1201*(K1156=0)*(L1156&gt;0)*L1156*(L1163&gt;0)</f>
        <v>0</v>
      </c>
      <c r="M1206" s="52">
        <f t="shared" ref="M1206" si="7673">$E1203*$E1201*(L1156=0)*(M1156&gt;0)*M1156*(M1163&gt;0)</f>
        <v>0</v>
      </c>
      <c r="N1206" s="52">
        <f t="shared" ref="N1206" si="7674">$E1203*$E1201*(M1156=0)*(N1156&gt;0)*N1156*(N1163&gt;0)</f>
        <v>0</v>
      </c>
      <c r="O1206" s="52">
        <f t="shared" ref="O1206" si="7675">$E1203*$E1201*(N1156=0)*(O1156&gt;0)*O1156*(O1163&gt;0)</f>
        <v>0</v>
      </c>
      <c r="P1206" s="52">
        <f t="shared" ref="P1206" si="7676">$E1203*$E1201*(O1156=0)*(P1156&gt;0)*P1156*(P1163&gt;0)</f>
        <v>0</v>
      </c>
      <c r="Q1206" s="52">
        <f t="shared" ref="Q1206" si="7677">$E1203*$E1201*(P1156=0)*(Q1156&gt;0)*Q1156*(Q1163&gt;0)</f>
        <v>0</v>
      </c>
      <c r="R1206" s="52">
        <f t="shared" ref="R1206" si="7678">$E1203*$E1201*(Q1156=0)*(R1156&gt;0)*R1156*(R1163&gt;0)</f>
        <v>0</v>
      </c>
      <c r="S1206" s="52">
        <f t="shared" ref="S1206" si="7679">$E1203*$E1201*(R1156=0)*(S1156&gt;0)*S1156*(S1163&gt;0)</f>
        <v>0</v>
      </c>
      <c r="T1206" s="52">
        <f t="shared" ref="T1206" si="7680">$E1203*$E1201*(S1156=0)*(T1156&gt;0)*T1156*(T1163&gt;0)</f>
        <v>0</v>
      </c>
      <c r="U1206" s="52">
        <f t="shared" ref="U1206" si="7681">$E1203*$E1201*(T1156=0)*(U1156&gt;0)*U1156*(U1163&gt;0)</f>
        <v>0</v>
      </c>
      <c r="V1206" s="52">
        <f t="shared" ref="V1206" si="7682">$E1203*$E1201*(U1156=0)*(V1156&gt;0)*V1156*(V1163&gt;0)</f>
        <v>0</v>
      </c>
      <c r="W1206" s="52">
        <f t="shared" ref="W1206" si="7683">$E1203*$E1201*(V1156=0)*(W1156&gt;0)*W1156*(W1163&gt;0)</f>
        <v>0</v>
      </c>
      <c r="X1206" s="52">
        <f t="shared" ref="X1206" si="7684">$E1203*$E1201*(W1156=0)*(X1156&gt;0)*X1156*(X1163&gt;0)</f>
        <v>0</v>
      </c>
      <c r="Y1206" s="52">
        <f t="shared" ref="Y1206" si="7685">$E1203*$E1201*(X1156=0)*(Y1156&gt;0)*Y1156*(Y1163&gt;0)</f>
        <v>0</v>
      </c>
      <c r="Z1206" s="52">
        <f t="shared" ref="Z1206" si="7686">$E1203*$E1201*(Y1156=0)*(Z1156&gt;0)*Z1156*(Z1163&gt;0)</f>
        <v>0</v>
      </c>
      <c r="AA1206" s="52">
        <f t="shared" ref="AA1206" si="7687">$E1203*$E1201*(Z1156=0)*(AA1156&gt;0)*AA1156*(AA1163&gt;0)</f>
        <v>0</v>
      </c>
      <c r="AB1206" s="52">
        <f t="shared" ref="AB1206" si="7688">$E1203*$E1201*(AA1156=0)*(AB1156&gt;0)*AB1156*(AB1163&gt;0)</f>
        <v>0</v>
      </c>
      <c r="AC1206" s="52">
        <f t="shared" ref="AC1206" si="7689">$E1203*$E1201*(AB1156=0)*(AC1156&gt;0)*AC1156*(AC1163&gt;0)</f>
        <v>0</v>
      </c>
      <c r="AD1206" s="52">
        <f t="shared" ref="AD1206" si="7690">$E1203*$E1201*(AC1156=0)*(AD1156&gt;0)*AD1156*(AD1163&gt;0)</f>
        <v>0</v>
      </c>
      <c r="AE1206" s="52">
        <f t="shared" ref="AE1206" si="7691">$E1203*$E1201*(AD1156=0)*(AE1156&gt;0)*AE1156*(AE1163&gt;0)</f>
        <v>0</v>
      </c>
      <c r="AF1206" s="52">
        <f t="shared" ref="AF1206" si="7692">$E1203*$E1201*(AE1156=0)*(AF1156&gt;0)*AF1156*(AF1163&gt;0)</f>
        <v>0</v>
      </c>
      <c r="AG1206" s="52">
        <f t="shared" ref="AG1206" si="7693">$E1203*$E1201*(AF1156=0)*(AG1156&gt;0)*AG1156*(AG1163&gt;0)</f>
        <v>0</v>
      </c>
      <c r="AH1206" s="52">
        <f t="shared" ref="AH1206" si="7694">$E1203*$E1201*(AG1156=0)*(AH1156&gt;0)*AH1156*(AH1163&gt;0)</f>
        <v>0</v>
      </c>
      <c r="AI1206" s="52">
        <f t="shared" ref="AI1206" si="7695">$E1203*$E1201*(AH1156=0)*(AI1156&gt;0)*AI1156*(AI1163&gt;0)</f>
        <v>0</v>
      </c>
      <c r="AJ1206" s="52">
        <f t="shared" ref="AJ1206" si="7696">$E1203*$E1201*(AI1156=0)*(AJ1156&gt;0)*AJ1156*(AJ1163&gt;0)</f>
        <v>0</v>
      </c>
      <c r="AK1206" s="52">
        <f t="shared" ref="AK1206" si="7697">$E1203*$E1201*(AJ1156=0)*(AK1156&gt;0)*AK1156*(AK1163&gt;0)</f>
        <v>0</v>
      </c>
      <c r="AL1206" s="52">
        <f t="shared" ref="AL1206" si="7698">$E1203*$E1201*(AK1156=0)*(AL1156&gt;0)*AL1156*(AL1163&gt;0)</f>
        <v>0</v>
      </c>
      <c r="AM1206" s="52">
        <f t="shared" ref="AM1206" si="7699">$E1203*$E1201*(AL1156=0)*(AM1156&gt;0)*AM1156*(AM1163&gt;0)</f>
        <v>0</v>
      </c>
      <c r="AN1206" s="52">
        <f t="shared" ref="AN1206" si="7700">$E1203*$E1201*(AM1156=0)*(AN1156&gt;0)*AN1156*(AN1163&gt;0)</f>
        <v>0</v>
      </c>
      <c r="AO1206" s="52">
        <f t="shared" ref="AO1206" si="7701">$E1203*$E1201*(AN1156=0)*(AO1156&gt;0)*AO1156*(AO1163&gt;0)</f>
        <v>0</v>
      </c>
      <c r="AP1206" s="52">
        <f t="shared" ref="AP1206" si="7702">$E1203*$E1201*(AO1156=0)*(AP1156&gt;0)*AP1156*(AP1163&gt;0)</f>
        <v>0</v>
      </c>
      <c r="AQ1206" s="52">
        <f t="shared" ref="AQ1206" si="7703">$E1203*$E1201*(AP1156=0)*(AQ1156&gt;0)*AQ1156*(AQ1163&gt;0)</f>
        <v>0</v>
      </c>
      <c r="AR1206" s="52">
        <f t="shared" ref="AR1206" si="7704">$E1203*$E1201*(AQ1156=0)*(AR1156&gt;0)*AR1156*(AR1163&gt;0)</f>
        <v>0</v>
      </c>
      <c r="AS1206" s="52">
        <f t="shared" ref="AS1206" si="7705">$E1203*$E1201*(AR1156=0)*(AS1156&gt;0)*AS1156*(AS1163&gt;0)</f>
        <v>0</v>
      </c>
      <c r="AT1206" s="52">
        <f t="shared" ref="AT1206" si="7706">$E1203*$E1201*(AS1156=0)*(AT1156&gt;0)*AT1156*(AT1163&gt;0)</f>
        <v>0</v>
      </c>
      <c r="AU1206" s="52">
        <f t="shared" ref="AU1206" si="7707">$E1203*$E1201*(AT1156=0)*(AU1156&gt;0)*AU1156*(AU1163&gt;0)</f>
        <v>0</v>
      </c>
      <c r="AV1206" s="52">
        <f t="shared" ref="AV1206" si="7708">$E1203*$E1201*(AU1156=0)*(AV1156&gt;0)*AV1156*(AV1163&gt;0)</f>
        <v>0</v>
      </c>
      <c r="AW1206" s="52">
        <f t="shared" ref="AW1206" si="7709">$E1203*$E1201*(AV1156=0)*(AW1156&gt;0)*AW1156*(AW1163&gt;0)</f>
        <v>0</v>
      </c>
      <c r="AX1206" s="52">
        <f t="shared" ref="AX1206" si="7710">$E1203*$E1201*(AW1156=0)*(AX1156&gt;0)*AX1156*(AX1163&gt;0)</f>
        <v>0</v>
      </c>
      <c r="AY1206" s="52">
        <f t="shared" ref="AY1206" si="7711">$E1203*$E1201*(AX1156=0)*(AY1156&gt;0)*AY1156*(AY1163&gt;0)</f>
        <v>0</v>
      </c>
      <c r="AZ1206" s="52">
        <f t="shared" ref="AZ1206" si="7712">$E1203*$E1201*(AY1156=0)*(AZ1156&gt;0)*AZ1156*(AZ1163&gt;0)</f>
        <v>0</v>
      </c>
      <c r="BA1206" s="52">
        <f t="shared" ref="BA1206" si="7713">$E1203*$E1201*(AZ1156=0)*(BA1156&gt;0)*BA1156*(BA1163&gt;0)</f>
        <v>0</v>
      </c>
      <c r="BB1206" s="52">
        <f t="shared" ref="BB1206" si="7714">$E1203*$E1201*(BA1156=0)*(BB1156&gt;0)*BB1156*(BB1163&gt;0)</f>
        <v>0</v>
      </c>
      <c r="BC1206" s="52">
        <f t="shared" ref="BC1206" si="7715">$E1203*$E1201*(BB1156=0)*(BC1156&gt;0)*BC1156*(BC1163&gt;0)</f>
        <v>0</v>
      </c>
      <c r="BD1206" s="52">
        <f t="shared" ref="BD1206" si="7716">$E1203*$E1201*(BC1156=0)*(BD1156&gt;0)*BD1156*(BD1163&gt;0)</f>
        <v>0</v>
      </c>
      <c r="BE1206" s="52">
        <f t="shared" ref="BE1206" si="7717">$E1203*$E1201*(BD1156=0)*(BE1156&gt;0)*BE1156*(BE1163&gt;0)</f>
        <v>0</v>
      </c>
      <c r="BF1206" s="52">
        <f t="shared" ref="BF1206" si="7718">$E1203*$E1201*(BE1156=0)*(BF1156&gt;0)*BF1156*(BF1163&gt;0)</f>
        <v>0</v>
      </c>
      <c r="BG1206" s="52">
        <f t="shared" ref="BG1206" si="7719">$E1203*$E1201*(BF1156=0)*(BG1156&gt;0)*BG1156*(BG1163&gt;0)</f>
        <v>0</v>
      </c>
      <c r="BH1206" s="52">
        <f t="shared" ref="BH1206" si="7720">$E1203*$E1201*(BG1156=0)*(BH1156&gt;0)*BH1156*(BH1163&gt;0)</f>
        <v>0</v>
      </c>
      <c r="BI1206" s="52">
        <f t="shared" ref="BI1206" si="7721">$E1203*$E1201*(BH1156=0)*(BI1156&gt;0)*BI1156*(BI1163&gt;0)</f>
        <v>0</v>
      </c>
      <c r="BJ1206" s="52">
        <f t="shared" ref="BJ1206" si="7722">$E1203*$E1201*(BI1156=0)*(BJ1156&gt;0)*BJ1156*(BJ1163&gt;0)</f>
        <v>0</v>
      </c>
      <c r="BK1206" s="52">
        <f t="shared" ref="BK1206" si="7723">$E1203*$E1201*(BJ1156=0)*(BK1156&gt;0)*BK1156*(BK1163&gt;0)</f>
        <v>0</v>
      </c>
      <c r="BL1206" s="52">
        <f t="shared" ref="BL1206" si="7724">$E1203*$E1201*(BK1156=0)*(BL1156&gt;0)*BL1156*(BL1163&gt;0)</f>
        <v>0</v>
      </c>
      <c r="BM1206" s="52">
        <f t="shared" ref="BM1206" si="7725">$E1203*$E1201*(BL1156=0)*(BM1156&gt;0)*BM1156*(BM1163&gt;0)</f>
        <v>0</v>
      </c>
      <c r="BN1206" s="52">
        <f t="shared" ref="BN1206" si="7726">$E1203*$E1201*(BM1156=0)*(BN1156&gt;0)*BN1156*(BN1163&gt;0)</f>
        <v>0</v>
      </c>
      <c r="BO1206" s="52">
        <f t="shared" ref="BO1206" si="7727">$E1203*$E1201*(BN1156=0)*(BO1156&gt;0)*BO1156*(BO1163&gt;0)</f>
        <v>0</v>
      </c>
      <c r="BP1206" s="52">
        <f t="shared" ref="BP1206" si="7728">$E1203*$E1201*(BO1156=0)*(BP1156&gt;0)*BP1156*(BP1163&gt;0)</f>
        <v>0</v>
      </c>
      <c r="BQ1206" s="52">
        <f t="shared" ref="BQ1206" si="7729">$E1203*$E1201*(BP1156=0)*(BQ1156&gt;0)*BQ1156*(BQ1163&gt;0)</f>
        <v>0</v>
      </c>
      <c r="BR1206" s="52">
        <f t="shared" ref="BR1206" si="7730">$E1203*$E1201*(BQ1156=0)*(BR1156&gt;0)*BR1156*(BR1163&gt;0)</f>
        <v>0</v>
      </c>
      <c r="BS1206" s="52">
        <f t="shared" ref="BS1206" si="7731">$E1203*$E1201*(BR1156=0)*(BS1156&gt;0)*BS1156*(BS1163&gt;0)</f>
        <v>0</v>
      </c>
      <c r="BT1206" s="52">
        <f t="shared" ref="BT1206" si="7732">$E1203*$E1201*(BS1156=0)*(BT1156&gt;0)*BT1156*(BT1163&gt;0)</f>
        <v>0</v>
      </c>
      <c r="BU1206" s="52">
        <f t="shared" ref="BU1206" si="7733">$E1203*$E1201*(BT1156=0)*(BU1156&gt;0)*BU1156*(BU1163&gt;0)</f>
        <v>0</v>
      </c>
      <c r="BV1206" s="52">
        <f t="shared" ref="BV1206" si="7734">$E1203*$E1201*(BU1156=0)*(BV1156&gt;0)*BV1156*(BV1163&gt;0)</f>
        <v>0</v>
      </c>
      <c r="BW1206" s="52">
        <f t="shared" ref="BW1206" si="7735">$E1203*$E1201*(BV1156=0)*(BW1156&gt;0)*BW1156*(BW1163&gt;0)</f>
        <v>0</v>
      </c>
      <c r="BX1206" s="52">
        <f t="shared" ref="BX1206" si="7736">$E1203*$E1201*(BW1156=0)*(BX1156&gt;0)*BX1156*(BX1163&gt;0)</f>
        <v>0</v>
      </c>
      <c r="BY1206" s="52">
        <f t="shared" ref="BY1206" si="7737">$E1203*$E1201*(BX1156=0)*(BY1156&gt;0)*BY1156*(BY1163&gt;0)</f>
        <v>0</v>
      </c>
      <c r="BZ1206" s="52">
        <f t="shared" ref="BZ1206" si="7738">$E1203*$E1201*(BY1156=0)*(BZ1156&gt;0)*BZ1156*(BZ1163&gt;0)</f>
        <v>0</v>
      </c>
      <c r="CA1206" s="52">
        <f t="shared" ref="CA1206" si="7739">$E1203*$E1201*(BZ1156=0)*(CA1156&gt;0)*CA1156*(CA1163&gt;0)</f>
        <v>0</v>
      </c>
      <c r="CB1206" s="52">
        <f t="shared" ref="CB1206" si="7740">$E1203*$E1201*(CA1156=0)*(CB1156&gt;0)*CB1156*(CB1163&gt;0)</f>
        <v>0</v>
      </c>
      <c r="CC1206" s="52">
        <f t="shared" ref="CC1206" si="7741">$E1203*$E1201*(CB1156=0)*(CC1156&gt;0)*CC1156*(CC1163&gt;0)</f>
        <v>0</v>
      </c>
      <c r="CD1206" s="52">
        <f t="shared" ref="CD1206" si="7742">$E1203*$E1201*(CC1156=0)*(CD1156&gt;0)*CD1156*(CD1163&gt;0)</f>
        <v>0</v>
      </c>
      <c r="CE1206" s="52">
        <f t="shared" ref="CE1206" si="7743">$E1203*$E1201*(CD1156=0)*(CE1156&gt;0)*CE1156*(CE1163&gt;0)</f>
        <v>0</v>
      </c>
      <c r="CF1206" s="52">
        <f t="shared" ref="CF1206" si="7744">$E1203*$E1201*(CE1156=0)*(CF1156&gt;0)*CF1156*(CF1163&gt;0)</f>
        <v>0</v>
      </c>
      <c r="CG1206" s="52">
        <f t="shared" ref="CG1206" si="7745">$E1203*$E1201*(CF1156=0)*(CG1156&gt;0)*CG1156*(CG1163&gt;0)</f>
        <v>0</v>
      </c>
      <c r="CH1206" s="52">
        <f t="shared" ref="CH1206" si="7746">$E1203*$E1201*(CG1156=0)*(CH1156&gt;0)*CH1156*(CH1163&gt;0)</f>
        <v>0</v>
      </c>
      <c r="CI1206" s="52">
        <f t="shared" ref="CI1206" si="7747">$E1203*$E1201*(CH1156=0)*(CI1156&gt;0)*CI1156*(CI1163&gt;0)</f>
        <v>0</v>
      </c>
      <c r="CJ1206" s="52">
        <f t="shared" ref="CJ1206" si="7748">$E1203*$E1201*(CI1156=0)*(CJ1156&gt;0)*CJ1156*(CJ1163&gt;0)</f>
        <v>0</v>
      </c>
      <c r="CK1206" s="52">
        <f t="shared" ref="CK1206" si="7749">$E1203*$E1201*(CJ1156=0)*(CK1156&gt;0)*CK1156*(CK1163&gt;0)</f>
        <v>0</v>
      </c>
      <c r="CL1206" s="52">
        <f t="shared" ref="CL1206" si="7750">$E1203*$E1201*(CK1156=0)*(CL1156&gt;0)*CL1156*(CL1163&gt;0)</f>
        <v>0</v>
      </c>
      <c r="CM1206" s="52">
        <f t="shared" ref="CM1206" si="7751">$E1203*$E1201*(CL1156=0)*(CM1156&gt;0)*CM1156*(CM1163&gt;0)</f>
        <v>0</v>
      </c>
      <c r="CN1206" s="52">
        <f t="shared" ref="CN1206" si="7752">$E1203*$E1201*(CM1156=0)*(CN1156&gt;0)*CN1156*(CN1163&gt;0)</f>
        <v>0</v>
      </c>
      <c r="CO1206" s="52">
        <f t="shared" ref="CO1206" si="7753">$E1203*$E1201*(CN1156=0)*(CO1156&gt;0)*CO1156*(CO1163&gt;0)</f>
        <v>0</v>
      </c>
    </row>
    <row r="1207" spans="1:93">
      <c r="A1207" s="10"/>
      <c r="B1207" s="10"/>
      <c r="C1207" s="17" t="s">
        <v>415</v>
      </c>
      <c r="D1207" s="10"/>
      <c r="E1207" s="10"/>
      <c r="F1207" s="10"/>
      <c r="G1207" s="11" t="str">
        <f>Monetary_Unit</f>
        <v>тыс. руб.</v>
      </c>
      <c r="H1207" s="10"/>
      <c r="I1207" s="23">
        <f>SUM(L1207:CO1207)</f>
        <v>20126.474624454266</v>
      </c>
      <c r="J1207" s="10"/>
      <c r="K1207" s="10"/>
      <c r="L1207" s="52">
        <f t="shared" ref="L1207" si="7754">$E1204*K1202*(K1165&gt;0)*L1156*Period_length</f>
        <v>0</v>
      </c>
      <c r="M1207" s="52">
        <f t="shared" ref="M1207" si="7755">$E1204*L1202*(L1165&gt;0)*M1156*Period_length</f>
        <v>0</v>
      </c>
      <c r="N1207" s="52">
        <f t="shared" ref="N1207" si="7756">$E1204*M1202*(M1165&gt;0)*N1156*Period_length</f>
        <v>0</v>
      </c>
      <c r="O1207" s="52">
        <f t="shared" ref="O1207" si="7757">$E1204*N1202*(N1165&gt;0)*O1156*Period_length</f>
        <v>0</v>
      </c>
      <c r="P1207" s="52">
        <f t="shared" ref="P1207" si="7758">$E1204*O1202*(O1165&gt;0)*P1156*Period_length</f>
        <v>0</v>
      </c>
      <c r="Q1207" s="52">
        <f t="shared" ref="Q1207" si="7759">$E1204*P1202*(P1165&gt;0)*Q1156*Period_length</f>
        <v>0</v>
      </c>
      <c r="R1207" s="52">
        <f t="shared" ref="R1207" si="7760">$E1204*Q1202*(Q1165&gt;0)*R1156*Period_length</f>
        <v>0</v>
      </c>
      <c r="S1207" s="52">
        <f t="shared" ref="S1207" si="7761">$E1204*R1202*(R1165&gt;0)*S1156*Period_length</f>
        <v>0</v>
      </c>
      <c r="T1207" s="52">
        <f t="shared" ref="T1207" si="7762">$E1204*S1202*(S1165&gt;0)*T1156*Period_length</f>
        <v>3345.7721709148877</v>
      </c>
      <c r="U1207" s="52">
        <f t="shared" ref="U1207" si="7763">$E1204*T1202*(T1165&gt;0)*U1156*Period_length</f>
        <v>3168.5750091153564</v>
      </c>
      <c r="V1207" s="52">
        <f t="shared" ref="V1207" si="7764">$E1204*U1202*(U1165&gt;0)*V1156*Period_length</f>
        <v>2984.5308552565393</v>
      </c>
      <c r="W1207" s="52">
        <f t="shared" ref="W1207" si="7765">$E1204*V1202*(V1165&gt;0)*W1156*Period_length</f>
        <v>2763.5106431876575</v>
      </c>
      <c r="X1207" s="52">
        <f t="shared" ref="X1207" si="7766">$E1204*W1202*(W1165&gt;0)*X1156*Period_length</f>
        <v>2505.8352333099388</v>
      </c>
      <c r="Y1207" s="52">
        <f t="shared" ref="Y1207" si="7767">$E1204*X1202*(X1165&gt;0)*Y1156*Period_length</f>
        <v>2041.5022126606673</v>
      </c>
      <c r="Z1207" s="52">
        <f t="shared" ref="Z1207" si="7768">$E1204*Y1202*(Y1165&gt;0)*Z1156*Period_length</f>
        <v>1589.8751819626839</v>
      </c>
      <c r="AA1207" s="52">
        <f t="shared" ref="AA1207" si="7769">$E1204*Z1202*(Z1165&gt;0)*AA1156*Period_length</f>
        <v>1111.1429440619313</v>
      </c>
      <c r="AB1207" s="52">
        <f t="shared" ref="AB1207" si="7770">$E1204*AA1202*(AA1165&gt;0)*AB1156*Period_length</f>
        <v>615.73037398460076</v>
      </c>
      <c r="AC1207" s="52">
        <f t="shared" ref="AC1207" si="7771">$E1204*AB1202*(AB1165&gt;0)*AC1156*Period_length</f>
        <v>0</v>
      </c>
      <c r="AD1207" s="52">
        <f t="shared" ref="AD1207" si="7772">$E1204*AC1202*(AC1165&gt;0)*AD1156*Period_length</f>
        <v>0</v>
      </c>
      <c r="AE1207" s="52">
        <f t="shared" ref="AE1207" si="7773">$E1204*AD1202*(AD1165&gt;0)*AE1156*Period_length</f>
        <v>0</v>
      </c>
      <c r="AF1207" s="52">
        <f t="shared" ref="AF1207" si="7774">$E1204*AE1202*(AE1165&gt;0)*AF1156*Period_length</f>
        <v>0</v>
      </c>
      <c r="AG1207" s="52">
        <f t="shared" ref="AG1207" si="7775">$E1204*AF1202*(AF1165&gt;0)*AG1156*Period_length</f>
        <v>0</v>
      </c>
      <c r="AH1207" s="52">
        <f t="shared" ref="AH1207" si="7776">$E1204*AG1202*(AG1165&gt;0)*AH1156*Period_length</f>
        <v>0</v>
      </c>
      <c r="AI1207" s="52">
        <f t="shared" ref="AI1207" si="7777">$E1204*AH1202*(AH1165&gt;0)*AI1156*Period_length</f>
        <v>0</v>
      </c>
      <c r="AJ1207" s="52">
        <f t="shared" ref="AJ1207" si="7778">$E1204*AI1202*(AI1165&gt;0)*AJ1156*Period_length</f>
        <v>0</v>
      </c>
      <c r="AK1207" s="52">
        <f t="shared" ref="AK1207" si="7779">$E1204*AJ1202*(AJ1165&gt;0)*AK1156*Period_length</f>
        <v>0</v>
      </c>
      <c r="AL1207" s="52">
        <f t="shared" ref="AL1207" si="7780">$E1204*AK1202*(AK1165&gt;0)*AL1156*Period_length</f>
        <v>0</v>
      </c>
      <c r="AM1207" s="52">
        <f t="shared" ref="AM1207" si="7781">$E1204*AL1202*(AL1165&gt;0)*AM1156*Period_length</f>
        <v>0</v>
      </c>
      <c r="AN1207" s="52">
        <f t="shared" ref="AN1207" si="7782">$E1204*AM1202*(AM1165&gt;0)*AN1156*Period_length</f>
        <v>0</v>
      </c>
      <c r="AO1207" s="52">
        <f t="shared" ref="AO1207" si="7783">$E1204*AN1202*(AN1165&gt;0)*AO1156*Period_length</f>
        <v>0</v>
      </c>
      <c r="AP1207" s="52">
        <f t="shared" ref="AP1207" si="7784">$E1204*AO1202*(AO1165&gt;0)*AP1156*Period_length</f>
        <v>0</v>
      </c>
      <c r="AQ1207" s="52">
        <f t="shared" ref="AQ1207" si="7785">$E1204*AP1202*(AP1165&gt;0)*AQ1156*Period_length</f>
        <v>0</v>
      </c>
      <c r="AR1207" s="52">
        <f t="shared" ref="AR1207" si="7786">$E1204*AQ1202*(AQ1165&gt;0)*AR1156*Period_length</f>
        <v>0</v>
      </c>
      <c r="AS1207" s="52">
        <f t="shared" ref="AS1207" si="7787">$E1204*AR1202*(AR1165&gt;0)*AS1156*Period_length</f>
        <v>0</v>
      </c>
      <c r="AT1207" s="52">
        <f t="shared" ref="AT1207" si="7788">$E1204*AS1202*(AS1165&gt;0)*AT1156*Period_length</f>
        <v>0</v>
      </c>
      <c r="AU1207" s="52">
        <f t="shared" ref="AU1207" si="7789">$E1204*AT1202*(AT1165&gt;0)*AU1156*Period_length</f>
        <v>0</v>
      </c>
      <c r="AV1207" s="52">
        <f t="shared" ref="AV1207" si="7790">$E1204*AU1202*(AU1165&gt;0)*AV1156*Period_length</f>
        <v>0</v>
      </c>
      <c r="AW1207" s="52">
        <f t="shared" ref="AW1207" si="7791">$E1204*AV1202*(AV1165&gt;0)*AW1156*Period_length</f>
        <v>0</v>
      </c>
      <c r="AX1207" s="52">
        <f t="shared" ref="AX1207" si="7792">$E1204*AW1202*(AW1165&gt;0)*AX1156*Period_length</f>
        <v>0</v>
      </c>
      <c r="AY1207" s="52">
        <f t="shared" ref="AY1207" si="7793">$E1204*AX1202*(AX1165&gt;0)*AY1156*Period_length</f>
        <v>0</v>
      </c>
      <c r="AZ1207" s="52">
        <f t="shared" ref="AZ1207" si="7794">$E1204*AY1202*(AY1165&gt;0)*AZ1156*Period_length</f>
        <v>0</v>
      </c>
      <c r="BA1207" s="52">
        <f t="shared" ref="BA1207" si="7795">$E1204*AZ1202*(AZ1165&gt;0)*BA1156*Period_length</f>
        <v>0</v>
      </c>
      <c r="BB1207" s="52">
        <f t="shared" ref="BB1207" si="7796">$E1204*BA1202*(BA1165&gt;0)*BB1156*Period_length</f>
        <v>0</v>
      </c>
      <c r="BC1207" s="52">
        <f t="shared" ref="BC1207" si="7797">$E1204*BB1202*(BB1165&gt;0)*BC1156*Period_length</f>
        <v>0</v>
      </c>
      <c r="BD1207" s="52">
        <f t="shared" ref="BD1207" si="7798">$E1204*BC1202*(BC1165&gt;0)*BD1156*Period_length</f>
        <v>0</v>
      </c>
      <c r="BE1207" s="52">
        <f t="shared" ref="BE1207" si="7799">$E1204*BD1202*(BD1165&gt;0)*BE1156*Period_length</f>
        <v>0</v>
      </c>
      <c r="BF1207" s="52">
        <f t="shared" ref="BF1207" si="7800">$E1204*BE1202*(BE1165&gt;0)*BF1156*Period_length</f>
        <v>0</v>
      </c>
      <c r="BG1207" s="52">
        <f t="shared" ref="BG1207" si="7801">$E1204*BF1202*(BF1165&gt;0)*BG1156*Period_length</f>
        <v>0</v>
      </c>
      <c r="BH1207" s="52">
        <f t="shared" ref="BH1207" si="7802">$E1204*BG1202*(BG1165&gt;0)*BH1156*Period_length</f>
        <v>0</v>
      </c>
      <c r="BI1207" s="52">
        <f t="shared" ref="BI1207" si="7803">$E1204*BH1202*(BH1165&gt;0)*BI1156*Period_length</f>
        <v>0</v>
      </c>
      <c r="BJ1207" s="52">
        <f t="shared" ref="BJ1207" si="7804">$E1204*BI1202*(BI1165&gt;0)*BJ1156*Period_length</f>
        <v>0</v>
      </c>
      <c r="BK1207" s="52">
        <f t="shared" ref="BK1207" si="7805">$E1204*BJ1202*(BJ1165&gt;0)*BK1156*Period_length</f>
        <v>0</v>
      </c>
      <c r="BL1207" s="52">
        <f t="shared" ref="BL1207" si="7806">$E1204*BK1202*(BK1165&gt;0)*BL1156*Period_length</f>
        <v>0</v>
      </c>
      <c r="BM1207" s="52">
        <f t="shared" ref="BM1207" si="7807">$E1204*BL1202*(BL1165&gt;0)*BM1156*Period_length</f>
        <v>0</v>
      </c>
      <c r="BN1207" s="52">
        <f t="shared" ref="BN1207" si="7808">$E1204*BM1202*(BM1165&gt;0)*BN1156*Period_length</f>
        <v>0</v>
      </c>
      <c r="BO1207" s="52">
        <f t="shared" ref="BO1207" si="7809">$E1204*BN1202*(BN1165&gt;0)*BO1156*Period_length</f>
        <v>0</v>
      </c>
      <c r="BP1207" s="52">
        <f t="shared" ref="BP1207" si="7810">$E1204*BO1202*(BO1165&gt;0)*BP1156*Period_length</f>
        <v>0</v>
      </c>
      <c r="BQ1207" s="52">
        <f t="shared" ref="BQ1207" si="7811">$E1204*BP1202*(BP1165&gt;0)*BQ1156*Period_length</f>
        <v>0</v>
      </c>
      <c r="BR1207" s="52">
        <f t="shared" ref="BR1207" si="7812">$E1204*BQ1202*(BQ1165&gt;0)*BR1156*Period_length</f>
        <v>0</v>
      </c>
      <c r="BS1207" s="52">
        <f t="shared" ref="BS1207" si="7813">$E1204*BR1202*(BR1165&gt;0)*BS1156*Period_length</f>
        <v>0</v>
      </c>
      <c r="BT1207" s="52">
        <f t="shared" ref="BT1207" si="7814">$E1204*BS1202*(BS1165&gt;0)*BT1156*Period_length</f>
        <v>0</v>
      </c>
      <c r="BU1207" s="52">
        <f t="shared" ref="BU1207" si="7815">$E1204*BT1202*(BT1165&gt;0)*BU1156*Period_length</f>
        <v>0</v>
      </c>
      <c r="BV1207" s="52">
        <f t="shared" ref="BV1207" si="7816">$E1204*BU1202*(BU1165&gt;0)*BV1156*Period_length</f>
        <v>0</v>
      </c>
      <c r="BW1207" s="52">
        <f t="shared" ref="BW1207" si="7817">$E1204*BV1202*(BV1165&gt;0)*BW1156*Period_length</f>
        <v>0</v>
      </c>
      <c r="BX1207" s="52">
        <f t="shared" ref="BX1207" si="7818">$E1204*BW1202*(BW1165&gt;0)*BX1156*Period_length</f>
        <v>0</v>
      </c>
      <c r="BY1207" s="52">
        <f t="shared" ref="BY1207" si="7819">$E1204*BX1202*(BX1165&gt;0)*BY1156*Period_length</f>
        <v>0</v>
      </c>
      <c r="BZ1207" s="52">
        <f t="shared" ref="BZ1207" si="7820">$E1204*BY1202*(BY1165&gt;0)*BZ1156*Period_length</f>
        <v>0</v>
      </c>
      <c r="CA1207" s="52">
        <f t="shared" ref="CA1207" si="7821">$E1204*BZ1202*(BZ1165&gt;0)*CA1156*Period_length</f>
        <v>0</v>
      </c>
      <c r="CB1207" s="52">
        <f t="shared" ref="CB1207" si="7822">$E1204*CA1202*(CA1165&gt;0)*CB1156*Period_length</f>
        <v>0</v>
      </c>
      <c r="CC1207" s="52">
        <f t="shared" ref="CC1207" si="7823">$E1204*CB1202*(CB1165&gt;0)*CC1156*Period_length</f>
        <v>0</v>
      </c>
      <c r="CD1207" s="52">
        <f t="shared" ref="CD1207" si="7824">$E1204*CC1202*(CC1165&gt;0)*CD1156*Period_length</f>
        <v>0</v>
      </c>
      <c r="CE1207" s="52">
        <f t="shared" ref="CE1207" si="7825">$E1204*CD1202*(CD1165&gt;0)*CE1156*Period_length</f>
        <v>0</v>
      </c>
      <c r="CF1207" s="52">
        <f t="shared" ref="CF1207" si="7826">$E1204*CE1202*(CE1165&gt;0)*CF1156*Period_length</f>
        <v>0</v>
      </c>
      <c r="CG1207" s="52">
        <f t="shared" ref="CG1207" si="7827">$E1204*CF1202*(CF1165&gt;0)*CG1156*Period_length</f>
        <v>0</v>
      </c>
      <c r="CH1207" s="52">
        <f t="shared" ref="CH1207" si="7828">$E1204*CG1202*(CG1165&gt;0)*CH1156*Period_length</f>
        <v>0</v>
      </c>
      <c r="CI1207" s="52">
        <f t="shared" ref="CI1207" si="7829">$E1204*CH1202*(CH1165&gt;0)*CI1156*Period_length</f>
        <v>0</v>
      </c>
      <c r="CJ1207" s="52">
        <f t="shared" ref="CJ1207" si="7830">$E1204*CI1202*(CI1165&gt;0)*CJ1156*Period_length</f>
        <v>0</v>
      </c>
      <c r="CK1207" s="52">
        <f t="shared" ref="CK1207" si="7831">$E1204*CJ1202*(CJ1165&gt;0)*CK1156*Period_length</f>
        <v>0</v>
      </c>
      <c r="CL1207" s="52">
        <f t="shared" ref="CL1207" si="7832">$E1204*CK1202*(CK1165&gt;0)*CL1156*Period_length</f>
        <v>0</v>
      </c>
      <c r="CM1207" s="52">
        <f t="shared" ref="CM1207" si="7833">$E1204*CL1202*(CL1165&gt;0)*CM1156*Period_length</f>
        <v>0</v>
      </c>
      <c r="CN1207" s="52">
        <f t="shared" ref="CN1207" si="7834">$E1204*CM1202*(CM1165&gt;0)*CN1156*Period_length</f>
        <v>0</v>
      </c>
      <c r="CO1207" s="52">
        <f t="shared" ref="CO1207" si="7835">$E1204*CN1202*(CN1165&gt;0)*CO1156*Period_length</f>
        <v>0</v>
      </c>
    </row>
    <row r="1208" spans="1:93">
      <c r="A1208" s="10"/>
      <c r="B1208" s="10"/>
      <c r="C1208" s="17"/>
      <c r="D1208" s="10"/>
      <c r="E1208" s="10"/>
      <c r="F1208" s="10"/>
      <c r="G1208" s="11"/>
      <c r="H1208" s="72"/>
      <c r="I1208" s="72"/>
      <c r="J1208" s="72"/>
      <c r="K1208" s="7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52"/>
      <c r="AE1208" s="52"/>
      <c r="AF1208" s="52"/>
      <c r="AG1208" s="52"/>
      <c r="AH1208" s="52"/>
      <c r="AI1208" s="52"/>
      <c r="AJ1208" s="52"/>
      <c r="AK1208" s="52"/>
      <c r="AL1208" s="52"/>
      <c r="AM1208" s="52"/>
      <c r="AN1208" s="52"/>
      <c r="AO1208" s="52"/>
      <c r="AP1208" s="52"/>
      <c r="AQ1208" s="52"/>
      <c r="AR1208" s="52"/>
      <c r="AS1208" s="52"/>
      <c r="AT1208" s="52"/>
      <c r="AU1208" s="52"/>
      <c r="AV1208" s="52"/>
      <c r="AW1208" s="52"/>
      <c r="AX1208" s="52"/>
      <c r="AY1208" s="52"/>
      <c r="AZ1208" s="52"/>
      <c r="BA1208" s="52"/>
      <c r="BB1208" s="52"/>
      <c r="BC1208" s="52"/>
      <c r="BD1208" s="52"/>
      <c r="BE1208" s="52"/>
      <c r="BF1208" s="52"/>
      <c r="BG1208" s="52"/>
      <c r="BH1208" s="52"/>
      <c r="BI1208" s="52"/>
      <c r="BJ1208" s="52"/>
      <c r="BK1208" s="52"/>
      <c r="BL1208" s="52"/>
      <c r="BM1208" s="52"/>
      <c r="BN1208" s="52"/>
      <c r="BO1208" s="52"/>
      <c r="BP1208" s="52"/>
      <c r="BQ1208" s="52"/>
      <c r="BR1208" s="52"/>
      <c r="BS1208" s="52"/>
      <c r="BT1208" s="52"/>
      <c r="BU1208" s="52"/>
      <c r="BV1208" s="52"/>
      <c r="BW1208" s="52"/>
      <c r="BX1208" s="52"/>
      <c r="BY1208" s="52"/>
      <c r="BZ1208" s="52"/>
      <c r="CA1208" s="52"/>
      <c r="CB1208" s="52"/>
      <c r="CC1208" s="52"/>
      <c r="CD1208" s="52"/>
      <c r="CE1208" s="52"/>
      <c r="CF1208" s="52"/>
      <c r="CG1208" s="52"/>
      <c r="CH1208" s="52"/>
      <c r="CI1208" s="52"/>
      <c r="CJ1208" s="52"/>
      <c r="CK1208" s="52"/>
      <c r="CL1208" s="52"/>
      <c r="CM1208" s="52"/>
      <c r="CN1208" s="52"/>
      <c r="CO1208" s="52"/>
    </row>
    <row r="1209" spans="1:93" ht="16" thickBot="1">
      <c r="A1209" s="10"/>
      <c r="B1209" s="10"/>
      <c r="C1209" s="30" t="s">
        <v>325</v>
      </c>
      <c r="D1209" s="10"/>
      <c r="E1209" s="10"/>
      <c r="F1209" s="10"/>
      <c r="G1209" s="11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  <c r="BB1209" s="10"/>
      <c r="BC1209" s="10"/>
      <c r="BD1209" s="10"/>
      <c r="BE1209" s="10"/>
      <c r="BF1209" s="10"/>
      <c r="BG1209" s="10"/>
      <c r="BH1209" s="10"/>
      <c r="BI1209" s="10"/>
      <c r="BJ1209" s="10"/>
      <c r="BK1209" s="10"/>
      <c r="BL1209" s="10"/>
      <c r="BM1209" s="10"/>
      <c r="BN1209" s="10"/>
      <c r="BO1209" s="10"/>
      <c r="BP1209" s="10"/>
      <c r="BQ1209" s="10"/>
      <c r="BR1209" s="10"/>
      <c r="BS1209" s="10"/>
      <c r="BT1209" s="10"/>
      <c r="BU1209" s="10"/>
      <c r="BV1209" s="10"/>
      <c r="BW1209" s="10"/>
      <c r="BX1209" s="10"/>
      <c r="BY1209" s="10"/>
      <c r="BZ1209" s="10"/>
      <c r="CA1209" s="10"/>
      <c r="CB1209" s="10"/>
      <c r="CC1209" s="10"/>
      <c r="CD1209" s="10"/>
      <c r="CE1209" s="10"/>
      <c r="CF1209" s="10"/>
      <c r="CG1209" s="10"/>
      <c r="CH1209" s="10"/>
      <c r="CI1209" s="10"/>
      <c r="CJ1209" s="10"/>
      <c r="CK1209" s="10"/>
      <c r="CL1209" s="10"/>
      <c r="CM1209" s="10"/>
      <c r="CN1209" s="10"/>
      <c r="CO1209" s="10"/>
    </row>
    <row r="1210" spans="1:93">
      <c r="A1210" s="10"/>
      <c r="B1210" s="10"/>
      <c r="C1210" s="21"/>
      <c r="D1210" s="10"/>
      <c r="E1210" s="10"/>
      <c r="F1210" s="10"/>
      <c r="G1210" s="11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  <c r="BB1210" s="10"/>
      <c r="BC1210" s="10"/>
      <c r="BD1210" s="10"/>
      <c r="BE1210" s="10"/>
      <c r="BF1210" s="10"/>
      <c r="BG1210" s="10"/>
      <c r="BH1210" s="10"/>
      <c r="BI1210" s="10"/>
      <c r="BJ1210" s="10"/>
      <c r="BK1210" s="10"/>
      <c r="BL1210" s="10"/>
      <c r="BM1210" s="10"/>
      <c r="BN1210" s="10"/>
      <c r="BO1210" s="10"/>
      <c r="BP1210" s="10"/>
      <c r="BQ1210" s="10"/>
      <c r="BR1210" s="10"/>
      <c r="BS1210" s="10"/>
      <c r="BT1210" s="10"/>
      <c r="BU1210" s="10"/>
      <c r="BV1210" s="10"/>
      <c r="BW1210" s="10"/>
      <c r="BX1210" s="10"/>
      <c r="BY1210" s="10"/>
      <c r="BZ1210" s="10"/>
      <c r="CA1210" s="10"/>
      <c r="CB1210" s="10"/>
      <c r="CC1210" s="10"/>
      <c r="CD1210" s="10"/>
      <c r="CE1210" s="10"/>
      <c r="CF1210" s="10"/>
      <c r="CG1210" s="10"/>
      <c r="CH1210" s="10"/>
      <c r="CI1210" s="10"/>
      <c r="CJ1210" s="10"/>
      <c r="CK1210" s="10"/>
      <c r="CL1210" s="10"/>
      <c r="CM1210" s="10"/>
      <c r="CN1210" s="10"/>
      <c r="CO1210" s="10"/>
    </row>
    <row r="1211" spans="1:93">
      <c r="A1211" s="10"/>
      <c r="B1211" s="10"/>
      <c r="C1211" s="32" t="s">
        <v>324</v>
      </c>
      <c r="D1211" s="10"/>
      <c r="E1211" s="10"/>
      <c r="F1211" s="10"/>
      <c r="G1211" s="11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  <c r="BB1211" s="10"/>
      <c r="BC1211" s="10"/>
      <c r="BD1211" s="10"/>
      <c r="BE1211" s="10"/>
      <c r="BF1211" s="10"/>
      <c r="BG1211" s="10"/>
      <c r="BH1211" s="10"/>
      <c r="BI1211" s="10"/>
      <c r="BJ1211" s="10"/>
      <c r="BK1211" s="10"/>
      <c r="BL1211" s="10"/>
      <c r="BM1211" s="10"/>
      <c r="BN1211" s="10"/>
      <c r="BO1211" s="10"/>
      <c r="BP1211" s="10"/>
      <c r="BQ1211" s="10"/>
      <c r="BR1211" s="10"/>
      <c r="BS1211" s="10"/>
      <c r="BT1211" s="10"/>
      <c r="BU1211" s="10"/>
      <c r="BV1211" s="10"/>
      <c r="BW1211" s="10"/>
      <c r="BX1211" s="10"/>
      <c r="BY1211" s="10"/>
      <c r="BZ1211" s="10"/>
      <c r="CA1211" s="10"/>
      <c r="CB1211" s="10"/>
      <c r="CC1211" s="10"/>
      <c r="CD1211" s="10"/>
      <c r="CE1211" s="10"/>
      <c r="CF1211" s="10"/>
      <c r="CG1211" s="10"/>
      <c r="CH1211" s="10"/>
      <c r="CI1211" s="10"/>
      <c r="CJ1211" s="10"/>
      <c r="CK1211" s="10"/>
      <c r="CL1211" s="10"/>
      <c r="CM1211" s="10"/>
      <c r="CN1211" s="10"/>
      <c r="CO1211" s="10"/>
    </row>
    <row r="1212" spans="1:93">
      <c r="A1212" s="10"/>
      <c r="B1212" s="10"/>
      <c r="C1212" s="21" t="s">
        <v>180</v>
      </c>
      <c r="D1212" s="10"/>
      <c r="E1212" s="10"/>
      <c r="F1212" s="10"/>
      <c r="G1212" s="11" t="str">
        <f>Monetary_Unit</f>
        <v>тыс. руб.</v>
      </c>
      <c r="H1212" s="10"/>
      <c r="I1212" s="11"/>
      <c r="J1212" s="10"/>
      <c r="K1212" s="10"/>
      <c r="L1212" s="52">
        <f t="shared" ref="L1212" si="7836">K1215</f>
        <v>0</v>
      </c>
      <c r="M1212" s="52">
        <f t="shared" ref="M1212" si="7837">L1215</f>
        <v>0</v>
      </c>
      <c r="N1212" s="52">
        <f t="shared" ref="N1212" si="7838">M1215</f>
        <v>0</v>
      </c>
      <c r="O1212" s="52">
        <f t="shared" ref="O1212" si="7839">N1215</f>
        <v>0</v>
      </c>
      <c r="P1212" s="52">
        <f t="shared" ref="P1212" si="7840">O1215</f>
        <v>0</v>
      </c>
      <c r="Q1212" s="52">
        <f t="shared" ref="Q1212" si="7841">P1215</f>
        <v>0</v>
      </c>
      <c r="R1212" s="52">
        <f t="shared" ref="R1212" si="7842">Q1215</f>
        <v>0</v>
      </c>
      <c r="S1212" s="52">
        <f t="shared" ref="S1212" si="7843">R1215</f>
        <v>0</v>
      </c>
      <c r="T1212" s="52">
        <f t="shared" ref="T1212" si="7844">S1215</f>
        <v>93075.219462963287</v>
      </c>
      <c r="U1212" s="52">
        <f t="shared" ref="U1212" si="7845">T1215</f>
        <v>379690.34390327823</v>
      </c>
      <c r="V1212" s="52">
        <f t="shared" ref="V1212" si="7846">U1215</f>
        <v>669129.60368778696</v>
      </c>
      <c r="W1212" s="52">
        <f t="shared" ref="W1212" si="7847">V1215</f>
        <v>961420.82617018488</v>
      </c>
      <c r="X1212" s="52">
        <f t="shared" ref="X1212" si="7848">W1215</f>
        <v>1256592.112898397</v>
      </c>
      <c r="Y1212" s="52">
        <f t="shared" ref="Y1212" si="7849">X1215</f>
        <v>1879104.5142084088</v>
      </c>
      <c r="Z1212" s="52">
        <f t="shared" ref="Z1212" si="7850">Y1215</f>
        <v>2507750.7832903028</v>
      </c>
      <c r="AA1212" s="52">
        <f t="shared" ref="AA1212" si="7851">Z1215</f>
        <v>3142591.3596369531</v>
      </c>
      <c r="AB1212" s="52">
        <f t="shared" ref="AB1212" si="7852">AA1215</f>
        <v>3783687.2782761287</v>
      </c>
      <c r="AC1212" s="52">
        <f t="shared" ref="AC1212" si="7853">AB1215</f>
        <v>4616063.5245886445</v>
      </c>
      <c r="AD1212" s="52">
        <f t="shared" ref="AD1212" si="7854">AC1215</f>
        <v>4495805.9500073316</v>
      </c>
      <c r="AE1212" s="52">
        <f t="shared" ref="AE1212" si="7855">AD1215</f>
        <v>4374168.0381170874</v>
      </c>
      <c r="AF1212" s="52">
        <f t="shared" ref="AF1212" si="7856">AE1215</f>
        <v>4250828.5281117735</v>
      </c>
      <c r="AG1212" s="52">
        <f t="shared" ref="AG1212" si="7857">AF1215</f>
        <v>4125222.4499160405</v>
      </c>
      <c r="AH1212" s="52">
        <f t="shared" ref="AH1212" si="7858">AG1215</f>
        <v>3998161.2541356659</v>
      </c>
      <c r="AI1212" s="52">
        <f t="shared" ref="AI1212" si="7859">AH1215</f>
        <v>3869598.1264479118</v>
      </c>
      <c r="AJ1212" s="52">
        <f t="shared" ref="AJ1212" si="7860">AI1215</f>
        <v>3739236.5234453464</v>
      </c>
      <c r="AK1212" s="52">
        <f t="shared" ref="AK1212" si="7861">AJ1215</f>
        <v>3606568.3681428847</v>
      </c>
      <c r="AL1212" s="52">
        <f t="shared" ref="AL1212" si="7862">AK1215</f>
        <v>3472318.4487806205</v>
      </c>
      <c r="AM1212" s="52">
        <f t="shared" ref="AM1212" si="7863">AL1215</f>
        <v>3336436.3859030483</v>
      </c>
      <c r="AN1212" s="52">
        <f t="shared" ref="AN1212" si="7864">AM1215</f>
        <v>3198653.462726674</v>
      </c>
      <c r="AO1212" s="52">
        <f t="shared" ref="AO1212" si="7865">AN1215</f>
        <v>3058682.3180184551</v>
      </c>
      <c r="AP1212" s="52">
        <f t="shared" ref="AP1212" si="7866">AO1215</f>
        <v>2916779.6856331495</v>
      </c>
      <c r="AQ1212" s="52">
        <f t="shared" ref="AQ1212" si="7867">AP1215</f>
        <v>2773109.6477034264</v>
      </c>
      <c r="AR1212" s="52">
        <f t="shared" ref="AR1212" si="7868">AQ1215</f>
        <v>2627435.2942976062</v>
      </c>
      <c r="AS1212" s="52">
        <f t="shared" ref="AS1212" si="7869">AR1215</f>
        <v>2479426.5311982608</v>
      </c>
      <c r="AT1212" s="52">
        <f t="shared" ref="AT1212" si="7870">AS1215</f>
        <v>2329555.4519931669</v>
      </c>
      <c r="AU1212" s="52">
        <f t="shared" ref="AU1212" si="7871">AT1215</f>
        <v>2177763.7585033504</v>
      </c>
      <c r="AV1212" s="52">
        <f t="shared" ref="AV1212" si="7872">AU1215</f>
        <v>2023848.643856613</v>
      </c>
      <c r="AW1212" s="52">
        <f t="shared" ref="AW1212" si="7873">AV1215</f>
        <v>1867515.0379988309</v>
      </c>
      <c r="AX1212" s="52">
        <f t="shared" ref="AX1212" si="7874">AW1215</f>
        <v>1709164.0640122641</v>
      </c>
      <c r="AY1212" s="52">
        <f t="shared" ref="AY1212" si="7875">AX1215</f>
        <v>1548733.0365677271</v>
      </c>
      <c r="AZ1212" s="52">
        <f t="shared" ref="AZ1212" si="7876">AY1215</f>
        <v>1386057.7315221743</v>
      </c>
      <c r="BA1212" s="52">
        <f t="shared" ref="BA1212" si="7877">AZ1215</f>
        <v>1220929.9150941351</v>
      </c>
      <c r="BB1212" s="52">
        <f t="shared" ref="BB1212" si="7878">BA1215</f>
        <v>1053619.0083958807</v>
      </c>
      <c r="BC1212" s="52">
        <f t="shared" ref="BC1212" si="7879">BB1215</f>
        <v>884057.62976388773</v>
      </c>
      <c r="BD1212" s="52">
        <f t="shared" ref="BD1212" si="7880">BC1215</f>
        <v>712124.24751105381</v>
      </c>
      <c r="BE1212" s="52">
        <f t="shared" ref="BE1212" si="7881">BD1215</f>
        <v>537736.13931138162</v>
      </c>
      <c r="BF1212" s="52">
        <f t="shared" ref="BF1212" si="7882">BE1215</f>
        <v>360941.61383031344</v>
      </c>
      <c r="BG1212" s="52">
        <f t="shared" ref="BG1212" si="7883">BF1215</f>
        <v>181720.95747018265</v>
      </c>
      <c r="BH1212" s="52">
        <f t="shared" ref="BH1212" si="7884">BG1215</f>
        <v>0</v>
      </c>
      <c r="BI1212" s="52">
        <f t="shared" ref="BI1212" si="7885">BH1215</f>
        <v>0</v>
      </c>
      <c r="BJ1212" s="52">
        <f t="shared" ref="BJ1212" si="7886">BI1215</f>
        <v>0</v>
      </c>
      <c r="BK1212" s="52">
        <f t="shared" ref="BK1212" si="7887">BJ1215</f>
        <v>0</v>
      </c>
      <c r="BL1212" s="52">
        <f t="shared" ref="BL1212" si="7888">BK1215</f>
        <v>0</v>
      </c>
      <c r="BM1212" s="52">
        <f t="shared" ref="BM1212" si="7889">BL1215</f>
        <v>0</v>
      </c>
      <c r="BN1212" s="52">
        <f t="shared" ref="BN1212" si="7890">BM1215</f>
        <v>0</v>
      </c>
      <c r="BO1212" s="52">
        <f t="shared" ref="BO1212" si="7891">BN1215</f>
        <v>0</v>
      </c>
      <c r="BP1212" s="52">
        <f t="shared" ref="BP1212" si="7892">BO1215</f>
        <v>0</v>
      </c>
      <c r="BQ1212" s="52">
        <f t="shared" ref="BQ1212" si="7893">BP1215</f>
        <v>0</v>
      </c>
      <c r="BR1212" s="52">
        <f t="shared" ref="BR1212" si="7894">BQ1215</f>
        <v>0</v>
      </c>
      <c r="BS1212" s="52">
        <f t="shared" ref="BS1212" si="7895">BR1215</f>
        <v>0</v>
      </c>
      <c r="BT1212" s="52">
        <f t="shared" ref="BT1212" si="7896">BS1215</f>
        <v>0</v>
      </c>
      <c r="BU1212" s="52">
        <f t="shared" ref="BU1212" si="7897">BT1215</f>
        <v>0</v>
      </c>
      <c r="BV1212" s="52">
        <f t="shared" ref="BV1212" si="7898">BU1215</f>
        <v>0</v>
      </c>
      <c r="BW1212" s="52">
        <f t="shared" ref="BW1212" si="7899">BV1215</f>
        <v>0</v>
      </c>
      <c r="BX1212" s="52">
        <f t="shared" ref="BX1212" si="7900">BW1215</f>
        <v>0</v>
      </c>
      <c r="BY1212" s="52">
        <f t="shared" ref="BY1212" si="7901">BX1215</f>
        <v>0</v>
      </c>
      <c r="BZ1212" s="52">
        <f t="shared" ref="BZ1212" si="7902">BY1215</f>
        <v>0</v>
      </c>
      <c r="CA1212" s="52">
        <f t="shared" ref="CA1212" si="7903">BZ1215</f>
        <v>0</v>
      </c>
      <c r="CB1212" s="52">
        <f t="shared" ref="CB1212" si="7904">CA1215</f>
        <v>0</v>
      </c>
      <c r="CC1212" s="52">
        <f t="shared" ref="CC1212" si="7905">CB1215</f>
        <v>0</v>
      </c>
      <c r="CD1212" s="52">
        <f t="shared" ref="CD1212" si="7906">CC1215</f>
        <v>0</v>
      </c>
      <c r="CE1212" s="52">
        <f t="shared" ref="CE1212" si="7907">CD1215</f>
        <v>0</v>
      </c>
      <c r="CF1212" s="52">
        <f t="shared" ref="CF1212" si="7908">CE1215</f>
        <v>0</v>
      </c>
      <c r="CG1212" s="52">
        <f t="shared" ref="CG1212" si="7909">CF1215</f>
        <v>0</v>
      </c>
      <c r="CH1212" s="52">
        <f t="shared" ref="CH1212" si="7910">CG1215</f>
        <v>0</v>
      </c>
      <c r="CI1212" s="52">
        <f t="shared" ref="CI1212" si="7911">CH1215</f>
        <v>0</v>
      </c>
      <c r="CJ1212" s="52">
        <f t="shared" ref="CJ1212" si="7912">CI1215</f>
        <v>0</v>
      </c>
      <c r="CK1212" s="52">
        <f t="shared" ref="CK1212" si="7913">CJ1215</f>
        <v>0</v>
      </c>
      <c r="CL1212" s="52">
        <f t="shared" ref="CL1212" si="7914">CK1215</f>
        <v>0</v>
      </c>
      <c r="CM1212" s="52">
        <f t="shared" ref="CM1212" si="7915">CL1215</f>
        <v>0</v>
      </c>
      <c r="CN1212" s="52">
        <f t="shared" ref="CN1212" si="7916">CM1215</f>
        <v>0</v>
      </c>
      <c r="CO1212" s="52">
        <f t="shared" ref="CO1212" si="7917">CN1215</f>
        <v>0</v>
      </c>
    </row>
    <row r="1213" spans="1:93">
      <c r="A1213" s="10"/>
      <c r="B1213" s="10"/>
      <c r="C1213" s="21" t="s">
        <v>170</v>
      </c>
      <c r="D1213" s="10"/>
      <c r="E1213" s="10"/>
      <c r="F1213" s="10"/>
      <c r="G1213" s="11" t="str">
        <f>Monetary_Unit</f>
        <v>тыс. руб.</v>
      </c>
      <c r="H1213" s="10"/>
      <c r="I1213" s="23">
        <f>SUM(L1213:CO1213)</f>
        <v>4616063.5245886445</v>
      </c>
      <c r="J1213" s="10"/>
      <c r="K1213" s="10"/>
      <c r="L1213" s="52">
        <f t="shared" ref="L1213" si="7918">L1163</f>
        <v>0</v>
      </c>
      <c r="M1213" s="52">
        <f t="shared" ref="M1213:BX1213" si="7919">M1163</f>
        <v>0</v>
      </c>
      <c r="N1213" s="52">
        <f t="shared" si="7919"/>
        <v>0</v>
      </c>
      <c r="O1213" s="52">
        <f t="shared" si="7919"/>
        <v>0</v>
      </c>
      <c r="P1213" s="52">
        <f t="shared" si="7919"/>
        <v>0</v>
      </c>
      <c r="Q1213" s="52">
        <f t="shared" si="7919"/>
        <v>0</v>
      </c>
      <c r="R1213" s="52">
        <f t="shared" si="7919"/>
        <v>0</v>
      </c>
      <c r="S1213" s="52">
        <f t="shared" si="7919"/>
        <v>93075.219462963287</v>
      </c>
      <c r="T1213" s="52">
        <f t="shared" si="7919"/>
        <v>286615.12444031495</v>
      </c>
      <c r="U1213" s="52">
        <f t="shared" si="7919"/>
        <v>289439.25978450867</v>
      </c>
      <c r="V1213" s="52">
        <f t="shared" si="7919"/>
        <v>292291.22248239798</v>
      </c>
      <c r="W1213" s="52">
        <f t="shared" si="7919"/>
        <v>295171.2867282122</v>
      </c>
      <c r="X1213" s="52">
        <f t="shared" si="7919"/>
        <v>622512.40131001174</v>
      </c>
      <c r="Y1213" s="52">
        <f t="shared" si="7919"/>
        <v>628646.26908189419</v>
      </c>
      <c r="Z1213" s="52">
        <f t="shared" si="7919"/>
        <v>634840.57634665037</v>
      </c>
      <c r="AA1213" s="52">
        <f t="shared" si="7919"/>
        <v>641095.91863917548</v>
      </c>
      <c r="AB1213" s="52">
        <f t="shared" si="7919"/>
        <v>832376.24631251558</v>
      </c>
      <c r="AC1213" s="52">
        <f t="shared" si="7919"/>
        <v>0</v>
      </c>
      <c r="AD1213" s="52">
        <f t="shared" si="7919"/>
        <v>0</v>
      </c>
      <c r="AE1213" s="52">
        <f t="shared" si="7919"/>
        <v>0</v>
      </c>
      <c r="AF1213" s="52">
        <f t="shared" si="7919"/>
        <v>0</v>
      </c>
      <c r="AG1213" s="52">
        <f t="shared" si="7919"/>
        <v>0</v>
      </c>
      <c r="AH1213" s="52">
        <f t="shared" si="7919"/>
        <v>0</v>
      </c>
      <c r="AI1213" s="52">
        <f t="shared" si="7919"/>
        <v>0</v>
      </c>
      <c r="AJ1213" s="52">
        <f t="shared" si="7919"/>
        <v>0</v>
      </c>
      <c r="AK1213" s="52">
        <f t="shared" si="7919"/>
        <v>0</v>
      </c>
      <c r="AL1213" s="52">
        <f t="shared" si="7919"/>
        <v>0</v>
      </c>
      <c r="AM1213" s="52">
        <f t="shared" si="7919"/>
        <v>0</v>
      </c>
      <c r="AN1213" s="52">
        <f t="shared" si="7919"/>
        <v>0</v>
      </c>
      <c r="AO1213" s="52">
        <f t="shared" si="7919"/>
        <v>0</v>
      </c>
      <c r="AP1213" s="52">
        <f t="shared" si="7919"/>
        <v>0</v>
      </c>
      <c r="AQ1213" s="52">
        <f t="shared" si="7919"/>
        <v>0</v>
      </c>
      <c r="AR1213" s="52">
        <f t="shared" si="7919"/>
        <v>0</v>
      </c>
      <c r="AS1213" s="52">
        <f t="shared" si="7919"/>
        <v>0</v>
      </c>
      <c r="AT1213" s="52">
        <f t="shared" si="7919"/>
        <v>0</v>
      </c>
      <c r="AU1213" s="52">
        <f t="shared" si="7919"/>
        <v>0</v>
      </c>
      <c r="AV1213" s="52">
        <f t="shared" si="7919"/>
        <v>0</v>
      </c>
      <c r="AW1213" s="52">
        <f t="shared" si="7919"/>
        <v>0</v>
      </c>
      <c r="AX1213" s="52">
        <f t="shared" si="7919"/>
        <v>0</v>
      </c>
      <c r="AY1213" s="52">
        <f t="shared" si="7919"/>
        <v>0</v>
      </c>
      <c r="AZ1213" s="52">
        <f t="shared" si="7919"/>
        <v>0</v>
      </c>
      <c r="BA1213" s="52">
        <f t="shared" si="7919"/>
        <v>0</v>
      </c>
      <c r="BB1213" s="52">
        <f t="shared" si="7919"/>
        <v>0</v>
      </c>
      <c r="BC1213" s="52">
        <f t="shared" si="7919"/>
        <v>0</v>
      </c>
      <c r="BD1213" s="52">
        <f t="shared" si="7919"/>
        <v>0</v>
      </c>
      <c r="BE1213" s="52">
        <f t="shared" si="7919"/>
        <v>0</v>
      </c>
      <c r="BF1213" s="52">
        <f t="shared" si="7919"/>
        <v>0</v>
      </c>
      <c r="BG1213" s="52">
        <f t="shared" si="7919"/>
        <v>0</v>
      </c>
      <c r="BH1213" s="52">
        <f t="shared" si="7919"/>
        <v>0</v>
      </c>
      <c r="BI1213" s="52">
        <f t="shared" si="7919"/>
        <v>0</v>
      </c>
      <c r="BJ1213" s="52">
        <f t="shared" si="7919"/>
        <v>0</v>
      </c>
      <c r="BK1213" s="52">
        <f t="shared" si="7919"/>
        <v>0</v>
      </c>
      <c r="BL1213" s="52">
        <f t="shared" si="7919"/>
        <v>0</v>
      </c>
      <c r="BM1213" s="52">
        <f t="shared" si="7919"/>
        <v>0</v>
      </c>
      <c r="BN1213" s="52">
        <f t="shared" si="7919"/>
        <v>0</v>
      </c>
      <c r="BO1213" s="52">
        <f t="shared" si="7919"/>
        <v>0</v>
      </c>
      <c r="BP1213" s="52">
        <f t="shared" si="7919"/>
        <v>0</v>
      </c>
      <c r="BQ1213" s="52">
        <f t="shared" si="7919"/>
        <v>0</v>
      </c>
      <c r="BR1213" s="52">
        <f t="shared" si="7919"/>
        <v>0</v>
      </c>
      <c r="BS1213" s="52">
        <f t="shared" si="7919"/>
        <v>0</v>
      </c>
      <c r="BT1213" s="52">
        <f t="shared" si="7919"/>
        <v>0</v>
      </c>
      <c r="BU1213" s="52">
        <f t="shared" si="7919"/>
        <v>0</v>
      </c>
      <c r="BV1213" s="52">
        <f t="shared" si="7919"/>
        <v>0</v>
      </c>
      <c r="BW1213" s="52">
        <f t="shared" si="7919"/>
        <v>0</v>
      </c>
      <c r="BX1213" s="52">
        <f t="shared" si="7919"/>
        <v>0</v>
      </c>
      <c r="BY1213" s="52">
        <f t="shared" ref="BY1213:CO1213" si="7920">BY1163</f>
        <v>0</v>
      </c>
      <c r="BZ1213" s="52">
        <f t="shared" si="7920"/>
        <v>0</v>
      </c>
      <c r="CA1213" s="52">
        <f t="shared" si="7920"/>
        <v>0</v>
      </c>
      <c r="CB1213" s="52">
        <f t="shared" si="7920"/>
        <v>0</v>
      </c>
      <c r="CC1213" s="52">
        <f t="shared" si="7920"/>
        <v>0</v>
      </c>
      <c r="CD1213" s="52">
        <f t="shared" si="7920"/>
        <v>0</v>
      </c>
      <c r="CE1213" s="52">
        <f t="shared" si="7920"/>
        <v>0</v>
      </c>
      <c r="CF1213" s="52">
        <f t="shared" si="7920"/>
        <v>0</v>
      </c>
      <c r="CG1213" s="52">
        <f t="shared" si="7920"/>
        <v>0</v>
      </c>
      <c r="CH1213" s="52">
        <f t="shared" si="7920"/>
        <v>0</v>
      </c>
      <c r="CI1213" s="52">
        <f t="shared" si="7920"/>
        <v>0</v>
      </c>
      <c r="CJ1213" s="52">
        <f t="shared" si="7920"/>
        <v>0</v>
      </c>
      <c r="CK1213" s="52">
        <f t="shared" si="7920"/>
        <v>0</v>
      </c>
      <c r="CL1213" s="52">
        <f t="shared" si="7920"/>
        <v>0</v>
      </c>
      <c r="CM1213" s="52">
        <f t="shared" si="7920"/>
        <v>0</v>
      </c>
      <c r="CN1213" s="52">
        <f t="shared" si="7920"/>
        <v>0</v>
      </c>
      <c r="CO1213" s="52">
        <f t="shared" si="7920"/>
        <v>0</v>
      </c>
    </row>
    <row r="1214" spans="1:93">
      <c r="A1214" s="10"/>
      <c r="B1214" s="10"/>
      <c r="C1214" s="21" t="s">
        <v>395</v>
      </c>
      <c r="D1214" s="10"/>
      <c r="E1214" s="10"/>
      <c r="F1214" s="10"/>
      <c r="G1214" s="11" t="str">
        <f>Monetary_Unit</f>
        <v>тыс. руб.</v>
      </c>
      <c r="H1214" s="10"/>
      <c r="I1214" s="23">
        <f>SUM(L1214:CO1214)</f>
        <v>-4616063.5245886445</v>
      </c>
      <c r="J1214" s="10"/>
      <c r="K1214" s="10"/>
      <c r="L1214" s="52">
        <f t="shared" ref="L1214" si="7921">L1164</f>
        <v>0</v>
      </c>
      <c r="M1214" s="52">
        <f t="shared" ref="M1214:BX1214" si="7922">M1164</f>
        <v>0</v>
      </c>
      <c r="N1214" s="52">
        <f t="shared" si="7922"/>
        <v>0</v>
      </c>
      <c r="O1214" s="52">
        <f t="shared" si="7922"/>
        <v>0</v>
      </c>
      <c r="P1214" s="52">
        <f t="shared" si="7922"/>
        <v>0</v>
      </c>
      <c r="Q1214" s="52">
        <f t="shared" si="7922"/>
        <v>0</v>
      </c>
      <c r="R1214" s="52">
        <f t="shared" si="7922"/>
        <v>0</v>
      </c>
      <c r="S1214" s="52">
        <f t="shared" si="7922"/>
        <v>0</v>
      </c>
      <c r="T1214" s="52">
        <f t="shared" si="7922"/>
        <v>0</v>
      </c>
      <c r="U1214" s="52">
        <f t="shared" si="7922"/>
        <v>0</v>
      </c>
      <c r="V1214" s="52">
        <f t="shared" si="7922"/>
        <v>0</v>
      </c>
      <c r="W1214" s="52">
        <f t="shared" si="7922"/>
        <v>0</v>
      </c>
      <c r="X1214" s="52">
        <f t="shared" si="7922"/>
        <v>0</v>
      </c>
      <c r="Y1214" s="52">
        <f t="shared" si="7922"/>
        <v>0</v>
      </c>
      <c r="Z1214" s="52">
        <f t="shared" si="7922"/>
        <v>0</v>
      </c>
      <c r="AA1214" s="52">
        <f t="shared" si="7922"/>
        <v>0</v>
      </c>
      <c r="AB1214" s="52">
        <f t="shared" si="7922"/>
        <v>0</v>
      </c>
      <c r="AC1214" s="52">
        <f t="shared" si="7922"/>
        <v>-120257.5745813126</v>
      </c>
      <c r="AD1214" s="52">
        <f t="shared" si="7922"/>
        <v>-121637.91189024376</v>
      </c>
      <c r="AE1214" s="52">
        <f t="shared" si="7922"/>
        <v>-123339.51000531408</v>
      </c>
      <c r="AF1214" s="52">
        <f t="shared" si="7922"/>
        <v>-125606.07819573313</v>
      </c>
      <c r="AG1214" s="52">
        <f t="shared" si="7922"/>
        <v>-127061.19578037452</v>
      </c>
      <c r="AH1214" s="52">
        <f t="shared" si="7922"/>
        <v>-128563.12768775418</v>
      </c>
      <c r="AI1214" s="52">
        <f t="shared" si="7922"/>
        <v>-130361.60300256562</v>
      </c>
      <c r="AJ1214" s="52">
        <f t="shared" si="7922"/>
        <v>-132668.15530246156</v>
      </c>
      <c r="AK1214" s="52">
        <f t="shared" si="7922"/>
        <v>-134249.91936226428</v>
      </c>
      <c r="AL1214" s="52">
        <f t="shared" si="7922"/>
        <v>-135882.06287757197</v>
      </c>
      <c r="AM1214" s="52">
        <f t="shared" si="7922"/>
        <v>-137782.92317637434</v>
      </c>
      <c r="AN1214" s="52">
        <f t="shared" si="7922"/>
        <v>-139971.14470821922</v>
      </c>
      <c r="AO1214" s="52">
        <f t="shared" si="7922"/>
        <v>-141902.63238530574</v>
      </c>
      <c r="AP1214" s="52">
        <f t="shared" si="7922"/>
        <v>-143670.03792972286</v>
      </c>
      <c r="AQ1214" s="52">
        <f t="shared" si="7922"/>
        <v>-145674.35340582032</v>
      </c>
      <c r="AR1214" s="52">
        <f t="shared" si="7922"/>
        <v>-148008.7630993452</v>
      </c>
      <c r="AS1214" s="52">
        <f t="shared" si="7922"/>
        <v>-149871.07920509396</v>
      </c>
      <c r="AT1214" s="52">
        <f t="shared" si="7922"/>
        <v>-151791.69348981642</v>
      </c>
      <c r="AU1214" s="52">
        <f t="shared" si="7922"/>
        <v>-153915.11464673752</v>
      </c>
      <c r="AV1214" s="52">
        <f t="shared" si="7922"/>
        <v>-156333.60585778209</v>
      </c>
      <c r="AW1214" s="52">
        <f t="shared" si="7922"/>
        <v>-158350.97398656677</v>
      </c>
      <c r="AX1214" s="52">
        <f t="shared" si="7922"/>
        <v>-160431.02744453712</v>
      </c>
      <c r="AY1214" s="52">
        <f t="shared" si="7922"/>
        <v>-162675.30504555287</v>
      </c>
      <c r="AZ1214" s="52">
        <f t="shared" si="7922"/>
        <v>-165127.81642803919</v>
      </c>
      <c r="BA1214" s="52">
        <f t="shared" si="7922"/>
        <v>-167310.90669825437</v>
      </c>
      <c r="BB1214" s="52">
        <f t="shared" si="7922"/>
        <v>-169561.37863199293</v>
      </c>
      <c r="BC1214" s="52">
        <f t="shared" si="7922"/>
        <v>-171933.38225283392</v>
      </c>
      <c r="BD1214" s="52">
        <f t="shared" si="7922"/>
        <v>-174388.10819967216</v>
      </c>
      <c r="BE1214" s="52">
        <f t="shared" si="7922"/>
        <v>-176794.52548106818</v>
      </c>
      <c r="BF1214" s="52">
        <f t="shared" si="7922"/>
        <v>-179220.65636013079</v>
      </c>
      <c r="BG1214" s="52">
        <f t="shared" si="7922"/>
        <v>-181720.95747018265</v>
      </c>
      <c r="BH1214" s="52">
        <f t="shared" si="7922"/>
        <v>0</v>
      </c>
      <c r="BI1214" s="52">
        <f t="shared" si="7922"/>
        <v>0</v>
      </c>
      <c r="BJ1214" s="52">
        <f t="shared" si="7922"/>
        <v>0</v>
      </c>
      <c r="BK1214" s="52">
        <f t="shared" si="7922"/>
        <v>0</v>
      </c>
      <c r="BL1214" s="52">
        <f t="shared" si="7922"/>
        <v>0</v>
      </c>
      <c r="BM1214" s="52">
        <f t="shared" si="7922"/>
        <v>0</v>
      </c>
      <c r="BN1214" s="52">
        <f t="shared" si="7922"/>
        <v>0</v>
      </c>
      <c r="BO1214" s="52">
        <f t="shared" si="7922"/>
        <v>0</v>
      </c>
      <c r="BP1214" s="52">
        <f t="shared" si="7922"/>
        <v>0</v>
      </c>
      <c r="BQ1214" s="52">
        <f t="shared" si="7922"/>
        <v>0</v>
      </c>
      <c r="BR1214" s="52">
        <f t="shared" si="7922"/>
        <v>0</v>
      </c>
      <c r="BS1214" s="52">
        <f t="shared" si="7922"/>
        <v>0</v>
      </c>
      <c r="BT1214" s="52">
        <f t="shared" si="7922"/>
        <v>0</v>
      </c>
      <c r="BU1214" s="52">
        <f t="shared" si="7922"/>
        <v>0</v>
      </c>
      <c r="BV1214" s="52">
        <f t="shared" si="7922"/>
        <v>0</v>
      </c>
      <c r="BW1214" s="52">
        <f t="shared" si="7922"/>
        <v>0</v>
      </c>
      <c r="BX1214" s="52">
        <f t="shared" si="7922"/>
        <v>0</v>
      </c>
      <c r="BY1214" s="52">
        <f t="shared" ref="BY1214:CO1214" si="7923">BY1164</f>
        <v>0</v>
      </c>
      <c r="BZ1214" s="52">
        <f t="shared" si="7923"/>
        <v>0</v>
      </c>
      <c r="CA1214" s="52">
        <f t="shared" si="7923"/>
        <v>0</v>
      </c>
      <c r="CB1214" s="52">
        <f t="shared" si="7923"/>
        <v>0</v>
      </c>
      <c r="CC1214" s="52">
        <f t="shared" si="7923"/>
        <v>0</v>
      </c>
      <c r="CD1214" s="52">
        <f t="shared" si="7923"/>
        <v>0</v>
      </c>
      <c r="CE1214" s="52">
        <f t="shared" si="7923"/>
        <v>0</v>
      </c>
      <c r="CF1214" s="52">
        <f t="shared" si="7923"/>
        <v>0</v>
      </c>
      <c r="CG1214" s="52">
        <f t="shared" si="7923"/>
        <v>0</v>
      </c>
      <c r="CH1214" s="52">
        <f t="shared" si="7923"/>
        <v>0</v>
      </c>
      <c r="CI1214" s="52">
        <f t="shared" si="7923"/>
        <v>0</v>
      </c>
      <c r="CJ1214" s="52">
        <f t="shared" si="7923"/>
        <v>0</v>
      </c>
      <c r="CK1214" s="52">
        <f t="shared" si="7923"/>
        <v>0</v>
      </c>
      <c r="CL1214" s="52">
        <f t="shared" si="7923"/>
        <v>0</v>
      </c>
      <c r="CM1214" s="52">
        <f t="shared" si="7923"/>
        <v>0</v>
      </c>
      <c r="CN1214" s="52">
        <f t="shared" si="7923"/>
        <v>0</v>
      </c>
      <c r="CO1214" s="52">
        <f t="shared" si="7923"/>
        <v>0</v>
      </c>
    </row>
    <row r="1215" spans="1:93">
      <c r="A1215" s="10"/>
      <c r="B1215" s="10"/>
      <c r="C1215" s="21" t="s">
        <v>179</v>
      </c>
      <c r="D1215" s="10"/>
      <c r="E1215" s="10"/>
      <c r="F1215" s="10"/>
      <c r="G1215" s="11" t="str">
        <f>Monetary_Unit</f>
        <v>тыс. руб.</v>
      </c>
      <c r="H1215" s="10"/>
      <c r="I1215" s="11"/>
      <c r="J1215" s="10"/>
      <c r="L1215" s="52">
        <f t="shared" ref="L1215" si="7924">SUM(L1212:L1214)*(ABS(SUM(L1212:L1214))&gt;Accuracy)</f>
        <v>0</v>
      </c>
      <c r="M1215" s="52">
        <f t="shared" ref="M1215:BX1215" si="7925">SUM(M1212:M1214)*(ABS(SUM(M1212:M1214))&gt;Accuracy)</f>
        <v>0</v>
      </c>
      <c r="N1215" s="52">
        <f t="shared" si="7925"/>
        <v>0</v>
      </c>
      <c r="O1215" s="52">
        <f t="shared" si="7925"/>
        <v>0</v>
      </c>
      <c r="P1215" s="52">
        <f t="shared" si="7925"/>
        <v>0</v>
      </c>
      <c r="Q1215" s="52">
        <f t="shared" si="7925"/>
        <v>0</v>
      </c>
      <c r="R1215" s="52">
        <f t="shared" si="7925"/>
        <v>0</v>
      </c>
      <c r="S1215" s="52">
        <f t="shared" si="7925"/>
        <v>93075.219462963287</v>
      </c>
      <c r="T1215" s="52">
        <f t="shared" si="7925"/>
        <v>379690.34390327823</v>
      </c>
      <c r="U1215" s="52">
        <f t="shared" si="7925"/>
        <v>669129.60368778696</v>
      </c>
      <c r="V1215" s="52">
        <f t="shared" si="7925"/>
        <v>961420.82617018488</v>
      </c>
      <c r="W1215" s="52">
        <f t="shared" si="7925"/>
        <v>1256592.112898397</v>
      </c>
      <c r="X1215" s="52">
        <f t="shared" si="7925"/>
        <v>1879104.5142084088</v>
      </c>
      <c r="Y1215" s="52">
        <f t="shared" si="7925"/>
        <v>2507750.7832903028</v>
      </c>
      <c r="Z1215" s="52">
        <f t="shared" si="7925"/>
        <v>3142591.3596369531</v>
      </c>
      <c r="AA1215" s="52">
        <f t="shared" si="7925"/>
        <v>3783687.2782761287</v>
      </c>
      <c r="AB1215" s="52">
        <f t="shared" si="7925"/>
        <v>4616063.5245886445</v>
      </c>
      <c r="AC1215" s="52">
        <f t="shared" si="7925"/>
        <v>4495805.9500073316</v>
      </c>
      <c r="AD1215" s="52">
        <f t="shared" si="7925"/>
        <v>4374168.0381170874</v>
      </c>
      <c r="AE1215" s="52">
        <f t="shared" si="7925"/>
        <v>4250828.5281117735</v>
      </c>
      <c r="AF1215" s="52">
        <f t="shared" si="7925"/>
        <v>4125222.4499160405</v>
      </c>
      <c r="AG1215" s="52">
        <f t="shared" si="7925"/>
        <v>3998161.2541356659</v>
      </c>
      <c r="AH1215" s="52">
        <f t="shared" si="7925"/>
        <v>3869598.1264479118</v>
      </c>
      <c r="AI1215" s="52">
        <f t="shared" si="7925"/>
        <v>3739236.5234453464</v>
      </c>
      <c r="AJ1215" s="52">
        <f t="shared" si="7925"/>
        <v>3606568.3681428847</v>
      </c>
      <c r="AK1215" s="52">
        <f t="shared" si="7925"/>
        <v>3472318.4487806205</v>
      </c>
      <c r="AL1215" s="52">
        <f t="shared" si="7925"/>
        <v>3336436.3859030483</v>
      </c>
      <c r="AM1215" s="52">
        <f t="shared" si="7925"/>
        <v>3198653.462726674</v>
      </c>
      <c r="AN1215" s="52">
        <f t="shared" si="7925"/>
        <v>3058682.3180184551</v>
      </c>
      <c r="AO1215" s="52">
        <f t="shared" si="7925"/>
        <v>2916779.6856331495</v>
      </c>
      <c r="AP1215" s="52">
        <f t="shared" si="7925"/>
        <v>2773109.6477034264</v>
      </c>
      <c r="AQ1215" s="52">
        <f t="shared" si="7925"/>
        <v>2627435.2942976062</v>
      </c>
      <c r="AR1215" s="52">
        <f t="shared" si="7925"/>
        <v>2479426.5311982608</v>
      </c>
      <c r="AS1215" s="52">
        <f t="shared" si="7925"/>
        <v>2329555.4519931669</v>
      </c>
      <c r="AT1215" s="52">
        <f t="shared" si="7925"/>
        <v>2177763.7585033504</v>
      </c>
      <c r="AU1215" s="52">
        <f t="shared" si="7925"/>
        <v>2023848.643856613</v>
      </c>
      <c r="AV1215" s="52">
        <f t="shared" si="7925"/>
        <v>1867515.0379988309</v>
      </c>
      <c r="AW1215" s="52">
        <f t="shared" si="7925"/>
        <v>1709164.0640122641</v>
      </c>
      <c r="AX1215" s="52">
        <f t="shared" si="7925"/>
        <v>1548733.0365677271</v>
      </c>
      <c r="AY1215" s="52">
        <f t="shared" si="7925"/>
        <v>1386057.7315221743</v>
      </c>
      <c r="AZ1215" s="52">
        <f t="shared" si="7925"/>
        <v>1220929.9150941351</v>
      </c>
      <c r="BA1215" s="52">
        <f t="shared" si="7925"/>
        <v>1053619.0083958807</v>
      </c>
      <c r="BB1215" s="52">
        <f t="shared" si="7925"/>
        <v>884057.62976388773</v>
      </c>
      <c r="BC1215" s="52">
        <f t="shared" si="7925"/>
        <v>712124.24751105381</v>
      </c>
      <c r="BD1215" s="52">
        <f t="shared" si="7925"/>
        <v>537736.13931138162</v>
      </c>
      <c r="BE1215" s="52">
        <f t="shared" si="7925"/>
        <v>360941.61383031344</v>
      </c>
      <c r="BF1215" s="52">
        <f t="shared" si="7925"/>
        <v>181720.95747018265</v>
      </c>
      <c r="BG1215" s="52">
        <f t="shared" si="7925"/>
        <v>0</v>
      </c>
      <c r="BH1215" s="52">
        <f t="shared" si="7925"/>
        <v>0</v>
      </c>
      <c r="BI1215" s="52">
        <f t="shared" si="7925"/>
        <v>0</v>
      </c>
      <c r="BJ1215" s="52">
        <f t="shared" si="7925"/>
        <v>0</v>
      </c>
      <c r="BK1215" s="52">
        <f t="shared" si="7925"/>
        <v>0</v>
      </c>
      <c r="BL1215" s="52">
        <f t="shared" si="7925"/>
        <v>0</v>
      </c>
      <c r="BM1215" s="52">
        <f t="shared" si="7925"/>
        <v>0</v>
      </c>
      <c r="BN1215" s="52">
        <f t="shared" si="7925"/>
        <v>0</v>
      </c>
      <c r="BO1215" s="52">
        <f t="shared" si="7925"/>
        <v>0</v>
      </c>
      <c r="BP1215" s="52">
        <f t="shared" si="7925"/>
        <v>0</v>
      </c>
      <c r="BQ1215" s="52">
        <f t="shared" si="7925"/>
        <v>0</v>
      </c>
      <c r="BR1215" s="52">
        <f t="shared" si="7925"/>
        <v>0</v>
      </c>
      <c r="BS1215" s="52">
        <f t="shared" si="7925"/>
        <v>0</v>
      </c>
      <c r="BT1215" s="52">
        <f t="shared" si="7925"/>
        <v>0</v>
      </c>
      <c r="BU1215" s="52">
        <f t="shared" si="7925"/>
        <v>0</v>
      </c>
      <c r="BV1215" s="52">
        <f t="shared" si="7925"/>
        <v>0</v>
      </c>
      <c r="BW1215" s="52">
        <f t="shared" si="7925"/>
        <v>0</v>
      </c>
      <c r="BX1215" s="52">
        <f t="shared" si="7925"/>
        <v>0</v>
      </c>
      <c r="BY1215" s="52">
        <f t="shared" ref="BY1215:CO1215" si="7926">SUM(BY1212:BY1214)*(ABS(SUM(BY1212:BY1214))&gt;Accuracy)</f>
        <v>0</v>
      </c>
      <c r="BZ1215" s="52">
        <f t="shared" si="7926"/>
        <v>0</v>
      </c>
      <c r="CA1215" s="52">
        <f t="shared" si="7926"/>
        <v>0</v>
      </c>
      <c r="CB1215" s="52">
        <f t="shared" si="7926"/>
        <v>0</v>
      </c>
      <c r="CC1215" s="52">
        <f t="shared" si="7926"/>
        <v>0</v>
      </c>
      <c r="CD1215" s="52">
        <f t="shared" si="7926"/>
        <v>0</v>
      </c>
      <c r="CE1215" s="52">
        <f t="shared" si="7926"/>
        <v>0</v>
      </c>
      <c r="CF1215" s="52">
        <f t="shared" si="7926"/>
        <v>0</v>
      </c>
      <c r="CG1215" s="52">
        <f t="shared" si="7926"/>
        <v>0</v>
      </c>
      <c r="CH1215" s="52">
        <f t="shared" si="7926"/>
        <v>0</v>
      </c>
      <c r="CI1215" s="52">
        <f t="shared" si="7926"/>
        <v>0</v>
      </c>
      <c r="CJ1215" s="52">
        <f t="shared" si="7926"/>
        <v>0</v>
      </c>
      <c r="CK1215" s="52">
        <f t="shared" si="7926"/>
        <v>0</v>
      </c>
      <c r="CL1215" s="52">
        <f t="shared" si="7926"/>
        <v>0</v>
      </c>
      <c r="CM1215" s="52">
        <f t="shared" si="7926"/>
        <v>0</v>
      </c>
      <c r="CN1215" s="52">
        <f t="shared" si="7926"/>
        <v>0</v>
      </c>
      <c r="CO1215" s="52">
        <f t="shared" si="7926"/>
        <v>0</v>
      </c>
    </row>
    <row r="1216" spans="1:93">
      <c r="A1216" s="10"/>
      <c r="B1216" s="10"/>
      <c r="C1216" s="21"/>
      <c r="D1216" s="10"/>
      <c r="E1216" s="10"/>
      <c r="F1216" s="10"/>
      <c r="G1216" s="11"/>
      <c r="H1216" s="10"/>
      <c r="I1216" s="11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  <c r="AZ1216" s="10"/>
      <c r="BA1216" s="10"/>
      <c r="BB1216" s="10"/>
      <c r="BC1216" s="10"/>
      <c r="BD1216" s="10"/>
      <c r="BE1216" s="10"/>
      <c r="BF1216" s="10"/>
      <c r="BG1216" s="10"/>
      <c r="BH1216" s="10"/>
      <c r="BI1216" s="10"/>
      <c r="BJ1216" s="10"/>
      <c r="BK1216" s="10"/>
      <c r="BL1216" s="10"/>
      <c r="BM1216" s="10"/>
      <c r="BN1216" s="10"/>
      <c r="BO1216" s="10"/>
      <c r="BP1216" s="10"/>
      <c r="BQ1216" s="10"/>
      <c r="BR1216" s="10"/>
      <c r="BS1216" s="10"/>
      <c r="BT1216" s="10"/>
      <c r="BU1216" s="10"/>
      <c r="BV1216" s="10"/>
      <c r="BW1216" s="10"/>
      <c r="BX1216" s="10"/>
      <c r="BY1216" s="10"/>
      <c r="BZ1216" s="10"/>
      <c r="CA1216" s="10"/>
      <c r="CB1216" s="10"/>
      <c r="CC1216" s="10"/>
      <c r="CD1216" s="10"/>
      <c r="CE1216" s="10"/>
      <c r="CF1216" s="10"/>
      <c r="CG1216" s="10"/>
      <c r="CH1216" s="10"/>
      <c r="CI1216" s="10"/>
      <c r="CJ1216" s="10"/>
      <c r="CK1216" s="10"/>
      <c r="CL1216" s="10"/>
      <c r="CM1216" s="10"/>
      <c r="CN1216" s="10"/>
      <c r="CO1216" s="10"/>
    </row>
    <row r="1217" spans="1:93">
      <c r="A1217" s="10"/>
      <c r="B1217" s="10"/>
      <c r="C1217" s="32" t="s">
        <v>323</v>
      </c>
      <c r="D1217" s="10"/>
      <c r="E1217" s="10"/>
      <c r="F1217" s="10"/>
      <c r="G1217" s="11"/>
      <c r="H1217" s="10"/>
      <c r="I1217" s="11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  <c r="AZ1217" s="10"/>
      <c r="BA1217" s="10"/>
      <c r="BB1217" s="10"/>
      <c r="BC1217" s="10"/>
      <c r="BD1217" s="10"/>
      <c r="BE1217" s="10"/>
      <c r="BF1217" s="10"/>
      <c r="BG1217" s="10"/>
      <c r="BH1217" s="10"/>
      <c r="BI1217" s="10"/>
      <c r="BJ1217" s="10"/>
      <c r="BK1217" s="10"/>
      <c r="BL1217" s="10"/>
      <c r="BM1217" s="10"/>
      <c r="BN1217" s="10"/>
      <c r="BO1217" s="10"/>
      <c r="BP1217" s="10"/>
      <c r="BQ1217" s="10"/>
      <c r="BR1217" s="10"/>
      <c r="BS1217" s="10"/>
      <c r="BT1217" s="10"/>
      <c r="BU1217" s="10"/>
      <c r="BV1217" s="10"/>
      <c r="BW1217" s="10"/>
      <c r="BX1217" s="10"/>
      <c r="BY1217" s="10"/>
      <c r="BZ1217" s="10"/>
      <c r="CA1217" s="10"/>
      <c r="CB1217" s="10"/>
      <c r="CC1217" s="10"/>
      <c r="CD1217" s="10"/>
      <c r="CE1217" s="10"/>
      <c r="CF1217" s="10"/>
      <c r="CG1217" s="10"/>
      <c r="CH1217" s="10"/>
      <c r="CI1217" s="10"/>
      <c r="CJ1217" s="10"/>
      <c r="CK1217" s="10"/>
      <c r="CL1217" s="10"/>
      <c r="CM1217" s="10"/>
      <c r="CN1217" s="10"/>
      <c r="CO1217" s="10"/>
    </row>
    <row r="1218" spans="1:93">
      <c r="A1218" s="10"/>
      <c r="B1218" s="10"/>
      <c r="C1218" s="21" t="s">
        <v>182</v>
      </c>
      <c r="D1218" s="10"/>
      <c r="E1218" s="10"/>
      <c r="F1218" s="10"/>
      <c r="G1218" s="11" t="str">
        <f>Monetary_Unit</f>
        <v>тыс. руб.</v>
      </c>
      <c r="H1218" s="10"/>
      <c r="I1218" s="23">
        <f>SUM(L1218:CO1218)</f>
        <v>-1330786.673672708</v>
      </c>
      <c r="J1218" s="10"/>
      <c r="K1218" s="10"/>
      <c r="L1218" s="52">
        <f t="shared" ref="L1218" si="7927">-L1189</f>
        <v>0</v>
      </c>
      <c r="M1218" s="52">
        <f t="shared" ref="M1218:BX1218" si="7928">-M1189</f>
        <v>0</v>
      </c>
      <c r="N1218" s="52">
        <f t="shared" si="7928"/>
        <v>0</v>
      </c>
      <c r="O1218" s="52">
        <f t="shared" si="7928"/>
        <v>0</v>
      </c>
      <c r="P1218" s="52">
        <f t="shared" si="7928"/>
        <v>0</v>
      </c>
      <c r="Q1218" s="52">
        <f t="shared" si="7928"/>
        <v>0</v>
      </c>
      <c r="R1218" s="52">
        <f t="shared" si="7928"/>
        <v>0</v>
      </c>
      <c r="S1218" s="52">
        <f t="shared" si="7928"/>
        <v>-738.99174247580174</v>
      </c>
      <c r="T1218" s="52">
        <f t="shared" si="7928"/>
        <v>-3234.8821767320223</v>
      </c>
      <c r="U1218" s="52">
        <f t="shared" si="7928"/>
        <v>-7256.2536237105141</v>
      </c>
      <c r="V1218" s="52">
        <f t="shared" si="7928"/>
        <v>-11404.918486102473</v>
      </c>
      <c r="W1218" s="52">
        <f t="shared" si="7928"/>
        <v>-15513.937077923534</v>
      </c>
      <c r="X1218" s="52">
        <f t="shared" si="7928"/>
        <v>-21635.021605468475</v>
      </c>
      <c r="Y1218" s="52">
        <f t="shared" si="7928"/>
        <v>-30267.503661225743</v>
      </c>
      <c r="Z1218" s="52">
        <f t="shared" si="7928"/>
        <v>-39413.452160910616</v>
      </c>
      <c r="AA1218" s="52">
        <f t="shared" si="7928"/>
        <v>-48313.632138229776</v>
      </c>
      <c r="AB1218" s="52">
        <f t="shared" si="7928"/>
        <v>-57475.007205903479</v>
      </c>
      <c r="AC1218" s="52">
        <f t="shared" si="7928"/>
        <v>-63872.407755986169</v>
      </c>
      <c r="AD1218" s="52">
        <f t="shared" si="7928"/>
        <v>-62892.014193801202</v>
      </c>
      <c r="AE1218" s="52">
        <f t="shared" si="7928"/>
        <v>-61190.416445550276</v>
      </c>
      <c r="AF1218" s="52">
        <f t="shared" si="7928"/>
        <v>-58172.297254570709</v>
      </c>
      <c r="AG1218" s="52">
        <f t="shared" si="7928"/>
        <v>-57080.646529591679</v>
      </c>
      <c r="AH1218" s="52">
        <f t="shared" si="7928"/>
        <v>-55930.44209210058</v>
      </c>
      <c r="AI1218" s="52">
        <f t="shared" si="7928"/>
        <v>-54131.967215460383</v>
      </c>
      <c r="AJ1218" s="52">
        <f t="shared" si="7928"/>
        <v>-51171.195711258915</v>
      </c>
      <c r="AK1218" s="52">
        <f t="shared" si="7928"/>
        <v>-49904.037104946961</v>
      </c>
      <c r="AL1218" s="52">
        <f t="shared" si="7928"/>
        <v>-48574.405478010551</v>
      </c>
      <c r="AM1218" s="52">
        <f t="shared" si="7928"/>
        <v>-46673.54571622183</v>
      </c>
      <c r="AN1218" s="52">
        <f t="shared" si="7928"/>
        <v>-44138.79593852751</v>
      </c>
      <c r="AO1218" s="52">
        <f t="shared" si="7928"/>
        <v>-42207.308872000569</v>
      </c>
      <c r="AP1218" s="52">
        <f t="shared" si="7928"/>
        <v>-40691.467417603446</v>
      </c>
      <c r="AQ1218" s="52">
        <f t="shared" si="7928"/>
        <v>-38687.152626157636</v>
      </c>
      <c r="AR1218" s="52">
        <f t="shared" si="7928"/>
        <v>-35956.272041141216</v>
      </c>
      <c r="AS1218" s="52">
        <f t="shared" si="7928"/>
        <v>-34307.790947443333</v>
      </c>
      <c r="AT1218" s="52">
        <f t="shared" si="7928"/>
        <v>-32588.246953087979</v>
      </c>
      <c r="AU1218" s="52">
        <f t="shared" si="7928"/>
        <v>-30464.826714844134</v>
      </c>
      <c r="AV1218" s="52">
        <f t="shared" si="7928"/>
        <v>-27696.230071407623</v>
      </c>
      <c r="AW1218" s="52">
        <f t="shared" si="7928"/>
        <v>-25840.779998392045</v>
      </c>
      <c r="AX1218" s="52">
        <f t="shared" si="7928"/>
        <v>-23909.566331086633</v>
      </c>
      <c r="AY1218" s="52">
        <f t="shared" si="7928"/>
        <v>-21665.290095109085</v>
      </c>
      <c r="AZ1218" s="52">
        <f t="shared" si="7928"/>
        <v>-18968.105120419892</v>
      </c>
      <c r="BA1218" s="52">
        <f t="shared" si="7928"/>
        <v>-16893.990510090218</v>
      </c>
      <c r="BB1218" s="52">
        <f t="shared" si="7928"/>
        <v>-14739.119607861281</v>
      </c>
      <c r="BC1218" s="52">
        <f t="shared" si="7928"/>
        <v>-12367.118513902496</v>
      </c>
      <c r="BD1218" s="52">
        <f t="shared" si="7928"/>
        <v>-9826.7309072529442</v>
      </c>
      <c r="BE1218" s="52">
        <f t="shared" si="7928"/>
        <v>-7420.3179551697622</v>
      </c>
      <c r="BF1218" s="52">
        <f t="shared" si="7928"/>
        <v>-5035.4313667147007</v>
      </c>
      <c r="BG1218" s="52">
        <f t="shared" si="7928"/>
        <v>-2535.1563083135316</v>
      </c>
      <c r="BH1218" s="52">
        <f t="shared" si="7928"/>
        <v>0</v>
      </c>
      <c r="BI1218" s="52">
        <f t="shared" si="7928"/>
        <v>0</v>
      </c>
      <c r="BJ1218" s="52">
        <f t="shared" si="7928"/>
        <v>0</v>
      </c>
      <c r="BK1218" s="52">
        <f t="shared" si="7928"/>
        <v>0</v>
      </c>
      <c r="BL1218" s="52">
        <f t="shared" si="7928"/>
        <v>0</v>
      </c>
      <c r="BM1218" s="52">
        <f t="shared" si="7928"/>
        <v>0</v>
      </c>
      <c r="BN1218" s="52">
        <f t="shared" si="7928"/>
        <v>0</v>
      </c>
      <c r="BO1218" s="52">
        <f t="shared" si="7928"/>
        <v>0</v>
      </c>
      <c r="BP1218" s="52">
        <f t="shared" si="7928"/>
        <v>0</v>
      </c>
      <c r="BQ1218" s="52">
        <f t="shared" si="7928"/>
        <v>0</v>
      </c>
      <c r="BR1218" s="52">
        <f t="shared" si="7928"/>
        <v>0</v>
      </c>
      <c r="BS1218" s="52">
        <f t="shared" si="7928"/>
        <v>0</v>
      </c>
      <c r="BT1218" s="52">
        <f t="shared" si="7928"/>
        <v>0</v>
      </c>
      <c r="BU1218" s="52">
        <f t="shared" si="7928"/>
        <v>0</v>
      </c>
      <c r="BV1218" s="52">
        <f t="shared" si="7928"/>
        <v>0</v>
      </c>
      <c r="BW1218" s="52">
        <f t="shared" si="7928"/>
        <v>0</v>
      </c>
      <c r="BX1218" s="52">
        <f t="shared" si="7928"/>
        <v>0</v>
      </c>
      <c r="BY1218" s="52">
        <f t="shared" ref="BY1218:CO1218" si="7929">-BY1189</f>
        <v>0</v>
      </c>
      <c r="BZ1218" s="52">
        <f t="shared" si="7929"/>
        <v>0</v>
      </c>
      <c r="CA1218" s="52">
        <f t="shared" si="7929"/>
        <v>0</v>
      </c>
      <c r="CB1218" s="52">
        <f t="shared" si="7929"/>
        <v>0</v>
      </c>
      <c r="CC1218" s="52">
        <f t="shared" si="7929"/>
        <v>0</v>
      </c>
      <c r="CD1218" s="52">
        <f t="shared" si="7929"/>
        <v>0</v>
      </c>
      <c r="CE1218" s="52">
        <f t="shared" si="7929"/>
        <v>0</v>
      </c>
      <c r="CF1218" s="52">
        <f t="shared" si="7929"/>
        <v>0</v>
      </c>
      <c r="CG1218" s="52">
        <f t="shared" si="7929"/>
        <v>0</v>
      </c>
      <c r="CH1218" s="52">
        <f t="shared" si="7929"/>
        <v>0</v>
      </c>
      <c r="CI1218" s="52">
        <f t="shared" si="7929"/>
        <v>0</v>
      </c>
      <c r="CJ1218" s="52">
        <f t="shared" si="7929"/>
        <v>0</v>
      </c>
      <c r="CK1218" s="52">
        <f t="shared" si="7929"/>
        <v>0</v>
      </c>
      <c r="CL1218" s="52">
        <f t="shared" si="7929"/>
        <v>0</v>
      </c>
      <c r="CM1218" s="52">
        <f t="shared" si="7929"/>
        <v>0</v>
      </c>
      <c r="CN1218" s="52">
        <f t="shared" si="7929"/>
        <v>0</v>
      </c>
      <c r="CO1218" s="52">
        <f t="shared" si="7929"/>
        <v>0</v>
      </c>
    </row>
    <row r="1219" spans="1:93">
      <c r="A1219" s="10"/>
      <c r="B1219" s="10"/>
      <c r="C1219" s="21" t="s">
        <v>413</v>
      </c>
      <c r="D1219" s="10"/>
      <c r="E1219" s="10"/>
      <c r="F1219" s="10"/>
      <c r="G1219" s="11" t="str">
        <f>Monetary_Unit</f>
        <v>тыс. руб.</v>
      </c>
      <c r="H1219" s="10"/>
      <c r="I1219" s="23">
        <f>SUM(L1219:CO1219)</f>
        <v>-235253.59987868241</v>
      </c>
      <c r="J1219" s="10"/>
      <c r="K1219" s="10"/>
      <c r="L1219" s="52">
        <f t="shared" ref="L1219" si="7930">L1218*NOT(Flag_Operations)</f>
        <v>0</v>
      </c>
      <c r="M1219" s="52">
        <f t="shared" ref="M1219:BX1219" si="7931">M1218*NOT(Flag_Operations)</f>
        <v>0</v>
      </c>
      <c r="N1219" s="52">
        <f t="shared" si="7931"/>
        <v>0</v>
      </c>
      <c r="O1219" s="52">
        <f t="shared" si="7931"/>
        <v>0</v>
      </c>
      <c r="P1219" s="52">
        <f t="shared" si="7931"/>
        <v>0</v>
      </c>
      <c r="Q1219" s="52">
        <f t="shared" si="7931"/>
        <v>0</v>
      </c>
      <c r="R1219" s="52">
        <f t="shared" si="7931"/>
        <v>0</v>
      </c>
      <c r="S1219" s="52">
        <f t="shared" si="7931"/>
        <v>-738.99174247580174</v>
      </c>
      <c r="T1219" s="52">
        <f t="shared" si="7931"/>
        <v>-3234.8821767320223</v>
      </c>
      <c r="U1219" s="52">
        <f t="shared" si="7931"/>
        <v>-7256.2536237105141</v>
      </c>
      <c r="V1219" s="52">
        <f t="shared" si="7931"/>
        <v>-11404.918486102473</v>
      </c>
      <c r="W1219" s="52">
        <f t="shared" si="7931"/>
        <v>-15513.937077923534</v>
      </c>
      <c r="X1219" s="52">
        <f t="shared" si="7931"/>
        <v>-21635.021605468475</v>
      </c>
      <c r="Y1219" s="52">
        <f t="shared" si="7931"/>
        <v>-30267.503661225743</v>
      </c>
      <c r="Z1219" s="52">
        <f t="shared" si="7931"/>
        <v>-39413.452160910616</v>
      </c>
      <c r="AA1219" s="52">
        <f t="shared" si="7931"/>
        <v>-48313.632138229776</v>
      </c>
      <c r="AB1219" s="52">
        <f t="shared" si="7931"/>
        <v>-57475.007205903479</v>
      </c>
      <c r="AC1219" s="52">
        <f t="shared" si="7931"/>
        <v>0</v>
      </c>
      <c r="AD1219" s="52">
        <f t="shared" si="7931"/>
        <v>0</v>
      </c>
      <c r="AE1219" s="52">
        <f t="shared" si="7931"/>
        <v>0</v>
      </c>
      <c r="AF1219" s="52">
        <f t="shared" si="7931"/>
        <v>0</v>
      </c>
      <c r="AG1219" s="52">
        <f t="shared" si="7931"/>
        <v>0</v>
      </c>
      <c r="AH1219" s="52">
        <f t="shared" si="7931"/>
        <v>0</v>
      </c>
      <c r="AI1219" s="52">
        <f t="shared" si="7931"/>
        <v>0</v>
      </c>
      <c r="AJ1219" s="52">
        <f t="shared" si="7931"/>
        <v>0</v>
      </c>
      <c r="AK1219" s="52">
        <f t="shared" si="7931"/>
        <v>0</v>
      </c>
      <c r="AL1219" s="52">
        <f t="shared" si="7931"/>
        <v>0</v>
      </c>
      <c r="AM1219" s="52">
        <f t="shared" si="7931"/>
        <v>0</v>
      </c>
      <c r="AN1219" s="52">
        <f t="shared" si="7931"/>
        <v>0</v>
      </c>
      <c r="AO1219" s="52">
        <f t="shared" si="7931"/>
        <v>0</v>
      </c>
      <c r="AP1219" s="52">
        <f t="shared" si="7931"/>
        <v>0</v>
      </c>
      <c r="AQ1219" s="52">
        <f t="shared" si="7931"/>
        <v>0</v>
      </c>
      <c r="AR1219" s="52">
        <f t="shared" si="7931"/>
        <v>0</v>
      </c>
      <c r="AS1219" s="52">
        <f t="shared" si="7931"/>
        <v>0</v>
      </c>
      <c r="AT1219" s="52">
        <f t="shared" si="7931"/>
        <v>0</v>
      </c>
      <c r="AU1219" s="52">
        <f t="shared" si="7931"/>
        <v>0</v>
      </c>
      <c r="AV1219" s="52">
        <f t="shared" si="7931"/>
        <v>0</v>
      </c>
      <c r="AW1219" s="52">
        <f t="shared" si="7931"/>
        <v>0</v>
      </c>
      <c r="AX1219" s="52">
        <f t="shared" si="7931"/>
        <v>0</v>
      </c>
      <c r="AY1219" s="52">
        <f t="shared" si="7931"/>
        <v>0</v>
      </c>
      <c r="AZ1219" s="52">
        <f t="shared" si="7931"/>
        <v>0</v>
      </c>
      <c r="BA1219" s="52">
        <f t="shared" si="7931"/>
        <v>0</v>
      </c>
      <c r="BB1219" s="52">
        <f t="shared" si="7931"/>
        <v>0</v>
      </c>
      <c r="BC1219" s="52">
        <f t="shared" si="7931"/>
        <v>0</v>
      </c>
      <c r="BD1219" s="52">
        <f t="shared" si="7931"/>
        <v>0</v>
      </c>
      <c r="BE1219" s="52">
        <f t="shared" si="7931"/>
        <v>0</v>
      </c>
      <c r="BF1219" s="52">
        <f t="shared" si="7931"/>
        <v>0</v>
      </c>
      <c r="BG1219" s="52">
        <f t="shared" si="7931"/>
        <v>0</v>
      </c>
      <c r="BH1219" s="52">
        <f t="shared" si="7931"/>
        <v>0</v>
      </c>
      <c r="BI1219" s="52">
        <f t="shared" si="7931"/>
        <v>0</v>
      </c>
      <c r="BJ1219" s="52">
        <f t="shared" si="7931"/>
        <v>0</v>
      </c>
      <c r="BK1219" s="52">
        <f t="shared" si="7931"/>
        <v>0</v>
      </c>
      <c r="BL1219" s="52">
        <f t="shared" si="7931"/>
        <v>0</v>
      </c>
      <c r="BM1219" s="52">
        <f t="shared" si="7931"/>
        <v>0</v>
      </c>
      <c r="BN1219" s="52">
        <f t="shared" si="7931"/>
        <v>0</v>
      </c>
      <c r="BO1219" s="52">
        <f t="shared" si="7931"/>
        <v>0</v>
      </c>
      <c r="BP1219" s="52">
        <f t="shared" si="7931"/>
        <v>0</v>
      </c>
      <c r="BQ1219" s="52">
        <f t="shared" si="7931"/>
        <v>0</v>
      </c>
      <c r="BR1219" s="52">
        <f t="shared" si="7931"/>
        <v>0</v>
      </c>
      <c r="BS1219" s="52">
        <f t="shared" si="7931"/>
        <v>0</v>
      </c>
      <c r="BT1219" s="52">
        <f t="shared" si="7931"/>
        <v>0</v>
      </c>
      <c r="BU1219" s="52">
        <f t="shared" si="7931"/>
        <v>0</v>
      </c>
      <c r="BV1219" s="52">
        <f t="shared" si="7931"/>
        <v>0</v>
      </c>
      <c r="BW1219" s="52">
        <f t="shared" si="7931"/>
        <v>0</v>
      </c>
      <c r="BX1219" s="52">
        <f t="shared" si="7931"/>
        <v>0</v>
      </c>
      <c r="BY1219" s="52">
        <f t="shared" ref="BY1219:CO1219" si="7932">BY1218*NOT(Flag_Operations)</f>
        <v>0</v>
      </c>
      <c r="BZ1219" s="52">
        <f t="shared" si="7932"/>
        <v>0</v>
      </c>
      <c r="CA1219" s="52">
        <f t="shared" si="7932"/>
        <v>0</v>
      </c>
      <c r="CB1219" s="52">
        <f t="shared" si="7932"/>
        <v>0</v>
      </c>
      <c r="CC1219" s="52">
        <f t="shared" si="7932"/>
        <v>0</v>
      </c>
      <c r="CD1219" s="52">
        <f t="shared" si="7932"/>
        <v>0</v>
      </c>
      <c r="CE1219" s="52">
        <f t="shared" si="7932"/>
        <v>0</v>
      </c>
      <c r="CF1219" s="52">
        <f t="shared" si="7932"/>
        <v>0</v>
      </c>
      <c r="CG1219" s="52">
        <f t="shared" si="7932"/>
        <v>0</v>
      </c>
      <c r="CH1219" s="52">
        <f t="shared" si="7932"/>
        <v>0</v>
      </c>
      <c r="CI1219" s="52">
        <f t="shared" si="7932"/>
        <v>0</v>
      </c>
      <c r="CJ1219" s="52">
        <f t="shared" si="7932"/>
        <v>0</v>
      </c>
      <c r="CK1219" s="52">
        <f t="shared" si="7932"/>
        <v>0</v>
      </c>
      <c r="CL1219" s="52">
        <f t="shared" si="7932"/>
        <v>0</v>
      </c>
      <c r="CM1219" s="52">
        <f t="shared" si="7932"/>
        <v>0</v>
      </c>
      <c r="CN1219" s="52">
        <f t="shared" si="7932"/>
        <v>0</v>
      </c>
      <c r="CO1219" s="52">
        <f t="shared" si="7932"/>
        <v>0</v>
      </c>
    </row>
    <row r="1220" spans="1:93">
      <c r="A1220" s="10"/>
      <c r="B1220" s="10"/>
      <c r="C1220" s="21" t="s">
        <v>414</v>
      </c>
      <c r="D1220" s="10"/>
      <c r="E1220" s="10"/>
      <c r="F1220" s="10"/>
      <c r="G1220" s="11" t="str">
        <f>Monetary_Unit</f>
        <v>тыс. руб.</v>
      </c>
      <c r="H1220" s="10"/>
      <c r="I1220" s="23">
        <f>SUM(L1220:CO1220)</f>
        <v>-1095533.0737940255</v>
      </c>
      <c r="J1220" s="10"/>
      <c r="K1220" s="10"/>
      <c r="L1220" s="52">
        <f t="shared" ref="L1220" si="7933">L1218*Flag_Operations</f>
        <v>0</v>
      </c>
      <c r="M1220" s="52">
        <f t="shared" ref="M1220:BX1220" si="7934">M1218*Flag_Operations</f>
        <v>0</v>
      </c>
      <c r="N1220" s="52">
        <f t="shared" si="7934"/>
        <v>0</v>
      </c>
      <c r="O1220" s="52">
        <f t="shared" si="7934"/>
        <v>0</v>
      </c>
      <c r="P1220" s="52">
        <f t="shared" si="7934"/>
        <v>0</v>
      </c>
      <c r="Q1220" s="52">
        <f t="shared" si="7934"/>
        <v>0</v>
      </c>
      <c r="R1220" s="52">
        <f t="shared" si="7934"/>
        <v>0</v>
      </c>
      <c r="S1220" s="52">
        <f t="shared" si="7934"/>
        <v>0</v>
      </c>
      <c r="T1220" s="52">
        <f t="shared" si="7934"/>
        <v>0</v>
      </c>
      <c r="U1220" s="52">
        <f t="shared" si="7934"/>
        <v>0</v>
      </c>
      <c r="V1220" s="52">
        <f t="shared" si="7934"/>
        <v>0</v>
      </c>
      <c r="W1220" s="52">
        <f t="shared" si="7934"/>
        <v>0</v>
      </c>
      <c r="X1220" s="52">
        <f t="shared" si="7934"/>
        <v>0</v>
      </c>
      <c r="Y1220" s="52">
        <f t="shared" si="7934"/>
        <v>0</v>
      </c>
      <c r="Z1220" s="52">
        <f t="shared" si="7934"/>
        <v>0</v>
      </c>
      <c r="AA1220" s="52">
        <f t="shared" si="7934"/>
        <v>0</v>
      </c>
      <c r="AB1220" s="52">
        <f t="shared" si="7934"/>
        <v>0</v>
      </c>
      <c r="AC1220" s="52">
        <f t="shared" si="7934"/>
        <v>-63872.407755986169</v>
      </c>
      <c r="AD1220" s="52">
        <f t="shared" si="7934"/>
        <v>-62892.014193801202</v>
      </c>
      <c r="AE1220" s="52">
        <f t="shared" si="7934"/>
        <v>-61190.416445550276</v>
      </c>
      <c r="AF1220" s="52">
        <f t="shared" si="7934"/>
        <v>-58172.297254570709</v>
      </c>
      <c r="AG1220" s="52">
        <f t="shared" si="7934"/>
        <v>-57080.646529591679</v>
      </c>
      <c r="AH1220" s="52">
        <f t="shared" si="7934"/>
        <v>-55930.44209210058</v>
      </c>
      <c r="AI1220" s="52">
        <f t="shared" si="7934"/>
        <v>-54131.967215460383</v>
      </c>
      <c r="AJ1220" s="52">
        <f t="shared" si="7934"/>
        <v>-51171.195711258915</v>
      </c>
      <c r="AK1220" s="52">
        <f t="shared" si="7934"/>
        <v>-49904.037104946961</v>
      </c>
      <c r="AL1220" s="52">
        <f t="shared" si="7934"/>
        <v>-48574.405478010551</v>
      </c>
      <c r="AM1220" s="52">
        <f t="shared" si="7934"/>
        <v>-46673.54571622183</v>
      </c>
      <c r="AN1220" s="52">
        <f t="shared" si="7934"/>
        <v>-44138.79593852751</v>
      </c>
      <c r="AO1220" s="52">
        <f t="shared" si="7934"/>
        <v>-42207.308872000569</v>
      </c>
      <c r="AP1220" s="52">
        <f t="shared" si="7934"/>
        <v>-40691.467417603446</v>
      </c>
      <c r="AQ1220" s="52">
        <f t="shared" si="7934"/>
        <v>-38687.152626157636</v>
      </c>
      <c r="AR1220" s="52">
        <f t="shared" si="7934"/>
        <v>-35956.272041141216</v>
      </c>
      <c r="AS1220" s="52">
        <f t="shared" si="7934"/>
        <v>-34307.790947443333</v>
      </c>
      <c r="AT1220" s="52">
        <f t="shared" si="7934"/>
        <v>-32588.246953087979</v>
      </c>
      <c r="AU1220" s="52">
        <f t="shared" si="7934"/>
        <v>-30464.826714844134</v>
      </c>
      <c r="AV1220" s="52">
        <f t="shared" si="7934"/>
        <v>-27696.230071407623</v>
      </c>
      <c r="AW1220" s="52">
        <f t="shared" si="7934"/>
        <v>-25840.779998392045</v>
      </c>
      <c r="AX1220" s="52">
        <f t="shared" si="7934"/>
        <v>-23909.566331086633</v>
      </c>
      <c r="AY1220" s="52">
        <f t="shared" si="7934"/>
        <v>-21665.290095109085</v>
      </c>
      <c r="AZ1220" s="52">
        <f t="shared" si="7934"/>
        <v>-18968.105120419892</v>
      </c>
      <c r="BA1220" s="52">
        <f t="shared" si="7934"/>
        <v>-16893.990510090218</v>
      </c>
      <c r="BB1220" s="52">
        <f t="shared" si="7934"/>
        <v>-14739.119607861281</v>
      </c>
      <c r="BC1220" s="52">
        <f t="shared" si="7934"/>
        <v>-12367.118513902496</v>
      </c>
      <c r="BD1220" s="52">
        <f t="shared" si="7934"/>
        <v>-9826.7309072529442</v>
      </c>
      <c r="BE1220" s="52">
        <f t="shared" si="7934"/>
        <v>-7420.3179551697622</v>
      </c>
      <c r="BF1220" s="52">
        <f t="shared" si="7934"/>
        <v>-5035.4313667147007</v>
      </c>
      <c r="BG1220" s="52">
        <f t="shared" si="7934"/>
        <v>-2535.1563083135316</v>
      </c>
      <c r="BH1220" s="52">
        <f t="shared" si="7934"/>
        <v>0</v>
      </c>
      <c r="BI1220" s="52">
        <f t="shared" si="7934"/>
        <v>0</v>
      </c>
      <c r="BJ1220" s="52">
        <f t="shared" si="7934"/>
        <v>0</v>
      </c>
      <c r="BK1220" s="52">
        <f t="shared" si="7934"/>
        <v>0</v>
      </c>
      <c r="BL1220" s="52">
        <f t="shared" si="7934"/>
        <v>0</v>
      </c>
      <c r="BM1220" s="52">
        <f t="shared" si="7934"/>
        <v>0</v>
      </c>
      <c r="BN1220" s="52">
        <f t="shared" si="7934"/>
        <v>0</v>
      </c>
      <c r="BO1220" s="52">
        <f t="shared" si="7934"/>
        <v>0</v>
      </c>
      <c r="BP1220" s="52">
        <f t="shared" si="7934"/>
        <v>0</v>
      </c>
      <c r="BQ1220" s="52">
        <f t="shared" si="7934"/>
        <v>0</v>
      </c>
      <c r="BR1220" s="52">
        <f t="shared" si="7934"/>
        <v>0</v>
      </c>
      <c r="BS1220" s="52">
        <f t="shared" si="7934"/>
        <v>0</v>
      </c>
      <c r="BT1220" s="52">
        <f t="shared" si="7934"/>
        <v>0</v>
      </c>
      <c r="BU1220" s="52">
        <f t="shared" si="7934"/>
        <v>0</v>
      </c>
      <c r="BV1220" s="52">
        <f t="shared" si="7934"/>
        <v>0</v>
      </c>
      <c r="BW1220" s="52">
        <f t="shared" si="7934"/>
        <v>0</v>
      </c>
      <c r="BX1220" s="52">
        <f t="shared" si="7934"/>
        <v>0</v>
      </c>
      <c r="BY1220" s="52">
        <f t="shared" ref="BY1220:CO1220" si="7935">BY1218*Flag_Operations</f>
        <v>0</v>
      </c>
      <c r="BZ1220" s="52">
        <f t="shared" si="7935"/>
        <v>0</v>
      </c>
      <c r="CA1220" s="52">
        <f t="shared" si="7935"/>
        <v>0</v>
      </c>
      <c r="CB1220" s="52">
        <f t="shared" si="7935"/>
        <v>0</v>
      </c>
      <c r="CC1220" s="52">
        <f t="shared" si="7935"/>
        <v>0</v>
      </c>
      <c r="CD1220" s="52">
        <f t="shared" si="7935"/>
        <v>0</v>
      </c>
      <c r="CE1220" s="52">
        <f t="shared" si="7935"/>
        <v>0</v>
      </c>
      <c r="CF1220" s="52">
        <f t="shared" si="7935"/>
        <v>0</v>
      </c>
      <c r="CG1220" s="52">
        <f t="shared" si="7935"/>
        <v>0</v>
      </c>
      <c r="CH1220" s="52">
        <f t="shared" si="7935"/>
        <v>0</v>
      </c>
      <c r="CI1220" s="52">
        <f t="shared" si="7935"/>
        <v>0</v>
      </c>
      <c r="CJ1220" s="52">
        <f t="shared" si="7935"/>
        <v>0</v>
      </c>
      <c r="CK1220" s="52">
        <f t="shared" si="7935"/>
        <v>0</v>
      </c>
      <c r="CL1220" s="52">
        <f t="shared" si="7935"/>
        <v>0</v>
      </c>
      <c r="CM1220" s="52">
        <f t="shared" si="7935"/>
        <v>0</v>
      </c>
      <c r="CN1220" s="52">
        <f t="shared" si="7935"/>
        <v>0</v>
      </c>
      <c r="CO1220" s="52">
        <f t="shared" si="7935"/>
        <v>0</v>
      </c>
    </row>
    <row r="1221" spans="1:93">
      <c r="A1221" s="10"/>
      <c r="B1221" s="10"/>
      <c r="C1221" s="21" t="s">
        <v>195</v>
      </c>
      <c r="D1221" s="10"/>
      <c r="E1221" s="10"/>
      <c r="F1221" s="10"/>
      <c r="G1221" s="11" t="str">
        <f>Monetary_Unit</f>
        <v>тыс. руб.</v>
      </c>
      <c r="H1221" s="10"/>
      <c r="I1221" s="23">
        <f>SUM(L1221:CO1221)</f>
        <v>-1330786.673672708</v>
      </c>
      <c r="J1221" s="10"/>
      <c r="K1221" s="10"/>
      <c r="L1221" s="52">
        <f t="shared" ref="L1221" si="7936">-L1190</f>
        <v>0</v>
      </c>
      <c r="M1221" s="52">
        <f t="shared" ref="M1221:BX1221" si="7937">-M1190</f>
        <v>0</v>
      </c>
      <c r="N1221" s="52">
        <f t="shared" si="7937"/>
        <v>0</v>
      </c>
      <c r="O1221" s="52">
        <f t="shared" si="7937"/>
        <v>0</v>
      </c>
      <c r="P1221" s="52">
        <f t="shared" si="7937"/>
        <v>0</v>
      </c>
      <c r="Q1221" s="52">
        <f t="shared" si="7937"/>
        <v>0</v>
      </c>
      <c r="R1221" s="52">
        <f t="shared" si="7937"/>
        <v>0</v>
      </c>
      <c r="S1221" s="52">
        <f t="shared" si="7937"/>
        <v>-738.99174247580174</v>
      </c>
      <c r="T1221" s="52">
        <f t="shared" si="7937"/>
        <v>-3234.8821767320223</v>
      </c>
      <c r="U1221" s="52">
        <f t="shared" si="7937"/>
        <v>-7256.2536237105141</v>
      </c>
      <c r="V1221" s="52">
        <f t="shared" si="7937"/>
        <v>-11404.918486102473</v>
      </c>
      <c r="W1221" s="52">
        <f t="shared" si="7937"/>
        <v>-15513.937077923534</v>
      </c>
      <c r="X1221" s="52">
        <f t="shared" si="7937"/>
        <v>-21635.021605468475</v>
      </c>
      <c r="Y1221" s="52">
        <f t="shared" si="7937"/>
        <v>-30267.503661225743</v>
      </c>
      <c r="Z1221" s="52">
        <f t="shared" si="7937"/>
        <v>-39413.452160910616</v>
      </c>
      <c r="AA1221" s="52">
        <f t="shared" si="7937"/>
        <v>-48313.632138229776</v>
      </c>
      <c r="AB1221" s="52">
        <f t="shared" si="7937"/>
        <v>-57475.007205903479</v>
      </c>
      <c r="AC1221" s="52">
        <f t="shared" si="7937"/>
        <v>-63872.407755986169</v>
      </c>
      <c r="AD1221" s="52">
        <f t="shared" si="7937"/>
        <v>-62892.014193801202</v>
      </c>
      <c r="AE1221" s="52">
        <f t="shared" si="7937"/>
        <v>-61190.416445550276</v>
      </c>
      <c r="AF1221" s="52">
        <f t="shared" si="7937"/>
        <v>-58172.297254570709</v>
      </c>
      <c r="AG1221" s="52">
        <f t="shared" si="7937"/>
        <v>-57080.646529591679</v>
      </c>
      <c r="AH1221" s="52">
        <f t="shared" si="7937"/>
        <v>-55930.44209210058</v>
      </c>
      <c r="AI1221" s="52">
        <f t="shared" si="7937"/>
        <v>-54131.967215460383</v>
      </c>
      <c r="AJ1221" s="52">
        <f t="shared" si="7937"/>
        <v>-51171.195711258915</v>
      </c>
      <c r="AK1221" s="52">
        <f t="shared" si="7937"/>
        <v>-49904.037104946961</v>
      </c>
      <c r="AL1221" s="52">
        <f t="shared" si="7937"/>
        <v>-48574.405478010551</v>
      </c>
      <c r="AM1221" s="52">
        <f t="shared" si="7937"/>
        <v>-46673.54571622183</v>
      </c>
      <c r="AN1221" s="52">
        <f t="shared" si="7937"/>
        <v>-44138.79593852751</v>
      </c>
      <c r="AO1221" s="52">
        <f t="shared" si="7937"/>
        <v>-42207.308872000569</v>
      </c>
      <c r="AP1221" s="52">
        <f t="shared" si="7937"/>
        <v>-40691.467417603446</v>
      </c>
      <c r="AQ1221" s="52">
        <f t="shared" si="7937"/>
        <v>-38687.152626157636</v>
      </c>
      <c r="AR1221" s="52">
        <f t="shared" si="7937"/>
        <v>-35956.272041141216</v>
      </c>
      <c r="AS1221" s="52">
        <f t="shared" si="7937"/>
        <v>-34307.790947443333</v>
      </c>
      <c r="AT1221" s="52">
        <f t="shared" si="7937"/>
        <v>-32588.246953087979</v>
      </c>
      <c r="AU1221" s="52">
        <f t="shared" si="7937"/>
        <v>-30464.826714844134</v>
      </c>
      <c r="AV1221" s="52">
        <f t="shared" si="7937"/>
        <v>-27696.230071407623</v>
      </c>
      <c r="AW1221" s="52">
        <f t="shared" si="7937"/>
        <v>-25840.779998392045</v>
      </c>
      <c r="AX1221" s="52">
        <f t="shared" si="7937"/>
        <v>-23909.566331086633</v>
      </c>
      <c r="AY1221" s="52">
        <f t="shared" si="7937"/>
        <v>-21665.290095109085</v>
      </c>
      <c r="AZ1221" s="52">
        <f t="shared" si="7937"/>
        <v>-18968.105120419892</v>
      </c>
      <c r="BA1221" s="52">
        <f t="shared" si="7937"/>
        <v>-16893.990510090218</v>
      </c>
      <c r="BB1221" s="52">
        <f t="shared" si="7937"/>
        <v>-14739.119607861281</v>
      </c>
      <c r="BC1221" s="52">
        <f t="shared" si="7937"/>
        <v>-12367.118513902496</v>
      </c>
      <c r="BD1221" s="52">
        <f t="shared" si="7937"/>
        <v>-9826.7309072529442</v>
      </c>
      <c r="BE1221" s="52">
        <f t="shared" si="7937"/>
        <v>-7420.3179551697622</v>
      </c>
      <c r="BF1221" s="52">
        <f t="shared" si="7937"/>
        <v>-5035.4313667147007</v>
      </c>
      <c r="BG1221" s="52">
        <f t="shared" si="7937"/>
        <v>-2535.1563083135316</v>
      </c>
      <c r="BH1221" s="52">
        <f t="shared" si="7937"/>
        <v>0</v>
      </c>
      <c r="BI1221" s="52">
        <f t="shared" si="7937"/>
        <v>0</v>
      </c>
      <c r="BJ1221" s="52">
        <f t="shared" si="7937"/>
        <v>0</v>
      </c>
      <c r="BK1221" s="52">
        <f t="shared" si="7937"/>
        <v>0</v>
      </c>
      <c r="BL1221" s="52">
        <f t="shared" si="7937"/>
        <v>0</v>
      </c>
      <c r="BM1221" s="52">
        <f t="shared" si="7937"/>
        <v>0</v>
      </c>
      <c r="BN1221" s="52">
        <f t="shared" si="7937"/>
        <v>0</v>
      </c>
      <c r="BO1221" s="52">
        <f t="shared" si="7937"/>
        <v>0</v>
      </c>
      <c r="BP1221" s="52">
        <f t="shared" si="7937"/>
        <v>0</v>
      </c>
      <c r="BQ1221" s="52">
        <f t="shared" si="7937"/>
        <v>0</v>
      </c>
      <c r="BR1221" s="52">
        <f t="shared" si="7937"/>
        <v>0</v>
      </c>
      <c r="BS1221" s="52">
        <f t="shared" si="7937"/>
        <v>0</v>
      </c>
      <c r="BT1221" s="52">
        <f t="shared" si="7937"/>
        <v>0</v>
      </c>
      <c r="BU1221" s="52">
        <f t="shared" si="7937"/>
        <v>0</v>
      </c>
      <c r="BV1221" s="52">
        <f t="shared" si="7937"/>
        <v>0</v>
      </c>
      <c r="BW1221" s="52">
        <f t="shared" si="7937"/>
        <v>0</v>
      </c>
      <c r="BX1221" s="52">
        <f t="shared" si="7937"/>
        <v>0</v>
      </c>
      <c r="BY1221" s="52">
        <f t="shared" ref="BY1221:CO1221" si="7938">-BY1190</f>
        <v>0</v>
      </c>
      <c r="BZ1221" s="52">
        <f t="shared" si="7938"/>
        <v>0</v>
      </c>
      <c r="CA1221" s="52">
        <f t="shared" si="7938"/>
        <v>0</v>
      </c>
      <c r="CB1221" s="52">
        <f t="shared" si="7938"/>
        <v>0</v>
      </c>
      <c r="CC1221" s="52">
        <f t="shared" si="7938"/>
        <v>0</v>
      </c>
      <c r="CD1221" s="52">
        <f t="shared" si="7938"/>
        <v>0</v>
      </c>
      <c r="CE1221" s="52">
        <f t="shared" si="7938"/>
        <v>0</v>
      </c>
      <c r="CF1221" s="52">
        <f t="shared" si="7938"/>
        <v>0</v>
      </c>
      <c r="CG1221" s="52">
        <f t="shared" si="7938"/>
        <v>0</v>
      </c>
      <c r="CH1221" s="52">
        <f t="shared" si="7938"/>
        <v>0</v>
      </c>
      <c r="CI1221" s="52">
        <f t="shared" si="7938"/>
        <v>0</v>
      </c>
      <c r="CJ1221" s="52">
        <f t="shared" si="7938"/>
        <v>0</v>
      </c>
      <c r="CK1221" s="52">
        <f t="shared" si="7938"/>
        <v>0</v>
      </c>
      <c r="CL1221" s="52">
        <f t="shared" si="7938"/>
        <v>0</v>
      </c>
      <c r="CM1221" s="52">
        <f t="shared" si="7938"/>
        <v>0</v>
      </c>
      <c r="CN1221" s="52">
        <f t="shared" si="7938"/>
        <v>0</v>
      </c>
      <c r="CO1221" s="52">
        <f t="shared" si="7938"/>
        <v>0</v>
      </c>
    </row>
    <row r="1222" spans="1:93">
      <c r="A1222" s="10"/>
      <c r="B1222" s="10"/>
      <c r="C1222" s="21"/>
      <c r="D1222" s="10"/>
      <c r="E1222" s="10"/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  <c r="BM1222" s="11"/>
      <c r="BN1222" s="11"/>
      <c r="BO1222" s="11"/>
      <c r="BP1222" s="11"/>
      <c r="BQ1222" s="11"/>
      <c r="BR1222" s="11"/>
      <c r="BS1222" s="11"/>
      <c r="BT1222" s="11"/>
      <c r="BU1222" s="11"/>
      <c r="BV1222" s="11"/>
      <c r="BW1222" s="11"/>
      <c r="BX1222" s="11"/>
      <c r="BY1222" s="11"/>
      <c r="BZ1222" s="11"/>
      <c r="CA1222" s="11"/>
      <c r="CB1222" s="11"/>
      <c r="CC1222" s="11"/>
      <c r="CD1222" s="11"/>
      <c r="CE1222" s="11"/>
      <c r="CF1222" s="11"/>
      <c r="CG1222" s="11"/>
      <c r="CH1222" s="11"/>
      <c r="CI1222" s="11"/>
      <c r="CJ1222" s="11"/>
      <c r="CK1222" s="11"/>
      <c r="CL1222" s="11"/>
      <c r="CM1222" s="11"/>
      <c r="CN1222" s="11"/>
      <c r="CO1222" s="11"/>
    </row>
    <row r="1223" spans="1:93">
      <c r="A1223" s="10"/>
      <c r="B1223" s="10"/>
      <c r="C1223" s="32" t="s">
        <v>265</v>
      </c>
      <c r="D1223" s="10"/>
      <c r="E1223" s="10"/>
      <c r="F1223" s="10"/>
      <c r="G1223" s="11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  <c r="AY1223" s="10"/>
      <c r="AZ1223" s="10"/>
      <c r="BA1223" s="10"/>
      <c r="BB1223" s="10"/>
      <c r="BC1223" s="10"/>
      <c r="BD1223" s="10"/>
      <c r="BE1223" s="10"/>
      <c r="BF1223" s="10"/>
      <c r="BG1223" s="10"/>
      <c r="BH1223" s="10"/>
      <c r="BI1223" s="10"/>
      <c r="BJ1223" s="10"/>
      <c r="BK1223" s="10"/>
      <c r="BL1223" s="10"/>
      <c r="BM1223" s="10"/>
      <c r="BN1223" s="10"/>
      <c r="BO1223" s="10"/>
      <c r="BP1223" s="10"/>
      <c r="BQ1223" s="10"/>
      <c r="BR1223" s="10"/>
      <c r="BS1223" s="10"/>
      <c r="BT1223" s="10"/>
      <c r="BU1223" s="10"/>
      <c r="BV1223" s="10"/>
      <c r="BW1223" s="10"/>
      <c r="BX1223" s="10"/>
      <c r="BY1223" s="10"/>
      <c r="BZ1223" s="10"/>
      <c r="CA1223" s="10"/>
      <c r="CB1223" s="10"/>
      <c r="CC1223" s="10"/>
      <c r="CD1223" s="10"/>
      <c r="CE1223" s="10"/>
      <c r="CF1223" s="10"/>
      <c r="CG1223" s="10"/>
      <c r="CH1223" s="10"/>
      <c r="CI1223" s="10"/>
      <c r="CJ1223" s="10"/>
      <c r="CK1223" s="10"/>
      <c r="CL1223" s="10"/>
      <c r="CM1223" s="10"/>
      <c r="CN1223" s="10"/>
      <c r="CO1223" s="10"/>
    </row>
    <row r="1224" spans="1:93">
      <c r="A1224" s="10"/>
      <c r="B1224" s="10"/>
      <c r="C1224" s="21" t="s">
        <v>193</v>
      </c>
      <c r="D1224" s="10"/>
      <c r="E1224" s="10"/>
      <c r="F1224" s="10"/>
      <c r="G1224" s="11" t="str">
        <f>Monetary_Unit</f>
        <v>тыс. руб.</v>
      </c>
      <c r="H1224" s="10"/>
      <c r="I1224" s="23">
        <f>SUM(L1224:CO1224)</f>
        <v>0</v>
      </c>
      <c r="J1224" s="10"/>
      <c r="K1224" s="10"/>
      <c r="L1224" s="52">
        <f t="shared" ref="L1224" si="7939">-L1206</f>
        <v>0</v>
      </c>
      <c r="M1224" s="52">
        <f t="shared" ref="M1224:BX1224" si="7940">-M1206</f>
        <v>0</v>
      </c>
      <c r="N1224" s="52">
        <f t="shared" si="7940"/>
        <v>0</v>
      </c>
      <c r="O1224" s="52">
        <f t="shared" si="7940"/>
        <v>0</v>
      </c>
      <c r="P1224" s="52">
        <f t="shared" si="7940"/>
        <v>0</v>
      </c>
      <c r="Q1224" s="52">
        <f t="shared" si="7940"/>
        <v>0</v>
      </c>
      <c r="R1224" s="52">
        <f t="shared" si="7940"/>
        <v>0</v>
      </c>
      <c r="S1224" s="52">
        <f t="shared" si="7940"/>
        <v>0</v>
      </c>
      <c r="T1224" s="52">
        <f t="shared" si="7940"/>
        <v>0</v>
      </c>
      <c r="U1224" s="52">
        <f t="shared" si="7940"/>
        <v>0</v>
      </c>
      <c r="V1224" s="52">
        <f t="shared" si="7940"/>
        <v>0</v>
      </c>
      <c r="W1224" s="52">
        <f t="shared" si="7940"/>
        <v>0</v>
      </c>
      <c r="X1224" s="52">
        <f t="shared" si="7940"/>
        <v>0</v>
      </c>
      <c r="Y1224" s="52">
        <f t="shared" si="7940"/>
        <v>0</v>
      </c>
      <c r="Z1224" s="52">
        <f t="shared" si="7940"/>
        <v>0</v>
      </c>
      <c r="AA1224" s="52">
        <f t="shared" si="7940"/>
        <v>0</v>
      </c>
      <c r="AB1224" s="52">
        <f t="shared" si="7940"/>
        <v>0</v>
      </c>
      <c r="AC1224" s="52">
        <f t="shared" si="7940"/>
        <v>0</v>
      </c>
      <c r="AD1224" s="52">
        <f t="shared" si="7940"/>
        <v>0</v>
      </c>
      <c r="AE1224" s="52">
        <f t="shared" si="7940"/>
        <v>0</v>
      </c>
      <c r="AF1224" s="52">
        <f t="shared" si="7940"/>
        <v>0</v>
      </c>
      <c r="AG1224" s="52">
        <f t="shared" si="7940"/>
        <v>0</v>
      </c>
      <c r="AH1224" s="52">
        <f t="shared" si="7940"/>
        <v>0</v>
      </c>
      <c r="AI1224" s="52">
        <f t="shared" si="7940"/>
        <v>0</v>
      </c>
      <c r="AJ1224" s="52">
        <f t="shared" si="7940"/>
        <v>0</v>
      </c>
      <c r="AK1224" s="52">
        <f t="shared" si="7940"/>
        <v>0</v>
      </c>
      <c r="AL1224" s="52">
        <f t="shared" si="7940"/>
        <v>0</v>
      </c>
      <c r="AM1224" s="52">
        <f t="shared" si="7940"/>
        <v>0</v>
      </c>
      <c r="AN1224" s="52">
        <f t="shared" si="7940"/>
        <v>0</v>
      </c>
      <c r="AO1224" s="52">
        <f t="shared" si="7940"/>
        <v>0</v>
      </c>
      <c r="AP1224" s="52">
        <f t="shared" si="7940"/>
        <v>0</v>
      </c>
      <c r="AQ1224" s="52">
        <f t="shared" si="7940"/>
        <v>0</v>
      </c>
      <c r="AR1224" s="52">
        <f t="shared" si="7940"/>
        <v>0</v>
      </c>
      <c r="AS1224" s="52">
        <f t="shared" si="7940"/>
        <v>0</v>
      </c>
      <c r="AT1224" s="52">
        <f t="shared" si="7940"/>
        <v>0</v>
      </c>
      <c r="AU1224" s="52">
        <f t="shared" si="7940"/>
        <v>0</v>
      </c>
      <c r="AV1224" s="52">
        <f t="shared" si="7940"/>
        <v>0</v>
      </c>
      <c r="AW1224" s="52">
        <f t="shared" si="7940"/>
        <v>0</v>
      </c>
      <c r="AX1224" s="52">
        <f t="shared" si="7940"/>
        <v>0</v>
      </c>
      <c r="AY1224" s="52">
        <f t="shared" si="7940"/>
        <v>0</v>
      </c>
      <c r="AZ1224" s="52">
        <f t="shared" si="7940"/>
        <v>0</v>
      </c>
      <c r="BA1224" s="52">
        <f t="shared" si="7940"/>
        <v>0</v>
      </c>
      <c r="BB1224" s="52">
        <f t="shared" si="7940"/>
        <v>0</v>
      </c>
      <c r="BC1224" s="52">
        <f t="shared" si="7940"/>
        <v>0</v>
      </c>
      <c r="BD1224" s="52">
        <f t="shared" si="7940"/>
        <v>0</v>
      </c>
      <c r="BE1224" s="52">
        <f t="shared" si="7940"/>
        <v>0</v>
      </c>
      <c r="BF1224" s="52">
        <f t="shared" si="7940"/>
        <v>0</v>
      </c>
      <c r="BG1224" s="52">
        <f t="shared" si="7940"/>
        <v>0</v>
      </c>
      <c r="BH1224" s="52">
        <f t="shared" si="7940"/>
        <v>0</v>
      </c>
      <c r="BI1224" s="52">
        <f t="shared" si="7940"/>
        <v>0</v>
      </c>
      <c r="BJ1224" s="52">
        <f t="shared" si="7940"/>
        <v>0</v>
      </c>
      <c r="BK1224" s="52">
        <f t="shared" si="7940"/>
        <v>0</v>
      </c>
      <c r="BL1224" s="52">
        <f t="shared" si="7940"/>
        <v>0</v>
      </c>
      <c r="BM1224" s="52">
        <f t="shared" si="7940"/>
        <v>0</v>
      </c>
      <c r="BN1224" s="52">
        <f t="shared" si="7940"/>
        <v>0</v>
      </c>
      <c r="BO1224" s="52">
        <f t="shared" si="7940"/>
        <v>0</v>
      </c>
      <c r="BP1224" s="52">
        <f t="shared" si="7940"/>
        <v>0</v>
      </c>
      <c r="BQ1224" s="52">
        <f t="shared" si="7940"/>
        <v>0</v>
      </c>
      <c r="BR1224" s="52">
        <f t="shared" si="7940"/>
        <v>0</v>
      </c>
      <c r="BS1224" s="52">
        <f t="shared" si="7940"/>
        <v>0</v>
      </c>
      <c r="BT1224" s="52">
        <f t="shared" si="7940"/>
        <v>0</v>
      </c>
      <c r="BU1224" s="52">
        <f t="shared" si="7940"/>
        <v>0</v>
      </c>
      <c r="BV1224" s="52">
        <f t="shared" si="7940"/>
        <v>0</v>
      </c>
      <c r="BW1224" s="52">
        <f t="shared" si="7940"/>
        <v>0</v>
      </c>
      <c r="BX1224" s="52">
        <f t="shared" si="7940"/>
        <v>0</v>
      </c>
      <c r="BY1224" s="52">
        <f t="shared" ref="BY1224:CO1224" si="7941">-BY1206</f>
        <v>0</v>
      </c>
      <c r="BZ1224" s="52">
        <f t="shared" si="7941"/>
        <v>0</v>
      </c>
      <c r="CA1224" s="52">
        <f t="shared" si="7941"/>
        <v>0</v>
      </c>
      <c r="CB1224" s="52">
        <f t="shared" si="7941"/>
        <v>0</v>
      </c>
      <c r="CC1224" s="52">
        <f t="shared" si="7941"/>
        <v>0</v>
      </c>
      <c r="CD1224" s="52">
        <f t="shared" si="7941"/>
        <v>0</v>
      </c>
      <c r="CE1224" s="52">
        <f t="shared" si="7941"/>
        <v>0</v>
      </c>
      <c r="CF1224" s="52">
        <f t="shared" si="7941"/>
        <v>0</v>
      </c>
      <c r="CG1224" s="52">
        <f t="shared" si="7941"/>
        <v>0</v>
      </c>
      <c r="CH1224" s="52">
        <f t="shared" si="7941"/>
        <v>0</v>
      </c>
      <c r="CI1224" s="52">
        <f t="shared" si="7941"/>
        <v>0</v>
      </c>
      <c r="CJ1224" s="52">
        <f t="shared" si="7941"/>
        <v>0</v>
      </c>
      <c r="CK1224" s="52">
        <f t="shared" si="7941"/>
        <v>0</v>
      </c>
      <c r="CL1224" s="52">
        <f t="shared" si="7941"/>
        <v>0</v>
      </c>
      <c r="CM1224" s="52">
        <f t="shared" si="7941"/>
        <v>0</v>
      </c>
      <c r="CN1224" s="52">
        <f t="shared" si="7941"/>
        <v>0</v>
      </c>
      <c r="CO1224" s="52">
        <f t="shared" si="7941"/>
        <v>0</v>
      </c>
    </row>
    <row r="1225" spans="1:93" ht="15" thickBot="1">
      <c r="A1225" s="10"/>
      <c r="B1225" s="10"/>
      <c r="C1225" s="21" t="s">
        <v>341</v>
      </c>
      <c r="D1225" s="10"/>
      <c r="E1225" s="10"/>
      <c r="F1225" s="10"/>
      <c r="G1225" s="11" t="str">
        <f>Monetary_Unit</f>
        <v>тыс. руб.</v>
      </c>
      <c r="H1225" s="10"/>
      <c r="I1225" s="23">
        <f>SUM(L1225:CO1225)</f>
        <v>-20126.474624454266</v>
      </c>
      <c r="J1225" s="10"/>
      <c r="K1225" s="10"/>
      <c r="L1225" s="52">
        <f t="shared" ref="L1225" si="7942">-L1207</f>
        <v>0</v>
      </c>
      <c r="M1225" s="52">
        <f t="shared" ref="M1225:BX1225" si="7943">-M1207</f>
        <v>0</v>
      </c>
      <c r="N1225" s="52">
        <f t="shared" si="7943"/>
        <v>0</v>
      </c>
      <c r="O1225" s="52">
        <f t="shared" si="7943"/>
        <v>0</v>
      </c>
      <c r="P1225" s="52">
        <f t="shared" si="7943"/>
        <v>0</v>
      </c>
      <c r="Q1225" s="52">
        <f t="shared" si="7943"/>
        <v>0</v>
      </c>
      <c r="R1225" s="52">
        <f t="shared" si="7943"/>
        <v>0</v>
      </c>
      <c r="S1225" s="52">
        <f t="shared" si="7943"/>
        <v>0</v>
      </c>
      <c r="T1225" s="52">
        <f t="shared" si="7943"/>
        <v>-3345.7721709148877</v>
      </c>
      <c r="U1225" s="52">
        <f t="shared" si="7943"/>
        <v>-3168.5750091153564</v>
      </c>
      <c r="V1225" s="52">
        <f t="shared" si="7943"/>
        <v>-2984.5308552565393</v>
      </c>
      <c r="W1225" s="52">
        <f t="shared" si="7943"/>
        <v>-2763.5106431876575</v>
      </c>
      <c r="X1225" s="52">
        <f t="shared" si="7943"/>
        <v>-2505.8352333099388</v>
      </c>
      <c r="Y1225" s="52">
        <f t="shared" si="7943"/>
        <v>-2041.5022126606673</v>
      </c>
      <c r="Z1225" s="52">
        <f t="shared" si="7943"/>
        <v>-1589.8751819626839</v>
      </c>
      <c r="AA1225" s="52">
        <f t="shared" si="7943"/>
        <v>-1111.1429440619313</v>
      </c>
      <c r="AB1225" s="52">
        <f t="shared" si="7943"/>
        <v>-615.73037398460076</v>
      </c>
      <c r="AC1225" s="52">
        <f t="shared" si="7943"/>
        <v>0</v>
      </c>
      <c r="AD1225" s="52">
        <f t="shared" si="7943"/>
        <v>0</v>
      </c>
      <c r="AE1225" s="52">
        <f t="shared" si="7943"/>
        <v>0</v>
      </c>
      <c r="AF1225" s="52">
        <f t="shared" si="7943"/>
        <v>0</v>
      </c>
      <c r="AG1225" s="52">
        <f t="shared" si="7943"/>
        <v>0</v>
      </c>
      <c r="AH1225" s="52">
        <f t="shared" si="7943"/>
        <v>0</v>
      </c>
      <c r="AI1225" s="52">
        <f t="shared" si="7943"/>
        <v>0</v>
      </c>
      <c r="AJ1225" s="52">
        <f t="shared" si="7943"/>
        <v>0</v>
      </c>
      <c r="AK1225" s="52">
        <f t="shared" si="7943"/>
        <v>0</v>
      </c>
      <c r="AL1225" s="52">
        <f t="shared" si="7943"/>
        <v>0</v>
      </c>
      <c r="AM1225" s="52">
        <f t="shared" si="7943"/>
        <v>0</v>
      </c>
      <c r="AN1225" s="52">
        <f t="shared" si="7943"/>
        <v>0</v>
      </c>
      <c r="AO1225" s="52">
        <f t="shared" si="7943"/>
        <v>0</v>
      </c>
      <c r="AP1225" s="52">
        <f t="shared" si="7943"/>
        <v>0</v>
      </c>
      <c r="AQ1225" s="52">
        <f t="shared" si="7943"/>
        <v>0</v>
      </c>
      <c r="AR1225" s="52">
        <f t="shared" si="7943"/>
        <v>0</v>
      </c>
      <c r="AS1225" s="52">
        <f t="shared" si="7943"/>
        <v>0</v>
      </c>
      <c r="AT1225" s="52">
        <f t="shared" si="7943"/>
        <v>0</v>
      </c>
      <c r="AU1225" s="52">
        <f t="shared" si="7943"/>
        <v>0</v>
      </c>
      <c r="AV1225" s="52">
        <f t="shared" si="7943"/>
        <v>0</v>
      </c>
      <c r="AW1225" s="52">
        <f t="shared" si="7943"/>
        <v>0</v>
      </c>
      <c r="AX1225" s="52">
        <f t="shared" si="7943"/>
        <v>0</v>
      </c>
      <c r="AY1225" s="52">
        <f t="shared" si="7943"/>
        <v>0</v>
      </c>
      <c r="AZ1225" s="52">
        <f t="shared" si="7943"/>
        <v>0</v>
      </c>
      <c r="BA1225" s="52">
        <f t="shared" si="7943"/>
        <v>0</v>
      </c>
      <c r="BB1225" s="52">
        <f t="shared" si="7943"/>
        <v>0</v>
      </c>
      <c r="BC1225" s="52">
        <f t="shared" si="7943"/>
        <v>0</v>
      </c>
      <c r="BD1225" s="52">
        <f t="shared" si="7943"/>
        <v>0</v>
      </c>
      <c r="BE1225" s="52">
        <f t="shared" si="7943"/>
        <v>0</v>
      </c>
      <c r="BF1225" s="52">
        <f t="shared" si="7943"/>
        <v>0</v>
      </c>
      <c r="BG1225" s="52">
        <f t="shared" si="7943"/>
        <v>0</v>
      </c>
      <c r="BH1225" s="52">
        <f t="shared" si="7943"/>
        <v>0</v>
      </c>
      <c r="BI1225" s="52">
        <f t="shared" si="7943"/>
        <v>0</v>
      </c>
      <c r="BJ1225" s="52">
        <f t="shared" si="7943"/>
        <v>0</v>
      </c>
      <c r="BK1225" s="52">
        <f t="shared" si="7943"/>
        <v>0</v>
      </c>
      <c r="BL1225" s="52">
        <f t="shared" si="7943"/>
        <v>0</v>
      </c>
      <c r="BM1225" s="52">
        <f t="shared" si="7943"/>
        <v>0</v>
      </c>
      <c r="BN1225" s="52">
        <f t="shared" si="7943"/>
        <v>0</v>
      </c>
      <c r="BO1225" s="52">
        <f t="shared" si="7943"/>
        <v>0</v>
      </c>
      <c r="BP1225" s="52">
        <f t="shared" si="7943"/>
        <v>0</v>
      </c>
      <c r="BQ1225" s="52">
        <f t="shared" si="7943"/>
        <v>0</v>
      </c>
      <c r="BR1225" s="52">
        <f t="shared" si="7943"/>
        <v>0</v>
      </c>
      <c r="BS1225" s="52">
        <f t="shared" si="7943"/>
        <v>0</v>
      </c>
      <c r="BT1225" s="52">
        <f t="shared" si="7943"/>
        <v>0</v>
      </c>
      <c r="BU1225" s="52">
        <f t="shared" si="7943"/>
        <v>0</v>
      </c>
      <c r="BV1225" s="52">
        <f t="shared" si="7943"/>
        <v>0</v>
      </c>
      <c r="BW1225" s="52">
        <f t="shared" si="7943"/>
        <v>0</v>
      </c>
      <c r="BX1225" s="52">
        <f t="shared" si="7943"/>
        <v>0</v>
      </c>
      <c r="BY1225" s="52">
        <f t="shared" ref="BY1225:CO1225" si="7944">-BY1207</f>
        <v>0</v>
      </c>
      <c r="BZ1225" s="52">
        <f t="shared" si="7944"/>
        <v>0</v>
      </c>
      <c r="CA1225" s="52">
        <f t="shared" si="7944"/>
        <v>0</v>
      </c>
      <c r="CB1225" s="52">
        <f t="shared" si="7944"/>
        <v>0</v>
      </c>
      <c r="CC1225" s="52">
        <f t="shared" si="7944"/>
        <v>0</v>
      </c>
      <c r="CD1225" s="52">
        <f t="shared" si="7944"/>
        <v>0</v>
      </c>
      <c r="CE1225" s="52">
        <f t="shared" si="7944"/>
        <v>0</v>
      </c>
      <c r="CF1225" s="52">
        <f t="shared" si="7944"/>
        <v>0</v>
      </c>
      <c r="CG1225" s="52">
        <f t="shared" si="7944"/>
        <v>0</v>
      </c>
      <c r="CH1225" s="52">
        <f t="shared" si="7944"/>
        <v>0</v>
      </c>
      <c r="CI1225" s="52">
        <f t="shared" si="7944"/>
        <v>0</v>
      </c>
      <c r="CJ1225" s="52">
        <f t="shared" si="7944"/>
        <v>0</v>
      </c>
      <c r="CK1225" s="52">
        <f t="shared" si="7944"/>
        <v>0</v>
      </c>
      <c r="CL1225" s="52">
        <f t="shared" si="7944"/>
        <v>0</v>
      </c>
      <c r="CM1225" s="52">
        <f t="shared" si="7944"/>
        <v>0</v>
      </c>
      <c r="CN1225" s="52">
        <f t="shared" si="7944"/>
        <v>0</v>
      </c>
      <c r="CO1225" s="52">
        <f t="shared" si="7944"/>
        <v>0</v>
      </c>
    </row>
    <row r="1226" spans="1:93" ht="15" thickTop="1">
      <c r="A1226" s="172"/>
      <c r="B1226" s="35"/>
      <c r="C1226" s="173" t="s">
        <v>196</v>
      </c>
      <c r="D1226" s="49"/>
      <c r="E1226" s="49"/>
      <c r="F1226" s="49"/>
      <c r="G1226" s="159" t="str">
        <f>Monetary_Unit</f>
        <v>тыс. руб.</v>
      </c>
      <c r="H1226" s="49"/>
      <c r="I1226" s="176">
        <f>SUM(L1226:CO1226)</f>
        <v>-20126.474624454266</v>
      </c>
      <c r="J1226" s="49"/>
      <c r="K1226" s="49"/>
      <c r="L1226" s="49">
        <f t="shared" ref="L1226" si="7945">SUM(L1224:L1225)</f>
        <v>0</v>
      </c>
      <c r="M1226" s="49">
        <f t="shared" ref="M1226:BX1226" si="7946">SUM(M1224:M1225)</f>
        <v>0</v>
      </c>
      <c r="N1226" s="49">
        <f t="shared" si="7946"/>
        <v>0</v>
      </c>
      <c r="O1226" s="49">
        <f t="shared" si="7946"/>
        <v>0</v>
      </c>
      <c r="P1226" s="49">
        <f t="shared" si="7946"/>
        <v>0</v>
      </c>
      <c r="Q1226" s="49">
        <f t="shared" si="7946"/>
        <v>0</v>
      </c>
      <c r="R1226" s="49">
        <f t="shared" si="7946"/>
        <v>0</v>
      </c>
      <c r="S1226" s="49">
        <f t="shared" si="7946"/>
        <v>0</v>
      </c>
      <c r="T1226" s="49">
        <f t="shared" si="7946"/>
        <v>-3345.7721709148877</v>
      </c>
      <c r="U1226" s="49">
        <f t="shared" si="7946"/>
        <v>-3168.5750091153564</v>
      </c>
      <c r="V1226" s="49">
        <f t="shared" si="7946"/>
        <v>-2984.5308552565393</v>
      </c>
      <c r="W1226" s="49">
        <f t="shared" si="7946"/>
        <v>-2763.5106431876575</v>
      </c>
      <c r="X1226" s="49">
        <f t="shared" si="7946"/>
        <v>-2505.8352333099388</v>
      </c>
      <c r="Y1226" s="49">
        <f t="shared" si="7946"/>
        <v>-2041.5022126606673</v>
      </c>
      <c r="Z1226" s="49">
        <f t="shared" si="7946"/>
        <v>-1589.8751819626839</v>
      </c>
      <c r="AA1226" s="49">
        <f t="shared" si="7946"/>
        <v>-1111.1429440619313</v>
      </c>
      <c r="AB1226" s="49">
        <f t="shared" si="7946"/>
        <v>-615.73037398460076</v>
      </c>
      <c r="AC1226" s="49">
        <f t="shared" si="7946"/>
        <v>0</v>
      </c>
      <c r="AD1226" s="49">
        <f t="shared" si="7946"/>
        <v>0</v>
      </c>
      <c r="AE1226" s="49">
        <f t="shared" si="7946"/>
        <v>0</v>
      </c>
      <c r="AF1226" s="49">
        <f t="shared" si="7946"/>
        <v>0</v>
      </c>
      <c r="AG1226" s="49">
        <f t="shared" si="7946"/>
        <v>0</v>
      </c>
      <c r="AH1226" s="49">
        <f t="shared" si="7946"/>
        <v>0</v>
      </c>
      <c r="AI1226" s="49">
        <f t="shared" si="7946"/>
        <v>0</v>
      </c>
      <c r="AJ1226" s="49">
        <f t="shared" si="7946"/>
        <v>0</v>
      </c>
      <c r="AK1226" s="49">
        <f t="shared" si="7946"/>
        <v>0</v>
      </c>
      <c r="AL1226" s="49">
        <f t="shared" si="7946"/>
        <v>0</v>
      </c>
      <c r="AM1226" s="49">
        <f t="shared" si="7946"/>
        <v>0</v>
      </c>
      <c r="AN1226" s="49">
        <f t="shared" si="7946"/>
        <v>0</v>
      </c>
      <c r="AO1226" s="49">
        <f t="shared" si="7946"/>
        <v>0</v>
      </c>
      <c r="AP1226" s="49">
        <f t="shared" si="7946"/>
        <v>0</v>
      </c>
      <c r="AQ1226" s="49">
        <f t="shared" si="7946"/>
        <v>0</v>
      </c>
      <c r="AR1226" s="49">
        <f t="shared" si="7946"/>
        <v>0</v>
      </c>
      <c r="AS1226" s="49">
        <f t="shared" si="7946"/>
        <v>0</v>
      </c>
      <c r="AT1226" s="49">
        <f t="shared" si="7946"/>
        <v>0</v>
      </c>
      <c r="AU1226" s="49">
        <f t="shared" si="7946"/>
        <v>0</v>
      </c>
      <c r="AV1226" s="49">
        <f t="shared" si="7946"/>
        <v>0</v>
      </c>
      <c r="AW1226" s="49">
        <f t="shared" si="7946"/>
        <v>0</v>
      </c>
      <c r="AX1226" s="49">
        <f t="shared" si="7946"/>
        <v>0</v>
      </c>
      <c r="AY1226" s="49">
        <f t="shared" si="7946"/>
        <v>0</v>
      </c>
      <c r="AZ1226" s="49">
        <f t="shared" si="7946"/>
        <v>0</v>
      </c>
      <c r="BA1226" s="49">
        <f t="shared" si="7946"/>
        <v>0</v>
      </c>
      <c r="BB1226" s="49">
        <f t="shared" si="7946"/>
        <v>0</v>
      </c>
      <c r="BC1226" s="49">
        <f t="shared" si="7946"/>
        <v>0</v>
      </c>
      <c r="BD1226" s="49">
        <f t="shared" si="7946"/>
        <v>0</v>
      </c>
      <c r="BE1226" s="49">
        <f t="shared" si="7946"/>
        <v>0</v>
      </c>
      <c r="BF1226" s="49">
        <f t="shared" si="7946"/>
        <v>0</v>
      </c>
      <c r="BG1226" s="49">
        <f t="shared" si="7946"/>
        <v>0</v>
      </c>
      <c r="BH1226" s="49">
        <f t="shared" si="7946"/>
        <v>0</v>
      </c>
      <c r="BI1226" s="49">
        <f t="shared" si="7946"/>
        <v>0</v>
      </c>
      <c r="BJ1226" s="49">
        <f t="shared" si="7946"/>
        <v>0</v>
      </c>
      <c r="BK1226" s="49">
        <f t="shared" si="7946"/>
        <v>0</v>
      </c>
      <c r="BL1226" s="49">
        <f t="shared" si="7946"/>
        <v>0</v>
      </c>
      <c r="BM1226" s="49">
        <f t="shared" si="7946"/>
        <v>0</v>
      </c>
      <c r="BN1226" s="49">
        <f t="shared" si="7946"/>
        <v>0</v>
      </c>
      <c r="BO1226" s="49">
        <f t="shared" si="7946"/>
        <v>0</v>
      </c>
      <c r="BP1226" s="49">
        <f t="shared" si="7946"/>
        <v>0</v>
      </c>
      <c r="BQ1226" s="49">
        <f t="shared" si="7946"/>
        <v>0</v>
      </c>
      <c r="BR1226" s="49">
        <f t="shared" si="7946"/>
        <v>0</v>
      </c>
      <c r="BS1226" s="49">
        <f t="shared" si="7946"/>
        <v>0</v>
      </c>
      <c r="BT1226" s="49">
        <f t="shared" si="7946"/>
        <v>0</v>
      </c>
      <c r="BU1226" s="49">
        <f t="shared" si="7946"/>
        <v>0</v>
      </c>
      <c r="BV1226" s="49">
        <f t="shared" si="7946"/>
        <v>0</v>
      </c>
      <c r="BW1226" s="49">
        <f t="shared" si="7946"/>
        <v>0</v>
      </c>
      <c r="BX1226" s="49">
        <f t="shared" si="7946"/>
        <v>0</v>
      </c>
      <c r="BY1226" s="49">
        <f t="shared" ref="BY1226:CO1226" si="7947">SUM(BY1224:BY1225)</f>
        <v>0</v>
      </c>
      <c r="BZ1226" s="49">
        <f t="shared" si="7947"/>
        <v>0</v>
      </c>
      <c r="CA1226" s="49">
        <f t="shared" si="7947"/>
        <v>0</v>
      </c>
      <c r="CB1226" s="49">
        <f t="shared" si="7947"/>
        <v>0</v>
      </c>
      <c r="CC1226" s="49">
        <f t="shared" si="7947"/>
        <v>0</v>
      </c>
      <c r="CD1226" s="49">
        <f t="shared" si="7947"/>
        <v>0</v>
      </c>
      <c r="CE1226" s="49">
        <f t="shared" si="7947"/>
        <v>0</v>
      </c>
      <c r="CF1226" s="49">
        <f t="shared" si="7947"/>
        <v>0</v>
      </c>
      <c r="CG1226" s="49">
        <f t="shared" si="7947"/>
        <v>0</v>
      </c>
      <c r="CH1226" s="49">
        <f t="shared" si="7947"/>
        <v>0</v>
      </c>
      <c r="CI1226" s="49">
        <f t="shared" si="7947"/>
        <v>0</v>
      </c>
      <c r="CJ1226" s="49">
        <f t="shared" si="7947"/>
        <v>0</v>
      </c>
      <c r="CK1226" s="49">
        <f t="shared" si="7947"/>
        <v>0</v>
      </c>
      <c r="CL1226" s="49">
        <f t="shared" si="7947"/>
        <v>0</v>
      </c>
      <c r="CM1226" s="49">
        <f t="shared" si="7947"/>
        <v>0</v>
      </c>
      <c r="CN1226" s="49">
        <f t="shared" si="7947"/>
        <v>0</v>
      </c>
      <c r="CO1226" s="49">
        <f t="shared" si="7947"/>
        <v>0</v>
      </c>
    </row>
    <row r="1227" spans="1:93">
      <c r="A1227" s="11"/>
      <c r="B1227" s="11"/>
      <c r="C1227" s="11"/>
      <c r="D1227" s="11"/>
      <c r="E1227" s="11"/>
      <c r="F1227" s="11"/>
      <c r="G1227" s="11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  <c r="AY1227" s="10"/>
      <c r="AZ1227" s="10"/>
      <c r="BA1227" s="10"/>
      <c r="BB1227" s="10"/>
      <c r="BC1227" s="10"/>
      <c r="BD1227" s="10"/>
      <c r="BE1227" s="10"/>
      <c r="BF1227" s="10"/>
      <c r="BG1227" s="10"/>
      <c r="BH1227" s="10"/>
      <c r="BI1227" s="10"/>
      <c r="BJ1227" s="10"/>
      <c r="BK1227" s="10"/>
      <c r="BL1227" s="10"/>
      <c r="BM1227" s="10"/>
      <c r="BN1227" s="10"/>
      <c r="BO1227" s="10"/>
      <c r="BP1227" s="10"/>
      <c r="BQ1227" s="10"/>
      <c r="BR1227" s="10"/>
      <c r="BS1227" s="10"/>
      <c r="BT1227" s="10"/>
      <c r="BU1227" s="10"/>
      <c r="BV1227" s="10"/>
      <c r="BW1227" s="10"/>
      <c r="BX1227" s="10"/>
      <c r="BY1227" s="10"/>
      <c r="BZ1227" s="10"/>
      <c r="CA1227" s="10"/>
      <c r="CB1227" s="10"/>
      <c r="CC1227" s="10"/>
      <c r="CD1227" s="10"/>
      <c r="CE1227" s="10"/>
      <c r="CF1227" s="10"/>
      <c r="CG1227" s="10"/>
      <c r="CH1227" s="10"/>
      <c r="CI1227" s="10"/>
      <c r="CJ1227" s="10"/>
      <c r="CK1227" s="10"/>
      <c r="CL1227" s="10"/>
      <c r="CM1227" s="10"/>
      <c r="CN1227" s="10"/>
      <c r="CO1227" s="10"/>
    </row>
    <row r="1228" spans="1:93" ht="22.5" customHeight="1">
      <c r="A1228" s="10"/>
      <c r="B1228" s="5" t="s">
        <v>490</v>
      </c>
      <c r="C1228" s="5"/>
      <c r="D1228" s="15"/>
      <c r="E1228" s="5"/>
      <c r="F1228" s="5"/>
      <c r="G1228" s="6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5"/>
      <c r="BP1228" s="5"/>
      <c r="BQ1228" s="5"/>
      <c r="BR1228" s="5"/>
      <c r="BS1228" s="5"/>
      <c r="BT1228" s="5"/>
      <c r="BU1228" s="5"/>
      <c r="BV1228" s="5"/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</row>
    <row r="1229" spans="1:93">
      <c r="A1229" s="10"/>
      <c r="B1229" s="10"/>
      <c r="C1229" s="10"/>
      <c r="D1229" s="10"/>
      <c r="E1229" s="10"/>
      <c r="F1229" s="10"/>
      <c r="G1229" s="11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  <c r="AY1229" s="10"/>
      <c r="AZ1229" s="10"/>
      <c r="BA1229" s="10"/>
      <c r="BB1229" s="10"/>
      <c r="BC1229" s="10"/>
      <c r="BD1229" s="10"/>
      <c r="BE1229" s="10"/>
      <c r="BF1229" s="10"/>
      <c r="BG1229" s="10"/>
      <c r="BH1229" s="10"/>
      <c r="BI1229" s="10"/>
      <c r="BJ1229" s="10"/>
      <c r="BK1229" s="10"/>
      <c r="BL1229" s="10"/>
      <c r="BM1229" s="10"/>
      <c r="BN1229" s="10"/>
      <c r="BO1229" s="10"/>
      <c r="BP1229" s="10"/>
      <c r="BQ1229" s="10"/>
      <c r="BR1229" s="10"/>
      <c r="BS1229" s="10"/>
      <c r="BT1229" s="10"/>
      <c r="BU1229" s="10"/>
      <c r="BV1229" s="10"/>
      <c r="BW1229" s="10"/>
      <c r="BX1229" s="10"/>
      <c r="BY1229" s="10"/>
      <c r="BZ1229" s="10"/>
      <c r="CA1229" s="10"/>
      <c r="CB1229" s="10"/>
      <c r="CC1229" s="10"/>
      <c r="CD1229" s="10"/>
      <c r="CE1229" s="10"/>
      <c r="CF1229" s="10"/>
      <c r="CG1229" s="10"/>
      <c r="CH1229" s="10"/>
      <c r="CI1229" s="10"/>
      <c r="CJ1229" s="10"/>
      <c r="CK1229" s="10"/>
      <c r="CL1229" s="10"/>
      <c r="CM1229" s="10"/>
      <c r="CN1229" s="10"/>
      <c r="CO1229" s="10"/>
    </row>
    <row r="1230" spans="1:93">
      <c r="A1230" s="10"/>
      <c r="B1230" s="10"/>
      <c r="C1230" s="67" t="s">
        <v>177</v>
      </c>
      <c r="D1230" s="10"/>
      <c r="E1230" s="10"/>
      <c r="F1230" s="10"/>
      <c r="G1230" s="11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  <c r="AY1230" s="10"/>
      <c r="AZ1230" s="10"/>
      <c r="BA1230" s="10"/>
      <c r="BB1230" s="10"/>
      <c r="BC1230" s="10"/>
      <c r="BD1230" s="10"/>
      <c r="BE1230" s="10"/>
      <c r="BF1230" s="10"/>
      <c r="BG1230" s="10"/>
      <c r="BH1230" s="10"/>
      <c r="BI1230" s="10"/>
      <c r="BJ1230" s="10"/>
      <c r="BK1230" s="10"/>
      <c r="BL1230" s="10"/>
      <c r="BM1230" s="10"/>
      <c r="BN1230" s="10"/>
      <c r="BO1230" s="10"/>
      <c r="BP1230" s="10"/>
      <c r="BQ1230" s="10"/>
      <c r="BR1230" s="10"/>
      <c r="BS1230" s="10"/>
      <c r="BT1230" s="10"/>
      <c r="BU1230" s="10"/>
      <c r="BV1230" s="10"/>
      <c r="BW1230" s="10"/>
      <c r="BX1230" s="10"/>
      <c r="BY1230" s="10"/>
      <c r="BZ1230" s="10"/>
      <c r="CA1230" s="10"/>
      <c r="CB1230" s="10"/>
      <c r="CC1230" s="10"/>
      <c r="CD1230" s="10"/>
      <c r="CE1230" s="10"/>
      <c r="CF1230" s="10"/>
      <c r="CG1230" s="10"/>
      <c r="CH1230" s="10"/>
      <c r="CI1230" s="10"/>
      <c r="CJ1230" s="10"/>
      <c r="CK1230" s="10"/>
      <c r="CL1230" s="10"/>
      <c r="CM1230" s="10"/>
      <c r="CN1230" s="10"/>
      <c r="CO1230" s="10"/>
    </row>
    <row r="1231" spans="1:93">
      <c r="A1231" s="10"/>
      <c r="B1231" s="10"/>
      <c r="C1231" s="17" t="s">
        <v>106</v>
      </c>
      <c r="D1231" s="10"/>
      <c r="E1231" s="178">
        <f>1-E1232</f>
        <v>1</v>
      </c>
      <c r="F1231" s="10"/>
      <c r="G1231" s="11" t="s">
        <v>28</v>
      </c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  <c r="AY1231" s="10"/>
      <c r="AZ1231" s="10"/>
      <c r="BA1231" s="10"/>
      <c r="BB1231" s="10"/>
      <c r="BC1231" s="10"/>
      <c r="BD1231" s="10"/>
      <c r="BE1231" s="10"/>
      <c r="BF1231" s="10"/>
      <c r="BG1231" s="10"/>
      <c r="BH1231" s="10"/>
      <c r="BI1231" s="10"/>
      <c r="BJ1231" s="10"/>
      <c r="BK1231" s="10"/>
      <c r="BL1231" s="10"/>
      <c r="BM1231" s="10"/>
      <c r="BN1231" s="10"/>
      <c r="BO1231" s="10"/>
      <c r="BP1231" s="10"/>
      <c r="BQ1231" s="10"/>
      <c r="BR1231" s="10"/>
      <c r="BS1231" s="10"/>
      <c r="BT1231" s="10"/>
      <c r="BU1231" s="10"/>
      <c r="BV1231" s="10"/>
      <c r="BW1231" s="10"/>
      <c r="BX1231" s="10"/>
      <c r="BY1231" s="10"/>
      <c r="BZ1231" s="10"/>
      <c r="CA1231" s="10"/>
      <c r="CB1231" s="10"/>
      <c r="CC1231" s="10"/>
      <c r="CD1231" s="10"/>
      <c r="CE1231" s="10"/>
      <c r="CF1231" s="10"/>
      <c r="CG1231" s="10"/>
      <c r="CH1231" s="10"/>
      <c r="CI1231" s="10"/>
      <c r="CJ1231" s="10"/>
      <c r="CK1231" s="10"/>
      <c r="CL1231" s="10"/>
      <c r="CM1231" s="10"/>
      <c r="CN1231" s="10"/>
      <c r="CO1231" s="10"/>
    </row>
    <row r="1232" spans="1:93">
      <c r="A1232" s="10"/>
      <c r="B1232" s="10"/>
      <c r="C1232" s="17" t="s">
        <v>356</v>
      </c>
      <c r="D1232" s="10"/>
      <c r="E1232" s="178">
        <f>Предпосылки!E605</f>
        <v>0</v>
      </c>
      <c r="F1232" s="10"/>
      <c r="G1232" s="11" t="s">
        <v>28</v>
      </c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  <c r="AY1232" s="10"/>
      <c r="AZ1232" s="10"/>
      <c r="BA1232" s="10"/>
      <c r="BB1232" s="10"/>
      <c r="BC1232" s="10"/>
      <c r="BD1232" s="10"/>
      <c r="BE1232" s="10"/>
      <c r="BF1232" s="10"/>
      <c r="BG1232" s="10"/>
      <c r="BH1232" s="10"/>
      <c r="BI1232" s="10"/>
      <c r="BJ1232" s="10"/>
      <c r="BK1232" s="10"/>
      <c r="BL1232" s="10"/>
      <c r="BM1232" s="10"/>
      <c r="BN1232" s="10"/>
      <c r="BO1232" s="10"/>
      <c r="BP1232" s="10"/>
      <c r="BQ1232" s="10"/>
      <c r="BR1232" s="10"/>
      <c r="BS1232" s="10"/>
      <c r="BT1232" s="10"/>
      <c r="BU1232" s="10"/>
      <c r="BV1232" s="10"/>
      <c r="BW1232" s="10"/>
      <c r="BX1232" s="10"/>
      <c r="BY1232" s="10"/>
      <c r="BZ1232" s="10"/>
      <c r="CA1232" s="10"/>
      <c r="CB1232" s="10"/>
      <c r="CC1232" s="10"/>
      <c r="CD1232" s="10"/>
      <c r="CE1232" s="10"/>
      <c r="CF1232" s="10"/>
      <c r="CG1232" s="10"/>
      <c r="CH1232" s="10"/>
      <c r="CI1232" s="10"/>
      <c r="CJ1232" s="10"/>
      <c r="CK1232" s="10"/>
      <c r="CL1232" s="10"/>
      <c r="CM1232" s="10"/>
      <c r="CN1232" s="10"/>
      <c r="CO1232" s="10"/>
    </row>
    <row r="1233" spans="1:93">
      <c r="A1233" s="10"/>
      <c r="B1233" s="10"/>
      <c r="C1233" s="17"/>
      <c r="D1233" s="10"/>
      <c r="E1233" s="10"/>
      <c r="F1233" s="10"/>
      <c r="G1233" s="11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  <c r="AZ1233" s="10"/>
      <c r="BA1233" s="10"/>
      <c r="BB1233" s="10"/>
      <c r="BC1233" s="10"/>
      <c r="BD1233" s="10"/>
      <c r="BE1233" s="10"/>
      <c r="BF1233" s="10"/>
      <c r="BG1233" s="10"/>
      <c r="BH1233" s="10"/>
      <c r="BI1233" s="10"/>
      <c r="BJ1233" s="10"/>
      <c r="BK1233" s="10"/>
      <c r="BL1233" s="10"/>
      <c r="BM1233" s="10"/>
      <c r="BN1233" s="10"/>
      <c r="BO1233" s="10"/>
      <c r="BP1233" s="10"/>
      <c r="BQ1233" s="10"/>
      <c r="BR1233" s="10"/>
      <c r="BS1233" s="10"/>
      <c r="BT1233" s="10"/>
      <c r="BU1233" s="10"/>
      <c r="BV1233" s="10"/>
      <c r="BW1233" s="10"/>
      <c r="BX1233" s="10"/>
      <c r="BY1233" s="10"/>
      <c r="BZ1233" s="10"/>
      <c r="CA1233" s="10"/>
      <c r="CB1233" s="10"/>
      <c r="CC1233" s="10"/>
      <c r="CD1233" s="10"/>
      <c r="CE1233" s="10"/>
      <c r="CF1233" s="10"/>
      <c r="CG1233" s="10"/>
      <c r="CH1233" s="10"/>
      <c r="CI1233" s="10"/>
      <c r="CJ1233" s="10"/>
      <c r="CK1233" s="10"/>
      <c r="CL1233" s="10"/>
      <c r="CM1233" s="10"/>
      <c r="CN1233" s="10"/>
      <c r="CO1233" s="10"/>
    </row>
    <row r="1234" spans="1:93">
      <c r="A1234" s="10"/>
      <c r="B1234" s="10"/>
      <c r="C1234" s="17" t="s">
        <v>267</v>
      </c>
      <c r="D1234" s="10"/>
      <c r="E1234" s="10"/>
      <c r="F1234" s="10"/>
      <c r="G1234" s="134" t="str">
        <f>Monetary_Unit</f>
        <v>тыс. руб.</v>
      </c>
      <c r="H1234" s="10"/>
      <c r="I1234" s="23">
        <f>SUM(L1234:CO1234)</f>
        <v>1409395.9556502979</v>
      </c>
      <c r="J1234" s="10"/>
      <c r="K1234" s="10"/>
      <c r="L1234" s="52">
        <f t="shared" ref="L1234" si="7948">L$1144*$E1231*NOT(Flag_Historical)</f>
        <v>31406.153379286916</v>
      </c>
      <c r="M1234" s="52">
        <f t="shared" ref="M1234:BX1234" si="7949">M$1144*$E1231*NOT(Flag_Historical)</f>
        <v>31851.960190507532</v>
      </c>
      <c r="N1234" s="52">
        <f t="shared" si="7949"/>
        <v>32304.095179220327</v>
      </c>
      <c r="O1234" s="52">
        <f t="shared" si="7949"/>
        <v>32762.648173192309</v>
      </c>
      <c r="P1234" s="52">
        <f t="shared" si="7949"/>
        <v>275591.46580799518</v>
      </c>
      <c r="Q1234" s="52">
        <f t="shared" si="7949"/>
        <v>278306.9805620276</v>
      </c>
      <c r="R1234" s="52">
        <f t="shared" si="7949"/>
        <v>281049.25238692126</v>
      </c>
      <c r="S1234" s="52">
        <f t="shared" si="7949"/>
        <v>191482.31721048584</v>
      </c>
      <c r="T1234" s="52">
        <f t="shared" si="7949"/>
        <v>6580.6543476469105</v>
      </c>
      <c r="U1234" s="52">
        <f t="shared" si="7949"/>
        <v>10424.828632825871</v>
      </c>
      <c r="V1234" s="52">
        <f t="shared" si="7949"/>
        <v>14389.449341359013</v>
      </c>
      <c r="W1234" s="52">
        <f t="shared" si="7949"/>
        <v>18277.447721111192</v>
      </c>
      <c r="X1234" s="52">
        <f t="shared" si="7949"/>
        <v>24140.856838778414</v>
      </c>
      <c r="Y1234" s="52">
        <f t="shared" si="7949"/>
        <v>32309.00587388641</v>
      </c>
      <c r="Z1234" s="52">
        <f t="shared" si="7949"/>
        <v>41003.327342873301</v>
      </c>
      <c r="AA1234" s="52">
        <f t="shared" si="7949"/>
        <v>49424.775082291708</v>
      </c>
      <c r="AB1234" s="52">
        <f t="shared" si="7949"/>
        <v>58090.737579888082</v>
      </c>
      <c r="AC1234" s="52">
        <f t="shared" si="7949"/>
        <v>0</v>
      </c>
      <c r="AD1234" s="52">
        <f t="shared" si="7949"/>
        <v>0</v>
      </c>
      <c r="AE1234" s="52">
        <f t="shared" si="7949"/>
        <v>0</v>
      </c>
      <c r="AF1234" s="52">
        <f t="shared" si="7949"/>
        <v>0</v>
      </c>
      <c r="AG1234" s="52">
        <f t="shared" si="7949"/>
        <v>0</v>
      </c>
      <c r="AH1234" s="52">
        <f t="shared" si="7949"/>
        <v>0</v>
      </c>
      <c r="AI1234" s="52">
        <f t="shared" si="7949"/>
        <v>0</v>
      </c>
      <c r="AJ1234" s="52">
        <f t="shared" si="7949"/>
        <v>0</v>
      </c>
      <c r="AK1234" s="52">
        <f t="shared" si="7949"/>
        <v>0</v>
      </c>
      <c r="AL1234" s="52">
        <f t="shared" si="7949"/>
        <v>0</v>
      </c>
      <c r="AM1234" s="52">
        <f t="shared" si="7949"/>
        <v>0</v>
      </c>
      <c r="AN1234" s="52">
        <f t="shared" si="7949"/>
        <v>0</v>
      </c>
      <c r="AO1234" s="52">
        <f t="shared" si="7949"/>
        <v>0</v>
      </c>
      <c r="AP1234" s="52">
        <f t="shared" si="7949"/>
        <v>0</v>
      </c>
      <c r="AQ1234" s="52">
        <f t="shared" si="7949"/>
        <v>0</v>
      </c>
      <c r="AR1234" s="52">
        <f t="shared" si="7949"/>
        <v>0</v>
      </c>
      <c r="AS1234" s="52">
        <f t="shared" si="7949"/>
        <v>0</v>
      </c>
      <c r="AT1234" s="52">
        <f t="shared" si="7949"/>
        <v>0</v>
      </c>
      <c r="AU1234" s="52">
        <f t="shared" si="7949"/>
        <v>0</v>
      </c>
      <c r="AV1234" s="52">
        <f t="shared" si="7949"/>
        <v>0</v>
      </c>
      <c r="AW1234" s="52">
        <f t="shared" si="7949"/>
        <v>0</v>
      </c>
      <c r="AX1234" s="52">
        <f t="shared" si="7949"/>
        <v>0</v>
      </c>
      <c r="AY1234" s="52">
        <f t="shared" si="7949"/>
        <v>0</v>
      </c>
      <c r="AZ1234" s="52">
        <f t="shared" si="7949"/>
        <v>0</v>
      </c>
      <c r="BA1234" s="52">
        <f t="shared" si="7949"/>
        <v>0</v>
      </c>
      <c r="BB1234" s="52">
        <f t="shared" si="7949"/>
        <v>0</v>
      </c>
      <c r="BC1234" s="52">
        <f t="shared" si="7949"/>
        <v>0</v>
      </c>
      <c r="BD1234" s="52">
        <f t="shared" si="7949"/>
        <v>0</v>
      </c>
      <c r="BE1234" s="52">
        <f t="shared" si="7949"/>
        <v>0</v>
      </c>
      <c r="BF1234" s="52">
        <f t="shared" si="7949"/>
        <v>0</v>
      </c>
      <c r="BG1234" s="52">
        <f t="shared" si="7949"/>
        <v>0</v>
      </c>
      <c r="BH1234" s="52">
        <f t="shared" si="7949"/>
        <v>0</v>
      </c>
      <c r="BI1234" s="52">
        <f t="shared" si="7949"/>
        <v>0</v>
      </c>
      <c r="BJ1234" s="52">
        <f t="shared" si="7949"/>
        <v>0</v>
      </c>
      <c r="BK1234" s="52">
        <f t="shared" si="7949"/>
        <v>0</v>
      </c>
      <c r="BL1234" s="52">
        <f t="shared" si="7949"/>
        <v>0</v>
      </c>
      <c r="BM1234" s="52">
        <f t="shared" si="7949"/>
        <v>0</v>
      </c>
      <c r="BN1234" s="52">
        <f t="shared" si="7949"/>
        <v>0</v>
      </c>
      <c r="BO1234" s="52">
        <f t="shared" si="7949"/>
        <v>0</v>
      </c>
      <c r="BP1234" s="52">
        <f t="shared" si="7949"/>
        <v>0</v>
      </c>
      <c r="BQ1234" s="52">
        <f t="shared" si="7949"/>
        <v>0</v>
      </c>
      <c r="BR1234" s="52">
        <f t="shared" si="7949"/>
        <v>0</v>
      </c>
      <c r="BS1234" s="52">
        <f t="shared" si="7949"/>
        <v>0</v>
      </c>
      <c r="BT1234" s="52">
        <f t="shared" si="7949"/>
        <v>0</v>
      </c>
      <c r="BU1234" s="52">
        <f t="shared" si="7949"/>
        <v>0</v>
      </c>
      <c r="BV1234" s="52">
        <f t="shared" si="7949"/>
        <v>0</v>
      </c>
      <c r="BW1234" s="52">
        <f t="shared" si="7949"/>
        <v>0</v>
      </c>
      <c r="BX1234" s="52">
        <f t="shared" si="7949"/>
        <v>0</v>
      </c>
      <c r="BY1234" s="52">
        <f t="shared" ref="BY1234:CO1234" si="7950">BY$1144*$E1231*NOT(Flag_Historical)</f>
        <v>0</v>
      </c>
      <c r="BZ1234" s="52">
        <f t="shared" si="7950"/>
        <v>0</v>
      </c>
      <c r="CA1234" s="52">
        <f t="shared" si="7950"/>
        <v>0</v>
      </c>
      <c r="CB1234" s="52">
        <f t="shared" si="7950"/>
        <v>0</v>
      </c>
      <c r="CC1234" s="52">
        <f t="shared" si="7950"/>
        <v>0</v>
      </c>
      <c r="CD1234" s="52">
        <f t="shared" si="7950"/>
        <v>0</v>
      </c>
      <c r="CE1234" s="52">
        <f t="shared" si="7950"/>
        <v>0</v>
      </c>
      <c r="CF1234" s="52">
        <f t="shared" si="7950"/>
        <v>0</v>
      </c>
      <c r="CG1234" s="52">
        <f t="shared" si="7950"/>
        <v>0</v>
      </c>
      <c r="CH1234" s="52">
        <f t="shared" si="7950"/>
        <v>0</v>
      </c>
      <c r="CI1234" s="52">
        <f t="shared" si="7950"/>
        <v>0</v>
      </c>
      <c r="CJ1234" s="52">
        <f t="shared" si="7950"/>
        <v>0</v>
      </c>
      <c r="CK1234" s="52">
        <f t="shared" si="7950"/>
        <v>0</v>
      </c>
      <c r="CL1234" s="52">
        <f t="shared" si="7950"/>
        <v>0</v>
      </c>
      <c r="CM1234" s="52">
        <f t="shared" si="7950"/>
        <v>0</v>
      </c>
      <c r="CN1234" s="52">
        <f t="shared" si="7950"/>
        <v>0</v>
      </c>
      <c r="CO1234" s="52">
        <f t="shared" si="7950"/>
        <v>0</v>
      </c>
    </row>
    <row r="1235" spans="1:93" ht="15" thickBot="1">
      <c r="A1235" s="10"/>
      <c r="B1235" s="10"/>
      <c r="C1235" s="17" t="s">
        <v>359</v>
      </c>
      <c r="D1235" s="10"/>
      <c r="E1235" s="10"/>
      <c r="F1235" s="10"/>
      <c r="G1235" s="134" t="str">
        <f>Monetary_Unit</f>
        <v>тыс. руб.</v>
      </c>
      <c r="H1235" s="10"/>
      <c r="I1235" s="23">
        <f>SUM(L1235:CO1235)</f>
        <v>0</v>
      </c>
      <c r="J1235" s="10"/>
      <c r="K1235" s="10"/>
      <c r="L1235" s="52">
        <f t="shared" ref="L1235" si="7951">L$1144*$E1232+MAX(L1143-Debt_Drawdown,0)</f>
        <v>0</v>
      </c>
      <c r="M1235" s="52">
        <f t="shared" ref="M1235:BX1235" si="7952">M$1144*$E1232+MAX(M1143-Debt_Drawdown,0)</f>
        <v>0</v>
      </c>
      <c r="N1235" s="52">
        <f t="shared" si="7952"/>
        <v>0</v>
      </c>
      <c r="O1235" s="52">
        <f t="shared" si="7952"/>
        <v>0</v>
      </c>
      <c r="P1235" s="52">
        <f t="shared" si="7952"/>
        <v>0</v>
      </c>
      <c r="Q1235" s="52">
        <f t="shared" si="7952"/>
        <v>0</v>
      </c>
      <c r="R1235" s="52">
        <f t="shared" si="7952"/>
        <v>0</v>
      </c>
      <c r="S1235" s="52">
        <f t="shared" si="7952"/>
        <v>0</v>
      </c>
      <c r="T1235" s="52">
        <f t="shared" si="7952"/>
        <v>0</v>
      </c>
      <c r="U1235" s="52">
        <f t="shared" si="7952"/>
        <v>0</v>
      </c>
      <c r="V1235" s="52">
        <f t="shared" si="7952"/>
        <v>0</v>
      </c>
      <c r="W1235" s="52">
        <f t="shared" si="7952"/>
        <v>0</v>
      </c>
      <c r="X1235" s="52">
        <f t="shared" si="7952"/>
        <v>0</v>
      </c>
      <c r="Y1235" s="52">
        <f t="shared" si="7952"/>
        <v>0</v>
      </c>
      <c r="Z1235" s="52">
        <f t="shared" si="7952"/>
        <v>0</v>
      </c>
      <c r="AA1235" s="52">
        <f t="shared" si="7952"/>
        <v>0</v>
      </c>
      <c r="AB1235" s="52">
        <f t="shared" si="7952"/>
        <v>0</v>
      </c>
      <c r="AC1235" s="52">
        <f t="shared" si="7952"/>
        <v>0</v>
      </c>
      <c r="AD1235" s="52">
        <f t="shared" si="7952"/>
        <v>0</v>
      </c>
      <c r="AE1235" s="52">
        <f t="shared" si="7952"/>
        <v>0</v>
      </c>
      <c r="AF1235" s="52">
        <f t="shared" si="7952"/>
        <v>0</v>
      </c>
      <c r="AG1235" s="52">
        <f t="shared" si="7952"/>
        <v>0</v>
      </c>
      <c r="AH1235" s="52">
        <f t="shared" si="7952"/>
        <v>0</v>
      </c>
      <c r="AI1235" s="52">
        <f t="shared" si="7952"/>
        <v>0</v>
      </c>
      <c r="AJ1235" s="52">
        <f t="shared" si="7952"/>
        <v>0</v>
      </c>
      <c r="AK1235" s="52">
        <f t="shared" si="7952"/>
        <v>0</v>
      </c>
      <c r="AL1235" s="52">
        <f t="shared" si="7952"/>
        <v>0</v>
      </c>
      <c r="AM1235" s="52">
        <f t="shared" si="7952"/>
        <v>0</v>
      </c>
      <c r="AN1235" s="52">
        <f t="shared" si="7952"/>
        <v>0</v>
      </c>
      <c r="AO1235" s="52">
        <f t="shared" si="7952"/>
        <v>0</v>
      </c>
      <c r="AP1235" s="52">
        <f t="shared" si="7952"/>
        <v>0</v>
      </c>
      <c r="AQ1235" s="52">
        <f t="shared" si="7952"/>
        <v>0</v>
      </c>
      <c r="AR1235" s="52">
        <f t="shared" si="7952"/>
        <v>0</v>
      </c>
      <c r="AS1235" s="52">
        <f t="shared" si="7952"/>
        <v>0</v>
      </c>
      <c r="AT1235" s="52">
        <f t="shared" si="7952"/>
        <v>0</v>
      </c>
      <c r="AU1235" s="52">
        <f t="shared" si="7952"/>
        <v>0</v>
      </c>
      <c r="AV1235" s="52">
        <f t="shared" si="7952"/>
        <v>0</v>
      </c>
      <c r="AW1235" s="52">
        <f t="shared" si="7952"/>
        <v>0</v>
      </c>
      <c r="AX1235" s="52">
        <f t="shared" si="7952"/>
        <v>0</v>
      </c>
      <c r="AY1235" s="52">
        <f t="shared" si="7952"/>
        <v>0</v>
      </c>
      <c r="AZ1235" s="52">
        <f t="shared" si="7952"/>
        <v>0</v>
      </c>
      <c r="BA1235" s="52">
        <f t="shared" si="7952"/>
        <v>0</v>
      </c>
      <c r="BB1235" s="52">
        <f t="shared" si="7952"/>
        <v>0</v>
      </c>
      <c r="BC1235" s="52">
        <f t="shared" si="7952"/>
        <v>0</v>
      </c>
      <c r="BD1235" s="52">
        <f t="shared" si="7952"/>
        <v>0</v>
      </c>
      <c r="BE1235" s="52">
        <f t="shared" si="7952"/>
        <v>0</v>
      </c>
      <c r="BF1235" s="52">
        <f t="shared" si="7952"/>
        <v>0</v>
      </c>
      <c r="BG1235" s="52">
        <f t="shared" si="7952"/>
        <v>0</v>
      </c>
      <c r="BH1235" s="52">
        <f t="shared" si="7952"/>
        <v>0</v>
      </c>
      <c r="BI1235" s="52">
        <f t="shared" si="7952"/>
        <v>0</v>
      </c>
      <c r="BJ1235" s="52">
        <f t="shared" si="7952"/>
        <v>0</v>
      </c>
      <c r="BK1235" s="52">
        <f t="shared" si="7952"/>
        <v>0</v>
      </c>
      <c r="BL1235" s="52">
        <f t="shared" si="7952"/>
        <v>0</v>
      </c>
      <c r="BM1235" s="52">
        <f t="shared" si="7952"/>
        <v>0</v>
      </c>
      <c r="BN1235" s="52">
        <f t="shared" si="7952"/>
        <v>0</v>
      </c>
      <c r="BO1235" s="52">
        <f t="shared" si="7952"/>
        <v>0</v>
      </c>
      <c r="BP1235" s="52">
        <f t="shared" si="7952"/>
        <v>0</v>
      </c>
      <c r="BQ1235" s="52">
        <f t="shared" si="7952"/>
        <v>0</v>
      </c>
      <c r="BR1235" s="52">
        <f t="shared" si="7952"/>
        <v>0</v>
      </c>
      <c r="BS1235" s="52">
        <f t="shared" si="7952"/>
        <v>0</v>
      </c>
      <c r="BT1235" s="52">
        <f t="shared" si="7952"/>
        <v>0</v>
      </c>
      <c r="BU1235" s="52">
        <f t="shared" si="7952"/>
        <v>0</v>
      </c>
      <c r="BV1235" s="52">
        <f t="shared" si="7952"/>
        <v>0</v>
      </c>
      <c r="BW1235" s="52">
        <f t="shared" si="7952"/>
        <v>0</v>
      </c>
      <c r="BX1235" s="52">
        <f t="shared" si="7952"/>
        <v>0</v>
      </c>
      <c r="BY1235" s="52">
        <f t="shared" ref="BY1235:CO1235" si="7953">BY$1144*$E1232+MAX(BY1143-Debt_Drawdown,0)</f>
        <v>0</v>
      </c>
      <c r="BZ1235" s="52">
        <f t="shared" si="7953"/>
        <v>0</v>
      </c>
      <c r="CA1235" s="52">
        <f t="shared" si="7953"/>
        <v>0</v>
      </c>
      <c r="CB1235" s="52">
        <f t="shared" si="7953"/>
        <v>0</v>
      </c>
      <c r="CC1235" s="52">
        <f t="shared" si="7953"/>
        <v>0</v>
      </c>
      <c r="CD1235" s="52">
        <f t="shared" si="7953"/>
        <v>0</v>
      </c>
      <c r="CE1235" s="52">
        <f t="shared" si="7953"/>
        <v>0</v>
      </c>
      <c r="CF1235" s="52">
        <f t="shared" si="7953"/>
        <v>0</v>
      </c>
      <c r="CG1235" s="52">
        <f t="shared" si="7953"/>
        <v>0</v>
      </c>
      <c r="CH1235" s="52">
        <f t="shared" si="7953"/>
        <v>0</v>
      </c>
      <c r="CI1235" s="52">
        <f t="shared" si="7953"/>
        <v>0</v>
      </c>
      <c r="CJ1235" s="52">
        <f t="shared" si="7953"/>
        <v>0</v>
      </c>
      <c r="CK1235" s="52">
        <f t="shared" si="7953"/>
        <v>0</v>
      </c>
      <c r="CL1235" s="52">
        <f t="shared" si="7953"/>
        <v>0</v>
      </c>
      <c r="CM1235" s="52">
        <f t="shared" si="7953"/>
        <v>0</v>
      </c>
      <c r="CN1235" s="52">
        <f t="shared" si="7953"/>
        <v>0</v>
      </c>
      <c r="CO1235" s="52">
        <f t="shared" si="7953"/>
        <v>0</v>
      </c>
    </row>
    <row r="1236" spans="1:93" ht="15" thickTop="1">
      <c r="A1236" s="172"/>
      <c r="B1236" s="35"/>
      <c r="C1236" s="173" t="s">
        <v>176</v>
      </c>
      <c r="D1236" s="49"/>
      <c r="E1236" s="49"/>
      <c r="F1236" s="49"/>
      <c r="G1236" s="159" t="str">
        <f>Monetary_Unit</f>
        <v>тыс. руб.</v>
      </c>
      <c r="H1236" s="49"/>
      <c r="I1236" s="176">
        <f>SUM(L1236:CO1236)</f>
        <v>1409395.9556502979</v>
      </c>
      <c r="J1236" s="49"/>
      <c r="K1236" s="49"/>
      <c r="L1236" s="49">
        <f t="shared" ref="L1236" si="7954">SUM(L1234:L1235)</f>
        <v>31406.153379286916</v>
      </c>
      <c r="M1236" s="49">
        <f t="shared" ref="M1236:BX1236" si="7955">SUM(M1234:M1235)</f>
        <v>31851.960190507532</v>
      </c>
      <c r="N1236" s="49">
        <f t="shared" si="7955"/>
        <v>32304.095179220327</v>
      </c>
      <c r="O1236" s="49">
        <f t="shared" si="7955"/>
        <v>32762.648173192309</v>
      </c>
      <c r="P1236" s="49">
        <f t="shared" si="7955"/>
        <v>275591.46580799518</v>
      </c>
      <c r="Q1236" s="49">
        <f t="shared" si="7955"/>
        <v>278306.9805620276</v>
      </c>
      <c r="R1236" s="49">
        <f t="shared" si="7955"/>
        <v>281049.25238692126</v>
      </c>
      <c r="S1236" s="49">
        <f t="shared" si="7955"/>
        <v>191482.31721048584</v>
      </c>
      <c r="T1236" s="49">
        <f t="shared" si="7955"/>
        <v>6580.6543476469105</v>
      </c>
      <c r="U1236" s="49">
        <f t="shared" si="7955"/>
        <v>10424.828632825871</v>
      </c>
      <c r="V1236" s="49">
        <f t="shared" si="7955"/>
        <v>14389.449341359013</v>
      </c>
      <c r="W1236" s="49">
        <f t="shared" si="7955"/>
        <v>18277.447721111192</v>
      </c>
      <c r="X1236" s="49">
        <f t="shared" si="7955"/>
        <v>24140.856838778414</v>
      </c>
      <c r="Y1236" s="49">
        <f t="shared" si="7955"/>
        <v>32309.00587388641</v>
      </c>
      <c r="Z1236" s="49">
        <f t="shared" si="7955"/>
        <v>41003.327342873301</v>
      </c>
      <c r="AA1236" s="49">
        <f t="shared" si="7955"/>
        <v>49424.775082291708</v>
      </c>
      <c r="AB1236" s="49">
        <f t="shared" si="7955"/>
        <v>58090.737579888082</v>
      </c>
      <c r="AC1236" s="49">
        <f t="shared" si="7955"/>
        <v>0</v>
      </c>
      <c r="AD1236" s="49">
        <f t="shared" si="7955"/>
        <v>0</v>
      </c>
      <c r="AE1236" s="49">
        <f t="shared" si="7955"/>
        <v>0</v>
      </c>
      <c r="AF1236" s="49">
        <f t="shared" si="7955"/>
        <v>0</v>
      </c>
      <c r="AG1236" s="49">
        <f t="shared" si="7955"/>
        <v>0</v>
      </c>
      <c r="AH1236" s="49">
        <f t="shared" si="7955"/>
        <v>0</v>
      </c>
      <c r="AI1236" s="49">
        <f t="shared" si="7955"/>
        <v>0</v>
      </c>
      <c r="AJ1236" s="49">
        <f t="shared" si="7955"/>
        <v>0</v>
      </c>
      <c r="AK1236" s="49">
        <f t="shared" si="7955"/>
        <v>0</v>
      </c>
      <c r="AL1236" s="49">
        <f t="shared" si="7955"/>
        <v>0</v>
      </c>
      <c r="AM1236" s="49">
        <f t="shared" si="7955"/>
        <v>0</v>
      </c>
      <c r="AN1236" s="49">
        <f t="shared" si="7955"/>
        <v>0</v>
      </c>
      <c r="AO1236" s="49">
        <f t="shared" si="7955"/>
        <v>0</v>
      </c>
      <c r="AP1236" s="49">
        <f t="shared" si="7955"/>
        <v>0</v>
      </c>
      <c r="AQ1236" s="49">
        <f t="shared" si="7955"/>
        <v>0</v>
      </c>
      <c r="AR1236" s="49">
        <f t="shared" si="7955"/>
        <v>0</v>
      </c>
      <c r="AS1236" s="49">
        <f t="shared" si="7955"/>
        <v>0</v>
      </c>
      <c r="AT1236" s="49">
        <f t="shared" si="7955"/>
        <v>0</v>
      </c>
      <c r="AU1236" s="49">
        <f t="shared" si="7955"/>
        <v>0</v>
      </c>
      <c r="AV1236" s="49">
        <f t="shared" si="7955"/>
        <v>0</v>
      </c>
      <c r="AW1236" s="49">
        <f t="shared" si="7955"/>
        <v>0</v>
      </c>
      <c r="AX1236" s="49">
        <f t="shared" si="7955"/>
        <v>0</v>
      </c>
      <c r="AY1236" s="49">
        <f t="shared" si="7955"/>
        <v>0</v>
      </c>
      <c r="AZ1236" s="49">
        <f t="shared" si="7955"/>
        <v>0</v>
      </c>
      <c r="BA1236" s="49">
        <f t="shared" si="7955"/>
        <v>0</v>
      </c>
      <c r="BB1236" s="49">
        <f t="shared" si="7955"/>
        <v>0</v>
      </c>
      <c r="BC1236" s="49">
        <f t="shared" si="7955"/>
        <v>0</v>
      </c>
      <c r="BD1236" s="49">
        <f t="shared" si="7955"/>
        <v>0</v>
      </c>
      <c r="BE1236" s="49">
        <f t="shared" si="7955"/>
        <v>0</v>
      </c>
      <c r="BF1236" s="49">
        <f t="shared" si="7955"/>
        <v>0</v>
      </c>
      <c r="BG1236" s="49">
        <f t="shared" si="7955"/>
        <v>0</v>
      </c>
      <c r="BH1236" s="49">
        <f t="shared" si="7955"/>
        <v>0</v>
      </c>
      <c r="BI1236" s="49">
        <f t="shared" si="7955"/>
        <v>0</v>
      </c>
      <c r="BJ1236" s="49">
        <f t="shared" si="7955"/>
        <v>0</v>
      </c>
      <c r="BK1236" s="49">
        <f t="shared" si="7955"/>
        <v>0</v>
      </c>
      <c r="BL1236" s="49">
        <f t="shared" si="7955"/>
        <v>0</v>
      </c>
      <c r="BM1236" s="49">
        <f t="shared" si="7955"/>
        <v>0</v>
      </c>
      <c r="BN1236" s="49">
        <f t="shared" si="7955"/>
        <v>0</v>
      </c>
      <c r="BO1236" s="49">
        <f t="shared" si="7955"/>
        <v>0</v>
      </c>
      <c r="BP1236" s="49">
        <f t="shared" si="7955"/>
        <v>0</v>
      </c>
      <c r="BQ1236" s="49">
        <f t="shared" si="7955"/>
        <v>0</v>
      </c>
      <c r="BR1236" s="49">
        <f t="shared" si="7955"/>
        <v>0</v>
      </c>
      <c r="BS1236" s="49">
        <f t="shared" si="7955"/>
        <v>0</v>
      </c>
      <c r="BT1236" s="49">
        <f t="shared" si="7955"/>
        <v>0</v>
      </c>
      <c r="BU1236" s="49">
        <f t="shared" si="7955"/>
        <v>0</v>
      </c>
      <c r="BV1236" s="49">
        <f t="shared" si="7955"/>
        <v>0</v>
      </c>
      <c r="BW1236" s="49">
        <f t="shared" si="7955"/>
        <v>0</v>
      </c>
      <c r="BX1236" s="49">
        <f t="shared" si="7955"/>
        <v>0</v>
      </c>
      <c r="BY1236" s="49">
        <f t="shared" ref="BY1236:CO1236" si="7956">SUM(BY1234:BY1235)</f>
        <v>0</v>
      </c>
      <c r="BZ1236" s="49">
        <f t="shared" si="7956"/>
        <v>0</v>
      </c>
      <c r="CA1236" s="49">
        <f t="shared" si="7956"/>
        <v>0</v>
      </c>
      <c r="CB1236" s="49">
        <f t="shared" si="7956"/>
        <v>0</v>
      </c>
      <c r="CC1236" s="49">
        <f t="shared" si="7956"/>
        <v>0</v>
      </c>
      <c r="CD1236" s="49">
        <f t="shared" si="7956"/>
        <v>0</v>
      </c>
      <c r="CE1236" s="49">
        <f t="shared" si="7956"/>
        <v>0</v>
      </c>
      <c r="CF1236" s="49">
        <f t="shared" si="7956"/>
        <v>0</v>
      </c>
      <c r="CG1236" s="49">
        <f t="shared" si="7956"/>
        <v>0</v>
      </c>
      <c r="CH1236" s="49">
        <f t="shared" si="7956"/>
        <v>0</v>
      </c>
      <c r="CI1236" s="49">
        <f t="shared" si="7956"/>
        <v>0</v>
      </c>
      <c r="CJ1236" s="49">
        <f t="shared" si="7956"/>
        <v>0</v>
      </c>
      <c r="CK1236" s="49">
        <f t="shared" si="7956"/>
        <v>0</v>
      </c>
      <c r="CL1236" s="49">
        <f t="shared" si="7956"/>
        <v>0</v>
      </c>
      <c r="CM1236" s="49">
        <f t="shared" si="7956"/>
        <v>0</v>
      </c>
      <c r="CN1236" s="49">
        <f t="shared" si="7956"/>
        <v>0</v>
      </c>
      <c r="CO1236" s="49">
        <f t="shared" si="7956"/>
        <v>0</v>
      </c>
    </row>
    <row r="1237" spans="1:93">
      <c r="A1237" s="10"/>
      <c r="B1237" s="10"/>
      <c r="C1237" s="10"/>
      <c r="D1237" s="10"/>
      <c r="E1237" s="10"/>
      <c r="F1237" s="10"/>
      <c r="G1237" s="11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  <c r="AZ1237" s="10"/>
      <c r="BA1237" s="10"/>
      <c r="BB1237" s="10"/>
      <c r="BC1237" s="10"/>
      <c r="BD1237" s="10"/>
      <c r="BE1237" s="10"/>
      <c r="BF1237" s="10"/>
      <c r="BG1237" s="10"/>
      <c r="BH1237" s="10"/>
      <c r="BI1237" s="10"/>
      <c r="BJ1237" s="10"/>
      <c r="BK1237" s="10"/>
      <c r="BL1237" s="10"/>
      <c r="BM1237" s="10"/>
      <c r="BN1237" s="10"/>
      <c r="BO1237" s="10"/>
      <c r="BP1237" s="10"/>
      <c r="BQ1237" s="10"/>
      <c r="BR1237" s="10"/>
      <c r="BS1237" s="10"/>
      <c r="BT1237" s="10"/>
      <c r="BU1237" s="10"/>
      <c r="BV1237" s="10"/>
      <c r="BW1237" s="10"/>
      <c r="BX1237" s="10"/>
      <c r="BY1237" s="10"/>
      <c r="BZ1237" s="10"/>
      <c r="CA1237" s="10"/>
      <c r="CB1237" s="10"/>
      <c r="CC1237" s="10"/>
      <c r="CD1237" s="10"/>
      <c r="CE1237" s="10"/>
      <c r="CF1237" s="10"/>
      <c r="CG1237" s="10"/>
      <c r="CH1237" s="10"/>
      <c r="CI1237" s="10"/>
      <c r="CJ1237" s="10"/>
      <c r="CK1237" s="10"/>
      <c r="CL1237" s="10"/>
      <c r="CM1237" s="10"/>
      <c r="CN1237" s="10"/>
      <c r="CO1237" s="10"/>
    </row>
    <row r="1238" spans="1:93" ht="16" thickBot="1">
      <c r="A1238" s="10"/>
      <c r="B1238" s="10"/>
      <c r="C1238" s="114" t="s">
        <v>106</v>
      </c>
      <c r="D1238" s="10"/>
      <c r="E1238" s="10"/>
      <c r="F1238" s="10"/>
      <c r="G1238" s="11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  <c r="AY1238" s="10"/>
      <c r="AZ1238" s="10"/>
      <c r="BA1238" s="10"/>
      <c r="BB1238" s="10"/>
      <c r="BC1238" s="10"/>
      <c r="BD1238" s="10"/>
      <c r="BE1238" s="10"/>
      <c r="BF1238" s="10"/>
      <c r="BG1238" s="10"/>
      <c r="BH1238" s="10"/>
      <c r="BI1238" s="10"/>
      <c r="BJ1238" s="10"/>
      <c r="BK1238" s="10"/>
      <c r="BL1238" s="10"/>
      <c r="BM1238" s="10"/>
      <c r="BN1238" s="10"/>
      <c r="BO1238" s="10"/>
      <c r="BP1238" s="10"/>
      <c r="BQ1238" s="10"/>
      <c r="BR1238" s="10"/>
      <c r="BS1238" s="10"/>
      <c r="BT1238" s="10"/>
      <c r="BU1238" s="10"/>
      <c r="BV1238" s="10"/>
      <c r="BW1238" s="10"/>
      <c r="BX1238" s="10"/>
      <c r="BY1238" s="10"/>
      <c r="BZ1238" s="10"/>
      <c r="CA1238" s="10"/>
      <c r="CB1238" s="10"/>
      <c r="CC1238" s="10"/>
      <c r="CD1238" s="10"/>
      <c r="CE1238" s="10"/>
      <c r="CF1238" s="10"/>
      <c r="CG1238" s="10"/>
      <c r="CH1238" s="10"/>
      <c r="CI1238" s="10"/>
      <c r="CJ1238" s="10"/>
      <c r="CK1238" s="10"/>
      <c r="CL1238" s="10"/>
      <c r="CM1238" s="10"/>
      <c r="CN1238" s="10"/>
      <c r="CO1238" s="10"/>
    </row>
    <row r="1239" spans="1:93">
      <c r="A1239" s="10"/>
      <c r="B1239" s="10"/>
      <c r="C1239" s="67"/>
      <c r="D1239" s="10"/>
      <c r="E1239" s="10"/>
      <c r="F1239" s="10"/>
      <c r="G1239" s="11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  <c r="AZ1239" s="10"/>
      <c r="BA1239" s="10"/>
      <c r="BB1239" s="10"/>
      <c r="BC1239" s="10"/>
      <c r="BD1239" s="10"/>
      <c r="BE1239" s="10"/>
      <c r="BF1239" s="10"/>
      <c r="BG1239" s="10"/>
      <c r="BH1239" s="10"/>
      <c r="BI1239" s="10"/>
      <c r="BJ1239" s="10"/>
      <c r="BK1239" s="10"/>
      <c r="BL1239" s="10"/>
      <c r="BM1239" s="10"/>
      <c r="BN1239" s="10"/>
      <c r="BO1239" s="10"/>
      <c r="BP1239" s="10"/>
      <c r="BQ1239" s="10"/>
      <c r="BR1239" s="10"/>
      <c r="BS1239" s="10"/>
      <c r="BT1239" s="10"/>
      <c r="BU1239" s="10"/>
      <c r="BV1239" s="10"/>
      <c r="BW1239" s="10"/>
      <c r="BX1239" s="10"/>
      <c r="BY1239" s="10"/>
      <c r="BZ1239" s="10"/>
      <c r="CA1239" s="10"/>
      <c r="CB1239" s="10"/>
      <c r="CC1239" s="10"/>
      <c r="CD1239" s="10"/>
      <c r="CE1239" s="10"/>
      <c r="CF1239" s="10"/>
      <c r="CG1239" s="10"/>
      <c r="CH1239" s="10"/>
      <c r="CI1239" s="10"/>
      <c r="CJ1239" s="10"/>
      <c r="CK1239" s="10"/>
      <c r="CL1239" s="10"/>
      <c r="CM1239" s="10"/>
      <c r="CN1239" s="10"/>
      <c r="CO1239" s="10"/>
    </row>
    <row r="1240" spans="1:93">
      <c r="A1240" s="10"/>
      <c r="B1240" s="10"/>
      <c r="C1240" s="17" t="s">
        <v>174</v>
      </c>
      <c r="D1240" s="10"/>
      <c r="E1240" s="10"/>
      <c r="F1240" s="10"/>
      <c r="G1240" s="134" t="str">
        <f>Monetary_Unit</f>
        <v>тыс. руб.</v>
      </c>
      <c r="H1240" s="10"/>
      <c r="I1240" s="10"/>
      <c r="J1240" s="10"/>
      <c r="K1240" s="10"/>
      <c r="L1240" s="52">
        <f t="shared" ref="L1240" si="7957">K1245</f>
        <v>0</v>
      </c>
      <c r="M1240" s="52">
        <f t="shared" ref="M1240" si="7958">L1245</f>
        <v>31406.153379286916</v>
      </c>
      <c r="N1240" s="52">
        <f t="shared" ref="N1240" si="7959">M1245</f>
        <v>63258.113569794448</v>
      </c>
      <c r="O1240" s="52">
        <f t="shared" ref="O1240" si="7960">N1245</f>
        <v>95562.208749014768</v>
      </c>
      <c r="P1240" s="52">
        <f t="shared" ref="P1240" si="7961">O1245</f>
        <v>128324.85692220708</v>
      </c>
      <c r="Q1240" s="52">
        <f t="shared" ref="Q1240" si="7962">P1245</f>
        <v>403916.32273020223</v>
      </c>
      <c r="R1240" s="52">
        <f t="shared" ref="R1240" si="7963">Q1245</f>
        <v>682223.30329222977</v>
      </c>
      <c r="S1240" s="52">
        <f t="shared" ref="S1240" si="7964">R1245</f>
        <v>963272.55567915109</v>
      </c>
      <c r="T1240" s="52">
        <f t="shared" ref="T1240" si="7965">S1245</f>
        <v>1154754.872889637</v>
      </c>
      <c r="U1240" s="52">
        <f t="shared" ref="U1240" si="7966">T1245</f>
        <v>1161335.527237284</v>
      </c>
      <c r="V1240" s="52">
        <f t="shared" ref="V1240" si="7967">U1245</f>
        <v>1171760.35587011</v>
      </c>
      <c r="W1240" s="52">
        <f t="shared" ref="W1240" si="7968">V1245</f>
        <v>1186149.8052114691</v>
      </c>
      <c r="X1240" s="52">
        <f t="shared" ref="X1240" si="7969">W1245</f>
        <v>1204427.2529325802</v>
      </c>
      <c r="Y1240" s="52">
        <f t="shared" ref="Y1240" si="7970">X1245</f>
        <v>1228568.1097713585</v>
      </c>
      <c r="Z1240" s="52">
        <f t="shared" ref="Z1240" si="7971">Y1245</f>
        <v>1260877.115645245</v>
      </c>
      <c r="AA1240" s="52">
        <f t="shared" ref="AA1240" si="7972">Z1245</f>
        <v>1301880.4429881182</v>
      </c>
      <c r="AB1240" s="52">
        <f t="shared" ref="AB1240" si="7973">AA1245</f>
        <v>1351305.21807041</v>
      </c>
      <c r="AC1240" s="52">
        <f t="shared" ref="AC1240" si="7974">AB1245</f>
        <v>1409395.9556502979</v>
      </c>
      <c r="AD1240" s="52">
        <f t="shared" ref="AD1240" si="7975">AC1245</f>
        <v>1409395.9556502979</v>
      </c>
      <c r="AE1240" s="52">
        <f t="shared" ref="AE1240" si="7976">AD1245</f>
        <v>1409395.9556502979</v>
      </c>
      <c r="AF1240" s="52">
        <f t="shared" ref="AF1240" si="7977">AE1245</f>
        <v>1409395.9556502979</v>
      </c>
      <c r="AG1240" s="52">
        <f t="shared" ref="AG1240" si="7978">AF1245</f>
        <v>1409395.9556502979</v>
      </c>
      <c r="AH1240" s="52">
        <f t="shared" ref="AH1240" si="7979">AG1245</f>
        <v>1409395.9556502979</v>
      </c>
      <c r="AI1240" s="52">
        <f t="shared" ref="AI1240" si="7980">AH1245</f>
        <v>1409395.9556502979</v>
      </c>
      <c r="AJ1240" s="52">
        <f t="shared" ref="AJ1240" si="7981">AI1245</f>
        <v>1409395.9556502979</v>
      </c>
      <c r="AK1240" s="52">
        <f t="shared" ref="AK1240" si="7982">AJ1245</f>
        <v>1409395.9556502979</v>
      </c>
      <c r="AL1240" s="52">
        <f t="shared" ref="AL1240" si="7983">AK1245</f>
        <v>1409395.9556502979</v>
      </c>
      <c r="AM1240" s="52">
        <f t="shared" ref="AM1240" si="7984">AL1245</f>
        <v>1409395.9556502979</v>
      </c>
      <c r="AN1240" s="52">
        <f t="shared" ref="AN1240" si="7985">AM1245</f>
        <v>1409395.9556502979</v>
      </c>
      <c r="AO1240" s="52">
        <f t="shared" ref="AO1240" si="7986">AN1245</f>
        <v>1409395.9556502979</v>
      </c>
      <c r="AP1240" s="52">
        <f t="shared" ref="AP1240" si="7987">AO1245</f>
        <v>1409395.9556502979</v>
      </c>
      <c r="AQ1240" s="52">
        <f t="shared" ref="AQ1240" si="7988">AP1245</f>
        <v>1409395.9556502979</v>
      </c>
      <c r="AR1240" s="52">
        <f t="shared" ref="AR1240" si="7989">AQ1245</f>
        <v>1409395.9556502979</v>
      </c>
      <c r="AS1240" s="52">
        <f t="shared" ref="AS1240" si="7990">AR1245</f>
        <v>1409395.9556502979</v>
      </c>
      <c r="AT1240" s="52">
        <f t="shared" ref="AT1240" si="7991">AS1245</f>
        <v>1409395.9556502979</v>
      </c>
      <c r="AU1240" s="52">
        <f t="shared" ref="AU1240" si="7992">AT1245</f>
        <v>1409395.9556502979</v>
      </c>
      <c r="AV1240" s="52">
        <f t="shared" ref="AV1240" si="7993">AU1245</f>
        <v>1409395.9556502979</v>
      </c>
      <c r="AW1240" s="52">
        <f t="shared" ref="AW1240" si="7994">AV1245</f>
        <v>1409395.9556502979</v>
      </c>
      <c r="AX1240" s="52">
        <f t="shared" ref="AX1240" si="7995">AW1245</f>
        <v>1409395.9556502979</v>
      </c>
      <c r="AY1240" s="52">
        <f t="shared" ref="AY1240" si="7996">AX1245</f>
        <v>1409395.9556502979</v>
      </c>
      <c r="AZ1240" s="52">
        <f t="shared" ref="AZ1240" si="7997">AY1245</f>
        <v>1409395.9556502979</v>
      </c>
      <c r="BA1240" s="52">
        <f t="shared" ref="BA1240" si="7998">AZ1245</f>
        <v>1409395.9556502979</v>
      </c>
      <c r="BB1240" s="52">
        <f t="shared" ref="BB1240" si="7999">BA1245</f>
        <v>1409395.9556502979</v>
      </c>
      <c r="BC1240" s="52">
        <f t="shared" ref="BC1240" si="8000">BB1245</f>
        <v>1409395.9556502979</v>
      </c>
      <c r="BD1240" s="52">
        <f t="shared" ref="BD1240" si="8001">BC1245</f>
        <v>1409395.9556502979</v>
      </c>
      <c r="BE1240" s="52">
        <f t="shared" ref="BE1240" si="8002">BD1245</f>
        <v>1409395.9556502979</v>
      </c>
      <c r="BF1240" s="52">
        <f t="shared" ref="BF1240" si="8003">BE1245</f>
        <v>1409395.9556502979</v>
      </c>
      <c r="BG1240" s="52">
        <f t="shared" ref="BG1240" si="8004">BF1245</f>
        <v>1409395.9556502979</v>
      </c>
      <c r="BH1240" s="52">
        <f t="shared" ref="BH1240" si="8005">BG1245</f>
        <v>1409395.9556502979</v>
      </c>
      <c r="BI1240" s="52">
        <f t="shared" ref="BI1240" si="8006">BH1245</f>
        <v>1409395.9556502979</v>
      </c>
      <c r="BJ1240" s="52">
        <f t="shared" ref="BJ1240" si="8007">BI1245</f>
        <v>1409395.9556502979</v>
      </c>
      <c r="BK1240" s="52">
        <f t="shared" ref="BK1240" si="8008">BJ1245</f>
        <v>1409395.9556502979</v>
      </c>
      <c r="BL1240" s="52">
        <f t="shared" ref="BL1240" si="8009">BK1245</f>
        <v>1409395.9556502979</v>
      </c>
      <c r="BM1240" s="52">
        <f t="shared" ref="BM1240" si="8010">BL1245</f>
        <v>1409395.9556502979</v>
      </c>
      <c r="BN1240" s="52">
        <f t="shared" ref="BN1240" si="8011">BM1245</f>
        <v>1409395.9556502979</v>
      </c>
      <c r="BO1240" s="52">
        <f t="shared" ref="BO1240" si="8012">BN1245</f>
        <v>1409395.9556502979</v>
      </c>
      <c r="BP1240" s="52">
        <f t="shared" ref="BP1240" si="8013">BO1245</f>
        <v>1409395.9556502979</v>
      </c>
      <c r="BQ1240" s="52">
        <f t="shared" ref="BQ1240" si="8014">BP1245</f>
        <v>1409395.9556502979</v>
      </c>
      <c r="BR1240" s="52">
        <f t="shared" ref="BR1240" si="8015">BQ1245</f>
        <v>1409395.9556502979</v>
      </c>
      <c r="BS1240" s="52">
        <f t="shared" ref="BS1240" si="8016">BR1245</f>
        <v>1409395.9556502979</v>
      </c>
      <c r="BT1240" s="52">
        <f t="shared" ref="BT1240" si="8017">BS1245</f>
        <v>1409395.9556502979</v>
      </c>
      <c r="BU1240" s="52">
        <f t="shared" ref="BU1240" si="8018">BT1245</f>
        <v>1409395.9556502979</v>
      </c>
      <c r="BV1240" s="52">
        <f t="shared" ref="BV1240" si="8019">BU1245</f>
        <v>1409395.9556502979</v>
      </c>
      <c r="BW1240" s="52">
        <f t="shared" ref="BW1240" si="8020">BV1245</f>
        <v>1409395.9556502979</v>
      </c>
      <c r="BX1240" s="52">
        <f t="shared" ref="BX1240" si="8021">BW1245</f>
        <v>1409395.9556502979</v>
      </c>
      <c r="BY1240" s="52">
        <f t="shared" ref="BY1240" si="8022">BX1245</f>
        <v>1409395.9556502979</v>
      </c>
      <c r="BZ1240" s="52">
        <f t="shared" ref="BZ1240" si="8023">BY1245</f>
        <v>1409395.9556502979</v>
      </c>
      <c r="CA1240" s="52">
        <f t="shared" ref="CA1240" si="8024">BZ1245</f>
        <v>1409395.9556502979</v>
      </c>
      <c r="CB1240" s="52">
        <f t="shared" ref="CB1240" si="8025">CA1245</f>
        <v>1409395.9556502979</v>
      </c>
      <c r="CC1240" s="52">
        <f t="shared" ref="CC1240" si="8026">CB1245</f>
        <v>1409395.9556502979</v>
      </c>
      <c r="CD1240" s="52">
        <f t="shared" ref="CD1240" si="8027">CC1245</f>
        <v>1409395.9556502979</v>
      </c>
      <c r="CE1240" s="52">
        <f t="shared" ref="CE1240" si="8028">CD1245</f>
        <v>1409395.9556502979</v>
      </c>
      <c r="CF1240" s="52">
        <f t="shared" ref="CF1240" si="8029">CE1245</f>
        <v>1409395.9556502979</v>
      </c>
      <c r="CG1240" s="52">
        <f t="shared" ref="CG1240" si="8030">CF1245</f>
        <v>1409395.9556502979</v>
      </c>
      <c r="CH1240" s="52">
        <f t="shared" ref="CH1240" si="8031">CG1245</f>
        <v>1409395.9556502979</v>
      </c>
      <c r="CI1240" s="52">
        <f t="shared" ref="CI1240" si="8032">CH1245</f>
        <v>1409395.9556502979</v>
      </c>
      <c r="CJ1240" s="52">
        <f t="shared" ref="CJ1240" si="8033">CI1245</f>
        <v>1409395.9556502979</v>
      </c>
      <c r="CK1240" s="52">
        <f t="shared" ref="CK1240" si="8034">CJ1245</f>
        <v>1409395.9556502979</v>
      </c>
      <c r="CL1240" s="52">
        <f t="shared" ref="CL1240" si="8035">CK1245</f>
        <v>1409395.9556502979</v>
      </c>
      <c r="CM1240" s="52">
        <f t="shared" ref="CM1240" si="8036">CL1245</f>
        <v>1409395.9556502979</v>
      </c>
      <c r="CN1240" s="52">
        <f t="shared" ref="CN1240" si="8037">CM1245</f>
        <v>1409395.9556502979</v>
      </c>
      <c r="CO1240" s="52">
        <f t="shared" ref="CO1240" si="8038">CN1245</f>
        <v>1409395.9556502979</v>
      </c>
    </row>
    <row r="1241" spans="1:93">
      <c r="A1241" s="10"/>
      <c r="B1241" s="10"/>
      <c r="C1241" s="17" t="s">
        <v>1116</v>
      </c>
      <c r="D1241" s="10"/>
      <c r="E1241" s="10"/>
      <c r="F1241" s="10"/>
      <c r="G1241" s="134" t="str">
        <f>Monetary_Unit</f>
        <v>тыс. руб.</v>
      </c>
      <c r="H1241" s="10"/>
      <c r="I1241" s="23">
        <f>SUM(L1241:CO1241)</f>
        <v>1409395.9556502979</v>
      </c>
      <c r="J1241" s="10"/>
      <c r="K1241" s="10"/>
      <c r="L1241" s="52">
        <f t="shared" ref="L1241" si="8039">L1234</f>
        <v>31406.153379286916</v>
      </c>
      <c r="M1241" s="52">
        <f t="shared" ref="M1241:BX1241" si="8040">M1234</f>
        <v>31851.960190507532</v>
      </c>
      <c r="N1241" s="52">
        <f t="shared" si="8040"/>
        <v>32304.095179220327</v>
      </c>
      <c r="O1241" s="52">
        <f t="shared" si="8040"/>
        <v>32762.648173192309</v>
      </c>
      <c r="P1241" s="52">
        <f t="shared" si="8040"/>
        <v>275591.46580799518</v>
      </c>
      <c r="Q1241" s="52">
        <f t="shared" si="8040"/>
        <v>278306.9805620276</v>
      </c>
      <c r="R1241" s="52">
        <f t="shared" si="8040"/>
        <v>281049.25238692126</v>
      </c>
      <c r="S1241" s="52">
        <f t="shared" si="8040"/>
        <v>191482.31721048584</v>
      </c>
      <c r="T1241" s="52">
        <f t="shared" si="8040"/>
        <v>6580.6543476469105</v>
      </c>
      <c r="U1241" s="52">
        <f t="shared" si="8040"/>
        <v>10424.828632825871</v>
      </c>
      <c r="V1241" s="52">
        <f t="shared" si="8040"/>
        <v>14389.449341359013</v>
      </c>
      <c r="W1241" s="52">
        <f t="shared" si="8040"/>
        <v>18277.447721111192</v>
      </c>
      <c r="X1241" s="52">
        <f t="shared" si="8040"/>
        <v>24140.856838778414</v>
      </c>
      <c r="Y1241" s="52">
        <f t="shared" si="8040"/>
        <v>32309.00587388641</v>
      </c>
      <c r="Z1241" s="52">
        <f t="shared" si="8040"/>
        <v>41003.327342873301</v>
      </c>
      <c r="AA1241" s="52">
        <f t="shared" si="8040"/>
        <v>49424.775082291708</v>
      </c>
      <c r="AB1241" s="52">
        <f t="shared" si="8040"/>
        <v>58090.737579888082</v>
      </c>
      <c r="AC1241" s="52">
        <f t="shared" si="8040"/>
        <v>0</v>
      </c>
      <c r="AD1241" s="52">
        <f t="shared" si="8040"/>
        <v>0</v>
      </c>
      <c r="AE1241" s="52">
        <f t="shared" si="8040"/>
        <v>0</v>
      </c>
      <c r="AF1241" s="52">
        <f t="shared" si="8040"/>
        <v>0</v>
      </c>
      <c r="AG1241" s="52">
        <f t="shared" si="8040"/>
        <v>0</v>
      </c>
      <c r="AH1241" s="52">
        <f t="shared" si="8040"/>
        <v>0</v>
      </c>
      <c r="AI1241" s="52">
        <f t="shared" si="8040"/>
        <v>0</v>
      </c>
      <c r="AJ1241" s="52">
        <f t="shared" si="8040"/>
        <v>0</v>
      </c>
      <c r="AK1241" s="52">
        <f t="shared" si="8040"/>
        <v>0</v>
      </c>
      <c r="AL1241" s="52">
        <f t="shared" si="8040"/>
        <v>0</v>
      </c>
      <c r="AM1241" s="52">
        <f t="shared" si="8040"/>
        <v>0</v>
      </c>
      <c r="AN1241" s="52">
        <f t="shared" si="8040"/>
        <v>0</v>
      </c>
      <c r="AO1241" s="52">
        <f t="shared" si="8040"/>
        <v>0</v>
      </c>
      <c r="AP1241" s="52">
        <f t="shared" si="8040"/>
        <v>0</v>
      </c>
      <c r="AQ1241" s="52">
        <f t="shared" si="8040"/>
        <v>0</v>
      </c>
      <c r="AR1241" s="52">
        <f t="shared" si="8040"/>
        <v>0</v>
      </c>
      <c r="AS1241" s="52">
        <f t="shared" si="8040"/>
        <v>0</v>
      </c>
      <c r="AT1241" s="52">
        <f t="shared" si="8040"/>
        <v>0</v>
      </c>
      <c r="AU1241" s="52">
        <f t="shared" si="8040"/>
        <v>0</v>
      </c>
      <c r="AV1241" s="52">
        <f t="shared" si="8040"/>
        <v>0</v>
      </c>
      <c r="AW1241" s="52">
        <f t="shared" si="8040"/>
        <v>0</v>
      </c>
      <c r="AX1241" s="52">
        <f t="shared" si="8040"/>
        <v>0</v>
      </c>
      <c r="AY1241" s="52">
        <f t="shared" si="8040"/>
        <v>0</v>
      </c>
      <c r="AZ1241" s="52">
        <f t="shared" si="8040"/>
        <v>0</v>
      </c>
      <c r="BA1241" s="52">
        <f t="shared" si="8040"/>
        <v>0</v>
      </c>
      <c r="BB1241" s="52">
        <f t="shared" si="8040"/>
        <v>0</v>
      </c>
      <c r="BC1241" s="52">
        <f t="shared" si="8040"/>
        <v>0</v>
      </c>
      <c r="BD1241" s="52">
        <f t="shared" si="8040"/>
        <v>0</v>
      </c>
      <c r="BE1241" s="52">
        <f t="shared" si="8040"/>
        <v>0</v>
      </c>
      <c r="BF1241" s="52">
        <f t="shared" si="8040"/>
        <v>0</v>
      </c>
      <c r="BG1241" s="52">
        <f t="shared" si="8040"/>
        <v>0</v>
      </c>
      <c r="BH1241" s="52">
        <f t="shared" si="8040"/>
        <v>0</v>
      </c>
      <c r="BI1241" s="52">
        <f t="shared" si="8040"/>
        <v>0</v>
      </c>
      <c r="BJ1241" s="52">
        <f t="shared" si="8040"/>
        <v>0</v>
      </c>
      <c r="BK1241" s="52">
        <f t="shared" si="8040"/>
        <v>0</v>
      </c>
      <c r="BL1241" s="52">
        <f t="shared" si="8040"/>
        <v>0</v>
      </c>
      <c r="BM1241" s="52">
        <f t="shared" si="8040"/>
        <v>0</v>
      </c>
      <c r="BN1241" s="52">
        <f t="shared" si="8040"/>
        <v>0</v>
      </c>
      <c r="BO1241" s="52">
        <f t="shared" si="8040"/>
        <v>0</v>
      </c>
      <c r="BP1241" s="52">
        <f t="shared" si="8040"/>
        <v>0</v>
      </c>
      <c r="BQ1241" s="52">
        <f t="shared" si="8040"/>
        <v>0</v>
      </c>
      <c r="BR1241" s="52">
        <f t="shared" si="8040"/>
        <v>0</v>
      </c>
      <c r="BS1241" s="52">
        <f t="shared" si="8040"/>
        <v>0</v>
      </c>
      <c r="BT1241" s="52">
        <f t="shared" si="8040"/>
        <v>0</v>
      </c>
      <c r="BU1241" s="52">
        <f t="shared" si="8040"/>
        <v>0</v>
      </c>
      <c r="BV1241" s="52">
        <f t="shared" si="8040"/>
        <v>0</v>
      </c>
      <c r="BW1241" s="52">
        <f t="shared" si="8040"/>
        <v>0</v>
      </c>
      <c r="BX1241" s="52">
        <f t="shared" si="8040"/>
        <v>0</v>
      </c>
      <c r="BY1241" s="52">
        <f t="shared" ref="BY1241:CO1241" si="8041">BY1234</f>
        <v>0</v>
      </c>
      <c r="BZ1241" s="52">
        <f t="shared" si="8041"/>
        <v>0</v>
      </c>
      <c r="CA1241" s="52">
        <f t="shared" si="8041"/>
        <v>0</v>
      </c>
      <c r="CB1241" s="52">
        <f t="shared" si="8041"/>
        <v>0</v>
      </c>
      <c r="CC1241" s="52">
        <f t="shared" si="8041"/>
        <v>0</v>
      </c>
      <c r="CD1241" s="52">
        <f t="shared" si="8041"/>
        <v>0</v>
      </c>
      <c r="CE1241" s="52">
        <f t="shared" si="8041"/>
        <v>0</v>
      </c>
      <c r="CF1241" s="52">
        <f t="shared" si="8041"/>
        <v>0</v>
      </c>
      <c r="CG1241" s="52">
        <f t="shared" si="8041"/>
        <v>0</v>
      </c>
      <c r="CH1241" s="52">
        <f t="shared" si="8041"/>
        <v>0</v>
      </c>
      <c r="CI1241" s="52">
        <f t="shared" si="8041"/>
        <v>0</v>
      </c>
      <c r="CJ1241" s="52">
        <f t="shared" si="8041"/>
        <v>0</v>
      </c>
      <c r="CK1241" s="52">
        <f t="shared" si="8041"/>
        <v>0</v>
      </c>
      <c r="CL1241" s="52">
        <f t="shared" si="8041"/>
        <v>0</v>
      </c>
      <c r="CM1241" s="52">
        <f t="shared" si="8041"/>
        <v>0</v>
      </c>
      <c r="CN1241" s="52">
        <f t="shared" si="8041"/>
        <v>0</v>
      </c>
      <c r="CO1241" s="52">
        <f t="shared" si="8041"/>
        <v>0</v>
      </c>
    </row>
    <row r="1242" spans="1:93">
      <c r="A1242" s="10"/>
      <c r="B1242" s="10"/>
      <c r="C1242" s="17" t="s">
        <v>1117</v>
      </c>
      <c r="D1242" s="10"/>
      <c r="E1242" s="184">
        <f xml:space="preserve"> Предпосылки!E152+Предпосылки!E153*(1+VAT_Rate)</f>
        <v>0</v>
      </c>
      <c r="F1242" s="10"/>
      <c r="G1242" s="134" t="str">
        <f>Monetary_Unit</f>
        <v>тыс. руб.</v>
      </c>
      <c r="H1242" s="10"/>
      <c r="I1242" s="23">
        <f t="shared" ref="I1242:I1244" si="8042">SUM(L1242:CO1242)</f>
        <v>0</v>
      </c>
      <c r="J1242" s="10"/>
      <c r="K1242" s="10"/>
      <c r="L1242" s="452">
        <f xml:space="preserve"> $E1242 * L$314</f>
        <v>0</v>
      </c>
      <c r="M1242" s="452">
        <f t="shared" ref="M1242:BX1243" si="8043" xml:space="preserve"> $E1242 * M$314</f>
        <v>0</v>
      </c>
      <c r="N1242" s="452">
        <f t="shared" si="8043"/>
        <v>0</v>
      </c>
      <c r="O1242" s="452">
        <f t="shared" si="8043"/>
        <v>0</v>
      </c>
      <c r="P1242" s="452">
        <f t="shared" si="8043"/>
        <v>0</v>
      </c>
      <c r="Q1242" s="452">
        <f t="shared" si="8043"/>
        <v>0</v>
      </c>
      <c r="R1242" s="452">
        <f t="shared" si="8043"/>
        <v>0</v>
      </c>
      <c r="S1242" s="452">
        <f t="shared" si="8043"/>
        <v>0</v>
      </c>
      <c r="T1242" s="452">
        <f t="shared" si="8043"/>
        <v>0</v>
      </c>
      <c r="U1242" s="452">
        <f t="shared" si="8043"/>
        <v>0</v>
      </c>
      <c r="V1242" s="452">
        <f t="shared" si="8043"/>
        <v>0</v>
      </c>
      <c r="W1242" s="452">
        <f t="shared" si="8043"/>
        <v>0</v>
      </c>
      <c r="X1242" s="452">
        <f t="shared" si="8043"/>
        <v>0</v>
      </c>
      <c r="Y1242" s="452">
        <f t="shared" si="8043"/>
        <v>0</v>
      </c>
      <c r="Z1242" s="452">
        <f t="shared" si="8043"/>
        <v>0</v>
      </c>
      <c r="AA1242" s="452">
        <f t="shared" si="8043"/>
        <v>0</v>
      </c>
      <c r="AB1242" s="452">
        <f t="shared" si="8043"/>
        <v>0</v>
      </c>
      <c r="AC1242" s="452">
        <f t="shared" si="8043"/>
        <v>0</v>
      </c>
      <c r="AD1242" s="452">
        <f t="shared" si="8043"/>
        <v>0</v>
      </c>
      <c r="AE1242" s="452">
        <f t="shared" si="8043"/>
        <v>0</v>
      </c>
      <c r="AF1242" s="452">
        <f t="shared" si="8043"/>
        <v>0</v>
      </c>
      <c r="AG1242" s="452">
        <f t="shared" si="8043"/>
        <v>0</v>
      </c>
      <c r="AH1242" s="452">
        <f t="shared" si="8043"/>
        <v>0</v>
      </c>
      <c r="AI1242" s="452">
        <f t="shared" si="8043"/>
        <v>0</v>
      </c>
      <c r="AJ1242" s="452">
        <f t="shared" si="8043"/>
        <v>0</v>
      </c>
      <c r="AK1242" s="452">
        <f t="shared" si="8043"/>
        <v>0</v>
      </c>
      <c r="AL1242" s="452">
        <f t="shared" si="8043"/>
        <v>0</v>
      </c>
      <c r="AM1242" s="452">
        <f t="shared" si="8043"/>
        <v>0</v>
      </c>
      <c r="AN1242" s="452">
        <f t="shared" si="8043"/>
        <v>0</v>
      </c>
      <c r="AO1242" s="452">
        <f t="shared" si="8043"/>
        <v>0</v>
      </c>
      <c r="AP1242" s="452">
        <f t="shared" si="8043"/>
        <v>0</v>
      </c>
      <c r="AQ1242" s="452">
        <f t="shared" si="8043"/>
        <v>0</v>
      </c>
      <c r="AR1242" s="452">
        <f t="shared" si="8043"/>
        <v>0</v>
      </c>
      <c r="AS1242" s="452">
        <f t="shared" si="8043"/>
        <v>0</v>
      </c>
      <c r="AT1242" s="452">
        <f t="shared" si="8043"/>
        <v>0</v>
      </c>
      <c r="AU1242" s="452">
        <f t="shared" si="8043"/>
        <v>0</v>
      </c>
      <c r="AV1242" s="452">
        <f t="shared" si="8043"/>
        <v>0</v>
      </c>
      <c r="AW1242" s="452">
        <f t="shared" si="8043"/>
        <v>0</v>
      </c>
      <c r="AX1242" s="452">
        <f t="shared" si="8043"/>
        <v>0</v>
      </c>
      <c r="AY1242" s="452">
        <f t="shared" si="8043"/>
        <v>0</v>
      </c>
      <c r="AZ1242" s="452">
        <f t="shared" si="8043"/>
        <v>0</v>
      </c>
      <c r="BA1242" s="452">
        <f t="shared" si="8043"/>
        <v>0</v>
      </c>
      <c r="BB1242" s="452">
        <f t="shared" si="8043"/>
        <v>0</v>
      </c>
      <c r="BC1242" s="452">
        <f t="shared" si="8043"/>
        <v>0</v>
      </c>
      <c r="BD1242" s="452">
        <f t="shared" si="8043"/>
        <v>0</v>
      </c>
      <c r="BE1242" s="452">
        <f t="shared" si="8043"/>
        <v>0</v>
      </c>
      <c r="BF1242" s="452">
        <f t="shared" si="8043"/>
        <v>0</v>
      </c>
      <c r="BG1242" s="452">
        <f t="shared" si="8043"/>
        <v>0</v>
      </c>
      <c r="BH1242" s="452">
        <f t="shared" si="8043"/>
        <v>0</v>
      </c>
      <c r="BI1242" s="452">
        <f t="shared" si="8043"/>
        <v>0</v>
      </c>
      <c r="BJ1242" s="452">
        <f t="shared" si="8043"/>
        <v>0</v>
      </c>
      <c r="BK1242" s="452">
        <f t="shared" si="8043"/>
        <v>0</v>
      </c>
      <c r="BL1242" s="452">
        <f t="shared" si="8043"/>
        <v>0</v>
      </c>
      <c r="BM1242" s="452">
        <f t="shared" si="8043"/>
        <v>0</v>
      </c>
      <c r="BN1242" s="452">
        <f t="shared" si="8043"/>
        <v>0</v>
      </c>
      <c r="BO1242" s="452">
        <f t="shared" si="8043"/>
        <v>0</v>
      </c>
      <c r="BP1242" s="452">
        <f t="shared" si="8043"/>
        <v>0</v>
      </c>
      <c r="BQ1242" s="452">
        <f t="shared" si="8043"/>
        <v>0</v>
      </c>
      <c r="BR1242" s="452">
        <f t="shared" si="8043"/>
        <v>0</v>
      </c>
      <c r="BS1242" s="452">
        <f t="shared" si="8043"/>
        <v>0</v>
      </c>
      <c r="BT1242" s="452">
        <f t="shared" si="8043"/>
        <v>0</v>
      </c>
      <c r="BU1242" s="452">
        <f t="shared" si="8043"/>
        <v>0</v>
      </c>
      <c r="BV1242" s="452">
        <f t="shared" si="8043"/>
        <v>0</v>
      </c>
      <c r="BW1242" s="452">
        <f t="shared" si="8043"/>
        <v>0</v>
      </c>
      <c r="BX1242" s="452">
        <f t="shared" si="8043"/>
        <v>0</v>
      </c>
      <c r="BY1242" s="452">
        <f t="shared" ref="BY1242:CO1243" si="8044" xml:space="preserve"> $E1242 * BY$314</f>
        <v>0</v>
      </c>
      <c r="BZ1242" s="452">
        <f t="shared" si="8044"/>
        <v>0</v>
      </c>
      <c r="CA1242" s="452">
        <f t="shared" si="8044"/>
        <v>0</v>
      </c>
      <c r="CB1242" s="452">
        <f t="shared" si="8044"/>
        <v>0</v>
      </c>
      <c r="CC1242" s="452">
        <f t="shared" si="8044"/>
        <v>0</v>
      </c>
      <c r="CD1242" s="452">
        <f t="shared" si="8044"/>
        <v>0</v>
      </c>
      <c r="CE1242" s="452">
        <f t="shared" si="8044"/>
        <v>0</v>
      </c>
      <c r="CF1242" s="452">
        <f t="shared" si="8044"/>
        <v>0</v>
      </c>
      <c r="CG1242" s="452">
        <f t="shared" si="8044"/>
        <v>0</v>
      </c>
      <c r="CH1242" s="452">
        <f t="shared" si="8044"/>
        <v>0</v>
      </c>
      <c r="CI1242" s="452">
        <f t="shared" si="8044"/>
        <v>0</v>
      </c>
      <c r="CJ1242" s="452">
        <f t="shared" si="8044"/>
        <v>0</v>
      </c>
      <c r="CK1242" s="452">
        <f t="shared" si="8044"/>
        <v>0</v>
      </c>
      <c r="CL1242" s="452">
        <f t="shared" si="8044"/>
        <v>0</v>
      </c>
      <c r="CM1242" s="452">
        <f t="shared" si="8044"/>
        <v>0</v>
      </c>
      <c r="CN1242" s="452">
        <f t="shared" si="8044"/>
        <v>0</v>
      </c>
      <c r="CO1242" s="452">
        <f t="shared" si="8044"/>
        <v>0</v>
      </c>
    </row>
    <row r="1243" spans="1:93">
      <c r="A1243" s="10"/>
      <c r="B1243" s="10"/>
      <c r="C1243" s="17" t="s">
        <v>1118</v>
      </c>
      <c r="D1243" s="10"/>
      <c r="E1243" s="184">
        <f xml:space="preserve"> Предпосылки!E154</f>
        <v>0</v>
      </c>
      <c r="F1243" s="10"/>
      <c r="G1243" s="134" t="str">
        <f>Monetary_Unit</f>
        <v>тыс. руб.</v>
      </c>
      <c r="H1243" s="10"/>
      <c r="I1243" s="23">
        <f t="shared" si="8042"/>
        <v>0</v>
      </c>
      <c r="J1243" s="10"/>
      <c r="K1243" s="10"/>
      <c r="L1243" s="452">
        <f xml:space="preserve"> $E1243 * L$314</f>
        <v>0</v>
      </c>
      <c r="M1243" s="452">
        <f t="shared" si="8043"/>
        <v>0</v>
      </c>
      <c r="N1243" s="452">
        <f t="shared" si="8043"/>
        <v>0</v>
      </c>
      <c r="O1243" s="452">
        <f t="shared" si="8043"/>
        <v>0</v>
      </c>
      <c r="P1243" s="452">
        <f t="shared" si="8043"/>
        <v>0</v>
      </c>
      <c r="Q1243" s="452">
        <f t="shared" si="8043"/>
        <v>0</v>
      </c>
      <c r="R1243" s="452">
        <f t="shared" si="8043"/>
        <v>0</v>
      </c>
      <c r="S1243" s="452">
        <f t="shared" si="8043"/>
        <v>0</v>
      </c>
      <c r="T1243" s="452">
        <f t="shared" si="8043"/>
        <v>0</v>
      </c>
      <c r="U1243" s="452">
        <f t="shared" si="8043"/>
        <v>0</v>
      </c>
      <c r="V1243" s="452">
        <f t="shared" si="8043"/>
        <v>0</v>
      </c>
      <c r="W1243" s="452">
        <f t="shared" si="8043"/>
        <v>0</v>
      </c>
      <c r="X1243" s="452">
        <f t="shared" si="8043"/>
        <v>0</v>
      </c>
      <c r="Y1243" s="452">
        <f t="shared" si="8043"/>
        <v>0</v>
      </c>
      <c r="Z1243" s="452">
        <f t="shared" si="8043"/>
        <v>0</v>
      </c>
      <c r="AA1243" s="452">
        <f t="shared" si="8043"/>
        <v>0</v>
      </c>
      <c r="AB1243" s="452">
        <f t="shared" si="8043"/>
        <v>0</v>
      </c>
      <c r="AC1243" s="452">
        <f t="shared" si="8043"/>
        <v>0</v>
      </c>
      <c r="AD1243" s="452">
        <f t="shared" si="8043"/>
        <v>0</v>
      </c>
      <c r="AE1243" s="452">
        <f t="shared" si="8043"/>
        <v>0</v>
      </c>
      <c r="AF1243" s="452">
        <f t="shared" si="8043"/>
        <v>0</v>
      </c>
      <c r="AG1243" s="452">
        <f t="shared" si="8043"/>
        <v>0</v>
      </c>
      <c r="AH1243" s="452">
        <f t="shared" si="8043"/>
        <v>0</v>
      </c>
      <c r="AI1243" s="452">
        <f t="shared" si="8043"/>
        <v>0</v>
      </c>
      <c r="AJ1243" s="452">
        <f t="shared" si="8043"/>
        <v>0</v>
      </c>
      <c r="AK1243" s="452">
        <f t="shared" si="8043"/>
        <v>0</v>
      </c>
      <c r="AL1243" s="452">
        <f t="shared" si="8043"/>
        <v>0</v>
      </c>
      <c r="AM1243" s="452">
        <f t="shared" si="8043"/>
        <v>0</v>
      </c>
      <c r="AN1243" s="452">
        <f t="shared" si="8043"/>
        <v>0</v>
      </c>
      <c r="AO1243" s="452">
        <f t="shared" si="8043"/>
        <v>0</v>
      </c>
      <c r="AP1243" s="452">
        <f t="shared" si="8043"/>
        <v>0</v>
      </c>
      <c r="AQ1243" s="452">
        <f t="shared" si="8043"/>
        <v>0</v>
      </c>
      <c r="AR1243" s="452">
        <f t="shared" si="8043"/>
        <v>0</v>
      </c>
      <c r="AS1243" s="452">
        <f t="shared" si="8043"/>
        <v>0</v>
      </c>
      <c r="AT1243" s="452">
        <f t="shared" si="8043"/>
        <v>0</v>
      </c>
      <c r="AU1243" s="452">
        <f t="shared" si="8043"/>
        <v>0</v>
      </c>
      <c r="AV1243" s="452">
        <f t="shared" si="8043"/>
        <v>0</v>
      </c>
      <c r="AW1243" s="452">
        <f t="shared" si="8043"/>
        <v>0</v>
      </c>
      <c r="AX1243" s="452">
        <f t="shared" si="8043"/>
        <v>0</v>
      </c>
      <c r="AY1243" s="452">
        <f t="shared" si="8043"/>
        <v>0</v>
      </c>
      <c r="AZ1243" s="452">
        <f t="shared" si="8043"/>
        <v>0</v>
      </c>
      <c r="BA1243" s="452">
        <f t="shared" si="8043"/>
        <v>0</v>
      </c>
      <c r="BB1243" s="452">
        <f t="shared" si="8043"/>
        <v>0</v>
      </c>
      <c r="BC1243" s="452">
        <f t="shared" si="8043"/>
        <v>0</v>
      </c>
      <c r="BD1243" s="452">
        <f t="shared" si="8043"/>
        <v>0</v>
      </c>
      <c r="BE1243" s="452">
        <f t="shared" si="8043"/>
        <v>0</v>
      </c>
      <c r="BF1243" s="452">
        <f t="shared" si="8043"/>
        <v>0</v>
      </c>
      <c r="BG1243" s="452">
        <f t="shared" si="8043"/>
        <v>0</v>
      </c>
      <c r="BH1243" s="452">
        <f t="shared" si="8043"/>
        <v>0</v>
      </c>
      <c r="BI1243" s="452">
        <f t="shared" si="8043"/>
        <v>0</v>
      </c>
      <c r="BJ1243" s="452">
        <f t="shared" si="8043"/>
        <v>0</v>
      </c>
      <c r="BK1243" s="452">
        <f t="shared" si="8043"/>
        <v>0</v>
      </c>
      <c r="BL1243" s="452">
        <f t="shared" si="8043"/>
        <v>0</v>
      </c>
      <c r="BM1243" s="452">
        <f t="shared" si="8043"/>
        <v>0</v>
      </c>
      <c r="BN1243" s="452">
        <f t="shared" si="8043"/>
        <v>0</v>
      </c>
      <c r="BO1243" s="452">
        <f t="shared" si="8043"/>
        <v>0</v>
      </c>
      <c r="BP1243" s="452">
        <f t="shared" si="8043"/>
        <v>0</v>
      </c>
      <c r="BQ1243" s="452">
        <f t="shared" si="8043"/>
        <v>0</v>
      </c>
      <c r="BR1243" s="452">
        <f t="shared" si="8043"/>
        <v>0</v>
      </c>
      <c r="BS1243" s="452">
        <f t="shared" si="8043"/>
        <v>0</v>
      </c>
      <c r="BT1243" s="452">
        <f t="shared" si="8043"/>
        <v>0</v>
      </c>
      <c r="BU1243" s="452">
        <f t="shared" si="8043"/>
        <v>0</v>
      </c>
      <c r="BV1243" s="452">
        <f t="shared" si="8043"/>
        <v>0</v>
      </c>
      <c r="BW1243" s="452">
        <f t="shared" si="8043"/>
        <v>0</v>
      </c>
      <c r="BX1243" s="452">
        <f t="shared" si="8043"/>
        <v>0</v>
      </c>
      <c r="BY1243" s="452">
        <f t="shared" si="8044"/>
        <v>0</v>
      </c>
      <c r="BZ1243" s="452">
        <f t="shared" si="8044"/>
        <v>0</v>
      </c>
      <c r="CA1243" s="452">
        <f t="shared" si="8044"/>
        <v>0</v>
      </c>
      <c r="CB1243" s="452">
        <f t="shared" si="8044"/>
        <v>0</v>
      </c>
      <c r="CC1243" s="452">
        <f t="shared" si="8044"/>
        <v>0</v>
      </c>
      <c r="CD1243" s="452">
        <f t="shared" si="8044"/>
        <v>0</v>
      </c>
      <c r="CE1243" s="452">
        <f t="shared" si="8044"/>
        <v>0</v>
      </c>
      <c r="CF1243" s="452">
        <f t="shared" si="8044"/>
        <v>0</v>
      </c>
      <c r="CG1243" s="452">
        <f t="shared" si="8044"/>
        <v>0</v>
      </c>
      <c r="CH1243" s="452">
        <f t="shared" si="8044"/>
        <v>0</v>
      </c>
      <c r="CI1243" s="452">
        <f t="shared" si="8044"/>
        <v>0</v>
      </c>
      <c r="CJ1243" s="452">
        <f t="shared" si="8044"/>
        <v>0</v>
      </c>
      <c r="CK1243" s="452">
        <f t="shared" si="8044"/>
        <v>0</v>
      </c>
      <c r="CL1243" s="452">
        <f t="shared" si="8044"/>
        <v>0</v>
      </c>
      <c r="CM1243" s="452">
        <f t="shared" si="8044"/>
        <v>0</v>
      </c>
      <c r="CN1243" s="452">
        <f t="shared" si="8044"/>
        <v>0</v>
      </c>
      <c r="CO1243" s="452">
        <f t="shared" si="8044"/>
        <v>0</v>
      </c>
    </row>
    <row r="1244" spans="1:93">
      <c r="A1244" s="10"/>
      <c r="B1244" s="10"/>
      <c r="C1244" s="17" t="s">
        <v>1208</v>
      </c>
      <c r="D1244" s="10"/>
      <c r="E1244" s="10"/>
      <c r="F1244" s="10"/>
      <c r="G1244" s="134"/>
      <c r="H1244" s="10"/>
      <c r="I1244" s="23">
        <f t="shared" si="8042"/>
        <v>1409395.9556502979</v>
      </c>
      <c r="J1244" s="10"/>
      <c r="K1244" s="10"/>
      <c r="L1244" s="452">
        <f>SUM(L1241:L1243)</f>
        <v>31406.153379286916</v>
      </c>
      <c r="M1244" s="452">
        <f t="shared" ref="M1244:BX1244" si="8045">SUM(M1241:M1243)</f>
        <v>31851.960190507532</v>
      </c>
      <c r="N1244" s="452">
        <f t="shared" si="8045"/>
        <v>32304.095179220327</v>
      </c>
      <c r="O1244" s="452">
        <f t="shared" si="8045"/>
        <v>32762.648173192309</v>
      </c>
      <c r="P1244" s="452">
        <f t="shared" si="8045"/>
        <v>275591.46580799518</v>
      </c>
      <c r="Q1244" s="452">
        <f t="shared" si="8045"/>
        <v>278306.9805620276</v>
      </c>
      <c r="R1244" s="452">
        <f t="shared" si="8045"/>
        <v>281049.25238692126</v>
      </c>
      <c r="S1244" s="452">
        <f t="shared" si="8045"/>
        <v>191482.31721048584</v>
      </c>
      <c r="T1244" s="452">
        <f t="shared" si="8045"/>
        <v>6580.6543476469105</v>
      </c>
      <c r="U1244" s="452">
        <f t="shared" si="8045"/>
        <v>10424.828632825871</v>
      </c>
      <c r="V1244" s="452">
        <f t="shared" si="8045"/>
        <v>14389.449341359013</v>
      </c>
      <c r="W1244" s="452">
        <f t="shared" si="8045"/>
        <v>18277.447721111192</v>
      </c>
      <c r="X1244" s="452">
        <f t="shared" si="8045"/>
        <v>24140.856838778414</v>
      </c>
      <c r="Y1244" s="452">
        <f t="shared" si="8045"/>
        <v>32309.00587388641</v>
      </c>
      <c r="Z1244" s="452">
        <f t="shared" si="8045"/>
        <v>41003.327342873301</v>
      </c>
      <c r="AA1244" s="452">
        <f t="shared" si="8045"/>
        <v>49424.775082291708</v>
      </c>
      <c r="AB1244" s="452">
        <f t="shared" si="8045"/>
        <v>58090.737579888082</v>
      </c>
      <c r="AC1244" s="452">
        <f t="shared" si="8045"/>
        <v>0</v>
      </c>
      <c r="AD1244" s="452">
        <f t="shared" si="8045"/>
        <v>0</v>
      </c>
      <c r="AE1244" s="452">
        <f t="shared" si="8045"/>
        <v>0</v>
      </c>
      <c r="AF1244" s="452">
        <f t="shared" si="8045"/>
        <v>0</v>
      </c>
      <c r="AG1244" s="452">
        <f t="shared" si="8045"/>
        <v>0</v>
      </c>
      <c r="AH1244" s="452">
        <f t="shared" si="8045"/>
        <v>0</v>
      </c>
      <c r="AI1244" s="452">
        <f t="shared" si="8045"/>
        <v>0</v>
      </c>
      <c r="AJ1244" s="452">
        <f t="shared" si="8045"/>
        <v>0</v>
      </c>
      <c r="AK1244" s="452">
        <f t="shared" si="8045"/>
        <v>0</v>
      </c>
      <c r="AL1244" s="452">
        <f t="shared" si="8045"/>
        <v>0</v>
      </c>
      <c r="AM1244" s="452">
        <f t="shared" si="8045"/>
        <v>0</v>
      </c>
      <c r="AN1244" s="452">
        <f t="shared" si="8045"/>
        <v>0</v>
      </c>
      <c r="AO1244" s="452">
        <f t="shared" si="8045"/>
        <v>0</v>
      </c>
      <c r="AP1244" s="452">
        <f t="shared" si="8045"/>
        <v>0</v>
      </c>
      <c r="AQ1244" s="452">
        <f t="shared" si="8045"/>
        <v>0</v>
      </c>
      <c r="AR1244" s="452">
        <f t="shared" si="8045"/>
        <v>0</v>
      </c>
      <c r="AS1244" s="452">
        <f t="shared" si="8045"/>
        <v>0</v>
      </c>
      <c r="AT1244" s="452">
        <f t="shared" si="8045"/>
        <v>0</v>
      </c>
      <c r="AU1244" s="452">
        <f t="shared" si="8045"/>
        <v>0</v>
      </c>
      <c r="AV1244" s="452">
        <f t="shared" si="8045"/>
        <v>0</v>
      </c>
      <c r="AW1244" s="452">
        <f t="shared" si="8045"/>
        <v>0</v>
      </c>
      <c r="AX1244" s="452">
        <f t="shared" si="8045"/>
        <v>0</v>
      </c>
      <c r="AY1244" s="452">
        <f t="shared" si="8045"/>
        <v>0</v>
      </c>
      <c r="AZ1244" s="452">
        <f t="shared" si="8045"/>
        <v>0</v>
      </c>
      <c r="BA1244" s="452">
        <f t="shared" si="8045"/>
        <v>0</v>
      </c>
      <c r="BB1244" s="452">
        <f t="shared" si="8045"/>
        <v>0</v>
      </c>
      <c r="BC1244" s="452">
        <f t="shared" si="8045"/>
        <v>0</v>
      </c>
      <c r="BD1244" s="452">
        <f t="shared" si="8045"/>
        <v>0</v>
      </c>
      <c r="BE1244" s="452">
        <f t="shared" si="8045"/>
        <v>0</v>
      </c>
      <c r="BF1244" s="452">
        <f t="shared" si="8045"/>
        <v>0</v>
      </c>
      <c r="BG1244" s="452">
        <f t="shared" si="8045"/>
        <v>0</v>
      </c>
      <c r="BH1244" s="452">
        <f t="shared" si="8045"/>
        <v>0</v>
      </c>
      <c r="BI1244" s="452">
        <f t="shared" si="8045"/>
        <v>0</v>
      </c>
      <c r="BJ1244" s="452">
        <f t="shared" si="8045"/>
        <v>0</v>
      </c>
      <c r="BK1244" s="452">
        <f t="shared" si="8045"/>
        <v>0</v>
      </c>
      <c r="BL1244" s="452">
        <f t="shared" si="8045"/>
        <v>0</v>
      </c>
      <c r="BM1244" s="452">
        <f t="shared" si="8045"/>
        <v>0</v>
      </c>
      <c r="BN1244" s="452">
        <f t="shared" si="8045"/>
        <v>0</v>
      </c>
      <c r="BO1244" s="452">
        <f t="shared" si="8045"/>
        <v>0</v>
      </c>
      <c r="BP1244" s="452">
        <f t="shared" si="8045"/>
        <v>0</v>
      </c>
      <c r="BQ1244" s="452">
        <f t="shared" si="8045"/>
        <v>0</v>
      </c>
      <c r="BR1244" s="452">
        <f t="shared" si="8045"/>
        <v>0</v>
      </c>
      <c r="BS1244" s="452">
        <f t="shared" si="8045"/>
        <v>0</v>
      </c>
      <c r="BT1244" s="452">
        <f t="shared" si="8045"/>
        <v>0</v>
      </c>
      <c r="BU1244" s="452">
        <f t="shared" si="8045"/>
        <v>0</v>
      </c>
      <c r="BV1244" s="452">
        <f t="shared" si="8045"/>
        <v>0</v>
      </c>
      <c r="BW1244" s="452">
        <f t="shared" si="8045"/>
        <v>0</v>
      </c>
      <c r="BX1244" s="452">
        <f t="shared" si="8045"/>
        <v>0</v>
      </c>
      <c r="BY1244" s="452">
        <f t="shared" ref="BY1244:CO1244" si="8046">SUM(BY1241:BY1243)</f>
        <v>0</v>
      </c>
      <c r="BZ1244" s="452">
        <f t="shared" si="8046"/>
        <v>0</v>
      </c>
      <c r="CA1244" s="452">
        <f t="shared" si="8046"/>
        <v>0</v>
      </c>
      <c r="CB1244" s="452">
        <f t="shared" si="8046"/>
        <v>0</v>
      </c>
      <c r="CC1244" s="452">
        <f t="shared" si="8046"/>
        <v>0</v>
      </c>
      <c r="CD1244" s="452">
        <f t="shared" si="8046"/>
        <v>0</v>
      </c>
      <c r="CE1244" s="452">
        <f t="shared" si="8046"/>
        <v>0</v>
      </c>
      <c r="CF1244" s="452">
        <f t="shared" si="8046"/>
        <v>0</v>
      </c>
      <c r="CG1244" s="452">
        <f t="shared" si="8046"/>
        <v>0</v>
      </c>
      <c r="CH1244" s="452">
        <f t="shared" si="8046"/>
        <v>0</v>
      </c>
      <c r="CI1244" s="452">
        <f t="shared" si="8046"/>
        <v>0</v>
      </c>
      <c r="CJ1244" s="452">
        <f t="shared" si="8046"/>
        <v>0</v>
      </c>
      <c r="CK1244" s="452">
        <f t="shared" si="8046"/>
        <v>0</v>
      </c>
      <c r="CL1244" s="452">
        <f t="shared" si="8046"/>
        <v>0</v>
      </c>
      <c r="CM1244" s="452">
        <f t="shared" si="8046"/>
        <v>0</v>
      </c>
      <c r="CN1244" s="452">
        <f t="shared" si="8046"/>
        <v>0</v>
      </c>
      <c r="CO1244" s="452">
        <f t="shared" si="8046"/>
        <v>0</v>
      </c>
    </row>
    <row r="1245" spans="1:93">
      <c r="A1245" s="10"/>
      <c r="B1245" s="10"/>
      <c r="C1245" s="17" t="s">
        <v>175</v>
      </c>
      <c r="D1245" s="10"/>
      <c r="E1245" s="10"/>
      <c r="F1245" s="10"/>
      <c r="G1245" s="134" t="str">
        <f>Monetary_Unit</f>
        <v>тыс. руб.</v>
      </c>
      <c r="H1245" s="10"/>
      <c r="I1245" s="10"/>
      <c r="J1245" s="10"/>
      <c r="K1245" s="10"/>
      <c r="L1245" s="52">
        <f>SUM(L1240,L1244)</f>
        <v>31406.153379286916</v>
      </c>
      <c r="M1245" s="52">
        <f t="shared" ref="M1245:BX1245" si="8047">SUM(M1240,M1244)</f>
        <v>63258.113569794448</v>
      </c>
      <c r="N1245" s="52">
        <f t="shared" si="8047"/>
        <v>95562.208749014768</v>
      </c>
      <c r="O1245" s="52">
        <f t="shared" si="8047"/>
        <v>128324.85692220708</v>
      </c>
      <c r="P1245" s="52">
        <f t="shared" si="8047"/>
        <v>403916.32273020223</v>
      </c>
      <c r="Q1245" s="52">
        <f t="shared" si="8047"/>
        <v>682223.30329222977</v>
      </c>
      <c r="R1245" s="52">
        <f t="shared" si="8047"/>
        <v>963272.55567915109</v>
      </c>
      <c r="S1245" s="52">
        <f t="shared" si="8047"/>
        <v>1154754.872889637</v>
      </c>
      <c r="T1245" s="52">
        <f t="shared" si="8047"/>
        <v>1161335.527237284</v>
      </c>
      <c r="U1245" s="52">
        <f t="shared" si="8047"/>
        <v>1171760.35587011</v>
      </c>
      <c r="V1245" s="52">
        <f t="shared" si="8047"/>
        <v>1186149.8052114691</v>
      </c>
      <c r="W1245" s="52">
        <f t="shared" si="8047"/>
        <v>1204427.2529325802</v>
      </c>
      <c r="X1245" s="52">
        <f t="shared" si="8047"/>
        <v>1228568.1097713585</v>
      </c>
      <c r="Y1245" s="52">
        <f t="shared" si="8047"/>
        <v>1260877.115645245</v>
      </c>
      <c r="Z1245" s="52">
        <f t="shared" si="8047"/>
        <v>1301880.4429881182</v>
      </c>
      <c r="AA1245" s="52">
        <f t="shared" si="8047"/>
        <v>1351305.21807041</v>
      </c>
      <c r="AB1245" s="52">
        <f t="shared" si="8047"/>
        <v>1409395.9556502979</v>
      </c>
      <c r="AC1245" s="52">
        <f t="shared" si="8047"/>
        <v>1409395.9556502979</v>
      </c>
      <c r="AD1245" s="52">
        <f t="shared" si="8047"/>
        <v>1409395.9556502979</v>
      </c>
      <c r="AE1245" s="52">
        <f t="shared" si="8047"/>
        <v>1409395.9556502979</v>
      </c>
      <c r="AF1245" s="52">
        <f t="shared" si="8047"/>
        <v>1409395.9556502979</v>
      </c>
      <c r="AG1245" s="52">
        <f t="shared" si="8047"/>
        <v>1409395.9556502979</v>
      </c>
      <c r="AH1245" s="52">
        <f t="shared" si="8047"/>
        <v>1409395.9556502979</v>
      </c>
      <c r="AI1245" s="52">
        <f t="shared" si="8047"/>
        <v>1409395.9556502979</v>
      </c>
      <c r="AJ1245" s="52">
        <f t="shared" si="8047"/>
        <v>1409395.9556502979</v>
      </c>
      <c r="AK1245" s="52">
        <f t="shared" si="8047"/>
        <v>1409395.9556502979</v>
      </c>
      <c r="AL1245" s="52">
        <f t="shared" si="8047"/>
        <v>1409395.9556502979</v>
      </c>
      <c r="AM1245" s="52">
        <f t="shared" si="8047"/>
        <v>1409395.9556502979</v>
      </c>
      <c r="AN1245" s="52">
        <f t="shared" si="8047"/>
        <v>1409395.9556502979</v>
      </c>
      <c r="AO1245" s="52">
        <f t="shared" si="8047"/>
        <v>1409395.9556502979</v>
      </c>
      <c r="AP1245" s="52">
        <f t="shared" si="8047"/>
        <v>1409395.9556502979</v>
      </c>
      <c r="AQ1245" s="52">
        <f t="shared" si="8047"/>
        <v>1409395.9556502979</v>
      </c>
      <c r="AR1245" s="52">
        <f t="shared" si="8047"/>
        <v>1409395.9556502979</v>
      </c>
      <c r="AS1245" s="52">
        <f t="shared" si="8047"/>
        <v>1409395.9556502979</v>
      </c>
      <c r="AT1245" s="52">
        <f t="shared" si="8047"/>
        <v>1409395.9556502979</v>
      </c>
      <c r="AU1245" s="52">
        <f t="shared" si="8047"/>
        <v>1409395.9556502979</v>
      </c>
      <c r="AV1245" s="52">
        <f t="shared" si="8047"/>
        <v>1409395.9556502979</v>
      </c>
      <c r="AW1245" s="52">
        <f t="shared" si="8047"/>
        <v>1409395.9556502979</v>
      </c>
      <c r="AX1245" s="52">
        <f t="shared" si="8047"/>
        <v>1409395.9556502979</v>
      </c>
      <c r="AY1245" s="52">
        <f t="shared" si="8047"/>
        <v>1409395.9556502979</v>
      </c>
      <c r="AZ1245" s="52">
        <f t="shared" si="8047"/>
        <v>1409395.9556502979</v>
      </c>
      <c r="BA1245" s="52">
        <f t="shared" si="8047"/>
        <v>1409395.9556502979</v>
      </c>
      <c r="BB1245" s="52">
        <f t="shared" si="8047"/>
        <v>1409395.9556502979</v>
      </c>
      <c r="BC1245" s="52">
        <f t="shared" si="8047"/>
        <v>1409395.9556502979</v>
      </c>
      <c r="BD1245" s="52">
        <f t="shared" si="8047"/>
        <v>1409395.9556502979</v>
      </c>
      <c r="BE1245" s="52">
        <f t="shared" si="8047"/>
        <v>1409395.9556502979</v>
      </c>
      <c r="BF1245" s="52">
        <f t="shared" si="8047"/>
        <v>1409395.9556502979</v>
      </c>
      <c r="BG1245" s="52">
        <f t="shared" si="8047"/>
        <v>1409395.9556502979</v>
      </c>
      <c r="BH1245" s="52">
        <f t="shared" si="8047"/>
        <v>1409395.9556502979</v>
      </c>
      <c r="BI1245" s="52">
        <f t="shared" si="8047"/>
        <v>1409395.9556502979</v>
      </c>
      <c r="BJ1245" s="52">
        <f t="shared" si="8047"/>
        <v>1409395.9556502979</v>
      </c>
      <c r="BK1245" s="52">
        <f t="shared" si="8047"/>
        <v>1409395.9556502979</v>
      </c>
      <c r="BL1245" s="52">
        <f t="shared" si="8047"/>
        <v>1409395.9556502979</v>
      </c>
      <c r="BM1245" s="52">
        <f t="shared" si="8047"/>
        <v>1409395.9556502979</v>
      </c>
      <c r="BN1245" s="52">
        <f t="shared" si="8047"/>
        <v>1409395.9556502979</v>
      </c>
      <c r="BO1245" s="52">
        <f t="shared" si="8047"/>
        <v>1409395.9556502979</v>
      </c>
      <c r="BP1245" s="52">
        <f t="shared" si="8047"/>
        <v>1409395.9556502979</v>
      </c>
      <c r="BQ1245" s="52">
        <f t="shared" si="8047"/>
        <v>1409395.9556502979</v>
      </c>
      <c r="BR1245" s="52">
        <f t="shared" si="8047"/>
        <v>1409395.9556502979</v>
      </c>
      <c r="BS1245" s="52">
        <f t="shared" si="8047"/>
        <v>1409395.9556502979</v>
      </c>
      <c r="BT1245" s="52">
        <f t="shared" si="8047"/>
        <v>1409395.9556502979</v>
      </c>
      <c r="BU1245" s="52">
        <f t="shared" si="8047"/>
        <v>1409395.9556502979</v>
      </c>
      <c r="BV1245" s="52">
        <f t="shared" si="8047"/>
        <v>1409395.9556502979</v>
      </c>
      <c r="BW1245" s="52">
        <f t="shared" si="8047"/>
        <v>1409395.9556502979</v>
      </c>
      <c r="BX1245" s="52">
        <f t="shared" si="8047"/>
        <v>1409395.9556502979</v>
      </c>
      <c r="BY1245" s="52">
        <f t="shared" ref="BY1245:CO1245" si="8048">SUM(BY1240,BY1244)</f>
        <v>1409395.9556502979</v>
      </c>
      <c r="BZ1245" s="52">
        <f t="shared" si="8048"/>
        <v>1409395.9556502979</v>
      </c>
      <c r="CA1245" s="52">
        <f t="shared" si="8048"/>
        <v>1409395.9556502979</v>
      </c>
      <c r="CB1245" s="52">
        <f t="shared" si="8048"/>
        <v>1409395.9556502979</v>
      </c>
      <c r="CC1245" s="52">
        <f t="shared" si="8048"/>
        <v>1409395.9556502979</v>
      </c>
      <c r="CD1245" s="52">
        <f t="shared" si="8048"/>
        <v>1409395.9556502979</v>
      </c>
      <c r="CE1245" s="52">
        <f t="shared" si="8048"/>
        <v>1409395.9556502979</v>
      </c>
      <c r="CF1245" s="52">
        <f t="shared" si="8048"/>
        <v>1409395.9556502979</v>
      </c>
      <c r="CG1245" s="52">
        <f t="shared" si="8048"/>
        <v>1409395.9556502979</v>
      </c>
      <c r="CH1245" s="52">
        <f t="shared" si="8048"/>
        <v>1409395.9556502979</v>
      </c>
      <c r="CI1245" s="52">
        <f t="shared" si="8048"/>
        <v>1409395.9556502979</v>
      </c>
      <c r="CJ1245" s="52">
        <f t="shared" si="8048"/>
        <v>1409395.9556502979</v>
      </c>
      <c r="CK1245" s="52">
        <f t="shared" si="8048"/>
        <v>1409395.9556502979</v>
      </c>
      <c r="CL1245" s="52">
        <f t="shared" si="8048"/>
        <v>1409395.9556502979</v>
      </c>
      <c r="CM1245" s="52">
        <f t="shared" si="8048"/>
        <v>1409395.9556502979</v>
      </c>
      <c r="CN1245" s="52">
        <f t="shared" si="8048"/>
        <v>1409395.9556502979</v>
      </c>
      <c r="CO1245" s="52">
        <f t="shared" si="8048"/>
        <v>1409395.9556502979</v>
      </c>
    </row>
    <row r="1246" spans="1:93">
      <c r="A1246" s="10"/>
      <c r="B1246" s="10"/>
      <c r="C1246" s="17"/>
      <c r="D1246" s="10"/>
      <c r="E1246" s="10"/>
      <c r="F1246" s="10"/>
      <c r="G1246" s="134"/>
      <c r="H1246" s="10"/>
      <c r="I1246" s="10"/>
      <c r="J1246" s="10"/>
      <c r="K1246" s="10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52"/>
      <c r="AE1246" s="52"/>
      <c r="AF1246" s="52"/>
      <c r="AG1246" s="52"/>
      <c r="AH1246" s="52"/>
      <c r="AI1246" s="52"/>
      <c r="AJ1246" s="52"/>
      <c r="AK1246" s="52"/>
      <c r="AL1246" s="52"/>
      <c r="AM1246" s="52"/>
      <c r="AN1246" s="52"/>
      <c r="AO1246" s="52"/>
      <c r="AP1246" s="52"/>
      <c r="AQ1246" s="52"/>
      <c r="AR1246" s="52"/>
      <c r="AS1246" s="52"/>
      <c r="AT1246" s="52"/>
      <c r="AU1246" s="52"/>
      <c r="AV1246" s="52"/>
      <c r="AW1246" s="52"/>
      <c r="AX1246" s="52"/>
      <c r="AY1246" s="52"/>
      <c r="AZ1246" s="52"/>
      <c r="BA1246" s="52"/>
      <c r="BB1246" s="52"/>
      <c r="BC1246" s="52"/>
      <c r="BD1246" s="52"/>
      <c r="BE1246" s="52"/>
      <c r="BF1246" s="52"/>
      <c r="BG1246" s="52"/>
      <c r="BH1246" s="52"/>
      <c r="BI1246" s="52"/>
      <c r="BJ1246" s="52"/>
      <c r="BK1246" s="52"/>
      <c r="BL1246" s="52"/>
      <c r="BM1246" s="52"/>
      <c r="BN1246" s="52"/>
      <c r="BO1246" s="52"/>
      <c r="BP1246" s="52"/>
      <c r="BQ1246" s="52"/>
      <c r="BR1246" s="52"/>
      <c r="BS1246" s="52"/>
      <c r="BT1246" s="52"/>
      <c r="BU1246" s="52"/>
      <c r="BV1246" s="52"/>
      <c r="BW1246" s="52"/>
      <c r="BX1246" s="52"/>
      <c r="BY1246" s="52"/>
      <c r="BZ1246" s="52"/>
      <c r="CA1246" s="52"/>
      <c r="CB1246" s="52"/>
      <c r="CC1246" s="52"/>
      <c r="CD1246" s="52"/>
      <c r="CE1246" s="52"/>
      <c r="CF1246" s="52"/>
      <c r="CG1246" s="52"/>
      <c r="CH1246" s="52"/>
      <c r="CI1246" s="52"/>
      <c r="CJ1246" s="52"/>
      <c r="CK1246" s="52"/>
      <c r="CL1246" s="52"/>
      <c r="CM1246" s="52"/>
      <c r="CN1246" s="52"/>
      <c r="CO1246" s="52"/>
    </row>
    <row r="1247" spans="1:93" ht="16" thickBot="1">
      <c r="A1247" s="10"/>
      <c r="B1247" s="10"/>
      <c r="C1247" s="30" t="s">
        <v>356</v>
      </c>
      <c r="D1247" s="10"/>
      <c r="E1247" s="10"/>
      <c r="F1247" s="10"/>
      <c r="G1247" s="11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  <c r="AY1247" s="10"/>
      <c r="AZ1247" s="10"/>
      <c r="BA1247" s="10"/>
      <c r="BB1247" s="10"/>
      <c r="BC1247" s="10"/>
      <c r="BD1247" s="10"/>
      <c r="BE1247" s="10"/>
      <c r="BF1247" s="10"/>
      <c r="BG1247" s="10"/>
      <c r="BH1247" s="10"/>
      <c r="BI1247" s="10"/>
      <c r="BJ1247" s="10"/>
      <c r="BK1247" s="10"/>
      <c r="BL1247" s="10"/>
      <c r="BM1247" s="10"/>
      <c r="BN1247" s="10"/>
      <c r="BO1247" s="10"/>
      <c r="BP1247" s="10"/>
      <c r="BQ1247" s="10"/>
      <c r="BR1247" s="10"/>
      <c r="BS1247" s="10"/>
      <c r="BT1247" s="10"/>
      <c r="BU1247" s="10"/>
      <c r="BV1247" s="10"/>
      <c r="BW1247" s="10"/>
      <c r="BX1247" s="10"/>
      <c r="BY1247" s="10"/>
      <c r="BZ1247" s="10"/>
      <c r="CA1247" s="10"/>
      <c r="CB1247" s="10"/>
      <c r="CC1247" s="10"/>
      <c r="CD1247" s="10"/>
      <c r="CE1247" s="10"/>
      <c r="CF1247" s="10"/>
      <c r="CG1247" s="10"/>
      <c r="CH1247" s="10"/>
      <c r="CI1247" s="10"/>
      <c r="CJ1247" s="10"/>
      <c r="CK1247" s="10"/>
      <c r="CL1247" s="10"/>
      <c r="CM1247" s="10"/>
      <c r="CN1247" s="10"/>
      <c r="CO1247" s="10"/>
    </row>
    <row r="1248" spans="1:93">
      <c r="A1248" s="10"/>
      <c r="B1248" s="10"/>
      <c r="C1248" s="17"/>
      <c r="D1248" s="10"/>
      <c r="E1248" s="10"/>
      <c r="F1248" s="10"/>
      <c r="G1248" s="11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  <c r="AY1248" s="10"/>
      <c r="AZ1248" s="10"/>
      <c r="BA1248" s="10"/>
      <c r="BB1248" s="10"/>
      <c r="BC1248" s="10"/>
      <c r="BD1248" s="10"/>
      <c r="BE1248" s="10"/>
      <c r="BF1248" s="10"/>
      <c r="BG1248" s="10"/>
      <c r="BH1248" s="10"/>
      <c r="BI1248" s="10"/>
      <c r="BJ1248" s="10"/>
      <c r="BK1248" s="10"/>
      <c r="BL1248" s="10"/>
      <c r="BM1248" s="10"/>
      <c r="BN1248" s="10"/>
      <c r="BO1248" s="10"/>
      <c r="BP1248" s="10"/>
      <c r="BQ1248" s="10"/>
      <c r="BR1248" s="10"/>
      <c r="BS1248" s="10"/>
      <c r="BT1248" s="10"/>
      <c r="BU1248" s="10"/>
      <c r="BV1248" s="10"/>
      <c r="BW1248" s="10"/>
      <c r="BX1248" s="10"/>
      <c r="BY1248" s="10"/>
      <c r="BZ1248" s="10"/>
      <c r="CA1248" s="10"/>
      <c r="CB1248" s="10"/>
      <c r="CC1248" s="10"/>
      <c r="CD1248" s="10"/>
      <c r="CE1248" s="10"/>
      <c r="CF1248" s="10"/>
      <c r="CG1248" s="10"/>
      <c r="CH1248" s="10"/>
      <c r="CI1248" s="10"/>
      <c r="CJ1248" s="10"/>
      <c r="CK1248" s="10"/>
      <c r="CL1248" s="10"/>
      <c r="CM1248" s="10"/>
      <c r="CN1248" s="10"/>
      <c r="CO1248" s="10"/>
    </row>
    <row r="1249" spans="1:93">
      <c r="A1249" s="10"/>
      <c r="B1249" s="10"/>
      <c r="C1249" s="67" t="s">
        <v>361</v>
      </c>
      <c r="D1249" s="10"/>
      <c r="E1249" s="10"/>
      <c r="F1249" s="10"/>
      <c r="G1249" s="11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  <c r="AY1249" s="10"/>
      <c r="AZ1249" s="10"/>
      <c r="BA1249" s="10"/>
      <c r="BB1249" s="10"/>
      <c r="BC1249" s="10"/>
      <c r="BD1249" s="10"/>
      <c r="BE1249" s="10"/>
      <c r="BF1249" s="10"/>
      <c r="BG1249" s="10"/>
      <c r="BH1249" s="10"/>
      <c r="BI1249" s="10"/>
      <c r="BJ1249" s="10"/>
      <c r="BK1249" s="10"/>
      <c r="BL1249" s="10"/>
      <c r="BM1249" s="10"/>
      <c r="BN1249" s="10"/>
      <c r="BO1249" s="10"/>
      <c r="BP1249" s="10"/>
      <c r="BQ1249" s="10"/>
      <c r="BR1249" s="10"/>
      <c r="BS1249" s="10"/>
      <c r="BT1249" s="10"/>
      <c r="BU1249" s="10"/>
      <c r="BV1249" s="10"/>
      <c r="BW1249" s="10"/>
      <c r="BX1249" s="10"/>
      <c r="BY1249" s="10"/>
      <c r="BZ1249" s="10"/>
      <c r="CA1249" s="10"/>
      <c r="CB1249" s="10"/>
      <c r="CC1249" s="10"/>
      <c r="CD1249" s="10"/>
      <c r="CE1249" s="10"/>
      <c r="CF1249" s="10"/>
      <c r="CG1249" s="10"/>
      <c r="CH1249" s="10"/>
      <c r="CI1249" s="10"/>
      <c r="CJ1249" s="10"/>
      <c r="CK1249" s="10"/>
      <c r="CL1249" s="10"/>
      <c r="CM1249" s="10"/>
      <c r="CN1249" s="10"/>
      <c r="CO1249" s="10"/>
    </row>
    <row r="1250" spans="1:93">
      <c r="A1250" s="10"/>
      <c r="B1250" s="10"/>
      <c r="C1250" s="17" t="s">
        <v>548</v>
      </c>
      <c r="D1250" s="10"/>
      <c r="E1250" s="10"/>
      <c r="F1250" s="10"/>
      <c r="G1250" s="134" t="str">
        <f t="shared" ref="G1250:G1255" si="8049">Monetary_Unit</f>
        <v>тыс. руб.</v>
      </c>
      <c r="H1250" s="10"/>
      <c r="I1250" s="10"/>
      <c r="J1250" s="10"/>
      <c r="K1250" s="10"/>
      <c r="L1250" s="10">
        <f t="shared" ref="L1250" si="8050">K1255</f>
        <v>0</v>
      </c>
      <c r="M1250" s="10">
        <f t="shared" ref="M1250" ca="1" si="8051">L1255</f>
        <v>0</v>
      </c>
      <c r="N1250" s="10">
        <f t="shared" ref="N1250" ca="1" si="8052">M1255</f>
        <v>0</v>
      </c>
      <c r="O1250" s="10">
        <f t="shared" ref="O1250" ca="1" si="8053">N1255</f>
        <v>0</v>
      </c>
      <c r="P1250" s="10">
        <f t="shared" ref="P1250" ca="1" si="8054">O1255</f>
        <v>0</v>
      </c>
      <c r="Q1250" s="10">
        <f t="shared" ref="Q1250" ca="1" si="8055">P1255</f>
        <v>0</v>
      </c>
      <c r="R1250" s="10">
        <f t="shared" ref="R1250" ca="1" si="8056">Q1255</f>
        <v>0</v>
      </c>
      <c r="S1250" s="10">
        <f t="shared" ref="S1250" ca="1" si="8057">R1255</f>
        <v>0</v>
      </c>
      <c r="T1250" s="10">
        <f t="shared" ref="T1250" ca="1" si="8058">S1255</f>
        <v>0</v>
      </c>
      <c r="U1250" s="10">
        <f t="shared" ref="U1250" ca="1" si="8059">T1255</f>
        <v>0</v>
      </c>
      <c r="V1250" s="10">
        <f t="shared" ref="V1250" ca="1" si="8060">U1255</f>
        <v>0</v>
      </c>
      <c r="W1250" s="10">
        <f t="shared" ref="W1250" ca="1" si="8061">V1255</f>
        <v>0</v>
      </c>
      <c r="X1250" s="10">
        <f t="shared" ref="X1250" ca="1" si="8062">W1255</f>
        <v>0</v>
      </c>
      <c r="Y1250" s="10">
        <f t="shared" ref="Y1250" ca="1" si="8063">X1255</f>
        <v>0</v>
      </c>
      <c r="Z1250" s="10">
        <f t="shared" ref="Z1250" ca="1" si="8064">Y1255</f>
        <v>0</v>
      </c>
      <c r="AA1250" s="10">
        <f t="shared" ref="AA1250" ca="1" si="8065">Z1255</f>
        <v>0</v>
      </c>
      <c r="AB1250" s="10">
        <f t="shared" ref="AB1250" ca="1" si="8066">AA1255</f>
        <v>0</v>
      </c>
      <c r="AC1250" s="10">
        <f t="shared" ref="AC1250" ca="1" si="8067">AB1255</f>
        <v>0</v>
      </c>
      <c r="AD1250" s="10">
        <f t="shared" ref="AD1250" ca="1" si="8068">AC1255</f>
        <v>0</v>
      </c>
      <c r="AE1250" s="10">
        <f t="shared" ref="AE1250" ca="1" si="8069">AD1255</f>
        <v>0</v>
      </c>
      <c r="AF1250" s="10">
        <f t="shared" ref="AF1250" ca="1" si="8070">AE1255</f>
        <v>0</v>
      </c>
      <c r="AG1250" s="10">
        <f t="shared" ref="AG1250" ca="1" si="8071">AF1255</f>
        <v>0</v>
      </c>
      <c r="AH1250" s="10">
        <f t="shared" ref="AH1250" ca="1" si="8072">AG1255</f>
        <v>0</v>
      </c>
      <c r="AI1250" s="10">
        <f t="shared" ref="AI1250" ca="1" si="8073">AH1255</f>
        <v>0</v>
      </c>
      <c r="AJ1250" s="10">
        <f t="shared" ref="AJ1250" ca="1" si="8074">AI1255</f>
        <v>0</v>
      </c>
      <c r="AK1250" s="10">
        <f t="shared" ref="AK1250" ca="1" si="8075">AJ1255</f>
        <v>0</v>
      </c>
      <c r="AL1250" s="10">
        <f t="shared" ref="AL1250" ca="1" si="8076">AK1255</f>
        <v>0</v>
      </c>
      <c r="AM1250" s="10">
        <f t="shared" ref="AM1250" ca="1" si="8077">AL1255</f>
        <v>0</v>
      </c>
      <c r="AN1250" s="10">
        <f t="shared" ref="AN1250" ca="1" si="8078">AM1255</f>
        <v>0</v>
      </c>
      <c r="AO1250" s="10">
        <f t="shared" ref="AO1250" ca="1" si="8079">AN1255</f>
        <v>0</v>
      </c>
      <c r="AP1250" s="10">
        <f t="shared" ref="AP1250" ca="1" si="8080">AO1255</f>
        <v>0</v>
      </c>
      <c r="AQ1250" s="10">
        <f t="shared" ref="AQ1250" ca="1" si="8081">AP1255</f>
        <v>0</v>
      </c>
      <c r="AR1250" s="10">
        <f t="shared" ref="AR1250" ca="1" si="8082">AQ1255</f>
        <v>0</v>
      </c>
      <c r="AS1250" s="10">
        <f t="shared" ref="AS1250" ca="1" si="8083">AR1255</f>
        <v>0</v>
      </c>
      <c r="AT1250" s="10">
        <f t="shared" ref="AT1250" ca="1" si="8084">AS1255</f>
        <v>0</v>
      </c>
      <c r="AU1250" s="10">
        <f t="shared" ref="AU1250" ca="1" si="8085">AT1255</f>
        <v>0</v>
      </c>
      <c r="AV1250" s="10">
        <f t="shared" ref="AV1250" ca="1" si="8086">AU1255</f>
        <v>0</v>
      </c>
      <c r="AW1250" s="10">
        <f t="shared" ref="AW1250" ca="1" si="8087">AV1255</f>
        <v>0</v>
      </c>
      <c r="AX1250" s="10">
        <f t="shared" ref="AX1250" ca="1" si="8088">AW1255</f>
        <v>0</v>
      </c>
      <c r="AY1250" s="10">
        <f t="shared" ref="AY1250" ca="1" si="8089">AX1255</f>
        <v>0</v>
      </c>
      <c r="AZ1250" s="10">
        <f t="shared" ref="AZ1250" ca="1" si="8090">AY1255</f>
        <v>0</v>
      </c>
      <c r="BA1250" s="10">
        <f t="shared" ref="BA1250" ca="1" si="8091">AZ1255</f>
        <v>43604.129095403696</v>
      </c>
      <c r="BB1250" s="10">
        <f t="shared" ref="BB1250" ca="1" si="8092">BA1255</f>
        <v>46400.772996403553</v>
      </c>
      <c r="BC1250" s="10">
        <f t="shared" ref="BC1250" ca="1" si="8093">BB1255</f>
        <v>0</v>
      </c>
      <c r="BD1250" s="10">
        <f t="shared" ref="BD1250" ca="1" si="8094">BC1255</f>
        <v>0</v>
      </c>
      <c r="BE1250" s="10">
        <f t="shared" ref="BE1250" ca="1" si="8095">BD1255</f>
        <v>36486.544660320404</v>
      </c>
      <c r="BF1250" s="10">
        <f t="shared" ref="BF1250" ca="1" si="8096">BE1255</f>
        <v>35004.669227923951</v>
      </c>
      <c r="BG1250" s="10">
        <f t="shared" ref="BG1250" ca="1" si="8097">BF1255</f>
        <v>0</v>
      </c>
      <c r="BH1250" s="10">
        <f t="shared" ref="BH1250" ca="1" si="8098">BG1255</f>
        <v>0</v>
      </c>
      <c r="BI1250" s="10">
        <f t="shared" ref="BI1250" ca="1" si="8099">BH1255</f>
        <v>0</v>
      </c>
      <c r="BJ1250" s="10">
        <f t="shared" ref="BJ1250" ca="1" si="8100">BI1255</f>
        <v>0</v>
      </c>
      <c r="BK1250" s="10">
        <f t="shared" ref="BK1250" ca="1" si="8101">BJ1255</f>
        <v>0</v>
      </c>
      <c r="BL1250" s="10">
        <f t="shared" ref="BL1250" ca="1" si="8102">BK1255</f>
        <v>0</v>
      </c>
      <c r="BM1250" s="10">
        <f t="shared" ref="BM1250" ca="1" si="8103">BL1255</f>
        <v>0</v>
      </c>
      <c r="BN1250" s="10">
        <f t="shared" ref="BN1250" ca="1" si="8104">BM1255</f>
        <v>0</v>
      </c>
      <c r="BO1250" s="10">
        <f t="shared" ref="BO1250" ca="1" si="8105">BN1255</f>
        <v>0</v>
      </c>
      <c r="BP1250" s="10">
        <f t="shared" ref="BP1250" ca="1" si="8106">BO1255</f>
        <v>0</v>
      </c>
      <c r="BQ1250" s="10">
        <f t="shared" ref="BQ1250" ca="1" si="8107">BP1255</f>
        <v>0</v>
      </c>
      <c r="BR1250" s="10">
        <f t="shared" ref="BR1250" ca="1" si="8108">BQ1255</f>
        <v>0</v>
      </c>
      <c r="BS1250" s="10">
        <f t="shared" ref="BS1250" ca="1" si="8109">BR1255</f>
        <v>0</v>
      </c>
      <c r="BT1250" s="10">
        <f t="shared" ref="BT1250" ca="1" si="8110">BS1255</f>
        <v>0</v>
      </c>
      <c r="BU1250" s="10">
        <f t="shared" ref="BU1250" ca="1" si="8111">BT1255</f>
        <v>0</v>
      </c>
      <c r="BV1250" s="10">
        <f t="shared" ref="BV1250" ca="1" si="8112">BU1255</f>
        <v>0</v>
      </c>
      <c r="BW1250" s="10">
        <f t="shared" ref="BW1250" ca="1" si="8113">BV1255</f>
        <v>0</v>
      </c>
      <c r="BX1250" s="10">
        <f t="shared" ref="BX1250" ca="1" si="8114">BW1255</f>
        <v>0</v>
      </c>
      <c r="BY1250" s="10">
        <f t="shared" ref="BY1250" ca="1" si="8115">BX1255</f>
        <v>0</v>
      </c>
      <c r="BZ1250" s="10">
        <f t="shared" ref="BZ1250" ca="1" si="8116">BY1255</f>
        <v>0</v>
      </c>
      <c r="CA1250" s="10">
        <f t="shared" ref="CA1250" ca="1" si="8117">BZ1255</f>
        <v>0</v>
      </c>
      <c r="CB1250" s="10">
        <f t="shared" ref="CB1250" ca="1" si="8118">CA1255</f>
        <v>0</v>
      </c>
      <c r="CC1250" s="10">
        <f t="shared" ref="CC1250" ca="1" si="8119">CB1255</f>
        <v>0</v>
      </c>
      <c r="CD1250" s="10">
        <f t="shared" ref="CD1250" ca="1" si="8120">CC1255</f>
        <v>0</v>
      </c>
      <c r="CE1250" s="10">
        <f t="shared" ref="CE1250" ca="1" si="8121">CD1255</f>
        <v>0</v>
      </c>
      <c r="CF1250" s="10">
        <f t="shared" ref="CF1250" ca="1" si="8122">CE1255</f>
        <v>0</v>
      </c>
      <c r="CG1250" s="10">
        <f t="shared" ref="CG1250" ca="1" si="8123">CF1255</f>
        <v>0</v>
      </c>
      <c r="CH1250" s="10">
        <f t="shared" ref="CH1250" ca="1" si="8124">CG1255</f>
        <v>0</v>
      </c>
      <c r="CI1250" s="10">
        <f t="shared" ref="CI1250" ca="1" si="8125">CH1255</f>
        <v>0</v>
      </c>
      <c r="CJ1250" s="10">
        <f t="shared" ref="CJ1250" ca="1" si="8126">CI1255</f>
        <v>0</v>
      </c>
      <c r="CK1250" s="10">
        <f t="shared" ref="CK1250" ca="1" si="8127">CJ1255</f>
        <v>0</v>
      </c>
      <c r="CL1250" s="10">
        <f t="shared" ref="CL1250" ca="1" si="8128">CK1255</f>
        <v>0</v>
      </c>
      <c r="CM1250" s="10">
        <f t="shared" ref="CM1250" ca="1" si="8129">CL1255</f>
        <v>0</v>
      </c>
      <c r="CN1250" s="10">
        <f t="shared" ref="CN1250" ca="1" si="8130">CM1255</f>
        <v>0</v>
      </c>
      <c r="CO1250" s="10">
        <f t="shared" ref="CO1250" ca="1" si="8131">CN1255</f>
        <v>0</v>
      </c>
    </row>
    <row r="1251" spans="1:93">
      <c r="A1251" s="10"/>
      <c r="B1251" s="10"/>
      <c r="C1251" s="17" t="s">
        <v>362</v>
      </c>
      <c r="D1251" s="10"/>
      <c r="E1251" s="10"/>
      <c r="F1251" s="10"/>
      <c r="G1251" s="134" t="str">
        <f t="shared" si="8049"/>
        <v>тыс. руб.</v>
      </c>
      <c r="H1251" s="10"/>
      <c r="I1251" s="23">
        <f>SUM(L1251:CO1251)</f>
        <v>0</v>
      </c>
      <c r="J1251" s="10"/>
      <c r="K1251" s="10"/>
      <c r="L1251" s="10">
        <f t="shared" ref="L1251" si="8132">L1235</f>
        <v>0</v>
      </c>
      <c r="M1251" s="10">
        <f t="shared" ref="M1251:BX1251" si="8133">M1235</f>
        <v>0</v>
      </c>
      <c r="N1251" s="10">
        <f t="shared" si="8133"/>
        <v>0</v>
      </c>
      <c r="O1251" s="10">
        <f t="shared" si="8133"/>
        <v>0</v>
      </c>
      <c r="P1251" s="10">
        <f t="shared" si="8133"/>
        <v>0</v>
      </c>
      <c r="Q1251" s="10">
        <f t="shared" si="8133"/>
        <v>0</v>
      </c>
      <c r="R1251" s="10">
        <f t="shared" si="8133"/>
        <v>0</v>
      </c>
      <c r="S1251" s="10">
        <f t="shared" si="8133"/>
        <v>0</v>
      </c>
      <c r="T1251" s="10">
        <f t="shared" si="8133"/>
        <v>0</v>
      </c>
      <c r="U1251" s="10">
        <f t="shared" si="8133"/>
        <v>0</v>
      </c>
      <c r="V1251" s="10">
        <f t="shared" si="8133"/>
        <v>0</v>
      </c>
      <c r="W1251" s="10">
        <f t="shared" si="8133"/>
        <v>0</v>
      </c>
      <c r="X1251" s="10">
        <f t="shared" si="8133"/>
        <v>0</v>
      </c>
      <c r="Y1251" s="10">
        <f t="shared" si="8133"/>
        <v>0</v>
      </c>
      <c r="Z1251" s="10">
        <f t="shared" si="8133"/>
        <v>0</v>
      </c>
      <c r="AA1251" s="10">
        <f t="shared" si="8133"/>
        <v>0</v>
      </c>
      <c r="AB1251" s="10">
        <f t="shared" si="8133"/>
        <v>0</v>
      </c>
      <c r="AC1251" s="10">
        <f t="shared" si="8133"/>
        <v>0</v>
      </c>
      <c r="AD1251" s="10">
        <f t="shared" si="8133"/>
        <v>0</v>
      </c>
      <c r="AE1251" s="10">
        <f t="shared" si="8133"/>
        <v>0</v>
      </c>
      <c r="AF1251" s="10">
        <f t="shared" si="8133"/>
        <v>0</v>
      </c>
      <c r="AG1251" s="10">
        <f t="shared" si="8133"/>
        <v>0</v>
      </c>
      <c r="AH1251" s="10">
        <f t="shared" si="8133"/>
        <v>0</v>
      </c>
      <c r="AI1251" s="10">
        <f t="shared" si="8133"/>
        <v>0</v>
      </c>
      <c r="AJ1251" s="10">
        <f t="shared" si="8133"/>
        <v>0</v>
      </c>
      <c r="AK1251" s="10">
        <f t="shared" si="8133"/>
        <v>0</v>
      </c>
      <c r="AL1251" s="10">
        <f t="shared" si="8133"/>
        <v>0</v>
      </c>
      <c r="AM1251" s="10">
        <f t="shared" si="8133"/>
        <v>0</v>
      </c>
      <c r="AN1251" s="10">
        <f t="shared" si="8133"/>
        <v>0</v>
      </c>
      <c r="AO1251" s="10">
        <f t="shared" si="8133"/>
        <v>0</v>
      </c>
      <c r="AP1251" s="10">
        <f t="shared" si="8133"/>
        <v>0</v>
      </c>
      <c r="AQ1251" s="10">
        <f t="shared" si="8133"/>
        <v>0</v>
      </c>
      <c r="AR1251" s="10">
        <f t="shared" si="8133"/>
        <v>0</v>
      </c>
      <c r="AS1251" s="10">
        <f t="shared" si="8133"/>
        <v>0</v>
      </c>
      <c r="AT1251" s="10">
        <f t="shared" si="8133"/>
        <v>0</v>
      </c>
      <c r="AU1251" s="10">
        <f t="shared" si="8133"/>
        <v>0</v>
      </c>
      <c r="AV1251" s="10">
        <f t="shared" si="8133"/>
        <v>0</v>
      </c>
      <c r="AW1251" s="10">
        <f t="shared" si="8133"/>
        <v>0</v>
      </c>
      <c r="AX1251" s="10">
        <f t="shared" si="8133"/>
        <v>0</v>
      </c>
      <c r="AY1251" s="10">
        <f t="shared" si="8133"/>
        <v>0</v>
      </c>
      <c r="AZ1251" s="10">
        <f t="shared" si="8133"/>
        <v>0</v>
      </c>
      <c r="BA1251" s="10">
        <f t="shared" si="8133"/>
        <v>0</v>
      </c>
      <c r="BB1251" s="10">
        <f t="shared" si="8133"/>
        <v>0</v>
      </c>
      <c r="BC1251" s="10">
        <f t="shared" si="8133"/>
        <v>0</v>
      </c>
      <c r="BD1251" s="10">
        <f t="shared" si="8133"/>
        <v>0</v>
      </c>
      <c r="BE1251" s="10">
        <f t="shared" si="8133"/>
        <v>0</v>
      </c>
      <c r="BF1251" s="10">
        <f t="shared" si="8133"/>
        <v>0</v>
      </c>
      <c r="BG1251" s="10">
        <f t="shared" si="8133"/>
        <v>0</v>
      </c>
      <c r="BH1251" s="10">
        <f t="shared" si="8133"/>
        <v>0</v>
      </c>
      <c r="BI1251" s="10">
        <f t="shared" si="8133"/>
        <v>0</v>
      </c>
      <c r="BJ1251" s="10">
        <f t="shared" si="8133"/>
        <v>0</v>
      </c>
      <c r="BK1251" s="10">
        <f t="shared" si="8133"/>
        <v>0</v>
      </c>
      <c r="BL1251" s="10">
        <f t="shared" si="8133"/>
        <v>0</v>
      </c>
      <c r="BM1251" s="10">
        <f t="shared" si="8133"/>
        <v>0</v>
      </c>
      <c r="BN1251" s="10">
        <f t="shared" si="8133"/>
        <v>0</v>
      </c>
      <c r="BO1251" s="10">
        <f t="shared" si="8133"/>
        <v>0</v>
      </c>
      <c r="BP1251" s="10">
        <f t="shared" si="8133"/>
        <v>0</v>
      </c>
      <c r="BQ1251" s="10">
        <f t="shared" si="8133"/>
        <v>0</v>
      </c>
      <c r="BR1251" s="10">
        <f t="shared" si="8133"/>
        <v>0</v>
      </c>
      <c r="BS1251" s="10">
        <f t="shared" si="8133"/>
        <v>0</v>
      </c>
      <c r="BT1251" s="10">
        <f t="shared" si="8133"/>
        <v>0</v>
      </c>
      <c r="BU1251" s="10">
        <f t="shared" si="8133"/>
        <v>0</v>
      </c>
      <c r="BV1251" s="10">
        <f t="shared" si="8133"/>
        <v>0</v>
      </c>
      <c r="BW1251" s="10">
        <f t="shared" si="8133"/>
        <v>0</v>
      </c>
      <c r="BX1251" s="10">
        <f t="shared" si="8133"/>
        <v>0</v>
      </c>
      <c r="BY1251" s="10">
        <f t="shared" ref="BY1251:CO1251" si="8134">BY1235</f>
        <v>0</v>
      </c>
      <c r="BZ1251" s="10">
        <f t="shared" si="8134"/>
        <v>0</v>
      </c>
      <c r="CA1251" s="10">
        <f t="shared" si="8134"/>
        <v>0</v>
      </c>
      <c r="CB1251" s="10">
        <f t="shared" si="8134"/>
        <v>0</v>
      </c>
      <c r="CC1251" s="10">
        <f t="shared" si="8134"/>
        <v>0</v>
      </c>
      <c r="CD1251" s="10">
        <f t="shared" si="8134"/>
        <v>0</v>
      </c>
      <c r="CE1251" s="10">
        <f t="shared" si="8134"/>
        <v>0</v>
      </c>
      <c r="CF1251" s="10">
        <f t="shared" si="8134"/>
        <v>0</v>
      </c>
      <c r="CG1251" s="10">
        <f t="shared" si="8134"/>
        <v>0</v>
      </c>
      <c r="CH1251" s="10">
        <f t="shared" si="8134"/>
        <v>0</v>
      </c>
      <c r="CI1251" s="10">
        <f t="shared" si="8134"/>
        <v>0</v>
      </c>
      <c r="CJ1251" s="10">
        <f t="shared" si="8134"/>
        <v>0</v>
      </c>
      <c r="CK1251" s="10">
        <f t="shared" si="8134"/>
        <v>0</v>
      </c>
      <c r="CL1251" s="10">
        <f t="shared" si="8134"/>
        <v>0</v>
      </c>
      <c r="CM1251" s="10">
        <f t="shared" si="8134"/>
        <v>0</v>
      </c>
      <c r="CN1251" s="10">
        <f t="shared" si="8134"/>
        <v>0</v>
      </c>
      <c r="CO1251" s="10">
        <f t="shared" si="8134"/>
        <v>0</v>
      </c>
    </row>
    <row r="1252" spans="1:93">
      <c r="A1252" s="10"/>
      <c r="B1252" s="10"/>
      <c r="C1252" s="17" t="s">
        <v>363</v>
      </c>
      <c r="D1252" s="10"/>
      <c r="E1252" s="10"/>
      <c r="F1252" s="10"/>
      <c r="G1252" s="134" t="str">
        <f t="shared" si="8049"/>
        <v>тыс. руб.</v>
      </c>
      <c r="H1252" s="10"/>
      <c r="I1252" s="23">
        <f ca="1">SUM(L1252:CO1252)</f>
        <v>80081.617035734249</v>
      </c>
      <c r="J1252" s="10"/>
      <c r="K1252" s="10"/>
      <c r="L1252" s="52">
        <f t="shared" ref="L1252" ca="1" si="8135">-MIN(L1271+L1251+Equity_Drawdown,0)*NOT(Flag_Construction)</f>
        <v>0</v>
      </c>
      <c r="M1252" s="52">
        <f t="shared" ref="M1252:BX1252" ca="1" si="8136">-MIN(M1271+M1251+Equity_Drawdown,0)*NOT(Flag_Construction)</f>
        <v>0</v>
      </c>
      <c r="N1252" s="52">
        <f t="shared" ca="1" si="8136"/>
        <v>0</v>
      </c>
      <c r="O1252" s="52">
        <f t="shared" ca="1" si="8136"/>
        <v>0</v>
      </c>
      <c r="P1252" s="52">
        <f t="shared" ca="1" si="8136"/>
        <v>0</v>
      </c>
      <c r="Q1252" s="52">
        <f t="shared" ca="1" si="8136"/>
        <v>0</v>
      </c>
      <c r="R1252" s="52">
        <f t="shared" ca="1" si="8136"/>
        <v>0</v>
      </c>
      <c r="S1252" s="52">
        <f t="shared" ca="1" si="8136"/>
        <v>0</v>
      </c>
      <c r="T1252" s="52">
        <f t="shared" ca="1" si="8136"/>
        <v>0</v>
      </c>
      <c r="U1252" s="52">
        <f t="shared" ca="1" si="8136"/>
        <v>0</v>
      </c>
      <c r="V1252" s="52">
        <f t="shared" ca="1" si="8136"/>
        <v>0</v>
      </c>
      <c r="W1252" s="52">
        <f t="shared" ca="1" si="8136"/>
        <v>0</v>
      </c>
      <c r="X1252" s="52">
        <f t="shared" ca="1" si="8136"/>
        <v>0</v>
      </c>
      <c r="Y1252" s="52">
        <f t="shared" ca="1" si="8136"/>
        <v>0</v>
      </c>
      <c r="Z1252" s="52">
        <f t="shared" ca="1" si="8136"/>
        <v>0</v>
      </c>
      <c r="AA1252" s="52">
        <f t="shared" ca="1" si="8136"/>
        <v>0</v>
      </c>
      <c r="AB1252" s="52">
        <f t="shared" ca="1" si="8136"/>
        <v>0</v>
      </c>
      <c r="AC1252" s="52">
        <f t="shared" ca="1" si="8136"/>
        <v>0</v>
      </c>
      <c r="AD1252" s="52">
        <f t="shared" ca="1" si="8136"/>
        <v>0</v>
      </c>
      <c r="AE1252" s="52">
        <f t="shared" ca="1" si="8136"/>
        <v>0</v>
      </c>
      <c r="AF1252" s="52">
        <f t="shared" ca="1" si="8136"/>
        <v>0</v>
      </c>
      <c r="AG1252" s="52">
        <f t="shared" ca="1" si="8136"/>
        <v>0</v>
      </c>
      <c r="AH1252" s="52">
        <f t="shared" ca="1" si="8136"/>
        <v>0</v>
      </c>
      <c r="AI1252" s="52">
        <f t="shared" ca="1" si="8136"/>
        <v>0</v>
      </c>
      <c r="AJ1252" s="52">
        <f t="shared" ca="1" si="8136"/>
        <v>0</v>
      </c>
      <c r="AK1252" s="52">
        <f t="shared" ca="1" si="8136"/>
        <v>0</v>
      </c>
      <c r="AL1252" s="52">
        <f t="shared" ca="1" si="8136"/>
        <v>0</v>
      </c>
      <c r="AM1252" s="52">
        <f t="shared" ca="1" si="8136"/>
        <v>0</v>
      </c>
      <c r="AN1252" s="52">
        <f t="shared" ca="1" si="8136"/>
        <v>0</v>
      </c>
      <c r="AO1252" s="52">
        <f t="shared" ca="1" si="8136"/>
        <v>0</v>
      </c>
      <c r="AP1252" s="52">
        <f t="shared" ca="1" si="8136"/>
        <v>0</v>
      </c>
      <c r="AQ1252" s="52">
        <f t="shared" ca="1" si="8136"/>
        <v>0</v>
      </c>
      <c r="AR1252" s="52">
        <f t="shared" ca="1" si="8136"/>
        <v>0</v>
      </c>
      <c r="AS1252" s="52">
        <f t="shared" ca="1" si="8136"/>
        <v>0</v>
      </c>
      <c r="AT1252" s="52">
        <f t="shared" ca="1" si="8136"/>
        <v>0</v>
      </c>
      <c r="AU1252" s="52">
        <f t="shared" ca="1" si="8136"/>
        <v>0</v>
      </c>
      <c r="AV1252" s="52">
        <f t="shared" ca="1" si="8136"/>
        <v>0</v>
      </c>
      <c r="AW1252" s="52">
        <f t="shared" ca="1" si="8136"/>
        <v>0</v>
      </c>
      <c r="AX1252" s="52">
        <f t="shared" ca="1" si="8136"/>
        <v>0</v>
      </c>
      <c r="AY1252" s="52">
        <f t="shared" ca="1" si="8136"/>
        <v>0</v>
      </c>
      <c r="AZ1252" s="52">
        <f t="shared" ca="1" si="8136"/>
        <v>42890.270483924673</v>
      </c>
      <c r="BA1252" s="52">
        <f t="shared" ca="1" si="8136"/>
        <v>1307.0405516153842</v>
      </c>
      <c r="BB1252" s="52">
        <f t="shared" ca="1" si="8136"/>
        <v>0</v>
      </c>
      <c r="BC1252" s="52">
        <f t="shared" ca="1" si="8136"/>
        <v>0</v>
      </c>
      <c r="BD1252" s="52">
        <f t="shared" ca="1" si="8136"/>
        <v>35884.306000194192</v>
      </c>
      <c r="BE1252" s="52">
        <f t="shared" ca="1" si="8136"/>
        <v>0</v>
      </c>
      <c r="BF1252" s="52">
        <f t="shared" ca="1" si="8136"/>
        <v>0</v>
      </c>
      <c r="BG1252" s="52">
        <f t="shared" ca="1" si="8136"/>
        <v>0</v>
      </c>
      <c r="BH1252" s="52">
        <f t="shared" ca="1" si="8136"/>
        <v>0</v>
      </c>
      <c r="BI1252" s="52">
        <f t="shared" ca="1" si="8136"/>
        <v>0</v>
      </c>
      <c r="BJ1252" s="52">
        <f t="shared" ca="1" si="8136"/>
        <v>0</v>
      </c>
      <c r="BK1252" s="52">
        <f t="shared" ca="1" si="8136"/>
        <v>0</v>
      </c>
      <c r="BL1252" s="52">
        <f t="shared" ca="1" si="8136"/>
        <v>0</v>
      </c>
      <c r="BM1252" s="52">
        <f t="shared" ca="1" si="8136"/>
        <v>0</v>
      </c>
      <c r="BN1252" s="52">
        <f t="shared" ca="1" si="8136"/>
        <v>0</v>
      </c>
      <c r="BO1252" s="52">
        <f t="shared" ca="1" si="8136"/>
        <v>0</v>
      </c>
      <c r="BP1252" s="52">
        <f t="shared" ca="1" si="8136"/>
        <v>0</v>
      </c>
      <c r="BQ1252" s="52">
        <f t="shared" ca="1" si="8136"/>
        <v>0</v>
      </c>
      <c r="BR1252" s="52">
        <f t="shared" ca="1" si="8136"/>
        <v>0</v>
      </c>
      <c r="BS1252" s="52">
        <f t="shared" ca="1" si="8136"/>
        <v>0</v>
      </c>
      <c r="BT1252" s="52">
        <f t="shared" ca="1" si="8136"/>
        <v>0</v>
      </c>
      <c r="BU1252" s="52">
        <f t="shared" ca="1" si="8136"/>
        <v>0</v>
      </c>
      <c r="BV1252" s="52">
        <f t="shared" ca="1" si="8136"/>
        <v>0</v>
      </c>
      <c r="BW1252" s="52">
        <f t="shared" ca="1" si="8136"/>
        <v>0</v>
      </c>
      <c r="BX1252" s="52">
        <f t="shared" ca="1" si="8136"/>
        <v>0</v>
      </c>
      <c r="BY1252" s="52">
        <f t="shared" ref="BY1252:CO1252" ca="1" si="8137">-MIN(BY1271+BY1251+Equity_Drawdown,0)*NOT(Flag_Construction)</f>
        <v>0</v>
      </c>
      <c r="BZ1252" s="52">
        <f t="shared" ca="1" si="8137"/>
        <v>0</v>
      </c>
      <c r="CA1252" s="52">
        <f t="shared" ca="1" si="8137"/>
        <v>0</v>
      </c>
      <c r="CB1252" s="52">
        <f t="shared" ca="1" si="8137"/>
        <v>0</v>
      </c>
      <c r="CC1252" s="52">
        <f t="shared" ca="1" si="8137"/>
        <v>0</v>
      </c>
      <c r="CD1252" s="52">
        <f t="shared" ca="1" si="8137"/>
        <v>0</v>
      </c>
      <c r="CE1252" s="52">
        <f t="shared" ca="1" si="8137"/>
        <v>0</v>
      </c>
      <c r="CF1252" s="52">
        <f t="shared" ca="1" si="8137"/>
        <v>0</v>
      </c>
      <c r="CG1252" s="52">
        <f t="shared" ca="1" si="8137"/>
        <v>0</v>
      </c>
      <c r="CH1252" s="52">
        <f t="shared" ca="1" si="8137"/>
        <v>0</v>
      </c>
      <c r="CI1252" s="52">
        <f t="shared" ca="1" si="8137"/>
        <v>0</v>
      </c>
      <c r="CJ1252" s="52">
        <f t="shared" ca="1" si="8137"/>
        <v>0</v>
      </c>
      <c r="CK1252" s="52">
        <f t="shared" ca="1" si="8137"/>
        <v>0</v>
      </c>
      <c r="CL1252" s="52">
        <f t="shared" ca="1" si="8137"/>
        <v>0</v>
      </c>
      <c r="CM1252" s="52">
        <f t="shared" ca="1" si="8137"/>
        <v>0</v>
      </c>
      <c r="CN1252" s="52">
        <f t="shared" ca="1" si="8137"/>
        <v>0</v>
      </c>
      <c r="CO1252" s="52">
        <f t="shared" ca="1" si="8137"/>
        <v>0</v>
      </c>
    </row>
    <row r="1253" spans="1:93">
      <c r="A1253" s="10"/>
      <c r="B1253" s="10"/>
      <c r="C1253" s="17" t="s">
        <v>416</v>
      </c>
      <c r="D1253" s="10"/>
      <c r="E1253" s="10"/>
      <c r="F1253" s="10"/>
      <c r="G1253" s="134" t="str">
        <f t="shared" si="8049"/>
        <v>тыс. руб.</v>
      </c>
      <c r="H1253" s="10"/>
      <c r="I1253" s="23">
        <f ca="1">SUM(L1253:CO1253)</f>
        <v>2805.7006209897008</v>
      </c>
      <c r="J1253" s="10"/>
      <c r="K1253" s="10"/>
      <c r="L1253" s="52">
        <f t="shared" ref="L1253" ca="1" si="8138">L1263+L1264</f>
        <v>0</v>
      </c>
      <c r="M1253" s="52">
        <f t="shared" ref="M1253:BX1253" ca="1" si="8139">M1263+M1264</f>
        <v>0</v>
      </c>
      <c r="N1253" s="52">
        <f t="shared" ca="1" si="8139"/>
        <v>0</v>
      </c>
      <c r="O1253" s="52">
        <f t="shared" ca="1" si="8139"/>
        <v>0</v>
      </c>
      <c r="P1253" s="52">
        <f t="shared" ca="1" si="8139"/>
        <v>0</v>
      </c>
      <c r="Q1253" s="52">
        <f t="shared" ca="1" si="8139"/>
        <v>0</v>
      </c>
      <c r="R1253" s="52">
        <f t="shared" ca="1" si="8139"/>
        <v>0</v>
      </c>
      <c r="S1253" s="52">
        <f t="shared" ca="1" si="8139"/>
        <v>0</v>
      </c>
      <c r="T1253" s="52">
        <f t="shared" ca="1" si="8139"/>
        <v>0</v>
      </c>
      <c r="U1253" s="52">
        <f t="shared" ca="1" si="8139"/>
        <v>0</v>
      </c>
      <c r="V1253" s="52">
        <f t="shared" ca="1" si="8139"/>
        <v>0</v>
      </c>
      <c r="W1253" s="52">
        <f t="shared" ca="1" si="8139"/>
        <v>0</v>
      </c>
      <c r="X1253" s="52">
        <f t="shared" ca="1" si="8139"/>
        <v>0</v>
      </c>
      <c r="Y1253" s="52">
        <f t="shared" ca="1" si="8139"/>
        <v>0</v>
      </c>
      <c r="Z1253" s="52">
        <f t="shared" ca="1" si="8139"/>
        <v>0</v>
      </c>
      <c r="AA1253" s="52">
        <f t="shared" ca="1" si="8139"/>
        <v>0</v>
      </c>
      <c r="AB1253" s="52">
        <f t="shared" ca="1" si="8139"/>
        <v>0</v>
      </c>
      <c r="AC1253" s="52">
        <f t="shared" ca="1" si="8139"/>
        <v>0</v>
      </c>
      <c r="AD1253" s="52">
        <f t="shared" ca="1" si="8139"/>
        <v>0</v>
      </c>
      <c r="AE1253" s="52">
        <f t="shared" ca="1" si="8139"/>
        <v>0</v>
      </c>
      <c r="AF1253" s="52">
        <f t="shared" ca="1" si="8139"/>
        <v>0</v>
      </c>
      <c r="AG1253" s="52">
        <f t="shared" ca="1" si="8139"/>
        <v>0</v>
      </c>
      <c r="AH1253" s="52">
        <f t="shared" ca="1" si="8139"/>
        <v>0</v>
      </c>
      <c r="AI1253" s="52">
        <f t="shared" ca="1" si="8139"/>
        <v>0</v>
      </c>
      <c r="AJ1253" s="52">
        <f t="shared" ca="1" si="8139"/>
        <v>0</v>
      </c>
      <c r="AK1253" s="52">
        <f t="shared" ca="1" si="8139"/>
        <v>0</v>
      </c>
      <c r="AL1253" s="52">
        <f t="shared" ca="1" si="8139"/>
        <v>0</v>
      </c>
      <c r="AM1253" s="52">
        <f t="shared" ca="1" si="8139"/>
        <v>0</v>
      </c>
      <c r="AN1253" s="52">
        <f t="shared" ca="1" si="8139"/>
        <v>0</v>
      </c>
      <c r="AO1253" s="52">
        <f t="shared" ca="1" si="8139"/>
        <v>0</v>
      </c>
      <c r="AP1253" s="52">
        <f t="shared" ca="1" si="8139"/>
        <v>0</v>
      </c>
      <c r="AQ1253" s="52">
        <f t="shared" ca="1" si="8139"/>
        <v>0</v>
      </c>
      <c r="AR1253" s="52">
        <f t="shared" ca="1" si="8139"/>
        <v>0</v>
      </c>
      <c r="AS1253" s="52">
        <f t="shared" ca="1" si="8139"/>
        <v>0</v>
      </c>
      <c r="AT1253" s="52">
        <f t="shared" ca="1" si="8139"/>
        <v>0</v>
      </c>
      <c r="AU1253" s="52">
        <f t="shared" ca="1" si="8139"/>
        <v>0</v>
      </c>
      <c r="AV1253" s="52">
        <f t="shared" ca="1" si="8139"/>
        <v>0</v>
      </c>
      <c r="AW1253" s="52">
        <f t="shared" ca="1" si="8139"/>
        <v>0</v>
      </c>
      <c r="AX1253" s="52">
        <f t="shared" ca="1" si="8139"/>
        <v>0</v>
      </c>
      <c r="AY1253" s="52">
        <f t="shared" ca="1" si="8139"/>
        <v>0</v>
      </c>
      <c r="AZ1253" s="52">
        <f t="shared" ca="1" si="8139"/>
        <v>713.85861147902028</v>
      </c>
      <c r="BA1253" s="52">
        <f t="shared" ca="1" si="8139"/>
        <v>1489.6033493844711</v>
      </c>
      <c r="BB1253" s="52">
        <f t="shared" ca="1" si="8139"/>
        <v>0</v>
      </c>
      <c r="BC1253" s="52">
        <f t="shared" ca="1" si="8139"/>
        <v>0</v>
      </c>
      <c r="BD1253" s="52">
        <f t="shared" ca="1" si="8139"/>
        <v>602.23866012620988</v>
      </c>
      <c r="BE1253" s="52">
        <f t="shared" ca="1" si="8139"/>
        <v>0</v>
      </c>
      <c r="BF1253" s="52">
        <f t="shared" ca="1" si="8139"/>
        <v>0</v>
      </c>
      <c r="BG1253" s="52">
        <f t="shared" ca="1" si="8139"/>
        <v>0</v>
      </c>
      <c r="BH1253" s="52">
        <f t="shared" ca="1" si="8139"/>
        <v>0</v>
      </c>
      <c r="BI1253" s="52">
        <f t="shared" ca="1" si="8139"/>
        <v>0</v>
      </c>
      <c r="BJ1253" s="52">
        <f t="shared" ca="1" si="8139"/>
        <v>0</v>
      </c>
      <c r="BK1253" s="52">
        <f t="shared" ca="1" si="8139"/>
        <v>0</v>
      </c>
      <c r="BL1253" s="52">
        <f t="shared" ca="1" si="8139"/>
        <v>0</v>
      </c>
      <c r="BM1253" s="52">
        <f t="shared" ca="1" si="8139"/>
        <v>0</v>
      </c>
      <c r="BN1253" s="52">
        <f t="shared" ca="1" si="8139"/>
        <v>0</v>
      </c>
      <c r="BO1253" s="52">
        <f t="shared" ca="1" si="8139"/>
        <v>0</v>
      </c>
      <c r="BP1253" s="52">
        <f t="shared" ca="1" si="8139"/>
        <v>0</v>
      </c>
      <c r="BQ1253" s="52">
        <f t="shared" ca="1" si="8139"/>
        <v>0</v>
      </c>
      <c r="BR1253" s="52">
        <f t="shared" ca="1" si="8139"/>
        <v>0</v>
      </c>
      <c r="BS1253" s="52">
        <f t="shared" ca="1" si="8139"/>
        <v>0</v>
      </c>
      <c r="BT1253" s="52">
        <f t="shared" ca="1" si="8139"/>
        <v>0</v>
      </c>
      <c r="BU1253" s="52">
        <f t="shared" ca="1" si="8139"/>
        <v>0</v>
      </c>
      <c r="BV1253" s="52">
        <f t="shared" ca="1" si="8139"/>
        <v>0</v>
      </c>
      <c r="BW1253" s="52">
        <f t="shared" ca="1" si="8139"/>
        <v>0</v>
      </c>
      <c r="BX1253" s="52">
        <f t="shared" ca="1" si="8139"/>
        <v>0</v>
      </c>
      <c r="BY1253" s="52">
        <f t="shared" ref="BY1253:CO1253" ca="1" si="8140">BY1263+BY1264</f>
        <v>0</v>
      </c>
      <c r="BZ1253" s="52">
        <f t="shared" ca="1" si="8140"/>
        <v>0</v>
      </c>
      <c r="CA1253" s="52">
        <f t="shared" ca="1" si="8140"/>
        <v>0</v>
      </c>
      <c r="CB1253" s="52">
        <f t="shared" ca="1" si="8140"/>
        <v>0</v>
      </c>
      <c r="CC1253" s="52">
        <f t="shared" ca="1" si="8140"/>
        <v>0</v>
      </c>
      <c r="CD1253" s="52">
        <f t="shared" ca="1" si="8140"/>
        <v>0</v>
      </c>
      <c r="CE1253" s="52">
        <f t="shared" ca="1" si="8140"/>
        <v>0</v>
      </c>
      <c r="CF1253" s="52">
        <f t="shared" ca="1" si="8140"/>
        <v>0</v>
      </c>
      <c r="CG1253" s="52">
        <f t="shared" ca="1" si="8140"/>
        <v>0</v>
      </c>
      <c r="CH1253" s="52">
        <f t="shared" ca="1" si="8140"/>
        <v>0</v>
      </c>
      <c r="CI1253" s="52">
        <f t="shared" ca="1" si="8140"/>
        <v>0</v>
      </c>
      <c r="CJ1253" s="52">
        <f t="shared" ca="1" si="8140"/>
        <v>0</v>
      </c>
      <c r="CK1253" s="52">
        <f t="shared" ca="1" si="8140"/>
        <v>0</v>
      </c>
      <c r="CL1253" s="52">
        <f t="shared" ca="1" si="8140"/>
        <v>0</v>
      </c>
      <c r="CM1253" s="52">
        <f t="shared" ca="1" si="8140"/>
        <v>0</v>
      </c>
      <c r="CN1253" s="52">
        <f t="shared" ca="1" si="8140"/>
        <v>0</v>
      </c>
      <c r="CO1253" s="52">
        <f t="shared" ca="1" si="8140"/>
        <v>0</v>
      </c>
    </row>
    <row r="1254" spans="1:93">
      <c r="A1254" s="10"/>
      <c r="B1254" s="10"/>
      <c r="C1254" s="17" t="s">
        <v>364</v>
      </c>
      <c r="D1254" s="10"/>
      <c r="E1254" s="10"/>
      <c r="F1254" s="10"/>
      <c r="G1254" s="134" t="str">
        <f t="shared" si="8049"/>
        <v>тыс. руб.</v>
      </c>
      <c r="H1254" s="10"/>
      <c r="I1254" s="23">
        <f ca="1">SUM(L1254:CO1254)</f>
        <v>-82887.317656723957</v>
      </c>
      <c r="J1254" s="10"/>
      <c r="K1254" s="10"/>
      <c r="L1254" s="52">
        <f t="shared" ref="L1254" ca="1" si="8141">-MIN(L1276,L1250)*Flag_Operations</f>
        <v>0</v>
      </c>
      <c r="M1254" s="52">
        <f t="shared" ref="M1254:BX1254" ca="1" si="8142">-MIN(M1276,M1250)*Flag_Operations</f>
        <v>0</v>
      </c>
      <c r="N1254" s="52">
        <f t="shared" ca="1" si="8142"/>
        <v>0</v>
      </c>
      <c r="O1254" s="52">
        <f t="shared" ca="1" si="8142"/>
        <v>0</v>
      </c>
      <c r="P1254" s="52">
        <f t="shared" ca="1" si="8142"/>
        <v>0</v>
      </c>
      <c r="Q1254" s="52">
        <f t="shared" ca="1" si="8142"/>
        <v>0</v>
      </c>
      <c r="R1254" s="52">
        <f t="shared" ca="1" si="8142"/>
        <v>0</v>
      </c>
      <c r="S1254" s="52">
        <f t="shared" ca="1" si="8142"/>
        <v>0</v>
      </c>
      <c r="T1254" s="52">
        <f t="shared" ca="1" si="8142"/>
        <v>0</v>
      </c>
      <c r="U1254" s="52">
        <f t="shared" ca="1" si="8142"/>
        <v>0</v>
      </c>
      <c r="V1254" s="52">
        <f t="shared" ca="1" si="8142"/>
        <v>0</v>
      </c>
      <c r="W1254" s="52">
        <f t="shared" ca="1" si="8142"/>
        <v>0</v>
      </c>
      <c r="X1254" s="52">
        <f t="shared" ca="1" si="8142"/>
        <v>0</v>
      </c>
      <c r="Y1254" s="52">
        <f t="shared" ca="1" si="8142"/>
        <v>0</v>
      </c>
      <c r="Z1254" s="52">
        <f t="shared" ca="1" si="8142"/>
        <v>0</v>
      </c>
      <c r="AA1254" s="52">
        <f t="shared" ca="1" si="8142"/>
        <v>0</v>
      </c>
      <c r="AB1254" s="52">
        <f t="shared" ca="1" si="8142"/>
        <v>0</v>
      </c>
      <c r="AC1254" s="52">
        <f t="shared" ca="1" si="8142"/>
        <v>0</v>
      </c>
      <c r="AD1254" s="52">
        <f t="shared" ca="1" si="8142"/>
        <v>0</v>
      </c>
      <c r="AE1254" s="52">
        <f t="shared" ca="1" si="8142"/>
        <v>0</v>
      </c>
      <c r="AF1254" s="52">
        <f t="shared" ca="1" si="8142"/>
        <v>0</v>
      </c>
      <c r="AG1254" s="52">
        <f t="shared" ca="1" si="8142"/>
        <v>0</v>
      </c>
      <c r="AH1254" s="52">
        <f t="shared" ca="1" si="8142"/>
        <v>0</v>
      </c>
      <c r="AI1254" s="52">
        <f t="shared" ca="1" si="8142"/>
        <v>0</v>
      </c>
      <c r="AJ1254" s="52">
        <f t="shared" ca="1" si="8142"/>
        <v>0</v>
      </c>
      <c r="AK1254" s="52">
        <f t="shared" ca="1" si="8142"/>
        <v>0</v>
      </c>
      <c r="AL1254" s="52">
        <f t="shared" ca="1" si="8142"/>
        <v>0</v>
      </c>
      <c r="AM1254" s="52">
        <f t="shared" ca="1" si="8142"/>
        <v>0</v>
      </c>
      <c r="AN1254" s="52">
        <f t="shared" ca="1" si="8142"/>
        <v>0</v>
      </c>
      <c r="AO1254" s="52">
        <f t="shared" ca="1" si="8142"/>
        <v>0</v>
      </c>
      <c r="AP1254" s="52">
        <f t="shared" ca="1" si="8142"/>
        <v>0</v>
      </c>
      <c r="AQ1254" s="52">
        <f t="shared" ca="1" si="8142"/>
        <v>0</v>
      </c>
      <c r="AR1254" s="52">
        <f t="shared" ca="1" si="8142"/>
        <v>0</v>
      </c>
      <c r="AS1254" s="52">
        <f t="shared" ca="1" si="8142"/>
        <v>0</v>
      </c>
      <c r="AT1254" s="52">
        <f t="shared" ca="1" si="8142"/>
        <v>0</v>
      </c>
      <c r="AU1254" s="52">
        <f t="shared" ca="1" si="8142"/>
        <v>0</v>
      </c>
      <c r="AV1254" s="52">
        <f t="shared" ca="1" si="8142"/>
        <v>0</v>
      </c>
      <c r="AW1254" s="52">
        <f t="shared" ca="1" si="8142"/>
        <v>0</v>
      </c>
      <c r="AX1254" s="52">
        <f t="shared" ca="1" si="8142"/>
        <v>0</v>
      </c>
      <c r="AY1254" s="52">
        <f t="shared" ca="1" si="8142"/>
        <v>0</v>
      </c>
      <c r="AZ1254" s="52">
        <f t="shared" ca="1" si="8142"/>
        <v>0</v>
      </c>
      <c r="BA1254" s="52">
        <f t="shared" ca="1" si="8142"/>
        <v>0</v>
      </c>
      <c r="BB1254" s="52">
        <f t="shared" ca="1" si="8142"/>
        <v>-46400.772996403553</v>
      </c>
      <c r="BC1254" s="52">
        <f t="shared" ca="1" si="8142"/>
        <v>0</v>
      </c>
      <c r="BD1254" s="52">
        <f t="shared" ca="1" si="8142"/>
        <v>0</v>
      </c>
      <c r="BE1254" s="52">
        <f t="shared" ca="1" si="8142"/>
        <v>-1481.8754323964547</v>
      </c>
      <c r="BF1254" s="52">
        <f t="shared" ca="1" si="8142"/>
        <v>-35004.669227923951</v>
      </c>
      <c r="BG1254" s="52">
        <f t="shared" ca="1" si="8142"/>
        <v>0</v>
      </c>
      <c r="BH1254" s="52">
        <f t="shared" ca="1" si="8142"/>
        <v>0</v>
      </c>
      <c r="BI1254" s="52">
        <f t="shared" ca="1" si="8142"/>
        <v>0</v>
      </c>
      <c r="BJ1254" s="52">
        <f t="shared" ca="1" si="8142"/>
        <v>0</v>
      </c>
      <c r="BK1254" s="52">
        <f t="shared" ca="1" si="8142"/>
        <v>0</v>
      </c>
      <c r="BL1254" s="52">
        <f t="shared" ca="1" si="8142"/>
        <v>0</v>
      </c>
      <c r="BM1254" s="52">
        <f t="shared" ca="1" si="8142"/>
        <v>0</v>
      </c>
      <c r="BN1254" s="52">
        <f t="shared" ca="1" si="8142"/>
        <v>0</v>
      </c>
      <c r="BO1254" s="52">
        <f t="shared" ca="1" si="8142"/>
        <v>0</v>
      </c>
      <c r="BP1254" s="52">
        <f t="shared" ca="1" si="8142"/>
        <v>0</v>
      </c>
      <c r="BQ1254" s="52">
        <f t="shared" ca="1" si="8142"/>
        <v>0</v>
      </c>
      <c r="BR1254" s="52">
        <f t="shared" ca="1" si="8142"/>
        <v>0</v>
      </c>
      <c r="BS1254" s="52">
        <f t="shared" ca="1" si="8142"/>
        <v>0</v>
      </c>
      <c r="BT1254" s="52">
        <f t="shared" ca="1" si="8142"/>
        <v>0</v>
      </c>
      <c r="BU1254" s="52">
        <f t="shared" ca="1" si="8142"/>
        <v>0</v>
      </c>
      <c r="BV1254" s="52">
        <f t="shared" ca="1" si="8142"/>
        <v>0</v>
      </c>
      <c r="BW1254" s="52">
        <f t="shared" ca="1" si="8142"/>
        <v>0</v>
      </c>
      <c r="BX1254" s="52">
        <f t="shared" ca="1" si="8142"/>
        <v>0</v>
      </c>
      <c r="BY1254" s="52">
        <f t="shared" ref="BY1254:CO1254" ca="1" si="8143">-MIN(BY1276,BY1250)*Flag_Operations</f>
        <v>0</v>
      </c>
      <c r="BZ1254" s="52">
        <f t="shared" ca="1" si="8143"/>
        <v>0</v>
      </c>
      <c r="CA1254" s="52">
        <f t="shared" ca="1" si="8143"/>
        <v>0</v>
      </c>
      <c r="CB1254" s="52">
        <f t="shared" ca="1" si="8143"/>
        <v>0</v>
      </c>
      <c r="CC1254" s="52">
        <f t="shared" ca="1" si="8143"/>
        <v>0</v>
      </c>
      <c r="CD1254" s="52">
        <f t="shared" ca="1" si="8143"/>
        <v>0</v>
      </c>
      <c r="CE1254" s="52">
        <f t="shared" ca="1" si="8143"/>
        <v>0</v>
      </c>
      <c r="CF1254" s="52">
        <f t="shared" ca="1" si="8143"/>
        <v>0</v>
      </c>
      <c r="CG1254" s="52">
        <f t="shared" ca="1" si="8143"/>
        <v>0</v>
      </c>
      <c r="CH1254" s="52">
        <f t="shared" ca="1" si="8143"/>
        <v>0</v>
      </c>
      <c r="CI1254" s="52">
        <f t="shared" ca="1" si="8143"/>
        <v>0</v>
      </c>
      <c r="CJ1254" s="52">
        <f t="shared" ca="1" si="8143"/>
        <v>0</v>
      </c>
      <c r="CK1254" s="52">
        <f t="shared" ca="1" si="8143"/>
        <v>0</v>
      </c>
      <c r="CL1254" s="52">
        <f t="shared" ca="1" si="8143"/>
        <v>0</v>
      </c>
      <c r="CM1254" s="52">
        <f t="shared" ca="1" si="8143"/>
        <v>0</v>
      </c>
      <c r="CN1254" s="52">
        <f t="shared" ca="1" si="8143"/>
        <v>0</v>
      </c>
      <c r="CO1254" s="52">
        <f t="shared" ca="1" si="8143"/>
        <v>0</v>
      </c>
    </row>
    <row r="1255" spans="1:93">
      <c r="A1255" s="10"/>
      <c r="B1255" s="10"/>
      <c r="C1255" s="17" t="s">
        <v>203</v>
      </c>
      <c r="D1255" s="10"/>
      <c r="E1255" s="10"/>
      <c r="F1255" s="10"/>
      <c r="G1255" s="134" t="str">
        <f t="shared" si="8049"/>
        <v>тыс. руб.</v>
      </c>
      <c r="H1255" s="10"/>
      <c r="I1255" s="10"/>
      <c r="J1255" s="10"/>
      <c r="K1255" s="10"/>
      <c r="L1255" s="52">
        <f t="shared" ref="L1255" ca="1" si="8144">SUM(L1250:L1254)</f>
        <v>0</v>
      </c>
      <c r="M1255" s="52">
        <f t="shared" ref="M1255:BX1255" ca="1" si="8145">SUM(M1250:M1254)</f>
        <v>0</v>
      </c>
      <c r="N1255" s="52">
        <f t="shared" ca="1" si="8145"/>
        <v>0</v>
      </c>
      <c r="O1255" s="52">
        <f t="shared" ca="1" si="8145"/>
        <v>0</v>
      </c>
      <c r="P1255" s="52">
        <f t="shared" ca="1" si="8145"/>
        <v>0</v>
      </c>
      <c r="Q1255" s="52">
        <f t="shared" ca="1" si="8145"/>
        <v>0</v>
      </c>
      <c r="R1255" s="52">
        <f t="shared" ca="1" si="8145"/>
        <v>0</v>
      </c>
      <c r="S1255" s="52">
        <f t="shared" ca="1" si="8145"/>
        <v>0</v>
      </c>
      <c r="T1255" s="52">
        <f t="shared" ca="1" si="8145"/>
        <v>0</v>
      </c>
      <c r="U1255" s="52">
        <f t="shared" ca="1" si="8145"/>
        <v>0</v>
      </c>
      <c r="V1255" s="52">
        <f t="shared" ca="1" si="8145"/>
        <v>0</v>
      </c>
      <c r="W1255" s="52">
        <f t="shared" ca="1" si="8145"/>
        <v>0</v>
      </c>
      <c r="X1255" s="52">
        <f t="shared" ca="1" si="8145"/>
        <v>0</v>
      </c>
      <c r="Y1255" s="52">
        <f t="shared" ca="1" si="8145"/>
        <v>0</v>
      </c>
      <c r="Z1255" s="52">
        <f t="shared" ca="1" si="8145"/>
        <v>0</v>
      </c>
      <c r="AA1255" s="52">
        <f t="shared" ca="1" si="8145"/>
        <v>0</v>
      </c>
      <c r="AB1255" s="52">
        <f t="shared" ca="1" si="8145"/>
        <v>0</v>
      </c>
      <c r="AC1255" s="52">
        <f t="shared" ca="1" si="8145"/>
        <v>0</v>
      </c>
      <c r="AD1255" s="52">
        <f t="shared" ca="1" si="8145"/>
        <v>0</v>
      </c>
      <c r="AE1255" s="52">
        <f t="shared" ca="1" si="8145"/>
        <v>0</v>
      </c>
      <c r="AF1255" s="52">
        <f t="shared" ca="1" si="8145"/>
        <v>0</v>
      </c>
      <c r="AG1255" s="52">
        <f t="shared" ca="1" si="8145"/>
        <v>0</v>
      </c>
      <c r="AH1255" s="52">
        <f t="shared" ca="1" si="8145"/>
        <v>0</v>
      </c>
      <c r="AI1255" s="52">
        <f t="shared" ca="1" si="8145"/>
        <v>0</v>
      </c>
      <c r="AJ1255" s="52">
        <f t="shared" ca="1" si="8145"/>
        <v>0</v>
      </c>
      <c r="AK1255" s="52">
        <f t="shared" ca="1" si="8145"/>
        <v>0</v>
      </c>
      <c r="AL1255" s="52">
        <f t="shared" ca="1" si="8145"/>
        <v>0</v>
      </c>
      <c r="AM1255" s="52">
        <f t="shared" ca="1" si="8145"/>
        <v>0</v>
      </c>
      <c r="AN1255" s="52">
        <f t="shared" ca="1" si="8145"/>
        <v>0</v>
      </c>
      <c r="AO1255" s="52">
        <f t="shared" ca="1" si="8145"/>
        <v>0</v>
      </c>
      <c r="AP1255" s="52">
        <f t="shared" ca="1" si="8145"/>
        <v>0</v>
      </c>
      <c r="AQ1255" s="52">
        <f t="shared" ca="1" si="8145"/>
        <v>0</v>
      </c>
      <c r="AR1255" s="52">
        <f t="shared" ca="1" si="8145"/>
        <v>0</v>
      </c>
      <c r="AS1255" s="52">
        <f t="shared" ca="1" si="8145"/>
        <v>0</v>
      </c>
      <c r="AT1255" s="52">
        <f t="shared" ca="1" si="8145"/>
        <v>0</v>
      </c>
      <c r="AU1255" s="52">
        <f t="shared" ca="1" si="8145"/>
        <v>0</v>
      </c>
      <c r="AV1255" s="52">
        <f t="shared" ca="1" si="8145"/>
        <v>0</v>
      </c>
      <c r="AW1255" s="52">
        <f t="shared" ca="1" si="8145"/>
        <v>0</v>
      </c>
      <c r="AX1255" s="52">
        <f t="shared" ca="1" si="8145"/>
        <v>0</v>
      </c>
      <c r="AY1255" s="52">
        <f t="shared" ca="1" si="8145"/>
        <v>0</v>
      </c>
      <c r="AZ1255" s="52">
        <f t="shared" ca="1" si="8145"/>
        <v>43604.129095403696</v>
      </c>
      <c r="BA1255" s="52">
        <f t="shared" ca="1" si="8145"/>
        <v>46400.772996403553</v>
      </c>
      <c r="BB1255" s="52">
        <f t="shared" ca="1" si="8145"/>
        <v>0</v>
      </c>
      <c r="BC1255" s="52">
        <f t="shared" ca="1" si="8145"/>
        <v>0</v>
      </c>
      <c r="BD1255" s="52">
        <f t="shared" ca="1" si="8145"/>
        <v>36486.544660320404</v>
      </c>
      <c r="BE1255" s="52">
        <f t="shared" ca="1" si="8145"/>
        <v>35004.669227923951</v>
      </c>
      <c r="BF1255" s="52">
        <f t="shared" ca="1" si="8145"/>
        <v>0</v>
      </c>
      <c r="BG1255" s="52">
        <f t="shared" ca="1" si="8145"/>
        <v>0</v>
      </c>
      <c r="BH1255" s="52">
        <f t="shared" ca="1" si="8145"/>
        <v>0</v>
      </c>
      <c r="BI1255" s="52">
        <f t="shared" ca="1" si="8145"/>
        <v>0</v>
      </c>
      <c r="BJ1255" s="52">
        <f t="shared" ca="1" si="8145"/>
        <v>0</v>
      </c>
      <c r="BK1255" s="52">
        <f t="shared" ca="1" si="8145"/>
        <v>0</v>
      </c>
      <c r="BL1255" s="52">
        <f t="shared" ca="1" si="8145"/>
        <v>0</v>
      </c>
      <c r="BM1255" s="52">
        <f t="shared" ca="1" si="8145"/>
        <v>0</v>
      </c>
      <c r="BN1255" s="52">
        <f t="shared" ca="1" si="8145"/>
        <v>0</v>
      </c>
      <c r="BO1255" s="52">
        <f t="shared" ca="1" si="8145"/>
        <v>0</v>
      </c>
      <c r="BP1255" s="52">
        <f t="shared" ca="1" si="8145"/>
        <v>0</v>
      </c>
      <c r="BQ1255" s="52">
        <f t="shared" ca="1" si="8145"/>
        <v>0</v>
      </c>
      <c r="BR1255" s="52">
        <f t="shared" ca="1" si="8145"/>
        <v>0</v>
      </c>
      <c r="BS1255" s="52">
        <f t="shared" ca="1" si="8145"/>
        <v>0</v>
      </c>
      <c r="BT1255" s="52">
        <f t="shared" ca="1" si="8145"/>
        <v>0</v>
      </c>
      <c r="BU1255" s="52">
        <f t="shared" ca="1" si="8145"/>
        <v>0</v>
      </c>
      <c r="BV1255" s="52">
        <f t="shared" ca="1" si="8145"/>
        <v>0</v>
      </c>
      <c r="BW1255" s="52">
        <f t="shared" ca="1" si="8145"/>
        <v>0</v>
      </c>
      <c r="BX1255" s="52">
        <f t="shared" ca="1" si="8145"/>
        <v>0</v>
      </c>
      <c r="BY1255" s="52">
        <f t="shared" ref="BY1255:CO1255" ca="1" si="8146">SUM(BY1250:BY1254)</f>
        <v>0</v>
      </c>
      <c r="BZ1255" s="52">
        <f t="shared" ca="1" si="8146"/>
        <v>0</v>
      </c>
      <c r="CA1255" s="52">
        <f t="shared" ca="1" si="8146"/>
        <v>0</v>
      </c>
      <c r="CB1255" s="52">
        <f t="shared" ca="1" si="8146"/>
        <v>0</v>
      </c>
      <c r="CC1255" s="52">
        <f t="shared" ca="1" si="8146"/>
        <v>0</v>
      </c>
      <c r="CD1255" s="52">
        <f t="shared" ca="1" si="8146"/>
        <v>0</v>
      </c>
      <c r="CE1255" s="52">
        <f t="shared" ca="1" si="8146"/>
        <v>0</v>
      </c>
      <c r="CF1255" s="52">
        <f t="shared" ca="1" si="8146"/>
        <v>0</v>
      </c>
      <c r="CG1255" s="52">
        <f t="shared" ca="1" si="8146"/>
        <v>0</v>
      </c>
      <c r="CH1255" s="52">
        <f t="shared" ca="1" si="8146"/>
        <v>0</v>
      </c>
      <c r="CI1255" s="52">
        <f t="shared" ca="1" si="8146"/>
        <v>0</v>
      </c>
      <c r="CJ1255" s="52">
        <f t="shared" ca="1" si="8146"/>
        <v>0</v>
      </c>
      <c r="CK1255" s="52">
        <f t="shared" ca="1" si="8146"/>
        <v>0</v>
      </c>
      <c r="CL1255" s="52">
        <f t="shared" ca="1" si="8146"/>
        <v>0</v>
      </c>
      <c r="CM1255" s="52">
        <f t="shared" ca="1" si="8146"/>
        <v>0</v>
      </c>
      <c r="CN1255" s="52">
        <f t="shared" ca="1" si="8146"/>
        <v>0</v>
      </c>
      <c r="CO1255" s="52">
        <f t="shared" ca="1" si="8146"/>
        <v>0</v>
      </c>
    </row>
    <row r="1256" spans="1:93">
      <c r="A1256" s="10"/>
      <c r="B1256" s="10"/>
      <c r="C1256" s="17"/>
      <c r="D1256" s="10"/>
      <c r="E1256" s="10"/>
      <c r="F1256" s="10"/>
      <c r="G1256" s="11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  <c r="AZ1256" s="10"/>
      <c r="BA1256" s="10"/>
      <c r="BB1256" s="10"/>
      <c r="BC1256" s="10"/>
      <c r="BD1256" s="10"/>
      <c r="BE1256" s="10"/>
      <c r="BF1256" s="10"/>
      <c r="BG1256" s="10"/>
      <c r="BH1256" s="10"/>
      <c r="BI1256" s="10"/>
      <c r="BJ1256" s="10"/>
      <c r="BK1256" s="10"/>
      <c r="BL1256" s="10"/>
      <c r="BM1256" s="10"/>
      <c r="BN1256" s="10"/>
      <c r="BO1256" s="10"/>
      <c r="BP1256" s="10"/>
      <c r="BQ1256" s="10"/>
      <c r="BR1256" s="10"/>
      <c r="BS1256" s="10"/>
      <c r="BT1256" s="10"/>
      <c r="BU1256" s="10"/>
      <c r="BV1256" s="10"/>
      <c r="BW1256" s="10"/>
      <c r="BX1256" s="10"/>
      <c r="BY1256" s="10"/>
      <c r="BZ1256" s="10"/>
      <c r="CA1256" s="10"/>
      <c r="CB1256" s="10"/>
      <c r="CC1256" s="10"/>
      <c r="CD1256" s="10"/>
      <c r="CE1256" s="10"/>
      <c r="CF1256" s="10"/>
      <c r="CG1256" s="10"/>
      <c r="CH1256" s="10"/>
      <c r="CI1256" s="10"/>
      <c r="CJ1256" s="10"/>
      <c r="CK1256" s="10"/>
      <c r="CL1256" s="10"/>
      <c r="CM1256" s="10"/>
      <c r="CN1256" s="10"/>
      <c r="CO1256" s="10"/>
    </row>
    <row r="1257" spans="1:93">
      <c r="A1257" s="10"/>
      <c r="B1257" s="10"/>
      <c r="C1257" s="17" t="s">
        <v>365</v>
      </c>
      <c r="D1257" s="10"/>
      <c r="E1257" s="10"/>
      <c r="F1257" s="10"/>
      <c r="G1257" s="134" t="str">
        <f>Monetary_Unit</f>
        <v>тыс. руб.</v>
      </c>
      <c r="H1257" s="10"/>
      <c r="I1257" s="23">
        <f ca="1">SUM(L1257:CO1257)</f>
        <v>80081.617035734249</v>
      </c>
      <c r="J1257" s="10"/>
      <c r="K1257" s="10"/>
      <c r="L1257" s="52">
        <f t="shared" ref="L1257" ca="1" si="8147">SUM(L1251:L1252)</f>
        <v>0</v>
      </c>
      <c r="M1257" s="52">
        <f t="shared" ref="M1257:BX1257" ca="1" si="8148">SUM(M1251:M1252)</f>
        <v>0</v>
      </c>
      <c r="N1257" s="52">
        <f t="shared" ca="1" si="8148"/>
        <v>0</v>
      </c>
      <c r="O1257" s="52">
        <f t="shared" ca="1" si="8148"/>
        <v>0</v>
      </c>
      <c r="P1257" s="52">
        <f t="shared" ca="1" si="8148"/>
        <v>0</v>
      </c>
      <c r="Q1257" s="52">
        <f t="shared" ca="1" si="8148"/>
        <v>0</v>
      </c>
      <c r="R1257" s="52">
        <f t="shared" ca="1" si="8148"/>
        <v>0</v>
      </c>
      <c r="S1257" s="52">
        <f t="shared" ca="1" si="8148"/>
        <v>0</v>
      </c>
      <c r="T1257" s="52">
        <f t="shared" ca="1" si="8148"/>
        <v>0</v>
      </c>
      <c r="U1257" s="52">
        <f t="shared" ca="1" si="8148"/>
        <v>0</v>
      </c>
      <c r="V1257" s="52">
        <f t="shared" ca="1" si="8148"/>
        <v>0</v>
      </c>
      <c r="W1257" s="52">
        <f t="shared" ca="1" si="8148"/>
        <v>0</v>
      </c>
      <c r="X1257" s="52">
        <f t="shared" ca="1" si="8148"/>
        <v>0</v>
      </c>
      <c r="Y1257" s="52">
        <f t="shared" ca="1" si="8148"/>
        <v>0</v>
      </c>
      <c r="Z1257" s="52">
        <f t="shared" ca="1" si="8148"/>
        <v>0</v>
      </c>
      <c r="AA1257" s="52">
        <f t="shared" ca="1" si="8148"/>
        <v>0</v>
      </c>
      <c r="AB1257" s="52">
        <f t="shared" ca="1" si="8148"/>
        <v>0</v>
      </c>
      <c r="AC1257" s="52">
        <f t="shared" ca="1" si="8148"/>
        <v>0</v>
      </c>
      <c r="AD1257" s="52">
        <f t="shared" ca="1" si="8148"/>
        <v>0</v>
      </c>
      <c r="AE1257" s="52">
        <f t="shared" ca="1" si="8148"/>
        <v>0</v>
      </c>
      <c r="AF1257" s="52">
        <f t="shared" ca="1" si="8148"/>
        <v>0</v>
      </c>
      <c r="AG1257" s="52">
        <f t="shared" ca="1" si="8148"/>
        <v>0</v>
      </c>
      <c r="AH1257" s="52">
        <f t="shared" ca="1" si="8148"/>
        <v>0</v>
      </c>
      <c r="AI1257" s="52">
        <f t="shared" ca="1" si="8148"/>
        <v>0</v>
      </c>
      <c r="AJ1257" s="52">
        <f t="shared" ca="1" si="8148"/>
        <v>0</v>
      </c>
      <c r="AK1257" s="52">
        <f t="shared" ca="1" si="8148"/>
        <v>0</v>
      </c>
      <c r="AL1257" s="52">
        <f t="shared" ca="1" si="8148"/>
        <v>0</v>
      </c>
      <c r="AM1257" s="52">
        <f t="shared" ca="1" si="8148"/>
        <v>0</v>
      </c>
      <c r="AN1257" s="52">
        <f t="shared" ca="1" si="8148"/>
        <v>0</v>
      </c>
      <c r="AO1257" s="52">
        <f t="shared" ca="1" si="8148"/>
        <v>0</v>
      </c>
      <c r="AP1257" s="52">
        <f t="shared" ca="1" si="8148"/>
        <v>0</v>
      </c>
      <c r="AQ1257" s="52">
        <f t="shared" ca="1" si="8148"/>
        <v>0</v>
      </c>
      <c r="AR1257" s="52">
        <f t="shared" ca="1" si="8148"/>
        <v>0</v>
      </c>
      <c r="AS1257" s="52">
        <f t="shared" ca="1" si="8148"/>
        <v>0</v>
      </c>
      <c r="AT1257" s="52">
        <f t="shared" ca="1" si="8148"/>
        <v>0</v>
      </c>
      <c r="AU1257" s="52">
        <f t="shared" ca="1" si="8148"/>
        <v>0</v>
      </c>
      <c r="AV1257" s="52">
        <f t="shared" ca="1" si="8148"/>
        <v>0</v>
      </c>
      <c r="AW1257" s="52">
        <f t="shared" ca="1" si="8148"/>
        <v>0</v>
      </c>
      <c r="AX1257" s="52">
        <f t="shared" ca="1" si="8148"/>
        <v>0</v>
      </c>
      <c r="AY1257" s="52">
        <f t="shared" ca="1" si="8148"/>
        <v>0</v>
      </c>
      <c r="AZ1257" s="52">
        <f t="shared" ca="1" si="8148"/>
        <v>42890.270483924673</v>
      </c>
      <c r="BA1257" s="52">
        <f t="shared" ca="1" si="8148"/>
        <v>1307.0405516153842</v>
      </c>
      <c r="BB1257" s="52">
        <f t="shared" ca="1" si="8148"/>
        <v>0</v>
      </c>
      <c r="BC1257" s="52">
        <f t="shared" ca="1" si="8148"/>
        <v>0</v>
      </c>
      <c r="BD1257" s="52">
        <f t="shared" ca="1" si="8148"/>
        <v>35884.306000194192</v>
      </c>
      <c r="BE1257" s="52">
        <f t="shared" ca="1" si="8148"/>
        <v>0</v>
      </c>
      <c r="BF1257" s="52">
        <f t="shared" ca="1" si="8148"/>
        <v>0</v>
      </c>
      <c r="BG1257" s="52">
        <f t="shared" ca="1" si="8148"/>
        <v>0</v>
      </c>
      <c r="BH1257" s="52">
        <f t="shared" ca="1" si="8148"/>
        <v>0</v>
      </c>
      <c r="BI1257" s="52">
        <f t="shared" ca="1" si="8148"/>
        <v>0</v>
      </c>
      <c r="BJ1257" s="52">
        <f t="shared" ca="1" si="8148"/>
        <v>0</v>
      </c>
      <c r="BK1257" s="52">
        <f t="shared" ca="1" si="8148"/>
        <v>0</v>
      </c>
      <c r="BL1257" s="52">
        <f t="shared" ca="1" si="8148"/>
        <v>0</v>
      </c>
      <c r="BM1257" s="52">
        <f t="shared" ca="1" si="8148"/>
        <v>0</v>
      </c>
      <c r="BN1257" s="52">
        <f t="shared" ca="1" si="8148"/>
        <v>0</v>
      </c>
      <c r="BO1257" s="52">
        <f t="shared" ca="1" si="8148"/>
        <v>0</v>
      </c>
      <c r="BP1257" s="52">
        <f t="shared" ca="1" si="8148"/>
        <v>0</v>
      </c>
      <c r="BQ1257" s="52">
        <f t="shared" ca="1" si="8148"/>
        <v>0</v>
      </c>
      <c r="BR1257" s="52">
        <f t="shared" ca="1" si="8148"/>
        <v>0</v>
      </c>
      <c r="BS1257" s="52">
        <f t="shared" ca="1" si="8148"/>
        <v>0</v>
      </c>
      <c r="BT1257" s="52">
        <f t="shared" ca="1" si="8148"/>
        <v>0</v>
      </c>
      <c r="BU1257" s="52">
        <f t="shared" ca="1" si="8148"/>
        <v>0</v>
      </c>
      <c r="BV1257" s="52">
        <f t="shared" ca="1" si="8148"/>
        <v>0</v>
      </c>
      <c r="BW1257" s="52">
        <f t="shared" ca="1" si="8148"/>
        <v>0</v>
      </c>
      <c r="BX1257" s="52">
        <f t="shared" ca="1" si="8148"/>
        <v>0</v>
      </c>
      <c r="BY1257" s="52">
        <f t="shared" ref="BY1257:CO1257" ca="1" si="8149">SUM(BY1251:BY1252)</f>
        <v>0</v>
      </c>
      <c r="BZ1257" s="52">
        <f t="shared" ca="1" si="8149"/>
        <v>0</v>
      </c>
      <c r="CA1257" s="52">
        <f t="shared" ca="1" si="8149"/>
        <v>0</v>
      </c>
      <c r="CB1257" s="52">
        <f t="shared" ca="1" si="8149"/>
        <v>0</v>
      </c>
      <c r="CC1257" s="52">
        <f t="shared" ca="1" si="8149"/>
        <v>0</v>
      </c>
      <c r="CD1257" s="52">
        <f t="shared" ca="1" si="8149"/>
        <v>0</v>
      </c>
      <c r="CE1257" s="52">
        <f t="shared" ca="1" si="8149"/>
        <v>0</v>
      </c>
      <c r="CF1257" s="52">
        <f t="shared" ca="1" si="8149"/>
        <v>0</v>
      </c>
      <c r="CG1257" s="52">
        <f t="shared" ca="1" si="8149"/>
        <v>0</v>
      </c>
      <c r="CH1257" s="52">
        <f t="shared" ca="1" si="8149"/>
        <v>0</v>
      </c>
      <c r="CI1257" s="52">
        <f t="shared" ca="1" si="8149"/>
        <v>0</v>
      </c>
      <c r="CJ1257" s="52">
        <f t="shared" ca="1" si="8149"/>
        <v>0</v>
      </c>
      <c r="CK1257" s="52">
        <f t="shared" ca="1" si="8149"/>
        <v>0</v>
      </c>
      <c r="CL1257" s="52">
        <f t="shared" ca="1" si="8149"/>
        <v>0</v>
      </c>
      <c r="CM1257" s="52">
        <f t="shared" ca="1" si="8149"/>
        <v>0</v>
      </c>
      <c r="CN1257" s="52">
        <f t="shared" ca="1" si="8149"/>
        <v>0</v>
      </c>
      <c r="CO1257" s="52">
        <f t="shared" ca="1" si="8149"/>
        <v>0</v>
      </c>
    </row>
    <row r="1258" spans="1:93">
      <c r="A1258" s="10"/>
      <c r="B1258" s="10"/>
      <c r="C1258" s="17"/>
      <c r="D1258" s="10"/>
      <c r="E1258" s="10"/>
      <c r="F1258" s="10"/>
      <c r="G1258" s="11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  <c r="AY1258" s="10"/>
      <c r="AZ1258" s="10"/>
      <c r="BA1258" s="10"/>
      <c r="BB1258" s="10"/>
      <c r="BC1258" s="10"/>
      <c r="BD1258" s="10"/>
      <c r="BE1258" s="10"/>
      <c r="BF1258" s="10"/>
      <c r="BG1258" s="10"/>
      <c r="BH1258" s="10"/>
      <c r="BI1258" s="10"/>
      <c r="BJ1258" s="10"/>
      <c r="BK1258" s="10"/>
      <c r="BL1258" s="10"/>
      <c r="BM1258" s="10"/>
      <c r="BN1258" s="10"/>
      <c r="BO1258" s="10"/>
      <c r="BP1258" s="10"/>
      <c r="BQ1258" s="10"/>
      <c r="BR1258" s="10"/>
      <c r="BS1258" s="10"/>
      <c r="BT1258" s="10"/>
      <c r="BU1258" s="10"/>
      <c r="BV1258" s="10"/>
      <c r="BW1258" s="10"/>
      <c r="BX1258" s="10"/>
      <c r="BY1258" s="10"/>
      <c r="BZ1258" s="10"/>
      <c r="CA1258" s="10"/>
      <c r="CB1258" s="10"/>
      <c r="CC1258" s="10"/>
      <c r="CD1258" s="10"/>
      <c r="CE1258" s="10"/>
      <c r="CF1258" s="10"/>
      <c r="CG1258" s="10"/>
      <c r="CH1258" s="10"/>
      <c r="CI1258" s="10"/>
      <c r="CJ1258" s="10"/>
      <c r="CK1258" s="10"/>
      <c r="CL1258" s="10"/>
      <c r="CM1258" s="10"/>
      <c r="CN1258" s="10"/>
      <c r="CO1258" s="10"/>
    </row>
    <row r="1259" spans="1:93">
      <c r="A1259" s="10"/>
      <c r="B1259" s="10"/>
      <c r="C1259" s="17" t="s">
        <v>1519</v>
      </c>
      <c r="D1259" s="10"/>
      <c r="E1259" s="178">
        <f xml:space="preserve"> Предпосылки!E609 + Debt_rate_sens</f>
        <v>0.05</v>
      </c>
      <c r="F1259" s="10"/>
      <c r="G1259" s="11" t="s">
        <v>28</v>
      </c>
      <c r="H1259" s="10"/>
      <c r="I1259" s="10"/>
      <c r="J1259" s="10"/>
      <c r="K1259" s="10"/>
      <c r="L1259" s="58"/>
      <c r="M1259" s="58"/>
      <c r="N1259" s="58"/>
      <c r="O1259" s="58"/>
      <c r="P1259" s="58"/>
      <c r="Q1259" s="58"/>
      <c r="R1259" s="58"/>
      <c r="S1259" s="58"/>
      <c r="T1259" s="58"/>
      <c r="U1259" s="58"/>
      <c r="V1259" s="58"/>
      <c r="W1259" s="58"/>
      <c r="X1259" s="58"/>
      <c r="Y1259" s="58"/>
      <c r="Z1259" s="58"/>
      <c r="AA1259" s="58"/>
      <c r="AB1259" s="58"/>
      <c r="AC1259" s="58"/>
      <c r="AD1259" s="58"/>
      <c r="AE1259" s="58"/>
      <c r="AF1259" s="58"/>
      <c r="AG1259" s="58"/>
      <c r="AH1259" s="58"/>
      <c r="AI1259" s="58"/>
      <c r="AJ1259" s="58"/>
      <c r="AK1259" s="58"/>
      <c r="AL1259" s="58"/>
      <c r="AM1259" s="58"/>
      <c r="AN1259" s="58"/>
      <c r="AO1259" s="58"/>
      <c r="AP1259" s="58"/>
      <c r="AQ1259" s="58"/>
      <c r="AR1259" s="58"/>
      <c r="AS1259" s="58"/>
      <c r="AT1259" s="58"/>
      <c r="AU1259" s="58"/>
      <c r="AV1259" s="58"/>
      <c r="AW1259" s="58"/>
      <c r="AX1259" s="58"/>
      <c r="AY1259" s="58"/>
      <c r="AZ1259" s="58"/>
      <c r="BA1259" s="58"/>
      <c r="BB1259" s="58"/>
      <c r="BC1259" s="58"/>
      <c r="BD1259" s="58"/>
      <c r="BE1259" s="58"/>
      <c r="BF1259" s="58"/>
      <c r="BG1259" s="58"/>
      <c r="BH1259" s="58"/>
      <c r="BI1259" s="58"/>
      <c r="BJ1259" s="58"/>
      <c r="BK1259" s="58"/>
      <c r="BL1259" s="58"/>
      <c r="BM1259" s="58"/>
      <c r="BN1259" s="58"/>
      <c r="BO1259" s="58"/>
      <c r="BP1259" s="58"/>
      <c r="BQ1259" s="58"/>
      <c r="BR1259" s="58"/>
      <c r="BS1259" s="58"/>
      <c r="BT1259" s="58"/>
      <c r="BU1259" s="58"/>
      <c r="BV1259" s="58"/>
      <c r="BW1259" s="58"/>
      <c r="BX1259" s="58"/>
      <c r="BY1259" s="58"/>
      <c r="BZ1259" s="58"/>
      <c r="CA1259" s="58"/>
      <c r="CB1259" s="58"/>
      <c r="CC1259" s="58"/>
      <c r="CD1259" s="58"/>
      <c r="CE1259" s="58"/>
      <c r="CF1259" s="58"/>
      <c r="CG1259" s="58"/>
      <c r="CH1259" s="58"/>
      <c r="CI1259" s="58"/>
      <c r="CJ1259" s="58"/>
      <c r="CK1259" s="58"/>
      <c r="CL1259" s="58"/>
      <c r="CM1259" s="58"/>
      <c r="CN1259" s="58"/>
      <c r="CO1259" s="58"/>
    </row>
    <row r="1260" spans="1:93">
      <c r="A1260" s="10"/>
      <c r="B1260" s="10"/>
      <c r="C1260" s="17" t="s">
        <v>181</v>
      </c>
      <c r="D1260" s="10"/>
      <c r="E1260" s="10"/>
      <c r="F1260" s="10"/>
      <c r="G1260" s="11" t="s">
        <v>28</v>
      </c>
      <c r="H1260" s="10"/>
      <c r="I1260" s="10"/>
      <c r="J1260" s="10"/>
      <c r="K1260" s="10"/>
      <c r="L1260" s="58">
        <f t="shared" ref="L1260:AQ1260" si="8150" xml:space="preserve"> $E1259 * Period_length+Key_rate</f>
        <v>5.1780821917808216E-2</v>
      </c>
      <c r="M1260" s="58">
        <f t="shared" si="8150"/>
        <v>5.2356164383561644E-2</v>
      </c>
      <c r="N1260" s="58">
        <f t="shared" si="8150"/>
        <v>5.2931506849315073E-2</v>
      </c>
      <c r="O1260" s="58">
        <f t="shared" si="8150"/>
        <v>5.2931506849315073E-2</v>
      </c>
      <c r="P1260" s="58">
        <f t="shared" si="8150"/>
        <v>3.9452054794520547E-2</v>
      </c>
      <c r="Q1260" s="58">
        <f t="shared" si="8150"/>
        <v>3.989041095890411E-2</v>
      </c>
      <c r="R1260" s="58">
        <f t="shared" si="8150"/>
        <v>4.0328767123287673E-2</v>
      </c>
      <c r="S1260" s="58">
        <f t="shared" si="8150"/>
        <v>4.0328767123287673E-2</v>
      </c>
      <c r="T1260" s="58">
        <f t="shared" si="8150"/>
        <v>3.3287671232876716E-2</v>
      </c>
      <c r="U1260" s="58">
        <f t="shared" si="8150"/>
        <v>3.3657534246575346E-2</v>
      </c>
      <c r="V1260" s="58">
        <f t="shared" si="8150"/>
        <v>3.4027397260273977E-2</v>
      </c>
      <c r="W1260" s="58">
        <f t="shared" si="8150"/>
        <v>3.4027397260273977E-2</v>
      </c>
      <c r="X1260" s="58">
        <f t="shared" si="8150"/>
        <v>3.3565573770491804E-2</v>
      </c>
      <c r="Y1260" s="58">
        <f t="shared" si="8150"/>
        <v>3.3565573770491804E-2</v>
      </c>
      <c r="Z1260" s="58">
        <f t="shared" si="8150"/>
        <v>3.3934426229508201E-2</v>
      </c>
      <c r="AA1260" s="58">
        <f t="shared" si="8150"/>
        <v>3.3934426229508201E-2</v>
      </c>
      <c r="AB1260" s="58">
        <f t="shared" si="8150"/>
        <v>3.3287671232876716E-2</v>
      </c>
      <c r="AC1260" s="58">
        <f t="shared" si="8150"/>
        <v>3.3657534246575346E-2</v>
      </c>
      <c r="AD1260" s="58">
        <f t="shared" si="8150"/>
        <v>3.4027397260273977E-2</v>
      </c>
      <c r="AE1260" s="58">
        <f t="shared" si="8150"/>
        <v>3.4027397260273977E-2</v>
      </c>
      <c r="AF1260" s="58">
        <f t="shared" si="8150"/>
        <v>3.3287671232876716E-2</v>
      </c>
      <c r="AG1260" s="58">
        <f t="shared" si="8150"/>
        <v>3.3657534246575346E-2</v>
      </c>
      <c r="AH1260" s="58">
        <f t="shared" si="8150"/>
        <v>3.4027397260273977E-2</v>
      </c>
      <c r="AI1260" s="58">
        <f t="shared" si="8150"/>
        <v>3.4027397260273977E-2</v>
      </c>
      <c r="AJ1260" s="58">
        <f t="shared" si="8150"/>
        <v>3.3287671232876716E-2</v>
      </c>
      <c r="AK1260" s="58">
        <f t="shared" si="8150"/>
        <v>3.3657534246575346E-2</v>
      </c>
      <c r="AL1260" s="58">
        <f t="shared" si="8150"/>
        <v>3.4027397260273977E-2</v>
      </c>
      <c r="AM1260" s="58">
        <f t="shared" si="8150"/>
        <v>3.4027397260273977E-2</v>
      </c>
      <c r="AN1260" s="58">
        <f t="shared" si="8150"/>
        <v>3.3565573770491804E-2</v>
      </c>
      <c r="AO1260" s="58">
        <f t="shared" si="8150"/>
        <v>3.3565573770491804E-2</v>
      </c>
      <c r="AP1260" s="58">
        <f t="shared" si="8150"/>
        <v>3.3934426229508201E-2</v>
      </c>
      <c r="AQ1260" s="58">
        <f t="shared" si="8150"/>
        <v>3.3934426229508201E-2</v>
      </c>
      <c r="AR1260" s="58">
        <f t="shared" ref="AR1260:BW1260" si="8151" xml:space="preserve"> $E1259 * Period_length+Key_rate</f>
        <v>3.3287671232876716E-2</v>
      </c>
      <c r="AS1260" s="58">
        <f t="shared" si="8151"/>
        <v>3.3657534246575346E-2</v>
      </c>
      <c r="AT1260" s="58">
        <f t="shared" si="8151"/>
        <v>3.4027397260273977E-2</v>
      </c>
      <c r="AU1260" s="58">
        <f t="shared" si="8151"/>
        <v>3.4027397260273977E-2</v>
      </c>
      <c r="AV1260" s="58">
        <f t="shared" si="8151"/>
        <v>3.3287671232876716E-2</v>
      </c>
      <c r="AW1260" s="58">
        <f t="shared" si="8151"/>
        <v>3.3657534246575346E-2</v>
      </c>
      <c r="AX1260" s="58">
        <f t="shared" si="8151"/>
        <v>3.4027397260273977E-2</v>
      </c>
      <c r="AY1260" s="58">
        <f t="shared" si="8151"/>
        <v>3.4027397260273977E-2</v>
      </c>
      <c r="AZ1260" s="58">
        <f t="shared" si="8151"/>
        <v>3.3287671232876716E-2</v>
      </c>
      <c r="BA1260" s="58">
        <f t="shared" si="8151"/>
        <v>3.3657534246575346E-2</v>
      </c>
      <c r="BB1260" s="58">
        <f t="shared" si="8151"/>
        <v>3.4027397260273977E-2</v>
      </c>
      <c r="BC1260" s="58">
        <f t="shared" si="8151"/>
        <v>3.4027397260273977E-2</v>
      </c>
      <c r="BD1260" s="58">
        <f t="shared" si="8151"/>
        <v>3.3565573770491804E-2</v>
      </c>
      <c r="BE1260" s="58">
        <f t="shared" si="8151"/>
        <v>3.3565573770491804E-2</v>
      </c>
      <c r="BF1260" s="58">
        <f t="shared" si="8151"/>
        <v>3.3934426229508201E-2</v>
      </c>
      <c r="BG1260" s="58">
        <f t="shared" si="8151"/>
        <v>3.3934426229508201E-2</v>
      </c>
      <c r="BH1260" s="58">
        <f t="shared" si="8151"/>
        <v>3.3287671232876716E-2</v>
      </c>
      <c r="BI1260" s="58">
        <f t="shared" si="8151"/>
        <v>3.3657534246575346E-2</v>
      </c>
      <c r="BJ1260" s="58">
        <f t="shared" si="8151"/>
        <v>3.4027397260273977E-2</v>
      </c>
      <c r="BK1260" s="58">
        <f t="shared" si="8151"/>
        <v>3.4027397260273977E-2</v>
      </c>
      <c r="BL1260" s="58">
        <f t="shared" si="8151"/>
        <v>3.3287671232876716E-2</v>
      </c>
      <c r="BM1260" s="58">
        <f t="shared" si="8151"/>
        <v>3.3657534246575346E-2</v>
      </c>
      <c r="BN1260" s="58">
        <f t="shared" si="8151"/>
        <v>3.4027397260273977E-2</v>
      </c>
      <c r="BO1260" s="58">
        <f t="shared" si="8151"/>
        <v>3.4027397260273977E-2</v>
      </c>
      <c r="BP1260" s="58">
        <f t="shared" si="8151"/>
        <v>3.3287671232876716E-2</v>
      </c>
      <c r="BQ1260" s="58">
        <f t="shared" si="8151"/>
        <v>3.3657534246575346E-2</v>
      </c>
      <c r="BR1260" s="58">
        <f t="shared" si="8151"/>
        <v>3.4027397260273977E-2</v>
      </c>
      <c r="BS1260" s="58">
        <f t="shared" si="8151"/>
        <v>3.4027397260273977E-2</v>
      </c>
      <c r="BT1260" s="58">
        <f t="shared" si="8151"/>
        <v>3.3565573770491804E-2</v>
      </c>
      <c r="BU1260" s="58">
        <f t="shared" si="8151"/>
        <v>3.3565573770491804E-2</v>
      </c>
      <c r="BV1260" s="58">
        <f t="shared" si="8151"/>
        <v>3.3934426229508201E-2</v>
      </c>
      <c r="BW1260" s="58">
        <f t="shared" si="8151"/>
        <v>3.3934426229508201E-2</v>
      </c>
      <c r="BX1260" s="58">
        <f t="shared" ref="BX1260:CO1260" si="8152" xml:space="preserve"> $E1259 * Period_length+Key_rate</f>
        <v>3.3287671232876716E-2</v>
      </c>
      <c r="BY1260" s="58">
        <f t="shared" si="8152"/>
        <v>3.3657534246575346E-2</v>
      </c>
      <c r="BZ1260" s="58">
        <f t="shared" si="8152"/>
        <v>3.4027397260273977E-2</v>
      </c>
      <c r="CA1260" s="58">
        <f t="shared" si="8152"/>
        <v>3.4027397260273977E-2</v>
      </c>
      <c r="CB1260" s="58">
        <f t="shared" si="8152"/>
        <v>3.3287671232876716E-2</v>
      </c>
      <c r="CC1260" s="58">
        <f t="shared" si="8152"/>
        <v>3.3657534246575346E-2</v>
      </c>
      <c r="CD1260" s="58">
        <f t="shared" si="8152"/>
        <v>3.4027397260273977E-2</v>
      </c>
      <c r="CE1260" s="58">
        <f t="shared" si="8152"/>
        <v>3.4027397260273977E-2</v>
      </c>
      <c r="CF1260" s="58">
        <f t="shared" si="8152"/>
        <v>3.3287671232876716E-2</v>
      </c>
      <c r="CG1260" s="58">
        <f t="shared" si="8152"/>
        <v>3.3657534246575346E-2</v>
      </c>
      <c r="CH1260" s="58">
        <f t="shared" si="8152"/>
        <v>3.4027397260273977E-2</v>
      </c>
      <c r="CI1260" s="58">
        <f t="shared" si="8152"/>
        <v>3.4027397260273977E-2</v>
      </c>
      <c r="CJ1260" s="58">
        <f t="shared" si="8152"/>
        <v>3.3565573770491804E-2</v>
      </c>
      <c r="CK1260" s="58">
        <f t="shared" si="8152"/>
        <v>3.3565573770491804E-2</v>
      </c>
      <c r="CL1260" s="58">
        <f t="shared" si="8152"/>
        <v>3.3934426229508201E-2</v>
      </c>
      <c r="CM1260" s="58">
        <f t="shared" si="8152"/>
        <v>3.3934426229508201E-2</v>
      </c>
      <c r="CN1260" s="58">
        <f t="shared" si="8152"/>
        <v>3.3287671232876716E-2</v>
      </c>
      <c r="CO1260" s="58">
        <f t="shared" si="8152"/>
        <v>3.3657534246575346E-2</v>
      </c>
    </row>
    <row r="1261" spans="1:93">
      <c r="A1261" s="10"/>
      <c r="B1261" s="10"/>
      <c r="C1261" s="17" t="s">
        <v>546</v>
      </c>
      <c r="D1261" s="10"/>
      <c r="E1261" s="10"/>
      <c r="F1261" s="10"/>
      <c r="G1261" s="134" t="str">
        <f t="shared" ref="G1261:G1266" si="8153">Monetary_Unit</f>
        <v>тыс. руб.</v>
      </c>
      <c r="H1261" s="10"/>
      <c r="I1261" s="23">
        <f ca="1">SUM(L1261:CO1261)</f>
        <v>6797.1533289517665</v>
      </c>
      <c r="J1261" s="10"/>
      <c r="K1261" s="10"/>
      <c r="L1261" s="52">
        <f t="shared" ref="L1261" ca="1" si="8154">(K1255+L1251/2+L1252/2)*L1260</f>
        <v>0</v>
      </c>
      <c r="M1261" s="52">
        <f t="shared" ref="M1261" ca="1" si="8155">(L1255+M1251/2+M1252/2)*M1260</f>
        <v>0</v>
      </c>
      <c r="N1261" s="52">
        <f t="shared" ref="N1261" ca="1" si="8156">(M1255+N1251/2+N1252/2)*N1260</f>
        <v>0</v>
      </c>
      <c r="O1261" s="52">
        <f t="shared" ref="O1261" ca="1" si="8157">(N1255+O1251/2+O1252/2)*O1260</f>
        <v>0</v>
      </c>
      <c r="P1261" s="52">
        <f t="shared" ref="P1261" ca="1" si="8158">(O1255+P1251/2+P1252/2)*P1260</f>
        <v>0</v>
      </c>
      <c r="Q1261" s="52">
        <f t="shared" ref="Q1261" ca="1" si="8159">(P1255+Q1251/2+Q1252/2)*Q1260</f>
        <v>0</v>
      </c>
      <c r="R1261" s="52">
        <f t="shared" ref="R1261" ca="1" si="8160">(Q1255+R1251/2+R1252/2)*R1260</f>
        <v>0</v>
      </c>
      <c r="S1261" s="52">
        <f t="shared" ref="S1261" ca="1" si="8161">(R1255+S1251/2+S1252/2)*S1260</f>
        <v>0</v>
      </c>
      <c r="T1261" s="52">
        <f t="shared" ref="T1261" ca="1" si="8162">(S1255+T1251/2+T1252/2)*T1260</f>
        <v>0</v>
      </c>
      <c r="U1261" s="52">
        <f t="shared" ref="U1261" ca="1" si="8163">(T1255+U1251/2+U1252/2)*U1260</f>
        <v>0</v>
      </c>
      <c r="V1261" s="52">
        <f t="shared" ref="V1261" ca="1" si="8164">(U1255+V1251/2+V1252/2)*V1260</f>
        <v>0</v>
      </c>
      <c r="W1261" s="52">
        <f t="shared" ref="W1261" ca="1" si="8165">(V1255+W1251/2+W1252/2)*W1260</f>
        <v>0</v>
      </c>
      <c r="X1261" s="52">
        <f t="shared" ref="X1261" ca="1" si="8166">(W1255+X1251/2+X1252/2)*X1260</f>
        <v>0</v>
      </c>
      <c r="Y1261" s="52">
        <f t="shared" ref="Y1261" ca="1" si="8167">(X1255+Y1251/2+Y1252/2)*Y1260</f>
        <v>0</v>
      </c>
      <c r="Z1261" s="52">
        <f t="shared" ref="Z1261" ca="1" si="8168">(Y1255+Z1251/2+Z1252/2)*Z1260</f>
        <v>0</v>
      </c>
      <c r="AA1261" s="52">
        <f t="shared" ref="AA1261" ca="1" si="8169">(Z1255+AA1251/2+AA1252/2)*AA1260</f>
        <v>0</v>
      </c>
      <c r="AB1261" s="52">
        <f t="shared" ref="AB1261" ca="1" si="8170">(AA1255+AB1251/2+AB1252/2)*AB1260</f>
        <v>0</v>
      </c>
      <c r="AC1261" s="52">
        <f t="shared" ref="AC1261" ca="1" si="8171">(AB1255+AC1251/2+AC1252/2)*AC1260</f>
        <v>0</v>
      </c>
      <c r="AD1261" s="52">
        <f t="shared" ref="AD1261" ca="1" si="8172">(AC1255+AD1251/2+AD1252/2)*AD1260</f>
        <v>0</v>
      </c>
      <c r="AE1261" s="52">
        <f t="shared" ref="AE1261" ca="1" si="8173">(AD1255+AE1251/2+AE1252/2)*AE1260</f>
        <v>0</v>
      </c>
      <c r="AF1261" s="52">
        <f t="shared" ref="AF1261" ca="1" si="8174">(AE1255+AF1251/2+AF1252/2)*AF1260</f>
        <v>0</v>
      </c>
      <c r="AG1261" s="52">
        <f t="shared" ref="AG1261" ca="1" si="8175">(AF1255+AG1251/2+AG1252/2)*AG1260</f>
        <v>0</v>
      </c>
      <c r="AH1261" s="52">
        <f t="shared" ref="AH1261" ca="1" si="8176">(AG1255+AH1251/2+AH1252/2)*AH1260</f>
        <v>0</v>
      </c>
      <c r="AI1261" s="52">
        <f t="shared" ref="AI1261" ca="1" si="8177">(AH1255+AI1251/2+AI1252/2)*AI1260</f>
        <v>0</v>
      </c>
      <c r="AJ1261" s="52">
        <f t="shared" ref="AJ1261" ca="1" si="8178">(AI1255+AJ1251/2+AJ1252/2)*AJ1260</f>
        <v>0</v>
      </c>
      <c r="AK1261" s="52">
        <f t="shared" ref="AK1261" ca="1" si="8179">(AJ1255+AK1251/2+AK1252/2)*AK1260</f>
        <v>0</v>
      </c>
      <c r="AL1261" s="52">
        <f t="shared" ref="AL1261" ca="1" si="8180">(AK1255+AL1251/2+AL1252/2)*AL1260</f>
        <v>0</v>
      </c>
      <c r="AM1261" s="52">
        <f t="shared" ref="AM1261" ca="1" si="8181">(AL1255+AM1251/2+AM1252/2)*AM1260</f>
        <v>0</v>
      </c>
      <c r="AN1261" s="52">
        <f t="shared" ref="AN1261" ca="1" si="8182">(AM1255+AN1251/2+AN1252/2)*AN1260</f>
        <v>0</v>
      </c>
      <c r="AO1261" s="52">
        <f t="shared" ref="AO1261" ca="1" si="8183">(AN1255+AO1251/2+AO1252/2)*AO1260</f>
        <v>0</v>
      </c>
      <c r="AP1261" s="52">
        <f t="shared" ref="AP1261" ca="1" si="8184">(AO1255+AP1251/2+AP1252/2)*AP1260</f>
        <v>0</v>
      </c>
      <c r="AQ1261" s="52">
        <f t="shared" ref="AQ1261" ca="1" si="8185">(AP1255+AQ1251/2+AQ1252/2)*AQ1260</f>
        <v>0</v>
      </c>
      <c r="AR1261" s="52">
        <f t="shared" ref="AR1261" ca="1" si="8186">(AQ1255+AR1251/2+AR1252/2)*AR1260</f>
        <v>0</v>
      </c>
      <c r="AS1261" s="52">
        <f t="shared" ref="AS1261" ca="1" si="8187">(AR1255+AS1251/2+AS1252/2)*AS1260</f>
        <v>0</v>
      </c>
      <c r="AT1261" s="52">
        <f t="shared" ref="AT1261" ca="1" si="8188">(AS1255+AT1251/2+AT1252/2)*AT1260</f>
        <v>0</v>
      </c>
      <c r="AU1261" s="52">
        <f t="shared" ref="AU1261" ca="1" si="8189">(AT1255+AU1251/2+AU1252/2)*AU1260</f>
        <v>0</v>
      </c>
      <c r="AV1261" s="52">
        <f t="shared" ref="AV1261" ca="1" si="8190">(AU1255+AV1251/2+AV1252/2)*AV1260</f>
        <v>0</v>
      </c>
      <c r="AW1261" s="52">
        <f t="shared" ref="AW1261" ca="1" si="8191">(AV1255+AW1251/2+AW1252/2)*AW1260</f>
        <v>0</v>
      </c>
      <c r="AX1261" s="52">
        <f t="shared" ref="AX1261" ca="1" si="8192">(AW1255+AX1251/2+AX1252/2)*AX1260</f>
        <v>0</v>
      </c>
      <c r="AY1261" s="52">
        <f t="shared" ref="AY1261" ca="1" si="8193">(AX1255+AY1251/2+AY1252/2)*AY1260</f>
        <v>0</v>
      </c>
      <c r="AZ1261" s="52">
        <f t="shared" ref="AZ1261" ca="1" si="8194">(AY1255+AZ1251/2+AZ1252/2)*AZ1260</f>
        <v>713.85861147902028</v>
      </c>
      <c r="BA1261" s="52">
        <f t="shared" ref="BA1261" ca="1" si="8195">(AZ1255+BA1251/2+BA1252/2)*BA1260</f>
        <v>1489.6033493844711</v>
      </c>
      <c r="BB1261" s="52">
        <f t="shared" ref="BB1261" ca="1" si="8196">(BA1255+BB1251/2+BB1252/2)*BB1260</f>
        <v>1578.897535932417</v>
      </c>
      <c r="BC1261" s="52">
        <f t="shared" ref="BC1261" ca="1" si="8197">(BB1255+BC1251/2+BC1252/2)*BC1260</f>
        <v>0</v>
      </c>
      <c r="BD1261" s="52">
        <f t="shared" ref="BD1261" ca="1" si="8198">(BC1255+BD1251/2+BD1252/2)*BD1260</f>
        <v>602.23866012620988</v>
      </c>
      <c r="BE1261" s="52">
        <f t="shared" ref="BE1261" ca="1" si="8199">(BD1255+BE1251/2+BE1252/2)*BE1260</f>
        <v>1224.6918064263284</v>
      </c>
      <c r="BF1261" s="52">
        <f t="shared" ref="BF1261" ca="1" si="8200">(BE1255+BF1251/2+BF1252/2)*BF1260</f>
        <v>1187.8633656033212</v>
      </c>
      <c r="BG1261" s="52">
        <f t="shared" ref="BG1261" ca="1" si="8201">(BF1255+BG1251/2+BG1252/2)*BG1260</f>
        <v>0</v>
      </c>
      <c r="BH1261" s="52">
        <f t="shared" ref="BH1261" ca="1" si="8202">(BG1255+BH1251/2+BH1252/2)*BH1260</f>
        <v>0</v>
      </c>
      <c r="BI1261" s="52">
        <f t="shared" ref="BI1261" ca="1" si="8203">(BH1255+BI1251/2+BI1252/2)*BI1260</f>
        <v>0</v>
      </c>
      <c r="BJ1261" s="52">
        <f t="shared" ref="BJ1261" ca="1" si="8204">(BI1255+BJ1251/2+BJ1252/2)*BJ1260</f>
        <v>0</v>
      </c>
      <c r="BK1261" s="52">
        <f t="shared" ref="BK1261" ca="1" si="8205">(BJ1255+BK1251/2+BK1252/2)*BK1260</f>
        <v>0</v>
      </c>
      <c r="BL1261" s="52">
        <f t="shared" ref="BL1261" ca="1" si="8206">(BK1255+BL1251/2+BL1252/2)*BL1260</f>
        <v>0</v>
      </c>
      <c r="BM1261" s="52">
        <f t="shared" ref="BM1261" ca="1" si="8207">(BL1255+BM1251/2+BM1252/2)*BM1260</f>
        <v>0</v>
      </c>
      <c r="BN1261" s="52">
        <f t="shared" ref="BN1261" ca="1" si="8208">(BM1255+BN1251/2+BN1252/2)*BN1260</f>
        <v>0</v>
      </c>
      <c r="BO1261" s="52">
        <f t="shared" ref="BO1261" ca="1" si="8209">(BN1255+BO1251/2+BO1252/2)*BO1260</f>
        <v>0</v>
      </c>
      <c r="BP1261" s="52">
        <f t="shared" ref="BP1261" ca="1" si="8210">(BO1255+BP1251/2+BP1252/2)*BP1260</f>
        <v>0</v>
      </c>
      <c r="BQ1261" s="52">
        <f t="shared" ref="BQ1261" ca="1" si="8211">(BP1255+BQ1251/2+BQ1252/2)*BQ1260</f>
        <v>0</v>
      </c>
      <c r="BR1261" s="52">
        <f t="shared" ref="BR1261" ca="1" si="8212">(BQ1255+BR1251/2+BR1252/2)*BR1260</f>
        <v>0</v>
      </c>
      <c r="BS1261" s="52">
        <f t="shared" ref="BS1261" ca="1" si="8213">(BR1255+BS1251/2+BS1252/2)*BS1260</f>
        <v>0</v>
      </c>
      <c r="BT1261" s="52">
        <f t="shared" ref="BT1261" ca="1" si="8214">(BS1255+BT1251/2+BT1252/2)*BT1260</f>
        <v>0</v>
      </c>
      <c r="BU1261" s="52">
        <f t="shared" ref="BU1261" ca="1" si="8215">(BT1255+BU1251/2+BU1252/2)*BU1260</f>
        <v>0</v>
      </c>
      <c r="BV1261" s="52">
        <f t="shared" ref="BV1261" ca="1" si="8216">(BU1255+BV1251/2+BV1252/2)*BV1260</f>
        <v>0</v>
      </c>
      <c r="BW1261" s="52">
        <f t="shared" ref="BW1261" ca="1" si="8217">(BV1255+BW1251/2+BW1252/2)*BW1260</f>
        <v>0</v>
      </c>
      <c r="BX1261" s="52">
        <f t="shared" ref="BX1261" ca="1" si="8218">(BW1255+BX1251/2+BX1252/2)*BX1260</f>
        <v>0</v>
      </c>
      <c r="BY1261" s="52">
        <f t="shared" ref="BY1261" ca="1" si="8219">(BX1255+BY1251/2+BY1252/2)*BY1260</f>
        <v>0</v>
      </c>
      <c r="BZ1261" s="52">
        <f t="shared" ref="BZ1261" ca="1" si="8220">(BY1255+BZ1251/2+BZ1252/2)*BZ1260</f>
        <v>0</v>
      </c>
      <c r="CA1261" s="52">
        <f t="shared" ref="CA1261" ca="1" si="8221">(BZ1255+CA1251/2+CA1252/2)*CA1260</f>
        <v>0</v>
      </c>
      <c r="CB1261" s="52">
        <f t="shared" ref="CB1261" ca="1" si="8222">(CA1255+CB1251/2+CB1252/2)*CB1260</f>
        <v>0</v>
      </c>
      <c r="CC1261" s="52">
        <f t="shared" ref="CC1261" ca="1" si="8223">(CB1255+CC1251/2+CC1252/2)*CC1260</f>
        <v>0</v>
      </c>
      <c r="CD1261" s="52">
        <f t="shared" ref="CD1261" ca="1" si="8224">(CC1255+CD1251/2+CD1252/2)*CD1260</f>
        <v>0</v>
      </c>
      <c r="CE1261" s="52">
        <f t="shared" ref="CE1261" ca="1" si="8225">(CD1255+CE1251/2+CE1252/2)*CE1260</f>
        <v>0</v>
      </c>
      <c r="CF1261" s="52">
        <f t="shared" ref="CF1261" ca="1" si="8226">(CE1255+CF1251/2+CF1252/2)*CF1260</f>
        <v>0</v>
      </c>
      <c r="CG1261" s="52">
        <f t="shared" ref="CG1261" ca="1" si="8227">(CF1255+CG1251/2+CG1252/2)*CG1260</f>
        <v>0</v>
      </c>
      <c r="CH1261" s="52">
        <f t="shared" ref="CH1261" ca="1" si="8228">(CG1255+CH1251/2+CH1252/2)*CH1260</f>
        <v>0</v>
      </c>
      <c r="CI1261" s="52">
        <f t="shared" ref="CI1261" ca="1" si="8229">(CH1255+CI1251/2+CI1252/2)*CI1260</f>
        <v>0</v>
      </c>
      <c r="CJ1261" s="52">
        <f t="shared" ref="CJ1261" ca="1" si="8230">(CI1255+CJ1251/2+CJ1252/2)*CJ1260</f>
        <v>0</v>
      </c>
      <c r="CK1261" s="52">
        <f t="shared" ref="CK1261" ca="1" si="8231">(CJ1255+CK1251/2+CK1252/2)*CK1260</f>
        <v>0</v>
      </c>
      <c r="CL1261" s="52">
        <f t="shared" ref="CL1261" ca="1" si="8232">(CK1255+CL1251/2+CL1252/2)*CL1260</f>
        <v>0</v>
      </c>
      <c r="CM1261" s="52">
        <f t="shared" ref="CM1261" ca="1" si="8233">(CL1255+CM1251/2+CM1252/2)*CM1260</f>
        <v>0</v>
      </c>
      <c r="CN1261" s="52">
        <f t="shared" ref="CN1261" ca="1" si="8234">(CM1255+CN1251/2+CN1252/2)*CN1260</f>
        <v>0</v>
      </c>
      <c r="CO1261" s="52">
        <f t="shared" ref="CO1261" ca="1" si="8235">(CN1255+CO1251/2+CO1252/2)*CO1260</f>
        <v>0</v>
      </c>
    </row>
    <row r="1262" spans="1:93">
      <c r="A1262" s="10"/>
      <c r="B1262" s="10"/>
      <c r="C1262" s="17" t="s">
        <v>547</v>
      </c>
      <c r="D1262" s="10"/>
      <c r="E1262" s="10"/>
      <c r="F1262" s="10"/>
      <c r="G1262" s="134" t="str">
        <f t="shared" si="8153"/>
        <v>тыс. руб.</v>
      </c>
      <c r="H1262" s="10"/>
      <c r="I1262" s="23"/>
      <c r="J1262" s="10"/>
      <c r="K1262" s="10"/>
      <c r="L1262" s="64">
        <v>0</v>
      </c>
      <c r="M1262" s="64">
        <v>0</v>
      </c>
      <c r="N1262" s="64">
        <v>0</v>
      </c>
      <c r="O1262" s="64">
        <v>0</v>
      </c>
      <c r="P1262" s="64">
        <v>0</v>
      </c>
      <c r="Q1262" s="64">
        <v>0</v>
      </c>
      <c r="R1262" s="64">
        <v>0</v>
      </c>
      <c r="S1262" s="64">
        <v>0</v>
      </c>
      <c r="T1262" s="64">
        <v>0</v>
      </c>
      <c r="U1262" s="64">
        <v>0</v>
      </c>
      <c r="V1262" s="64">
        <v>0</v>
      </c>
      <c r="W1262" s="64">
        <v>0</v>
      </c>
      <c r="X1262" s="64">
        <v>0</v>
      </c>
      <c r="Y1262" s="64">
        <v>0</v>
      </c>
      <c r="Z1262" s="64">
        <v>0</v>
      </c>
      <c r="AA1262" s="64">
        <v>0</v>
      </c>
      <c r="AB1262" s="64">
        <v>0</v>
      </c>
      <c r="AC1262" s="64">
        <v>0</v>
      </c>
      <c r="AD1262" s="64">
        <v>0</v>
      </c>
      <c r="AE1262" s="64">
        <v>0</v>
      </c>
      <c r="AF1262" s="64">
        <v>0</v>
      </c>
      <c r="AG1262" s="64">
        <v>0</v>
      </c>
      <c r="AH1262" s="64">
        <v>0</v>
      </c>
      <c r="AI1262" s="64">
        <v>0</v>
      </c>
      <c r="AJ1262" s="64">
        <v>0</v>
      </c>
      <c r="AK1262" s="64">
        <v>0</v>
      </c>
      <c r="AL1262" s="64">
        <v>0</v>
      </c>
      <c r="AM1262" s="64">
        <v>0</v>
      </c>
      <c r="AN1262" s="64">
        <v>0</v>
      </c>
      <c r="AO1262" s="64">
        <v>0</v>
      </c>
      <c r="AP1262" s="64">
        <v>0</v>
      </c>
      <c r="AQ1262" s="64">
        <v>0</v>
      </c>
      <c r="AR1262" s="64">
        <v>0</v>
      </c>
      <c r="AS1262" s="64">
        <v>0</v>
      </c>
      <c r="AT1262" s="64">
        <v>0</v>
      </c>
      <c r="AU1262" s="64">
        <v>0</v>
      </c>
      <c r="AV1262" s="64">
        <v>0</v>
      </c>
      <c r="AW1262" s="64">
        <v>0</v>
      </c>
      <c r="AX1262" s="64">
        <v>0</v>
      </c>
      <c r="AY1262" s="64">
        <v>0</v>
      </c>
      <c r="AZ1262" s="64">
        <v>713.85861147902028</v>
      </c>
      <c r="BA1262" s="64">
        <v>1489.6033493844711</v>
      </c>
      <c r="BB1262" s="64">
        <v>1578.8975359324165</v>
      </c>
      <c r="BC1262" s="64">
        <v>0</v>
      </c>
      <c r="BD1262" s="64">
        <v>602.23866012620988</v>
      </c>
      <c r="BE1262" s="64">
        <v>1224.6918064263284</v>
      </c>
      <c r="BF1262" s="64">
        <v>1187.8633656033207</v>
      </c>
      <c r="BG1262" s="64">
        <v>0</v>
      </c>
      <c r="BH1262" s="64">
        <v>0</v>
      </c>
      <c r="BI1262" s="64">
        <v>0</v>
      </c>
      <c r="BJ1262" s="64">
        <v>0</v>
      </c>
      <c r="BK1262" s="64">
        <v>0</v>
      </c>
      <c r="BL1262" s="64">
        <v>0</v>
      </c>
      <c r="BM1262" s="64">
        <v>0</v>
      </c>
      <c r="BN1262" s="64">
        <v>0</v>
      </c>
      <c r="BO1262" s="64">
        <v>0</v>
      </c>
      <c r="BP1262" s="64">
        <v>0</v>
      </c>
      <c r="BQ1262" s="64">
        <v>0</v>
      </c>
      <c r="BR1262" s="64">
        <v>0</v>
      </c>
      <c r="BS1262" s="64">
        <v>0</v>
      </c>
      <c r="BT1262" s="64">
        <v>0</v>
      </c>
      <c r="BU1262" s="64">
        <v>0</v>
      </c>
      <c r="BV1262" s="64">
        <v>0</v>
      </c>
      <c r="BW1262" s="64">
        <v>0</v>
      </c>
      <c r="BX1262" s="64">
        <v>0</v>
      </c>
      <c r="BY1262" s="64">
        <v>0</v>
      </c>
      <c r="BZ1262" s="64">
        <v>0</v>
      </c>
      <c r="CA1262" s="64">
        <v>0</v>
      </c>
      <c r="CB1262" s="64">
        <v>0</v>
      </c>
      <c r="CC1262" s="64">
        <v>0</v>
      </c>
      <c r="CD1262" s="64">
        <v>0</v>
      </c>
      <c r="CE1262" s="64">
        <v>0</v>
      </c>
      <c r="CF1262" s="64">
        <v>0</v>
      </c>
      <c r="CG1262" s="64">
        <v>0</v>
      </c>
      <c r="CH1262" s="64">
        <v>0</v>
      </c>
      <c r="CI1262" s="64">
        <v>0</v>
      </c>
      <c r="CJ1262" s="64">
        <v>0</v>
      </c>
      <c r="CK1262" s="64">
        <v>0</v>
      </c>
      <c r="CL1262" s="64">
        <v>0</v>
      </c>
      <c r="CM1262" s="64">
        <v>0</v>
      </c>
      <c r="CN1262" s="64">
        <v>0</v>
      </c>
      <c r="CO1262" s="64">
        <v>0</v>
      </c>
    </row>
    <row r="1263" spans="1:93">
      <c r="A1263" s="10"/>
      <c r="B1263" s="10"/>
      <c r="C1263" s="17" t="s">
        <v>417</v>
      </c>
      <c r="D1263" s="10"/>
      <c r="E1263" s="10"/>
      <c r="F1263" s="10"/>
      <c r="G1263" s="134" t="str">
        <f t="shared" si="8153"/>
        <v>тыс. руб.</v>
      </c>
      <c r="H1263" s="10"/>
      <c r="I1263" s="23">
        <f>SUM(L1263:CO1263)</f>
        <v>0</v>
      </c>
      <c r="J1263" s="10"/>
      <c r="K1263" s="10"/>
      <c r="L1263" s="52">
        <f t="shared" ref="L1263" si="8236">L1262*Flag_Construction</f>
        <v>0</v>
      </c>
      <c r="M1263" s="52">
        <f t="shared" ref="M1263:BX1263" si="8237">M1262*Flag_Construction</f>
        <v>0</v>
      </c>
      <c r="N1263" s="52">
        <f t="shared" si="8237"/>
        <v>0</v>
      </c>
      <c r="O1263" s="52">
        <f t="shared" si="8237"/>
        <v>0</v>
      </c>
      <c r="P1263" s="52">
        <f t="shared" si="8237"/>
        <v>0</v>
      </c>
      <c r="Q1263" s="52">
        <f t="shared" si="8237"/>
        <v>0</v>
      </c>
      <c r="R1263" s="52">
        <f t="shared" si="8237"/>
        <v>0</v>
      </c>
      <c r="S1263" s="52">
        <f t="shared" si="8237"/>
        <v>0</v>
      </c>
      <c r="T1263" s="52">
        <f t="shared" si="8237"/>
        <v>0</v>
      </c>
      <c r="U1263" s="52">
        <f t="shared" si="8237"/>
        <v>0</v>
      </c>
      <c r="V1263" s="52">
        <f t="shared" si="8237"/>
        <v>0</v>
      </c>
      <c r="W1263" s="52">
        <f t="shared" si="8237"/>
        <v>0</v>
      </c>
      <c r="X1263" s="52">
        <f t="shared" si="8237"/>
        <v>0</v>
      </c>
      <c r="Y1263" s="52">
        <f t="shared" si="8237"/>
        <v>0</v>
      </c>
      <c r="Z1263" s="52">
        <f t="shared" si="8237"/>
        <v>0</v>
      </c>
      <c r="AA1263" s="52">
        <f t="shared" si="8237"/>
        <v>0</v>
      </c>
      <c r="AB1263" s="52">
        <f t="shared" si="8237"/>
        <v>0</v>
      </c>
      <c r="AC1263" s="52">
        <f t="shared" si="8237"/>
        <v>0</v>
      </c>
      <c r="AD1263" s="52">
        <f t="shared" si="8237"/>
        <v>0</v>
      </c>
      <c r="AE1263" s="52">
        <f t="shared" si="8237"/>
        <v>0</v>
      </c>
      <c r="AF1263" s="52">
        <f t="shared" si="8237"/>
        <v>0</v>
      </c>
      <c r="AG1263" s="52">
        <f t="shared" si="8237"/>
        <v>0</v>
      </c>
      <c r="AH1263" s="52">
        <f t="shared" si="8237"/>
        <v>0</v>
      </c>
      <c r="AI1263" s="52">
        <f t="shared" si="8237"/>
        <v>0</v>
      </c>
      <c r="AJ1263" s="52">
        <f t="shared" si="8237"/>
        <v>0</v>
      </c>
      <c r="AK1263" s="52">
        <f t="shared" si="8237"/>
        <v>0</v>
      </c>
      <c r="AL1263" s="52">
        <f t="shared" si="8237"/>
        <v>0</v>
      </c>
      <c r="AM1263" s="52">
        <f t="shared" si="8237"/>
        <v>0</v>
      </c>
      <c r="AN1263" s="52">
        <f t="shared" si="8237"/>
        <v>0</v>
      </c>
      <c r="AO1263" s="52">
        <f t="shared" si="8237"/>
        <v>0</v>
      </c>
      <c r="AP1263" s="52">
        <f t="shared" si="8237"/>
        <v>0</v>
      </c>
      <c r="AQ1263" s="52">
        <f t="shared" si="8237"/>
        <v>0</v>
      </c>
      <c r="AR1263" s="52">
        <f t="shared" si="8237"/>
        <v>0</v>
      </c>
      <c r="AS1263" s="52">
        <f t="shared" si="8237"/>
        <v>0</v>
      </c>
      <c r="AT1263" s="52">
        <f t="shared" si="8237"/>
        <v>0</v>
      </c>
      <c r="AU1263" s="52">
        <f t="shared" si="8237"/>
        <v>0</v>
      </c>
      <c r="AV1263" s="52">
        <f t="shared" si="8237"/>
        <v>0</v>
      </c>
      <c r="AW1263" s="52">
        <f t="shared" si="8237"/>
        <v>0</v>
      </c>
      <c r="AX1263" s="52">
        <f t="shared" si="8237"/>
        <v>0</v>
      </c>
      <c r="AY1263" s="52">
        <f t="shared" si="8237"/>
        <v>0</v>
      </c>
      <c r="AZ1263" s="52">
        <f t="shared" si="8237"/>
        <v>0</v>
      </c>
      <c r="BA1263" s="52">
        <f t="shared" si="8237"/>
        <v>0</v>
      </c>
      <c r="BB1263" s="52">
        <f t="shared" si="8237"/>
        <v>0</v>
      </c>
      <c r="BC1263" s="52">
        <f t="shared" si="8237"/>
        <v>0</v>
      </c>
      <c r="BD1263" s="52">
        <f t="shared" si="8237"/>
        <v>0</v>
      </c>
      <c r="BE1263" s="52">
        <f t="shared" si="8237"/>
        <v>0</v>
      </c>
      <c r="BF1263" s="52">
        <f t="shared" si="8237"/>
        <v>0</v>
      </c>
      <c r="BG1263" s="52">
        <f t="shared" si="8237"/>
        <v>0</v>
      </c>
      <c r="BH1263" s="52">
        <f t="shared" si="8237"/>
        <v>0</v>
      </c>
      <c r="BI1263" s="52">
        <f t="shared" si="8237"/>
        <v>0</v>
      </c>
      <c r="BJ1263" s="52">
        <f t="shared" si="8237"/>
        <v>0</v>
      </c>
      <c r="BK1263" s="52">
        <f t="shared" si="8237"/>
        <v>0</v>
      </c>
      <c r="BL1263" s="52">
        <f t="shared" si="8237"/>
        <v>0</v>
      </c>
      <c r="BM1263" s="52">
        <f t="shared" si="8237"/>
        <v>0</v>
      </c>
      <c r="BN1263" s="52">
        <f t="shared" si="8237"/>
        <v>0</v>
      </c>
      <c r="BO1263" s="52">
        <f t="shared" si="8237"/>
        <v>0</v>
      </c>
      <c r="BP1263" s="52">
        <f t="shared" si="8237"/>
        <v>0</v>
      </c>
      <c r="BQ1263" s="52">
        <f t="shared" si="8237"/>
        <v>0</v>
      </c>
      <c r="BR1263" s="52">
        <f t="shared" si="8237"/>
        <v>0</v>
      </c>
      <c r="BS1263" s="52">
        <f t="shared" si="8237"/>
        <v>0</v>
      </c>
      <c r="BT1263" s="52">
        <f t="shared" si="8237"/>
        <v>0</v>
      </c>
      <c r="BU1263" s="52">
        <f t="shared" si="8237"/>
        <v>0</v>
      </c>
      <c r="BV1263" s="52">
        <f t="shared" si="8237"/>
        <v>0</v>
      </c>
      <c r="BW1263" s="52">
        <f t="shared" si="8237"/>
        <v>0</v>
      </c>
      <c r="BX1263" s="52">
        <f t="shared" si="8237"/>
        <v>0</v>
      </c>
      <c r="BY1263" s="52">
        <f t="shared" ref="BY1263:CO1263" si="8238">BY1262*Flag_Construction</f>
        <v>0</v>
      </c>
      <c r="BZ1263" s="52">
        <f t="shared" si="8238"/>
        <v>0</v>
      </c>
      <c r="CA1263" s="52">
        <f t="shared" si="8238"/>
        <v>0</v>
      </c>
      <c r="CB1263" s="52">
        <f t="shared" si="8238"/>
        <v>0</v>
      </c>
      <c r="CC1263" s="52">
        <f t="shared" si="8238"/>
        <v>0</v>
      </c>
      <c r="CD1263" s="52">
        <f t="shared" si="8238"/>
        <v>0</v>
      </c>
      <c r="CE1263" s="52">
        <f t="shared" si="8238"/>
        <v>0</v>
      </c>
      <c r="CF1263" s="52">
        <f t="shared" si="8238"/>
        <v>0</v>
      </c>
      <c r="CG1263" s="52">
        <f t="shared" si="8238"/>
        <v>0</v>
      </c>
      <c r="CH1263" s="52">
        <f t="shared" si="8238"/>
        <v>0</v>
      </c>
      <c r="CI1263" s="52">
        <f t="shared" si="8238"/>
        <v>0</v>
      </c>
      <c r="CJ1263" s="52">
        <f t="shared" si="8238"/>
        <v>0</v>
      </c>
      <c r="CK1263" s="52">
        <f t="shared" si="8238"/>
        <v>0</v>
      </c>
      <c r="CL1263" s="52">
        <f t="shared" si="8238"/>
        <v>0</v>
      </c>
      <c r="CM1263" s="52">
        <f t="shared" si="8238"/>
        <v>0</v>
      </c>
      <c r="CN1263" s="52">
        <f t="shared" si="8238"/>
        <v>0</v>
      </c>
      <c r="CO1263" s="52">
        <f t="shared" si="8238"/>
        <v>0</v>
      </c>
    </row>
    <row r="1264" spans="1:93">
      <c r="A1264" s="10"/>
      <c r="B1264" s="10"/>
      <c r="C1264" s="17" t="s">
        <v>418</v>
      </c>
      <c r="D1264" s="10"/>
      <c r="E1264" s="10"/>
      <c r="F1264" s="10"/>
      <c r="G1264" s="134" t="str">
        <f t="shared" si="8153"/>
        <v>тыс. руб.</v>
      </c>
      <c r="H1264" s="10"/>
      <c r="I1264" s="23">
        <f ca="1">SUM(L1264:CO1264)</f>
        <v>2805.7006209897008</v>
      </c>
      <c r="J1264" s="10"/>
      <c r="K1264" s="10"/>
      <c r="L1264" s="52">
        <f t="shared" ref="L1264" ca="1" si="8239">(L1262-L1265)*Flag_Operations</f>
        <v>0</v>
      </c>
      <c r="M1264" s="52">
        <f t="shared" ref="M1264:BX1264" ca="1" si="8240">(M1262-M1265)*Flag_Operations</f>
        <v>0</v>
      </c>
      <c r="N1264" s="52">
        <f t="shared" ca="1" si="8240"/>
        <v>0</v>
      </c>
      <c r="O1264" s="52">
        <f t="shared" ca="1" si="8240"/>
        <v>0</v>
      </c>
      <c r="P1264" s="52">
        <f t="shared" ca="1" si="8240"/>
        <v>0</v>
      </c>
      <c r="Q1264" s="52">
        <f t="shared" ca="1" si="8240"/>
        <v>0</v>
      </c>
      <c r="R1264" s="52">
        <f t="shared" ca="1" si="8240"/>
        <v>0</v>
      </c>
      <c r="S1264" s="52">
        <f t="shared" ca="1" si="8240"/>
        <v>0</v>
      </c>
      <c r="T1264" s="52">
        <f t="shared" ca="1" si="8240"/>
        <v>0</v>
      </c>
      <c r="U1264" s="52">
        <f t="shared" ca="1" si="8240"/>
        <v>0</v>
      </c>
      <c r="V1264" s="52">
        <f t="shared" ca="1" si="8240"/>
        <v>0</v>
      </c>
      <c r="W1264" s="52">
        <f t="shared" ca="1" si="8240"/>
        <v>0</v>
      </c>
      <c r="X1264" s="52">
        <f t="shared" ca="1" si="8240"/>
        <v>0</v>
      </c>
      <c r="Y1264" s="52">
        <f t="shared" ca="1" si="8240"/>
        <v>0</v>
      </c>
      <c r="Z1264" s="52">
        <f t="shared" ca="1" si="8240"/>
        <v>0</v>
      </c>
      <c r="AA1264" s="52">
        <f t="shared" ca="1" si="8240"/>
        <v>0</v>
      </c>
      <c r="AB1264" s="52">
        <f t="shared" ca="1" si="8240"/>
        <v>0</v>
      </c>
      <c r="AC1264" s="52">
        <f t="shared" ca="1" si="8240"/>
        <v>0</v>
      </c>
      <c r="AD1264" s="52">
        <f t="shared" ca="1" si="8240"/>
        <v>0</v>
      </c>
      <c r="AE1264" s="52">
        <f t="shared" ca="1" si="8240"/>
        <v>0</v>
      </c>
      <c r="AF1264" s="52">
        <f t="shared" ca="1" si="8240"/>
        <v>0</v>
      </c>
      <c r="AG1264" s="52">
        <f t="shared" ca="1" si="8240"/>
        <v>0</v>
      </c>
      <c r="AH1264" s="52">
        <f t="shared" ca="1" si="8240"/>
        <v>0</v>
      </c>
      <c r="AI1264" s="52">
        <f t="shared" ca="1" si="8240"/>
        <v>0</v>
      </c>
      <c r="AJ1264" s="52">
        <f t="shared" ca="1" si="8240"/>
        <v>0</v>
      </c>
      <c r="AK1264" s="52">
        <f t="shared" ca="1" si="8240"/>
        <v>0</v>
      </c>
      <c r="AL1264" s="52">
        <f t="shared" ca="1" si="8240"/>
        <v>0</v>
      </c>
      <c r="AM1264" s="52">
        <f t="shared" ca="1" si="8240"/>
        <v>0</v>
      </c>
      <c r="AN1264" s="52">
        <f t="shared" ca="1" si="8240"/>
        <v>0</v>
      </c>
      <c r="AO1264" s="52">
        <f t="shared" ca="1" si="8240"/>
        <v>0</v>
      </c>
      <c r="AP1264" s="52">
        <f t="shared" ca="1" si="8240"/>
        <v>0</v>
      </c>
      <c r="AQ1264" s="52">
        <f t="shared" ca="1" si="8240"/>
        <v>0</v>
      </c>
      <c r="AR1264" s="52">
        <f t="shared" ca="1" si="8240"/>
        <v>0</v>
      </c>
      <c r="AS1264" s="52">
        <f t="shared" ca="1" si="8240"/>
        <v>0</v>
      </c>
      <c r="AT1264" s="52">
        <f t="shared" ca="1" si="8240"/>
        <v>0</v>
      </c>
      <c r="AU1264" s="52">
        <f t="shared" ca="1" si="8240"/>
        <v>0</v>
      </c>
      <c r="AV1264" s="52">
        <f t="shared" ca="1" si="8240"/>
        <v>0</v>
      </c>
      <c r="AW1264" s="52">
        <f t="shared" ca="1" si="8240"/>
        <v>0</v>
      </c>
      <c r="AX1264" s="52">
        <f t="shared" ca="1" si="8240"/>
        <v>0</v>
      </c>
      <c r="AY1264" s="52">
        <f t="shared" ca="1" si="8240"/>
        <v>0</v>
      </c>
      <c r="AZ1264" s="52">
        <f t="shared" ca="1" si="8240"/>
        <v>713.85861147902028</v>
      </c>
      <c r="BA1264" s="52">
        <f t="shared" ca="1" si="8240"/>
        <v>1489.6033493844711</v>
      </c>
      <c r="BB1264" s="52">
        <f t="shared" ca="1" si="8240"/>
        <v>0</v>
      </c>
      <c r="BC1264" s="52">
        <f t="shared" ca="1" si="8240"/>
        <v>0</v>
      </c>
      <c r="BD1264" s="52">
        <f t="shared" ca="1" si="8240"/>
        <v>602.23866012620988</v>
      </c>
      <c r="BE1264" s="52">
        <f t="shared" ca="1" si="8240"/>
        <v>0</v>
      </c>
      <c r="BF1264" s="52">
        <f t="shared" ca="1" si="8240"/>
        <v>0</v>
      </c>
      <c r="BG1264" s="52">
        <f t="shared" ca="1" si="8240"/>
        <v>0</v>
      </c>
      <c r="BH1264" s="52">
        <f t="shared" ca="1" si="8240"/>
        <v>0</v>
      </c>
      <c r="BI1264" s="52">
        <f t="shared" ca="1" si="8240"/>
        <v>0</v>
      </c>
      <c r="BJ1264" s="52">
        <f t="shared" ca="1" si="8240"/>
        <v>0</v>
      </c>
      <c r="BK1264" s="52">
        <f t="shared" ca="1" si="8240"/>
        <v>0</v>
      </c>
      <c r="BL1264" s="52">
        <f t="shared" ca="1" si="8240"/>
        <v>0</v>
      </c>
      <c r="BM1264" s="52">
        <f t="shared" ca="1" si="8240"/>
        <v>0</v>
      </c>
      <c r="BN1264" s="52">
        <f t="shared" ca="1" si="8240"/>
        <v>0</v>
      </c>
      <c r="BO1264" s="52">
        <f t="shared" ca="1" si="8240"/>
        <v>0</v>
      </c>
      <c r="BP1264" s="52">
        <f t="shared" ca="1" si="8240"/>
        <v>0</v>
      </c>
      <c r="BQ1264" s="52">
        <f t="shared" ca="1" si="8240"/>
        <v>0</v>
      </c>
      <c r="BR1264" s="52">
        <f t="shared" ca="1" si="8240"/>
        <v>0</v>
      </c>
      <c r="BS1264" s="52">
        <f t="shared" ca="1" si="8240"/>
        <v>0</v>
      </c>
      <c r="BT1264" s="52">
        <f t="shared" ca="1" si="8240"/>
        <v>0</v>
      </c>
      <c r="BU1264" s="52">
        <f t="shared" ca="1" si="8240"/>
        <v>0</v>
      </c>
      <c r="BV1264" s="52">
        <f t="shared" ca="1" si="8240"/>
        <v>0</v>
      </c>
      <c r="BW1264" s="52">
        <f t="shared" ca="1" si="8240"/>
        <v>0</v>
      </c>
      <c r="BX1264" s="52">
        <f t="shared" ca="1" si="8240"/>
        <v>0</v>
      </c>
      <c r="BY1264" s="52">
        <f t="shared" ref="BY1264:CO1264" ca="1" si="8241">(BY1262-BY1265)*Flag_Operations</f>
        <v>0</v>
      </c>
      <c r="BZ1264" s="52">
        <f t="shared" ca="1" si="8241"/>
        <v>0</v>
      </c>
      <c r="CA1264" s="52">
        <f t="shared" ca="1" si="8241"/>
        <v>0</v>
      </c>
      <c r="CB1264" s="52">
        <f t="shared" ca="1" si="8241"/>
        <v>0</v>
      </c>
      <c r="CC1264" s="52">
        <f t="shared" ca="1" si="8241"/>
        <v>0</v>
      </c>
      <c r="CD1264" s="52">
        <f t="shared" ca="1" si="8241"/>
        <v>0</v>
      </c>
      <c r="CE1264" s="52">
        <f t="shared" ca="1" si="8241"/>
        <v>0</v>
      </c>
      <c r="CF1264" s="52">
        <f t="shared" ca="1" si="8241"/>
        <v>0</v>
      </c>
      <c r="CG1264" s="52">
        <f t="shared" ca="1" si="8241"/>
        <v>0</v>
      </c>
      <c r="CH1264" s="52">
        <f t="shared" ca="1" si="8241"/>
        <v>0</v>
      </c>
      <c r="CI1264" s="52">
        <f t="shared" ca="1" si="8241"/>
        <v>0</v>
      </c>
      <c r="CJ1264" s="52">
        <f t="shared" ca="1" si="8241"/>
        <v>0</v>
      </c>
      <c r="CK1264" s="52">
        <f t="shared" ca="1" si="8241"/>
        <v>0</v>
      </c>
      <c r="CL1264" s="52">
        <f t="shared" ca="1" si="8241"/>
        <v>0</v>
      </c>
      <c r="CM1264" s="52">
        <f t="shared" ca="1" si="8241"/>
        <v>0</v>
      </c>
      <c r="CN1264" s="52">
        <f t="shared" ca="1" si="8241"/>
        <v>0</v>
      </c>
      <c r="CO1264" s="52">
        <f t="shared" ca="1" si="8241"/>
        <v>0</v>
      </c>
    </row>
    <row r="1265" spans="1:93">
      <c r="A1265" s="10"/>
      <c r="B1265" s="10"/>
      <c r="C1265" s="17" t="s">
        <v>410</v>
      </c>
      <c r="D1265" s="10"/>
      <c r="E1265" s="10"/>
      <c r="F1265" s="10"/>
      <c r="G1265" s="134" t="str">
        <f t="shared" si="8153"/>
        <v>тыс. руб.</v>
      </c>
      <c r="H1265" s="10"/>
      <c r="I1265" s="23">
        <f ca="1">SUM(L1265:CO1265)</f>
        <v>3991.4527079620657</v>
      </c>
      <c r="J1265" s="10"/>
      <c r="K1265" s="10"/>
      <c r="L1265" s="52">
        <f t="shared" ref="L1265" ca="1" si="8242">L1275*Flag_Operations</f>
        <v>0</v>
      </c>
      <c r="M1265" s="52">
        <f t="shared" ref="M1265:BX1265" ca="1" si="8243">M1275*Flag_Operations</f>
        <v>0</v>
      </c>
      <c r="N1265" s="52">
        <f t="shared" ca="1" si="8243"/>
        <v>0</v>
      </c>
      <c r="O1265" s="52">
        <f t="shared" ca="1" si="8243"/>
        <v>0</v>
      </c>
      <c r="P1265" s="52">
        <f t="shared" ca="1" si="8243"/>
        <v>0</v>
      </c>
      <c r="Q1265" s="52">
        <f t="shared" ca="1" si="8243"/>
        <v>0</v>
      </c>
      <c r="R1265" s="52">
        <f t="shared" ca="1" si="8243"/>
        <v>0</v>
      </c>
      <c r="S1265" s="52">
        <f t="shared" ca="1" si="8243"/>
        <v>0</v>
      </c>
      <c r="T1265" s="52">
        <f t="shared" ca="1" si="8243"/>
        <v>0</v>
      </c>
      <c r="U1265" s="52">
        <f t="shared" ca="1" si="8243"/>
        <v>0</v>
      </c>
      <c r="V1265" s="52">
        <f t="shared" ca="1" si="8243"/>
        <v>0</v>
      </c>
      <c r="W1265" s="52">
        <f t="shared" ca="1" si="8243"/>
        <v>0</v>
      </c>
      <c r="X1265" s="52">
        <f t="shared" ca="1" si="8243"/>
        <v>0</v>
      </c>
      <c r="Y1265" s="52">
        <f t="shared" ca="1" si="8243"/>
        <v>0</v>
      </c>
      <c r="Z1265" s="52">
        <f t="shared" ca="1" si="8243"/>
        <v>0</v>
      </c>
      <c r="AA1265" s="52">
        <f t="shared" ca="1" si="8243"/>
        <v>0</v>
      </c>
      <c r="AB1265" s="52">
        <f t="shared" ca="1" si="8243"/>
        <v>0</v>
      </c>
      <c r="AC1265" s="52">
        <f t="shared" ca="1" si="8243"/>
        <v>0</v>
      </c>
      <c r="AD1265" s="52">
        <f t="shared" ca="1" si="8243"/>
        <v>0</v>
      </c>
      <c r="AE1265" s="52">
        <f t="shared" ca="1" si="8243"/>
        <v>0</v>
      </c>
      <c r="AF1265" s="52">
        <f t="shared" ca="1" si="8243"/>
        <v>0</v>
      </c>
      <c r="AG1265" s="52">
        <f t="shared" ca="1" si="8243"/>
        <v>0</v>
      </c>
      <c r="AH1265" s="52">
        <f t="shared" ca="1" si="8243"/>
        <v>0</v>
      </c>
      <c r="AI1265" s="52">
        <f t="shared" ca="1" si="8243"/>
        <v>0</v>
      </c>
      <c r="AJ1265" s="52">
        <f t="shared" ca="1" si="8243"/>
        <v>0</v>
      </c>
      <c r="AK1265" s="52">
        <f t="shared" ca="1" si="8243"/>
        <v>0</v>
      </c>
      <c r="AL1265" s="52">
        <f t="shared" ca="1" si="8243"/>
        <v>0</v>
      </c>
      <c r="AM1265" s="52">
        <f t="shared" ca="1" si="8243"/>
        <v>0</v>
      </c>
      <c r="AN1265" s="52">
        <f t="shared" ca="1" si="8243"/>
        <v>0</v>
      </c>
      <c r="AO1265" s="52">
        <f t="shared" ca="1" si="8243"/>
        <v>0</v>
      </c>
      <c r="AP1265" s="52">
        <f t="shared" ca="1" si="8243"/>
        <v>0</v>
      </c>
      <c r="AQ1265" s="52">
        <f t="shared" ca="1" si="8243"/>
        <v>0</v>
      </c>
      <c r="AR1265" s="52">
        <f t="shared" ca="1" si="8243"/>
        <v>0</v>
      </c>
      <c r="AS1265" s="52">
        <f t="shared" ca="1" si="8243"/>
        <v>0</v>
      </c>
      <c r="AT1265" s="52">
        <f t="shared" ca="1" si="8243"/>
        <v>0</v>
      </c>
      <c r="AU1265" s="52">
        <f t="shared" ca="1" si="8243"/>
        <v>0</v>
      </c>
      <c r="AV1265" s="52">
        <f t="shared" ca="1" si="8243"/>
        <v>0</v>
      </c>
      <c r="AW1265" s="52">
        <f t="shared" ca="1" si="8243"/>
        <v>0</v>
      </c>
      <c r="AX1265" s="52">
        <f t="shared" ca="1" si="8243"/>
        <v>0</v>
      </c>
      <c r="AY1265" s="52">
        <f t="shared" ca="1" si="8243"/>
        <v>0</v>
      </c>
      <c r="AZ1265" s="52">
        <f t="shared" ca="1" si="8243"/>
        <v>0</v>
      </c>
      <c r="BA1265" s="52">
        <f t="shared" ca="1" si="8243"/>
        <v>0</v>
      </c>
      <c r="BB1265" s="52">
        <f t="shared" ca="1" si="8243"/>
        <v>1578.8975359324165</v>
      </c>
      <c r="BC1265" s="52">
        <f t="shared" ca="1" si="8243"/>
        <v>0</v>
      </c>
      <c r="BD1265" s="52">
        <f t="shared" ca="1" si="8243"/>
        <v>0</v>
      </c>
      <c r="BE1265" s="52">
        <f t="shared" ca="1" si="8243"/>
        <v>1224.6918064263284</v>
      </c>
      <c r="BF1265" s="52">
        <f t="shared" ca="1" si="8243"/>
        <v>1187.8633656033207</v>
      </c>
      <c r="BG1265" s="52">
        <f t="shared" ca="1" si="8243"/>
        <v>0</v>
      </c>
      <c r="BH1265" s="52">
        <f t="shared" ca="1" si="8243"/>
        <v>0</v>
      </c>
      <c r="BI1265" s="52">
        <f t="shared" ca="1" si="8243"/>
        <v>0</v>
      </c>
      <c r="BJ1265" s="52">
        <f t="shared" ca="1" si="8243"/>
        <v>0</v>
      </c>
      <c r="BK1265" s="52">
        <f t="shared" ca="1" si="8243"/>
        <v>0</v>
      </c>
      <c r="BL1265" s="52">
        <f t="shared" ca="1" si="8243"/>
        <v>0</v>
      </c>
      <c r="BM1265" s="52">
        <f t="shared" ca="1" si="8243"/>
        <v>0</v>
      </c>
      <c r="BN1265" s="52">
        <f t="shared" ca="1" si="8243"/>
        <v>0</v>
      </c>
      <c r="BO1265" s="52">
        <f t="shared" ca="1" si="8243"/>
        <v>0</v>
      </c>
      <c r="BP1265" s="52">
        <f t="shared" ca="1" si="8243"/>
        <v>0</v>
      </c>
      <c r="BQ1265" s="52">
        <f t="shared" ca="1" si="8243"/>
        <v>0</v>
      </c>
      <c r="BR1265" s="52">
        <f t="shared" ca="1" si="8243"/>
        <v>0</v>
      </c>
      <c r="BS1265" s="52">
        <f t="shared" ca="1" si="8243"/>
        <v>0</v>
      </c>
      <c r="BT1265" s="52">
        <f t="shared" ca="1" si="8243"/>
        <v>0</v>
      </c>
      <c r="BU1265" s="52">
        <f t="shared" ca="1" si="8243"/>
        <v>0</v>
      </c>
      <c r="BV1265" s="52">
        <f t="shared" ca="1" si="8243"/>
        <v>0</v>
      </c>
      <c r="BW1265" s="52">
        <f t="shared" ca="1" si="8243"/>
        <v>0</v>
      </c>
      <c r="BX1265" s="52">
        <f t="shared" ca="1" si="8243"/>
        <v>0</v>
      </c>
      <c r="BY1265" s="52">
        <f t="shared" ref="BY1265:CO1265" ca="1" si="8244">BY1275*Flag_Operations</f>
        <v>0</v>
      </c>
      <c r="BZ1265" s="52">
        <f t="shared" ca="1" si="8244"/>
        <v>0</v>
      </c>
      <c r="CA1265" s="52">
        <f t="shared" ca="1" si="8244"/>
        <v>0</v>
      </c>
      <c r="CB1265" s="52">
        <f t="shared" ca="1" si="8244"/>
        <v>0</v>
      </c>
      <c r="CC1265" s="52">
        <f t="shared" ca="1" si="8244"/>
        <v>0</v>
      </c>
      <c r="CD1265" s="52">
        <f t="shared" ca="1" si="8244"/>
        <v>0</v>
      </c>
      <c r="CE1265" s="52">
        <f t="shared" ca="1" si="8244"/>
        <v>0</v>
      </c>
      <c r="CF1265" s="52">
        <f t="shared" ca="1" si="8244"/>
        <v>0</v>
      </c>
      <c r="CG1265" s="52">
        <f t="shared" ca="1" si="8244"/>
        <v>0</v>
      </c>
      <c r="CH1265" s="52">
        <f t="shared" ca="1" si="8244"/>
        <v>0</v>
      </c>
      <c r="CI1265" s="52">
        <f t="shared" ca="1" si="8244"/>
        <v>0</v>
      </c>
      <c r="CJ1265" s="52">
        <f t="shared" ca="1" si="8244"/>
        <v>0</v>
      </c>
      <c r="CK1265" s="52">
        <f t="shared" ca="1" si="8244"/>
        <v>0</v>
      </c>
      <c r="CL1265" s="52">
        <f t="shared" ca="1" si="8244"/>
        <v>0</v>
      </c>
      <c r="CM1265" s="52">
        <f t="shared" ca="1" si="8244"/>
        <v>0</v>
      </c>
      <c r="CN1265" s="52">
        <f t="shared" ca="1" si="8244"/>
        <v>0</v>
      </c>
      <c r="CO1265" s="52">
        <f t="shared" ca="1" si="8244"/>
        <v>0</v>
      </c>
    </row>
    <row r="1266" spans="1:93">
      <c r="A1266" s="10"/>
      <c r="B1266" s="10"/>
      <c r="C1266" s="17" t="s">
        <v>183</v>
      </c>
      <c r="D1266" s="10"/>
      <c r="E1266" s="10"/>
      <c r="F1266" s="10"/>
      <c r="G1266" s="134" t="str">
        <f t="shared" si="8153"/>
        <v>тыс. руб.</v>
      </c>
      <c r="H1266" s="10"/>
      <c r="I1266" s="23">
        <f ca="1">SUM(L1266:CO1266)</f>
        <v>-3991.4527079620657</v>
      </c>
      <c r="J1266" s="10"/>
      <c r="K1266" s="10"/>
      <c r="L1266" s="52">
        <f t="shared" ref="L1266" ca="1" si="8245">-L1265</f>
        <v>0</v>
      </c>
      <c r="M1266" s="52">
        <f t="shared" ref="M1266:BX1266" ca="1" si="8246">-M1265</f>
        <v>0</v>
      </c>
      <c r="N1266" s="52">
        <f t="shared" ca="1" si="8246"/>
        <v>0</v>
      </c>
      <c r="O1266" s="52">
        <f t="shared" ca="1" si="8246"/>
        <v>0</v>
      </c>
      <c r="P1266" s="52">
        <f t="shared" ca="1" si="8246"/>
        <v>0</v>
      </c>
      <c r="Q1266" s="52">
        <f t="shared" ca="1" si="8246"/>
        <v>0</v>
      </c>
      <c r="R1266" s="52">
        <f t="shared" ca="1" si="8246"/>
        <v>0</v>
      </c>
      <c r="S1266" s="52">
        <f t="shared" ca="1" si="8246"/>
        <v>0</v>
      </c>
      <c r="T1266" s="52">
        <f t="shared" ca="1" si="8246"/>
        <v>0</v>
      </c>
      <c r="U1266" s="52">
        <f t="shared" ca="1" si="8246"/>
        <v>0</v>
      </c>
      <c r="V1266" s="52">
        <f t="shared" ca="1" si="8246"/>
        <v>0</v>
      </c>
      <c r="W1266" s="52">
        <f t="shared" ca="1" si="8246"/>
        <v>0</v>
      </c>
      <c r="X1266" s="52">
        <f t="shared" ca="1" si="8246"/>
        <v>0</v>
      </c>
      <c r="Y1266" s="52">
        <f t="shared" ca="1" si="8246"/>
        <v>0</v>
      </c>
      <c r="Z1266" s="52">
        <f t="shared" ca="1" si="8246"/>
        <v>0</v>
      </c>
      <c r="AA1266" s="52">
        <f t="shared" ca="1" si="8246"/>
        <v>0</v>
      </c>
      <c r="AB1266" s="52">
        <f t="shared" ca="1" si="8246"/>
        <v>0</v>
      </c>
      <c r="AC1266" s="52">
        <f t="shared" ca="1" si="8246"/>
        <v>0</v>
      </c>
      <c r="AD1266" s="52">
        <f t="shared" ca="1" si="8246"/>
        <v>0</v>
      </c>
      <c r="AE1266" s="52">
        <f t="shared" ca="1" si="8246"/>
        <v>0</v>
      </c>
      <c r="AF1266" s="52">
        <f t="shared" ca="1" si="8246"/>
        <v>0</v>
      </c>
      <c r="AG1266" s="52">
        <f t="shared" ca="1" si="8246"/>
        <v>0</v>
      </c>
      <c r="AH1266" s="52">
        <f t="shared" ca="1" si="8246"/>
        <v>0</v>
      </c>
      <c r="AI1266" s="52">
        <f t="shared" ca="1" si="8246"/>
        <v>0</v>
      </c>
      <c r="AJ1266" s="52">
        <f t="shared" ca="1" si="8246"/>
        <v>0</v>
      </c>
      <c r="AK1266" s="52">
        <f t="shared" ca="1" si="8246"/>
        <v>0</v>
      </c>
      <c r="AL1266" s="52">
        <f t="shared" ca="1" si="8246"/>
        <v>0</v>
      </c>
      <c r="AM1266" s="52">
        <f t="shared" ca="1" si="8246"/>
        <v>0</v>
      </c>
      <c r="AN1266" s="52">
        <f t="shared" ca="1" si="8246"/>
        <v>0</v>
      </c>
      <c r="AO1266" s="52">
        <f t="shared" ca="1" si="8246"/>
        <v>0</v>
      </c>
      <c r="AP1266" s="52">
        <f t="shared" ca="1" si="8246"/>
        <v>0</v>
      </c>
      <c r="AQ1266" s="52">
        <f t="shared" ca="1" si="8246"/>
        <v>0</v>
      </c>
      <c r="AR1266" s="52">
        <f t="shared" ca="1" si="8246"/>
        <v>0</v>
      </c>
      <c r="AS1266" s="52">
        <f t="shared" ca="1" si="8246"/>
        <v>0</v>
      </c>
      <c r="AT1266" s="52">
        <f t="shared" ca="1" si="8246"/>
        <v>0</v>
      </c>
      <c r="AU1266" s="52">
        <f t="shared" ca="1" si="8246"/>
        <v>0</v>
      </c>
      <c r="AV1266" s="52">
        <f t="shared" ca="1" si="8246"/>
        <v>0</v>
      </c>
      <c r="AW1266" s="52">
        <f t="shared" ca="1" si="8246"/>
        <v>0</v>
      </c>
      <c r="AX1266" s="52">
        <f t="shared" ca="1" si="8246"/>
        <v>0</v>
      </c>
      <c r="AY1266" s="52">
        <f t="shared" ca="1" si="8246"/>
        <v>0</v>
      </c>
      <c r="AZ1266" s="52">
        <f t="shared" ca="1" si="8246"/>
        <v>0</v>
      </c>
      <c r="BA1266" s="52">
        <f t="shared" ca="1" si="8246"/>
        <v>0</v>
      </c>
      <c r="BB1266" s="52">
        <f t="shared" ca="1" si="8246"/>
        <v>-1578.8975359324165</v>
      </c>
      <c r="BC1266" s="52">
        <f t="shared" ca="1" si="8246"/>
        <v>0</v>
      </c>
      <c r="BD1266" s="52">
        <f t="shared" ca="1" si="8246"/>
        <v>0</v>
      </c>
      <c r="BE1266" s="52">
        <f t="shared" ca="1" si="8246"/>
        <v>-1224.6918064263284</v>
      </c>
      <c r="BF1266" s="52">
        <f t="shared" ca="1" si="8246"/>
        <v>-1187.8633656033207</v>
      </c>
      <c r="BG1266" s="52">
        <f t="shared" ca="1" si="8246"/>
        <v>0</v>
      </c>
      <c r="BH1266" s="52">
        <f t="shared" ca="1" si="8246"/>
        <v>0</v>
      </c>
      <c r="BI1266" s="52">
        <f t="shared" ca="1" si="8246"/>
        <v>0</v>
      </c>
      <c r="BJ1266" s="52">
        <f t="shared" ca="1" si="8246"/>
        <v>0</v>
      </c>
      <c r="BK1266" s="52">
        <f t="shared" ca="1" si="8246"/>
        <v>0</v>
      </c>
      <c r="BL1266" s="52">
        <f t="shared" ca="1" si="8246"/>
        <v>0</v>
      </c>
      <c r="BM1266" s="52">
        <f t="shared" ca="1" si="8246"/>
        <v>0</v>
      </c>
      <c r="BN1266" s="52">
        <f t="shared" ca="1" si="8246"/>
        <v>0</v>
      </c>
      <c r="BO1266" s="52">
        <f t="shared" ca="1" si="8246"/>
        <v>0</v>
      </c>
      <c r="BP1266" s="52">
        <f t="shared" ca="1" si="8246"/>
        <v>0</v>
      </c>
      <c r="BQ1266" s="52">
        <f t="shared" ca="1" si="8246"/>
        <v>0</v>
      </c>
      <c r="BR1266" s="52">
        <f t="shared" ca="1" si="8246"/>
        <v>0</v>
      </c>
      <c r="BS1266" s="52">
        <f t="shared" ca="1" si="8246"/>
        <v>0</v>
      </c>
      <c r="BT1266" s="52">
        <f t="shared" ca="1" si="8246"/>
        <v>0</v>
      </c>
      <c r="BU1266" s="52">
        <f t="shared" ca="1" si="8246"/>
        <v>0</v>
      </c>
      <c r="BV1266" s="52">
        <f t="shared" ca="1" si="8246"/>
        <v>0</v>
      </c>
      <c r="BW1266" s="52">
        <f t="shared" ca="1" si="8246"/>
        <v>0</v>
      </c>
      <c r="BX1266" s="52">
        <f t="shared" ca="1" si="8246"/>
        <v>0</v>
      </c>
      <c r="BY1266" s="52">
        <f t="shared" ref="BY1266:CO1266" ca="1" si="8247">-BY1265</f>
        <v>0</v>
      </c>
      <c r="BZ1266" s="52">
        <f t="shared" ca="1" si="8247"/>
        <v>0</v>
      </c>
      <c r="CA1266" s="52">
        <f t="shared" ca="1" si="8247"/>
        <v>0</v>
      </c>
      <c r="CB1266" s="52">
        <f t="shared" ca="1" si="8247"/>
        <v>0</v>
      </c>
      <c r="CC1266" s="52">
        <f t="shared" ca="1" si="8247"/>
        <v>0</v>
      </c>
      <c r="CD1266" s="52">
        <f t="shared" ca="1" si="8247"/>
        <v>0</v>
      </c>
      <c r="CE1266" s="52">
        <f t="shared" ca="1" si="8247"/>
        <v>0</v>
      </c>
      <c r="CF1266" s="52">
        <f t="shared" ca="1" si="8247"/>
        <v>0</v>
      </c>
      <c r="CG1266" s="52">
        <f t="shared" ca="1" si="8247"/>
        <v>0</v>
      </c>
      <c r="CH1266" s="52">
        <f t="shared" ca="1" si="8247"/>
        <v>0</v>
      </c>
      <c r="CI1266" s="52">
        <f t="shared" ca="1" si="8247"/>
        <v>0</v>
      </c>
      <c r="CJ1266" s="52">
        <f t="shared" ca="1" si="8247"/>
        <v>0</v>
      </c>
      <c r="CK1266" s="52">
        <f t="shared" ca="1" si="8247"/>
        <v>0</v>
      </c>
      <c r="CL1266" s="52">
        <f t="shared" ca="1" si="8247"/>
        <v>0</v>
      </c>
      <c r="CM1266" s="52">
        <f t="shared" ca="1" si="8247"/>
        <v>0</v>
      </c>
      <c r="CN1266" s="52">
        <f t="shared" ca="1" si="8247"/>
        <v>0</v>
      </c>
      <c r="CO1266" s="52">
        <f t="shared" ca="1" si="8247"/>
        <v>0</v>
      </c>
    </row>
    <row r="1267" spans="1:93">
      <c r="A1267" s="10"/>
      <c r="B1267" s="10"/>
      <c r="C1267" s="17"/>
      <c r="D1267" s="10"/>
      <c r="E1267" s="10"/>
      <c r="F1267" s="10"/>
      <c r="G1267" s="134"/>
      <c r="H1267" s="10"/>
      <c r="I1267" s="23"/>
      <c r="J1267" s="10"/>
      <c r="K1267" s="10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52"/>
      <c r="AE1267" s="52"/>
      <c r="AF1267" s="52"/>
      <c r="AG1267" s="52"/>
      <c r="AH1267" s="52"/>
      <c r="AI1267" s="52"/>
      <c r="AJ1267" s="52"/>
      <c r="AK1267" s="52"/>
      <c r="AL1267" s="52"/>
      <c r="AM1267" s="52"/>
      <c r="AN1267" s="52"/>
      <c r="AO1267" s="52"/>
      <c r="AP1267" s="52"/>
      <c r="AQ1267" s="52"/>
      <c r="AR1267" s="52"/>
      <c r="AS1267" s="52"/>
      <c r="AT1267" s="52"/>
      <c r="AU1267" s="52"/>
      <c r="AV1267" s="52"/>
      <c r="AW1267" s="52"/>
      <c r="AX1267" s="52"/>
      <c r="AY1267" s="52"/>
      <c r="AZ1267" s="52"/>
      <c r="BA1267" s="52"/>
      <c r="BB1267" s="52"/>
      <c r="BC1267" s="52"/>
      <c r="BD1267" s="52"/>
      <c r="BE1267" s="52"/>
      <c r="BF1267" s="52"/>
      <c r="BG1267" s="52"/>
      <c r="BH1267" s="52"/>
      <c r="BI1267" s="52"/>
      <c r="BJ1267" s="52"/>
      <c r="BK1267" s="52"/>
      <c r="BL1267" s="52"/>
      <c r="BM1267" s="52"/>
      <c r="BN1267" s="52"/>
      <c r="BO1267" s="52"/>
      <c r="BP1267" s="52"/>
      <c r="BQ1267" s="52"/>
      <c r="BR1267" s="52"/>
      <c r="BS1267" s="52"/>
      <c r="BT1267" s="52"/>
      <c r="BU1267" s="52"/>
      <c r="BV1267" s="52"/>
      <c r="BW1267" s="52"/>
      <c r="BX1267" s="52"/>
      <c r="BY1267" s="52"/>
      <c r="BZ1267" s="52"/>
      <c r="CA1267" s="52"/>
      <c r="CB1267" s="52"/>
      <c r="CC1267" s="52"/>
      <c r="CD1267" s="52"/>
      <c r="CE1267" s="52"/>
      <c r="CF1267" s="52"/>
      <c r="CG1267" s="52"/>
      <c r="CH1267" s="52"/>
      <c r="CI1267" s="52"/>
      <c r="CJ1267" s="52"/>
      <c r="CK1267" s="52"/>
      <c r="CL1267" s="52"/>
      <c r="CM1267" s="52"/>
      <c r="CN1267" s="52"/>
      <c r="CO1267" s="52"/>
    </row>
    <row r="1268" spans="1:93">
      <c r="A1268" s="10"/>
      <c r="B1268" s="10"/>
      <c r="C1268" s="54" t="s">
        <v>560</v>
      </c>
      <c r="D1268" s="46"/>
      <c r="E1268" s="61">
        <f ca="1">IF(SUM(Subord_Interest_Check_Arr)&gt;Very_Small_Number,SUM(Subord_Interest_Check_Arr),0)</f>
        <v>0</v>
      </c>
      <c r="G1268" s="89"/>
      <c r="H1268" s="46"/>
      <c r="I1268" s="46"/>
      <c r="J1268" s="46"/>
      <c r="K1268" s="46"/>
      <c r="L1268" s="61">
        <f t="shared" ref="L1268" ca="1" si="8248">ABS(L1261-L1262)</f>
        <v>0</v>
      </c>
      <c r="M1268" s="61">
        <f t="shared" ref="M1268:BX1268" ca="1" si="8249">ABS(M1261-M1262)</f>
        <v>0</v>
      </c>
      <c r="N1268" s="61">
        <f t="shared" ca="1" si="8249"/>
        <v>0</v>
      </c>
      <c r="O1268" s="61">
        <f t="shared" ca="1" si="8249"/>
        <v>0</v>
      </c>
      <c r="P1268" s="61">
        <f t="shared" ca="1" si="8249"/>
        <v>0</v>
      </c>
      <c r="Q1268" s="61">
        <f t="shared" ca="1" si="8249"/>
        <v>0</v>
      </c>
      <c r="R1268" s="61">
        <f t="shared" ca="1" si="8249"/>
        <v>0</v>
      </c>
      <c r="S1268" s="61">
        <f t="shared" ca="1" si="8249"/>
        <v>0</v>
      </c>
      <c r="T1268" s="61">
        <f t="shared" ca="1" si="8249"/>
        <v>0</v>
      </c>
      <c r="U1268" s="61">
        <f t="shared" ca="1" si="8249"/>
        <v>0</v>
      </c>
      <c r="V1268" s="61">
        <f t="shared" ca="1" si="8249"/>
        <v>0</v>
      </c>
      <c r="W1268" s="61">
        <f t="shared" ca="1" si="8249"/>
        <v>0</v>
      </c>
      <c r="X1268" s="61">
        <f t="shared" ca="1" si="8249"/>
        <v>0</v>
      </c>
      <c r="Y1268" s="61">
        <f t="shared" ca="1" si="8249"/>
        <v>0</v>
      </c>
      <c r="Z1268" s="61">
        <f t="shared" ca="1" si="8249"/>
        <v>0</v>
      </c>
      <c r="AA1268" s="61">
        <f t="shared" ca="1" si="8249"/>
        <v>0</v>
      </c>
      <c r="AB1268" s="61">
        <f t="shared" ca="1" si="8249"/>
        <v>0</v>
      </c>
      <c r="AC1268" s="61">
        <f t="shared" ca="1" si="8249"/>
        <v>0</v>
      </c>
      <c r="AD1268" s="61">
        <f t="shared" ca="1" si="8249"/>
        <v>0</v>
      </c>
      <c r="AE1268" s="61">
        <f t="shared" ca="1" si="8249"/>
        <v>0</v>
      </c>
      <c r="AF1268" s="61">
        <f t="shared" ca="1" si="8249"/>
        <v>0</v>
      </c>
      <c r="AG1268" s="61">
        <f t="shared" ca="1" si="8249"/>
        <v>0</v>
      </c>
      <c r="AH1268" s="61">
        <f t="shared" ca="1" si="8249"/>
        <v>0</v>
      </c>
      <c r="AI1268" s="61">
        <f t="shared" ca="1" si="8249"/>
        <v>0</v>
      </c>
      <c r="AJ1268" s="61">
        <f t="shared" ca="1" si="8249"/>
        <v>0</v>
      </c>
      <c r="AK1268" s="61">
        <f t="shared" ca="1" si="8249"/>
        <v>0</v>
      </c>
      <c r="AL1268" s="61">
        <f t="shared" ca="1" si="8249"/>
        <v>0</v>
      </c>
      <c r="AM1268" s="61">
        <f t="shared" ca="1" si="8249"/>
        <v>0</v>
      </c>
      <c r="AN1268" s="61">
        <f t="shared" ca="1" si="8249"/>
        <v>0</v>
      </c>
      <c r="AO1268" s="61">
        <f t="shared" ca="1" si="8249"/>
        <v>0</v>
      </c>
      <c r="AP1268" s="61">
        <f t="shared" ca="1" si="8249"/>
        <v>0</v>
      </c>
      <c r="AQ1268" s="61">
        <f t="shared" ca="1" si="8249"/>
        <v>0</v>
      </c>
      <c r="AR1268" s="61">
        <f t="shared" ca="1" si="8249"/>
        <v>0</v>
      </c>
      <c r="AS1268" s="61">
        <f t="shared" ca="1" si="8249"/>
        <v>0</v>
      </c>
      <c r="AT1268" s="61">
        <f t="shared" ca="1" si="8249"/>
        <v>0</v>
      </c>
      <c r="AU1268" s="61">
        <f t="shared" ca="1" si="8249"/>
        <v>0</v>
      </c>
      <c r="AV1268" s="61">
        <f t="shared" ca="1" si="8249"/>
        <v>0</v>
      </c>
      <c r="AW1268" s="61">
        <f t="shared" ca="1" si="8249"/>
        <v>0</v>
      </c>
      <c r="AX1268" s="61">
        <f t="shared" ca="1" si="8249"/>
        <v>0</v>
      </c>
      <c r="AY1268" s="61">
        <f t="shared" ca="1" si="8249"/>
        <v>0</v>
      </c>
      <c r="AZ1268" s="61">
        <f t="shared" ca="1" si="8249"/>
        <v>0</v>
      </c>
      <c r="BA1268" s="61">
        <f t="shared" ca="1" si="8249"/>
        <v>0</v>
      </c>
      <c r="BB1268" s="61">
        <f t="shared" ca="1" si="8249"/>
        <v>4.5474735088646412E-13</v>
      </c>
      <c r="BC1268" s="61">
        <f t="shared" ca="1" si="8249"/>
        <v>0</v>
      </c>
      <c r="BD1268" s="61">
        <f t="shared" ca="1" si="8249"/>
        <v>0</v>
      </c>
      <c r="BE1268" s="61">
        <f t="shared" ca="1" si="8249"/>
        <v>0</v>
      </c>
      <c r="BF1268" s="61">
        <f t="shared" ca="1" si="8249"/>
        <v>4.5474735088646412E-13</v>
      </c>
      <c r="BG1268" s="61">
        <f t="shared" ca="1" si="8249"/>
        <v>0</v>
      </c>
      <c r="BH1268" s="61">
        <f t="shared" ca="1" si="8249"/>
        <v>0</v>
      </c>
      <c r="BI1268" s="61">
        <f t="shared" ca="1" si="8249"/>
        <v>0</v>
      </c>
      <c r="BJ1268" s="61">
        <f t="shared" ca="1" si="8249"/>
        <v>0</v>
      </c>
      <c r="BK1268" s="61">
        <f t="shared" ca="1" si="8249"/>
        <v>0</v>
      </c>
      <c r="BL1268" s="61">
        <f t="shared" ca="1" si="8249"/>
        <v>0</v>
      </c>
      <c r="BM1268" s="61">
        <f t="shared" ca="1" si="8249"/>
        <v>0</v>
      </c>
      <c r="BN1268" s="61">
        <f t="shared" ca="1" si="8249"/>
        <v>0</v>
      </c>
      <c r="BO1268" s="61">
        <f t="shared" ca="1" si="8249"/>
        <v>0</v>
      </c>
      <c r="BP1268" s="61">
        <f t="shared" ca="1" si="8249"/>
        <v>0</v>
      </c>
      <c r="BQ1268" s="61">
        <f t="shared" ca="1" si="8249"/>
        <v>0</v>
      </c>
      <c r="BR1268" s="61">
        <f t="shared" ca="1" si="8249"/>
        <v>0</v>
      </c>
      <c r="BS1268" s="61">
        <f t="shared" ca="1" si="8249"/>
        <v>0</v>
      </c>
      <c r="BT1268" s="61">
        <f t="shared" ca="1" si="8249"/>
        <v>0</v>
      </c>
      <c r="BU1268" s="61">
        <f t="shared" ca="1" si="8249"/>
        <v>0</v>
      </c>
      <c r="BV1268" s="61">
        <f t="shared" ca="1" si="8249"/>
        <v>0</v>
      </c>
      <c r="BW1268" s="61">
        <f t="shared" ca="1" si="8249"/>
        <v>0</v>
      </c>
      <c r="BX1268" s="61">
        <f t="shared" ca="1" si="8249"/>
        <v>0</v>
      </c>
      <c r="BY1268" s="61">
        <f t="shared" ref="BY1268:CO1268" ca="1" si="8250">ABS(BY1261-BY1262)</f>
        <v>0</v>
      </c>
      <c r="BZ1268" s="61">
        <f t="shared" ca="1" si="8250"/>
        <v>0</v>
      </c>
      <c r="CA1268" s="61">
        <f t="shared" ca="1" si="8250"/>
        <v>0</v>
      </c>
      <c r="CB1268" s="61">
        <f t="shared" ca="1" si="8250"/>
        <v>0</v>
      </c>
      <c r="CC1268" s="61">
        <f t="shared" ca="1" si="8250"/>
        <v>0</v>
      </c>
      <c r="CD1268" s="61">
        <f t="shared" ca="1" si="8250"/>
        <v>0</v>
      </c>
      <c r="CE1268" s="61">
        <f t="shared" ca="1" si="8250"/>
        <v>0</v>
      </c>
      <c r="CF1268" s="61">
        <f t="shared" ca="1" si="8250"/>
        <v>0</v>
      </c>
      <c r="CG1268" s="61">
        <f t="shared" ca="1" si="8250"/>
        <v>0</v>
      </c>
      <c r="CH1268" s="61">
        <f t="shared" ca="1" si="8250"/>
        <v>0</v>
      </c>
      <c r="CI1268" s="61">
        <f t="shared" ca="1" si="8250"/>
        <v>0</v>
      </c>
      <c r="CJ1268" s="61">
        <f t="shared" ca="1" si="8250"/>
        <v>0</v>
      </c>
      <c r="CK1268" s="61">
        <f t="shared" ca="1" si="8250"/>
        <v>0</v>
      </c>
      <c r="CL1268" s="61">
        <f t="shared" ca="1" si="8250"/>
        <v>0</v>
      </c>
      <c r="CM1268" s="61">
        <f t="shared" ca="1" si="8250"/>
        <v>0</v>
      </c>
      <c r="CN1268" s="61">
        <f t="shared" ca="1" si="8250"/>
        <v>0</v>
      </c>
      <c r="CO1268" s="61">
        <f t="shared" ca="1" si="8250"/>
        <v>0</v>
      </c>
    </row>
    <row r="1269" spans="1:93">
      <c r="A1269" s="10"/>
      <c r="B1269" s="10"/>
      <c r="C1269" s="17"/>
      <c r="D1269" s="10"/>
      <c r="E1269" s="10"/>
      <c r="F1269" s="10"/>
      <c r="G1269" s="11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  <c r="AY1269" s="10"/>
      <c r="AZ1269" s="10"/>
      <c r="BA1269" s="10"/>
      <c r="BB1269" s="10"/>
      <c r="BC1269" s="10"/>
      <c r="BD1269" s="10"/>
      <c r="BE1269" s="10"/>
      <c r="BF1269" s="10"/>
      <c r="BG1269" s="10"/>
      <c r="BH1269" s="10"/>
      <c r="BI1269" s="10"/>
      <c r="BJ1269" s="10"/>
      <c r="BK1269" s="10"/>
      <c r="BL1269" s="10"/>
      <c r="BM1269" s="10"/>
      <c r="BN1269" s="10"/>
      <c r="BO1269" s="10"/>
      <c r="BP1269" s="10"/>
      <c r="BQ1269" s="10"/>
      <c r="BR1269" s="10"/>
      <c r="BS1269" s="10"/>
      <c r="BT1269" s="10"/>
      <c r="BU1269" s="10"/>
      <c r="BV1269" s="10"/>
      <c r="BW1269" s="10"/>
      <c r="BX1269" s="10"/>
      <c r="BY1269" s="10"/>
      <c r="BZ1269" s="10"/>
      <c r="CA1269" s="10"/>
      <c r="CB1269" s="10"/>
      <c r="CC1269" s="10"/>
      <c r="CD1269" s="10"/>
      <c r="CE1269" s="10"/>
      <c r="CF1269" s="10"/>
      <c r="CG1269" s="10"/>
      <c r="CH1269" s="10"/>
      <c r="CI1269" s="10"/>
      <c r="CJ1269" s="10"/>
      <c r="CK1269" s="10"/>
      <c r="CL1269" s="10"/>
      <c r="CM1269" s="10"/>
      <c r="CN1269" s="10"/>
      <c r="CO1269" s="10"/>
    </row>
    <row r="1270" spans="1:93">
      <c r="A1270" s="10"/>
      <c r="B1270" s="10"/>
      <c r="C1270" s="67" t="s">
        <v>366</v>
      </c>
      <c r="D1270" s="10"/>
      <c r="E1270" s="10"/>
      <c r="F1270" s="10"/>
      <c r="G1270" s="11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  <c r="AY1270" s="10"/>
      <c r="AZ1270" s="10"/>
      <c r="BA1270" s="10"/>
      <c r="BB1270" s="10"/>
      <c r="BC1270" s="10"/>
      <c r="BD1270" s="10"/>
      <c r="BE1270" s="10"/>
      <c r="BF1270" s="10"/>
      <c r="BG1270" s="10"/>
      <c r="BH1270" s="10"/>
      <c r="BI1270" s="10"/>
      <c r="BJ1270" s="10"/>
      <c r="BK1270" s="10"/>
      <c r="BL1270" s="10"/>
      <c r="BM1270" s="10"/>
      <c r="BN1270" s="10"/>
      <c r="BO1270" s="10"/>
      <c r="BP1270" s="10"/>
      <c r="BQ1270" s="10"/>
      <c r="BR1270" s="10"/>
      <c r="BS1270" s="10"/>
      <c r="BT1270" s="10"/>
      <c r="BU1270" s="10"/>
      <c r="BV1270" s="10"/>
      <c r="BW1270" s="10"/>
      <c r="BX1270" s="10"/>
      <c r="BY1270" s="10"/>
      <c r="BZ1270" s="10"/>
      <c r="CA1270" s="10"/>
      <c r="CB1270" s="10"/>
      <c r="CC1270" s="10"/>
      <c r="CD1270" s="10"/>
      <c r="CE1270" s="10"/>
      <c r="CF1270" s="10"/>
      <c r="CG1270" s="10"/>
      <c r="CH1270" s="10"/>
      <c r="CI1270" s="10"/>
      <c r="CJ1270" s="10"/>
      <c r="CK1270" s="10"/>
      <c r="CL1270" s="10"/>
      <c r="CM1270" s="10"/>
      <c r="CN1270" s="10"/>
      <c r="CO1270" s="10"/>
    </row>
    <row r="1271" spans="1:93">
      <c r="A1271" s="10"/>
      <c r="B1271" s="10"/>
      <c r="C1271" s="17" t="s">
        <v>419</v>
      </c>
      <c r="D1271" s="10"/>
      <c r="E1271" s="10"/>
      <c r="F1271" s="10"/>
      <c r="G1271" s="134" t="str">
        <f>Monetary_Unit</f>
        <v>тыс. руб.</v>
      </c>
      <c r="H1271" s="10"/>
      <c r="I1271" s="10"/>
      <c r="J1271" s="10"/>
      <c r="K1271" s="10"/>
      <c r="L1271" s="52">
        <f t="shared" ref="L1271:AQ1271" ca="1" si="8251">IF(L1303&gt;0,MAX(L1303,0),L1303)</f>
        <v>-31406.153379286916</v>
      </c>
      <c r="M1271" s="52">
        <f t="shared" ca="1" si="8251"/>
        <v>-31851.960190507532</v>
      </c>
      <c r="N1271" s="52">
        <f t="shared" ca="1" si="8251"/>
        <v>-32304.095179220327</v>
      </c>
      <c r="O1271" s="52">
        <f t="shared" ca="1" si="8251"/>
        <v>-32762.648173192309</v>
      </c>
      <c r="P1271" s="52">
        <f t="shared" ca="1" si="8251"/>
        <v>-275591.46580799518</v>
      </c>
      <c r="Q1271" s="52">
        <f t="shared" ca="1" si="8251"/>
        <v>-278306.9805620276</v>
      </c>
      <c r="R1271" s="52">
        <f t="shared" ca="1" si="8251"/>
        <v>-281049.25238692126</v>
      </c>
      <c r="S1271" s="52">
        <f t="shared" ca="1" si="8251"/>
        <v>-284557.53667344904</v>
      </c>
      <c r="T1271" s="52">
        <f t="shared" ca="1" si="8251"/>
        <v>-293195.77878796187</v>
      </c>
      <c r="U1271" s="52">
        <f t="shared" ca="1" si="8251"/>
        <v>-299864.08841733454</v>
      </c>
      <c r="V1271" s="52">
        <f t="shared" ca="1" si="8251"/>
        <v>-306680.671823757</v>
      </c>
      <c r="W1271" s="52">
        <f t="shared" ca="1" si="8251"/>
        <v>-313448.73444932338</v>
      </c>
      <c r="X1271" s="52">
        <f t="shared" ca="1" si="8251"/>
        <v>-646653.2581487901</v>
      </c>
      <c r="Y1271" s="52">
        <f t="shared" ca="1" si="8251"/>
        <v>-660955.27495578071</v>
      </c>
      <c r="Z1271" s="52">
        <f t="shared" ca="1" si="8251"/>
        <v>-675843.90368952369</v>
      </c>
      <c r="AA1271" s="52">
        <f t="shared" ca="1" si="8251"/>
        <v>-690520.69372146716</v>
      </c>
      <c r="AB1271" s="52">
        <f t="shared" ca="1" si="8251"/>
        <v>-890466.98389240366</v>
      </c>
      <c r="AC1271" s="52">
        <f t="shared" ca="1" si="8251"/>
        <v>686102.4142472886</v>
      </c>
      <c r="AD1271" s="52">
        <f t="shared" ca="1" si="8251"/>
        <v>766047.6027555078</v>
      </c>
      <c r="AE1271" s="52">
        <f t="shared" ca="1" si="8251"/>
        <v>683172.32325193868</v>
      </c>
      <c r="AF1271" s="52">
        <f t="shared" ca="1" si="8251"/>
        <v>646374.61928547628</v>
      </c>
      <c r="AG1271" s="52">
        <f t="shared" ca="1" si="8251"/>
        <v>617102.44310604664</v>
      </c>
      <c r="AH1271" s="52">
        <f t="shared" ca="1" si="8251"/>
        <v>570756.14798912196</v>
      </c>
      <c r="AI1271" s="52">
        <f t="shared" ca="1" si="8251"/>
        <v>474295.49652612227</v>
      </c>
      <c r="AJ1271" s="52">
        <f t="shared" ca="1" si="8251"/>
        <v>432572.22477545764</v>
      </c>
      <c r="AK1271" s="52">
        <f t="shared" ca="1" si="8251"/>
        <v>400217.02762098348</v>
      </c>
      <c r="AL1271" s="52">
        <f t="shared" ca="1" si="8251"/>
        <v>347763.32068115351</v>
      </c>
      <c r="AM1271" s="52">
        <f t="shared" ca="1" si="8251"/>
        <v>236846.89343588625</v>
      </c>
      <c r="AN1271" s="52">
        <f t="shared" ca="1" si="8251"/>
        <v>191685.54215702583</v>
      </c>
      <c r="AO1271" s="52">
        <f t="shared" ca="1" si="8251"/>
        <v>154300.24168308536</v>
      </c>
      <c r="AP1271" s="52">
        <f t="shared" ca="1" si="8251"/>
        <v>141729.88994279964</v>
      </c>
      <c r="AQ1271" s="52">
        <f t="shared" ca="1" si="8251"/>
        <v>160798.98248832178</v>
      </c>
      <c r="AR1271" s="52">
        <f t="shared" ref="AR1271:BW1271" ca="1" si="8252">IF(AR1303&gt;0,MAX(AR1303,0),AR1303)</f>
        <v>61597.462780265138</v>
      </c>
      <c r="AS1271" s="52">
        <f t="shared" ca="1" si="8252"/>
        <v>61934.838676213985</v>
      </c>
      <c r="AT1271" s="52">
        <f t="shared" ca="1" si="8252"/>
        <v>152696.91451470894</v>
      </c>
      <c r="AU1271" s="52">
        <f t="shared" ca="1" si="8252"/>
        <v>166797.13908820559</v>
      </c>
      <c r="AV1271" s="52">
        <f t="shared" ca="1" si="8252"/>
        <v>64056.714336277917</v>
      </c>
      <c r="AW1271" s="52">
        <f t="shared" ca="1" si="8252"/>
        <v>107973.36274285452</v>
      </c>
      <c r="AX1271" s="52">
        <f t="shared" ca="1" si="8252"/>
        <v>84851.201995847252</v>
      </c>
      <c r="AY1271" s="52">
        <f t="shared" ca="1" si="8252"/>
        <v>10608.520906129328</v>
      </c>
      <c r="AZ1271" s="52">
        <f t="shared" ca="1" si="8252"/>
        <v>-42890.270483924673</v>
      </c>
      <c r="BA1271" s="52">
        <f t="shared" ca="1" si="8252"/>
        <v>-1307.0405516153842</v>
      </c>
      <c r="BB1271" s="52">
        <f t="shared" ca="1" si="8252"/>
        <v>61945.077347885817</v>
      </c>
      <c r="BC1271" s="52">
        <f t="shared" ca="1" si="8252"/>
        <v>17715.546658842039</v>
      </c>
      <c r="BD1271" s="52">
        <f t="shared" ca="1" si="8252"/>
        <v>-35884.306000194192</v>
      </c>
      <c r="BE1271" s="52">
        <f t="shared" ca="1" si="8252"/>
        <v>2706.5672388227831</v>
      </c>
      <c r="BF1271" s="52">
        <f t="shared" ca="1" si="8252"/>
        <v>69156.814042669168</v>
      </c>
      <c r="BG1271" s="52">
        <f t="shared" ca="1" si="8252"/>
        <v>23187.540176706039</v>
      </c>
      <c r="BH1271" s="52">
        <f t="shared" ca="1" si="8252"/>
        <v>149271.3857948205</v>
      </c>
      <c r="BI1271" s="52">
        <f t="shared" ca="1" si="8252"/>
        <v>194467.00727934242</v>
      </c>
      <c r="BJ1271" s="52">
        <f t="shared" ca="1" si="8252"/>
        <v>263143.28819603729</v>
      </c>
      <c r="BK1271" s="52">
        <f t="shared" ca="1" si="8252"/>
        <v>215603.7609729098</v>
      </c>
      <c r="BL1271" s="52">
        <f t="shared" ca="1" si="8252"/>
        <v>155296.66139235115</v>
      </c>
      <c r="BM1271" s="52">
        <f t="shared" ca="1" si="8252"/>
        <v>202301.54613887856</v>
      </c>
      <c r="BN1271" s="52">
        <f t="shared" ca="1" si="8252"/>
        <v>273726.34847685776</v>
      </c>
      <c r="BO1271" s="52">
        <f t="shared" ca="1" si="8252"/>
        <v>211339.56051991874</v>
      </c>
      <c r="BP1271" s="52">
        <f t="shared" ca="1" si="8252"/>
        <v>149413.85129333788</v>
      </c>
      <c r="BQ1271" s="52">
        <f t="shared" ca="1" si="8252"/>
        <v>190474.5039588192</v>
      </c>
      <c r="BR1271" s="52">
        <f t="shared" ca="1" si="8252"/>
        <v>258984.87029722304</v>
      </c>
      <c r="BS1271" s="52">
        <f t="shared" ca="1" si="8252"/>
        <v>219743.48235772018</v>
      </c>
      <c r="BT1271" s="52">
        <f t="shared" ca="1" si="8252"/>
        <v>157749.91729861218</v>
      </c>
      <c r="BU1271" s="52">
        <f t="shared" ca="1" si="8252"/>
        <v>197317.58972668709</v>
      </c>
      <c r="BV1271" s="52">
        <f t="shared" ca="1" si="8252"/>
        <v>269303.81083330908</v>
      </c>
      <c r="BW1271" s="52">
        <f t="shared" ca="1" si="8252"/>
        <v>228492.77329331194</v>
      </c>
      <c r="BX1271" s="52">
        <f t="shared" ref="BX1271:CO1271" ca="1" si="8253">IF(BX1303&gt;0,MAX(BX1303,0),BX1303)</f>
        <v>161499.22810249944</v>
      </c>
      <c r="BY1271" s="52">
        <f t="shared" ca="1" si="8253"/>
        <v>205913.19083422472</v>
      </c>
      <c r="BZ1271" s="52">
        <f t="shared" ca="1" si="8253"/>
        <v>280016.72812416521</v>
      </c>
      <c r="CA1271" s="52">
        <f t="shared" ca="1" si="8253"/>
        <v>237573.24292879915</v>
      </c>
      <c r="CB1271" s="52">
        <f t="shared" ca="1" si="8253"/>
        <v>167906.9021982312</v>
      </c>
      <c r="CC1271" s="52">
        <f t="shared" ca="1" si="8253"/>
        <v>214098.72207169505</v>
      </c>
      <c r="CD1271" s="52">
        <f t="shared" ca="1" si="8253"/>
        <v>291167.7366661366</v>
      </c>
      <c r="CE1271" s="52">
        <f t="shared" ca="1" si="8253"/>
        <v>247026.51206295507</v>
      </c>
      <c r="CF1271" s="52">
        <f t="shared" ca="1" si="8253"/>
        <v>174570.84607735806</v>
      </c>
      <c r="CG1271" s="52">
        <f t="shared" ca="1" si="8253"/>
        <v>222611.67455866357</v>
      </c>
      <c r="CH1271" s="52">
        <f t="shared" ca="1" si="8253"/>
        <v>302764.78554978635</v>
      </c>
      <c r="CI1271" s="52">
        <f t="shared" ca="1" si="8253"/>
        <v>256857.91196247865</v>
      </c>
      <c r="CJ1271" s="52">
        <f t="shared" ca="1" si="8253"/>
        <v>184327.12636069866</v>
      </c>
      <c r="CK1271" s="52">
        <f t="shared" ca="1" si="8253"/>
        <v>230615.70664995754</v>
      </c>
      <c r="CL1271" s="52">
        <f t="shared" ca="1" si="8253"/>
        <v>314835.06059641473</v>
      </c>
      <c r="CM1271" s="52">
        <f t="shared" ca="1" si="8253"/>
        <v>267091.91898776783</v>
      </c>
      <c r="CN1271" s="52">
        <f t="shared" ca="1" si="8253"/>
        <v>188709.02758838091</v>
      </c>
      <c r="CO1271" s="52">
        <f t="shared" ca="1" si="8253"/>
        <v>240672.75455501606</v>
      </c>
    </row>
    <row r="1272" spans="1:93">
      <c r="A1272" s="10"/>
      <c r="B1272" s="10"/>
      <c r="C1272" s="17" t="s">
        <v>367</v>
      </c>
      <c r="D1272" s="10"/>
      <c r="E1272" s="10"/>
      <c r="F1272" s="10"/>
      <c r="G1272" s="134" t="str">
        <f>Monetary_Unit</f>
        <v>тыс. руб.</v>
      </c>
      <c r="H1272" s="10"/>
      <c r="I1272" s="23">
        <f ca="1">SUM(L1272:CO1272)</f>
        <v>-3991.4527079620657</v>
      </c>
      <c r="J1272" s="10"/>
      <c r="K1272" s="10"/>
      <c r="L1272" s="52">
        <f t="shared" ref="L1272" ca="1" si="8254">L1266</f>
        <v>0</v>
      </c>
      <c r="M1272" s="52">
        <f t="shared" ref="M1272:BX1272" ca="1" si="8255">M1266</f>
        <v>0</v>
      </c>
      <c r="N1272" s="52">
        <f t="shared" ca="1" si="8255"/>
        <v>0</v>
      </c>
      <c r="O1272" s="52">
        <f t="shared" ca="1" si="8255"/>
        <v>0</v>
      </c>
      <c r="P1272" s="52">
        <f t="shared" ca="1" si="8255"/>
        <v>0</v>
      </c>
      <c r="Q1272" s="52">
        <f t="shared" ca="1" si="8255"/>
        <v>0</v>
      </c>
      <c r="R1272" s="52">
        <f t="shared" ca="1" si="8255"/>
        <v>0</v>
      </c>
      <c r="S1272" s="52">
        <f t="shared" ca="1" si="8255"/>
        <v>0</v>
      </c>
      <c r="T1272" s="52">
        <f t="shared" ca="1" si="8255"/>
        <v>0</v>
      </c>
      <c r="U1272" s="52">
        <f t="shared" ca="1" si="8255"/>
        <v>0</v>
      </c>
      <c r="V1272" s="52">
        <f t="shared" ca="1" si="8255"/>
        <v>0</v>
      </c>
      <c r="W1272" s="52">
        <f t="shared" ca="1" si="8255"/>
        <v>0</v>
      </c>
      <c r="X1272" s="52">
        <f t="shared" ca="1" si="8255"/>
        <v>0</v>
      </c>
      <c r="Y1272" s="52">
        <f t="shared" ca="1" si="8255"/>
        <v>0</v>
      </c>
      <c r="Z1272" s="52">
        <f t="shared" ca="1" si="8255"/>
        <v>0</v>
      </c>
      <c r="AA1272" s="52">
        <f t="shared" ca="1" si="8255"/>
        <v>0</v>
      </c>
      <c r="AB1272" s="52">
        <f t="shared" ca="1" si="8255"/>
        <v>0</v>
      </c>
      <c r="AC1272" s="52">
        <f t="shared" ca="1" si="8255"/>
        <v>0</v>
      </c>
      <c r="AD1272" s="52">
        <f t="shared" ca="1" si="8255"/>
        <v>0</v>
      </c>
      <c r="AE1272" s="52">
        <f t="shared" ca="1" si="8255"/>
        <v>0</v>
      </c>
      <c r="AF1272" s="52">
        <f t="shared" ca="1" si="8255"/>
        <v>0</v>
      </c>
      <c r="AG1272" s="52">
        <f t="shared" ca="1" si="8255"/>
        <v>0</v>
      </c>
      <c r="AH1272" s="52">
        <f t="shared" ca="1" si="8255"/>
        <v>0</v>
      </c>
      <c r="AI1272" s="52">
        <f t="shared" ca="1" si="8255"/>
        <v>0</v>
      </c>
      <c r="AJ1272" s="52">
        <f t="shared" ca="1" si="8255"/>
        <v>0</v>
      </c>
      <c r="AK1272" s="52">
        <f t="shared" ca="1" si="8255"/>
        <v>0</v>
      </c>
      <c r="AL1272" s="52">
        <f t="shared" ca="1" si="8255"/>
        <v>0</v>
      </c>
      <c r="AM1272" s="52">
        <f t="shared" ca="1" si="8255"/>
        <v>0</v>
      </c>
      <c r="AN1272" s="52">
        <f t="shared" ca="1" si="8255"/>
        <v>0</v>
      </c>
      <c r="AO1272" s="52">
        <f t="shared" ca="1" si="8255"/>
        <v>0</v>
      </c>
      <c r="AP1272" s="52">
        <f t="shared" ca="1" si="8255"/>
        <v>0</v>
      </c>
      <c r="AQ1272" s="52">
        <f t="shared" ca="1" si="8255"/>
        <v>0</v>
      </c>
      <c r="AR1272" s="52">
        <f t="shared" ca="1" si="8255"/>
        <v>0</v>
      </c>
      <c r="AS1272" s="52">
        <f t="shared" ca="1" si="8255"/>
        <v>0</v>
      </c>
      <c r="AT1272" s="52">
        <f t="shared" ca="1" si="8255"/>
        <v>0</v>
      </c>
      <c r="AU1272" s="52">
        <f t="shared" ca="1" si="8255"/>
        <v>0</v>
      </c>
      <c r="AV1272" s="52">
        <f t="shared" ca="1" si="8255"/>
        <v>0</v>
      </c>
      <c r="AW1272" s="52">
        <f t="shared" ca="1" si="8255"/>
        <v>0</v>
      </c>
      <c r="AX1272" s="52">
        <f t="shared" ca="1" si="8255"/>
        <v>0</v>
      </c>
      <c r="AY1272" s="52">
        <f t="shared" ca="1" si="8255"/>
        <v>0</v>
      </c>
      <c r="AZ1272" s="52">
        <f t="shared" ca="1" si="8255"/>
        <v>0</v>
      </c>
      <c r="BA1272" s="52">
        <f t="shared" ca="1" si="8255"/>
        <v>0</v>
      </c>
      <c r="BB1272" s="52">
        <f t="shared" ca="1" si="8255"/>
        <v>-1578.8975359324165</v>
      </c>
      <c r="BC1272" s="52">
        <f t="shared" ca="1" si="8255"/>
        <v>0</v>
      </c>
      <c r="BD1272" s="52">
        <f t="shared" ca="1" si="8255"/>
        <v>0</v>
      </c>
      <c r="BE1272" s="52">
        <f t="shared" ca="1" si="8255"/>
        <v>-1224.6918064263284</v>
      </c>
      <c r="BF1272" s="52">
        <f t="shared" ca="1" si="8255"/>
        <v>-1187.8633656033207</v>
      </c>
      <c r="BG1272" s="52">
        <f t="shared" ca="1" si="8255"/>
        <v>0</v>
      </c>
      <c r="BH1272" s="52">
        <f t="shared" ca="1" si="8255"/>
        <v>0</v>
      </c>
      <c r="BI1272" s="52">
        <f t="shared" ca="1" si="8255"/>
        <v>0</v>
      </c>
      <c r="BJ1272" s="52">
        <f t="shared" ca="1" si="8255"/>
        <v>0</v>
      </c>
      <c r="BK1272" s="52">
        <f t="shared" ca="1" si="8255"/>
        <v>0</v>
      </c>
      <c r="BL1272" s="52">
        <f t="shared" ca="1" si="8255"/>
        <v>0</v>
      </c>
      <c r="BM1272" s="52">
        <f t="shared" ca="1" si="8255"/>
        <v>0</v>
      </c>
      <c r="BN1272" s="52">
        <f t="shared" ca="1" si="8255"/>
        <v>0</v>
      </c>
      <c r="BO1272" s="52">
        <f t="shared" ca="1" si="8255"/>
        <v>0</v>
      </c>
      <c r="BP1272" s="52">
        <f t="shared" ca="1" si="8255"/>
        <v>0</v>
      </c>
      <c r="BQ1272" s="52">
        <f t="shared" ca="1" si="8255"/>
        <v>0</v>
      </c>
      <c r="BR1272" s="52">
        <f t="shared" ca="1" si="8255"/>
        <v>0</v>
      </c>
      <c r="BS1272" s="52">
        <f t="shared" ca="1" si="8255"/>
        <v>0</v>
      </c>
      <c r="BT1272" s="52">
        <f t="shared" ca="1" si="8255"/>
        <v>0</v>
      </c>
      <c r="BU1272" s="52">
        <f t="shared" ca="1" si="8255"/>
        <v>0</v>
      </c>
      <c r="BV1272" s="52">
        <f t="shared" ca="1" si="8255"/>
        <v>0</v>
      </c>
      <c r="BW1272" s="52">
        <f t="shared" ca="1" si="8255"/>
        <v>0</v>
      </c>
      <c r="BX1272" s="52">
        <f t="shared" ca="1" si="8255"/>
        <v>0</v>
      </c>
      <c r="BY1272" s="52">
        <f t="shared" ref="BY1272:CO1272" ca="1" si="8256">BY1266</f>
        <v>0</v>
      </c>
      <c r="BZ1272" s="52">
        <f t="shared" ca="1" si="8256"/>
        <v>0</v>
      </c>
      <c r="CA1272" s="52">
        <f t="shared" ca="1" si="8256"/>
        <v>0</v>
      </c>
      <c r="CB1272" s="52">
        <f t="shared" ca="1" si="8256"/>
        <v>0</v>
      </c>
      <c r="CC1272" s="52">
        <f t="shared" ca="1" si="8256"/>
        <v>0</v>
      </c>
      <c r="CD1272" s="52">
        <f t="shared" ca="1" si="8256"/>
        <v>0</v>
      </c>
      <c r="CE1272" s="52">
        <f t="shared" ca="1" si="8256"/>
        <v>0</v>
      </c>
      <c r="CF1272" s="52">
        <f t="shared" ca="1" si="8256"/>
        <v>0</v>
      </c>
      <c r="CG1272" s="52">
        <f t="shared" ca="1" si="8256"/>
        <v>0</v>
      </c>
      <c r="CH1272" s="52">
        <f t="shared" ca="1" si="8256"/>
        <v>0</v>
      </c>
      <c r="CI1272" s="52">
        <f t="shared" ca="1" si="8256"/>
        <v>0</v>
      </c>
      <c r="CJ1272" s="52">
        <f t="shared" ca="1" si="8256"/>
        <v>0</v>
      </c>
      <c r="CK1272" s="52">
        <f t="shared" ca="1" si="8256"/>
        <v>0</v>
      </c>
      <c r="CL1272" s="52">
        <f t="shared" ca="1" si="8256"/>
        <v>0</v>
      </c>
      <c r="CM1272" s="52">
        <f t="shared" ca="1" si="8256"/>
        <v>0</v>
      </c>
      <c r="CN1272" s="52">
        <f t="shared" ca="1" si="8256"/>
        <v>0</v>
      </c>
      <c r="CO1272" s="52">
        <f t="shared" ca="1" si="8256"/>
        <v>0</v>
      </c>
    </row>
    <row r="1273" spans="1:93">
      <c r="A1273" s="10"/>
      <c r="B1273" s="10"/>
      <c r="C1273" s="17"/>
      <c r="D1273" s="10"/>
      <c r="E1273" s="10"/>
      <c r="F1273" s="10"/>
      <c r="G1273" s="11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  <c r="AY1273" s="10"/>
      <c r="AZ1273" s="10"/>
      <c r="BA1273" s="10"/>
      <c r="BB1273" s="10"/>
      <c r="BC1273" s="10"/>
      <c r="BD1273" s="10"/>
      <c r="BE1273" s="10"/>
      <c r="BF1273" s="10"/>
      <c r="BG1273" s="10"/>
      <c r="BH1273" s="10"/>
      <c r="BI1273" s="10"/>
      <c r="BJ1273" s="10"/>
      <c r="BK1273" s="10"/>
      <c r="BL1273" s="10"/>
      <c r="BM1273" s="10"/>
      <c r="BN1273" s="10"/>
      <c r="BO1273" s="10"/>
      <c r="BP1273" s="10"/>
      <c r="BQ1273" s="10"/>
      <c r="BR1273" s="10"/>
      <c r="BS1273" s="10"/>
      <c r="BT1273" s="10"/>
      <c r="BU1273" s="10"/>
      <c r="BV1273" s="10"/>
      <c r="BW1273" s="10"/>
      <c r="BX1273" s="10"/>
      <c r="BY1273" s="10"/>
      <c r="BZ1273" s="10"/>
      <c r="CA1273" s="10"/>
      <c r="CB1273" s="10"/>
      <c r="CC1273" s="10"/>
      <c r="CD1273" s="10"/>
      <c r="CE1273" s="10"/>
      <c r="CF1273" s="10"/>
      <c r="CG1273" s="10"/>
      <c r="CH1273" s="10"/>
      <c r="CI1273" s="10"/>
      <c r="CJ1273" s="10"/>
      <c r="CK1273" s="10"/>
      <c r="CL1273" s="10"/>
      <c r="CM1273" s="10"/>
      <c r="CN1273" s="10"/>
      <c r="CO1273" s="10"/>
    </row>
    <row r="1274" spans="1:93">
      <c r="A1274" s="10"/>
      <c r="B1274" s="10"/>
      <c r="C1274" s="17" t="s">
        <v>368</v>
      </c>
      <c r="D1274" s="10"/>
      <c r="E1274" s="10"/>
      <c r="F1274" s="10"/>
      <c r="G1274" s="134" t="str">
        <f>Monetary_Unit</f>
        <v>тыс. руб.</v>
      </c>
      <c r="H1274" s="10"/>
      <c r="I1274" s="10"/>
      <c r="J1274" s="10"/>
      <c r="K1274" s="10"/>
      <c r="L1274" s="52">
        <f t="shared" ref="L1274" ca="1" si="8257">MAX(L1271,0)*Flag_Operations</f>
        <v>0</v>
      </c>
      <c r="M1274" s="52">
        <f t="shared" ref="M1274:BX1274" ca="1" si="8258">MAX(M1271,0)*Flag_Operations</f>
        <v>0</v>
      </c>
      <c r="N1274" s="52">
        <f t="shared" ca="1" si="8258"/>
        <v>0</v>
      </c>
      <c r="O1274" s="52">
        <f t="shared" ca="1" si="8258"/>
        <v>0</v>
      </c>
      <c r="P1274" s="52">
        <f t="shared" ca="1" si="8258"/>
        <v>0</v>
      </c>
      <c r="Q1274" s="52">
        <f t="shared" ca="1" si="8258"/>
        <v>0</v>
      </c>
      <c r="R1274" s="52">
        <f t="shared" ca="1" si="8258"/>
        <v>0</v>
      </c>
      <c r="S1274" s="52">
        <f t="shared" ca="1" si="8258"/>
        <v>0</v>
      </c>
      <c r="T1274" s="52">
        <f t="shared" ca="1" si="8258"/>
        <v>0</v>
      </c>
      <c r="U1274" s="52">
        <f t="shared" ca="1" si="8258"/>
        <v>0</v>
      </c>
      <c r="V1274" s="52">
        <f t="shared" ca="1" si="8258"/>
        <v>0</v>
      </c>
      <c r="W1274" s="52">
        <f t="shared" ca="1" si="8258"/>
        <v>0</v>
      </c>
      <c r="X1274" s="52">
        <f t="shared" ca="1" si="8258"/>
        <v>0</v>
      </c>
      <c r="Y1274" s="52">
        <f t="shared" ca="1" si="8258"/>
        <v>0</v>
      </c>
      <c r="Z1274" s="52">
        <f t="shared" ca="1" si="8258"/>
        <v>0</v>
      </c>
      <c r="AA1274" s="52">
        <f t="shared" ca="1" si="8258"/>
        <v>0</v>
      </c>
      <c r="AB1274" s="52">
        <f t="shared" ca="1" si="8258"/>
        <v>0</v>
      </c>
      <c r="AC1274" s="52">
        <f t="shared" ca="1" si="8258"/>
        <v>686102.4142472886</v>
      </c>
      <c r="AD1274" s="52">
        <f t="shared" ca="1" si="8258"/>
        <v>766047.6027555078</v>
      </c>
      <c r="AE1274" s="52">
        <f t="shared" ca="1" si="8258"/>
        <v>683172.32325193868</v>
      </c>
      <c r="AF1274" s="52">
        <f t="shared" ca="1" si="8258"/>
        <v>646374.61928547628</v>
      </c>
      <c r="AG1274" s="52">
        <f t="shared" ca="1" si="8258"/>
        <v>617102.44310604664</v>
      </c>
      <c r="AH1274" s="52">
        <f t="shared" ca="1" si="8258"/>
        <v>570756.14798912196</v>
      </c>
      <c r="AI1274" s="52">
        <f t="shared" ca="1" si="8258"/>
        <v>474295.49652612227</v>
      </c>
      <c r="AJ1274" s="52">
        <f t="shared" ca="1" si="8258"/>
        <v>432572.22477545764</v>
      </c>
      <c r="AK1274" s="52">
        <f t="shared" ca="1" si="8258"/>
        <v>400217.02762098348</v>
      </c>
      <c r="AL1274" s="52">
        <f t="shared" ca="1" si="8258"/>
        <v>347763.32068115351</v>
      </c>
      <c r="AM1274" s="52">
        <f t="shared" ca="1" si="8258"/>
        <v>236846.89343588625</v>
      </c>
      <c r="AN1274" s="52">
        <f t="shared" ca="1" si="8258"/>
        <v>191685.54215702583</v>
      </c>
      <c r="AO1274" s="52">
        <f t="shared" ca="1" si="8258"/>
        <v>154300.24168308536</v>
      </c>
      <c r="AP1274" s="52">
        <f t="shared" ca="1" si="8258"/>
        <v>141729.88994279964</v>
      </c>
      <c r="AQ1274" s="52">
        <f t="shared" ca="1" si="8258"/>
        <v>160798.98248832178</v>
      </c>
      <c r="AR1274" s="52">
        <f t="shared" ca="1" si="8258"/>
        <v>61597.462780265138</v>
      </c>
      <c r="AS1274" s="52">
        <f t="shared" ca="1" si="8258"/>
        <v>61934.838676213985</v>
      </c>
      <c r="AT1274" s="52">
        <f t="shared" ca="1" si="8258"/>
        <v>152696.91451470894</v>
      </c>
      <c r="AU1274" s="52">
        <f t="shared" ca="1" si="8258"/>
        <v>166797.13908820559</v>
      </c>
      <c r="AV1274" s="52">
        <f t="shared" ca="1" si="8258"/>
        <v>64056.714336277917</v>
      </c>
      <c r="AW1274" s="52">
        <f t="shared" ca="1" si="8258"/>
        <v>107973.36274285452</v>
      </c>
      <c r="AX1274" s="52">
        <f t="shared" ca="1" si="8258"/>
        <v>84851.201995847252</v>
      </c>
      <c r="AY1274" s="52">
        <f t="shared" ca="1" si="8258"/>
        <v>10608.520906129328</v>
      </c>
      <c r="AZ1274" s="52">
        <f t="shared" ca="1" si="8258"/>
        <v>0</v>
      </c>
      <c r="BA1274" s="52">
        <f t="shared" ca="1" si="8258"/>
        <v>0</v>
      </c>
      <c r="BB1274" s="52">
        <f t="shared" ca="1" si="8258"/>
        <v>61945.077347885817</v>
      </c>
      <c r="BC1274" s="52">
        <f t="shared" ca="1" si="8258"/>
        <v>17715.546658842039</v>
      </c>
      <c r="BD1274" s="52">
        <f t="shared" ca="1" si="8258"/>
        <v>0</v>
      </c>
      <c r="BE1274" s="52">
        <f t="shared" ca="1" si="8258"/>
        <v>2706.5672388227831</v>
      </c>
      <c r="BF1274" s="52">
        <f t="shared" ca="1" si="8258"/>
        <v>69156.814042669168</v>
      </c>
      <c r="BG1274" s="52">
        <f t="shared" ca="1" si="8258"/>
        <v>23187.540176706039</v>
      </c>
      <c r="BH1274" s="52">
        <f t="shared" ca="1" si="8258"/>
        <v>149271.3857948205</v>
      </c>
      <c r="BI1274" s="52">
        <f t="shared" ca="1" si="8258"/>
        <v>194467.00727934242</v>
      </c>
      <c r="BJ1274" s="52">
        <f t="shared" ca="1" si="8258"/>
        <v>263143.28819603729</v>
      </c>
      <c r="BK1274" s="52">
        <f t="shared" ca="1" si="8258"/>
        <v>215603.7609729098</v>
      </c>
      <c r="BL1274" s="52">
        <f t="shared" ca="1" si="8258"/>
        <v>155296.66139235115</v>
      </c>
      <c r="BM1274" s="52">
        <f t="shared" ca="1" si="8258"/>
        <v>202301.54613887856</v>
      </c>
      <c r="BN1274" s="52">
        <f t="shared" ca="1" si="8258"/>
        <v>273726.34847685776</v>
      </c>
      <c r="BO1274" s="52">
        <f t="shared" ca="1" si="8258"/>
        <v>211339.56051991874</v>
      </c>
      <c r="BP1274" s="52">
        <f t="shared" ca="1" si="8258"/>
        <v>149413.85129333788</v>
      </c>
      <c r="BQ1274" s="52">
        <f t="shared" ca="1" si="8258"/>
        <v>190474.5039588192</v>
      </c>
      <c r="BR1274" s="52">
        <f t="shared" ca="1" si="8258"/>
        <v>258984.87029722304</v>
      </c>
      <c r="BS1274" s="52">
        <f t="shared" ca="1" si="8258"/>
        <v>219743.48235772018</v>
      </c>
      <c r="BT1274" s="52">
        <f t="shared" ca="1" si="8258"/>
        <v>157749.91729861218</v>
      </c>
      <c r="BU1274" s="52">
        <f t="shared" ca="1" si="8258"/>
        <v>197317.58972668709</v>
      </c>
      <c r="BV1274" s="52">
        <f t="shared" ca="1" si="8258"/>
        <v>269303.81083330908</v>
      </c>
      <c r="BW1274" s="52">
        <f t="shared" ca="1" si="8258"/>
        <v>228492.77329331194</v>
      </c>
      <c r="BX1274" s="52">
        <f t="shared" ca="1" si="8258"/>
        <v>161499.22810249944</v>
      </c>
      <c r="BY1274" s="52">
        <f t="shared" ref="BY1274:CO1274" ca="1" si="8259">MAX(BY1271,0)*Flag_Operations</f>
        <v>205913.19083422472</v>
      </c>
      <c r="BZ1274" s="52">
        <f t="shared" ca="1" si="8259"/>
        <v>280016.72812416521</v>
      </c>
      <c r="CA1274" s="52">
        <f t="shared" ca="1" si="8259"/>
        <v>237573.24292879915</v>
      </c>
      <c r="CB1274" s="52">
        <f t="shared" ca="1" si="8259"/>
        <v>167906.9021982312</v>
      </c>
      <c r="CC1274" s="52">
        <f t="shared" ca="1" si="8259"/>
        <v>214098.72207169505</v>
      </c>
      <c r="CD1274" s="52">
        <f t="shared" ca="1" si="8259"/>
        <v>291167.7366661366</v>
      </c>
      <c r="CE1274" s="52">
        <f t="shared" ca="1" si="8259"/>
        <v>247026.51206295507</v>
      </c>
      <c r="CF1274" s="52">
        <f t="shared" ca="1" si="8259"/>
        <v>174570.84607735806</v>
      </c>
      <c r="CG1274" s="52">
        <f t="shared" ca="1" si="8259"/>
        <v>222611.67455866357</v>
      </c>
      <c r="CH1274" s="52">
        <f t="shared" ca="1" si="8259"/>
        <v>302764.78554978635</v>
      </c>
      <c r="CI1274" s="52">
        <f t="shared" ca="1" si="8259"/>
        <v>256857.91196247865</v>
      </c>
      <c r="CJ1274" s="52">
        <f t="shared" ca="1" si="8259"/>
        <v>184327.12636069866</v>
      </c>
      <c r="CK1274" s="52">
        <f t="shared" ca="1" si="8259"/>
        <v>230615.70664995754</v>
      </c>
      <c r="CL1274" s="52">
        <f t="shared" ca="1" si="8259"/>
        <v>314835.06059641473</v>
      </c>
      <c r="CM1274" s="52">
        <f t="shared" ca="1" si="8259"/>
        <v>267091.91898776783</v>
      </c>
      <c r="CN1274" s="52">
        <f t="shared" ca="1" si="8259"/>
        <v>188709.02758838091</v>
      </c>
      <c r="CO1274" s="52">
        <f t="shared" ca="1" si="8259"/>
        <v>240672.75455501606</v>
      </c>
    </row>
    <row r="1275" spans="1:93">
      <c r="A1275" s="10"/>
      <c r="B1275" s="10"/>
      <c r="C1275" s="17" t="s">
        <v>369</v>
      </c>
      <c r="D1275" s="10"/>
      <c r="E1275" s="10"/>
      <c r="F1275" s="10"/>
      <c r="G1275" s="134" t="str">
        <f>Monetary_Unit</f>
        <v>тыс. руб.</v>
      </c>
      <c r="H1275" s="10"/>
      <c r="I1275" s="10"/>
      <c r="J1275" s="10"/>
      <c r="K1275" s="10"/>
      <c r="L1275" s="52">
        <f t="shared" ref="L1275" ca="1" si="8260">MIN(L1274,L1262)</f>
        <v>0</v>
      </c>
      <c r="M1275" s="52">
        <f t="shared" ref="M1275:BX1275" ca="1" si="8261">MIN(M1274,M1262)</f>
        <v>0</v>
      </c>
      <c r="N1275" s="52">
        <f t="shared" ca="1" si="8261"/>
        <v>0</v>
      </c>
      <c r="O1275" s="52">
        <f t="shared" ca="1" si="8261"/>
        <v>0</v>
      </c>
      <c r="P1275" s="52">
        <f t="shared" ca="1" si="8261"/>
        <v>0</v>
      </c>
      <c r="Q1275" s="52">
        <f t="shared" ca="1" si="8261"/>
        <v>0</v>
      </c>
      <c r="R1275" s="52">
        <f t="shared" ca="1" si="8261"/>
        <v>0</v>
      </c>
      <c r="S1275" s="52">
        <f t="shared" ca="1" si="8261"/>
        <v>0</v>
      </c>
      <c r="T1275" s="52">
        <f t="shared" ca="1" si="8261"/>
        <v>0</v>
      </c>
      <c r="U1275" s="52">
        <f t="shared" ca="1" si="8261"/>
        <v>0</v>
      </c>
      <c r="V1275" s="52">
        <f t="shared" ca="1" si="8261"/>
        <v>0</v>
      </c>
      <c r="W1275" s="52">
        <f t="shared" ca="1" si="8261"/>
        <v>0</v>
      </c>
      <c r="X1275" s="52">
        <f t="shared" ca="1" si="8261"/>
        <v>0</v>
      </c>
      <c r="Y1275" s="52">
        <f t="shared" ca="1" si="8261"/>
        <v>0</v>
      </c>
      <c r="Z1275" s="52">
        <f t="shared" ca="1" si="8261"/>
        <v>0</v>
      </c>
      <c r="AA1275" s="52">
        <f t="shared" ca="1" si="8261"/>
        <v>0</v>
      </c>
      <c r="AB1275" s="52">
        <f t="shared" ca="1" si="8261"/>
        <v>0</v>
      </c>
      <c r="AC1275" s="52">
        <f t="shared" ca="1" si="8261"/>
        <v>0</v>
      </c>
      <c r="AD1275" s="52">
        <f t="shared" ca="1" si="8261"/>
        <v>0</v>
      </c>
      <c r="AE1275" s="52">
        <f t="shared" ca="1" si="8261"/>
        <v>0</v>
      </c>
      <c r="AF1275" s="52">
        <f t="shared" ca="1" si="8261"/>
        <v>0</v>
      </c>
      <c r="AG1275" s="52">
        <f t="shared" ca="1" si="8261"/>
        <v>0</v>
      </c>
      <c r="AH1275" s="52">
        <f t="shared" ca="1" si="8261"/>
        <v>0</v>
      </c>
      <c r="AI1275" s="52">
        <f t="shared" ca="1" si="8261"/>
        <v>0</v>
      </c>
      <c r="AJ1275" s="52">
        <f t="shared" ca="1" si="8261"/>
        <v>0</v>
      </c>
      <c r="AK1275" s="52">
        <f t="shared" ca="1" si="8261"/>
        <v>0</v>
      </c>
      <c r="AL1275" s="52">
        <f t="shared" ca="1" si="8261"/>
        <v>0</v>
      </c>
      <c r="AM1275" s="52">
        <f t="shared" ca="1" si="8261"/>
        <v>0</v>
      </c>
      <c r="AN1275" s="52">
        <f t="shared" ca="1" si="8261"/>
        <v>0</v>
      </c>
      <c r="AO1275" s="52">
        <f t="shared" ca="1" si="8261"/>
        <v>0</v>
      </c>
      <c r="AP1275" s="52">
        <f t="shared" ca="1" si="8261"/>
        <v>0</v>
      </c>
      <c r="AQ1275" s="52">
        <f t="shared" ca="1" si="8261"/>
        <v>0</v>
      </c>
      <c r="AR1275" s="52">
        <f t="shared" ca="1" si="8261"/>
        <v>0</v>
      </c>
      <c r="AS1275" s="52">
        <f t="shared" ca="1" si="8261"/>
        <v>0</v>
      </c>
      <c r="AT1275" s="52">
        <f t="shared" ca="1" si="8261"/>
        <v>0</v>
      </c>
      <c r="AU1275" s="52">
        <f t="shared" ca="1" si="8261"/>
        <v>0</v>
      </c>
      <c r="AV1275" s="52">
        <f t="shared" ca="1" si="8261"/>
        <v>0</v>
      </c>
      <c r="AW1275" s="52">
        <f t="shared" ca="1" si="8261"/>
        <v>0</v>
      </c>
      <c r="AX1275" s="52">
        <f t="shared" ca="1" si="8261"/>
        <v>0</v>
      </c>
      <c r="AY1275" s="52">
        <f t="shared" ca="1" si="8261"/>
        <v>0</v>
      </c>
      <c r="AZ1275" s="52">
        <f t="shared" ca="1" si="8261"/>
        <v>0</v>
      </c>
      <c r="BA1275" s="52">
        <f t="shared" ca="1" si="8261"/>
        <v>0</v>
      </c>
      <c r="BB1275" s="52">
        <f t="shared" ca="1" si="8261"/>
        <v>1578.8975359324165</v>
      </c>
      <c r="BC1275" s="52">
        <f t="shared" ca="1" si="8261"/>
        <v>0</v>
      </c>
      <c r="BD1275" s="52">
        <f t="shared" ca="1" si="8261"/>
        <v>0</v>
      </c>
      <c r="BE1275" s="52">
        <f t="shared" ca="1" si="8261"/>
        <v>1224.6918064263284</v>
      </c>
      <c r="BF1275" s="52">
        <f t="shared" ca="1" si="8261"/>
        <v>1187.8633656033207</v>
      </c>
      <c r="BG1275" s="52">
        <f t="shared" ca="1" si="8261"/>
        <v>0</v>
      </c>
      <c r="BH1275" s="52">
        <f t="shared" ca="1" si="8261"/>
        <v>0</v>
      </c>
      <c r="BI1275" s="52">
        <f t="shared" ca="1" si="8261"/>
        <v>0</v>
      </c>
      <c r="BJ1275" s="52">
        <f t="shared" ca="1" si="8261"/>
        <v>0</v>
      </c>
      <c r="BK1275" s="52">
        <f t="shared" ca="1" si="8261"/>
        <v>0</v>
      </c>
      <c r="BL1275" s="52">
        <f t="shared" ca="1" si="8261"/>
        <v>0</v>
      </c>
      <c r="BM1275" s="52">
        <f t="shared" ca="1" si="8261"/>
        <v>0</v>
      </c>
      <c r="BN1275" s="52">
        <f t="shared" ca="1" si="8261"/>
        <v>0</v>
      </c>
      <c r="BO1275" s="52">
        <f t="shared" ca="1" si="8261"/>
        <v>0</v>
      </c>
      <c r="BP1275" s="52">
        <f t="shared" ca="1" si="8261"/>
        <v>0</v>
      </c>
      <c r="BQ1275" s="52">
        <f t="shared" ca="1" si="8261"/>
        <v>0</v>
      </c>
      <c r="BR1275" s="52">
        <f t="shared" ca="1" si="8261"/>
        <v>0</v>
      </c>
      <c r="BS1275" s="52">
        <f t="shared" ca="1" si="8261"/>
        <v>0</v>
      </c>
      <c r="BT1275" s="52">
        <f t="shared" ca="1" si="8261"/>
        <v>0</v>
      </c>
      <c r="BU1275" s="52">
        <f t="shared" ca="1" si="8261"/>
        <v>0</v>
      </c>
      <c r="BV1275" s="52">
        <f t="shared" ca="1" si="8261"/>
        <v>0</v>
      </c>
      <c r="BW1275" s="52">
        <f t="shared" ca="1" si="8261"/>
        <v>0</v>
      </c>
      <c r="BX1275" s="52">
        <f t="shared" ca="1" si="8261"/>
        <v>0</v>
      </c>
      <c r="BY1275" s="52">
        <f t="shared" ref="BY1275:CO1275" ca="1" si="8262">MIN(BY1274,BY1262)</f>
        <v>0</v>
      </c>
      <c r="BZ1275" s="52">
        <f t="shared" ca="1" si="8262"/>
        <v>0</v>
      </c>
      <c r="CA1275" s="52">
        <f t="shared" ca="1" si="8262"/>
        <v>0</v>
      </c>
      <c r="CB1275" s="52">
        <f t="shared" ca="1" si="8262"/>
        <v>0</v>
      </c>
      <c r="CC1275" s="52">
        <f t="shared" ca="1" si="8262"/>
        <v>0</v>
      </c>
      <c r="CD1275" s="52">
        <f t="shared" ca="1" si="8262"/>
        <v>0</v>
      </c>
      <c r="CE1275" s="52">
        <f t="shared" ca="1" si="8262"/>
        <v>0</v>
      </c>
      <c r="CF1275" s="52">
        <f t="shared" ca="1" si="8262"/>
        <v>0</v>
      </c>
      <c r="CG1275" s="52">
        <f t="shared" ca="1" si="8262"/>
        <v>0</v>
      </c>
      <c r="CH1275" s="52">
        <f t="shared" ca="1" si="8262"/>
        <v>0</v>
      </c>
      <c r="CI1275" s="52">
        <f t="shared" ca="1" si="8262"/>
        <v>0</v>
      </c>
      <c r="CJ1275" s="52">
        <f t="shared" ca="1" si="8262"/>
        <v>0</v>
      </c>
      <c r="CK1275" s="52">
        <f t="shared" ca="1" si="8262"/>
        <v>0</v>
      </c>
      <c r="CL1275" s="52">
        <f t="shared" ca="1" si="8262"/>
        <v>0</v>
      </c>
      <c r="CM1275" s="52">
        <f t="shared" ca="1" si="8262"/>
        <v>0</v>
      </c>
      <c r="CN1275" s="52">
        <f t="shared" ca="1" si="8262"/>
        <v>0</v>
      </c>
      <c r="CO1275" s="52">
        <f t="shared" ca="1" si="8262"/>
        <v>0</v>
      </c>
    </row>
    <row r="1276" spans="1:93">
      <c r="A1276" s="10"/>
      <c r="B1276" s="10"/>
      <c r="C1276" s="17" t="s">
        <v>370</v>
      </c>
      <c r="D1276" s="10"/>
      <c r="E1276" s="10"/>
      <c r="F1276" s="10"/>
      <c r="G1276" s="134" t="str">
        <f>Monetary_Unit</f>
        <v>тыс. руб.</v>
      </c>
      <c r="H1276" s="10"/>
      <c r="I1276" s="10"/>
      <c r="J1276" s="10"/>
      <c r="K1276" s="10"/>
      <c r="L1276" s="52">
        <f t="shared" ref="L1276" ca="1" si="8263">MAX(L1271+L1272,0)</f>
        <v>0</v>
      </c>
      <c r="M1276" s="52">
        <f t="shared" ref="M1276:BX1276" ca="1" si="8264">MAX(M1271+M1272,0)</f>
        <v>0</v>
      </c>
      <c r="N1276" s="52">
        <f t="shared" ca="1" si="8264"/>
        <v>0</v>
      </c>
      <c r="O1276" s="52">
        <f t="shared" ca="1" si="8264"/>
        <v>0</v>
      </c>
      <c r="P1276" s="52">
        <f t="shared" ca="1" si="8264"/>
        <v>0</v>
      </c>
      <c r="Q1276" s="52">
        <f t="shared" ca="1" si="8264"/>
        <v>0</v>
      </c>
      <c r="R1276" s="52">
        <f t="shared" ca="1" si="8264"/>
        <v>0</v>
      </c>
      <c r="S1276" s="52">
        <f t="shared" ca="1" si="8264"/>
        <v>0</v>
      </c>
      <c r="T1276" s="52">
        <f t="shared" ca="1" si="8264"/>
        <v>0</v>
      </c>
      <c r="U1276" s="52">
        <f t="shared" ca="1" si="8264"/>
        <v>0</v>
      </c>
      <c r="V1276" s="52">
        <f t="shared" ca="1" si="8264"/>
        <v>0</v>
      </c>
      <c r="W1276" s="52">
        <f t="shared" ca="1" si="8264"/>
        <v>0</v>
      </c>
      <c r="X1276" s="52">
        <f t="shared" ca="1" si="8264"/>
        <v>0</v>
      </c>
      <c r="Y1276" s="52">
        <f t="shared" ca="1" si="8264"/>
        <v>0</v>
      </c>
      <c r="Z1276" s="52">
        <f t="shared" ca="1" si="8264"/>
        <v>0</v>
      </c>
      <c r="AA1276" s="52">
        <f t="shared" ca="1" si="8264"/>
        <v>0</v>
      </c>
      <c r="AB1276" s="52">
        <f t="shared" ca="1" si="8264"/>
        <v>0</v>
      </c>
      <c r="AC1276" s="52">
        <f t="shared" ca="1" si="8264"/>
        <v>686102.4142472886</v>
      </c>
      <c r="AD1276" s="52">
        <f t="shared" ca="1" si="8264"/>
        <v>766047.6027555078</v>
      </c>
      <c r="AE1276" s="52">
        <f t="shared" ca="1" si="8264"/>
        <v>683172.32325193868</v>
      </c>
      <c r="AF1276" s="52">
        <f t="shared" ca="1" si="8264"/>
        <v>646374.61928547628</v>
      </c>
      <c r="AG1276" s="52">
        <f t="shared" ca="1" si="8264"/>
        <v>617102.44310604664</v>
      </c>
      <c r="AH1276" s="52">
        <f t="shared" ca="1" si="8264"/>
        <v>570756.14798912196</v>
      </c>
      <c r="AI1276" s="52">
        <f t="shared" ca="1" si="8264"/>
        <v>474295.49652612227</v>
      </c>
      <c r="AJ1276" s="52">
        <f t="shared" ca="1" si="8264"/>
        <v>432572.22477545764</v>
      </c>
      <c r="AK1276" s="52">
        <f t="shared" ca="1" si="8264"/>
        <v>400217.02762098348</v>
      </c>
      <c r="AL1276" s="52">
        <f t="shared" ca="1" si="8264"/>
        <v>347763.32068115351</v>
      </c>
      <c r="AM1276" s="52">
        <f t="shared" ca="1" si="8264"/>
        <v>236846.89343588625</v>
      </c>
      <c r="AN1276" s="52">
        <f t="shared" ca="1" si="8264"/>
        <v>191685.54215702583</v>
      </c>
      <c r="AO1276" s="52">
        <f t="shared" ca="1" si="8264"/>
        <v>154300.24168308536</v>
      </c>
      <c r="AP1276" s="52">
        <f t="shared" ca="1" si="8264"/>
        <v>141729.88994279964</v>
      </c>
      <c r="AQ1276" s="52">
        <f t="shared" ca="1" si="8264"/>
        <v>160798.98248832178</v>
      </c>
      <c r="AR1276" s="52">
        <f t="shared" ca="1" si="8264"/>
        <v>61597.462780265138</v>
      </c>
      <c r="AS1276" s="52">
        <f t="shared" ca="1" si="8264"/>
        <v>61934.838676213985</v>
      </c>
      <c r="AT1276" s="52">
        <f t="shared" ca="1" si="8264"/>
        <v>152696.91451470894</v>
      </c>
      <c r="AU1276" s="52">
        <f t="shared" ca="1" si="8264"/>
        <v>166797.13908820559</v>
      </c>
      <c r="AV1276" s="52">
        <f t="shared" ca="1" si="8264"/>
        <v>64056.714336277917</v>
      </c>
      <c r="AW1276" s="52">
        <f t="shared" ca="1" si="8264"/>
        <v>107973.36274285452</v>
      </c>
      <c r="AX1276" s="52">
        <f t="shared" ca="1" si="8264"/>
        <v>84851.201995847252</v>
      </c>
      <c r="AY1276" s="52">
        <f t="shared" ca="1" si="8264"/>
        <v>10608.520906129328</v>
      </c>
      <c r="AZ1276" s="52">
        <f t="shared" ca="1" si="8264"/>
        <v>0</v>
      </c>
      <c r="BA1276" s="52">
        <f t="shared" ca="1" si="8264"/>
        <v>0</v>
      </c>
      <c r="BB1276" s="52">
        <f t="shared" ca="1" si="8264"/>
        <v>60366.1798119534</v>
      </c>
      <c r="BC1276" s="52">
        <f t="shared" ca="1" si="8264"/>
        <v>17715.546658842039</v>
      </c>
      <c r="BD1276" s="52">
        <f t="shared" ca="1" si="8264"/>
        <v>0</v>
      </c>
      <c r="BE1276" s="52">
        <f t="shared" ca="1" si="8264"/>
        <v>1481.8754323964547</v>
      </c>
      <c r="BF1276" s="52">
        <f t="shared" ca="1" si="8264"/>
        <v>67968.950677065848</v>
      </c>
      <c r="BG1276" s="52">
        <f t="shared" ca="1" si="8264"/>
        <v>23187.540176706039</v>
      </c>
      <c r="BH1276" s="52">
        <f t="shared" ca="1" si="8264"/>
        <v>149271.3857948205</v>
      </c>
      <c r="BI1276" s="52">
        <f t="shared" ca="1" si="8264"/>
        <v>194467.00727934242</v>
      </c>
      <c r="BJ1276" s="52">
        <f t="shared" ca="1" si="8264"/>
        <v>263143.28819603729</v>
      </c>
      <c r="BK1276" s="52">
        <f t="shared" ca="1" si="8264"/>
        <v>215603.7609729098</v>
      </c>
      <c r="BL1276" s="52">
        <f t="shared" ca="1" si="8264"/>
        <v>155296.66139235115</v>
      </c>
      <c r="BM1276" s="52">
        <f t="shared" ca="1" si="8264"/>
        <v>202301.54613887856</v>
      </c>
      <c r="BN1276" s="52">
        <f t="shared" ca="1" si="8264"/>
        <v>273726.34847685776</v>
      </c>
      <c r="BO1276" s="52">
        <f t="shared" ca="1" si="8264"/>
        <v>211339.56051991874</v>
      </c>
      <c r="BP1276" s="52">
        <f t="shared" ca="1" si="8264"/>
        <v>149413.85129333788</v>
      </c>
      <c r="BQ1276" s="52">
        <f t="shared" ca="1" si="8264"/>
        <v>190474.5039588192</v>
      </c>
      <c r="BR1276" s="52">
        <f t="shared" ca="1" si="8264"/>
        <v>258984.87029722304</v>
      </c>
      <c r="BS1276" s="52">
        <f t="shared" ca="1" si="8264"/>
        <v>219743.48235772018</v>
      </c>
      <c r="BT1276" s="52">
        <f t="shared" ca="1" si="8264"/>
        <v>157749.91729861218</v>
      </c>
      <c r="BU1276" s="52">
        <f t="shared" ca="1" si="8264"/>
        <v>197317.58972668709</v>
      </c>
      <c r="BV1276" s="52">
        <f t="shared" ca="1" si="8264"/>
        <v>269303.81083330908</v>
      </c>
      <c r="BW1276" s="52">
        <f t="shared" ca="1" si="8264"/>
        <v>228492.77329331194</v>
      </c>
      <c r="BX1276" s="52">
        <f t="shared" ca="1" si="8264"/>
        <v>161499.22810249944</v>
      </c>
      <c r="BY1276" s="52">
        <f t="shared" ref="BY1276:CO1276" ca="1" si="8265">MAX(BY1271+BY1272,0)</f>
        <v>205913.19083422472</v>
      </c>
      <c r="BZ1276" s="52">
        <f t="shared" ca="1" si="8265"/>
        <v>280016.72812416521</v>
      </c>
      <c r="CA1276" s="52">
        <f t="shared" ca="1" si="8265"/>
        <v>237573.24292879915</v>
      </c>
      <c r="CB1276" s="52">
        <f t="shared" ca="1" si="8265"/>
        <v>167906.9021982312</v>
      </c>
      <c r="CC1276" s="52">
        <f t="shared" ca="1" si="8265"/>
        <v>214098.72207169505</v>
      </c>
      <c r="CD1276" s="52">
        <f t="shared" ca="1" si="8265"/>
        <v>291167.7366661366</v>
      </c>
      <c r="CE1276" s="52">
        <f t="shared" ca="1" si="8265"/>
        <v>247026.51206295507</v>
      </c>
      <c r="CF1276" s="52">
        <f t="shared" ca="1" si="8265"/>
        <v>174570.84607735806</v>
      </c>
      <c r="CG1276" s="52">
        <f t="shared" ca="1" si="8265"/>
        <v>222611.67455866357</v>
      </c>
      <c r="CH1276" s="52">
        <f t="shared" ca="1" si="8265"/>
        <v>302764.78554978635</v>
      </c>
      <c r="CI1276" s="52">
        <f t="shared" ca="1" si="8265"/>
        <v>256857.91196247865</v>
      </c>
      <c r="CJ1276" s="52">
        <f t="shared" ca="1" si="8265"/>
        <v>184327.12636069866</v>
      </c>
      <c r="CK1276" s="52">
        <f t="shared" ca="1" si="8265"/>
        <v>230615.70664995754</v>
      </c>
      <c r="CL1276" s="52">
        <f t="shared" ca="1" si="8265"/>
        <v>314835.06059641473</v>
      </c>
      <c r="CM1276" s="52">
        <f t="shared" ca="1" si="8265"/>
        <v>267091.91898776783</v>
      </c>
      <c r="CN1276" s="52">
        <f t="shared" ca="1" si="8265"/>
        <v>188709.02758838091</v>
      </c>
      <c r="CO1276" s="52">
        <f t="shared" ca="1" si="8265"/>
        <v>240672.75455501606</v>
      </c>
    </row>
    <row r="1277" spans="1:93">
      <c r="A1277" s="10"/>
      <c r="B1277" s="10"/>
      <c r="C1277" s="17"/>
      <c r="D1277" s="10"/>
      <c r="E1277" s="10"/>
      <c r="F1277" s="10"/>
      <c r="G1277" s="11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  <c r="AY1277" s="10"/>
      <c r="AZ1277" s="10"/>
      <c r="BA1277" s="10"/>
      <c r="BB1277" s="10"/>
      <c r="BC1277" s="10"/>
      <c r="BD1277" s="10"/>
      <c r="BE1277" s="10"/>
      <c r="BF1277" s="10"/>
      <c r="BG1277" s="10"/>
      <c r="BH1277" s="10"/>
      <c r="BI1277" s="10"/>
      <c r="BJ1277" s="10"/>
      <c r="BK1277" s="10"/>
      <c r="BL1277" s="10"/>
      <c r="BM1277" s="10"/>
      <c r="BN1277" s="10"/>
      <c r="BO1277" s="10"/>
      <c r="BP1277" s="10"/>
      <c r="BQ1277" s="10"/>
      <c r="BR1277" s="10"/>
      <c r="BS1277" s="10"/>
      <c r="BT1277" s="10"/>
      <c r="BU1277" s="10"/>
      <c r="BV1277" s="10"/>
      <c r="BW1277" s="10"/>
      <c r="BX1277" s="10"/>
      <c r="BY1277" s="10"/>
      <c r="BZ1277" s="10"/>
      <c r="CA1277" s="10"/>
      <c r="CB1277" s="10"/>
      <c r="CC1277" s="10"/>
      <c r="CD1277" s="10"/>
      <c r="CE1277" s="10"/>
      <c r="CF1277" s="10"/>
      <c r="CG1277" s="10"/>
      <c r="CH1277" s="10"/>
      <c r="CI1277" s="10"/>
      <c r="CJ1277" s="10"/>
      <c r="CK1277" s="10"/>
      <c r="CL1277" s="10"/>
      <c r="CM1277" s="10"/>
      <c r="CN1277" s="10"/>
      <c r="CO1277" s="10"/>
    </row>
    <row r="1278" spans="1:93" ht="22.5" customHeight="1">
      <c r="A1278" s="10"/>
      <c r="B1278" s="5" t="s">
        <v>166</v>
      </c>
      <c r="C1278" s="5"/>
      <c r="D1278" s="15"/>
      <c r="E1278" s="5"/>
      <c r="F1278" s="5"/>
      <c r="G1278" s="6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5"/>
      <c r="BP1278" s="5"/>
      <c r="BQ1278" s="5"/>
      <c r="BR1278" s="5"/>
      <c r="BS1278" s="5"/>
      <c r="BT1278" s="5"/>
      <c r="BU1278" s="5"/>
      <c r="BV1278" s="5"/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</row>
    <row r="1279" spans="1:93">
      <c r="A1279" s="10"/>
      <c r="B1279" s="10"/>
      <c r="C1279" s="10"/>
      <c r="D1279" s="10"/>
      <c r="E1279" s="10"/>
      <c r="F1279" s="10"/>
      <c r="G1279" s="11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  <c r="AY1279" s="10"/>
      <c r="AZ1279" s="10"/>
      <c r="BA1279" s="10"/>
      <c r="BB1279" s="10"/>
      <c r="BC1279" s="10"/>
      <c r="BD1279" s="10"/>
      <c r="BE1279" s="10"/>
      <c r="BF1279" s="10"/>
      <c r="BG1279" s="10"/>
      <c r="BH1279" s="10"/>
      <c r="BI1279" s="10"/>
      <c r="BJ1279" s="10"/>
      <c r="BK1279" s="10"/>
      <c r="BL1279" s="10"/>
      <c r="BM1279" s="10"/>
      <c r="BN1279" s="10"/>
      <c r="BO1279" s="10"/>
      <c r="BP1279" s="10"/>
      <c r="BQ1279" s="10"/>
      <c r="BR1279" s="10"/>
      <c r="BS1279" s="10"/>
      <c r="BT1279" s="10"/>
      <c r="BU1279" s="10"/>
      <c r="BV1279" s="10"/>
      <c r="BW1279" s="10"/>
      <c r="BX1279" s="10"/>
      <c r="BY1279" s="10"/>
      <c r="BZ1279" s="10"/>
      <c r="CA1279" s="10"/>
      <c r="CB1279" s="10"/>
      <c r="CC1279" s="10"/>
      <c r="CD1279" s="10"/>
      <c r="CE1279" s="10"/>
      <c r="CF1279" s="10"/>
      <c r="CG1279" s="10"/>
      <c r="CH1279" s="10"/>
      <c r="CI1279" s="10"/>
      <c r="CJ1279" s="10"/>
      <c r="CK1279" s="10"/>
      <c r="CL1279" s="10"/>
      <c r="CM1279" s="10"/>
      <c r="CN1279" s="10"/>
      <c r="CO1279" s="10"/>
    </row>
    <row r="1280" spans="1:93" ht="16" thickBot="1">
      <c r="A1280" s="10"/>
      <c r="B1280" s="10"/>
      <c r="C1280" s="12" t="s">
        <v>544</v>
      </c>
      <c r="D1280" s="10"/>
      <c r="E1280" s="62"/>
      <c r="F1280" s="10"/>
      <c r="G1280" s="11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  <c r="AY1280" s="10"/>
      <c r="AZ1280" s="10"/>
      <c r="BA1280" s="10"/>
      <c r="BB1280" s="10"/>
      <c r="BC1280" s="10"/>
      <c r="BD1280" s="10"/>
      <c r="BE1280" s="10"/>
      <c r="BF1280" s="10"/>
      <c r="BG1280" s="10"/>
      <c r="BH1280" s="10"/>
      <c r="BI1280" s="10"/>
      <c r="BJ1280" s="10"/>
      <c r="BK1280" s="10"/>
      <c r="BL1280" s="10"/>
      <c r="BM1280" s="10"/>
      <c r="BN1280" s="10"/>
      <c r="BO1280" s="10"/>
      <c r="BP1280" s="10"/>
      <c r="BQ1280" s="10"/>
      <c r="BR1280" s="10"/>
      <c r="BS1280" s="10"/>
      <c r="BT1280" s="10"/>
      <c r="BU1280" s="10"/>
      <c r="BV1280" s="10"/>
      <c r="BW1280" s="10"/>
      <c r="BX1280" s="10"/>
      <c r="BY1280" s="10"/>
      <c r="BZ1280" s="10"/>
      <c r="CA1280" s="10"/>
      <c r="CB1280" s="10"/>
      <c r="CC1280" s="10"/>
      <c r="CD1280" s="10"/>
      <c r="CE1280" s="10"/>
      <c r="CF1280" s="10"/>
      <c r="CG1280" s="10"/>
      <c r="CH1280" s="10"/>
      <c r="CI1280" s="10"/>
      <c r="CJ1280" s="10"/>
      <c r="CK1280" s="10"/>
      <c r="CL1280" s="10"/>
      <c r="CM1280" s="10"/>
      <c r="CN1280" s="10"/>
      <c r="CO1280" s="10"/>
    </row>
    <row r="1281" spans="1:93">
      <c r="A1281" s="10"/>
      <c r="B1281" s="10"/>
      <c r="C1281" s="17" t="s">
        <v>261</v>
      </c>
      <c r="D1281" s="10"/>
      <c r="E1281" s="62"/>
      <c r="F1281" s="10"/>
      <c r="G1281" s="134" t="str">
        <f t="shared" ref="G1281:G1286" si="8266">Monetary_Unit</f>
        <v>тыс. руб.</v>
      </c>
      <c r="H1281" s="10"/>
      <c r="I1281" s="10"/>
      <c r="J1281" s="10"/>
      <c r="K1281" s="10"/>
      <c r="L1281" s="52">
        <f t="shared" ref="L1281:BW1281" ca="1" si="8267">FCFE</f>
        <v>-31406.153379286916</v>
      </c>
      <c r="M1281" s="52">
        <f t="shared" ca="1" si="8267"/>
        <v>-31851.960190507532</v>
      </c>
      <c r="N1281" s="52">
        <f t="shared" ca="1" si="8267"/>
        <v>-32304.095179220327</v>
      </c>
      <c r="O1281" s="52">
        <f t="shared" ca="1" si="8267"/>
        <v>-32762.648173192309</v>
      </c>
      <c r="P1281" s="52">
        <f t="shared" ca="1" si="8267"/>
        <v>-275591.46580799518</v>
      </c>
      <c r="Q1281" s="52">
        <f t="shared" ca="1" si="8267"/>
        <v>-278306.9805620276</v>
      </c>
      <c r="R1281" s="52">
        <f t="shared" ca="1" si="8267"/>
        <v>-281049.25238692126</v>
      </c>
      <c r="S1281" s="52">
        <f t="shared" ca="1" si="8267"/>
        <v>-284557.53667344904</v>
      </c>
      <c r="T1281" s="52">
        <f t="shared" ca="1" si="8267"/>
        <v>-293195.77878796187</v>
      </c>
      <c r="U1281" s="52">
        <f t="shared" ca="1" si="8267"/>
        <v>-299864.08841733454</v>
      </c>
      <c r="V1281" s="52">
        <f t="shared" ca="1" si="8267"/>
        <v>-306680.671823757</v>
      </c>
      <c r="W1281" s="52">
        <f t="shared" ca="1" si="8267"/>
        <v>-313448.73444932338</v>
      </c>
      <c r="X1281" s="52">
        <f t="shared" ca="1" si="8267"/>
        <v>-646653.2581487901</v>
      </c>
      <c r="Y1281" s="52">
        <f t="shared" ca="1" si="8267"/>
        <v>-660955.27495578071</v>
      </c>
      <c r="Z1281" s="52">
        <f t="shared" ca="1" si="8267"/>
        <v>-675843.90368952369</v>
      </c>
      <c r="AA1281" s="52">
        <f t="shared" ca="1" si="8267"/>
        <v>-690520.69372146716</v>
      </c>
      <c r="AB1281" s="52">
        <f t="shared" ca="1" si="8267"/>
        <v>-890466.98389240366</v>
      </c>
      <c r="AC1281" s="52">
        <f t="shared" ca="1" si="8267"/>
        <v>686102.4142472886</v>
      </c>
      <c r="AD1281" s="52">
        <f t="shared" ca="1" si="8267"/>
        <v>766047.6027555078</v>
      </c>
      <c r="AE1281" s="52">
        <f t="shared" ca="1" si="8267"/>
        <v>683172.32325193868</v>
      </c>
      <c r="AF1281" s="52">
        <f t="shared" ca="1" si="8267"/>
        <v>646374.61928547628</v>
      </c>
      <c r="AG1281" s="52">
        <f t="shared" ca="1" si="8267"/>
        <v>617102.44310604664</v>
      </c>
      <c r="AH1281" s="52">
        <f t="shared" ca="1" si="8267"/>
        <v>570756.14798912196</v>
      </c>
      <c r="AI1281" s="52">
        <f t="shared" ca="1" si="8267"/>
        <v>474295.49652612227</v>
      </c>
      <c r="AJ1281" s="52">
        <f t="shared" ca="1" si="8267"/>
        <v>432572.22477545764</v>
      </c>
      <c r="AK1281" s="52">
        <f t="shared" ca="1" si="8267"/>
        <v>400217.02762098348</v>
      </c>
      <c r="AL1281" s="52">
        <f t="shared" ca="1" si="8267"/>
        <v>347763.32068115351</v>
      </c>
      <c r="AM1281" s="52">
        <f t="shared" ca="1" si="8267"/>
        <v>236846.89343588625</v>
      </c>
      <c r="AN1281" s="52">
        <f t="shared" ca="1" si="8267"/>
        <v>191685.54215702583</v>
      </c>
      <c r="AO1281" s="52">
        <f t="shared" ca="1" si="8267"/>
        <v>154300.24168308536</v>
      </c>
      <c r="AP1281" s="52">
        <f t="shared" ca="1" si="8267"/>
        <v>141729.88994279964</v>
      </c>
      <c r="AQ1281" s="52">
        <f t="shared" ca="1" si="8267"/>
        <v>160798.98248832178</v>
      </c>
      <c r="AR1281" s="52">
        <f t="shared" ca="1" si="8267"/>
        <v>61597.462780265138</v>
      </c>
      <c r="AS1281" s="52">
        <f t="shared" ca="1" si="8267"/>
        <v>61934.838676213985</v>
      </c>
      <c r="AT1281" s="52">
        <f t="shared" ca="1" si="8267"/>
        <v>152696.91451470894</v>
      </c>
      <c r="AU1281" s="52">
        <f t="shared" ca="1" si="8267"/>
        <v>166797.13908820559</v>
      </c>
      <c r="AV1281" s="52">
        <f t="shared" ca="1" si="8267"/>
        <v>64056.714336277917</v>
      </c>
      <c r="AW1281" s="52">
        <f t="shared" ca="1" si="8267"/>
        <v>107973.36274285452</v>
      </c>
      <c r="AX1281" s="52">
        <f t="shared" ca="1" si="8267"/>
        <v>84851.201995847252</v>
      </c>
      <c r="AY1281" s="52">
        <f t="shared" ca="1" si="8267"/>
        <v>10608.520906129328</v>
      </c>
      <c r="AZ1281" s="52">
        <f t="shared" ca="1" si="8267"/>
        <v>-42890.270483924673</v>
      </c>
      <c r="BA1281" s="52">
        <f t="shared" ca="1" si="8267"/>
        <v>-1307.0405516153842</v>
      </c>
      <c r="BB1281" s="52">
        <f t="shared" ca="1" si="8267"/>
        <v>61945.077347885817</v>
      </c>
      <c r="BC1281" s="52">
        <f t="shared" ca="1" si="8267"/>
        <v>17715.546658842039</v>
      </c>
      <c r="BD1281" s="52">
        <f t="shared" ca="1" si="8267"/>
        <v>-35884.306000194192</v>
      </c>
      <c r="BE1281" s="52">
        <f t="shared" ca="1" si="8267"/>
        <v>2706.5672388227831</v>
      </c>
      <c r="BF1281" s="52">
        <f t="shared" ca="1" si="8267"/>
        <v>69156.814042669168</v>
      </c>
      <c r="BG1281" s="52">
        <f t="shared" ca="1" si="8267"/>
        <v>23187.540176706039</v>
      </c>
      <c r="BH1281" s="52">
        <f t="shared" ca="1" si="8267"/>
        <v>149271.3857948205</v>
      </c>
      <c r="BI1281" s="52">
        <f t="shared" ca="1" si="8267"/>
        <v>194467.00727934242</v>
      </c>
      <c r="BJ1281" s="52">
        <f t="shared" ca="1" si="8267"/>
        <v>263143.28819603729</v>
      </c>
      <c r="BK1281" s="52">
        <f t="shared" ca="1" si="8267"/>
        <v>215603.7609729098</v>
      </c>
      <c r="BL1281" s="52">
        <f t="shared" ca="1" si="8267"/>
        <v>155296.66139235115</v>
      </c>
      <c r="BM1281" s="52">
        <f t="shared" ca="1" si="8267"/>
        <v>202301.54613887856</v>
      </c>
      <c r="BN1281" s="52">
        <f t="shared" ca="1" si="8267"/>
        <v>273726.34847685776</v>
      </c>
      <c r="BO1281" s="52">
        <f t="shared" ca="1" si="8267"/>
        <v>211339.56051991874</v>
      </c>
      <c r="BP1281" s="52">
        <f t="shared" ca="1" si="8267"/>
        <v>149413.85129333788</v>
      </c>
      <c r="BQ1281" s="52">
        <f t="shared" ca="1" si="8267"/>
        <v>190474.5039588192</v>
      </c>
      <c r="BR1281" s="52">
        <f t="shared" ca="1" si="8267"/>
        <v>258984.87029722304</v>
      </c>
      <c r="BS1281" s="52">
        <f t="shared" ca="1" si="8267"/>
        <v>219743.48235772018</v>
      </c>
      <c r="BT1281" s="52">
        <f t="shared" ca="1" si="8267"/>
        <v>157749.91729861218</v>
      </c>
      <c r="BU1281" s="52">
        <f t="shared" ca="1" si="8267"/>
        <v>197317.58972668709</v>
      </c>
      <c r="BV1281" s="52">
        <f t="shared" ca="1" si="8267"/>
        <v>269303.81083330908</v>
      </c>
      <c r="BW1281" s="52">
        <f t="shared" ca="1" si="8267"/>
        <v>228492.77329331194</v>
      </c>
      <c r="BX1281" s="52">
        <f t="shared" ref="BX1281:CO1281" ca="1" si="8268">FCFE</f>
        <v>161499.22810249944</v>
      </c>
      <c r="BY1281" s="52">
        <f t="shared" ca="1" si="8268"/>
        <v>205913.19083422472</v>
      </c>
      <c r="BZ1281" s="52">
        <f t="shared" ca="1" si="8268"/>
        <v>280016.72812416521</v>
      </c>
      <c r="CA1281" s="52">
        <f t="shared" ca="1" si="8268"/>
        <v>237573.24292879915</v>
      </c>
      <c r="CB1281" s="52">
        <f t="shared" ca="1" si="8268"/>
        <v>167906.9021982312</v>
      </c>
      <c r="CC1281" s="52">
        <f t="shared" ca="1" si="8268"/>
        <v>214098.72207169505</v>
      </c>
      <c r="CD1281" s="52">
        <f t="shared" ca="1" si="8268"/>
        <v>291167.7366661366</v>
      </c>
      <c r="CE1281" s="52">
        <f t="shared" ca="1" si="8268"/>
        <v>247026.51206295507</v>
      </c>
      <c r="CF1281" s="52">
        <f t="shared" ca="1" si="8268"/>
        <v>174570.84607735806</v>
      </c>
      <c r="CG1281" s="52">
        <f t="shared" ca="1" si="8268"/>
        <v>222611.67455866357</v>
      </c>
      <c r="CH1281" s="52">
        <f t="shared" ca="1" si="8268"/>
        <v>302764.78554978635</v>
      </c>
      <c r="CI1281" s="52">
        <f t="shared" ca="1" si="8268"/>
        <v>256857.91196247865</v>
      </c>
      <c r="CJ1281" s="52">
        <f t="shared" ca="1" si="8268"/>
        <v>184327.12636069866</v>
      </c>
      <c r="CK1281" s="52">
        <f t="shared" ca="1" si="8268"/>
        <v>230615.70664995754</v>
      </c>
      <c r="CL1281" s="52">
        <f t="shared" ca="1" si="8268"/>
        <v>314835.06059641473</v>
      </c>
      <c r="CM1281" s="52">
        <f t="shared" ca="1" si="8268"/>
        <v>267091.91898776783</v>
      </c>
      <c r="CN1281" s="52">
        <f t="shared" ca="1" si="8268"/>
        <v>188709.02758838091</v>
      </c>
      <c r="CO1281" s="52">
        <f t="shared" ca="1" si="8268"/>
        <v>240672.75455501606</v>
      </c>
    </row>
    <row r="1282" spans="1:93">
      <c r="A1282" s="10"/>
      <c r="B1282" s="10"/>
      <c r="C1282" s="17" t="s">
        <v>371</v>
      </c>
      <c r="D1282" s="10"/>
      <c r="E1282" s="62"/>
      <c r="F1282" s="10"/>
      <c r="G1282" s="134" t="str">
        <f t="shared" si="8266"/>
        <v>тыс. руб.</v>
      </c>
      <c r="H1282" s="10"/>
      <c r="I1282" s="10"/>
      <c r="J1282" s="10"/>
      <c r="K1282" s="10"/>
      <c r="L1282" s="52">
        <f t="shared" ref="L1282:AQ1282" ca="1" si="8269">L1281+L1304+L1305</f>
        <v>-31406.153379286916</v>
      </c>
      <c r="M1282" s="52">
        <f t="shared" ca="1" si="8269"/>
        <v>-31851.960190507532</v>
      </c>
      <c r="N1282" s="52">
        <f t="shared" ca="1" si="8269"/>
        <v>-32304.095179220327</v>
      </c>
      <c r="O1282" s="52">
        <f t="shared" ca="1" si="8269"/>
        <v>-32762.648173192309</v>
      </c>
      <c r="P1282" s="52">
        <f t="shared" ca="1" si="8269"/>
        <v>-275591.46580799518</v>
      </c>
      <c r="Q1282" s="52">
        <f t="shared" ca="1" si="8269"/>
        <v>-278306.9805620276</v>
      </c>
      <c r="R1282" s="52">
        <f t="shared" ca="1" si="8269"/>
        <v>-281049.25238692126</v>
      </c>
      <c r="S1282" s="52">
        <f t="shared" ca="1" si="8269"/>
        <v>-284557.53667344904</v>
      </c>
      <c r="T1282" s="52">
        <f t="shared" ca="1" si="8269"/>
        <v>-293195.77878796187</v>
      </c>
      <c r="U1282" s="52">
        <f t="shared" ca="1" si="8269"/>
        <v>-299864.08841733454</v>
      </c>
      <c r="V1282" s="52">
        <f t="shared" ca="1" si="8269"/>
        <v>-306680.671823757</v>
      </c>
      <c r="W1282" s="52">
        <f t="shared" ca="1" si="8269"/>
        <v>-313448.73444932338</v>
      </c>
      <c r="X1282" s="52">
        <f t="shared" ca="1" si="8269"/>
        <v>-646653.2581487901</v>
      </c>
      <c r="Y1282" s="52">
        <f t="shared" ca="1" si="8269"/>
        <v>-660955.27495578071</v>
      </c>
      <c r="Z1282" s="52">
        <f t="shared" ca="1" si="8269"/>
        <v>-675843.90368952369</v>
      </c>
      <c r="AA1282" s="52">
        <f t="shared" ca="1" si="8269"/>
        <v>-690520.69372146716</v>
      </c>
      <c r="AB1282" s="52">
        <f t="shared" ca="1" si="8269"/>
        <v>-890466.98389240366</v>
      </c>
      <c r="AC1282" s="52">
        <f t="shared" ca="1" si="8269"/>
        <v>686102.4142472886</v>
      </c>
      <c r="AD1282" s="52">
        <f t="shared" ca="1" si="8269"/>
        <v>766047.6027555078</v>
      </c>
      <c r="AE1282" s="52">
        <f t="shared" ca="1" si="8269"/>
        <v>683172.32325193868</v>
      </c>
      <c r="AF1282" s="52">
        <f t="shared" ca="1" si="8269"/>
        <v>646374.61928547628</v>
      </c>
      <c r="AG1282" s="52">
        <f t="shared" ca="1" si="8269"/>
        <v>617102.44310604664</v>
      </c>
      <c r="AH1282" s="52">
        <f t="shared" ca="1" si="8269"/>
        <v>570756.14798912196</v>
      </c>
      <c r="AI1282" s="52">
        <f t="shared" ca="1" si="8269"/>
        <v>474295.49652612227</v>
      </c>
      <c r="AJ1282" s="52">
        <f t="shared" ca="1" si="8269"/>
        <v>432572.22477545764</v>
      </c>
      <c r="AK1282" s="52">
        <f t="shared" ca="1" si="8269"/>
        <v>400217.02762098348</v>
      </c>
      <c r="AL1282" s="52">
        <f t="shared" ca="1" si="8269"/>
        <v>347763.32068115351</v>
      </c>
      <c r="AM1282" s="52">
        <f t="shared" ca="1" si="8269"/>
        <v>236846.89343588625</v>
      </c>
      <c r="AN1282" s="52">
        <f t="shared" ca="1" si="8269"/>
        <v>191685.54215702583</v>
      </c>
      <c r="AO1282" s="52">
        <f t="shared" ca="1" si="8269"/>
        <v>154300.24168308536</v>
      </c>
      <c r="AP1282" s="52">
        <f t="shared" ca="1" si="8269"/>
        <v>141729.88994279964</v>
      </c>
      <c r="AQ1282" s="52">
        <f t="shared" ca="1" si="8269"/>
        <v>160798.98248832178</v>
      </c>
      <c r="AR1282" s="52">
        <f t="shared" ref="AR1282:BW1282" ca="1" si="8270">AR1281+AR1304+AR1305</f>
        <v>61597.462780265138</v>
      </c>
      <c r="AS1282" s="52">
        <f t="shared" ca="1" si="8270"/>
        <v>61934.838676213985</v>
      </c>
      <c r="AT1282" s="52">
        <f t="shared" ca="1" si="8270"/>
        <v>152696.91451470894</v>
      </c>
      <c r="AU1282" s="52">
        <f t="shared" ca="1" si="8270"/>
        <v>166797.13908820559</v>
      </c>
      <c r="AV1282" s="52">
        <f t="shared" ca="1" si="8270"/>
        <v>64056.714336277917</v>
      </c>
      <c r="AW1282" s="52">
        <f t="shared" ca="1" si="8270"/>
        <v>107973.36274285452</v>
      </c>
      <c r="AX1282" s="52">
        <f t="shared" ca="1" si="8270"/>
        <v>84851.201995847252</v>
      </c>
      <c r="AY1282" s="52">
        <f t="shared" ca="1" si="8270"/>
        <v>10608.520906129328</v>
      </c>
      <c r="AZ1282" s="52">
        <f t="shared" ca="1" si="8270"/>
        <v>-42890.270483924673</v>
      </c>
      <c r="BA1282" s="52">
        <f t="shared" ca="1" si="8270"/>
        <v>-1307.0405516153842</v>
      </c>
      <c r="BB1282" s="52">
        <f t="shared" ca="1" si="8270"/>
        <v>13965.406815549846</v>
      </c>
      <c r="BC1282" s="52">
        <f t="shared" ca="1" si="8270"/>
        <v>17715.546658842039</v>
      </c>
      <c r="BD1282" s="52">
        <f t="shared" ca="1" si="8270"/>
        <v>-35884.306000194192</v>
      </c>
      <c r="BE1282" s="52">
        <f t="shared" ca="1" si="8270"/>
        <v>0</v>
      </c>
      <c r="BF1282" s="52">
        <f t="shared" ca="1" si="8270"/>
        <v>32964.281449141898</v>
      </c>
      <c r="BG1282" s="52">
        <f t="shared" ca="1" si="8270"/>
        <v>23187.540176706039</v>
      </c>
      <c r="BH1282" s="52">
        <f t="shared" ca="1" si="8270"/>
        <v>149271.3857948205</v>
      </c>
      <c r="BI1282" s="52">
        <f t="shared" ca="1" si="8270"/>
        <v>194467.00727934242</v>
      </c>
      <c r="BJ1282" s="52">
        <f t="shared" ca="1" si="8270"/>
        <v>263143.28819603729</v>
      </c>
      <c r="BK1282" s="52">
        <f t="shared" ca="1" si="8270"/>
        <v>215603.7609729098</v>
      </c>
      <c r="BL1282" s="52">
        <f t="shared" ca="1" si="8270"/>
        <v>155296.66139235115</v>
      </c>
      <c r="BM1282" s="52">
        <f t="shared" ca="1" si="8270"/>
        <v>202301.54613887856</v>
      </c>
      <c r="BN1282" s="52">
        <f t="shared" ca="1" si="8270"/>
        <v>273726.34847685776</v>
      </c>
      <c r="BO1282" s="52">
        <f t="shared" ca="1" si="8270"/>
        <v>211339.56051991874</v>
      </c>
      <c r="BP1282" s="52">
        <f t="shared" ca="1" si="8270"/>
        <v>149413.85129333788</v>
      </c>
      <c r="BQ1282" s="52">
        <f t="shared" ca="1" si="8270"/>
        <v>190474.5039588192</v>
      </c>
      <c r="BR1282" s="52">
        <f t="shared" ca="1" si="8270"/>
        <v>258984.87029722304</v>
      </c>
      <c r="BS1282" s="52">
        <f t="shared" ca="1" si="8270"/>
        <v>219743.48235772018</v>
      </c>
      <c r="BT1282" s="52">
        <f t="shared" ca="1" si="8270"/>
        <v>157749.91729861218</v>
      </c>
      <c r="BU1282" s="52">
        <f t="shared" ca="1" si="8270"/>
        <v>197317.58972668709</v>
      </c>
      <c r="BV1282" s="52">
        <f t="shared" ca="1" si="8270"/>
        <v>269303.81083330908</v>
      </c>
      <c r="BW1282" s="52">
        <f t="shared" ca="1" si="8270"/>
        <v>228492.77329331194</v>
      </c>
      <c r="BX1282" s="52">
        <f t="shared" ref="BX1282:CO1282" ca="1" si="8271">BX1281+BX1304+BX1305</f>
        <v>161499.22810249944</v>
      </c>
      <c r="BY1282" s="52">
        <f t="shared" ca="1" si="8271"/>
        <v>205913.19083422472</v>
      </c>
      <c r="BZ1282" s="52">
        <f t="shared" ca="1" si="8271"/>
        <v>280016.72812416521</v>
      </c>
      <c r="CA1282" s="52">
        <f t="shared" ca="1" si="8271"/>
        <v>237573.24292879915</v>
      </c>
      <c r="CB1282" s="52">
        <f t="shared" ca="1" si="8271"/>
        <v>167906.9021982312</v>
      </c>
      <c r="CC1282" s="52">
        <f t="shared" ca="1" si="8271"/>
        <v>214098.72207169505</v>
      </c>
      <c r="CD1282" s="52">
        <f t="shared" ca="1" si="8271"/>
        <v>291167.7366661366</v>
      </c>
      <c r="CE1282" s="52">
        <f t="shared" ca="1" si="8271"/>
        <v>247026.51206295507</v>
      </c>
      <c r="CF1282" s="52">
        <f t="shared" ca="1" si="8271"/>
        <v>174570.84607735806</v>
      </c>
      <c r="CG1282" s="52">
        <f t="shared" ca="1" si="8271"/>
        <v>222611.67455866357</v>
      </c>
      <c r="CH1282" s="52">
        <f t="shared" ca="1" si="8271"/>
        <v>302764.78554978635</v>
      </c>
      <c r="CI1282" s="52">
        <f t="shared" ca="1" si="8271"/>
        <v>256857.91196247865</v>
      </c>
      <c r="CJ1282" s="52">
        <f t="shared" ca="1" si="8271"/>
        <v>184327.12636069866</v>
      </c>
      <c r="CK1282" s="52">
        <f t="shared" ca="1" si="8271"/>
        <v>230615.70664995754</v>
      </c>
      <c r="CL1282" s="52">
        <f t="shared" ca="1" si="8271"/>
        <v>314835.06059641473</v>
      </c>
      <c r="CM1282" s="52">
        <f t="shared" ca="1" si="8271"/>
        <v>267091.91898776783</v>
      </c>
      <c r="CN1282" s="52">
        <f t="shared" ca="1" si="8271"/>
        <v>188709.02758838091</v>
      </c>
      <c r="CO1282" s="52">
        <f t="shared" ca="1" si="8271"/>
        <v>240672.75455501606</v>
      </c>
    </row>
    <row r="1283" spans="1:93">
      <c r="A1283" s="10"/>
      <c r="B1283" s="10"/>
      <c r="C1283" s="17" t="s">
        <v>262</v>
      </c>
      <c r="D1283" s="10"/>
      <c r="E1283" s="62"/>
      <c r="F1283" s="10"/>
      <c r="G1283" s="134" t="str">
        <f t="shared" si="8266"/>
        <v>тыс. руб.</v>
      </c>
      <c r="H1283" s="10"/>
      <c r="I1283" s="10"/>
      <c r="J1283" s="10"/>
      <c r="K1283" s="10"/>
      <c r="L1283" s="52">
        <f ca="1">Отчетность!K28+Отчетность!L57</f>
        <v>0</v>
      </c>
      <c r="M1283" s="52">
        <f ca="1">Отчетность!L28+Отчетность!M57</f>
        <v>0</v>
      </c>
      <c r="N1283" s="52">
        <f ca="1">Отчетность!M28+Отчетность!N57</f>
        <v>0</v>
      </c>
      <c r="O1283" s="52">
        <f ca="1">Отчетность!N28+Отчетность!O57</f>
        <v>0</v>
      </c>
      <c r="P1283" s="52">
        <f ca="1">Отчетность!O28+Отчетность!P57</f>
        <v>0</v>
      </c>
      <c r="Q1283" s="52">
        <f ca="1">Отчетность!P28+Отчетность!Q57</f>
        <v>0</v>
      </c>
      <c r="R1283" s="52">
        <f ca="1">Отчетность!Q28+Отчетность!R57</f>
        <v>0</v>
      </c>
      <c r="S1283" s="52">
        <f ca="1">Отчетность!R28+Отчетность!S57</f>
        <v>0</v>
      </c>
      <c r="T1283" s="52">
        <f ca="1">Отчетность!S28+Отчетность!T57</f>
        <v>0</v>
      </c>
      <c r="U1283" s="52">
        <f ca="1">Отчетность!T28+Отчетность!U57</f>
        <v>0</v>
      </c>
      <c r="V1283" s="52">
        <f ca="1">Отчетность!U28+Отчетность!V57</f>
        <v>0</v>
      </c>
      <c r="W1283" s="52">
        <f ca="1">Отчетность!V28+Отчетность!W57</f>
        <v>0</v>
      </c>
      <c r="X1283" s="52">
        <f ca="1">Отчетность!W28+Отчетность!X57</f>
        <v>0</v>
      </c>
      <c r="Y1283" s="52">
        <f ca="1">Отчетность!X28+Отчетность!Y57</f>
        <v>0</v>
      </c>
      <c r="Z1283" s="52">
        <f ca="1">Отчетность!Y28+Отчетность!Z57</f>
        <v>0</v>
      </c>
      <c r="AA1283" s="52">
        <f ca="1">Отчетность!Z28+Отчетность!AA57</f>
        <v>0</v>
      </c>
      <c r="AB1283" s="52">
        <f ca="1">Отчетность!AA28+Отчетность!AB57</f>
        <v>0</v>
      </c>
      <c r="AC1283" s="52">
        <f ca="1">Отчетность!AB28+Отчетность!AC57</f>
        <v>59050.396968304172</v>
      </c>
      <c r="AD1283" s="52">
        <f ca="1">Отчетность!AC28+Отчетность!AD57</f>
        <v>119023.22889081783</v>
      </c>
      <c r="AE1283" s="52">
        <f ca="1">Отчетность!AD28+Отчетность!AE57</f>
        <v>15387.84726569222</v>
      </c>
      <c r="AF1283" s="52">
        <f ca="1">Отчетность!AE28+Отчетность!AF57</f>
        <v>15602.228439205819</v>
      </c>
      <c r="AG1283" s="52">
        <f ca="1">Отчетность!AF28+Отчетность!AG57</f>
        <v>103528.78142452038</v>
      </c>
      <c r="AH1283" s="52">
        <f ca="1">Отчетность!AG28+Отчетность!AH57</f>
        <v>174633.84564213705</v>
      </c>
      <c r="AI1283" s="52">
        <f ca="1">Отчетность!AH28+Отчетность!AI57</f>
        <v>50450.080372379787</v>
      </c>
      <c r="AJ1283" s="52">
        <f ca="1">Отчетность!AI28+Отчетность!AJ57</f>
        <v>49365.781800626079</v>
      </c>
      <c r="AK1283" s="52">
        <f ca="1">Отчетность!AJ28+Отчетность!AK57</f>
        <v>151929.51476411583</v>
      </c>
      <c r="AL1283" s="52">
        <f ca="1">Отчетность!AK28+Отчетность!AL57</f>
        <v>234119.38886266688</v>
      </c>
      <c r="AM1283" s="52">
        <f ca="1">Отчетность!AL28+Отчетность!AM57</f>
        <v>87909.661208764373</v>
      </c>
      <c r="AN1283" s="52">
        <f ca="1">Отчетность!AM28+Отчетность!AN57</f>
        <v>87322.38730505429</v>
      </c>
      <c r="AO1283" s="52">
        <f ca="1">Отчетность!AN28+Отчетность!AO57</f>
        <v>203780.21636769723</v>
      </c>
      <c r="AP1283" s="52">
        <f ca="1">Отчетность!AO28+Отчетность!AP57</f>
        <v>336140.75201477518</v>
      </c>
      <c r="AQ1283" s="52">
        <f ca="1">Отчетность!AP28+Отчетность!AQ57</f>
        <v>309193.12533333863</v>
      </c>
      <c r="AR1283" s="52">
        <f ca="1">Отчетность!AQ28+Отчетность!AR57</f>
        <v>254149.23028801411</v>
      </c>
      <c r="AS1283" s="52">
        <f ca="1">Отчетность!AR28+Отчетность!AS57</f>
        <v>414583.26201916573</v>
      </c>
      <c r="AT1283" s="52">
        <f ca="1">Отчетность!AS28+Отчетность!AT57</f>
        <v>660950.14994687878</v>
      </c>
      <c r="AU1283" s="52">
        <f ca="1">Отчетность!AT28+Отчетность!AU57</f>
        <v>632560.60433273658</v>
      </c>
      <c r="AV1283" s="52">
        <f ca="1">Отчетность!AU28+Отчетность!AV57</f>
        <v>581102.40318271855</v>
      </c>
      <c r="AW1283" s="52">
        <f ca="1">Отчетность!AV28+Отчетность!AW57</f>
        <v>623347.39094072185</v>
      </c>
      <c r="AX1283" s="52">
        <f ca="1">Отчетность!AW28+Отчетность!AX57</f>
        <v>675380.01951360563</v>
      </c>
      <c r="AY1283" s="52">
        <f ca="1">Отчетность!AX28+Отчетность!AY57</f>
        <v>643112.77737809194</v>
      </c>
      <c r="AZ1283" s="52">
        <f ca="1">Отчетность!AY28+Отчетность!AZ57</f>
        <v>679492.99345390499</v>
      </c>
      <c r="BA1283" s="52">
        <f ca="1">Отчетность!AZ28+Отчетность!BA57</f>
        <v>800876.08258337888</v>
      </c>
      <c r="BB1283" s="52">
        <f ca="1">Отчетность!BA28+Отчетность!BB57</f>
        <v>978166.21917434875</v>
      </c>
      <c r="BC1283" s="52">
        <f ca="1">Отчетность!BB28+Отчетность!BC57</f>
        <v>1031275.7079865097</v>
      </c>
      <c r="BD1283" s="52">
        <f ca="1">Отчетность!BC28+Отчетность!BD57</f>
        <v>1076271.7545685649</v>
      </c>
      <c r="BE1283" s="52">
        <f ca="1">Отчетность!BD28+Отчетность!BE57</f>
        <v>1254552.361476304</v>
      </c>
      <c r="BF1283" s="52">
        <f ca="1">Отчетность!BE28+Отчетность!BF57</f>
        <v>1491232.2531558606</v>
      </c>
      <c r="BG1283" s="52">
        <f ca="1">Отчетность!BF28+Отчетность!BG57</f>
        <v>1579932.6798675447</v>
      </c>
      <c r="BH1283" s="52">
        <f ca="1">Отчетность!BG28+Отчетность!BH57</f>
        <v>1672704.7397224745</v>
      </c>
      <c r="BI1283" s="52">
        <f ca="1">Отчетность!BH28+Отчетность!BI57</f>
        <v>1718554.8697444429</v>
      </c>
      <c r="BJ1283" s="52">
        <f ca="1">Отчетность!BI28+Отчетность!BJ57</f>
        <v>1777603.7011614768</v>
      </c>
      <c r="BK1283" s="52">
        <f ca="1">Отчетность!BJ28+Отчетность!BK57</f>
        <v>1644793.2855149307</v>
      </c>
      <c r="BL1283" s="52">
        <f ca="1">Отчетность!BK28+Отчетность!BL57</f>
        <v>1551144.5492906503</v>
      </c>
      <c r="BM1283" s="52">
        <f ca="1">Отчетность!BL28+Отчетность!BM57</f>
        <v>1600132.7752481035</v>
      </c>
      <c r="BN1283" s="52">
        <f ca="1">Отчетность!BM28+Отчетность!BN57</f>
        <v>1662847.6824384159</v>
      </c>
      <c r="BO1283" s="52">
        <f ca="1">Отчетность!BN28+Отчетность!BO57</f>
        <v>1513081.8228531033</v>
      </c>
      <c r="BP1283" s="52">
        <f ca="1">Отчетность!BO28+Отчетность!BP57</f>
        <v>1417783.463849033</v>
      </c>
      <c r="BQ1283" s="52">
        <f ca="1">Отчетность!BP28+Отчетность!BQ57</f>
        <v>1462209.4437058584</v>
      </c>
      <c r="BR1283" s="52">
        <f ca="1">Отчетность!BQ28+Отчетность!BR57</f>
        <v>1522964.1714226706</v>
      </c>
      <c r="BS1283" s="52">
        <f ca="1">Отчетность!BR28+Отчетность!BS57</f>
        <v>1394151.2013216401</v>
      </c>
      <c r="BT1283" s="52">
        <f ca="1">Отчетность!BS28+Отчетность!BT57</f>
        <v>1298018.7057921826</v>
      </c>
      <c r="BU1283" s="52">
        <f ca="1">Отчетность!BT28+Отчетность!BU57</f>
        <v>1343122.9648709369</v>
      </c>
      <c r="BV1283" s="52">
        <f ca="1">Отчетность!BU28+Отчетность!BV57</f>
        <v>1408345.9717355345</v>
      </c>
      <c r="BW1283" s="52">
        <f ca="1">Отчетность!BV28+Отчетность!BW57</f>
        <v>1275683.1407307037</v>
      </c>
      <c r="BX1283" s="52">
        <f ca="1">Отчетность!BW28+Отчетность!BX57</f>
        <v>1175251.184048218</v>
      </c>
      <c r="BY1283" s="52">
        <f ca="1">Отчетность!BX28+Отчетность!BY57</f>
        <v>1225962.4954273424</v>
      </c>
      <c r="BZ1283" s="52">
        <f ca="1">Отчетность!BY28+Отчетность!BZ57</f>
        <v>1294334.9447414109</v>
      </c>
      <c r="CA1283" s="52">
        <f ca="1">Отчетность!BZ28+Отчетность!CA57</f>
        <v>1157668.2470373784</v>
      </c>
      <c r="CB1283" s="52">
        <f ca="1">Отчетность!CA28+Отчетность!CB57</f>
        <v>1054528.5735070172</v>
      </c>
      <c r="CC1283" s="52">
        <f ca="1">Отчетность!CB28+Отчетность!CC57</f>
        <v>1108572.2883057573</v>
      </c>
      <c r="CD1283" s="52">
        <f ca="1">Отчетность!CC28+Отчетность!CD57</f>
        <v>1180983.623737273</v>
      </c>
      <c r="CE1283" s="52">
        <f ca="1">Отчетность!CD28+Отчетность!CE57</f>
        <v>1040152.9104570602</v>
      </c>
      <c r="CF1283" s="52">
        <f ca="1">Отчетность!CE28+Отчетность!CF57</f>
        <v>934187.63069165917</v>
      </c>
      <c r="CG1283" s="52">
        <f ca="1">Отчетность!CF28+Отчетность!CG57</f>
        <v>991697.08222723356</v>
      </c>
      <c r="CH1283" s="52">
        <f ca="1">Отчетность!CG28+Отчетность!CH57</f>
        <v>1068308.859220895</v>
      </c>
      <c r="CI1283" s="52">
        <f ca="1">Отчетность!CH28+Отчетность!CI57</f>
        <v>923147.56974145526</v>
      </c>
      <c r="CJ1283" s="52">
        <f ca="1">Отчетность!CI28+Отчетность!CJ57</f>
        <v>816210.73033196654</v>
      </c>
      <c r="CK1283" s="52">
        <f ca="1">Отчетность!CJ28+Отчетность!CK57</f>
        <v>874508.00013997906</v>
      </c>
      <c r="CL1283" s="52">
        <f ca="1">Отчетность!CK28+Отчетность!CL57</f>
        <v>956347.01624456421</v>
      </c>
      <c r="CM1283" s="52">
        <f ca="1">Отчетность!CL28+Отчетность!CM57</f>
        <v>806681.93403200409</v>
      </c>
      <c r="CN1283" s="52">
        <f ca="1">Отчетность!CM28+Отчетность!CN57</f>
        <v>694712.49694855511</v>
      </c>
      <c r="CO1283" s="52">
        <f ca="1">Отчетность!CN28+Отчетность!CO57</f>
        <v>759574.89736792934</v>
      </c>
    </row>
    <row r="1284" spans="1:93">
      <c r="A1284" s="10"/>
      <c r="B1284" s="10"/>
      <c r="C1284" s="17" t="s">
        <v>263</v>
      </c>
      <c r="D1284" s="10"/>
      <c r="E1284" s="62"/>
      <c r="F1284" s="10"/>
      <c r="G1284" s="134" t="str">
        <f t="shared" si="8266"/>
        <v>тыс. руб.</v>
      </c>
      <c r="H1284" s="10"/>
      <c r="I1284" s="10"/>
      <c r="J1284" s="10"/>
      <c r="K1284" s="10"/>
      <c r="L1284" s="52">
        <f t="shared" ref="L1284" ca="1" si="8272">MAX(MIN(MAX(L1282,0),L1283),0)</f>
        <v>0</v>
      </c>
      <c r="M1284" s="52">
        <f t="shared" ref="M1284:BX1284" ca="1" si="8273">MAX(MIN(MAX(M1282,0),M1283),0)</f>
        <v>0</v>
      </c>
      <c r="N1284" s="52">
        <f t="shared" ca="1" si="8273"/>
        <v>0</v>
      </c>
      <c r="O1284" s="52">
        <f t="shared" ca="1" si="8273"/>
        <v>0</v>
      </c>
      <c r="P1284" s="52">
        <f t="shared" ca="1" si="8273"/>
        <v>0</v>
      </c>
      <c r="Q1284" s="52">
        <f t="shared" ca="1" si="8273"/>
        <v>0</v>
      </c>
      <c r="R1284" s="52">
        <f t="shared" ca="1" si="8273"/>
        <v>0</v>
      </c>
      <c r="S1284" s="52">
        <f t="shared" ca="1" si="8273"/>
        <v>0</v>
      </c>
      <c r="T1284" s="52">
        <f t="shared" ca="1" si="8273"/>
        <v>0</v>
      </c>
      <c r="U1284" s="52">
        <f t="shared" ca="1" si="8273"/>
        <v>0</v>
      </c>
      <c r="V1284" s="52">
        <f t="shared" ca="1" si="8273"/>
        <v>0</v>
      </c>
      <c r="W1284" s="52">
        <f t="shared" ca="1" si="8273"/>
        <v>0</v>
      </c>
      <c r="X1284" s="52">
        <f t="shared" ca="1" si="8273"/>
        <v>0</v>
      </c>
      <c r="Y1284" s="52">
        <f t="shared" ca="1" si="8273"/>
        <v>0</v>
      </c>
      <c r="Z1284" s="52">
        <f t="shared" ca="1" si="8273"/>
        <v>0</v>
      </c>
      <c r="AA1284" s="52">
        <f t="shared" ca="1" si="8273"/>
        <v>0</v>
      </c>
      <c r="AB1284" s="52">
        <f t="shared" ca="1" si="8273"/>
        <v>0</v>
      </c>
      <c r="AC1284" s="52">
        <f t="shared" ca="1" si="8273"/>
        <v>59050.396968304172</v>
      </c>
      <c r="AD1284" s="52">
        <f t="shared" ca="1" si="8273"/>
        <v>119023.22889081783</v>
      </c>
      <c r="AE1284" s="52">
        <f t="shared" ca="1" si="8273"/>
        <v>15387.84726569222</v>
      </c>
      <c r="AF1284" s="52">
        <f t="shared" ca="1" si="8273"/>
        <v>15602.228439205819</v>
      </c>
      <c r="AG1284" s="52">
        <f t="shared" ca="1" si="8273"/>
        <v>103528.78142452038</v>
      </c>
      <c r="AH1284" s="52">
        <f t="shared" ca="1" si="8273"/>
        <v>174633.84564213705</v>
      </c>
      <c r="AI1284" s="52">
        <f t="shared" ca="1" si="8273"/>
        <v>50450.080372379787</v>
      </c>
      <c r="AJ1284" s="52">
        <f t="shared" ca="1" si="8273"/>
        <v>49365.781800626079</v>
      </c>
      <c r="AK1284" s="52">
        <f t="shared" ca="1" si="8273"/>
        <v>151929.51476411583</v>
      </c>
      <c r="AL1284" s="52">
        <f t="shared" ca="1" si="8273"/>
        <v>234119.38886266688</v>
      </c>
      <c r="AM1284" s="52">
        <f t="shared" ca="1" si="8273"/>
        <v>87909.661208764373</v>
      </c>
      <c r="AN1284" s="52">
        <f t="shared" ca="1" si="8273"/>
        <v>87322.38730505429</v>
      </c>
      <c r="AO1284" s="52">
        <f t="shared" ca="1" si="8273"/>
        <v>154300.24168308536</v>
      </c>
      <c r="AP1284" s="52">
        <f t="shared" ca="1" si="8273"/>
        <v>141729.88994279964</v>
      </c>
      <c r="AQ1284" s="52">
        <f t="shared" ca="1" si="8273"/>
        <v>160798.98248832178</v>
      </c>
      <c r="AR1284" s="52">
        <f t="shared" ca="1" si="8273"/>
        <v>61597.462780265138</v>
      </c>
      <c r="AS1284" s="52">
        <f t="shared" ca="1" si="8273"/>
        <v>61934.838676213985</v>
      </c>
      <c r="AT1284" s="52">
        <f t="shared" ca="1" si="8273"/>
        <v>152696.91451470894</v>
      </c>
      <c r="AU1284" s="52">
        <f t="shared" ca="1" si="8273"/>
        <v>166797.13908820559</v>
      </c>
      <c r="AV1284" s="52">
        <f t="shared" ca="1" si="8273"/>
        <v>64056.714336277917</v>
      </c>
      <c r="AW1284" s="52">
        <f t="shared" ca="1" si="8273"/>
        <v>107973.36274285452</v>
      </c>
      <c r="AX1284" s="52">
        <f t="shared" ca="1" si="8273"/>
        <v>84851.201995847252</v>
      </c>
      <c r="AY1284" s="52">
        <f t="shared" ca="1" si="8273"/>
        <v>10608.520906129328</v>
      </c>
      <c r="AZ1284" s="52">
        <f t="shared" ca="1" si="8273"/>
        <v>0</v>
      </c>
      <c r="BA1284" s="52">
        <f t="shared" ca="1" si="8273"/>
        <v>0</v>
      </c>
      <c r="BB1284" s="52">
        <f t="shared" ca="1" si="8273"/>
        <v>13965.406815549846</v>
      </c>
      <c r="BC1284" s="52">
        <f t="shared" ca="1" si="8273"/>
        <v>17715.546658842039</v>
      </c>
      <c r="BD1284" s="52">
        <f t="shared" ca="1" si="8273"/>
        <v>0</v>
      </c>
      <c r="BE1284" s="52">
        <f t="shared" ca="1" si="8273"/>
        <v>0</v>
      </c>
      <c r="BF1284" s="52">
        <f t="shared" ca="1" si="8273"/>
        <v>32964.281449141898</v>
      </c>
      <c r="BG1284" s="52">
        <f t="shared" ca="1" si="8273"/>
        <v>23187.540176706039</v>
      </c>
      <c r="BH1284" s="52">
        <f t="shared" ca="1" si="8273"/>
        <v>149271.3857948205</v>
      </c>
      <c r="BI1284" s="52">
        <f t="shared" ca="1" si="8273"/>
        <v>194467.00727934242</v>
      </c>
      <c r="BJ1284" s="52">
        <f t="shared" ca="1" si="8273"/>
        <v>263143.28819603729</v>
      </c>
      <c r="BK1284" s="52">
        <f t="shared" ca="1" si="8273"/>
        <v>215603.7609729098</v>
      </c>
      <c r="BL1284" s="52">
        <f t="shared" ca="1" si="8273"/>
        <v>155296.66139235115</v>
      </c>
      <c r="BM1284" s="52">
        <f t="shared" ca="1" si="8273"/>
        <v>202301.54613887856</v>
      </c>
      <c r="BN1284" s="52">
        <f t="shared" ca="1" si="8273"/>
        <v>273726.34847685776</v>
      </c>
      <c r="BO1284" s="52">
        <f t="shared" ca="1" si="8273"/>
        <v>211339.56051991874</v>
      </c>
      <c r="BP1284" s="52">
        <f t="shared" ca="1" si="8273"/>
        <v>149413.85129333788</v>
      </c>
      <c r="BQ1284" s="52">
        <f t="shared" ca="1" si="8273"/>
        <v>190474.5039588192</v>
      </c>
      <c r="BR1284" s="52">
        <f t="shared" ca="1" si="8273"/>
        <v>258984.87029722304</v>
      </c>
      <c r="BS1284" s="52">
        <f t="shared" ca="1" si="8273"/>
        <v>219743.48235772018</v>
      </c>
      <c r="BT1284" s="52">
        <f t="shared" ca="1" si="8273"/>
        <v>157749.91729861218</v>
      </c>
      <c r="BU1284" s="52">
        <f t="shared" ca="1" si="8273"/>
        <v>197317.58972668709</v>
      </c>
      <c r="BV1284" s="52">
        <f t="shared" ca="1" si="8273"/>
        <v>269303.81083330908</v>
      </c>
      <c r="BW1284" s="52">
        <f t="shared" ca="1" si="8273"/>
        <v>228492.77329331194</v>
      </c>
      <c r="BX1284" s="52">
        <f t="shared" ca="1" si="8273"/>
        <v>161499.22810249944</v>
      </c>
      <c r="BY1284" s="52">
        <f t="shared" ref="BY1284:CO1284" ca="1" si="8274">MAX(MIN(MAX(BY1282,0),BY1283),0)</f>
        <v>205913.19083422472</v>
      </c>
      <c r="BZ1284" s="52">
        <f t="shared" ca="1" si="8274"/>
        <v>280016.72812416521</v>
      </c>
      <c r="CA1284" s="52">
        <f t="shared" ca="1" si="8274"/>
        <v>237573.24292879915</v>
      </c>
      <c r="CB1284" s="52">
        <f t="shared" ca="1" si="8274"/>
        <v>167906.9021982312</v>
      </c>
      <c r="CC1284" s="52">
        <f t="shared" ca="1" si="8274"/>
        <v>214098.72207169505</v>
      </c>
      <c r="CD1284" s="52">
        <f t="shared" ca="1" si="8274"/>
        <v>291167.7366661366</v>
      </c>
      <c r="CE1284" s="52">
        <f t="shared" ca="1" si="8274"/>
        <v>247026.51206295507</v>
      </c>
      <c r="CF1284" s="52">
        <f t="shared" ca="1" si="8274"/>
        <v>174570.84607735806</v>
      </c>
      <c r="CG1284" s="52">
        <f t="shared" ca="1" si="8274"/>
        <v>222611.67455866357</v>
      </c>
      <c r="CH1284" s="52">
        <f t="shared" ca="1" si="8274"/>
        <v>302764.78554978635</v>
      </c>
      <c r="CI1284" s="52">
        <f t="shared" ca="1" si="8274"/>
        <v>256857.91196247865</v>
      </c>
      <c r="CJ1284" s="52">
        <f t="shared" ca="1" si="8274"/>
        <v>184327.12636069866</v>
      </c>
      <c r="CK1284" s="52">
        <f t="shared" ca="1" si="8274"/>
        <v>230615.70664995754</v>
      </c>
      <c r="CL1284" s="52">
        <f t="shared" ca="1" si="8274"/>
        <v>314835.06059641473</v>
      </c>
      <c r="CM1284" s="52">
        <f t="shared" ca="1" si="8274"/>
        <v>267091.91898776783</v>
      </c>
      <c r="CN1284" s="52">
        <f t="shared" ca="1" si="8274"/>
        <v>188709.02758838091</v>
      </c>
      <c r="CO1284" s="52">
        <f t="shared" ca="1" si="8274"/>
        <v>240672.75455501606</v>
      </c>
    </row>
    <row r="1285" spans="1:93" ht="15" thickBot="1">
      <c r="A1285" s="10"/>
      <c r="B1285" s="10"/>
      <c r="C1285" s="17" t="s">
        <v>291</v>
      </c>
      <c r="D1285" s="10"/>
      <c r="E1285" s="62"/>
      <c r="F1285" s="10"/>
      <c r="G1285" s="134" t="str">
        <f t="shared" si="8266"/>
        <v>тыс. руб.</v>
      </c>
      <c r="H1285" s="10"/>
      <c r="I1285" s="10"/>
      <c r="J1285" s="10"/>
      <c r="K1285" s="10"/>
      <c r="L1285" s="52">
        <f t="shared" ref="L1285" ca="1" si="8275">MAX(L1282-L1284,0)*Flag_Operations</f>
        <v>0</v>
      </c>
      <c r="M1285" s="52">
        <f t="shared" ref="M1285:BX1285" ca="1" si="8276">MAX(M1282-M1284,0)*Flag_Operations</f>
        <v>0</v>
      </c>
      <c r="N1285" s="52">
        <f t="shared" ca="1" si="8276"/>
        <v>0</v>
      </c>
      <c r="O1285" s="52">
        <f t="shared" ca="1" si="8276"/>
        <v>0</v>
      </c>
      <c r="P1285" s="52">
        <f t="shared" ca="1" si="8276"/>
        <v>0</v>
      </c>
      <c r="Q1285" s="52">
        <f t="shared" ca="1" si="8276"/>
        <v>0</v>
      </c>
      <c r="R1285" s="52">
        <f t="shared" ca="1" si="8276"/>
        <v>0</v>
      </c>
      <c r="S1285" s="52">
        <f t="shared" ca="1" si="8276"/>
        <v>0</v>
      </c>
      <c r="T1285" s="52">
        <f t="shared" ca="1" si="8276"/>
        <v>0</v>
      </c>
      <c r="U1285" s="52">
        <f t="shared" ca="1" si="8276"/>
        <v>0</v>
      </c>
      <c r="V1285" s="52">
        <f t="shared" ca="1" si="8276"/>
        <v>0</v>
      </c>
      <c r="W1285" s="52">
        <f t="shared" ca="1" si="8276"/>
        <v>0</v>
      </c>
      <c r="X1285" s="52">
        <f t="shared" ca="1" si="8276"/>
        <v>0</v>
      </c>
      <c r="Y1285" s="52">
        <f t="shared" ca="1" si="8276"/>
        <v>0</v>
      </c>
      <c r="Z1285" s="52">
        <f t="shared" ca="1" si="8276"/>
        <v>0</v>
      </c>
      <c r="AA1285" s="52">
        <f t="shared" ca="1" si="8276"/>
        <v>0</v>
      </c>
      <c r="AB1285" s="52">
        <f t="shared" ca="1" si="8276"/>
        <v>0</v>
      </c>
      <c r="AC1285" s="52">
        <f t="shared" ca="1" si="8276"/>
        <v>627052.01727898442</v>
      </c>
      <c r="AD1285" s="52">
        <f t="shared" ca="1" si="8276"/>
        <v>647024.37386468996</v>
      </c>
      <c r="AE1285" s="52">
        <f t="shared" ca="1" si="8276"/>
        <v>667784.47598624649</v>
      </c>
      <c r="AF1285" s="52">
        <f t="shared" ca="1" si="8276"/>
        <v>630772.39084627049</v>
      </c>
      <c r="AG1285" s="52">
        <f t="shared" ca="1" si="8276"/>
        <v>513573.66168152628</v>
      </c>
      <c r="AH1285" s="52">
        <f t="shared" ca="1" si="8276"/>
        <v>396122.30234698491</v>
      </c>
      <c r="AI1285" s="52">
        <f t="shared" ca="1" si="8276"/>
        <v>423845.41615374247</v>
      </c>
      <c r="AJ1285" s="52">
        <f t="shared" ca="1" si="8276"/>
        <v>383206.44297483156</v>
      </c>
      <c r="AK1285" s="52">
        <f t="shared" ca="1" si="8276"/>
        <v>248287.51285686766</v>
      </c>
      <c r="AL1285" s="52">
        <f t="shared" ca="1" si="8276"/>
        <v>113643.93181848663</v>
      </c>
      <c r="AM1285" s="52">
        <f t="shared" ca="1" si="8276"/>
        <v>148937.23222712189</v>
      </c>
      <c r="AN1285" s="52">
        <f t="shared" ca="1" si="8276"/>
        <v>104363.15485197154</v>
      </c>
      <c r="AO1285" s="52">
        <f t="shared" ca="1" si="8276"/>
        <v>0</v>
      </c>
      <c r="AP1285" s="52">
        <f t="shared" ca="1" si="8276"/>
        <v>0</v>
      </c>
      <c r="AQ1285" s="52">
        <f t="shared" ca="1" si="8276"/>
        <v>0</v>
      </c>
      <c r="AR1285" s="52">
        <f t="shared" ca="1" si="8276"/>
        <v>0</v>
      </c>
      <c r="AS1285" s="52">
        <f t="shared" ca="1" si="8276"/>
        <v>0</v>
      </c>
      <c r="AT1285" s="52">
        <f t="shared" ca="1" si="8276"/>
        <v>0</v>
      </c>
      <c r="AU1285" s="52">
        <f t="shared" ca="1" si="8276"/>
        <v>0</v>
      </c>
      <c r="AV1285" s="52">
        <f t="shared" ca="1" si="8276"/>
        <v>0</v>
      </c>
      <c r="AW1285" s="52">
        <f t="shared" ca="1" si="8276"/>
        <v>0</v>
      </c>
      <c r="AX1285" s="52">
        <f t="shared" ca="1" si="8276"/>
        <v>0</v>
      </c>
      <c r="AY1285" s="52">
        <f t="shared" ca="1" si="8276"/>
        <v>0</v>
      </c>
      <c r="AZ1285" s="52">
        <f t="shared" ca="1" si="8276"/>
        <v>0</v>
      </c>
      <c r="BA1285" s="52">
        <f t="shared" ca="1" si="8276"/>
        <v>0</v>
      </c>
      <c r="BB1285" s="52">
        <f t="shared" ca="1" si="8276"/>
        <v>0</v>
      </c>
      <c r="BC1285" s="52">
        <f t="shared" ca="1" si="8276"/>
        <v>0</v>
      </c>
      <c r="BD1285" s="52">
        <f t="shared" ca="1" si="8276"/>
        <v>0</v>
      </c>
      <c r="BE1285" s="52">
        <f t="shared" ca="1" si="8276"/>
        <v>0</v>
      </c>
      <c r="BF1285" s="52">
        <f t="shared" ca="1" si="8276"/>
        <v>0</v>
      </c>
      <c r="BG1285" s="52">
        <f t="shared" ca="1" si="8276"/>
        <v>0</v>
      </c>
      <c r="BH1285" s="52">
        <f t="shared" ca="1" si="8276"/>
        <v>0</v>
      </c>
      <c r="BI1285" s="52">
        <f t="shared" ca="1" si="8276"/>
        <v>0</v>
      </c>
      <c r="BJ1285" s="52">
        <f t="shared" ca="1" si="8276"/>
        <v>0</v>
      </c>
      <c r="BK1285" s="52">
        <f t="shared" ca="1" si="8276"/>
        <v>0</v>
      </c>
      <c r="BL1285" s="52">
        <f t="shared" ca="1" si="8276"/>
        <v>0</v>
      </c>
      <c r="BM1285" s="52">
        <f t="shared" ca="1" si="8276"/>
        <v>0</v>
      </c>
      <c r="BN1285" s="52">
        <f t="shared" ca="1" si="8276"/>
        <v>0</v>
      </c>
      <c r="BO1285" s="52">
        <f t="shared" ca="1" si="8276"/>
        <v>0</v>
      </c>
      <c r="BP1285" s="52">
        <f t="shared" ca="1" si="8276"/>
        <v>0</v>
      </c>
      <c r="BQ1285" s="52">
        <f t="shared" ca="1" si="8276"/>
        <v>0</v>
      </c>
      <c r="BR1285" s="52">
        <f t="shared" ca="1" si="8276"/>
        <v>0</v>
      </c>
      <c r="BS1285" s="52">
        <f t="shared" ca="1" si="8276"/>
        <v>0</v>
      </c>
      <c r="BT1285" s="52">
        <f t="shared" ca="1" si="8276"/>
        <v>0</v>
      </c>
      <c r="BU1285" s="52">
        <f t="shared" ca="1" si="8276"/>
        <v>0</v>
      </c>
      <c r="BV1285" s="52">
        <f t="shared" ca="1" si="8276"/>
        <v>0</v>
      </c>
      <c r="BW1285" s="52">
        <f t="shared" ca="1" si="8276"/>
        <v>0</v>
      </c>
      <c r="BX1285" s="52">
        <f t="shared" ca="1" si="8276"/>
        <v>0</v>
      </c>
      <c r="BY1285" s="52">
        <f t="shared" ref="BY1285:CO1285" ca="1" si="8277">MAX(BY1282-BY1284,0)*Flag_Operations</f>
        <v>0</v>
      </c>
      <c r="BZ1285" s="52">
        <f t="shared" ca="1" si="8277"/>
        <v>0</v>
      </c>
      <c r="CA1285" s="52">
        <f t="shared" ca="1" si="8277"/>
        <v>0</v>
      </c>
      <c r="CB1285" s="52">
        <f t="shared" ca="1" si="8277"/>
        <v>0</v>
      </c>
      <c r="CC1285" s="52">
        <f t="shared" ca="1" si="8277"/>
        <v>0</v>
      </c>
      <c r="CD1285" s="52">
        <f t="shared" ca="1" si="8277"/>
        <v>0</v>
      </c>
      <c r="CE1285" s="52">
        <f t="shared" ca="1" si="8277"/>
        <v>0</v>
      </c>
      <c r="CF1285" s="52">
        <f t="shared" ca="1" si="8277"/>
        <v>0</v>
      </c>
      <c r="CG1285" s="52">
        <f t="shared" ca="1" si="8277"/>
        <v>0</v>
      </c>
      <c r="CH1285" s="52">
        <f t="shared" ca="1" si="8277"/>
        <v>0</v>
      </c>
      <c r="CI1285" s="52">
        <f t="shared" ca="1" si="8277"/>
        <v>0</v>
      </c>
      <c r="CJ1285" s="52">
        <f t="shared" ca="1" si="8277"/>
        <v>0</v>
      </c>
      <c r="CK1285" s="52">
        <f t="shared" ca="1" si="8277"/>
        <v>0</v>
      </c>
      <c r="CL1285" s="52">
        <f t="shared" ca="1" si="8277"/>
        <v>0</v>
      </c>
      <c r="CM1285" s="52">
        <f t="shared" ca="1" si="8277"/>
        <v>0</v>
      </c>
      <c r="CN1285" s="52">
        <f t="shared" ca="1" si="8277"/>
        <v>0</v>
      </c>
      <c r="CO1285" s="52">
        <f t="shared" ca="1" si="8277"/>
        <v>0</v>
      </c>
    </row>
    <row r="1286" spans="1:93" ht="15" thickTop="1">
      <c r="A1286" s="172"/>
      <c r="B1286" s="35"/>
      <c r="C1286" s="173" t="s">
        <v>264</v>
      </c>
      <c r="D1286" s="49"/>
      <c r="E1286" s="49"/>
      <c r="F1286" s="49"/>
      <c r="G1286" s="159" t="str">
        <f t="shared" si="8266"/>
        <v>тыс. руб.</v>
      </c>
      <c r="H1286" s="49"/>
      <c r="I1286" s="176">
        <f ca="1">SUM(L1286:CO1286)</f>
        <v>-9928390.6209045984</v>
      </c>
      <c r="J1286" s="49"/>
      <c r="K1286" s="49"/>
      <c r="L1286" s="453">
        <f t="shared" ref="L1286:AQ1286" ca="1" si="8278">-IF(Flag_Last_Operations*$E$1000,SUM(L1284:L1285),L1284)</f>
        <v>0</v>
      </c>
      <c r="M1286" s="453">
        <f t="shared" ca="1" si="8278"/>
        <v>0</v>
      </c>
      <c r="N1286" s="453">
        <f t="shared" ca="1" si="8278"/>
        <v>0</v>
      </c>
      <c r="O1286" s="453">
        <f t="shared" ca="1" si="8278"/>
        <v>0</v>
      </c>
      <c r="P1286" s="453">
        <f t="shared" ca="1" si="8278"/>
        <v>0</v>
      </c>
      <c r="Q1286" s="453">
        <f t="shared" ca="1" si="8278"/>
        <v>0</v>
      </c>
      <c r="R1286" s="453">
        <f t="shared" ca="1" si="8278"/>
        <v>0</v>
      </c>
      <c r="S1286" s="453">
        <f t="shared" ca="1" si="8278"/>
        <v>0</v>
      </c>
      <c r="T1286" s="453">
        <f t="shared" ca="1" si="8278"/>
        <v>0</v>
      </c>
      <c r="U1286" s="453">
        <f t="shared" ca="1" si="8278"/>
        <v>0</v>
      </c>
      <c r="V1286" s="453">
        <f t="shared" ca="1" si="8278"/>
        <v>0</v>
      </c>
      <c r="W1286" s="453">
        <f t="shared" ca="1" si="8278"/>
        <v>0</v>
      </c>
      <c r="X1286" s="453">
        <f t="shared" ca="1" si="8278"/>
        <v>0</v>
      </c>
      <c r="Y1286" s="453">
        <f t="shared" ca="1" si="8278"/>
        <v>0</v>
      </c>
      <c r="Z1286" s="453">
        <f t="shared" ca="1" si="8278"/>
        <v>0</v>
      </c>
      <c r="AA1286" s="453">
        <f t="shared" ca="1" si="8278"/>
        <v>0</v>
      </c>
      <c r="AB1286" s="453">
        <f t="shared" ca="1" si="8278"/>
        <v>0</v>
      </c>
      <c r="AC1286" s="453">
        <f t="shared" ca="1" si="8278"/>
        <v>-59050.396968304172</v>
      </c>
      <c r="AD1286" s="453">
        <f t="shared" ca="1" si="8278"/>
        <v>-119023.22889081783</v>
      </c>
      <c r="AE1286" s="453">
        <f t="shared" ca="1" si="8278"/>
        <v>-15387.84726569222</v>
      </c>
      <c r="AF1286" s="453">
        <f t="shared" ca="1" si="8278"/>
        <v>-15602.228439205819</v>
      </c>
      <c r="AG1286" s="453">
        <f t="shared" ca="1" si="8278"/>
        <v>-103528.78142452038</v>
      </c>
      <c r="AH1286" s="453">
        <f t="shared" ca="1" si="8278"/>
        <v>-174633.84564213705</v>
      </c>
      <c r="AI1286" s="453">
        <f t="shared" ca="1" si="8278"/>
        <v>-50450.080372379787</v>
      </c>
      <c r="AJ1286" s="453">
        <f t="shared" ca="1" si="8278"/>
        <v>-49365.781800626079</v>
      </c>
      <c r="AK1286" s="453">
        <f t="shared" ca="1" si="8278"/>
        <v>-151929.51476411583</v>
      </c>
      <c r="AL1286" s="453">
        <f t="shared" ca="1" si="8278"/>
        <v>-234119.38886266688</v>
      </c>
      <c r="AM1286" s="453">
        <f t="shared" ca="1" si="8278"/>
        <v>-87909.661208764373</v>
      </c>
      <c r="AN1286" s="453">
        <f t="shared" ca="1" si="8278"/>
        <v>-87322.38730505429</v>
      </c>
      <c r="AO1286" s="453">
        <f t="shared" ca="1" si="8278"/>
        <v>-154300.24168308536</v>
      </c>
      <c r="AP1286" s="453">
        <f t="shared" ca="1" si="8278"/>
        <v>-141729.88994279964</v>
      </c>
      <c r="AQ1286" s="453">
        <f t="shared" ca="1" si="8278"/>
        <v>-160798.98248832178</v>
      </c>
      <c r="AR1286" s="453">
        <f t="shared" ref="AR1286:BW1286" ca="1" si="8279">-IF(Flag_Last_Operations*$E$1000,SUM(AR1284:AR1285),AR1284)</f>
        <v>-61597.462780265138</v>
      </c>
      <c r="AS1286" s="453">
        <f t="shared" ca="1" si="8279"/>
        <v>-61934.838676213985</v>
      </c>
      <c r="AT1286" s="453">
        <f t="shared" ca="1" si="8279"/>
        <v>-152696.91451470894</v>
      </c>
      <c r="AU1286" s="453">
        <f t="shared" ca="1" si="8279"/>
        <v>-166797.13908820559</v>
      </c>
      <c r="AV1286" s="453">
        <f t="shared" ca="1" si="8279"/>
        <v>-64056.714336277917</v>
      </c>
      <c r="AW1286" s="453">
        <f t="shared" ca="1" si="8279"/>
        <v>-107973.36274285452</v>
      </c>
      <c r="AX1286" s="453">
        <f t="shared" ca="1" si="8279"/>
        <v>-84851.201995847252</v>
      </c>
      <c r="AY1286" s="453">
        <f t="shared" ca="1" si="8279"/>
        <v>-10608.520906129328</v>
      </c>
      <c r="AZ1286" s="453">
        <f t="shared" ca="1" si="8279"/>
        <v>0</v>
      </c>
      <c r="BA1286" s="453">
        <f t="shared" ca="1" si="8279"/>
        <v>0</v>
      </c>
      <c r="BB1286" s="453">
        <f t="shared" ca="1" si="8279"/>
        <v>-13965.406815549846</v>
      </c>
      <c r="BC1286" s="453">
        <f t="shared" ca="1" si="8279"/>
        <v>-17715.546658842039</v>
      </c>
      <c r="BD1286" s="453">
        <f t="shared" ca="1" si="8279"/>
        <v>0</v>
      </c>
      <c r="BE1286" s="453">
        <f t="shared" ca="1" si="8279"/>
        <v>0</v>
      </c>
      <c r="BF1286" s="453">
        <f t="shared" ca="1" si="8279"/>
        <v>-32964.281449141898</v>
      </c>
      <c r="BG1286" s="453">
        <f t="shared" ca="1" si="8279"/>
        <v>-23187.540176706039</v>
      </c>
      <c r="BH1286" s="453">
        <f t="shared" ca="1" si="8279"/>
        <v>-149271.3857948205</v>
      </c>
      <c r="BI1286" s="453">
        <f t="shared" ca="1" si="8279"/>
        <v>-194467.00727934242</v>
      </c>
      <c r="BJ1286" s="453">
        <f t="shared" ca="1" si="8279"/>
        <v>-263143.28819603729</v>
      </c>
      <c r="BK1286" s="453">
        <f t="shared" ca="1" si="8279"/>
        <v>-215603.7609729098</v>
      </c>
      <c r="BL1286" s="453">
        <f t="shared" ca="1" si="8279"/>
        <v>-155296.66139235115</v>
      </c>
      <c r="BM1286" s="453">
        <f t="shared" ca="1" si="8279"/>
        <v>-202301.54613887856</v>
      </c>
      <c r="BN1286" s="453">
        <f t="shared" ca="1" si="8279"/>
        <v>-273726.34847685776</v>
      </c>
      <c r="BO1286" s="453">
        <f t="shared" ca="1" si="8279"/>
        <v>-211339.56051991874</v>
      </c>
      <c r="BP1286" s="453">
        <f t="shared" ca="1" si="8279"/>
        <v>-149413.85129333788</v>
      </c>
      <c r="BQ1286" s="453">
        <f t="shared" ca="1" si="8279"/>
        <v>-190474.5039588192</v>
      </c>
      <c r="BR1286" s="453">
        <f t="shared" ca="1" si="8279"/>
        <v>-258984.87029722304</v>
      </c>
      <c r="BS1286" s="453">
        <f t="shared" ca="1" si="8279"/>
        <v>-219743.48235772018</v>
      </c>
      <c r="BT1286" s="453">
        <f t="shared" ca="1" si="8279"/>
        <v>-157749.91729861218</v>
      </c>
      <c r="BU1286" s="453">
        <f t="shared" ca="1" si="8279"/>
        <v>-197317.58972668709</v>
      </c>
      <c r="BV1286" s="453">
        <f t="shared" ca="1" si="8279"/>
        <v>-269303.81083330908</v>
      </c>
      <c r="BW1286" s="453">
        <f t="shared" ca="1" si="8279"/>
        <v>-228492.77329331194</v>
      </c>
      <c r="BX1286" s="453">
        <f t="shared" ref="BX1286:CO1286" ca="1" si="8280">-IF(Flag_Last_Operations*$E$1000,SUM(BX1284:BX1285),BX1284)</f>
        <v>-161499.22810249944</v>
      </c>
      <c r="BY1286" s="453">
        <f t="shared" ca="1" si="8280"/>
        <v>-205913.19083422472</v>
      </c>
      <c r="BZ1286" s="453">
        <f t="shared" ca="1" si="8280"/>
        <v>-280016.72812416521</v>
      </c>
      <c r="CA1286" s="453">
        <f t="shared" ca="1" si="8280"/>
        <v>-237573.24292879915</v>
      </c>
      <c r="CB1286" s="453">
        <f t="shared" ca="1" si="8280"/>
        <v>-167906.9021982312</v>
      </c>
      <c r="CC1286" s="453">
        <f t="shared" ca="1" si="8280"/>
        <v>-214098.72207169505</v>
      </c>
      <c r="CD1286" s="453">
        <f t="shared" ca="1" si="8280"/>
        <v>-291167.7366661366</v>
      </c>
      <c r="CE1286" s="453">
        <f t="shared" ca="1" si="8280"/>
        <v>-247026.51206295507</v>
      </c>
      <c r="CF1286" s="453">
        <f t="shared" ca="1" si="8280"/>
        <v>-174570.84607735806</v>
      </c>
      <c r="CG1286" s="453">
        <f t="shared" ca="1" si="8280"/>
        <v>-222611.67455866357</v>
      </c>
      <c r="CH1286" s="453">
        <f t="shared" ca="1" si="8280"/>
        <v>-302764.78554978635</v>
      </c>
      <c r="CI1286" s="453">
        <f t="shared" ca="1" si="8280"/>
        <v>-256857.91196247865</v>
      </c>
      <c r="CJ1286" s="453">
        <f t="shared" ca="1" si="8280"/>
        <v>-184327.12636069866</v>
      </c>
      <c r="CK1286" s="453">
        <f t="shared" ca="1" si="8280"/>
        <v>-230615.70664995754</v>
      </c>
      <c r="CL1286" s="453">
        <f t="shared" ca="1" si="8280"/>
        <v>-314835.06059641473</v>
      </c>
      <c r="CM1286" s="453">
        <f t="shared" ca="1" si="8280"/>
        <v>-267091.91898776783</v>
      </c>
      <c r="CN1286" s="453">
        <f t="shared" ca="1" si="8280"/>
        <v>-188709.02758838091</v>
      </c>
      <c r="CO1286" s="453">
        <f t="shared" ca="1" si="8280"/>
        <v>-240672.75455501606</v>
      </c>
    </row>
    <row r="1287" spans="1:93"/>
    <row r="1288" spans="1:93" ht="22.5" customHeight="1">
      <c r="A1288" s="10"/>
      <c r="B1288" s="5" t="s">
        <v>197</v>
      </c>
      <c r="C1288" s="5"/>
      <c r="D1288" s="15"/>
      <c r="E1288" s="5"/>
      <c r="F1288" s="5"/>
      <c r="G1288" s="6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5"/>
      <c r="BP1288" s="5"/>
      <c r="BQ1288" s="5"/>
      <c r="BR1288" s="5"/>
      <c r="BS1288" s="5"/>
      <c r="BT1288" s="5"/>
      <c r="BU1288" s="5"/>
      <c r="BV1288" s="5"/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</row>
    <row r="1289" spans="1:93">
      <c r="A1289" s="10"/>
      <c r="B1289" s="10"/>
      <c r="C1289" s="10"/>
      <c r="D1289" s="10"/>
      <c r="E1289" s="10"/>
      <c r="F1289" s="10"/>
      <c r="G1289" s="11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  <c r="AY1289" s="10"/>
      <c r="AZ1289" s="10"/>
      <c r="BA1289" s="10"/>
      <c r="BB1289" s="10"/>
      <c r="BC1289" s="10"/>
      <c r="BD1289" s="10"/>
      <c r="BE1289" s="10"/>
      <c r="BF1289" s="10"/>
      <c r="BG1289" s="10"/>
      <c r="BH1289" s="10"/>
      <c r="BI1289" s="10"/>
      <c r="BJ1289" s="10"/>
      <c r="BK1289" s="10"/>
      <c r="BL1289" s="10"/>
      <c r="BM1289" s="10"/>
      <c r="BN1289" s="10"/>
      <c r="BO1289" s="10"/>
      <c r="BP1289" s="10"/>
      <c r="BQ1289" s="10"/>
      <c r="BR1289" s="10"/>
      <c r="BS1289" s="10"/>
      <c r="BT1289" s="10"/>
      <c r="BU1289" s="10"/>
      <c r="BV1289" s="10"/>
      <c r="BW1289" s="10"/>
      <c r="BX1289" s="10"/>
      <c r="BY1289" s="10"/>
      <c r="BZ1289" s="10"/>
      <c r="CA1289" s="10"/>
      <c r="CB1289" s="10"/>
      <c r="CC1289" s="10"/>
      <c r="CD1289" s="10"/>
      <c r="CE1289" s="10"/>
      <c r="CF1289" s="10"/>
      <c r="CG1289" s="10"/>
      <c r="CH1289" s="10"/>
      <c r="CI1289" s="10"/>
      <c r="CJ1289" s="10"/>
      <c r="CK1289" s="10"/>
      <c r="CL1289" s="10"/>
      <c r="CM1289" s="10"/>
      <c r="CN1289" s="10"/>
      <c r="CO1289" s="10"/>
    </row>
    <row r="1290" spans="1:93">
      <c r="A1290" s="10"/>
      <c r="B1290" s="10"/>
      <c r="C1290" s="21" t="s">
        <v>456</v>
      </c>
      <c r="D1290" s="10"/>
      <c r="E1290" s="10"/>
      <c r="F1290" s="10"/>
      <c r="G1290" s="134" t="str">
        <f t="shared" ref="G1290:G1311" si="8281">Monetary_Unit</f>
        <v>тыс. руб.</v>
      </c>
      <c r="H1290" s="10"/>
      <c r="I1290" s="10"/>
      <c r="J1290" s="10"/>
      <c r="K1290" s="10"/>
      <c r="L1290" s="52">
        <f t="shared" ref="L1290:AQ1290" si="8282">K1311*(Flag_Historical+Flag_Financial_Model)</f>
        <v>0</v>
      </c>
      <c r="M1290" s="52">
        <f t="shared" ca="1" si="8282"/>
        <v>0</v>
      </c>
      <c r="N1290" s="52">
        <f t="shared" ca="1" si="8282"/>
        <v>0</v>
      </c>
      <c r="O1290" s="52">
        <f t="shared" ca="1" si="8282"/>
        <v>0</v>
      </c>
      <c r="P1290" s="52">
        <f t="shared" ca="1" si="8282"/>
        <v>0</v>
      </c>
      <c r="Q1290" s="52">
        <f t="shared" ca="1" si="8282"/>
        <v>0</v>
      </c>
      <c r="R1290" s="52">
        <f t="shared" ca="1" si="8282"/>
        <v>0</v>
      </c>
      <c r="S1290" s="52">
        <f t="shared" ca="1" si="8282"/>
        <v>0</v>
      </c>
      <c r="T1290" s="52">
        <f t="shared" ca="1" si="8282"/>
        <v>0</v>
      </c>
      <c r="U1290" s="52">
        <f t="shared" ca="1" si="8282"/>
        <v>0</v>
      </c>
      <c r="V1290" s="52">
        <f t="shared" ca="1" si="8282"/>
        <v>0</v>
      </c>
      <c r="W1290" s="52">
        <f t="shared" ca="1" si="8282"/>
        <v>0</v>
      </c>
      <c r="X1290" s="52">
        <f t="shared" ca="1" si="8282"/>
        <v>0</v>
      </c>
      <c r="Y1290" s="52">
        <f t="shared" ca="1" si="8282"/>
        <v>0</v>
      </c>
      <c r="Z1290" s="52">
        <f t="shared" ca="1" si="8282"/>
        <v>0</v>
      </c>
      <c r="AA1290" s="52">
        <f t="shared" ca="1" si="8282"/>
        <v>0</v>
      </c>
      <c r="AB1290" s="52">
        <f t="shared" ca="1" si="8282"/>
        <v>0</v>
      </c>
      <c r="AC1290" s="52">
        <f t="shared" ca="1" si="8282"/>
        <v>0</v>
      </c>
      <c r="AD1290" s="52">
        <f t="shared" ca="1" si="8282"/>
        <v>627052.01727898442</v>
      </c>
      <c r="AE1290" s="52">
        <f t="shared" ca="1" si="8282"/>
        <v>647024.37386468996</v>
      </c>
      <c r="AF1290" s="52">
        <f t="shared" ca="1" si="8282"/>
        <v>667784.47598624649</v>
      </c>
      <c r="AG1290" s="52">
        <f t="shared" ca="1" si="8282"/>
        <v>630772.39084627049</v>
      </c>
      <c r="AH1290" s="52">
        <f t="shared" ca="1" si="8282"/>
        <v>513573.66168152628</v>
      </c>
      <c r="AI1290" s="52">
        <f t="shared" ca="1" si="8282"/>
        <v>396122.30234698491</v>
      </c>
      <c r="AJ1290" s="52">
        <f t="shared" ca="1" si="8282"/>
        <v>423845.41615374247</v>
      </c>
      <c r="AK1290" s="52">
        <f t="shared" ca="1" si="8282"/>
        <v>383206.44297483156</v>
      </c>
      <c r="AL1290" s="52">
        <f t="shared" ca="1" si="8282"/>
        <v>248287.51285686766</v>
      </c>
      <c r="AM1290" s="52">
        <f t="shared" ca="1" si="8282"/>
        <v>113643.93181848663</v>
      </c>
      <c r="AN1290" s="52">
        <f t="shared" ca="1" si="8282"/>
        <v>148937.23222712189</v>
      </c>
      <c r="AO1290" s="52">
        <f t="shared" ca="1" si="8282"/>
        <v>104363.15485197154</v>
      </c>
      <c r="AP1290" s="52">
        <f t="shared" ca="1" si="8282"/>
        <v>0</v>
      </c>
      <c r="AQ1290" s="52">
        <f t="shared" ca="1" si="8282"/>
        <v>0</v>
      </c>
      <c r="AR1290" s="52">
        <f t="shared" ref="AR1290:BW1290" ca="1" si="8283">AQ1311*(Flag_Historical+Flag_Financial_Model)</f>
        <v>0</v>
      </c>
      <c r="AS1290" s="52">
        <f t="shared" ca="1" si="8283"/>
        <v>0</v>
      </c>
      <c r="AT1290" s="52">
        <f t="shared" ca="1" si="8283"/>
        <v>0</v>
      </c>
      <c r="AU1290" s="52">
        <f t="shared" ca="1" si="8283"/>
        <v>0</v>
      </c>
      <c r="AV1290" s="52">
        <f t="shared" ca="1" si="8283"/>
        <v>0</v>
      </c>
      <c r="AW1290" s="52">
        <f t="shared" ca="1" si="8283"/>
        <v>0</v>
      </c>
      <c r="AX1290" s="52">
        <f t="shared" ca="1" si="8283"/>
        <v>0</v>
      </c>
      <c r="AY1290" s="52">
        <f t="shared" ca="1" si="8283"/>
        <v>0</v>
      </c>
      <c r="AZ1290" s="52">
        <f t="shared" ca="1" si="8283"/>
        <v>0</v>
      </c>
      <c r="BA1290" s="52">
        <f t="shared" ca="1" si="8283"/>
        <v>0</v>
      </c>
      <c r="BB1290" s="52">
        <f t="shared" ca="1" si="8283"/>
        <v>0</v>
      </c>
      <c r="BC1290" s="52">
        <f t="shared" ca="1" si="8283"/>
        <v>0</v>
      </c>
      <c r="BD1290" s="52">
        <f t="shared" ca="1" si="8283"/>
        <v>0</v>
      </c>
      <c r="BE1290" s="52">
        <f t="shared" ca="1" si="8283"/>
        <v>0</v>
      </c>
      <c r="BF1290" s="52">
        <f t="shared" ca="1" si="8283"/>
        <v>0</v>
      </c>
      <c r="BG1290" s="52">
        <f t="shared" ca="1" si="8283"/>
        <v>0</v>
      </c>
      <c r="BH1290" s="52">
        <f t="shared" ca="1" si="8283"/>
        <v>0</v>
      </c>
      <c r="BI1290" s="52">
        <f t="shared" ca="1" si="8283"/>
        <v>0</v>
      </c>
      <c r="BJ1290" s="52">
        <f t="shared" ca="1" si="8283"/>
        <v>0</v>
      </c>
      <c r="BK1290" s="52">
        <f t="shared" ca="1" si="8283"/>
        <v>0</v>
      </c>
      <c r="BL1290" s="52">
        <f t="shared" ca="1" si="8283"/>
        <v>0</v>
      </c>
      <c r="BM1290" s="52">
        <f t="shared" ca="1" si="8283"/>
        <v>0</v>
      </c>
      <c r="BN1290" s="52">
        <f t="shared" ca="1" si="8283"/>
        <v>0</v>
      </c>
      <c r="BO1290" s="52">
        <f t="shared" ca="1" si="8283"/>
        <v>0</v>
      </c>
      <c r="BP1290" s="52">
        <f t="shared" ca="1" si="8283"/>
        <v>0</v>
      </c>
      <c r="BQ1290" s="52">
        <f t="shared" ca="1" si="8283"/>
        <v>0</v>
      </c>
      <c r="BR1290" s="52">
        <f t="shared" ca="1" si="8283"/>
        <v>0</v>
      </c>
      <c r="BS1290" s="52">
        <f t="shared" ca="1" si="8283"/>
        <v>0</v>
      </c>
      <c r="BT1290" s="52">
        <f t="shared" ca="1" si="8283"/>
        <v>0</v>
      </c>
      <c r="BU1290" s="52">
        <f t="shared" ca="1" si="8283"/>
        <v>0</v>
      </c>
      <c r="BV1290" s="52">
        <f t="shared" ca="1" si="8283"/>
        <v>0</v>
      </c>
      <c r="BW1290" s="52">
        <f t="shared" ca="1" si="8283"/>
        <v>0</v>
      </c>
      <c r="BX1290" s="52">
        <f t="shared" ref="BX1290:CO1290" ca="1" si="8284">BW1311*(Flag_Historical+Flag_Financial_Model)</f>
        <v>0</v>
      </c>
      <c r="BY1290" s="52">
        <f t="shared" ca="1" si="8284"/>
        <v>0</v>
      </c>
      <c r="BZ1290" s="52">
        <f t="shared" ca="1" si="8284"/>
        <v>0</v>
      </c>
      <c r="CA1290" s="52">
        <f t="shared" ca="1" si="8284"/>
        <v>0</v>
      </c>
      <c r="CB1290" s="52">
        <f t="shared" ca="1" si="8284"/>
        <v>0</v>
      </c>
      <c r="CC1290" s="52">
        <f t="shared" ca="1" si="8284"/>
        <v>0</v>
      </c>
      <c r="CD1290" s="52">
        <f t="shared" ca="1" si="8284"/>
        <v>0</v>
      </c>
      <c r="CE1290" s="52">
        <f t="shared" ca="1" si="8284"/>
        <v>0</v>
      </c>
      <c r="CF1290" s="52">
        <f t="shared" ca="1" si="8284"/>
        <v>0</v>
      </c>
      <c r="CG1290" s="52">
        <f t="shared" ca="1" si="8284"/>
        <v>0</v>
      </c>
      <c r="CH1290" s="52">
        <f t="shared" ca="1" si="8284"/>
        <v>0</v>
      </c>
      <c r="CI1290" s="52">
        <f t="shared" ca="1" si="8284"/>
        <v>0</v>
      </c>
      <c r="CJ1290" s="52">
        <f t="shared" ca="1" si="8284"/>
        <v>0</v>
      </c>
      <c r="CK1290" s="52">
        <f t="shared" ca="1" si="8284"/>
        <v>0</v>
      </c>
      <c r="CL1290" s="52">
        <f t="shared" ca="1" si="8284"/>
        <v>0</v>
      </c>
      <c r="CM1290" s="52">
        <f t="shared" ca="1" si="8284"/>
        <v>0</v>
      </c>
      <c r="CN1290" s="52">
        <f t="shared" ca="1" si="8284"/>
        <v>0</v>
      </c>
      <c r="CO1290" s="52">
        <f t="shared" ca="1" si="8284"/>
        <v>0</v>
      </c>
    </row>
    <row r="1291" spans="1:93">
      <c r="A1291" s="10"/>
      <c r="B1291" s="10"/>
      <c r="C1291" s="416" t="s">
        <v>124</v>
      </c>
      <c r="D1291" s="10"/>
      <c r="E1291" s="10"/>
      <c r="F1291" s="10"/>
      <c r="G1291" s="134" t="str">
        <f t="shared" si="8281"/>
        <v>тыс. руб.</v>
      </c>
      <c r="H1291" s="10"/>
      <c r="I1291" s="23">
        <f t="shared" ref="I1291:I1297" ca="1" si="8285">SUM(L1291:CO1291)</f>
        <v>-4808399.504779838</v>
      </c>
      <c r="J1291" s="10"/>
      <c r="K1291" s="10"/>
      <c r="L1291" s="52">
        <f t="shared" ref="L1291:BW1291" ca="1" si="8286">-CAPEX</f>
        <v>-26171.794482739097</v>
      </c>
      <c r="M1291" s="52">
        <f t="shared" ca="1" si="8286"/>
        <v>-26543.300158756276</v>
      </c>
      <c r="N1291" s="52">
        <f t="shared" ca="1" si="8286"/>
        <v>-26920.079316016938</v>
      </c>
      <c r="O1291" s="52">
        <f t="shared" ca="1" si="8286"/>
        <v>-27302.20681099359</v>
      </c>
      <c r="P1291" s="52">
        <f t="shared" ca="1" si="8286"/>
        <v>-229659.55483999598</v>
      </c>
      <c r="Q1291" s="52">
        <f t="shared" ca="1" si="8286"/>
        <v>-231922.48380168967</v>
      </c>
      <c r="R1291" s="52">
        <f t="shared" ca="1" si="8286"/>
        <v>-234207.71032243437</v>
      </c>
      <c r="S1291" s="52">
        <f t="shared" ca="1" si="8286"/>
        <v>-236515.4541091444</v>
      </c>
      <c r="T1291" s="52">
        <f t="shared" ca="1" si="8286"/>
        <v>-238845.93703359578</v>
      </c>
      <c r="U1291" s="52">
        <f t="shared" ca="1" si="8286"/>
        <v>-241199.38315375723</v>
      </c>
      <c r="V1291" s="52">
        <f t="shared" ca="1" si="8286"/>
        <v>-243576.01873533166</v>
      </c>
      <c r="W1291" s="52">
        <f t="shared" ca="1" si="8286"/>
        <v>-245976.07227351013</v>
      </c>
      <c r="X1291" s="52">
        <f t="shared" ca="1" si="8286"/>
        <v>-518760.33442500973</v>
      </c>
      <c r="Y1291" s="52">
        <f t="shared" ca="1" si="8286"/>
        <v>-523871.89090157853</v>
      </c>
      <c r="Z1291" s="52">
        <f t="shared" ca="1" si="8286"/>
        <v>-529033.81362220866</v>
      </c>
      <c r="AA1291" s="52">
        <f t="shared" ca="1" si="8286"/>
        <v>-534246.59886597958</v>
      </c>
      <c r="AB1291" s="52">
        <f t="shared" ca="1" si="8286"/>
        <v>-693646.87192709628</v>
      </c>
      <c r="AC1291" s="52">
        <f t="shared" ca="1" si="8286"/>
        <v>0</v>
      </c>
      <c r="AD1291" s="52">
        <f t="shared" ca="1" si="8286"/>
        <v>0</v>
      </c>
      <c r="AE1291" s="52">
        <f t="shared" ca="1" si="8286"/>
        <v>0</v>
      </c>
      <c r="AF1291" s="52">
        <f t="shared" ca="1" si="8286"/>
        <v>0</v>
      </c>
      <c r="AG1291" s="52">
        <f t="shared" ca="1" si="8286"/>
        <v>0</v>
      </c>
      <c r="AH1291" s="52">
        <f t="shared" ca="1" si="8286"/>
        <v>0</v>
      </c>
      <c r="AI1291" s="52">
        <f t="shared" ca="1" si="8286"/>
        <v>0</v>
      </c>
      <c r="AJ1291" s="52">
        <f t="shared" ca="1" si="8286"/>
        <v>0</v>
      </c>
      <c r="AK1291" s="52">
        <f t="shared" ca="1" si="8286"/>
        <v>0</v>
      </c>
      <c r="AL1291" s="52">
        <f t="shared" ca="1" si="8286"/>
        <v>0</v>
      </c>
      <c r="AM1291" s="52">
        <f t="shared" ca="1" si="8286"/>
        <v>0</v>
      </c>
      <c r="AN1291" s="52">
        <f t="shared" ca="1" si="8286"/>
        <v>0</v>
      </c>
      <c r="AO1291" s="52">
        <f t="shared" ca="1" si="8286"/>
        <v>0</v>
      </c>
      <c r="AP1291" s="52">
        <f t="shared" ca="1" si="8286"/>
        <v>0</v>
      </c>
      <c r="AQ1291" s="52">
        <f t="shared" ca="1" si="8286"/>
        <v>0</v>
      </c>
      <c r="AR1291" s="52">
        <f t="shared" ca="1" si="8286"/>
        <v>0</v>
      </c>
      <c r="AS1291" s="52">
        <f t="shared" ca="1" si="8286"/>
        <v>0</v>
      </c>
      <c r="AT1291" s="52">
        <f t="shared" ca="1" si="8286"/>
        <v>0</v>
      </c>
      <c r="AU1291" s="52">
        <f t="shared" ca="1" si="8286"/>
        <v>0</v>
      </c>
      <c r="AV1291" s="52">
        <f t="shared" ca="1" si="8286"/>
        <v>0</v>
      </c>
      <c r="AW1291" s="52">
        <f t="shared" ca="1" si="8286"/>
        <v>0</v>
      </c>
      <c r="AX1291" s="52">
        <f t="shared" ca="1" si="8286"/>
        <v>0</v>
      </c>
      <c r="AY1291" s="52">
        <f t="shared" ca="1" si="8286"/>
        <v>0</v>
      </c>
      <c r="AZ1291" s="52">
        <f t="shared" ca="1" si="8286"/>
        <v>0</v>
      </c>
      <c r="BA1291" s="52">
        <f t="shared" ca="1" si="8286"/>
        <v>0</v>
      </c>
      <c r="BB1291" s="52">
        <f t="shared" ca="1" si="8286"/>
        <v>0</v>
      </c>
      <c r="BC1291" s="52">
        <f t="shared" ca="1" si="8286"/>
        <v>0</v>
      </c>
      <c r="BD1291" s="52">
        <f t="shared" ca="1" si="8286"/>
        <v>0</v>
      </c>
      <c r="BE1291" s="52">
        <f t="shared" ca="1" si="8286"/>
        <v>0</v>
      </c>
      <c r="BF1291" s="52">
        <f t="shared" ca="1" si="8286"/>
        <v>0</v>
      </c>
      <c r="BG1291" s="52">
        <f t="shared" ca="1" si="8286"/>
        <v>0</v>
      </c>
      <c r="BH1291" s="52">
        <f t="shared" ca="1" si="8286"/>
        <v>0</v>
      </c>
      <c r="BI1291" s="52">
        <f t="shared" ca="1" si="8286"/>
        <v>0</v>
      </c>
      <c r="BJ1291" s="52">
        <f t="shared" ca="1" si="8286"/>
        <v>0</v>
      </c>
      <c r="BK1291" s="52">
        <f t="shared" ca="1" si="8286"/>
        <v>0</v>
      </c>
      <c r="BL1291" s="52">
        <f t="shared" ca="1" si="8286"/>
        <v>0</v>
      </c>
      <c r="BM1291" s="52">
        <f t="shared" ca="1" si="8286"/>
        <v>0</v>
      </c>
      <c r="BN1291" s="52">
        <f t="shared" ca="1" si="8286"/>
        <v>0</v>
      </c>
      <c r="BO1291" s="52">
        <f t="shared" ca="1" si="8286"/>
        <v>0</v>
      </c>
      <c r="BP1291" s="52">
        <f t="shared" ca="1" si="8286"/>
        <v>0</v>
      </c>
      <c r="BQ1291" s="52">
        <f t="shared" ca="1" si="8286"/>
        <v>0</v>
      </c>
      <c r="BR1291" s="52">
        <f t="shared" ca="1" si="8286"/>
        <v>0</v>
      </c>
      <c r="BS1291" s="52">
        <f t="shared" ca="1" si="8286"/>
        <v>0</v>
      </c>
      <c r="BT1291" s="52">
        <f t="shared" ca="1" si="8286"/>
        <v>0</v>
      </c>
      <c r="BU1291" s="52">
        <f t="shared" ca="1" si="8286"/>
        <v>0</v>
      </c>
      <c r="BV1291" s="52">
        <f t="shared" ca="1" si="8286"/>
        <v>0</v>
      </c>
      <c r="BW1291" s="52">
        <f t="shared" ca="1" si="8286"/>
        <v>0</v>
      </c>
      <c r="BX1291" s="52">
        <f t="shared" ref="BX1291:CO1291" ca="1" si="8287">-CAPEX</f>
        <v>0</v>
      </c>
      <c r="BY1291" s="52">
        <f t="shared" ca="1" si="8287"/>
        <v>0</v>
      </c>
      <c r="BZ1291" s="52">
        <f t="shared" ca="1" si="8287"/>
        <v>0</v>
      </c>
      <c r="CA1291" s="52">
        <f t="shared" ca="1" si="8287"/>
        <v>0</v>
      </c>
      <c r="CB1291" s="52">
        <f t="shared" ca="1" si="8287"/>
        <v>0</v>
      </c>
      <c r="CC1291" s="52">
        <f t="shared" ca="1" si="8287"/>
        <v>0</v>
      </c>
      <c r="CD1291" s="52">
        <f t="shared" ca="1" si="8287"/>
        <v>0</v>
      </c>
      <c r="CE1291" s="52">
        <f t="shared" ca="1" si="8287"/>
        <v>0</v>
      </c>
      <c r="CF1291" s="52">
        <f t="shared" ca="1" si="8287"/>
        <v>0</v>
      </c>
      <c r="CG1291" s="52">
        <f t="shared" ca="1" si="8287"/>
        <v>0</v>
      </c>
      <c r="CH1291" s="52">
        <f t="shared" ca="1" si="8287"/>
        <v>0</v>
      </c>
      <c r="CI1291" s="52">
        <f t="shared" ca="1" si="8287"/>
        <v>0</v>
      </c>
      <c r="CJ1291" s="52">
        <f t="shared" ca="1" si="8287"/>
        <v>0</v>
      </c>
      <c r="CK1291" s="52">
        <f t="shared" ca="1" si="8287"/>
        <v>0</v>
      </c>
      <c r="CL1291" s="52">
        <f t="shared" ca="1" si="8287"/>
        <v>0</v>
      </c>
      <c r="CM1291" s="52">
        <f t="shared" ca="1" si="8287"/>
        <v>0</v>
      </c>
      <c r="CN1291" s="52">
        <f t="shared" ca="1" si="8287"/>
        <v>0</v>
      </c>
      <c r="CO1291" s="52">
        <f t="shared" ca="1" si="8287"/>
        <v>0</v>
      </c>
    </row>
    <row r="1292" spans="1:93">
      <c r="A1292" s="10"/>
      <c r="B1292" s="10"/>
      <c r="C1292" s="416" t="s">
        <v>96</v>
      </c>
      <c r="D1292" s="10"/>
      <c r="E1292" s="10"/>
      <c r="F1292" s="10"/>
      <c r="G1292" s="134" t="str">
        <f t="shared" si="8281"/>
        <v>тыс. руб.</v>
      </c>
      <c r="H1292" s="10"/>
      <c r="I1292" s="23">
        <f t="shared" ca="1" si="8285"/>
        <v>54850086.519837193</v>
      </c>
      <c r="J1292" s="10"/>
      <c r="K1292" s="10"/>
      <c r="L1292" s="52">
        <f t="shared" ref="L1292:BW1292" ca="1" si="8288">Revenue</f>
        <v>0</v>
      </c>
      <c r="M1292" s="52">
        <f t="shared" ca="1" si="8288"/>
        <v>0</v>
      </c>
      <c r="N1292" s="52">
        <f t="shared" ca="1" si="8288"/>
        <v>0</v>
      </c>
      <c r="O1292" s="52">
        <f t="shared" ca="1" si="8288"/>
        <v>0</v>
      </c>
      <c r="P1292" s="52">
        <f t="shared" ca="1" si="8288"/>
        <v>0</v>
      </c>
      <c r="Q1292" s="52">
        <f t="shared" ca="1" si="8288"/>
        <v>0</v>
      </c>
      <c r="R1292" s="52">
        <f t="shared" ca="1" si="8288"/>
        <v>0</v>
      </c>
      <c r="S1292" s="52">
        <f t="shared" ca="1" si="8288"/>
        <v>0</v>
      </c>
      <c r="T1292" s="52">
        <f t="shared" ca="1" si="8288"/>
        <v>0</v>
      </c>
      <c r="U1292" s="52">
        <f t="shared" ca="1" si="8288"/>
        <v>0</v>
      </c>
      <c r="V1292" s="52">
        <f t="shared" ca="1" si="8288"/>
        <v>0</v>
      </c>
      <c r="W1292" s="52">
        <f t="shared" ca="1" si="8288"/>
        <v>0</v>
      </c>
      <c r="X1292" s="52">
        <f t="shared" ca="1" si="8288"/>
        <v>0</v>
      </c>
      <c r="Y1292" s="52">
        <f t="shared" ca="1" si="8288"/>
        <v>0</v>
      </c>
      <c r="Z1292" s="52">
        <f t="shared" ca="1" si="8288"/>
        <v>0</v>
      </c>
      <c r="AA1292" s="52">
        <f t="shared" ca="1" si="8288"/>
        <v>0</v>
      </c>
      <c r="AB1292" s="52">
        <f t="shared" ca="1" si="8288"/>
        <v>0</v>
      </c>
      <c r="AC1292" s="52">
        <f t="shared" ca="1" si="8288"/>
        <v>538729.60493334138</v>
      </c>
      <c r="AD1292" s="52">
        <f t="shared" ca="1" si="8288"/>
        <v>701020.27067459095</v>
      </c>
      <c r="AE1292" s="52">
        <f t="shared" ca="1" si="8288"/>
        <v>415305.77147408307</v>
      </c>
      <c r="AF1292" s="52">
        <f t="shared" ca="1" si="8288"/>
        <v>407561.6801808218</v>
      </c>
      <c r="AG1292" s="52">
        <f t="shared" ca="1" si="8288"/>
        <v>643283.05418707151</v>
      </c>
      <c r="AH1292" s="52">
        <f t="shared" ca="1" si="8288"/>
        <v>833212.66457322869</v>
      </c>
      <c r="AI1292" s="52">
        <f t="shared" ca="1" si="8288"/>
        <v>491492.89920657012</v>
      </c>
      <c r="AJ1292" s="52">
        <f t="shared" ca="1" si="8288"/>
        <v>480379.3670397955</v>
      </c>
      <c r="AK1292" s="52">
        <f t="shared" ca="1" si="8288"/>
        <v>755338.81201320689</v>
      </c>
      <c r="AL1292" s="52">
        <f t="shared" ca="1" si="8288"/>
        <v>974858.81755067746</v>
      </c>
      <c r="AM1292" s="52">
        <f t="shared" ca="1" si="8288"/>
        <v>573110.5079232977</v>
      </c>
      <c r="AN1292" s="52">
        <f t="shared" ca="1" si="8288"/>
        <v>564574.48538318858</v>
      </c>
      <c r="AO1292" s="52">
        <f t="shared" ca="1" si="8288"/>
        <v>875329.7775787327</v>
      </c>
      <c r="AP1292" s="52">
        <f t="shared" ca="1" si="8288"/>
        <v>1098340.9344404293</v>
      </c>
      <c r="AQ1292" s="52">
        <f t="shared" ca="1" si="8288"/>
        <v>628253.03246943059</v>
      </c>
      <c r="AR1292" s="52">
        <f t="shared" ca="1" si="8288"/>
        <v>595986.90035939578</v>
      </c>
      <c r="AS1292" s="52">
        <f t="shared" ca="1" si="8288"/>
        <v>910342.96868188202</v>
      </c>
      <c r="AT1292" s="52">
        <f t="shared" ca="1" si="8288"/>
        <v>1142274.5718180465</v>
      </c>
      <c r="AU1292" s="52">
        <f t="shared" ca="1" si="8288"/>
        <v>653383.15376820788</v>
      </c>
      <c r="AV1292" s="52">
        <f t="shared" ca="1" si="8288"/>
        <v>619826.37637377158</v>
      </c>
      <c r="AW1292" s="52">
        <f t="shared" ca="1" si="8288"/>
        <v>805449.71915614884</v>
      </c>
      <c r="AX1292" s="52">
        <f t="shared" ca="1" si="8288"/>
        <v>1010657.2629458774</v>
      </c>
      <c r="AY1292" s="52">
        <f t="shared" ca="1" si="8288"/>
        <v>578097.81127431884</v>
      </c>
      <c r="AZ1292" s="52">
        <f t="shared" ca="1" si="8288"/>
        <v>548407.57599159959</v>
      </c>
      <c r="BA1292" s="52">
        <f t="shared" ca="1" si="8288"/>
        <v>837667.7079223945</v>
      </c>
      <c r="BB1292" s="52">
        <f t="shared" ca="1" si="8288"/>
        <v>1051083.5534637121</v>
      </c>
      <c r="BC1292" s="52">
        <f t="shared" ca="1" si="8288"/>
        <v>601221.72372529143</v>
      </c>
      <c r="BD1292" s="52">
        <f t="shared" ca="1" si="8288"/>
        <v>576681.03324272193</v>
      </c>
      <c r="BE1292" s="52">
        <f t="shared" ca="1" si="8288"/>
        <v>871174.41623929003</v>
      </c>
      <c r="BF1292" s="52">
        <f t="shared" ca="1" si="8288"/>
        <v>1093126.8956022605</v>
      </c>
      <c r="BG1292" s="52">
        <f t="shared" ca="1" si="8288"/>
        <v>625270.59267430298</v>
      </c>
      <c r="BH1292" s="52">
        <f t="shared" ca="1" si="8288"/>
        <v>593157.63419251388</v>
      </c>
      <c r="BI1292" s="52">
        <f t="shared" ca="1" si="8288"/>
        <v>906021.39288886171</v>
      </c>
      <c r="BJ1292" s="52">
        <f t="shared" ca="1" si="8288"/>
        <v>1136851.9714263508</v>
      </c>
      <c r="BK1292" s="52">
        <f t="shared" ca="1" si="8288"/>
        <v>650281.41638127505</v>
      </c>
      <c r="BL1292" s="52">
        <f t="shared" ca="1" si="8288"/>
        <v>616883.93956021441</v>
      </c>
      <c r="BM1292" s="52">
        <f t="shared" ca="1" si="8288"/>
        <v>942262.24860441603</v>
      </c>
      <c r="BN1292" s="52">
        <f t="shared" ca="1" si="8288"/>
        <v>1182326.0502834048</v>
      </c>
      <c r="BO1292" s="52">
        <f t="shared" ca="1" si="8288"/>
        <v>676292.67303652596</v>
      </c>
      <c r="BP1292" s="52">
        <f t="shared" ca="1" si="8288"/>
        <v>641559.29714262288</v>
      </c>
      <c r="BQ1292" s="52">
        <f t="shared" ca="1" si="8288"/>
        <v>979952.73854859243</v>
      </c>
      <c r="BR1292" s="52">
        <f t="shared" ca="1" si="8288"/>
        <v>1229619.0922947407</v>
      </c>
      <c r="BS1292" s="52">
        <f t="shared" ca="1" si="8288"/>
        <v>703344.37995798665</v>
      </c>
      <c r="BT1292" s="52">
        <f t="shared" ca="1" si="8288"/>
        <v>674635.24312864244</v>
      </c>
      <c r="BU1292" s="52">
        <f t="shared" ca="1" si="8288"/>
        <v>1019150.848090536</v>
      </c>
      <c r="BV1292" s="52">
        <f t="shared" ca="1" si="8288"/>
        <v>1278803.85598653</v>
      </c>
      <c r="BW1292" s="52">
        <f t="shared" ca="1" si="8288"/>
        <v>731478.15515630599</v>
      </c>
      <c r="BX1292" s="52">
        <f t="shared" ref="BX1292:CO1292" ca="1" si="8289">Revenue</f>
        <v>693910.53578946064</v>
      </c>
      <c r="BY1292" s="52">
        <f t="shared" ca="1" si="8289"/>
        <v>1059916.882014157</v>
      </c>
      <c r="BZ1292" s="52">
        <f t="shared" ca="1" si="8289"/>
        <v>1329956.010225991</v>
      </c>
      <c r="CA1292" s="52">
        <f t="shared" ca="1" si="8289"/>
        <v>760737.28136255825</v>
      </c>
      <c r="CB1292" s="52">
        <f t="shared" ca="1" si="8289"/>
        <v>721666.95722103911</v>
      </c>
      <c r="CC1292" s="52">
        <f t="shared" ca="1" si="8289"/>
        <v>1102313.5572947236</v>
      </c>
      <c r="CD1292" s="52">
        <f t="shared" ca="1" si="8289"/>
        <v>1383154.2506350307</v>
      </c>
      <c r="CE1292" s="52">
        <f t="shared" ca="1" si="8289"/>
        <v>791166.77261706057</v>
      </c>
      <c r="CF1292" s="52">
        <f t="shared" ca="1" si="8289"/>
        <v>750533.63550988061</v>
      </c>
      <c r="CG1292" s="52">
        <f t="shared" ca="1" si="8289"/>
        <v>1146406.0995865124</v>
      </c>
      <c r="CH1292" s="52">
        <f t="shared" ca="1" si="8289"/>
        <v>1438480.4206604315</v>
      </c>
      <c r="CI1292" s="52">
        <f t="shared" ca="1" si="8289"/>
        <v>822813.44352174317</v>
      </c>
      <c r="CJ1292" s="52">
        <f t="shared" ca="1" si="8289"/>
        <v>789227.81405172311</v>
      </c>
      <c r="CK1292" s="52">
        <f t="shared" ca="1" si="8289"/>
        <v>1192262.3435699726</v>
      </c>
      <c r="CL1292" s="52">
        <f t="shared" ca="1" si="8289"/>
        <v>1496019.6374868487</v>
      </c>
      <c r="CM1292" s="52">
        <f t="shared" ca="1" si="8289"/>
        <v>855725.98126261262</v>
      </c>
      <c r="CN1292" s="52">
        <f t="shared" ca="1" si="8289"/>
        <v>811777.18016748666</v>
      </c>
      <c r="CO1292" s="52">
        <f t="shared" ca="1" si="8289"/>
        <v>1239952.8373127715</v>
      </c>
    </row>
    <row r="1293" spans="1:93">
      <c r="A1293" s="10"/>
      <c r="B1293" s="10"/>
      <c r="C1293" s="21" t="s">
        <v>722</v>
      </c>
      <c r="D1293" s="10"/>
      <c r="E1293" s="10"/>
      <c r="F1293" s="10"/>
      <c r="G1293" s="134" t="str">
        <f t="shared" si="8281"/>
        <v>тыс. руб.</v>
      </c>
      <c r="H1293" s="10"/>
      <c r="I1293" s="23">
        <f t="shared" ca="1" si="8285"/>
        <v>-38547379.439622067</v>
      </c>
      <c r="J1293" s="10"/>
      <c r="K1293" s="10"/>
      <c r="L1293" s="52">
        <f t="shared" ref="L1293:BW1293" ca="1" si="8290">COGS</f>
        <v>0</v>
      </c>
      <c r="M1293" s="52">
        <f t="shared" ca="1" si="8290"/>
        <v>0</v>
      </c>
      <c r="N1293" s="52">
        <f t="shared" ca="1" si="8290"/>
        <v>0</v>
      </c>
      <c r="O1293" s="52">
        <f t="shared" ca="1" si="8290"/>
        <v>0</v>
      </c>
      <c r="P1293" s="52">
        <f t="shared" ca="1" si="8290"/>
        <v>0</v>
      </c>
      <c r="Q1293" s="52">
        <f t="shared" ca="1" si="8290"/>
        <v>0</v>
      </c>
      <c r="R1293" s="52">
        <f t="shared" ca="1" si="8290"/>
        <v>0</v>
      </c>
      <c r="S1293" s="52">
        <f t="shared" ca="1" si="8290"/>
        <v>0</v>
      </c>
      <c r="T1293" s="52">
        <f t="shared" ca="1" si="8290"/>
        <v>0</v>
      </c>
      <c r="U1293" s="52">
        <f t="shared" ca="1" si="8290"/>
        <v>0</v>
      </c>
      <c r="V1293" s="52">
        <f t="shared" ca="1" si="8290"/>
        <v>0</v>
      </c>
      <c r="W1293" s="52">
        <f t="shared" ca="1" si="8290"/>
        <v>0</v>
      </c>
      <c r="X1293" s="52">
        <f t="shared" ca="1" si="8290"/>
        <v>0</v>
      </c>
      <c r="Y1293" s="52">
        <f t="shared" ca="1" si="8290"/>
        <v>0</v>
      </c>
      <c r="Z1293" s="52">
        <f t="shared" ca="1" si="8290"/>
        <v>0</v>
      </c>
      <c r="AA1293" s="52">
        <f t="shared" ca="1" si="8290"/>
        <v>0</v>
      </c>
      <c r="AB1293" s="52">
        <f t="shared" ca="1" si="8290"/>
        <v>0</v>
      </c>
      <c r="AC1293" s="52">
        <f t="shared" ca="1" si="8290"/>
        <v>-338364.69457748812</v>
      </c>
      <c r="AD1293" s="52">
        <f t="shared" ca="1" si="8290"/>
        <v>-440233.51075948874</v>
      </c>
      <c r="AE1293" s="52">
        <f t="shared" ca="1" si="8290"/>
        <v>-260902.81296897485</v>
      </c>
      <c r="AF1293" s="52">
        <f t="shared" ca="1" si="8290"/>
        <v>-256039.33641042063</v>
      </c>
      <c r="AG1293" s="52">
        <f t="shared" ca="1" si="8290"/>
        <v>-403998.14006466302</v>
      </c>
      <c r="AH1293" s="52">
        <f t="shared" ca="1" si="8290"/>
        <v>-523215.13660697942</v>
      </c>
      <c r="AI1293" s="52">
        <f t="shared" ca="1" si="8290"/>
        <v>-308731.99285408959</v>
      </c>
      <c r="AJ1293" s="52">
        <f t="shared" ca="1" si="8290"/>
        <v>-301753.52545773616</v>
      </c>
      <c r="AK1293" s="52">
        <f t="shared" ca="1" si="8290"/>
        <v>-474340.87767948816</v>
      </c>
      <c r="AL1293" s="52">
        <f t="shared" ca="1" si="8290"/>
        <v>-612130.91890505375</v>
      </c>
      <c r="AM1293" s="52">
        <f t="shared" ca="1" si="8290"/>
        <v>-359970.06262926321</v>
      </c>
      <c r="AN1293" s="52">
        <f t="shared" ca="1" si="8290"/>
        <v>-354611.34320440446</v>
      </c>
      <c r="AO1293" s="52">
        <f t="shared" ca="1" si="8290"/>
        <v>-549663.95169612917</v>
      </c>
      <c r="AP1293" s="52">
        <f t="shared" ca="1" si="8290"/>
        <v>-689645.45364490314</v>
      </c>
      <c r="AQ1293" s="52">
        <f t="shared" ca="1" si="8290"/>
        <v>-394590.32912258612</v>
      </c>
      <c r="AR1293" s="52">
        <f t="shared" ca="1" si="8290"/>
        <v>-374335.589413982</v>
      </c>
      <c r="AS1293" s="52">
        <f t="shared" ca="1" si="8290"/>
        <v>-571651.22277057101</v>
      </c>
      <c r="AT1293" s="52">
        <f t="shared" ca="1" si="8290"/>
        <v>-717231.99973528064</v>
      </c>
      <c r="AU1293" s="52">
        <f t="shared" ca="1" si="8290"/>
        <v>-410374.67740480497</v>
      </c>
      <c r="AV1293" s="52">
        <f t="shared" ca="1" si="8290"/>
        <v>-389309.01299054123</v>
      </c>
      <c r="AW1293" s="52">
        <f t="shared" ca="1" si="8290"/>
        <v>-586465.74265078746</v>
      </c>
      <c r="AX1293" s="52">
        <f t="shared" ca="1" si="8290"/>
        <v>-735818.43146604754</v>
      </c>
      <c r="AY1293" s="52">
        <f t="shared" ca="1" si="8290"/>
        <v>-421010.81673520268</v>
      </c>
      <c r="AZ1293" s="52">
        <f t="shared" ca="1" si="8290"/>
        <v>-399399.31868577609</v>
      </c>
      <c r="BA1293" s="52">
        <f t="shared" ca="1" si="8290"/>
        <v>-609924.37235681852</v>
      </c>
      <c r="BB1293" s="52">
        <f t="shared" ca="1" si="8290"/>
        <v>-765251.16872468952</v>
      </c>
      <c r="BC1293" s="52">
        <f t="shared" ca="1" si="8290"/>
        <v>-437851.24940461077</v>
      </c>
      <c r="BD1293" s="52">
        <f t="shared" ca="1" si="8290"/>
        <v>-419989.77823935129</v>
      </c>
      <c r="BE1293" s="52">
        <f t="shared" ca="1" si="8290"/>
        <v>-634320.54521563894</v>
      </c>
      <c r="BF1293" s="52">
        <f t="shared" ca="1" si="8290"/>
        <v>-795860.39663502329</v>
      </c>
      <c r="BG1293" s="52">
        <f t="shared" ca="1" si="8290"/>
        <v>-455364.47247379133</v>
      </c>
      <c r="BH1293" s="52">
        <f t="shared" ca="1" si="8290"/>
        <v>-431990.30309053528</v>
      </c>
      <c r="BI1293" s="52">
        <f t="shared" ca="1" si="8290"/>
        <v>-659694.20114113495</v>
      </c>
      <c r="BJ1293" s="52">
        <f t="shared" ca="1" si="8290"/>
        <v>-827695.66409262386</v>
      </c>
      <c r="BK1293" s="52">
        <f t="shared" ca="1" si="8290"/>
        <v>-473579.91135602683</v>
      </c>
      <c r="BL1293" s="52">
        <f t="shared" ca="1" si="8290"/>
        <v>-449269.91521415667</v>
      </c>
      <c r="BM1293" s="52">
        <f t="shared" ca="1" si="8290"/>
        <v>-686081.96918678016</v>
      </c>
      <c r="BN1293" s="52">
        <f t="shared" ca="1" si="8290"/>
        <v>-860803.49065632862</v>
      </c>
      <c r="BO1293" s="52">
        <f t="shared" ca="1" si="8290"/>
        <v>-492523.10781026777</v>
      </c>
      <c r="BP1293" s="52">
        <f t="shared" ca="1" si="8290"/>
        <v>-467240.71182272292</v>
      </c>
      <c r="BQ1293" s="52">
        <f t="shared" ca="1" si="8290"/>
        <v>-713525.24795425136</v>
      </c>
      <c r="BR1293" s="52">
        <f t="shared" ca="1" si="8290"/>
        <v>-895235.63028258167</v>
      </c>
      <c r="BS1293" s="52">
        <f t="shared" ca="1" si="8290"/>
        <v>-512224.03212267824</v>
      </c>
      <c r="BT1293" s="52">
        <f t="shared" ca="1" si="8290"/>
        <v>-491328.63718580664</v>
      </c>
      <c r="BU1293" s="52">
        <f t="shared" ca="1" si="8290"/>
        <v>-742065.31960438204</v>
      </c>
      <c r="BV1293" s="52">
        <f t="shared" ca="1" si="8290"/>
        <v>-931044.09756847634</v>
      </c>
      <c r="BW1293" s="52">
        <f t="shared" ca="1" si="8290"/>
        <v>-532712.0260433486</v>
      </c>
      <c r="BX1293" s="52">
        <f t="shared" ref="BX1293:CO1293" ca="1" si="8291">COGS</f>
        <v>-505367.55390745687</v>
      </c>
      <c r="BY1293" s="52">
        <f t="shared" ca="1" si="8291"/>
        <v>-771748.90818731789</v>
      </c>
      <c r="BZ1293" s="52">
        <f t="shared" ca="1" si="8291"/>
        <v>-968286.8577136402</v>
      </c>
      <c r="CA1293" s="52">
        <f t="shared" ca="1" si="8291"/>
        <v>-554021.51314388867</v>
      </c>
      <c r="CB1293" s="52">
        <f t="shared" ca="1" si="8291"/>
        <v>-525582.25606375502</v>
      </c>
      <c r="CC1293" s="52">
        <f t="shared" ca="1" si="8291"/>
        <v>-802618.86451481062</v>
      </c>
      <c r="CD1293" s="52">
        <f t="shared" ca="1" si="8291"/>
        <v>-1007018.3320221858</v>
      </c>
      <c r="CE1293" s="52">
        <f t="shared" ca="1" si="8291"/>
        <v>-576182.37366964424</v>
      </c>
      <c r="CF1293" s="52">
        <f t="shared" ca="1" si="8291"/>
        <v>-546605.54630630522</v>
      </c>
      <c r="CG1293" s="52">
        <f t="shared" ca="1" si="8291"/>
        <v>-834723.61909540289</v>
      </c>
      <c r="CH1293" s="52">
        <f t="shared" ca="1" si="8291"/>
        <v>-1047299.0653030727</v>
      </c>
      <c r="CI1293" s="52">
        <f t="shared" ca="1" si="8291"/>
        <v>-599229.66861643014</v>
      </c>
      <c r="CJ1293" s="52">
        <f t="shared" ca="1" si="8291"/>
        <v>-574785.01198494982</v>
      </c>
      <c r="CK1293" s="52">
        <f t="shared" ca="1" si="8291"/>
        <v>-868111.46621832193</v>
      </c>
      <c r="CL1293" s="52">
        <f t="shared" ca="1" si="8291"/>
        <v>-1089189.9072779571</v>
      </c>
      <c r="CM1293" s="52">
        <f t="shared" ca="1" si="8291"/>
        <v>-623197.72368175432</v>
      </c>
      <c r="CN1293" s="52">
        <f t="shared" ca="1" si="8291"/>
        <v>-591208.55888489971</v>
      </c>
      <c r="CO1293" s="52">
        <f t="shared" ca="1" si="8291"/>
        <v>-902837.06641358766</v>
      </c>
    </row>
    <row r="1294" spans="1:93">
      <c r="A1294" s="10"/>
      <c r="B1294" s="10"/>
      <c r="C1294" s="21" t="s">
        <v>751</v>
      </c>
      <c r="D1294" s="10"/>
      <c r="E1294" s="10"/>
      <c r="F1294" s="10"/>
      <c r="G1294" s="134" t="str">
        <f t="shared" si="8281"/>
        <v>тыс. руб.</v>
      </c>
      <c r="H1294" s="10"/>
      <c r="I1294" s="23">
        <f t="shared" ca="1" si="8285"/>
        <v>-234399.59558506194</v>
      </c>
      <c r="J1294" s="10"/>
      <c r="K1294" s="10"/>
      <c r="L1294" s="52">
        <f t="shared" ref="L1294:BW1294" ca="1" si="8292">SGA</f>
        <v>0</v>
      </c>
      <c r="M1294" s="52">
        <f t="shared" ca="1" si="8292"/>
        <v>0</v>
      </c>
      <c r="N1294" s="52">
        <f t="shared" ca="1" si="8292"/>
        <v>0</v>
      </c>
      <c r="O1294" s="52">
        <f t="shared" ca="1" si="8292"/>
        <v>0</v>
      </c>
      <c r="P1294" s="52">
        <f t="shared" ca="1" si="8292"/>
        <v>0</v>
      </c>
      <c r="Q1294" s="52">
        <f t="shared" ca="1" si="8292"/>
        <v>0</v>
      </c>
      <c r="R1294" s="52">
        <f t="shared" ca="1" si="8292"/>
        <v>0</v>
      </c>
      <c r="S1294" s="52">
        <f t="shared" ca="1" si="8292"/>
        <v>0</v>
      </c>
      <c r="T1294" s="52">
        <f t="shared" ca="1" si="8292"/>
        <v>0</v>
      </c>
      <c r="U1294" s="52">
        <f t="shared" ca="1" si="8292"/>
        <v>0</v>
      </c>
      <c r="V1294" s="52">
        <f t="shared" ca="1" si="8292"/>
        <v>0</v>
      </c>
      <c r="W1294" s="52">
        <f t="shared" ca="1" si="8292"/>
        <v>0</v>
      </c>
      <c r="X1294" s="52">
        <f t="shared" ca="1" si="8292"/>
        <v>0</v>
      </c>
      <c r="Y1294" s="52">
        <f t="shared" ca="1" si="8292"/>
        <v>0</v>
      </c>
      <c r="Z1294" s="52">
        <f t="shared" ca="1" si="8292"/>
        <v>0</v>
      </c>
      <c r="AA1294" s="52">
        <f t="shared" ca="1" si="8292"/>
        <v>0</v>
      </c>
      <c r="AB1294" s="52">
        <f t="shared" ca="1" si="8292"/>
        <v>0</v>
      </c>
      <c r="AC1294" s="52">
        <f t="shared" ca="1" si="8292"/>
        <v>-3596.4193556298515</v>
      </c>
      <c r="AD1294" s="52">
        <f t="shared" ca="1" si="8292"/>
        <v>-3635.9404474499602</v>
      </c>
      <c r="AE1294" s="52">
        <f t="shared" ca="1" si="8292"/>
        <v>-3635.9404474499602</v>
      </c>
      <c r="AF1294" s="52">
        <f t="shared" ca="1" si="8292"/>
        <v>-3556.8982638097432</v>
      </c>
      <c r="AG1294" s="52">
        <f t="shared" ca="1" si="8292"/>
        <v>-3596.4193556298515</v>
      </c>
      <c r="AH1294" s="52">
        <f t="shared" ca="1" si="8292"/>
        <v>-3635.9404474499602</v>
      </c>
      <c r="AI1294" s="52">
        <f t="shared" ca="1" si="8292"/>
        <v>-3635.9404474499602</v>
      </c>
      <c r="AJ1294" s="52">
        <f t="shared" ca="1" si="8292"/>
        <v>-3556.8982638097432</v>
      </c>
      <c r="AK1294" s="52">
        <f t="shared" ca="1" si="8292"/>
        <v>-3596.4193556298515</v>
      </c>
      <c r="AL1294" s="52">
        <f t="shared" ca="1" si="8292"/>
        <v>-3635.9404474499602</v>
      </c>
      <c r="AM1294" s="52">
        <f t="shared" ca="1" si="8292"/>
        <v>-3635.9404474499602</v>
      </c>
      <c r="AN1294" s="52">
        <f t="shared" ca="1" si="8292"/>
        <v>-3586.59307323742</v>
      </c>
      <c r="AO1294" s="52">
        <f t="shared" ca="1" si="8292"/>
        <v>-3586.59307323742</v>
      </c>
      <c r="AP1294" s="52">
        <f t="shared" ca="1" si="8292"/>
        <v>-3626.0061839323371</v>
      </c>
      <c r="AQ1294" s="52">
        <f t="shared" ca="1" si="8292"/>
        <v>-3626.0061839323371</v>
      </c>
      <c r="AR1294" s="52">
        <f t="shared" ca="1" si="8292"/>
        <v>-3556.8982638097432</v>
      </c>
      <c r="AS1294" s="52">
        <f t="shared" ca="1" si="8292"/>
        <v>-3596.4193556298515</v>
      </c>
      <c r="AT1294" s="52">
        <f t="shared" ca="1" si="8292"/>
        <v>-3635.9404474499602</v>
      </c>
      <c r="AU1294" s="52">
        <f t="shared" ca="1" si="8292"/>
        <v>-3635.9404474499602</v>
      </c>
      <c r="AV1294" s="52">
        <f t="shared" ca="1" si="8292"/>
        <v>-3556.8982638097432</v>
      </c>
      <c r="AW1294" s="52">
        <f t="shared" ca="1" si="8292"/>
        <v>-3596.4193556298515</v>
      </c>
      <c r="AX1294" s="52">
        <f t="shared" ca="1" si="8292"/>
        <v>-3635.9404474499602</v>
      </c>
      <c r="AY1294" s="52">
        <f t="shared" ca="1" si="8292"/>
        <v>-3635.9404474499602</v>
      </c>
      <c r="AZ1294" s="52">
        <f t="shared" ca="1" si="8292"/>
        <v>-3556.8982638097432</v>
      </c>
      <c r="BA1294" s="52">
        <f t="shared" ca="1" si="8292"/>
        <v>-3596.4193556298515</v>
      </c>
      <c r="BB1294" s="52">
        <f t="shared" ca="1" si="8292"/>
        <v>-3635.9404474499602</v>
      </c>
      <c r="BC1294" s="52">
        <f t="shared" ca="1" si="8292"/>
        <v>-3635.9404474499602</v>
      </c>
      <c r="BD1294" s="52">
        <f t="shared" ca="1" si="8292"/>
        <v>-3586.59307323742</v>
      </c>
      <c r="BE1294" s="52">
        <f t="shared" ca="1" si="8292"/>
        <v>-3586.59307323742</v>
      </c>
      <c r="BF1294" s="52">
        <f t="shared" ca="1" si="8292"/>
        <v>-3626.0061839323371</v>
      </c>
      <c r="BG1294" s="52">
        <f t="shared" ca="1" si="8292"/>
        <v>-3626.0061839323371</v>
      </c>
      <c r="BH1294" s="52">
        <f t="shared" ca="1" si="8292"/>
        <v>-3556.8982638097432</v>
      </c>
      <c r="BI1294" s="52">
        <f t="shared" ca="1" si="8292"/>
        <v>-3596.4193556298515</v>
      </c>
      <c r="BJ1294" s="52">
        <f t="shared" ca="1" si="8292"/>
        <v>-3635.9404474499602</v>
      </c>
      <c r="BK1294" s="52">
        <f t="shared" ca="1" si="8292"/>
        <v>-3635.9404474499602</v>
      </c>
      <c r="BL1294" s="52">
        <f t="shared" ca="1" si="8292"/>
        <v>-3556.8982638097432</v>
      </c>
      <c r="BM1294" s="52">
        <f t="shared" ca="1" si="8292"/>
        <v>-3596.4193556298515</v>
      </c>
      <c r="BN1294" s="52">
        <f t="shared" ca="1" si="8292"/>
        <v>-3635.9404474499602</v>
      </c>
      <c r="BO1294" s="52">
        <f t="shared" ca="1" si="8292"/>
        <v>-3635.9404474499602</v>
      </c>
      <c r="BP1294" s="52">
        <f t="shared" ca="1" si="8292"/>
        <v>-3556.8982638097432</v>
      </c>
      <c r="BQ1294" s="52">
        <f t="shared" ca="1" si="8292"/>
        <v>-3596.4193556298515</v>
      </c>
      <c r="BR1294" s="52">
        <f t="shared" ca="1" si="8292"/>
        <v>-3635.9404474499602</v>
      </c>
      <c r="BS1294" s="52">
        <f t="shared" ca="1" si="8292"/>
        <v>-3635.9404474499602</v>
      </c>
      <c r="BT1294" s="52">
        <f t="shared" ca="1" si="8292"/>
        <v>-3586.59307323742</v>
      </c>
      <c r="BU1294" s="52">
        <f t="shared" ca="1" si="8292"/>
        <v>-3586.59307323742</v>
      </c>
      <c r="BV1294" s="52">
        <f t="shared" ca="1" si="8292"/>
        <v>-3626.0061839323371</v>
      </c>
      <c r="BW1294" s="52">
        <f t="shared" ca="1" si="8292"/>
        <v>-3626.0061839323371</v>
      </c>
      <c r="BX1294" s="52">
        <f t="shared" ref="BX1294:CO1294" ca="1" si="8293">SGA</f>
        <v>-3556.8982638097432</v>
      </c>
      <c r="BY1294" s="52">
        <f t="shared" ca="1" si="8293"/>
        <v>-3596.4193556298515</v>
      </c>
      <c r="BZ1294" s="52">
        <f t="shared" ca="1" si="8293"/>
        <v>-3635.9404474499602</v>
      </c>
      <c r="CA1294" s="52">
        <f t="shared" ca="1" si="8293"/>
        <v>-3635.9404474499602</v>
      </c>
      <c r="CB1294" s="52">
        <f t="shared" ca="1" si="8293"/>
        <v>-3556.8982638097432</v>
      </c>
      <c r="CC1294" s="52">
        <f t="shared" ca="1" si="8293"/>
        <v>-3596.4193556298515</v>
      </c>
      <c r="CD1294" s="52">
        <f t="shared" ca="1" si="8293"/>
        <v>-3635.9404474499602</v>
      </c>
      <c r="CE1294" s="52">
        <f t="shared" ca="1" si="8293"/>
        <v>-3635.9404474499602</v>
      </c>
      <c r="CF1294" s="52">
        <f t="shared" ca="1" si="8293"/>
        <v>-3556.8982638097432</v>
      </c>
      <c r="CG1294" s="52">
        <f t="shared" ca="1" si="8293"/>
        <v>-3596.4193556298515</v>
      </c>
      <c r="CH1294" s="52">
        <f t="shared" ca="1" si="8293"/>
        <v>-3635.9404474499602</v>
      </c>
      <c r="CI1294" s="52">
        <f t="shared" ca="1" si="8293"/>
        <v>-3635.9404474499602</v>
      </c>
      <c r="CJ1294" s="52">
        <f t="shared" ca="1" si="8293"/>
        <v>-3586.59307323742</v>
      </c>
      <c r="CK1294" s="52">
        <f t="shared" ca="1" si="8293"/>
        <v>-3586.59307323742</v>
      </c>
      <c r="CL1294" s="52">
        <f t="shared" ca="1" si="8293"/>
        <v>-3626.0061839323371</v>
      </c>
      <c r="CM1294" s="52">
        <f t="shared" ca="1" si="8293"/>
        <v>-3626.0061839323371</v>
      </c>
      <c r="CN1294" s="52">
        <f t="shared" ca="1" si="8293"/>
        <v>-3556.8982638097432</v>
      </c>
      <c r="CO1294" s="52">
        <f t="shared" ca="1" si="8293"/>
        <v>-3596.4193556298515</v>
      </c>
    </row>
    <row r="1295" spans="1:93">
      <c r="A1295" s="10"/>
      <c r="B1295" s="10"/>
      <c r="C1295" s="21" t="s">
        <v>56</v>
      </c>
      <c r="D1295" s="10"/>
      <c r="E1295" s="10"/>
      <c r="F1295" s="10"/>
      <c r="G1295" s="134" t="str">
        <f t="shared" si="8281"/>
        <v>тыс. руб.</v>
      </c>
      <c r="H1295" s="10"/>
      <c r="I1295" s="23">
        <f t="shared" si="8285"/>
        <v>-20126.474624454266</v>
      </c>
      <c r="J1295" s="10"/>
      <c r="K1295" s="10"/>
      <c r="L1295" s="52">
        <f t="shared" ref="L1295:BW1295" si="8294">Bank_Fees</f>
        <v>0</v>
      </c>
      <c r="M1295" s="52">
        <f t="shared" si="8294"/>
        <v>0</v>
      </c>
      <c r="N1295" s="52">
        <f t="shared" si="8294"/>
        <v>0</v>
      </c>
      <c r="O1295" s="52">
        <f t="shared" si="8294"/>
        <v>0</v>
      </c>
      <c r="P1295" s="52">
        <f t="shared" si="8294"/>
        <v>0</v>
      </c>
      <c r="Q1295" s="52">
        <f t="shared" si="8294"/>
        <v>0</v>
      </c>
      <c r="R1295" s="52">
        <f t="shared" si="8294"/>
        <v>0</v>
      </c>
      <c r="S1295" s="52">
        <f t="shared" si="8294"/>
        <v>0</v>
      </c>
      <c r="T1295" s="52">
        <f t="shared" si="8294"/>
        <v>-3345.7721709148877</v>
      </c>
      <c r="U1295" s="52">
        <f t="shared" si="8294"/>
        <v>-3168.5750091153564</v>
      </c>
      <c r="V1295" s="52">
        <f t="shared" si="8294"/>
        <v>-2984.5308552565393</v>
      </c>
      <c r="W1295" s="52">
        <f t="shared" si="8294"/>
        <v>-2763.5106431876575</v>
      </c>
      <c r="X1295" s="52">
        <f t="shared" si="8294"/>
        <v>-2505.8352333099388</v>
      </c>
      <c r="Y1295" s="52">
        <f t="shared" si="8294"/>
        <v>-2041.5022126606673</v>
      </c>
      <c r="Z1295" s="52">
        <f t="shared" si="8294"/>
        <v>-1589.8751819626839</v>
      </c>
      <c r="AA1295" s="52">
        <f t="shared" si="8294"/>
        <v>-1111.1429440619313</v>
      </c>
      <c r="AB1295" s="52">
        <f t="shared" si="8294"/>
        <v>-615.73037398460076</v>
      </c>
      <c r="AC1295" s="52">
        <f t="shared" si="8294"/>
        <v>0</v>
      </c>
      <c r="AD1295" s="52">
        <f t="shared" si="8294"/>
        <v>0</v>
      </c>
      <c r="AE1295" s="52">
        <f t="shared" si="8294"/>
        <v>0</v>
      </c>
      <c r="AF1295" s="52">
        <f t="shared" si="8294"/>
        <v>0</v>
      </c>
      <c r="AG1295" s="52">
        <f t="shared" si="8294"/>
        <v>0</v>
      </c>
      <c r="AH1295" s="52">
        <f t="shared" si="8294"/>
        <v>0</v>
      </c>
      <c r="AI1295" s="52">
        <f t="shared" si="8294"/>
        <v>0</v>
      </c>
      <c r="AJ1295" s="52">
        <f t="shared" si="8294"/>
        <v>0</v>
      </c>
      <c r="AK1295" s="52">
        <f t="shared" si="8294"/>
        <v>0</v>
      </c>
      <c r="AL1295" s="52">
        <f t="shared" si="8294"/>
        <v>0</v>
      </c>
      <c r="AM1295" s="52">
        <f t="shared" si="8294"/>
        <v>0</v>
      </c>
      <c r="AN1295" s="52">
        <f t="shared" si="8294"/>
        <v>0</v>
      </c>
      <c r="AO1295" s="52">
        <f t="shared" si="8294"/>
        <v>0</v>
      </c>
      <c r="AP1295" s="52">
        <f t="shared" si="8294"/>
        <v>0</v>
      </c>
      <c r="AQ1295" s="52">
        <f t="shared" si="8294"/>
        <v>0</v>
      </c>
      <c r="AR1295" s="52">
        <f t="shared" si="8294"/>
        <v>0</v>
      </c>
      <c r="AS1295" s="52">
        <f t="shared" si="8294"/>
        <v>0</v>
      </c>
      <c r="AT1295" s="52">
        <f t="shared" si="8294"/>
        <v>0</v>
      </c>
      <c r="AU1295" s="52">
        <f t="shared" si="8294"/>
        <v>0</v>
      </c>
      <c r="AV1295" s="52">
        <f t="shared" si="8294"/>
        <v>0</v>
      </c>
      <c r="AW1295" s="52">
        <f t="shared" si="8294"/>
        <v>0</v>
      </c>
      <c r="AX1295" s="52">
        <f t="shared" si="8294"/>
        <v>0</v>
      </c>
      <c r="AY1295" s="52">
        <f t="shared" si="8294"/>
        <v>0</v>
      </c>
      <c r="AZ1295" s="52">
        <f t="shared" si="8294"/>
        <v>0</v>
      </c>
      <c r="BA1295" s="52">
        <f t="shared" si="8294"/>
        <v>0</v>
      </c>
      <c r="BB1295" s="52">
        <f t="shared" si="8294"/>
        <v>0</v>
      </c>
      <c r="BC1295" s="52">
        <f t="shared" si="8294"/>
        <v>0</v>
      </c>
      <c r="BD1295" s="52">
        <f t="shared" si="8294"/>
        <v>0</v>
      </c>
      <c r="BE1295" s="52">
        <f t="shared" si="8294"/>
        <v>0</v>
      </c>
      <c r="BF1295" s="52">
        <f t="shared" si="8294"/>
        <v>0</v>
      </c>
      <c r="BG1295" s="52">
        <f t="shared" si="8294"/>
        <v>0</v>
      </c>
      <c r="BH1295" s="52">
        <f t="shared" si="8294"/>
        <v>0</v>
      </c>
      <c r="BI1295" s="52">
        <f t="shared" si="8294"/>
        <v>0</v>
      </c>
      <c r="BJ1295" s="52">
        <f t="shared" si="8294"/>
        <v>0</v>
      </c>
      <c r="BK1295" s="52">
        <f t="shared" si="8294"/>
        <v>0</v>
      </c>
      <c r="BL1295" s="52">
        <f t="shared" si="8294"/>
        <v>0</v>
      </c>
      <c r="BM1295" s="52">
        <f t="shared" si="8294"/>
        <v>0</v>
      </c>
      <c r="BN1295" s="52">
        <f t="shared" si="8294"/>
        <v>0</v>
      </c>
      <c r="BO1295" s="52">
        <f t="shared" si="8294"/>
        <v>0</v>
      </c>
      <c r="BP1295" s="52">
        <f t="shared" si="8294"/>
        <v>0</v>
      </c>
      <c r="BQ1295" s="52">
        <f t="shared" si="8294"/>
        <v>0</v>
      </c>
      <c r="BR1295" s="52">
        <f t="shared" si="8294"/>
        <v>0</v>
      </c>
      <c r="BS1295" s="52">
        <f t="shared" si="8294"/>
        <v>0</v>
      </c>
      <c r="BT1295" s="52">
        <f t="shared" si="8294"/>
        <v>0</v>
      </c>
      <c r="BU1295" s="52">
        <f t="shared" si="8294"/>
        <v>0</v>
      </c>
      <c r="BV1295" s="52">
        <f t="shared" si="8294"/>
        <v>0</v>
      </c>
      <c r="BW1295" s="52">
        <f t="shared" si="8294"/>
        <v>0</v>
      </c>
      <c r="BX1295" s="52">
        <f t="shared" ref="BX1295:CO1295" si="8295">Bank_Fees</f>
        <v>0</v>
      </c>
      <c r="BY1295" s="52">
        <f t="shared" si="8295"/>
        <v>0</v>
      </c>
      <c r="BZ1295" s="52">
        <f t="shared" si="8295"/>
        <v>0</v>
      </c>
      <c r="CA1295" s="52">
        <f t="shared" si="8295"/>
        <v>0</v>
      </c>
      <c r="CB1295" s="52">
        <f t="shared" si="8295"/>
        <v>0</v>
      </c>
      <c r="CC1295" s="52">
        <f t="shared" si="8295"/>
        <v>0</v>
      </c>
      <c r="CD1295" s="52">
        <f t="shared" si="8295"/>
        <v>0</v>
      </c>
      <c r="CE1295" s="52">
        <f t="shared" si="8295"/>
        <v>0</v>
      </c>
      <c r="CF1295" s="52">
        <f t="shared" si="8295"/>
        <v>0</v>
      </c>
      <c r="CG1295" s="52">
        <f t="shared" si="8295"/>
        <v>0</v>
      </c>
      <c r="CH1295" s="52">
        <f t="shared" si="8295"/>
        <v>0</v>
      </c>
      <c r="CI1295" s="52">
        <f t="shared" si="8295"/>
        <v>0</v>
      </c>
      <c r="CJ1295" s="52">
        <f t="shared" si="8295"/>
        <v>0</v>
      </c>
      <c r="CK1295" s="52">
        <f t="shared" si="8295"/>
        <v>0</v>
      </c>
      <c r="CL1295" s="52">
        <f t="shared" si="8295"/>
        <v>0</v>
      </c>
      <c r="CM1295" s="52">
        <f t="shared" si="8295"/>
        <v>0</v>
      </c>
      <c r="CN1295" s="52">
        <f t="shared" si="8295"/>
        <v>0</v>
      </c>
      <c r="CO1295" s="52">
        <f t="shared" si="8295"/>
        <v>0</v>
      </c>
    </row>
    <row r="1296" spans="1:93">
      <c r="A1296" s="10"/>
      <c r="B1296" s="10"/>
      <c r="C1296" s="416" t="s">
        <v>402</v>
      </c>
      <c r="D1296" s="10"/>
      <c r="E1296" s="10"/>
      <c r="F1296" s="10"/>
      <c r="G1296" s="134" t="str">
        <f t="shared" si="8281"/>
        <v>тыс. руб.</v>
      </c>
      <c r="H1296" s="10"/>
      <c r="I1296" s="23">
        <f t="shared" ca="1" si="8285"/>
        <v>122805.22200197342</v>
      </c>
      <c r="J1296" s="10"/>
      <c r="K1296" s="10"/>
      <c r="L1296" s="52">
        <f t="shared" ref="L1296:BW1296" ca="1" si="8296">VAT_Cash_Flow</f>
        <v>-5234.3588965478193</v>
      </c>
      <c r="M1296" s="52">
        <f t="shared" ca="1" si="8296"/>
        <v>-5308.6600317512566</v>
      </c>
      <c r="N1296" s="52">
        <f t="shared" ca="1" si="8296"/>
        <v>-5384.015863203389</v>
      </c>
      <c r="O1296" s="52">
        <f t="shared" ca="1" si="8296"/>
        <v>-5460.4413621987187</v>
      </c>
      <c r="P1296" s="52">
        <f t="shared" ca="1" si="8296"/>
        <v>-45931.910967999196</v>
      </c>
      <c r="Q1296" s="52">
        <f t="shared" ca="1" si="8296"/>
        <v>-46384.496760337934</v>
      </c>
      <c r="R1296" s="52">
        <f t="shared" ca="1" si="8296"/>
        <v>-46841.542064486872</v>
      </c>
      <c r="S1296" s="52">
        <f t="shared" ca="1" si="8296"/>
        <v>-47303.090821828868</v>
      </c>
      <c r="T1296" s="52">
        <f t="shared" ca="1" si="8296"/>
        <v>-47769.187406719167</v>
      </c>
      <c r="U1296" s="52">
        <f t="shared" ca="1" si="8296"/>
        <v>-48239.876630751445</v>
      </c>
      <c r="V1296" s="52">
        <f t="shared" ca="1" si="8296"/>
        <v>-48715.20374706632</v>
      </c>
      <c r="W1296" s="52">
        <f t="shared" ca="1" si="8296"/>
        <v>-49195.214454702043</v>
      </c>
      <c r="X1296" s="52">
        <f t="shared" ca="1" si="8296"/>
        <v>-103752.06688500196</v>
      </c>
      <c r="Y1296" s="52">
        <f t="shared" ca="1" si="8296"/>
        <v>-104774.37818031572</v>
      </c>
      <c r="Z1296" s="52">
        <f t="shared" ca="1" si="8296"/>
        <v>-105806.76272444171</v>
      </c>
      <c r="AA1296" s="52">
        <f t="shared" ca="1" si="8296"/>
        <v>-106849.31977319589</v>
      </c>
      <c r="AB1296" s="52">
        <f t="shared" ca="1" si="8296"/>
        <v>-138729.3743854193</v>
      </c>
      <c r="AC1296" s="52">
        <f t="shared" ca="1" si="8296"/>
        <v>795292.67184082465</v>
      </c>
      <c r="AD1296" s="52">
        <f t="shared" ca="1" si="8296"/>
        <v>102752.17962665751</v>
      </c>
      <c r="AE1296" s="52">
        <f t="shared" ca="1" si="8296"/>
        <v>6324.8550992254313</v>
      </c>
      <c r="AF1296" s="52">
        <f t="shared" ca="1" si="8296"/>
        <v>15041.684506971134</v>
      </c>
      <c r="AG1296" s="52">
        <f t="shared" ca="1" si="8296"/>
        <v>-11685.653784310161</v>
      </c>
      <c r="AH1296" s="52">
        <f t="shared" ca="1" si="8296"/>
        <v>-21819.188282335046</v>
      </c>
      <c r="AI1296" s="52">
        <f t="shared" ca="1" si="8296"/>
        <v>7778.7500474506378</v>
      </c>
      <c r="AJ1296" s="52">
        <f t="shared" ca="1" si="8296"/>
        <v>18085.011595617747</v>
      </c>
      <c r="AK1296" s="52">
        <f t="shared" ca="1" si="8296"/>
        <v>-13524.160059774644</v>
      </c>
      <c r="AL1296" s="52">
        <f t="shared" ca="1" si="8296"/>
        <v>-25347.152161396705</v>
      </c>
      <c r="AM1296" s="52">
        <f t="shared" ca="1" si="8296"/>
        <v>9338.8368233751535</v>
      </c>
      <c r="AN1296" s="52">
        <f t="shared" ca="1" si="8296"/>
        <v>21029.328368872833</v>
      </c>
      <c r="AO1296" s="52">
        <f t="shared" ca="1" si="8296"/>
        <v>-15490.912674568193</v>
      </c>
      <c r="AP1296" s="52">
        <f t="shared" ca="1" si="8296"/>
        <v>-27360.384990569291</v>
      </c>
      <c r="AQ1296" s="52">
        <f t="shared" ca="1" si="8296"/>
        <v>12662.666886245715</v>
      </c>
      <c r="AR1296" s="52">
        <f t="shared" ca="1" si="8296"/>
        <v>25748.747842885976</v>
      </c>
      <c r="AS1296" s="52">
        <f t="shared" ca="1" si="8296"/>
        <v>-14459.455058697989</v>
      </c>
      <c r="AT1296" s="52">
        <f t="shared" ca="1" si="8296"/>
        <v>-28002.809260666356</v>
      </c>
      <c r="AU1296" s="52">
        <f t="shared" ca="1" si="8296"/>
        <v>13169.169139551756</v>
      </c>
      <c r="AV1296" s="52">
        <f t="shared" ca="1" si="8296"/>
        <v>26778.843345517751</v>
      </c>
      <c r="AW1296" s="52">
        <f t="shared" ca="1" si="8296"/>
        <v>113315.68882010193</v>
      </c>
      <c r="AX1296" s="52">
        <f t="shared" ca="1" si="8296"/>
        <v>52159.609287581647</v>
      </c>
      <c r="AY1296" s="52">
        <f t="shared" ca="1" si="8296"/>
        <v>-42870.486806150671</v>
      </c>
      <c r="AZ1296" s="52">
        <f t="shared" ca="1" si="8296"/>
        <v>-2941.8516133672383</v>
      </c>
      <c r="BA1296" s="52">
        <f t="shared" ca="1" si="8296"/>
        <v>28666.720146155043</v>
      </c>
      <c r="BB1296" s="52">
        <f t="shared" ca="1" si="8296"/>
        <v>21149.955313466562</v>
      </c>
      <c r="BC1296" s="52">
        <f t="shared" ca="1" si="8296"/>
        <v>-44585.306278396616</v>
      </c>
      <c r="BD1296" s="52">
        <f t="shared" ca="1" si="8296"/>
        <v>-2431.9453794303263</v>
      </c>
      <c r="BE1296" s="52">
        <f t="shared" ca="1" si="8296"/>
        <v>29185.969060620017</v>
      </c>
      <c r="BF1296" s="52">
        <f t="shared" ca="1" si="8296"/>
        <v>21995.956886645596</v>
      </c>
      <c r="BG1296" s="52">
        <f t="shared" ca="1" si="8296"/>
        <v>-46368.716915862504</v>
      </c>
      <c r="BH1296" s="52">
        <f t="shared" ca="1" si="8296"/>
        <v>-3182.0720864187897</v>
      </c>
      <c r="BI1296" s="52">
        <f t="shared" ca="1" si="8296"/>
        <v>31005.924510081284</v>
      </c>
      <c r="BJ1296" s="52">
        <f t="shared" ca="1" si="8296"/>
        <v>22875.791667045443</v>
      </c>
      <c r="BK1296" s="52">
        <f t="shared" ca="1" si="8296"/>
        <v>-48223.467270713765</v>
      </c>
      <c r="BL1296" s="52">
        <f t="shared" ca="1" si="8296"/>
        <v>-3309.1829732187325</v>
      </c>
      <c r="BM1296" s="52">
        <f t="shared" ca="1" si="8296"/>
        <v>32246.161490484519</v>
      </c>
      <c r="BN1296" s="52">
        <f t="shared" ca="1" si="8296"/>
        <v>23790.823333727283</v>
      </c>
      <c r="BO1296" s="52">
        <f t="shared" ca="1" si="8296"/>
        <v>-50152.40596154239</v>
      </c>
      <c r="BP1296" s="52">
        <f t="shared" ca="1" si="8296"/>
        <v>-3441.550292147469</v>
      </c>
      <c r="BQ1296" s="52">
        <f t="shared" ca="1" si="8296"/>
        <v>33536.007950103871</v>
      </c>
      <c r="BR1296" s="52">
        <f t="shared" ca="1" si="8296"/>
        <v>24742.456267076399</v>
      </c>
      <c r="BS1296" s="52">
        <f t="shared" ca="1" si="8296"/>
        <v>-52158.502200004092</v>
      </c>
      <c r="BT1296" s="52">
        <f t="shared" ca="1" si="8296"/>
        <v>-2845.0321195789875</v>
      </c>
      <c r="BU1296" s="52">
        <f t="shared" ca="1" si="8296"/>
        <v>34143.455737461496</v>
      </c>
      <c r="BV1296" s="52">
        <f t="shared" ca="1" si="8296"/>
        <v>25732.158449233219</v>
      </c>
      <c r="BW1296" s="52">
        <f t="shared" ca="1" si="8296"/>
        <v>-54244.840400238492</v>
      </c>
      <c r="BX1296" s="52">
        <f t="shared" ref="BX1296:CO1296" ca="1" si="8297">VAT_Cash_Flow</f>
        <v>-3722.5742688340397</v>
      </c>
      <c r="BY1296" s="52">
        <f t="shared" ca="1" si="8297"/>
        <v>36272.546198832322</v>
      </c>
      <c r="BZ1296" s="52">
        <f t="shared" ca="1" si="8297"/>
        <v>26761.440698469785</v>
      </c>
      <c r="CA1296" s="52">
        <f t="shared" ca="1" si="8297"/>
        <v>-56414.635979524319</v>
      </c>
      <c r="CB1296" s="52">
        <f t="shared" ca="1" si="8297"/>
        <v>-3871.2760278261849</v>
      </c>
      <c r="CC1296" s="52">
        <f t="shared" ca="1" si="8297"/>
        <v>37723.448046785692</v>
      </c>
      <c r="CD1296" s="52">
        <f t="shared" ca="1" si="8297"/>
        <v>27831.898326408584</v>
      </c>
      <c r="CE1296" s="52">
        <f t="shared" ca="1" si="8297"/>
        <v>-58671.221418705361</v>
      </c>
      <c r="CF1296" s="52">
        <f t="shared" ca="1" si="8297"/>
        <v>-4026.1270689392404</v>
      </c>
      <c r="CG1296" s="52">
        <f t="shared" ca="1" si="8297"/>
        <v>39232.38596865708</v>
      </c>
      <c r="CH1296" s="52">
        <f t="shared" ca="1" si="8297"/>
        <v>28945.174259464882</v>
      </c>
      <c r="CI1296" s="52">
        <f t="shared" ca="1" si="8297"/>
        <v>-61018.070275453501</v>
      </c>
      <c r="CJ1296" s="52">
        <f t="shared" ca="1" si="8297"/>
        <v>-3328.2851785645034</v>
      </c>
      <c r="CK1296" s="52">
        <f t="shared" ca="1" si="8297"/>
        <v>39943.013962450466</v>
      </c>
      <c r="CL1296" s="52">
        <f t="shared" ca="1" si="8297"/>
        <v>30102.985829111756</v>
      </c>
      <c r="CM1296" s="52">
        <f t="shared" ca="1" si="8297"/>
        <v>-63458.790878052765</v>
      </c>
      <c r="CN1296" s="52">
        <f t="shared" ca="1" si="8297"/>
        <v>-4354.8853736312303</v>
      </c>
      <c r="CO1296" s="52">
        <f t="shared" ca="1" si="8297"/>
        <v>42433.748663699458</v>
      </c>
    </row>
    <row r="1297" spans="1:93" ht="15" thickBot="1">
      <c r="A1297" s="10"/>
      <c r="B1297" s="10"/>
      <c r="C1297" s="21" t="s">
        <v>457</v>
      </c>
      <c r="D1297" s="10"/>
      <c r="E1297" s="10"/>
      <c r="F1297" s="10"/>
      <c r="G1297" s="134" t="str">
        <f t="shared" si="8281"/>
        <v>тыс. руб.</v>
      </c>
      <c r="H1297" s="10"/>
      <c r="I1297" s="23">
        <f t="shared" ca="1" si="8285"/>
        <v>-259956.36399098195</v>
      </c>
      <c r="J1297" s="10"/>
      <c r="K1297" s="10"/>
      <c r="L1297" s="52">
        <f t="shared" ref="L1297:BW1297" ca="1" si="8298">WC_Cash_Flow</f>
        <v>0</v>
      </c>
      <c r="M1297" s="52">
        <f t="shared" ca="1" si="8298"/>
        <v>0</v>
      </c>
      <c r="N1297" s="52">
        <f t="shared" ca="1" si="8298"/>
        <v>0</v>
      </c>
      <c r="O1297" s="52">
        <f t="shared" ca="1" si="8298"/>
        <v>0</v>
      </c>
      <c r="P1297" s="52">
        <f t="shared" ca="1" si="8298"/>
        <v>0</v>
      </c>
      <c r="Q1297" s="52">
        <f t="shared" ca="1" si="8298"/>
        <v>0</v>
      </c>
      <c r="R1297" s="52">
        <f t="shared" ca="1" si="8298"/>
        <v>0</v>
      </c>
      <c r="S1297" s="52">
        <f t="shared" ca="1" si="8298"/>
        <v>0</v>
      </c>
      <c r="T1297" s="52">
        <f t="shared" ca="1" si="8298"/>
        <v>0</v>
      </c>
      <c r="U1297" s="52">
        <f t="shared" ca="1" si="8298"/>
        <v>0</v>
      </c>
      <c r="V1297" s="52">
        <f t="shared" ca="1" si="8298"/>
        <v>0</v>
      </c>
      <c r="W1297" s="52">
        <f t="shared" ca="1" si="8298"/>
        <v>0</v>
      </c>
      <c r="X1297" s="52">
        <f t="shared" ca="1" si="8298"/>
        <v>0</v>
      </c>
      <c r="Y1297" s="52">
        <f t="shared" ca="1" si="8298"/>
        <v>0</v>
      </c>
      <c r="Z1297" s="52">
        <f t="shared" ca="1" si="8298"/>
        <v>0</v>
      </c>
      <c r="AA1297" s="52">
        <f t="shared" ca="1" si="8298"/>
        <v>0</v>
      </c>
      <c r="AB1297" s="52">
        <f t="shared" ca="1" si="8298"/>
        <v>0</v>
      </c>
      <c r="AC1297" s="52">
        <f t="shared" ca="1" si="8298"/>
        <v>-121828.76625646069</v>
      </c>
      <c r="AD1297" s="52">
        <f t="shared" ca="1" si="8298"/>
        <v>-34987.597426641441</v>
      </c>
      <c r="AE1297" s="52">
        <f t="shared" ca="1" si="8298"/>
        <v>63929.070751712134</v>
      </c>
      <c r="AF1297" s="52">
        <f t="shared" ca="1" si="8298"/>
        <v>-293.37772714710445</v>
      </c>
      <c r="AG1297" s="52">
        <f t="shared" ca="1" si="8298"/>
        <v>-52297.565875992674</v>
      </c>
      <c r="AH1297" s="52">
        <f t="shared" ca="1" si="8298"/>
        <v>-40914.729640385252</v>
      </c>
      <c r="AI1297" s="52">
        <f t="shared" ca="1" si="8298"/>
        <v>76460.280485939467</v>
      </c>
      <c r="AJ1297" s="52">
        <f t="shared" ca="1" si="8298"/>
        <v>98.484251999761909</v>
      </c>
      <c r="AK1297" s="52">
        <f t="shared" ca="1" si="8298"/>
        <v>-60990.536971858121</v>
      </c>
      <c r="AL1297" s="52">
        <f t="shared" ca="1" si="8298"/>
        <v>-47260.052275345603</v>
      </c>
      <c r="AM1297" s="52">
        <f t="shared" ca="1" si="8298"/>
        <v>89891.700485701382</v>
      </c>
      <c r="AN1297" s="52">
        <f t="shared" ca="1" si="8298"/>
        <v>522.05268826289102</v>
      </c>
      <c r="AO1297" s="52">
        <f t="shared" ca="1" si="8298"/>
        <v>-70295.270752642537</v>
      </c>
      <c r="AP1297" s="52">
        <f t="shared" ca="1" si="8298"/>
        <v>-47746.150743004575</v>
      </c>
      <c r="AQ1297" s="52">
        <f t="shared" ca="1" si="8298"/>
        <v>105182.71947060019</v>
      </c>
      <c r="AR1297" s="52">
        <f t="shared" ca="1" si="8298"/>
        <v>4256.704317794065</v>
      </c>
      <c r="AS1297" s="52">
        <f t="shared" ca="1" si="8298"/>
        <v>-69611.807847343909</v>
      </c>
      <c r="AT1297" s="52">
        <f t="shared" ca="1" si="8298"/>
        <v>-49655.995614668354</v>
      </c>
      <c r="AU1297" s="52">
        <f t="shared" ca="1" si="8298"/>
        <v>109390.02941889165</v>
      </c>
      <c r="AV1297" s="52">
        <f t="shared" ca="1" si="8298"/>
        <v>4426.8526344216079</v>
      </c>
      <c r="AW1297" s="52">
        <f t="shared" ca="1" si="8298"/>
        <v>-27138.740460894944</v>
      </c>
      <c r="AX1297" s="52">
        <f t="shared" ca="1" si="8298"/>
        <v>-40729.057438868564</v>
      </c>
      <c r="AY1297" s="52">
        <f t="shared" ca="1" si="8298"/>
        <v>89724.666621566168</v>
      </c>
      <c r="AZ1297" s="52">
        <f t="shared" ca="1" si="8298"/>
        <v>3631.1156881273491</v>
      </c>
      <c r="BA1297" s="52">
        <f t="shared" ca="1" si="8298"/>
        <v>-59381.232754307508</v>
      </c>
      <c r="BB1297" s="52">
        <f t="shared" ca="1" si="8298"/>
        <v>-42358.219736423169</v>
      </c>
      <c r="BC1297" s="52">
        <f t="shared" ca="1" si="8298"/>
        <v>93313.653286428773</v>
      </c>
      <c r="BD1297" s="52">
        <f t="shared" ca="1" si="8298"/>
        <v>3776.2294019522378</v>
      </c>
      <c r="BE1297" s="52">
        <f t="shared" ca="1" si="8298"/>
        <v>-61756.483354425523</v>
      </c>
      <c r="BF1297" s="52">
        <f t="shared" ca="1" si="8298"/>
        <v>-44052.549828536459</v>
      </c>
      <c r="BG1297" s="52">
        <f t="shared" ca="1" si="8298"/>
        <v>97046.198102394235</v>
      </c>
      <c r="BH1297" s="52">
        <f t="shared" ca="1" si="8298"/>
        <v>3927.5495500724646</v>
      </c>
      <c r="BI1297" s="52">
        <f t="shared" ca="1" si="8298"/>
        <v>-64226.741347058734</v>
      </c>
      <c r="BJ1297" s="52">
        <f t="shared" ca="1" si="8298"/>
        <v>-45814.650466915453</v>
      </c>
      <c r="BK1297" s="52">
        <f t="shared" ca="1" si="8298"/>
        <v>100928.0473946014</v>
      </c>
      <c r="BL1297" s="52">
        <f t="shared" ca="1" si="8298"/>
        <v>4084.5113174094586</v>
      </c>
      <c r="BM1297" s="52">
        <f t="shared" ca="1" si="8298"/>
        <v>-66795.811000941321</v>
      </c>
      <c r="BN1297" s="52">
        <f t="shared" ca="1" si="8298"/>
        <v>-47647.236485591624</v>
      </c>
      <c r="BO1297" s="52">
        <f t="shared" ca="1" si="8298"/>
        <v>104965.16929038509</v>
      </c>
      <c r="BP1297" s="52">
        <f t="shared" ca="1" si="8298"/>
        <v>4247.8917701060418</v>
      </c>
      <c r="BQ1297" s="52">
        <f t="shared" ca="1" si="8298"/>
        <v>-69467.643440978718</v>
      </c>
      <c r="BR1297" s="52">
        <f t="shared" ca="1" si="8298"/>
        <v>-49553.125945015578</v>
      </c>
      <c r="BS1297" s="52">
        <f t="shared" ca="1" si="8298"/>
        <v>109163.77606200078</v>
      </c>
      <c r="BT1297" s="52">
        <f t="shared" ca="1" si="8298"/>
        <v>4417.6542903974769</v>
      </c>
      <c r="BU1297" s="52">
        <f t="shared" ca="1" si="8298"/>
        <v>-72246.350687671977</v>
      </c>
      <c r="BV1297" s="52">
        <f t="shared" ca="1" si="8298"/>
        <v>-51535.252506739693</v>
      </c>
      <c r="BW1297" s="52">
        <f t="shared" ca="1" si="8298"/>
        <v>113530.32556554116</v>
      </c>
      <c r="BX1297" s="52">
        <f t="shared" ref="BX1297:CO1297" ca="1" si="8299">WC_Cash_Flow</f>
        <v>4594.6774609764107</v>
      </c>
      <c r="BY1297" s="52">
        <f t="shared" ca="1" si="8299"/>
        <v>-75136.203145762556</v>
      </c>
      <c r="BZ1297" s="52">
        <f t="shared" ca="1" si="8299"/>
        <v>-53596.661022128887</v>
      </c>
      <c r="CA1297" s="52">
        <f t="shared" ca="1" si="8299"/>
        <v>118071.5401886598</v>
      </c>
      <c r="CB1297" s="52">
        <f t="shared" ca="1" si="8299"/>
        <v>4778.3005280884681</v>
      </c>
      <c r="CC1297" s="52">
        <f t="shared" ca="1" si="8299"/>
        <v>-78141.651271592942</v>
      </c>
      <c r="CD1297" s="52">
        <f t="shared" ca="1" si="8299"/>
        <v>-55740.527463013772</v>
      </c>
      <c r="CE1297" s="52">
        <f t="shared" ca="1" si="8299"/>
        <v>122794.40179620578</v>
      </c>
      <c r="CF1297" s="52">
        <f t="shared" ca="1" si="8299"/>
        <v>4969.4325492122443</v>
      </c>
      <c r="CG1297" s="52">
        <f t="shared" ca="1" si="8299"/>
        <v>-81267.317322456976</v>
      </c>
      <c r="CH1297" s="52">
        <f t="shared" ca="1" si="8299"/>
        <v>-57970.148561534588</v>
      </c>
      <c r="CI1297" s="52">
        <f t="shared" ca="1" si="8299"/>
        <v>127706.17786805471</v>
      </c>
      <c r="CJ1297" s="52">
        <f t="shared" ca="1" si="8299"/>
        <v>5168.0306867422769</v>
      </c>
      <c r="CK1297" s="52">
        <f t="shared" ca="1" si="8299"/>
        <v>-84518.011780735222</v>
      </c>
      <c r="CL1297" s="52">
        <f t="shared" ca="1" si="8299"/>
        <v>-60288.956286770757</v>
      </c>
      <c r="CM1297" s="52">
        <f t="shared" ca="1" si="8299"/>
        <v>132814.4231824351</v>
      </c>
      <c r="CN1297" s="52">
        <f t="shared" ca="1" si="8299"/>
        <v>5375.1227581623243</v>
      </c>
      <c r="CO1297" s="52">
        <f t="shared" ca="1" si="8299"/>
        <v>-87898.730415969621</v>
      </c>
    </row>
    <row r="1298" spans="1:93" ht="15" thickTop="1">
      <c r="A1298" s="35"/>
      <c r="B1298" s="35"/>
      <c r="C1298" s="208" t="s">
        <v>198</v>
      </c>
      <c r="D1298" s="49"/>
      <c r="E1298" s="49"/>
      <c r="F1298" s="49"/>
      <c r="G1298" s="137" t="str">
        <f t="shared" si="8281"/>
        <v>тыс. руб.</v>
      </c>
      <c r="H1298" s="49"/>
      <c r="I1298" s="49"/>
      <c r="J1298" s="49"/>
      <c r="K1298" s="49"/>
      <c r="L1298" s="174">
        <f t="shared" ref="L1298:BW1298" ca="1" si="8300">SUM(L1290:L1297)</f>
        <v>-31406.153379286916</v>
      </c>
      <c r="M1298" s="174">
        <f t="shared" ca="1" si="8300"/>
        <v>-31851.960190507532</v>
      </c>
      <c r="N1298" s="174">
        <f t="shared" ca="1" si="8300"/>
        <v>-32304.095179220327</v>
      </c>
      <c r="O1298" s="174">
        <f t="shared" ca="1" si="8300"/>
        <v>-32762.648173192309</v>
      </c>
      <c r="P1298" s="174">
        <f t="shared" ca="1" si="8300"/>
        <v>-275591.46580799518</v>
      </c>
      <c r="Q1298" s="174">
        <f t="shared" ca="1" si="8300"/>
        <v>-278306.9805620276</v>
      </c>
      <c r="R1298" s="174">
        <f t="shared" ca="1" si="8300"/>
        <v>-281049.25238692126</v>
      </c>
      <c r="S1298" s="174">
        <f t="shared" ca="1" si="8300"/>
        <v>-283818.54493097326</v>
      </c>
      <c r="T1298" s="174">
        <f t="shared" ca="1" si="8300"/>
        <v>-289960.89661122987</v>
      </c>
      <c r="U1298" s="174">
        <f t="shared" ca="1" si="8300"/>
        <v>-292607.834793624</v>
      </c>
      <c r="V1298" s="174">
        <f t="shared" ca="1" si="8300"/>
        <v>-295275.75333765452</v>
      </c>
      <c r="W1298" s="174">
        <f t="shared" ca="1" si="8300"/>
        <v>-297934.79737139982</v>
      </c>
      <c r="X1298" s="174">
        <f t="shared" ca="1" si="8300"/>
        <v>-625018.23654332163</v>
      </c>
      <c r="Y1298" s="174">
        <f t="shared" ca="1" si="8300"/>
        <v>-630687.77129455493</v>
      </c>
      <c r="Z1298" s="174">
        <f t="shared" ca="1" si="8300"/>
        <v>-636430.45152861311</v>
      </c>
      <c r="AA1298" s="174">
        <f t="shared" ca="1" si="8300"/>
        <v>-642207.06158323737</v>
      </c>
      <c r="AB1298" s="174">
        <f t="shared" ca="1" si="8300"/>
        <v>-832991.97668650013</v>
      </c>
      <c r="AC1298" s="174">
        <f t="shared" ca="1" si="8300"/>
        <v>870232.3965845874</v>
      </c>
      <c r="AD1298" s="174">
        <f t="shared" ca="1" si="8300"/>
        <v>951967.41894665291</v>
      </c>
      <c r="AE1298" s="174">
        <f t="shared" ca="1" si="8300"/>
        <v>868045.31777328579</v>
      </c>
      <c r="AF1298" s="174">
        <f t="shared" ca="1" si="8300"/>
        <v>830498.22827266203</v>
      </c>
      <c r="AG1298" s="174">
        <f t="shared" ca="1" si="8300"/>
        <v>802477.66595274641</v>
      </c>
      <c r="AH1298" s="174">
        <f t="shared" ca="1" si="8300"/>
        <v>757201.33127760538</v>
      </c>
      <c r="AI1298" s="174">
        <f t="shared" ca="1" si="8300"/>
        <v>659486.29878540558</v>
      </c>
      <c r="AJ1298" s="174">
        <f t="shared" ca="1" si="8300"/>
        <v>617097.85531960963</v>
      </c>
      <c r="AK1298" s="174">
        <f t="shared" ca="1" si="8300"/>
        <v>586093.2609212877</v>
      </c>
      <c r="AL1298" s="174">
        <f t="shared" ca="1" si="8300"/>
        <v>534772.2666182993</v>
      </c>
      <c r="AM1298" s="174">
        <f t="shared" ca="1" si="8300"/>
        <v>422378.9739741477</v>
      </c>
      <c r="AN1298" s="174">
        <f t="shared" ca="1" si="8300"/>
        <v>376865.16238980438</v>
      </c>
      <c r="AO1298" s="174">
        <f t="shared" ca="1" si="8300"/>
        <v>340656.20423412696</v>
      </c>
      <c r="AP1298" s="174">
        <f t="shared" ca="1" si="8300"/>
        <v>329962.93887801998</v>
      </c>
      <c r="AQ1298" s="174">
        <f t="shared" ca="1" si="8300"/>
        <v>347882.08351975807</v>
      </c>
      <c r="AR1298" s="174">
        <f t="shared" ca="1" si="8300"/>
        <v>248099.86484228406</v>
      </c>
      <c r="AS1298" s="174">
        <f t="shared" ca="1" si="8300"/>
        <v>251024.06364963931</v>
      </c>
      <c r="AT1298" s="174">
        <f t="shared" ca="1" si="8300"/>
        <v>343747.82675998117</v>
      </c>
      <c r="AU1298" s="174">
        <f t="shared" ca="1" si="8300"/>
        <v>361931.73447439633</v>
      </c>
      <c r="AV1298" s="174">
        <f t="shared" ca="1" si="8300"/>
        <v>258166.16109935998</v>
      </c>
      <c r="AW1298" s="174">
        <f t="shared" ca="1" si="8300"/>
        <v>301564.50550893851</v>
      </c>
      <c r="AX1298" s="174">
        <f t="shared" ca="1" si="8300"/>
        <v>282633.44288109295</v>
      </c>
      <c r="AY1298" s="174">
        <f t="shared" ca="1" si="8300"/>
        <v>200305.23390708171</v>
      </c>
      <c r="AZ1298" s="174">
        <f t="shared" ca="1" si="8300"/>
        <v>146140.62311677387</v>
      </c>
      <c r="BA1298" s="174">
        <f t="shared" ca="1" si="8300"/>
        <v>193432.40360179366</v>
      </c>
      <c r="BB1298" s="174">
        <f t="shared" ca="1" si="8300"/>
        <v>260988.17986861599</v>
      </c>
      <c r="BC1298" s="174">
        <f t="shared" ca="1" si="8300"/>
        <v>208462.88088126288</v>
      </c>
      <c r="BD1298" s="174">
        <f t="shared" ca="1" si="8300"/>
        <v>154448.94595265511</v>
      </c>
      <c r="BE1298" s="174">
        <f t="shared" ca="1" si="8300"/>
        <v>200696.76365660818</v>
      </c>
      <c r="BF1298" s="174">
        <f t="shared" ca="1" si="8300"/>
        <v>271583.89984141395</v>
      </c>
      <c r="BG1298" s="174">
        <f t="shared" ca="1" si="8300"/>
        <v>216957.59520311106</v>
      </c>
      <c r="BH1298" s="174">
        <f t="shared" ca="1" si="8300"/>
        <v>158355.91030182253</v>
      </c>
      <c r="BI1298" s="174">
        <f t="shared" ca="1" si="8300"/>
        <v>209509.95555511944</v>
      </c>
      <c r="BJ1298" s="174">
        <f t="shared" ca="1" si="8300"/>
        <v>282581.50808640692</v>
      </c>
      <c r="BK1298" s="174">
        <f t="shared" ca="1" si="8300"/>
        <v>225770.1447016859</v>
      </c>
      <c r="BL1298" s="174">
        <f t="shared" ca="1" si="8300"/>
        <v>164832.45442643872</v>
      </c>
      <c r="BM1298" s="174">
        <f t="shared" ca="1" si="8300"/>
        <v>218034.21055154921</v>
      </c>
      <c r="BN1298" s="174">
        <f t="shared" ca="1" si="8300"/>
        <v>294030.2060277618</v>
      </c>
      <c r="BO1298" s="174">
        <f t="shared" ca="1" si="8300"/>
        <v>234946.38810765094</v>
      </c>
      <c r="BP1298" s="174">
        <f t="shared" ca="1" si="8300"/>
        <v>171568.02853404879</v>
      </c>
      <c r="BQ1298" s="174">
        <f t="shared" ca="1" si="8300"/>
        <v>226899.43574783637</v>
      </c>
      <c r="BR1298" s="174">
        <f t="shared" ca="1" si="8300"/>
        <v>305936.85188676987</v>
      </c>
      <c r="BS1298" s="174">
        <f t="shared" ca="1" si="8300"/>
        <v>244489.68124985514</v>
      </c>
      <c r="BT1298" s="174">
        <f t="shared" ca="1" si="8300"/>
        <v>181292.63504041685</v>
      </c>
      <c r="BU1298" s="174">
        <f t="shared" ca="1" si="8300"/>
        <v>235396.04046270606</v>
      </c>
      <c r="BV1298" s="174">
        <f t="shared" ca="1" si="8300"/>
        <v>318330.65817661479</v>
      </c>
      <c r="BW1298" s="174">
        <f t="shared" ca="1" si="8300"/>
        <v>254425.60809432773</v>
      </c>
      <c r="BX1298" s="174">
        <f t="shared" ref="BX1298:CO1298" ca="1" si="8301">SUM(BX1290:BX1297)</f>
        <v>185858.18681033642</v>
      </c>
      <c r="BY1298" s="174">
        <f t="shared" ca="1" si="8301"/>
        <v>245707.89752427908</v>
      </c>
      <c r="BZ1298" s="174">
        <f t="shared" ca="1" si="8301"/>
        <v>331197.99174124177</v>
      </c>
      <c r="CA1298" s="174">
        <f t="shared" ca="1" si="8301"/>
        <v>264736.73198035511</v>
      </c>
      <c r="CB1298" s="174">
        <f t="shared" ca="1" si="8301"/>
        <v>193434.82739373663</v>
      </c>
      <c r="CC1298" s="174">
        <f t="shared" ca="1" si="8301"/>
        <v>255680.07019947586</v>
      </c>
      <c r="CD1298" s="174">
        <f t="shared" ca="1" si="8301"/>
        <v>344591.34902878973</v>
      </c>
      <c r="CE1298" s="174">
        <f t="shared" ca="1" si="8301"/>
        <v>275471.63887746679</v>
      </c>
      <c r="CF1298" s="174">
        <f t="shared" ca="1" si="8301"/>
        <v>201314.49642003866</v>
      </c>
      <c r="CG1298" s="174">
        <f t="shared" ca="1" si="8301"/>
        <v>266051.12978167983</v>
      </c>
      <c r="CH1298" s="174">
        <f t="shared" ca="1" si="8301"/>
        <v>358520.44060783915</v>
      </c>
      <c r="CI1298" s="174">
        <f t="shared" ca="1" si="8301"/>
        <v>286635.94205046433</v>
      </c>
      <c r="CJ1298" s="174">
        <f t="shared" ca="1" si="8301"/>
        <v>212695.95450171363</v>
      </c>
      <c r="CK1298" s="174">
        <f t="shared" ca="1" si="8301"/>
        <v>275989.2864601285</v>
      </c>
      <c r="CL1298" s="174">
        <f t="shared" ca="1" si="8301"/>
        <v>373017.75356730033</v>
      </c>
      <c r="CM1298" s="174">
        <f t="shared" ca="1" si="8301"/>
        <v>298257.88370130828</v>
      </c>
      <c r="CN1298" s="174">
        <f t="shared" ca="1" si="8301"/>
        <v>218031.9604033083</v>
      </c>
      <c r="CO1298" s="174">
        <f t="shared" ca="1" si="8301"/>
        <v>288054.36979128385</v>
      </c>
    </row>
    <row r="1299" spans="1:93" ht="15" thickBot="1">
      <c r="A1299" s="10"/>
      <c r="B1299" s="10"/>
      <c r="C1299" s="21" t="s">
        <v>107</v>
      </c>
      <c r="D1299" s="10"/>
      <c r="E1299" s="10"/>
      <c r="F1299" s="10"/>
      <c r="G1299" s="134" t="str">
        <f t="shared" si="8281"/>
        <v>тыс. руб.</v>
      </c>
      <c r="H1299" s="10"/>
      <c r="I1299" s="23">
        <f ca="1">SUM(L1299:CO1299)</f>
        <v>-1246051.8709808199</v>
      </c>
      <c r="J1299" s="10"/>
      <c r="K1299" s="10"/>
      <c r="L1299" s="52">
        <f t="shared" ref="L1299:BW1299" ca="1" si="8302">Profits_Tax</f>
        <v>0</v>
      </c>
      <c r="M1299" s="52">
        <f t="shared" ca="1" si="8302"/>
        <v>0</v>
      </c>
      <c r="N1299" s="52">
        <f t="shared" ca="1" si="8302"/>
        <v>0</v>
      </c>
      <c r="O1299" s="52">
        <f t="shared" ca="1" si="8302"/>
        <v>0</v>
      </c>
      <c r="P1299" s="52">
        <f t="shared" ca="1" si="8302"/>
        <v>0</v>
      </c>
      <c r="Q1299" s="52">
        <f t="shared" ca="1" si="8302"/>
        <v>0</v>
      </c>
      <c r="R1299" s="52">
        <f t="shared" ca="1" si="8302"/>
        <v>0</v>
      </c>
      <c r="S1299" s="52">
        <f t="shared" ca="1" si="8302"/>
        <v>0</v>
      </c>
      <c r="T1299" s="52">
        <f t="shared" ca="1" si="8302"/>
        <v>0</v>
      </c>
      <c r="U1299" s="52">
        <f t="shared" ca="1" si="8302"/>
        <v>0</v>
      </c>
      <c r="V1299" s="52">
        <f t="shared" ca="1" si="8302"/>
        <v>0</v>
      </c>
      <c r="W1299" s="52">
        <f t="shared" ca="1" si="8302"/>
        <v>0</v>
      </c>
      <c r="X1299" s="52">
        <f t="shared" ca="1" si="8302"/>
        <v>0</v>
      </c>
      <c r="Y1299" s="52">
        <f t="shared" ca="1" si="8302"/>
        <v>0</v>
      </c>
      <c r="Z1299" s="52">
        <f t="shared" ca="1" si="8302"/>
        <v>0</v>
      </c>
      <c r="AA1299" s="52">
        <f t="shared" ca="1" si="8302"/>
        <v>0</v>
      </c>
      <c r="AB1299" s="52">
        <f t="shared" ca="1" si="8302"/>
        <v>0</v>
      </c>
      <c r="AC1299" s="52">
        <f t="shared" ca="1" si="8302"/>
        <v>0</v>
      </c>
      <c r="AD1299" s="52">
        <f t="shared" ca="1" si="8302"/>
        <v>-1389.8901071001442</v>
      </c>
      <c r="AE1299" s="52">
        <f t="shared" ca="1" si="8302"/>
        <v>-343.06807048271355</v>
      </c>
      <c r="AF1299" s="52">
        <f t="shared" ca="1" si="8302"/>
        <v>-345.23353688184091</v>
      </c>
      <c r="AG1299" s="52">
        <f t="shared" ca="1" si="8302"/>
        <v>-1233.380536733503</v>
      </c>
      <c r="AH1299" s="52">
        <f t="shared" ca="1" si="8302"/>
        <v>-1951.6135086286208</v>
      </c>
      <c r="AI1299" s="52">
        <f t="shared" ca="1" si="8302"/>
        <v>-697.23204125733548</v>
      </c>
      <c r="AJ1299" s="52">
        <f t="shared" ca="1" si="8302"/>
        <v>-686.27953043154048</v>
      </c>
      <c r="AK1299" s="52">
        <f t="shared" ca="1" si="8302"/>
        <v>-1722.2768330930526</v>
      </c>
      <c r="AL1299" s="52">
        <f t="shared" ca="1" si="8302"/>
        <v>-2552.4775815632656</v>
      </c>
      <c r="AM1299" s="52">
        <f t="shared" ca="1" si="8302"/>
        <v>-1075.6116456652608</v>
      </c>
      <c r="AN1299" s="52">
        <f t="shared" ca="1" si="8302"/>
        <v>-1069.6795860318255</v>
      </c>
      <c r="AO1299" s="52">
        <f t="shared" ca="1" si="8302"/>
        <v>-2246.021293735289</v>
      </c>
      <c r="AP1299" s="52">
        <f t="shared" ca="1" si="8302"/>
        <v>-3871.5435878940275</v>
      </c>
      <c r="AQ1299" s="52">
        <f t="shared" ca="1" si="8302"/>
        <v>-2721.5949994583566</v>
      </c>
      <c r="AR1299" s="52">
        <f t="shared" ca="1" si="8302"/>
        <v>-2537.3669215325235</v>
      </c>
      <c r="AS1299" s="52">
        <f t="shared" ca="1" si="8302"/>
        <v>-4910.3548208880238</v>
      </c>
      <c r="AT1299" s="52">
        <f t="shared" ca="1" si="8302"/>
        <v>-6670.9718023678251</v>
      </c>
      <c r="AU1299" s="52">
        <f t="shared" ca="1" si="8302"/>
        <v>-10754.654024609054</v>
      </c>
      <c r="AV1299" s="52">
        <f t="shared" ca="1" si="8302"/>
        <v>-10079.610833892344</v>
      </c>
      <c r="AW1299" s="52">
        <f t="shared" ca="1" si="8302"/>
        <v>-9399.3887811251989</v>
      </c>
      <c r="AX1299" s="52">
        <f t="shared" ca="1" si="8302"/>
        <v>-13441.647109621965</v>
      </c>
      <c r="AY1299" s="52">
        <f t="shared" ca="1" si="8302"/>
        <v>-5356.1178602904338</v>
      </c>
      <c r="AZ1299" s="52">
        <f t="shared" ca="1" si="8302"/>
        <v>-4934.9720522394755</v>
      </c>
      <c r="BA1299" s="52">
        <f t="shared" ca="1" si="8302"/>
        <v>-10534.546945064436</v>
      </c>
      <c r="BB1299" s="52">
        <f t="shared" ca="1" si="8302"/>
        <v>-14742.604280875961</v>
      </c>
      <c r="BC1299" s="52">
        <f t="shared" ca="1" si="8302"/>
        <v>-6446.8334556844102</v>
      </c>
      <c r="BD1299" s="52">
        <f t="shared" ca="1" si="8302"/>
        <v>-6118.4128459242202</v>
      </c>
      <c r="BE1299" s="52">
        <f t="shared" ca="1" si="8302"/>
        <v>-13775.352981547452</v>
      </c>
      <c r="BF1299" s="52">
        <f t="shared" ca="1" si="8302"/>
        <v>-18170.998071899296</v>
      </c>
      <c r="BG1299" s="52">
        <f t="shared" ca="1" si="8302"/>
        <v>-9513.941247908826</v>
      </c>
      <c r="BH1299" s="52">
        <f t="shared" ca="1" si="8302"/>
        <v>-9084.5245070020428</v>
      </c>
      <c r="BI1299" s="52">
        <f t="shared" ca="1" si="8302"/>
        <v>-15042.948275777006</v>
      </c>
      <c r="BJ1299" s="52">
        <f t="shared" ca="1" si="8302"/>
        <v>-19438.219890369604</v>
      </c>
      <c r="BK1299" s="52">
        <f t="shared" ca="1" si="8302"/>
        <v>-10166.3837287761</v>
      </c>
      <c r="BL1299" s="52">
        <f t="shared" ca="1" si="8302"/>
        <v>-9535.793034087581</v>
      </c>
      <c r="BM1299" s="52">
        <f t="shared" ca="1" si="8302"/>
        <v>-15732.664412670643</v>
      </c>
      <c r="BN1299" s="52">
        <f t="shared" ca="1" si="8302"/>
        <v>-20303.857550904053</v>
      </c>
      <c r="BO1299" s="52">
        <f t="shared" ca="1" si="8302"/>
        <v>-23606.827587732194</v>
      </c>
      <c r="BP1299" s="52">
        <f t="shared" ca="1" si="8302"/>
        <v>-22154.177240710902</v>
      </c>
      <c r="BQ1299" s="52">
        <f t="shared" ca="1" si="8302"/>
        <v>-36424.931789017159</v>
      </c>
      <c r="BR1299" s="52">
        <f t="shared" ca="1" si="8302"/>
        <v>-46951.98158954682</v>
      </c>
      <c r="BS1299" s="52">
        <f t="shared" ca="1" si="8302"/>
        <v>-24746.19889213498</v>
      </c>
      <c r="BT1299" s="52">
        <f t="shared" ca="1" si="8302"/>
        <v>-23542.717741804667</v>
      </c>
      <c r="BU1299" s="52">
        <f t="shared" ca="1" si="8302"/>
        <v>-38078.450736018975</v>
      </c>
      <c r="BV1299" s="52">
        <f t="shared" ca="1" si="8302"/>
        <v>-49026.847343305708</v>
      </c>
      <c r="BW1299" s="52">
        <f t="shared" ca="1" si="8302"/>
        <v>-25932.834801015801</v>
      </c>
      <c r="BX1299" s="52">
        <f t="shared" ref="BX1299:CO1299" ca="1" si="8303">Profits_Tax</f>
        <v>-24358.958707836995</v>
      </c>
      <c r="BY1299" s="52">
        <f t="shared" ca="1" si="8303"/>
        <v>-39794.70669005435</v>
      </c>
      <c r="BZ1299" s="52">
        <f t="shared" ca="1" si="8303"/>
        <v>-51181.26361707654</v>
      </c>
      <c r="CA1299" s="52">
        <f t="shared" ca="1" si="8303"/>
        <v>-27163.48905155596</v>
      </c>
      <c r="CB1299" s="52">
        <f t="shared" ca="1" si="8303"/>
        <v>-25527.925195505442</v>
      </c>
      <c r="CC1299" s="52">
        <f t="shared" ca="1" si="8303"/>
        <v>-41581.348127780795</v>
      </c>
      <c r="CD1299" s="52">
        <f t="shared" ca="1" si="8303"/>
        <v>-53423.612362653126</v>
      </c>
      <c r="CE1299" s="52">
        <f t="shared" ca="1" si="8303"/>
        <v>-28445.126814511706</v>
      </c>
      <c r="CF1299" s="52">
        <f t="shared" ca="1" si="8303"/>
        <v>-26743.650342680594</v>
      </c>
      <c r="CG1299" s="52">
        <f t="shared" ca="1" si="8303"/>
        <v>-43439.455223016266</v>
      </c>
      <c r="CH1299" s="52">
        <f t="shared" ca="1" si="8303"/>
        <v>-55755.655058052784</v>
      </c>
      <c r="CI1299" s="52">
        <f t="shared" ca="1" si="8303"/>
        <v>-29778.030087985695</v>
      </c>
      <c r="CJ1299" s="52">
        <f t="shared" ca="1" si="8303"/>
        <v>-28368.828141014976</v>
      </c>
      <c r="CK1299" s="52">
        <f t="shared" ca="1" si="8303"/>
        <v>-45373.579810170959</v>
      </c>
      <c r="CL1299" s="52">
        <f t="shared" ca="1" si="8303"/>
        <v>-58182.692970885604</v>
      </c>
      <c r="CM1299" s="52">
        <f t="shared" ca="1" si="8303"/>
        <v>-31165.964713540445</v>
      </c>
      <c r="CN1299" s="52">
        <f t="shared" ca="1" si="8303"/>
        <v>-29322.932814927386</v>
      </c>
      <c r="CO1299" s="52">
        <f t="shared" ca="1" si="8303"/>
        <v>-47381.615236267782</v>
      </c>
    </row>
    <row r="1300" spans="1:93" ht="15" thickTop="1">
      <c r="A1300" s="35"/>
      <c r="B1300" s="35"/>
      <c r="C1300" s="208" t="s">
        <v>199</v>
      </c>
      <c r="D1300" s="49"/>
      <c r="E1300" s="49"/>
      <c r="F1300" s="49"/>
      <c r="G1300" s="137" t="str">
        <f t="shared" si="8281"/>
        <v>тыс. руб.</v>
      </c>
      <c r="H1300" s="49"/>
      <c r="I1300" s="49"/>
      <c r="J1300" s="49"/>
      <c r="K1300" s="49"/>
      <c r="L1300" s="174">
        <f t="shared" ref="L1300" ca="1" si="8304">SUM(L1298:L1299)</f>
        <v>-31406.153379286916</v>
      </c>
      <c r="M1300" s="174">
        <f t="shared" ref="M1300:BX1300" ca="1" si="8305">SUM(M1298:M1299)</f>
        <v>-31851.960190507532</v>
      </c>
      <c r="N1300" s="174">
        <f t="shared" ca="1" si="8305"/>
        <v>-32304.095179220327</v>
      </c>
      <c r="O1300" s="174">
        <f t="shared" ca="1" si="8305"/>
        <v>-32762.648173192309</v>
      </c>
      <c r="P1300" s="174">
        <f t="shared" ca="1" si="8305"/>
        <v>-275591.46580799518</v>
      </c>
      <c r="Q1300" s="174">
        <f t="shared" ca="1" si="8305"/>
        <v>-278306.9805620276</v>
      </c>
      <c r="R1300" s="174">
        <f t="shared" ca="1" si="8305"/>
        <v>-281049.25238692126</v>
      </c>
      <c r="S1300" s="174">
        <f t="shared" ca="1" si="8305"/>
        <v>-283818.54493097326</v>
      </c>
      <c r="T1300" s="174">
        <f t="shared" ca="1" si="8305"/>
        <v>-289960.89661122987</v>
      </c>
      <c r="U1300" s="174">
        <f t="shared" ca="1" si="8305"/>
        <v>-292607.834793624</v>
      </c>
      <c r="V1300" s="174">
        <f t="shared" ca="1" si="8305"/>
        <v>-295275.75333765452</v>
      </c>
      <c r="W1300" s="174">
        <f t="shared" ca="1" si="8305"/>
        <v>-297934.79737139982</v>
      </c>
      <c r="X1300" s="174">
        <f t="shared" ca="1" si="8305"/>
        <v>-625018.23654332163</v>
      </c>
      <c r="Y1300" s="174">
        <f t="shared" ca="1" si="8305"/>
        <v>-630687.77129455493</v>
      </c>
      <c r="Z1300" s="174">
        <f t="shared" ca="1" si="8305"/>
        <v>-636430.45152861311</v>
      </c>
      <c r="AA1300" s="174">
        <f t="shared" ca="1" si="8305"/>
        <v>-642207.06158323737</v>
      </c>
      <c r="AB1300" s="174">
        <f t="shared" ca="1" si="8305"/>
        <v>-832991.97668650013</v>
      </c>
      <c r="AC1300" s="174">
        <f t="shared" ca="1" si="8305"/>
        <v>870232.3965845874</v>
      </c>
      <c r="AD1300" s="174">
        <f t="shared" ca="1" si="8305"/>
        <v>950577.52883955278</v>
      </c>
      <c r="AE1300" s="174">
        <f t="shared" ca="1" si="8305"/>
        <v>867702.24970280309</v>
      </c>
      <c r="AF1300" s="174">
        <f t="shared" ca="1" si="8305"/>
        <v>830152.99473578017</v>
      </c>
      <c r="AG1300" s="174">
        <f t="shared" ca="1" si="8305"/>
        <v>801244.28541601286</v>
      </c>
      <c r="AH1300" s="174">
        <f t="shared" ca="1" si="8305"/>
        <v>755249.71776897681</v>
      </c>
      <c r="AI1300" s="174">
        <f t="shared" ca="1" si="8305"/>
        <v>658789.06674414827</v>
      </c>
      <c r="AJ1300" s="174">
        <f t="shared" ca="1" si="8305"/>
        <v>616411.57578917814</v>
      </c>
      <c r="AK1300" s="174">
        <f t="shared" ca="1" si="8305"/>
        <v>584370.98408819467</v>
      </c>
      <c r="AL1300" s="174">
        <f t="shared" ca="1" si="8305"/>
        <v>532219.78903673601</v>
      </c>
      <c r="AM1300" s="174">
        <f t="shared" ca="1" si="8305"/>
        <v>421303.36232848244</v>
      </c>
      <c r="AN1300" s="174">
        <f t="shared" ca="1" si="8305"/>
        <v>375795.48280377255</v>
      </c>
      <c r="AO1300" s="174">
        <f t="shared" ca="1" si="8305"/>
        <v>338410.18294039165</v>
      </c>
      <c r="AP1300" s="174">
        <f t="shared" ca="1" si="8305"/>
        <v>326091.39529012598</v>
      </c>
      <c r="AQ1300" s="174">
        <f t="shared" ca="1" si="8305"/>
        <v>345160.48852029972</v>
      </c>
      <c r="AR1300" s="174">
        <f t="shared" ca="1" si="8305"/>
        <v>245562.49792075154</v>
      </c>
      <c r="AS1300" s="174">
        <f t="shared" ca="1" si="8305"/>
        <v>246113.70882875129</v>
      </c>
      <c r="AT1300" s="174">
        <f t="shared" ca="1" si="8305"/>
        <v>337076.85495761334</v>
      </c>
      <c r="AU1300" s="174">
        <f t="shared" ca="1" si="8305"/>
        <v>351177.08044978726</v>
      </c>
      <c r="AV1300" s="174">
        <f t="shared" ca="1" si="8305"/>
        <v>248086.55026546764</v>
      </c>
      <c r="AW1300" s="174">
        <f t="shared" ca="1" si="8305"/>
        <v>292165.11672781332</v>
      </c>
      <c r="AX1300" s="174">
        <f t="shared" ca="1" si="8305"/>
        <v>269191.79577147099</v>
      </c>
      <c r="AY1300" s="174">
        <f t="shared" ca="1" si="8305"/>
        <v>194949.11604679129</v>
      </c>
      <c r="AZ1300" s="174">
        <f t="shared" ca="1" si="8305"/>
        <v>141205.65106453441</v>
      </c>
      <c r="BA1300" s="174">
        <f t="shared" ca="1" si="8305"/>
        <v>182897.85665672921</v>
      </c>
      <c r="BB1300" s="174">
        <f t="shared" ca="1" si="8305"/>
        <v>246245.57558774002</v>
      </c>
      <c r="BC1300" s="174">
        <f t="shared" ca="1" si="8305"/>
        <v>202016.04742557846</v>
      </c>
      <c r="BD1300" s="174">
        <f t="shared" ca="1" si="8305"/>
        <v>148330.5331067309</v>
      </c>
      <c r="BE1300" s="174">
        <f t="shared" ca="1" si="8305"/>
        <v>186921.41067506073</v>
      </c>
      <c r="BF1300" s="174">
        <f t="shared" ca="1" si="8305"/>
        <v>253412.90176951466</v>
      </c>
      <c r="BG1300" s="174">
        <f t="shared" ca="1" si="8305"/>
        <v>207443.65395520223</v>
      </c>
      <c r="BH1300" s="174">
        <f t="shared" ca="1" si="8305"/>
        <v>149271.3857948205</v>
      </c>
      <c r="BI1300" s="174">
        <f t="shared" ca="1" si="8305"/>
        <v>194467.00727934242</v>
      </c>
      <c r="BJ1300" s="174">
        <f t="shared" ca="1" si="8305"/>
        <v>263143.28819603729</v>
      </c>
      <c r="BK1300" s="174">
        <f t="shared" ca="1" si="8305"/>
        <v>215603.7609729098</v>
      </c>
      <c r="BL1300" s="174">
        <f t="shared" ca="1" si="8305"/>
        <v>155296.66139235115</v>
      </c>
      <c r="BM1300" s="174">
        <f t="shared" ca="1" si="8305"/>
        <v>202301.54613887856</v>
      </c>
      <c r="BN1300" s="174">
        <f t="shared" ca="1" si="8305"/>
        <v>273726.34847685776</v>
      </c>
      <c r="BO1300" s="174">
        <f t="shared" ca="1" si="8305"/>
        <v>211339.56051991874</v>
      </c>
      <c r="BP1300" s="174">
        <f t="shared" ca="1" si="8305"/>
        <v>149413.85129333788</v>
      </c>
      <c r="BQ1300" s="174">
        <f t="shared" ca="1" si="8305"/>
        <v>190474.5039588192</v>
      </c>
      <c r="BR1300" s="174">
        <f t="shared" ca="1" si="8305"/>
        <v>258984.87029722304</v>
      </c>
      <c r="BS1300" s="174">
        <f t="shared" ca="1" si="8305"/>
        <v>219743.48235772018</v>
      </c>
      <c r="BT1300" s="174">
        <f t="shared" ca="1" si="8305"/>
        <v>157749.91729861218</v>
      </c>
      <c r="BU1300" s="174">
        <f t="shared" ca="1" si="8305"/>
        <v>197317.58972668709</v>
      </c>
      <c r="BV1300" s="174">
        <f t="shared" ca="1" si="8305"/>
        <v>269303.81083330908</v>
      </c>
      <c r="BW1300" s="174">
        <f t="shared" ca="1" si="8305"/>
        <v>228492.77329331194</v>
      </c>
      <c r="BX1300" s="174">
        <f t="shared" ca="1" si="8305"/>
        <v>161499.22810249944</v>
      </c>
      <c r="BY1300" s="174">
        <f t="shared" ref="BY1300:CO1300" ca="1" si="8306">SUM(BY1298:BY1299)</f>
        <v>205913.19083422472</v>
      </c>
      <c r="BZ1300" s="174">
        <f t="shared" ca="1" si="8306"/>
        <v>280016.72812416521</v>
      </c>
      <c r="CA1300" s="174">
        <f t="shared" ca="1" si="8306"/>
        <v>237573.24292879915</v>
      </c>
      <c r="CB1300" s="174">
        <f t="shared" ca="1" si="8306"/>
        <v>167906.9021982312</v>
      </c>
      <c r="CC1300" s="174">
        <f t="shared" ca="1" si="8306"/>
        <v>214098.72207169505</v>
      </c>
      <c r="CD1300" s="174">
        <f t="shared" ca="1" si="8306"/>
        <v>291167.7366661366</v>
      </c>
      <c r="CE1300" s="174">
        <f t="shared" ca="1" si="8306"/>
        <v>247026.51206295507</v>
      </c>
      <c r="CF1300" s="174">
        <f t="shared" ca="1" si="8306"/>
        <v>174570.84607735806</v>
      </c>
      <c r="CG1300" s="174">
        <f t="shared" ca="1" si="8306"/>
        <v>222611.67455866357</v>
      </c>
      <c r="CH1300" s="174">
        <f t="shared" ca="1" si="8306"/>
        <v>302764.78554978635</v>
      </c>
      <c r="CI1300" s="174">
        <f t="shared" ca="1" si="8306"/>
        <v>256857.91196247865</v>
      </c>
      <c r="CJ1300" s="174">
        <f t="shared" ca="1" si="8306"/>
        <v>184327.12636069866</v>
      </c>
      <c r="CK1300" s="174">
        <f t="shared" ca="1" si="8306"/>
        <v>230615.70664995754</v>
      </c>
      <c r="CL1300" s="174">
        <f t="shared" ca="1" si="8306"/>
        <v>314835.06059641473</v>
      </c>
      <c r="CM1300" s="174">
        <f t="shared" ca="1" si="8306"/>
        <v>267091.91898776783</v>
      </c>
      <c r="CN1300" s="174">
        <f t="shared" ca="1" si="8306"/>
        <v>188709.02758838091</v>
      </c>
      <c r="CO1300" s="174">
        <f t="shared" ca="1" si="8306"/>
        <v>240672.75455501606</v>
      </c>
    </row>
    <row r="1301" spans="1:93">
      <c r="A1301" s="10"/>
      <c r="B1301" s="10"/>
      <c r="C1301" s="21" t="s">
        <v>458</v>
      </c>
      <c r="D1301" s="10"/>
      <c r="E1301" s="10"/>
      <c r="F1301" s="10"/>
      <c r="G1301" s="134" t="str">
        <f t="shared" si="8281"/>
        <v>тыс. руб.</v>
      </c>
      <c r="H1301" s="10"/>
      <c r="I1301" s="23">
        <f>SUM(L1301:CO1301)</f>
        <v>-1330786.673672708</v>
      </c>
      <c r="J1301" s="10"/>
      <c r="K1301" s="10"/>
      <c r="L1301" s="52">
        <f t="shared" ref="L1301:BX1301" si="8307">Debt_Interest_Paid</f>
        <v>0</v>
      </c>
      <c r="M1301" s="52">
        <f t="shared" si="8307"/>
        <v>0</v>
      </c>
      <c r="N1301" s="52">
        <f t="shared" si="8307"/>
        <v>0</v>
      </c>
      <c r="O1301" s="52">
        <f t="shared" si="8307"/>
        <v>0</v>
      </c>
      <c r="P1301" s="52">
        <f t="shared" si="8307"/>
        <v>0</v>
      </c>
      <c r="Q1301" s="52">
        <f t="shared" si="8307"/>
        <v>0</v>
      </c>
      <c r="R1301" s="52">
        <f t="shared" si="8307"/>
        <v>0</v>
      </c>
      <c r="S1301" s="52">
        <f t="shared" si="8307"/>
        <v>-738.99174247580174</v>
      </c>
      <c r="T1301" s="52">
        <f t="shared" si="8307"/>
        <v>-3234.8821767320223</v>
      </c>
      <c r="U1301" s="52">
        <f t="shared" si="8307"/>
        <v>-7256.2536237105141</v>
      </c>
      <c r="V1301" s="52">
        <f t="shared" si="8307"/>
        <v>-11404.918486102473</v>
      </c>
      <c r="W1301" s="52">
        <f t="shared" si="8307"/>
        <v>-15513.937077923534</v>
      </c>
      <c r="X1301" s="52">
        <f t="shared" si="8307"/>
        <v>-21635.021605468475</v>
      </c>
      <c r="Y1301" s="52">
        <f t="shared" si="8307"/>
        <v>-30267.503661225743</v>
      </c>
      <c r="Z1301" s="52">
        <f t="shared" si="8307"/>
        <v>-39413.452160910616</v>
      </c>
      <c r="AA1301" s="52">
        <f t="shared" si="8307"/>
        <v>-48313.632138229776</v>
      </c>
      <c r="AB1301" s="52">
        <f t="shared" si="8307"/>
        <v>-57475.007205903479</v>
      </c>
      <c r="AC1301" s="52">
        <f t="shared" si="8307"/>
        <v>-63872.407755986169</v>
      </c>
      <c r="AD1301" s="52">
        <f t="shared" si="8307"/>
        <v>-62892.014193801202</v>
      </c>
      <c r="AE1301" s="52">
        <f t="shared" si="8307"/>
        <v>-61190.416445550276</v>
      </c>
      <c r="AF1301" s="52">
        <f t="shared" si="8307"/>
        <v>-58172.297254570709</v>
      </c>
      <c r="AG1301" s="52">
        <f t="shared" si="8307"/>
        <v>-57080.646529591679</v>
      </c>
      <c r="AH1301" s="52">
        <f t="shared" si="8307"/>
        <v>-55930.44209210058</v>
      </c>
      <c r="AI1301" s="52">
        <f t="shared" si="8307"/>
        <v>-54131.967215460383</v>
      </c>
      <c r="AJ1301" s="52">
        <f t="shared" si="8307"/>
        <v>-51171.195711258915</v>
      </c>
      <c r="AK1301" s="52">
        <f t="shared" si="8307"/>
        <v>-49904.037104946961</v>
      </c>
      <c r="AL1301" s="52">
        <f t="shared" si="8307"/>
        <v>-48574.405478010551</v>
      </c>
      <c r="AM1301" s="52">
        <f t="shared" si="8307"/>
        <v>-46673.54571622183</v>
      </c>
      <c r="AN1301" s="52">
        <f t="shared" si="8307"/>
        <v>-44138.79593852751</v>
      </c>
      <c r="AO1301" s="52">
        <f t="shared" si="8307"/>
        <v>-42207.308872000569</v>
      </c>
      <c r="AP1301" s="52">
        <f t="shared" si="8307"/>
        <v>-40691.467417603446</v>
      </c>
      <c r="AQ1301" s="52">
        <f t="shared" si="8307"/>
        <v>-38687.152626157636</v>
      </c>
      <c r="AR1301" s="52">
        <f t="shared" si="8307"/>
        <v>-35956.272041141216</v>
      </c>
      <c r="AS1301" s="52">
        <f t="shared" si="8307"/>
        <v>-34307.790947443333</v>
      </c>
      <c r="AT1301" s="52">
        <f t="shared" si="8307"/>
        <v>-32588.246953087979</v>
      </c>
      <c r="AU1301" s="52">
        <f t="shared" si="8307"/>
        <v>-30464.826714844134</v>
      </c>
      <c r="AV1301" s="52">
        <f t="shared" si="8307"/>
        <v>-27696.230071407623</v>
      </c>
      <c r="AW1301" s="52">
        <f t="shared" si="8307"/>
        <v>-25840.779998392045</v>
      </c>
      <c r="AX1301" s="52">
        <f t="shared" si="8307"/>
        <v>-23909.566331086633</v>
      </c>
      <c r="AY1301" s="52">
        <f t="shared" si="8307"/>
        <v>-21665.290095109085</v>
      </c>
      <c r="AZ1301" s="52">
        <f t="shared" si="8307"/>
        <v>-18968.105120419892</v>
      </c>
      <c r="BA1301" s="52">
        <f t="shared" si="8307"/>
        <v>-16893.990510090218</v>
      </c>
      <c r="BB1301" s="52">
        <f t="shared" si="8307"/>
        <v>-14739.119607861281</v>
      </c>
      <c r="BC1301" s="52">
        <f t="shared" si="8307"/>
        <v>-12367.118513902496</v>
      </c>
      <c r="BD1301" s="52">
        <f t="shared" si="8307"/>
        <v>-9826.7309072529442</v>
      </c>
      <c r="BE1301" s="52">
        <f t="shared" si="8307"/>
        <v>-7420.3179551697622</v>
      </c>
      <c r="BF1301" s="52">
        <f t="shared" si="8307"/>
        <v>-5035.4313667147007</v>
      </c>
      <c r="BG1301" s="52">
        <f t="shared" si="8307"/>
        <v>-2535.1563083135316</v>
      </c>
      <c r="BH1301" s="52">
        <f t="shared" si="8307"/>
        <v>0</v>
      </c>
      <c r="BI1301" s="52">
        <f t="shared" si="8307"/>
        <v>0</v>
      </c>
      <c r="BJ1301" s="52">
        <f t="shared" si="8307"/>
        <v>0</v>
      </c>
      <c r="BK1301" s="52">
        <f t="shared" si="8307"/>
        <v>0</v>
      </c>
      <c r="BL1301" s="52">
        <f t="shared" si="8307"/>
        <v>0</v>
      </c>
      <c r="BM1301" s="52">
        <f t="shared" si="8307"/>
        <v>0</v>
      </c>
      <c r="BN1301" s="52">
        <f t="shared" si="8307"/>
        <v>0</v>
      </c>
      <c r="BO1301" s="52">
        <f t="shared" si="8307"/>
        <v>0</v>
      </c>
      <c r="BP1301" s="52">
        <f t="shared" si="8307"/>
        <v>0</v>
      </c>
      <c r="BQ1301" s="52">
        <f t="shared" si="8307"/>
        <v>0</v>
      </c>
      <c r="BR1301" s="52">
        <f t="shared" si="8307"/>
        <v>0</v>
      </c>
      <c r="BS1301" s="52">
        <f t="shared" si="8307"/>
        <v>0</v>
      </c>
      <c r="BT1301" s="52">
        <f t="shared" si="8307"/>
        <v>0</v>
      </c>
      <c r="BU1301" s="52">
        <f t="shared" si="8307"/>
        <v>0</v>
      </c>
      <c r="BV1301" s="52">
        <f t="shared" si="8307"/>
        <v>0</v>
      </c>
      <c r="BW1301" s="52">
        <f t="shared" si="8307"/>
        <v>0</v>
      </c>
      <c r="BX1301" s="52">
        <f t="shared" si="8307"/>
        <v>0</v>
      </c>
      <c r="BY1301" s="52">
        <f t="shared" ref="BY1301:CO1301" si="8308">Debt_Interest_Paid</f>
        <v>0</v>
      </c>
      <c r="BZ1301" s="52">
        <f t="shared" si="8308"/>
        <v>0</v>
      </c>
      <c r="CA1301" s="52">
        <f t="shared" si="8308"/>
        <v>0</v>
      </c>
      <c r="CB1301" s="52">
        <f t="shared" si="8308"/>
        <v>0</v>
      </c>
      <c r="CC1301" s="52">
        <f t="shared" si="8308"/>
        <v>0</v>
      </c>
      <c r="CD1301" s="52">
        <f t="shared" si="8308"/>
        <v>0</v>
      </c>
      <c r="CE1301" s="52">
        <f t="shared" si="8308"/>
        <v>0</v>
      </c>
      <c r="CF1301" s="52">
        <f t="shared" si="8308"/>
        <v>0</v>
      </c>
      <c r="CG1301" s="52">
        <f t="shared" si="8308"/>
        <v>0</v>
      </c>
      <c r="CH1301" s="52">
        <f t="shared" si="8308"/>
        <v>0</v>
      </c>
      <c r="CI1301" s="52">
        <f t="shared" si="8308"/>
        <v>0</v>
      </c>
      <c r="CJ1301" s="52">
        <f t="shared" si="8308"/>
        <v>0</v>
      </c>
      <c r="CK1301" s="52">
        <f t="shared" si="8308"/>
        <v>0</v>
      </c>
      <c r="CL1301" s="52">
        <f t="shared" si="8308"/>
        <v>0</v>
      </c>
      <c r="CM1301" s="52">
        <f t="shared" si="8308"/>
        <v>0</v>
      </c>
      <c r="CN1301" s="52">
        <f t="shared" si="8308"/>
        <v>0</v>
      </c>
      <c r="CO1301" s="52">
        <f t="shared" si="8308"/>
        <v>0</v>
      </c>
    </row>
    <row r="1302" spans="1:93" ht="15" thickBot="1">
      <c r="A1302" s="10"/>
      <c r="B1302" s="10"/>
      <c r="C1302" s="21" t="s">
        <v>459</v>
      </c>
      <c r="D1302" s="10"/>
      <c r="E1302" s="10"/>
      <c r="F1302" s="10"/>
      <c r="G1302" s="134" t="str">
        <f t="shared" si="8281"/>
        <v>тыс. руб.</v>
      </c>
      <c r="H1302" s="10"/>
      <c r="I1302" s="23">
        <f>SUM(L1302:CO1302)</f>
        <v>-4616063.5245886445</v>
      </c>
      <c r="J1302" s="10"/>
      <c r="K1302" s="10"/>
      <c r="L1302" s="52">
        <f t="shared" ref="L1302:BW1302" si="8309">Debt_Repaiment</f>
        <v>0</v>
      </c>
      <c r="M1302" s="52">
        <f t="shared" si="8309"/>
        <v>0</v>
      </c>
      <c r="N1302" s="52">
        <f t="shared" si="8309"/>
        <v>0</v>
      </c>
      <c r="O1302" s="52">
        <f t="shared" si="8309"/>
        <v>0</v>
      </c>
      <c r="P1302" s="52">
        <f t="shared" si="8309"/>
        <v>0</v>
      </c>
      <c r="Q1302" s="52">
        <f t="shared" si="8309"/>
        <v>0</v>
      </c>
      <c r="R1302" s="52">
        <f t="shared" si="8309"/>
        <v>0</v>
      </c>
      <c r="S1302" s="52">
        <f t="shared" si="8309"/>
        <v>0</v>
      </c>
      <c r="T1302" s="52">
        <f t="shared" si="8309"/>
        <v>0</v>
      </c>
      <c r="U1302" s="52">
        <f t="shared" si="8309"/>
        <v>0</v>
      </c>
      <c r="V1302" s="52">
        <f t="shared" si="8309"/>
        <v>0</v>
      </c>
      <c r="W1302" s="52">
        <f t="shared" si="8309"/>
        <v>0</v>
      </c>
      <c r="X1302" s="52">
        <f t="shared" si="8309"/>
        <v>0</v>
      </c>
      <c r="Y1302" s="52">
        <f t="shared" si="8309"/>
        <v>0</v>
      </c>
      <c r="Z1302" s="52">
        <f t="shared" si="8309"/>
        <v>0</v>
      </c>
      <c r="AA1302" s="52">
        <f t="shared" si="8309"/>
        <v>0</v>
      </c>
      <c r="AB1302" s="52">
        <f t="shared" si="8309"/>
        <v>0</v>
      </c>
      <c r="AC1302" s="52">
        <f t="shared" si="8309"/>
        <v>-120257.5745813126</v>
      </c>
      <c r="AD1302" s="52">
        <f t="shared" si="8309"/>
        <v>-121637.91189024376</v>
      </c>
      <c r="AE1302" s="52">
        <f t="shared" si="8309"/>
        <v>-123339.51000531408</v>
      </c>
      <c r="AF1302" s="52">
        <f t="shared" si="8309"/>
        <v>-125606.07819573313</v>
      </c>
      <c r="AG1302" s="52">
        <f t="shared" si="8309"/>
        <v>-127061.19578037452</v>
      </c>
      <c r="AH1302" s="52">
        <f t="shared" si="8309"/>
        <v>-128563.12768775418</v>
      </c>
      <c r="AI1302" s="52">
        <f t="shared" si="8309"/>
        <v>-130361.60300256562</v>
      </c>
      <c r="AJ1302" s="52">
        <f t="shared" si="8309"/>
        <v>-132668.15530246156</v>
      </c>
      <c r="AK1302" s="52">
        <f t="shared" si="8309"/>
        <v>-134249.91936226428</v>
      </c>
      <c r="AL1302" s="52">
        <f t="shared" si="8309"/>
        <v>-135882.06287757197</v>
      </c>
      <c r="AM1302" s="52">
        <f t="shared" si="8309"/>
        <v>-137782.92317637434</v>
      </c>
      <c r="AN1302" s="52">
        <f t="shared" si="8309"/>
        <v>-139971.14470821922</v>
      </c>
      <c r="AO1302" s="52">
        <f t="shared" si="8309"/>
        <v>-141902.63238530574</v>
      </c>
      <c r="AP1302" s="52">
        <f t="shared" si="8309"/>
        <v>-143670.03792972286</v>
      </c>
      <c r="AQ1302" s="52">
        <f t="shared" si="8309"/>
        <v>-145674.35340582032</v>
      </c>
      <c r="AR1302" s="52">
        <f t="shared" si="8309"/>
        <v>-148008.7630993452</v>
      </c>
      <c r="AS1302" s="52">
        <f t="shared" si="8309"/>
        <v>-149871.07920509396</v>
      </c>
      <c r="AT1302" s="52">
        <f t="shared" si="8309"/>
        <v>-151791.69348981642</v>
      </c>
      <c r="AU1302" s="52">
        <f t="shared" si="8309"/>
        <v>-153915.11464673752</v>
      </c>
      <c r="AV1302" s="52">
        <f t="shared" si="8309"/>
        <v>-156333.60585778209</v>
      </c>
      <c r="AW1302" s="52">
        <f t="shared" si="8309"/>
        <v>-158350.97398656677</v>
      </c>
      <c r="AX1302" s="52">
        <f t="shared" si="8309"/>
        <v>-160431.02744453712</v>
      </c>
      <c r="AY1302" s="52">
        <f t="shared" si="8309"/>
        <v>-162675.30504555287</v>
      </c>
      <c r="AZ1302" s="52">
        <f t="shared" si="8309"/>
        <v>-165127.81642803919</v>
      </c>
      <c r="BA1302" s="52">
        <f t="shared" si="8309"/>
        <v>-167310.90669825437</v>
      </c>
      <c r="BB1302" s="52">
        <f t="shared" si="8309"/>
        <v>-169561.37863199293</v>
      </c>
      <c r="BC1302" s="52">
        <f t="shared" si="8309"/>
        <v>-171933.38225283392</v>
      </c>
      <c r="BD1302" s="52">
        <f t="shared" si="8309"/>
        <v>-174388.10819967216</v>
      </c>
      <c r="BE1302" s="52">
        <f t="shared" si="8309"/>
        <v>-176794.52548106818</v>
      </c>
      <c r="BF1302" s="52">
        <f t="shared" si="8309"/>
        <v>-179220.65636013079</v>
      </c>
      <c r="BG1302" s="52">
        <f t="shared" si="8309"/>
        <v>-181720.95747018265</v>
      </c>
      <c r="BH1302" s="52">
        <f t="shared" si="8309"/>
        <v>0</v>
      </c>
      <c r="BI1302" s="52">
        <f t="shared" si="8309"/>
        <v>0</v>
      </c>
      <c r="BJ1302" s="52">
        <f t="shared" si="8309"/>
        <v>0</v>
      </c>
      <c r="BK1302" s="52">
        <f t="shared" si="8309"/>
        <v>0</v>
      </c>
      <c r="BL1302" s="52">
        <f t="shared" si="8309"/>
        <v>0</v>
      </c>
      <c r="BM1302" s="52">
        <f t="shared" si="8309"/>
        <v>0</v>
      </c>
      <c r="BN1302" s="52">
        <f t="shared" si="8309"/>
        <v>0</v>
      </c>
      <c r="BO1302" s="52">
        <f t="shared" si="8309"/>
        <v>0</v>
      </c>
      <c r="BP1302" s="52">
        <f t="shared" si="8309"/>
        <v>0</v>
      </c>
      <c r="BQ1302" s="52">
        <f t="shared" si="8309"/>
        <v>0</v>
      </c>
      <c r="BR1302" s="52">
        <f t="shared" si="8309"/>
        <v>0</v>
      </c>
      <c r="BS1302" s="52">
        <f t="shared" si="8309"/>
        <v>0</v>
      </c>
      <c r="BT1302" s="52">
        <f t="shared" si="8309"/>
        <v>0</v>
      </c>
      <c r="BU1302" s="52">
        <f t="shared" si="8309"/>
        <v>0</v>
      </c>
      <c r="BV1302" s="52">
        <f t="shared" si="8309"/>
        <v>0</v>
      </c>
      <c r="BW1302" s="52">
        <f t="shared" si="8309"/>
        <v>0</v>
      </c>
      <c r="BX1302" s="52">
        <f t="shared" ref="BX1302:CO1302" si="8310">Debt_Repaiment</f>
        <v>0</v>
      </c>
      <c r="BY1302" s="52">
        <f t="shared" si="8310"/>
        <v>0</v>
      </c>
      <c r="BZ1302" s="52">
        <f t="shared" si="8310"/>
        <v>0</v>
      </c>
      <c r="CA1302" s="52">
        <f t="shared" si="8310"/>
        <v>0</v>
      </c>
      <c r="CB1302" s="52">
        <f t="shared" si="8310"/>
        <v>0</v>
      </c>
      <c r="CC1302" s="52">
        <f t="shared" si="8310"/>
        <v>0</v>
      </c>
      <c r="CD1302" s="52">
        <f t="shared" si="8310"/>
        <v>0</v>
      </c>
      <c r="CE1302" s="52">
        <f t="shared" si="8310"/>
        <v>0</v>
      </c>
      <c r="CF1302" s="52">
        <f t="shared" si="8310"/>
        <v>0</v>
      </c>
      <c r="CG1302" s="52">
        <f t="shared" si="8310"/>
        <v>0</v>
      </c>
      <c r="CH1302" s="52">
        <f t="shared" si="8310"/>
        <v>0</v>
      </c>
      <c r="CI1302" s="52">
        <f t="shared" si="8310"/>
        <v>0</v>
      </c>
      <c r="CJ1302" s="52">
        <f t="shared" si="8310"/>
        <v>0</v>
      </c>
      <c r="CK1302" s="52">
        <f t="shared" si="8310"/>
        <v>0</v>
      </c>
      <c r="CL1302" s="52">
        <f t="shared" si="8310"/>
        <v>0</v>
      </c>
      <c r="CM1302" s="52">
        <f t="shared" si="8310"/>
        <v>0</v>
      </c>
      <c r="CN1302" s="52">
        <f t="shared" si="8310"/>
        <v>0</v>
      </c>
      <c r="CO1302" s="52">
        <f t="shared" si="8310"/>
        <v>0</v>
      </c>
    </row>
    <row r="1303" spans="1:93" ht="15" thickTop="1">
      <c r="A1303" s="35"/>
      <c r="B1303" s="35"/>
      <c r="C1303" s="208" t="s">
        <v>419</v>
      </c>
      <c r="D1303" s="49"/>
      <c r="E1303" s="49"/>
      <c r="F1303" s="49"/>
      <c r="G1303" s="137" t="str">
        <f t="shared" si="8281"/>
        <v>тыс. руб.</v>
      </c>
      <c r="H1303" s="49"/>
      <c r="I1303" s="49"/>
      <c r="J1303" s="49"/>
      <c r="K1303" s="49"/>
      <c r="L1303" s="174">
        <f t="shared" ref="L1303" ca="1" si="8311">SUM(L1300:L1302)</f>
        <v>-31406.153379286916</v>
      </c>
      <c r="M1303" s="174">
        <f t="shared" ref="M1303:BX1303" ca="1" si="8312">SUM(M1300:M1302)</f>
        <v>-31851.960190507532</v>
      </c>
      <c r="N1303" s="174">
        <f t="shared" ca="1" si="8312"/>
        <v>-32304.095179220327</v>
      </c>
      <c r="O1303" s="174">
        <f t="shared" ca="1" si="8312"/>
        <v>-32762.648173192309</v>
      </c>
      <c r="P1303" s="174">
        <f t="shared" ca="1" si="8312"/>
        <v>-275591.46580799518</v>
      </c>
      <c r="Q1303" s="174">
        <f t="shared" ca="1" si="8312"/>
        <v>-278306.9805620276</v>
      </c>
      <c r="R1303" s="174">
        <f t="shared" ca="1" si="8312"/>
        <v>-281049.25238692126</v>
      </c>
      <c r="S1303" s="174">
        <f t="shared" ca="1" si="8312"/>
        <v>-284557.53667344904</v>
      </c>
      <c r="T1303" s="174">
        <f t="shared" ca="1" si="8312"/>
        <v>-293195.77878796187</v>
      </c>
      <c r="U1303" s="174">
        <f t="shared" ca="1" si="8312"/>
        <v>-299864.08841733454</v>
      </c>
      <c r="V1303" s="174">
        <f t="shared" ca="1" si="8312"/>
        <v>-306680.671823757</v>
      </c>
      <c r="W1303" s="174">
        <f t="shared" ca="1" si="8312"/>
        <v>-313448.73444932338</v>
      </c>
      <c r="X1303" s="174">
        <f t="shared" ca="1" si="8312"/>
        <v>-646653.2581487901</v>
      </c>
      <c r="Y1303" s="174">
        <f t="shared" ca="1" si="8312"/>
        <v>-660955.27495578071</v>
      </c>
      <c r="Z1303" s="174">
        <f t="shared" ca="1" si="8312"/>
        <v>-675843.90368952369</v>
      </c>
      <c r="AA1303" s="174">
        <f t="shared" ca="1" si="8312"/>
        <v>-690520.69372146716</v>
      </c>
      <c r="AB1303" s="174">
        <f t="shared" ca="1" si="8312"/>
        <v>-890466.98389240366</v>
      </c>
      <c r="AC1303" s="174">
        <f t="shared" ca="1" si="8312"/>
        <v>686102.4142472886</v>
      </c>
      <c r="AD1303" s="174">
        <f t="shared" ca="1" si="8312"/>
        <v>766047.6027555078</v>
      </c>
      <c r="AE1303" s="174">
        <f t="shared" ca="1" si="8312"/>
        <v>683172.32325193868</v>
      </c>
      <c r="AF1303" s="174">
        <f t="shared" ca="1" si="8312"/>
        <v>646374.61928547628</v>
      </c>
      <c r="AG1303" s="174">
        <f t="shared" ca="1" si="8312"/>
        <v>617102.44310604664</v>
      </c>
      <c r="AH1303" s="174">
        <f t="shared" ca="1" si="8312"/>
        <v>570756.14798912196</v>
      </c>
      <c r="AI1303" s="174">
        <f t="shared" ca="1" si="8312"/>
        <v>474295.49652612227</v>
      </c>
      <c r="AJ1303" s="174">
        <f t="shared" ca="1" si="8312"/>
        <v>432572.22477545764</v>
      </c>
      <c r="AK1303" s="174">
        <f t="shared" ca="1" si="8312"/>
        <v>400217.02762098348</v>
      </c>
      <c r="AL1303" s="174">
        <f t="shared" ca="1" si="8312"/>
        <v>347763.32068115351</v>
      </c>
      <c r="AM1303" s="174">
        <f t="shared" ca="1" si="8312"/>
        <v>236846.89343588625</v>
      </c>
      <c r="AN1303" s="174">
        <f t="shared" ca="1" si="8312"/>
        <v>191685.54215702583</v>
      </c>
      <c r="AO1303" s="174">
        <f t="shared" ca="1" si="8312"/>
        <v>154300.24168308536</v>
      </c>
      <c r="AP1303" s="174">
        <f t="shared" ca="1" si="8312"/>
        <v>141729.88994279964</v>
      </c>
      <c r="AQ1303" s="174">
        <f t="shared" ca="1" si="8312"/>
        <v>160798.98248832178</v>
      </c>
      <c r="AR1303" s="174">
        <f t="shared" ca="1" si="8312"/>
        <v>61597.462780265138</v>
      </c>
      <c r="AS1303" s="174">
        <f t="shared" ca="1" si="8312"/>
        <v>61934.838676213985</v>
      </c>
      <c r="AT1303" s="174">
        <f t="shared" ca="1" si="8312"/>
        <v>152696.91451470894</v>
      </c>
      <c r="AU1303" s="174">
        <f t="shared" ca="1" si="8312"/>
        <v>166797.13908820559</v>
      </c>
      <c r="AV1303" s="174">
        <f t="shared" ca="1" si="8312"/>
        <v>64056.714336277917</v>
      </c>
      <c r="AW1303" s="174">
        <f t="shared" ca="1" si="8312"/>
        <v>107973.36274285452</v>
      </c>
      <c r="AX1303" s="174">
        <f t="shared" ca="1" si="8312"/>
        <v>84851.201995847252</v>
      </c>
      <c r="AY1303" s="174">
        <f t="shared" ca="1" si="8312"/>
        <v>10608.520906129328</v>
      </c>
      <c r="AZ1303" s="174">
        <f t="shared" ca="1" si="8312"/>
        <v>-42890.270483924673</v>
      </c>
      <c r="BA1303" s="174">
        <f t="shared" ca="1" si="8312"/>
        <v>-1307.0405516153842</v>
      </c>
      <c r="BB1303" s="174">
        <f t="shared" ca="1" si="8312"/>
        <v>61945.077347885817</v>
      </c>
      <c r="BC1303" s="174">
        <f t="shared" ca="1" si="8312"/>
        <v>17715.546658842039</v>
      </c>
      <c r="BD1303" s="174">
        <f t="shared" ca="1" si="8312"/>
        <v>-35884.306000194192</v>
      </c>
      <c r="BE1303" s="174">
        <f t="shared" ca="1" si="8312"/>
        <v>2706.5672388227831</v>
      </c>
      <c r="BF1303" s="174">
        <f t="shared" ca="1" si="8312"/>
        <v>69156.814042669168</v>
      </c>
      <c r="BG1303" s="174">
        <f t="shared" ca="1" si="8312"/>
        <v>23187.540176706039</v>
      </c>
      <c r="BH1303" s="174">
        <f t="shared" ca="1" si="8312"/>
        <v>149271.3857948205</v>
      </c>
      <c r="BI1303" s="174">
        <f t="shared" ca="1" si="8312"/>
        <v>194467.00727934242</v>
      </c>
      <c r="BJ1303" s="174">
        <f t="shared" ca="1" si="8312"/>
        <v>263143.28819603729</v>
      </c>
      <c r="BK1303" s="174">
        <f t="shared" ca="1" si="8312"/>
        <v>215603.7609729098</v>
      </c>
      <c r="BL1303" s="174">
        <f t="shared" ca="1" si="8312"/>
        <v>155296.66139235115</v>
      </c>
      <c r="BM1303" s="174">
        <f t="shared" ca="1" si="8312"/>
        <v>202301.54613887856</v>
      </c>
      <c r="BN1303" s="174">
        <f t="shared" ca="1" si="8312"/>
        <v>273726.34847685776</v>
      </c>
      <c r="BO1303" s="174">
        <f t="shared" ca="1" si="8312"/>
        <v>211339.56051991874</v>
      </c>
      <c r="BP1303" s="174">
        <f t="shared" ca="1" si="8312"/>
        <v>149413.85129333788</v>
      </c>
      <c r="BQ1303" s="174">
        <f t="shared" ca="1" si="8312"/>
        <v>190474.5039588192</v>
      </c>
      <c r="BR1303" s="174">
        <f t="shared" ca="1" si="8312"/>
        <v>258984.87029722304</v>
      </c>
      <c r="BS1303" s="174">
        <f t="shared" ca="1" si="8312"/>
        <v>219743.48235772018</v>
      </c>
      <c r="BT1303" s="174">
        <f t="shared" ca="1" si="8312"/>
        <v>157749.91729861218</v>
      </c>
      <c r="BU1303" s="174">
        <f t="shared" ca="1" si="8312"/>
        <v>197317.58972668709</v>
      </c>
      <c r="BV1303" s="174">
        <f t="shared" ca="1" si="8312"/>
        <v>269303.81083330908</v>
      </c>
      <c r="BW1303" s="174">
        <f t="shared" ca="1" si="8312"/>
        <v>228492.77329331194</v>
      </c>
      <c r="BX1303" s="174">
        <f t="shared" ca="1" si="8312"/>
        <v>161499.22810249944</v>
      </c>
      <c r="BY1303" s="174">
        <f t="shared" ref="BY1303:CO1303" ca="1" si="8313">SUM(BY1300:BY1302)</f>
        <v>205913.19083422472</v>
      </c>
      <c r="BZ1303" s="174">
        <f t="shared" ca="1" si="8313"/>
        <v>280016.72812416521</v>
      </c>
      <c r="CA1303" s="174">
        <f t="shared" ca="1" si="8313"/>
        <v>237573.24292879915</v>
      </c>
      <c r="CB1303" s="174">
        <f t="shared" ca="1" si="8313"/>
        <v>167906.9021982312</v>
      </c>
      <c r="CC1303" s="174">
        <f t="shared" ca="1" si="8313"/>
        <v>214098.72207169505</v>
      </c>
      <c r="CD1303" s="174">
        <f t="shared" ca="1" si="8313"/>
        <v>291167.7366661366</v>
      </c>
      <c r="CE1303" s="174">
        <f t="shared" ca="1" si="8313"/>
        <v>247026.51206295507</v>
      </c>
      <c r="CF1303" s="174">
        <f t="shared" ca="1" si="8313"/>
        <v>174570.84607735806</v>
      </c>
      <c r="CG1303" s="174">
        <f t="shared" ca="1" si="8313"/>
        <v>222611.67455866357</v>
      </c>
      <c r="CH1303" s="174">
        <f t="shared" ca="1" si="8313"/>
        <v>302764.78554978635</v>
      </c>
      <c r="CI1303" s="174">
        <f t="shared" ca="1" si="8313"/>
        <v>256857.91196247865</v>
      </c>
      <c r="CJ1303" s="174">
        <f t="shared" ca="1" si="8313"/>
        <v>184327.12636069866</v>
      </c>
      <c r="CK1303" s="174">
        <f t="shared" ca="1" si="8313"/>
        <v>230615.70664995754</v>
      </c>
      <c r="CL1303" s="174">
        <f t="shared" ca="1" si="8313"/>
        <v>314835.06059641473</v>
      </c>
      <c r="CM1303" s="174">
        <f t="shared" ca="1" si="8313"/>
        <v>267091.91898776783</v>
      </c>
      <c r="CN1303" s="174">
        <f t="shared" ca="1" si="8313"/>
        <v>188709.02758838091</v>
      </c>
      <c r="CO1303" s="174">
        <f t="shared" ca="1" si="8313"/>
        <v>240672.75455501606</v>
      </c>
    </row>
    <row r="1304" spans="1:93">
      <c r="A1304" s="10"/>
      <c r="B1304" s="10"/>
      <c r="C1304" s="21" t="s">
        <v>460</v>
      </c>
      <c r="D1304" s="10"/>
      <c r="E1304" s="10"/>
      <c r="F1304" s="10"/>
      <c r="G1304" s="134" t="str">
        <f t="shared" si="8281"/>
        <v>тыс. руб.</v>
      </c>
      <c r="H1304" s="10"/>
      <c r="I1304" s="23">
        <f ca="1">SUM(L1304:CO1304)</f>
        <v>-3991.4527079620657</v>
      </c>
      <c r="J1304" s="10"/>
      <c r="K1304" s="10"/>
      <c r="L1304" s="52">
        <f t="shared" ref="L1304:BW1304" ca="1" si="8314">Subord_Interest_Paid</f>
        <v>0</v>
      </c>
      <c r="M1304" s="52">
        <f t="shared" ca="1" si="8314"/>
        <v>0</v>
      </c>
      <c r="N1304" s="52">
        <f t="shared" ca="1" si="8314"/>
        <v>0</v>
      </c>
      <c r="O1304" s="52">
        <f t="shared" ca="1" si="8314"/>
        <v>0</v>
      </c>
      <c r="P1304" s="52">
        <f t="shared" ca="1" si="8314"/>
        <v>0</v>
      </c>
      <c r="Q1304" s="52">
        <f t="shared" ca="1" si="8314"/>
        <v>0</v>
      </c>
      <c r="R1304" s="52">
        <f t="shared" ca="1" si="8314"/>
        <v>0</v>
      </c>
      <c r="S1304" s="52">
        <f t="shared" ca="1" si="8314"/>
        <v>0</v>
      </c>
      <c r="T1304" s="52">
        <f t="shared" ca="1" si="8314"/>
        <v>0</v>
      </c>
      <c r="U1304" s="52">
        <f t="shared" ca="1" si="8314"/>
        <v>0</v>
      </c>
      <c r="V1304" s="52">
        <f t="shared" ca="1" si="8314"/>
        <v>0</v>
      </c>
      <c r="W1304" s="52">
        <f t="shared" ca="1" si="8314"/>
        <v>0</v>
      </c>
      <c r="X1304" s="52">
        <f t="shared" ca="1" si="8314"/>
        <v>0</v>
      </c>
      <c r="Y1304" s="52">
        <f t="shared" ca="1" si="8314"/>
        <v>0</v>
      </c>
      <c r="Z1304" s="52">
        <f t="shared" ca="1" si="8314"/>
        <v>0</v>
      </c>
      <c r="AA1304" s="52">
        <f t="shared" ca="1" si="8314"/>
        <v>0</v>
      </c>
      <c r="AB1304" s="52">
        <f t="shared" ca="1" si="8314"/>
        <v>0</v>
      </c>
      <c r="AC1304" s="52">
        <f t="shared" ca="1" si="8314"/>
        <v>0</v>
      </c>
      <c r="AD1304" s="52">
        <f t="shared" ca="1" si="8314"/>
        <v>0</v>
      </c>
      <c r="AE1304" s="52">
        <f t="shared" ca="1" si="8314"/>
        <v>0</v>
      </c>
      <c r="AF1304" s="52">
        <f t="shared" ca="1" si="8314"/>
        <v>0</v>
      </c>
      <c r="AG1304" s="52">
        <f t="shared" ca="1" si="8314"/>
        <v>0</v>
      </c>
      <c r="AH1304" s="52">
        <f t="shared" ca="1" si="8314"/>
        <v>0</v>
      </c>
      <c r="AI1304" s="52">
        <f t="shared" ca="1" si="8314"/>
        <v>0</v>
      </c>
      <c r="AJ1304" s="52">
        <f t="shared" ca="1" si="8314"/>
        <v>0</v>
      </c>
      <c r="AK1304" s="52">
        <f t="shared" ca="1" si="8314"/>
        <v>0</v>
      </c>
      <c r="AL1304" s="52">
        <f t="shared" ca="1" si="8314"/>
        <v>0</v>
      </c>
      <c r="AM1304" s="52">
        <f t="shared" ca="1" si="8314"/>
        <v>0</v>
      </c>
      <c r="AN1304" s="52">
        <f t="shared" ca="1" si="8314"/>
        <v>0</v>
      </c>
      <c r="AO1304" s="52">
        <f t="shared" ca="1" si="8314"/>
        <v>0</v>
      </c>
      <c r="AP1304" s="52">
        <f t="shared" ca="1" si="8314"/>
        <v>0</v>
      </c>
      <c r="AQ1304" s="52">
        <f t="shared" ca="1" si="8314"/>
        <v>0</v>
      </c>
      <c r="AR1304" s="52">
        <f t="shared" ca="1" si="8314"/>
        <v>0</v>
      </c>
      <c r="AS1304" s="52">
        <f t="shared" ca="1" si="8314"/>
        <v>0</v>
      </c>
      <c r="AT1304" s="52">
        <f t="shared" ca="1" si="8314"/>
        <v>0</v>
      </c>
      <c r="AU1304" s="52">
        <f t="shared" ca="1" si="8314"/>
        <v>0</v>
      </c>
      <c r="AV1304" s="52">
        <f t="shared" ca="1" si="8314"/>
        <v>0</v>
      </c>
      <c r="AW1304" s="52">
        <f t="shared" ca="1" si="8314"/>
        <v>0</v>
      </c>
      <c r="AX1304" s="52">
        <f t="shared" ca="1" si="8314"/>
        <v>0</v>
      </c>
      <c r="AY1304" s="52">
        <f t="shared" ca="1" si="8314"/>
        <v>0</v>
      </c>
      <c r="AZ1304" s="52">
        <f t="shared" ca="1" si="8314"/>
        <v>0</v>
      </c>
      <c r="BA1304" s="52">
        <f t="shared" ca="1" si="8314"/>
        <v>0</v>
      </c>
      <c r="BB1304" s="52">
        <f t="shared" ca="1" si="8314"/>
        <v>-1578.8975359324165</v>
      </c>
      <c r="BC1304" s="52">
        <f t="shared" ca="1" si="8314"/>
        <v>0</v>
      </c>
      <c r="BD1304" s="52">
        <f t="shared" ca="1" si="8314"/>
        <v>0</v>
      </c>
      <c r="BE1304" s="52">
        <f t="shared" ca="1" si="8314"/>
        <v>-1224.6918064263284</v>
      </c>
      <c r="BF1304" s="52">
        <f t="shared" ca="1" si="8314"/>
        <v>-1187.8633656033207</v>
      </c>
      <c r="BG1304" s="52">
        <f t="shared" ca="1" si="8314"/>
        <v>0</v>
      </c>
      <c r="BH1304" s="52">
        <f t="shared" ca="1" si="8314"/>
        <v>0</v>
      </c>
      <c r="BI1304" s="52">
        <f t="shared" ca="1" si="8314"/>
        <v>0</v>
      </c>
      <c r="BJ1304" s="52">
        <f t="shared" ca="1" si="8314"/>
        <v>0</v>
      </c>
      <c r="BK1304" s="52">
        <f t="shared" ca="1" si="8314"/>
        <v>0</v>
      </c>
      <c r="BL1304" s="52">
        <f t="shared" ca="1" si="8314"/>
        <v>0</v>
      </c>
      <c r="BM1304" s="52">
        <f t="shared" ca="1" si="8314"/>
        <v>0</v>
      </c>
      <c r="BN1304" s="52">
        <f t="shared" ca="1" si="8314"/>
        <v>0</v>
      </c>
      <c r="BO1304" s="52">
        <f t="shared" ca="1" si="8314"/>
        <v>0</v>
      </c>
      <c r="BP1304" s="52">
        <f t="shared" ca="1" si="8314"/>
        <v>0</v>
      </c>
      <c r="BQ1304" s="52">
        <f t="shared" ca="1" si="8314"/>
        <v>0</v>
      </c>
      <c r="BR1304" s="52">
        <f t="shared" ca="1" si="8314"/>
        <v>0</v>
      </c>
      <c r="BS1304" s="52">
        <f t="shared" ca="1" si="8314"/>
        <v>0</v>
      </c>
      <c r="BT1304" s="52">
        <f t="shared" ca="1" si="8314"/>
        <v>0</v>
      </c>
      <c r="BU1304" s="52">
        <f t="shared" ca="1" si="8314"/>
        <v>0</v>
      </c>
      <c r="BV1304" s="52">
        <f t="shared" ca="1" si="8314"/>
        <v>0</v>
      </c>
      <c r="BW1304" s="52">
        <f t="shared" ca="1" si="8314"/>
        <v>0</v>
      </c>
      <c r="BX1304" s="52">
        <f t="shared" ref="BX1304:CO1304" ca="1" si="8315">Subord_Interest_Paid</f>
        <v>0</v>
      </c>
      <c r="BY1304" s="52">
        <f t="shared" ca="1" si="8315"/>
        <v>0</v>
      </c>
      <c r="BZ1304" s="52">
        <f t="shared" ca="1" si="8315"/>
        <v>0</v>
      </c>
      <c r="CA1304" s="52">
        <f t="shared" ca="1" si="8315"/>
        <v>0</v>
      </c>
      <c r="CB1304" s="52">
        <f t="shared" ca="1" si="8315"/>
        <v>0</v>
      </c>
      <c r="CC1304" s="52">
        <f t="shared" ca="1" si="8315"/>
        <v>0</v>
      </c>
      <c r="CD1304" s="52">
        <f t="shared" ca="1" si="8315"/>
        <v>0</v>
      </c>
      <c r="CE1304" s="52">
        <f t="shared" ca="1" si="8315"/>
        <v>0</v>
      </c>
      <c r="CF1304" s="52">
        <f t="shared" ca="1" si="8315"/>
        <v>0</v>
      </c>
      <c r="CG1304" s="52">
        <f t="shared" ca="1" si="8315"/>
        <v>0</v>
      </c>
      <c r="CH1304" s="52">
        <f t="shared" ca="1" si="8315"/>
        <v>0</v>
      </c>
      <c r="CI1304" s="52">
        <f t="shared" ca="1" si="8315"/>
        <v>0</v>
      </c>
      <c r="CJ1304" s="52">
        <f t="shared" ca="1" si="8315"/>
        <v>0</v>
      </c>
      <c r="CK1304" s="52">
        <f t="shared" ca="1" si="8315"/>
        <v>0</v>
      </c>
      <c r="CL1304" s="52">
        <f t="shared" ca="1" si="8315"/>
        <v>0</v>
      </c>
      <c r="CM1304" s="52">
        <f t="shared" ca="1" si="8315"/>
        <v>0</v>
      </c>
      <c r="CN1304" s="52">
        <f t="shared" ca="1" si="8315"/>
        <v>0</v>
      </c>
      <c r="CO1304" s="52">
        <f t="shared" ca="1" si="8315"/>
        <v>0</v>
      </c>
    </row>
    <row r="1305" spans="1:93">
      <c r="A1305" s="10"/>
      <c r="B1305" s="10"/>
      <c r="C1305" s="21" t="s">
        <v>461</v>
      </c>
      <c r="D1305" s="10"/>
      <c r="E1305" s="10"/>
      <c r="F1305" s="10"/>
      <c r="G1305" s="134" t="str">
        <f t="shared" si="8281"/>
        <v>тыс. руб.</v>
      </c>
      <c r="H1305" s="10"/>
      <c r="I1305" s="23">
        <f ca="1">SUM(L1305:CO1305)</f>
        <v>-82887.317656723957</v>
      </c>
      <c r="J1305" s="10"/>
      <c r="K1305" s="10"/>
      <c r="L1305" s="52">
        <f t="shared" ref="L1305:BW1305" ca="1" si="8316">Subord_Repayment</f>
        <v>0</v>
      </c>
      <c r="M1305" s="52">
        <f t="shared" ca="1" si="8316"/>
        <v>0</v>
      </c>
      <c r="N1305" s="52">
        <f t="shared" ca="1" si="8316"/>
        <v>0</v>
      </c>
      <c r="O1305" s="52">
        <f t="shared" ca="1" si="8316"/>
        <v>0</v>
      </c>
      <c r="P1305" s="52">
        <f t="shared" ca="1" si="8316"/>
        <v>0</v>
      </c>
      <c r="Q1305" s="52">
        <f t="shared" ca="1" si="8316"/>
        <v>0</v>
      </c>
      <c r="R1305" s="52">
        <f t="shared" ca="1" si="8316"/>
        <v>0</v>
      </c>
      <c r="S1305" s="52">
        <f t="shared" ca="1" si="8316"/>
        <v>0</v>
      </c>
      <c r="T1305" s="52">
        <f t="shared" ca="1" si="8316"/>
        <v>0</v>
      </c>
      <c r="U1305" s="52">
        <f t="shared" ca="1" si="8316"/>
        <v>0</v>
      </c>
      <c r="V1305" s="52">
        <f t="shared" ca="1" si="8316"/>
        <v>0</v>
      </c>
      <c r="W1305" s="52">
        <f t="shared" ca="1" si="8316"/>
        <v>0</v>
      </c>
      <c r="X1305" s="52">
        <f t="shared" ca="1" si="8316"/>
        <v>0</v>
      </c>
      <c r="Y1305" s="52">
        <f t="shared" ca="1" si="8316"/>
        <v>0</v>
      </c>
      <c r="Z1305" s="52">
        <f t="shared" ca="1" si="8316"/>
        <v>0</v>
      </c>
      <c r="AA1305" s="52">
        <f t="shared" ca="1" si="8316"/>
        <v>0</v>
      </c>
      <c r="AB1305" s="52">
        <f t="shared" ca="1" si="8316"/>
        <v>0</v>
      </c>
      <c r="AC1305" s="52">
        <f t="shared" ca="1" si="8316"/>
        <v>0</v>
      </c>
      <c r="AD1305" s="52">
        <f t="shared" ca="1" si="8316"/>
        <v>0</v>
      </c>
      <c r="AE1305" s="52">
        <f t="shared" ca="1" si="8316"/>
        <v>0</v>
      </c>
      <c r="AF1305" s="52">
        <f t="shared" ca="1" si="8316"/>
        <v>0</v>
      </c>
      <c r="AG1305" s="52">
        <f t="shared" ca="1" si="8316"/>
        <v>0</v>
      </c>
      <c r="AH1305" s="52">
        <f t="shared" ca="1" si="8316"/>
        <v>0</v>
      </c>
      <c r="AI1305" s="52">
        <f t="shared" ca="1" si="8316"/>
        <v>0</v>
      </c>
      <c r="AJ1305" s="52">
        <f t="shared" ca="1" si="8316"/>
        <v>0</v>
      </c>
      <c r="AK1305" s="52">
        <f t="shared" ca="1" si="8316"/>
        <v>0</v>
      </c>
      <c r="AL1305" s="52">
        <f t="shared" ca="1" si="8316"/>
        <v>0</v>
      </c>
      <c r="AM1305" s="52">
        <f t="shared" ca="1" si="8316"/>
        <v>0</v>
      </c>
      <c r="AN1305" s="52">
        <f t="shared" ca="1" si="8316"/>
        <v>0</v>
      </c>
      <c r="AO1305" s="52">
        <f t="shared" ca="1" si="8316"/>
        <v>0</v>
      </c>
      <c r="AP1305" s="52">
        <f t="shared" ca="1" si="8316"/>
        <v>0</v>
      </c>
      <c r="AQ1305" s="52">
        <f t="shared" ca="1" si="8316"/>
        <v>0</v>
      </c>
      <c r="AR1305" s="52">
        <f t="shared" ca="1" si="8316"/>
        <v>0</v>
      </c>
      <c r="AS1305" s="52">
        <f t="shared" ca="1" si="8316"/>
        <v>0</v>
      </c>
      <c r="AT1305" s="52">
        <f t="shared" ca="1" si="8316"/>
        <v>0</v>
      </c>
      <c r="AU1305" s="52">
        <f t="shared" ca="1" si="8316"/>
        <v>0</v>
      </c>
      <c r="AV1305" s="52">
        <f t="shared" ca="1" si="8316"/>
        <v>0</v>
      </c>
      <c r="AW1305" s="52">
        <f t="shared" ca="1" si="8316"/>
        <v>0</v>
      </c>
      <c r="AX1305" s="52">
        <f t="shared" ca="1" si="8316"/>
        <v>0</v>
      </c>
      <c r="AY1305" s="52">
        <f t="shared" ca="1" si="8316"/>
        <v>0</v>
      </c>
      <c r="AZ1305" s="52">
        <f t="shared" ca="1" si="8316"/>
        <v>0</v>
      </c>
      <c r="BA1305" s="52">
        <f t="shared" ca="1" si="8316"/>
        <v>0</v>
      </c>
      <c r="BB1305" s="52">
        <f t="shared" ca="1" si="8316"/>
        <v>-46400.772996403553</v>
      </c>
      <c r="BC1305" s="52">
        <f t="shared" ca="1" si="8316"/>
        <v>0</v>
      </c>
      <c r="BD1305" s="52">
        <f t="shared" ca="1" si="8316"/>
        <v>0</v>
      </c>
      <c r="BE1305" s="52">
        <f t="shared" ca="1" si="8316"/>
        <v>-1481.8754323964547</v>
      </c>
      <c r="BF1305" s="52">
        <f t="shared" ca="1" si="8316"/>
        <v>-35004.669227923951</v>
      </c>
      <c r="BG1305" s="52">
        <f t="shared" ca="1" si="8316"/>
        <v>0</v>
      </c>
      <c r="BH1305" s="52">
        <f t="shared" ca="1" si="8316"/>
        <v>0</v>
      </c>
      <c r="BI1305" s="52">
        <f t="shared" ca="1" si="8316"/>
        <v>0</v>
      </c>
      <c r="BJ1305" s="52">
        <f t="shared" ca="1" si="8316"/>
        <v>0</v>
      </c>
      <c r="BK1305" s="52">
        <f t="shared" ca="1" si="8316"/>
        <v>0</v>
      </c>
      <c r="BL1305" s="52">
        <f t="shared" ca="1" si="8316"/>
        <v>0</v>
      </c>
      <c r="BM1305" s="52">
        <f t="shared" ca="1" si="8316"/>
        <v>0</v>
      </c>
      <c r="BN1305" s="52">
        <f t="shared" ca="1" si="8316"/>
        <v>0</v>
      </c>
      <c r="BO1305" s="52">
        <f t="shared" ca="1" si="8316"/>
        <v>0</v>
      </c>
      <c r="BP1305" s="52">
        <f t="shared" ca="1" si="8316"/>
        <v>0</v>
      </c>
      <c r="BQ1305" s="52">
        <f t="shared" ca="1" si="8316"/>
        <v>0</v>
      </c>
      <c r="BR1305" s="52">
        <f t="shared" ca="1" si="8316"/>
        <v>0</v>
      </c>
      <c r="BS1305" s="52">
        <f t="shared" ca="1" si="8316"/>
        <v>0</v>
      </c>
      <c r="BT1305" s="52">
        <f t="shared" ca="1" si="8316"/>
        <v>0</v>
      </c>
      <c r="BU1305" s="52">
        <f t="shared" ca="1" si="8316"/>
        <v>0</v>
      </c>
      <c r="BV1305" s="52">
        <f t="shared" ca="1" si="8316"/>
        <v>0</v>
      </c>
      <c r="BW1305" s="52">
        <f t="shared" ca="1" si="8316"/>
        <v>0</v>
      </c>
      <c r="BX1305" s="52">
        <f t="shared" ref="BX1305:CO1305" ca="1" si="8317">Subord_Repayment</f>
        <v>0</v>
      </c>
      <c r="BY1305" s="52">
        <f t="shared" ca="1" si="8317"/>
        <v>0</v>
      </c>
      <c r="BZ1305" s="52">
        <f t="shared" ca="1" si="8317"/>
        <v>0</v>
      </c>
      <c r="CA1305" s="52">
        <f t="shared" ca="1" si="8317"/>
        <v>0</v>
      </c>
      <c r="CB1305" s="52">
        <f t="shared" ca="1" si="8317"/>
        <v>0</v>
      </c>
      <c r="CC1305" s="52">
        <f t="shared" ca="1" si="8317"/>
        <v>0</v>
      </c>
      <c r="CD1305" s="52">
        <f t="shared" ca="1" si="8317"/>
        <v>0</v>
      </c>
      <c r="CE1305" s="52">
        <f t="shared" ca="1" si="8317"/>
        <v>0</v>
      </c>
      <c r="CF1305" s="52">
        <f t="shared" ca="1" si="8317"/>
        <v>0</v>
      </c>
      <c r="CG1305" s="52">
        <f t="shared" ca="1" si="8317"/>
        <v>0</v>
      </c>
      <c r="CH1305" s="52">
        <f t="shared" ca="1" si="8317"/>
        <v>0</v>
      </c>
      <c r="CI1305" s="52">
        <f t="shared" ca="1" si="8317"/>
        <v>0</v>
      </c>
      <c r="CJ1305" s="52">
        <f t="shared" ca="1" si="8317"/>
        <v>0</v>
      </c>
      <c r="CK1305" s="52">
        <f t="shared" ca="1" si="8317"/>
        <v>0</v>
      </c>
      <c r="CL1305" s="52">
        <f t="shared" ca="1" si="8317"/>
        <v>0</v>
      </c>
      <c r="CM1305" s="52">
        <f t="shared" ca="1" si="8317"/>
        <v>0</v>
      </c>
      <c r="CN1305" s="52">
        <f t="shared" ca="1" si="8317"/>
        <v>0</v>
      </c>
      <c r="CO1305" s="52">
        <f t="shared" ca="1" si="8317"/>
        <v>0</v>
      </c>
    </row>
    <row r="1306" spans="1:93" ht="15" thickBot="1">
      <c r="A1306" s="10"/>
      <c r="B1306" s="10"/>
      <c r="C1306" s="21" t="s">
        <v>462</v>
      </c>
      <c r="D1306" s="10"/>
      <c r="E1306" s="10"/>
      <c r="F1306" s="10"/>
      <c r="G1306" s="134" t="str">
        <f t="shared" si="8281"/>
        <v>тыс. руб.</v>
      </c>
      <c r="H1306" s="10"/>
      <c r="I1306" s="23">
        <f ca="1">SUM(L1306:CO1306)</f>
        <v>-9928390.6209045984</v>
      </c>
      <c r="J1306" s="10"/>
      <c r="K1306" s="10"/>
      <c r="L1306" s="52">
        <f t="shared" ref="L1306:BW1306" ca="1" si="8318">Dividends</f>
        <v>0</v>
      </c>
      <c r="M1306" s="52">
        <f t="shared" ca="1" si="8318"/>
        <v>0</v>
      </c>
      <c r="N1306" s="52">
        <f t="shared" ca="1" si="8318"/>
        <v>0</v>
      </c>
      <c r="O1306" s="52">
        <f t="shared" ca="1" si="8318"/>
        <v>0</v>
      </c>
      <c r="P1306" s="52">
        <f t="shared" ca="1" si="8318"/>
        <v>0</v>
      </c>
      <c r="Q1306" s="52">
        <f t="shared" ca="1" si="8318"/>
        <v>0</v>
      </c>
      <c r="R1306" s="52">
        <f t="shared" ca="1" si="8318"/>
        <v>0</v>
      </c>
      <c r="S1306" s="52">
        <f t="shared" ca="1" si="8318"/>
        <v>0</v>
      </c>
      <c r="T1306" s="52">
        <f t="shared" ca="1" si="8318"/>
        <v>0</v>
      </c>
      <c r="U1306" s="52">
        <f t="shared" ca="1" si="8318"/>
        <v>0</v>
      </c>
      <c r="V1306" s="52">
        <f t="shared" ca="1" si="8318"/>
        <v>0</v>
      </c>
      <c r="W1306" s="52">
        <f t="shared" ca="1" si="8318"/>
        <v>0</v>
      </c>
      <c r="X1306" s="52">
        <f t="shared" ca="1" si="8318"/>
        <v>0</v>
      </c>
      <c r="Y1306" s="52">
        <f t="shared" ca="1" si="8318"/>
        <v>0</v>
      </c>
      <c r="Z1306" s="52">
        <f t="shared" ca="1" si="8318"/>
        <v>0</v>
      </c>
      <c r="AA1306" s="52">
        <f t="shared" ca="1" si="8318"/>
        <v>0</v>
      </c>
      <c r="AB1306" s="52">
        <f t="shared" ca="1" si="8318"/>
        <v>0</v>
      </c>
      <c r="AC1306" s="52">
        <f t="shared" ca="1" si="8318"/>
        <v>-59050.396968304172</v>
      </c>
      <c r="AD1306" s="52">
        <f t="shared" ca="1" si="8318"/>
        <v>-119023.22889081783</v>
      </c>
      <c r="AE1306" s="52">
        <f t="shared" ca="1" si="8318"/>
        <v>-15387.84726569222</v>
      </c>
      <c r="AF1306" s="52">
        <f t="shared" ca="1" si="8318"/>
        <v>-15602.228439205819</v>
      </c>
      <c r="AG1306" s="52">
        <f t="shared" ca="1" si="8318"/>
        <v>-103528.78142452038</v>
      </c>
      <c r="AH1306" s="52">
        <f t="shared" ca="1" si="8318"/>
        <v>-174633.84564213705</v>
      </c>
      <c r="AI1306" s="52">
        <f t="shared" ca="1" si="8318"/>
        <v>-50450.080372379787</v>
      </c>
      <c r="AJ1306" s="52">
        <f t="shared" ca="1" si="8318"/>
        <v>-49365.781800626079</v>
      </c>
      <c r="AK1306" s="52">
        <f t="shared" ca="1" si="8318"/>
        <v>-151929.51476411583</v>
      </c>
      <c r="AL1306" s="52">
        <f t="shared" ca="1" si="8318"/>
        <v>-234119.38886266688</v>
      </c>
      <c r="AM1306" s="52">
        <f t="shared" ca="1" si="8318"/>
        <v>-87909.661208764373</v>
      </c>
      <c r="AN1306" s="52">
        <f t="shared" ca="1" si="8318"/>
        <v>-87322.38730505429</v>
      </c>
      <c r="AO1306" s="52">
        <f t="shared" ca="1" si="8318"/>
        <v>-154300.24168308536</v>
      </c>
      <c r="AP1306" s="52">
        <f t="shared" ca="1" si="8318"/>
        <v>-141729.88994279964</v>
      </c>
      <c r="AQ1306" s="52">
        <f t="shared" ca="1" si="8318"/>
        <v>-160798.98248832178</v>
      </c>
      <c r="AR1306" s="52">
        <f t="shared" ca="1" si="8318"/>
        <v>-61597.462780265138</v>
      </c>
      <c r="AS1306" s="52">
        <f t="shared" ca="1" si="8318"/>
        <v>-61934.838676213985</v>
      </c>
      <c r="AT1306" s="52">
        <f t="shared" ca="1" si="8318"/>
        <v>-152696.91451470894</v>
      </c>
      <c r="AU1306" s="52">
        <f t="shared" ca="1" si="8318"/>
        <v>-166797.13908820559</v>
      </c>
      <c r="AV1306" s="52">
        <f t="shared" ca="1" si="8318"/>
        <v>-64056.714336277917</v>
      </c>
      <c r="AW1306" s="52">
        <f t="shared" ca="1" si="8318"/>
        <v>-107973.36274285452</v>
      </c>
      <c r="AX1306" s="52">
        <f t="shared" ca="1" si="8318"/>
        <v>-84851.201995847252</v>
      </c>
      <c r="AY1306" s="52">
        <f t="shared" ca="1" si="8318"/>
        <v>-10608.520906129328</v>
      </c>
      <c r="AZ1306" s="52">
        <f t="shared" ca="1" si="8318"/>
        <v>0</v>
      </c>
      <c r="BA1306" s="52">
        <f t="shared" ca="1" si="8318"/>
        <v>0</v>
      </c>
      <c r="BB1306" s="52">
        <f t="shared" ca="1" si="8318"/>
        <v>-13965.406815549846</v>
      </c>
      <c r="BC1306" s="52">
        <f t="shared" ca="1" si="8318"/>
        <v>-17715.546658842039</v>
      </c>
      <c r="BD1306" s="52">
        <f t="shared" ca="1" si="8318"/>
        <v>0</v>
      </c>
      <c r="BE1306" s="52">
        <f t="shared" ca="1" si="8318"/>
        <v>0</v>
      </c>
      <c r="BF1306" s="52">
        <f t="shared" ca="1" si="8318"/>
        <v>-32964.281449141898</v>
      </c>
      <c r="BG1306" s="52">
        <f t="shared" ca="1" si="8318"/>
        <v>-23187.540176706039</v>
      </c>
      <c r="BH1306" s="52">
        <f t="shared" ca="1" si="8318"/>
        <v>-149271.3857948205</v>
      </c>
      <c r="BI1306" s="52">
        <f t="shared" ca="1" si="8318"/>
        <v>-194467.00727934242</v>
      </c>
      <c r="BJ1306" s="52">
        <f t="shared" ca="1" si="8318"/>
        <v>-263143.28819603729</v>
      </c>
      <c r="BK1306" s="52">
        <f t="shared" ca="1" si="8318"/>
        <v>-215603.7609729098</v>
      </c>
      <c r="BL1306" s="52">
        <f t="shared" ca="1" si="8318"/>
        <v>-155296.66139235115</v>
      </c>
      <c r="BM1306" s="52">
        <f t="shared" ca="1" si="8318"/>
        <v>-202301.54613887856</v>
      </c>
      <c r="BN1306" s="52">
        <f t="shared" ca="1" si="8318"/>
        <v>-273726.34847685776</v>
      </c>
      <c r="BO1306" s="52">
        <f t="shared" ca="1" si="8318"/>
        <v>-211339.56051991874</v>
      </c>
      <c r="BP1306" s="52">
        <f t="shared" ca="1" si="8318"/>
        <v>-149413.85129333788</v>
      </c>
      <c r="BQ1306" s="52">
        <f t="shared" ca="1" si="8318"/>
        <v>-190474.5039588192</v>
      </c>
      <c r="BR1306" s="52">
        <f t="shared" ca="1" si="8318"/>
        <v>-258984.87029722304</v>
      </c>
      <c r="BS1306" s="52">
        <f t="shared" ca="1" si="8318"/>
        <v>-219743.48235772018</v>
      </c>
      <c r="BT1306" s="52">
        <f t="shared" ca="1" si="8318"/>
        <v>-157749.91729861218</v>
      </c>
      <c r="BU1306" s="52">
        <f t="shared" ca="1" si="8318"/>
        <v>-197317.58972668709</v>
      </c>
      <c r="BV1306" s="52">
        <f t="shared" ca="1" si="8318"/>
        <v>-269303.81083330908</v>
      </c>
      <c r="BW1306" s="52">
        <f t="shared" ca="1" si="8318"/>
        <v>-228492.77329331194</v>
      </c>
      <c r="BX1306" s="52">
        <f t="shared" ref="BX1306:CO1306" ca="1" si="8319">Dividends</f>
        <v>-161499.22810249944</v>
      </c>
      <c r="BY1306" s="52">
        <f t="shared" ca="1" si="8319"/>
        <v>-205913.19083422472</v>
      </c>
      <c r="BZ1306" s="52">
        <f t="shared" ca="1" si="8319"/>
        <v>-280016.72812416521</v>
      </c>
      <c r="CA1306" s="52">
        <f t="shared" ca="1" si="8319"/>
        <v>-237573.24292879915</v>
      </c>
      <c r="CB1306" s="52">
        <f t="shared" ca="1" si="8319"/>
        <v>-167906.9021982312</v>
      </c>
      <c r="CC1306" s="52">
        <f t="shared" ca="1" si="8319"/>
        <v>-214098.72207169505</v>
      </c>
      <c r="CD1306" s="52">
        <f t="shared" ca="1" si="8319"/>
        <v>-291167.7366661366</v>
      </c>
      <c r="CE1306" s="52">
        <f t="shared" ca="1" si="8319"/>
        <v>-247026.51206295507</v>
      </c>
      <c r="CF1306" s="52">
        <f t="shared" ca="1" si="8319"/>
        <v>-174570.84607735806</v>
      </c>
      <c r="CG1306" s="52">
        <f t="shared" ca="1" si="8319"/>
        <v>-222611.67455866357</v>
      </c>
      <c r="CH1306" s="52">
        <f t="shared" ca="1" si="8319"/>
        <v>-302764.78554978635</v>
      </c>
      <c r="CI1306" s="52">
        <f t="shared" ca="1" si="8319"/>
        <v>-256857.91196247865</v>
      </c>
      <c r="CJ1306" s="52">
        <f t="shared" ca="1" si="8319"/>
        <v>-184327.12636069866</v>
      </c>
      <c r="CK1306" s="52">
        <f t="shared" ca="1" si="8319"/>
        <v>-230615.70664995754</v>
      </c>
      <c r="CL1306" s="52">
        <f t="shared" ca="1" si="8319"/>
        <v>-314835.06059641473</v>
      </c>
      <c r="CM1306" s="52">
        <f t="shared" ca="1" si="8319"/>
        <v>-267091.91898776783</v>
      </c>
      <c r="CN1306" s="52">
        <f t="shared" ca="1" si="8319"/>
        <v>-188709.02758838091</v>
      </c>
      <c r="CO1306" s="52">
        <f t="shared" ca="1" si="8319"/>
        <v>-240672.75455501606</v>
      </c>
    </row>
    <row r="1307" spans="1:93" ht="15" thickTop="1">
      <c r="A1307" s="35"/>
      <c r="B1307" s="35"/>
      <c r="C1307" s="208" t="s">
        <v>200</v>
      </c>
      <c r="D1307" s="49"/>
      <c r="E1307" s="49"/>
      <c r="F1307" s="49"/>
      <c r="G1307" s="137" t="str">
        <f t="shared" si="8281"/>
        <v>тыс. руб.</v>
      </c>
      <c r="H1307" s="49"/>
      <c r="I1307" s="49"/>
      <c r="J1307" s="49"/>
      <c r="K1307" s="49"/>
      <c r="L1307" s="174">
        <f t="shared" ref="L1307" ca="1" si="8320">SUM(L1303:L1306)</f>
        <v>-31406.153379286916</v>
      </c>
      <c r="M1307" s="174">
        <f t="shared" ref="M1307:BX1307" ca="1" si="8321">SUM(M1303:M1306)</f>
        <v>-31851.960190507532</v>
      </c>
      <c r="N1307" s="174">
        <f t="shared" ca="1" si="8321"/>
        <v>-32304.095179220327</v>
      </c>
      <c r="O1307" s="174">
        <f t="shared" ca="1" si="8321"/>
        <v>-32762.648173192309</v>
      </c>
      <c r="P1307" s="174">
        <f t="shared" ca="1" si="8321"/>
        <v>-275591.46580799518</v>
      </c>
      <c r="Q1307" s="174">
        <f t="shared" ca="1" si="8321"/>
        <v>-278306.9805620276</v>
      </c>
      <c r="R1307" s="174">
        <f t="shared" ca="1" si="8321"/>
        <v>-281049.25238692126</v>
      </c>
      <c r="S1307" s="174">
        <f t="shared" ca="1" si="8321"/>
        <v>-284557.53667344904</v>
      </c>
      <c r="T1307" s="174">
        <f t="shared" ca="1" si="8321"/>
        <v>-293195.77878796187</v>
      </c>
      <c r="U1307" s="174">
        <f t="shared" ca="1" si="8321"/>
        <v>-299864.08841733454</v>
      </c>
      <c r="V1307" s="174">
        <f t="shared" ca="1" si="8321"/>
        <v>-306680.671823757</v>
      </c>
      <c r="W1307" s="174">
        <f t="shared" ca="1" si="8321"/>
        <v>-313448.73444932338</v>
      </c>
      <c r="X1307" s="174">
        <f t="shared" ca="1" si="8321"/>
        <v>-646653.2581487901</v>
      </c>
      <c r="Y1307" s="174">
        <f t="shared" ca="1" si="8321"/>
        <v>-660955.27495578071</v>
      </c>
      <c r="Z1307" s="174">
        <f t="shared" ca="1" si="8321"/>
        <v>-675843.90368952369</v>
      </c>
      <c r="AA1307" s="174">
        <f t="shared" ca="1" si="8321"/>
        <v>-690520.69372146716</v>
      </c>
      <c r="AB1307" s="174">
        <f t="shared" ca="1" si="8321"/>
        <v>-890466.98389240366</v>
      </c>
      <c r="AC1307" s="174">
        <f t="shared" ca="1" si="8321"/>
        <v>627052.01727898442</v>
      </c>
      <c r="AD1307" s="174">
        <f t="shared" ca="1" si="8321"/>
        <v>647024.37386468996</v>
      </c>
      <c r="AE1307" s="174">
        <f t="shared" ca="1" si="8321"/>
        <v>667784.47598624649</v>
      </c>
      <c r="AF1307" s="174">
        <f t="shared" ca="1" si="8321"/>
        <v>630772.39084627049</v>
      </c>
      <c r="AG1307" s="174">
        <f t="shared" ca="1" si="8321"/>
        <v>513573.66168152628</v>
      </c>
      <c r="AH1307" s="174">
        <f t="shared" ca="1" si="8321"/>
        <v>396122.30234698491</v>
      </c>
      <c r="AI1307" s="174">
        <f t="shared" ca="1" si="8321"/>
        <v>423845.41615374247</v>
      </c>
      <c r="AJ1307" s="174">
        <f t="shared" ca="1" si="8321"/>
        <v>383206.44297483156</v>
      </c>
      <c r="AK1307" s="174">
        <f t="shared" ca="1" si="8321"/>
        <v>248287.51285686766</v>
      </c>
      <c r="AL1307" s="174">
        <f t="shared" ca="1" si="8321"/>
        <v>113643.93181848663</v>
      </c>
      <c r="AM1307" s="174">
        <f t="shared" ca="1" si="8321"/>
        <v>148937.23222712189</v>
      </c>
      <c r="AN1307" s="174">
        <f t="shared" ca="1" si="8321"/>
        <v>104363.15485197154</v>
      </c>
      <c r="AO1307" s="174">
        <f t="shared" ca="1" si="8321"/>
        <v>0</v>
      </c>
      <c r="AP1307" s="174">
        <f t="shared" ca="1" si="8321"/>
        <v>0</v>
      </c>
      <c r="AQ1307" s="174">
        <f t="shared" ca="1" si="8321"/>
        <v>0</v>
      </c>
      <c r="AR1307" s="174">
        <f t="shared" ca="1" si="8321"/>
        <v>0</v>
      </c>
      <c r="AS1307" s="174">
        <f t="shared" ca="1" si="8321"/>
        <v>0</v>
      </c>
      <c r="AT1307" s="174">
        <f t="shared" ca="1" si="8321"/>
        <v>0</v>
      </c>
      <c r="AU1307" s="174">
        <f t="shared" ca="1" si="8321"/>
        <v>0</v>
      </c>
      <c r="AV1307" s="174">
        <f t="shared" ca="1" si="8321"/>
        <v>0</v>
      </c>
      <c r="AW1307" s="174">
        <f t="shared" ca="1" si="8321"/>
        <v>0</v>
      </c>
      <c r="AX1307" s="174">
        <f t="shared" ca="1" si="8321"/>
        <v>0</v>
      </c>
      <c r="AY1307" s="174">
        <f t="shared" ca="1" si="8321"/>
        <v>0</v>
      </c>
      <c r="AZ1307" s="174">
        <f t="shared" ca="1" si="8321"/>
        <v>-42890.270483924673</v>
      </c>
      <c r="BA1307" s="174">
        <f t="shared" ca="1" si="8321"/>
        <v>-1307.0405516153842</v>
      </c>
      <c r="BB1307" s="174">
        <f t="shared" ca="1" si="8321"/>
        <v>0</v>
      </c>
      <c r="BC1307" s="174">
        <f t="shared" ca="1" si="8321"/>
        <v>0</v>
      </c>
      <c r="BD1307" s="174">
        <f t="shared" ca="1" si="8321"/>
        <v>-35884.306000194192</v>
      </c>
      <c r="BE1307" s="174">
        <f t="shared" ca="1" si="8321"/>
        <v>0</v>
      </c>
      <c r="BF1307" s="174">
        <f t="shared" ca="1" si="8321"/>
        <v>0</v>
      </c>
      <c r="BG1307" s="174">
        <f t="shared" ca="1" si="8321"/>
        <v>0</v>
      </c>
      <c r="BH1307" s="174">
        <f t="shared" ca="1" si="8321"/>
        <v>0</v>
      </c>
      <c r="BI1307" s="174">
        <f t="shared" ca="1" si="8321"/>
        <v>0</v>
      </c>
      <c r="BJ1307" s="174">
        <f t="shared" ca="1" si="8321"/>
        <v>0</v>
      </c>
      <c r="BK1307" s="174">
        <f t="shared" ca="1" si="8321"/>
        <v>0</v>
      </c>
      <c r="BL1307" s="174">
        <f t="shared" ca="1" si="8321"/>
        <v>0</v>
      </c>
      <c r="BM1307" s="174">
        <f t="shared" ca="1" si="8321"/>
        <v>0</v>
      </c>
      <c r="BN1307" s="174">
        <f t="shared" ca="1" si="8321"/>
        <v>0</v>
      </c>
      <c r="BO1307" s="174">
        <f t="shared" ca="1" si="8321"/>
        <v>0</v>
      </c>
      <c r="BP1307" s="174">
        <f t="shared" ca="1" si="8321"/>
        <v>0</v>
      </c>
      <c r="BQ1307" s="174">
        <f t="shared" ca="1" si="8321"/>
        <v>0</v>
      </c>
      <c r="BR1307" s="174">
        <f t="shared" ca="1" si="8321"/>
        <v>0</v>
      </c>
      <c r="BS1307" s="174">
        <f t="shared" ca="1" si="8321"/>
        <v>0</v>
      </c>
      <c r="BT1307" s="174">
        <f t="shared" ca="1" si="8321"/>
        <v>0</v>
      </c>
      <c r="BU1307" s="174">
        <f t="shared" ca="1" si="8321"/>
        <v>0</v>
      </c>
      <c r="BV1307" s="174">
        <f t="shared" ca="1" si="8321"/>
        <v>0</v>
      </c>
      <c r="BW1307" s="174">
        <f t="shared" ca="1" si="8321"/>
        <v>0</v>
      </c>
      <c r="BX1307" s="174">
        <f t="shared" ca="1" si="8321"/>
        <v>0</v>
      </c>
      <c r="BY1307" s="174">
        <f t="shared" ref="BY1307:CO1307" ca="1" si="8322">SUM(BY1303:BY1306)</f>
        <v>0</v>
      </c>
      <c r="BZ1307" s="174">
        <f t="shared" ca="1" si="8322"/>
        <v>0</v>
      </c>
      <c r="CA1307" s="174">
        <f t="shared" ca="1" si="8322"/>
        <v>0</v>
      </c>
      <c r="CB1307" s="174">
        <f t="shared" ca="1" si="8322"/>
        <v>0</v>
      </c>
      <c r="CC1307" s="174">
        <f t="shared" ca="1" si="8322"/>
        <v>0</v>
      </c>
      <c r="CD1307" s="174">
        <f t="shared" ca="1" si="8322"/>
        <v>0</v>
      </c>
      <c r="CE1307" s="174">
        <f t="shared" ca="1" si="8322"/>
        <v>0</v>
      </c>
      <c r="CF1307" s="174">
        <f t="shared" ca="1" si="8322"/>
        <v>0</v>
      </c>
      <c r="CG1307" s="174">
        <f t="shared" ca="1" si="8322"/>
        <v>0</v>
      </c>
      <c r="CH1307" s="174">
        <f t="shared" ca="1" si="8322"/>
        <v>0</v>
      </c>
      <c r="CI1307" s="174">
        <f t="shared" ca="1" si="8322"/>
        <v>0</v>
      </c>
      <c r="CJ1307" s="174">
        <f t="shared" ca="1" si="8322"/>
        <v>0</v>
      </c>
      <c r="CK1307" s="174">
        <f t="shared" ca="1" si="8322"/>
        <v>0</v>
      </c>
      <c r="CL1307" s="174">
        <f t="shared" ca="1" si="8322"/>
        <v>0</v>
      </c>
      <c r="CM1307" s="174">
        <f t="shared" ca="1" si="8322"/>
        <v>0</v>
      </c>
      <c r="CN1307" s="174">
        <f t="shared" ca="1" si="8322"/>
        <v>0</v>
      </c>
      <c r="CO1307" s="174">
        <f t="shared" ca="1" si="8322"/>
        <v>0</v>
      </c>
    </row>
    <row r="1308" spans="1:93">
      <c r="A1308" s="10"/>
      <c r="B1308" s="10"/>
      <c r="C1308" s="21" t="s">
        <v>463</v>
      </c>
      <c r="D1308" s="10"/>
      <c r="E1308" s="10"/>
      <c r="F1308" s="10"/>
      <c r="G1308" s="134" t="str">
        <f t="shared" si="8281"/>
        <v>тыс. руб.</v>
      </c>
      <c r="H1308" s="10"/>
      <c r="I1308" s="23">
        <f>SUM(L1308:CO1308)</f>
        <v>1409395.9556502979</v>
      </c>
      <c r="J1308" s="10"/>
      <c r="K1308" s="10"/>
      <c r="L1308" s="52">
        <f t="shared" ref="L1308:BW1308" si="8323">Equity_Drawdown</f>
        <v>31406.153379286916</v>
      </c>
      <c r="M1308" s="52">
        <f t="shared" si="8323"/>
        <v>31851.960190507532</v>
      </c>
      <c r="N1308" s="52">
        <f t="shared" si="8323"/>
        <v>32304.095179220327</v>
      </c>
      <c r="O1308" s="52">
        <f t="shared" si="8323"/>
        <v>32762.648173192309</v>
      </c>
      <c r="P1308" s="52">
        <f t="shared" si="8323"/>
        <v>275591.46580799518</v>
      </c>
      <c r="Q1308" s="52">
        <f t="shared" si="8323"/>
        <v>278306.9805620276</v>
      </c>
      <c r="R1308" s="52">
        <f t="shared" si="8323"/>
        <v>281049.25238692126</v>
      </c>
      <c r="S1308" s="52">
        <f t="shared" si="8323"/>
        <v>191482.31721048584</v>
      </c>
      <c r="T1308" s="52">
        <f t="shared" si="8323"/>
        <v>6580.6543476469105</v>
      </c>
      <c r="U1308" s="52">
        <f t="shared" si="8323"/>
        <v>10424.828632825871</v>
      </c>
      <c r="V1308" s="52">
        <f t="shared" si="8323"/>
        <v>14389.449341359013</v>
      </c>
      <c r="W1308" s="52">
        <f t="shared" si="8323"/>
        <v>18277.447721111192</v>
      </c>
      <c r="X1308" s="52">
        <f t="shared" si="8323"/>
        <v>24140.856838778414</v>
      </c>
      <c r="Y1308" s="52">
        <f t="shared" si="8323"/>
        <v>32309.00587388641</v>
      </c>
      <c r="Z1308" s="52">
        <f t="shared" si="8323"/>
        <v>41003.327342873301</v>
      </c>
      <c r="AA1308" s="52">
        <f t="shared" si="8323"/>
        <v>49424.775082291708</v>
      </c>
      <c r="AB1308" s="52">
        <f t="shared" si="8323"/>
        <v>58090.737579888082</v>
      </c>
      <c r="AC1308" s="52">
        <f t="shared" si="8323"/>
        <v>0</v>
      </c>
      <c r="AD1308" s="52">
        <f t="shared" si="8323"/>
        <v>0</v>
      </c>
      <c r="AE1308" s="52">
        <f t="shared" si="8323"/>
        <v>0</v>
      </c>
      <c r="AF1308" s="52">
        <f t="shared" si="8323"/>
        <v>0</v>
      </c>
      <c r="AG1308" s="52">
        <f t="shared" si="8323"/>
        <v>0</v>
      </c>
      <c r="AH1308" s="52">
        <f t="shared" si="8323"/>
        <v>0</v>
      </c>
      <c r="AI1308" s="52">
        <f t="shared" si="8323"/>
        <v>0</v>
      </c>
      <c r="AJ1308" s="52">
        <f t="shared" si="8323"/>
        <v>0</v>
      </c>
      <c r="AK1308" s="52">
        <f t="shared" si="8323"/>
        <v>0</v>
      </c>
      <c r="AL1308" s="52">
        <f t="shared" si="8323"/>
        <v>0</v>
      </c>
      <c r="AM1308" s="52">
        <f t="shared" si="8323"/>
        <v>0</v>
      </c>
      <c r="AN1308" s="52">
        <f t="shared" si="8323"/>
        <v>0</v>
      </c>
      <c r="AO1308" s="52">
        <f t="shared" si="8323"/>
        <v>0</v>
      </c>
      <c r="AP1308" s="52">
        <f t="shared" si="8323"/>
        <v>0</v>
      </c>
      <c r="AQ1308" s="52">
        <f t="shared" si="8323"/>
        <v>0</v>
      </c>
      <c r="AR1308" s="52">
        <f t="shared" si="8323"/>
        <v>0</v>
      </c>
      <c r="AS1308" s="52">
        <f t="shared" si="8323"/>
        <v>0</v>
      </c>
      <c r="AT1308" s="52">
        <f t="shared" si="8323"/>
        <v>0</v>
      </c>
      <c r="AU1308" s="52">
        <f t="shared" si="8323"/>
        <v>0</v>
      </c>
      <c r="AV1308" s="52">
        <f t="shared" si="8323"/>
        <v>0</v>
      </c>
      <c r="AW1308" s="52">
        <f t="shared" si="8323"/>
        <v>0</v>
      </c>
      <c r="AX1308" s="52">
        <f t="shared" si="8323"/>
        <v>0</v>
      </c>
      <c r="AY1308" s="52">
        <f t="shared" si="8323"/>
        <v>0</v>
      </c>
      <c r="AZ1308" s="52">
        <f t="shared" si="8323"/>
        <v>0</v>
      </c>
      <c r="BA1308" s="52">
        <f t="shared" si="8323"/>
        <v>0</v>
      </c>
      <c r="BB1308" s="52">
        <f t="shared" si="8323"/>
        <v>0</v>
      </c>
      <c r="BC1308" s="52">
        <f t="shared" si="8323"/>
        <v>0</v>
      </c>
      <c r="BD1308" s="52">
        <f t="shared" si="8323"/>
        <v>0</v>
      </c>
      <c r="BE1308" s="52">
        <f t="shared" si="8323"/>
        <v>0</v>
      </c>
      <c r="BF1308" s="52">
        <f t="shared" si="8323"/>
        <v>0</v>
      </c>
      <c r="BG1308" s="52">
        <f t="shared" si="8323"/>
        <v>0</v>
      </c>
      <c r="BH1308" s="52">
        <f t="shared" si="8323"/>
        <v>0</v>
      </c>
      <c r="BI1308" s="52">
        <f t="shared" si="8323"/>
        <v>0</v>
      </c>
      <c r="BJ1308" s="52">
        <f t="shared" si="8323"/>
        <v>0</v>
      </c>
      <c r="BK1308" s="52">
        <f t="shared" si="8323"/>
        <v>0</v>
      </c>
      <c r="BL1308" s="52">
        <f t="shared" si="8323"/>
        <v>0</v>
      </c>
      <c r="BM1308" s="52">
        <f t="shared" si="8323"/>
        <v>0</v>
      </c>
      <c r="BN1308" s="52">
        <f t="shared" si="8323"/>
        <v>0</v>
      </c>
      <c r="BO1308" s="52">
        <f t="shared" si="8323"/>
        <v>0</v>
      </c>
      <c r="BP1308" s="52">
        <f t="shared" si="8323"/>
        <v>0</v>
      </c>
      <c r="BQ1308" s="52">
        <f t="shared" si="8323"/>
        <v>0</v>
      </c>
      <c r="BR1308" s="52">
        <f t="shared" si="8323"/>
        <v>0</v>
      </c>
      <c r="BS1308" s="52">
        <f t="shared" si="8323"/>
        <v>0</v>
      </c>
      <c r="BT1308" s="52">
        <f t="shared" si="8323"/>
        <v>0</v>
      </c>
      <c r="BU1308" s="52">
        <f t="shared" si="8323"/>
        <v>0</v>
      </c>
      <c r="BV1308" s="52">
        <f t="shared" si="8323"/>
        <v>0</v>
      </c>
      <c r="BW1308" s="52">
        <f t="shared" si="8323"/>
        <v>0</v>
      </c>
      <c r="BX1308" s="52">
        <f t="shared" ref="BX1308:CO1308" si="8324">Equity_Drawdown</f>
        <v>0</v>
      </c>
      <c r="BY1308" s="52">
        <f t="shared" si="8324"/>
        <v>0</v>
      </c>
      <c r="BZ1308" s="52">
        <f t="shared" si="8324"/>
        <v>0</v>
      </c>
      <c r="CA1308" s="52">
        <f t="shared" si="8324"/>
        <v>0</v>
      </c>
      <c r="CB1308" s="52">
        <f t="shared" si="8324"/>
        <v>0</v>
      </c>
      <c r="CC1308" s="52">
        <f t="shared" si="8324"/>
        <v>0</v>
      </c>
      <c r="CD1308" s="52">
        <f t="shared" si="8324"/>
        <v>0</v>
      </c>
      <c r="CE1308" s="52">
        <f t="shared" si="8324"/>
        <v>0</v>
      </c>
      <c r="CF1308" s="52">
        <f t="shared" si="8324"/>
        <v>0</v>
      </c>
      <c r="CG1308" s="52">
        <f t="shared" si="8324"/>
        <v>0</v>
      </c>
      <c r="CH1308" s="52">
        <f t="shared" si="8324"/>
        <v>0</v>
      </c>
      <c r="CI1308" s="52">
        <f t="shared" si="8324"/>
        <v>0</v>
      </c>
      <c r="CJ1308" s="52">
        <f t="shared" si="8324"/>
        <v>0</v>
      </c>
      <c r="CK1308" s="52">
        <f t="shared" si="8324"/>
        <v>0</v>
      </c>
      <c r="CL1308" s="52">
        <f t="shared" si="8324"/>
        <v>0</v>
      </c>
      <c r="CM1308" s="52">
        <f t="shared" si="8324"/>
        <v>0</v>
      </c>
      <c r="CN1308" s="52">
        <f t="shared" si="8324"/>
        <v>0</v>
      </c>
      <c r="CO1308" s="52">
        <f t="shared" si="8324"/>
        <v>0</v>
      </c>
    </row>
    <row r="1309" spans="1:93">
      <c r="A1309" s="10"/>
      <c r="B1309" s="10"/>
      <c r="C1309" s="21" t="s">
        <v>464</v>
      </c>
      <c r="D1309" s="10"/>
      <c r="E1309" s="10"/>
      <c r="F1309" s="10"/>
      <c r="G1309" s="134" t="str">
        <f t="shared" si="8281"/>
        <v>тыс. руб.</v>
      </c>
      <c r="H1309" s="10"/>
      <c r="I1309" s="23">
        <f ca="1">SUM(L1309:CO1309)</f>
        <v>80081.617035734249</v>
      </c>
      <c r="J1309" s="10"/>
      <c r="K1309" s="10"/>
      <c r="L1309" s="52">
        <f t="shared" ref="L1309:BW1309" ca="1" si="8325">Subord_Drawdown</f>
        <v>0</v>
      </c>
      <c r="M1309" s="52">
        <f t="shared" ca="1" si="8325"/>
        <v>0</v>
      </c>
      <c r="N1309" s="52">
        <f t="shared" ca="1" si="8325"/>
        <v>0</v>
      </c>
      <c r="O1309" s="52">
        <f t="shared" ca="1" si="8325"/>
        <v>0</v>
      </c>
      <c r="P1309" s="52">
        <f t="shared" ca="1" si="8325"/>
        <v>0</v>
      </c>
      <c r="Q1309" s="52">
        <f t="shared" ca="1" si="8325"/>
        <v>0</v>
      </c>
      <c r="R1309" s="52">
        <f t="shared" ca="1" si="8325"/>
        <v>0</v>
      </c>
      <c r="S1309" s="52">
        <f t="shared" ca="1" si="8325"/>
        <v>0</v>
      </c>
      <c r="T1309" s="52">
        <f t="shared" ca="1" si="8325"/>
        <v>0</v>
      </c>
      <c r="U1309" s="52">
        <f t="shared" ca="1" si="8325"/>
        <v>0</v>
      </c>
      <c r="V1309" s="52">
        <f t="shared" ca="1" si="8325"/>
        <v>0</v>
      </c>
      <c r="W1309" s="52">
        <f t="shared" ca="1" si="8325"/>
        <v>0</v>
      </c>
      <c r="X1309" s="52">
        <f t="shared" ca="1" si="8325"/>
        <v>0</v>
      </c>
      <c r="Y1309" s="52">
        <f t="shared" ca="1" si="8325"/>
        <v>0</v>
      </c>
      <c r="Z1309" s="52">
        <f t="shared" ca="1" si="8325"/>
        <v>0</v>
      </c>
      <c r="AA1309" s="52">
        <f t="shared" ca="1" si="8325"/>
        <v>0</v>
      </c>
      <c r="AB1309" s="52">
        <f t="shared" ca="1" si="8325"/>
        <v>0</v>
      </c>
      <c r="AC1309" s="52">
        <f t="shared" ca="1" si="8325"/>
        <v>0</v>
      </c>
      <c r="AD1309" s="52">
        <f t="shared" ca="1" si="8325"/>
        <v>0</v>
      </c>
      <c r="AE1309" s="52">
        <f t="shared" ca="1" si="8325"/>
        <v>0</v>
      </c>
      <c r="AF1309" s="52">
        <f t="shared" ca="1" si="8325"/>
        <v>0</v>
      </c>
      <c r="AG1309" s="52">
        <f t="shared" ca="1" si="8325"/>
        <v>0</v>
      </c>
      <c r="AH1309" s="52">
        <f t="shared" ca="1" si="8325"/>
        <v>0</v>
      </c>
      <c r="AI1309" s="52">
        <f t="shared" ca="1" si="8325"/>
        <v>0</v>
      </c>
      <c r="AJ1309" s="52">
        <f t="shared" ca="1" si="8325"/>
        <v>0</v>
      </c>
      <c r="AK1309" s="52">
        <f t="shared" ca="1" si="8325"/>
        <v>0</v>
      </c>
      <c r="AL1309" s="52">
        <f t="shared" ca="1" si="8325"/>
        <v>0</v>
      </c>
      <c r="AM1309" s="52">
        <f t="shared" ca="1" si="8325"/>
        <v>0</v>
      </c>
      <c r="AN1309" s="52">
        <f t="shared" ca="1" si="8325"/>
        <v>0</v>
      </c>
      <c r="AO1309" s="52">
        <f t="shared" ca="1" si="8325"/>
        <v>0</v>
      </c>
      <c r="AP1309" s="52">
        <f t="shared" ca="1" si="8325"/>
        <v>0</v>
      </c>
      <c r="AQ1309" s="52">
        <f t="shared" ca="1" si="8325"/>
        <v>0</v>
      </c>
      <c r="AR1309" s="52">
        <f t="shared" ca="1" si="8325"/>
        <v>0</v>
      </c>
      <c r="AS1309" s="52">
        <f t="shared" ca="1" si="8325"/>
        <v>0</v>
      </c>
      <c r="AT1309" s="52">
        <f t="shared" ca="1" si="8325"/>
        <v>0</v>
      </c>
      <c r="AU1309" s="52">
        <f t="shared" ca="1" si="8325"/>
        <v>0</v>
      </c>
      <c r="AV1309" s="52">
        <f t="shared" ca="1" si="8325"/>
        <v>0</v>
      </c>
      <c r="AW1309" s="52">
        <f t="shared" ca="1" si="8325"/>
        <v>0</v>
      </c>
      <c r="AX1309" s="52">
        <f t="shared" ca="1" si="8325"/>
        <v>0</v>
      </c>
      <c r="AY1309" s="52">
        <f t="shared" ca="1" si="8325"/>
        <v>0</v>
      </c>
      <c r="AZ1309" s="52">
        <f t="shared" ca="1" si="8325"/>
        <v>42890.270483924673</v>
      </c>
      <c r="BA1309" s="52">
        <f t="shared" ca="1" si="8325"/>
        <v>1307.0405516153842</v>
      </c>
      <c r="BB1309" s="52">
        <f t="shared" ca="1" si="8325"/>
        <v>0</v>
      </c>
      <c r="BC1309" s="52">
        <f t="shared" ca="1" si="8325"/>
        <v>0</v>
      </c>
      <c r="BD1309" s="52">
        <f t="shared" ca="1" si="8325"/>
        <v>35884.306000194192</v>
      </c>
      <c r="BE1309" s="52">
        <f t="shared" ca="1" si="8325"/>
        <v>0</v>
      </c>
      <c r="BF1309" s="52">
        <f t="shared" ca="1" si="8325"/>
        <v>0</v>
      </c>
      <c r="BG1309" s="52">
        <f t="shared" ca="1" si="8325"/>
        <v>0</v>
      </c>
      <c r="BH1309" s="52">
        <f t="shared" ca="1" si="8325"/>
        <v>0</v>
      </c>
      <c r="BI1309" s="52">
        <f t="shared" ca="1" si="8325"/>
        <v>0</v>
      </c>
      <c r="BJ1309" s="52">
        <f t="shared" ca="1" si="8325"/>
        <v>0</v>
      </c>
      <c r="BK1309" s="52">
        <f t="shared" ca="1" si="8325"/>
        <v>0</v>
      </c>
      <c r="BL1309" s="52">
        <f t="shared" ca="1" si="8325"/>
        <v>0</v>
      </c>
      <c r="BM1309" s="52">
        <f t="shared" ca="1" si="8325"/>
        <v>0</v>
      </c>
      <c r="BN1309" s="52">
        <f t="shared" ca="1" si="8325"/>
        <v>0</v>
      </c>
      <c r="BO1309" s="52">
        <f t="shared" ca="1" si="8325"/>
        <v>0</v>
      </c>
      <c r="BP1309" s="52">
        <f t="shared" ca="1" si="8325"/>
        <v>0</v>
      </c>
      <c r="BQ1309" s="52">
        <f t="shared" ca="1" si="8325"/>
        <v>0</v>
      </c>
      <c r="BR1309" s="52">
        <f t="shared" ca="1" si="8325"/>
        <v>0</v>
      </c>
      <c r="BS1309" s="52">
        <f t="shared" ca="1" si="8325"/>
        <v>0</v>
      </c>
      <c r="BT1309" s="52">
        <f t="shared" ca="1" si="8325"/>
        <v>0</v>
      </c>
      <c r="BU1309" s="52">
        <f t="shared" ca="1" si="8325"/>
        <v>0</v>
      </c>
      <c r="BV1309" s="52">
        <f t="shared" ca="1" si="8325"/>
        <v>0</v>
      </c>
      <c r="BW1309" s="52">
        <f t="shared" ca="1" si="8325"/>
        <v>0</v>
      </c>
      <c r="BX1309" s="52">
        <f t="shared" ref="BX1309:CO1309" ca="1" si="8326">Subord_Drawdown</f>
        <v>0</v>
      </c>
      <c r="BY1309" s="52">
        <f t="shared" ca="1" si="8326"/>
        <v>0</v>
      </c>
      <c r="BZ1309" s="52">
        <f t="shared" ca="1" si="8326"/>
        <v>0</v>
      </c>
      <c r="CA1309" s="52">
        <f t="shared" ca="1" si="8326"/>
        <v>0</v>
      </c>
      <c r="CB1309" s="52">
        <f t="shared" ca="1" si="8326"/>
        <v>0</v>
      </c>
      <c r="CC1309" s="52">
        <f t="shared" ca="1" si="8326"/>
        <v>0</v>
      </c>
      <c r="CD1309" s="52">
        <f t="shared" ca="1" si="8326"/>
        <v>0</v>
      </c>
      <c r="CE1309" s="52">
        <f t="shared" ca="1" si="8326"/>
        <v>0</v>
      </c>
      <c r="CF1309" s="52">
        <f t="shared" ca="1" si="8326"/>
        <v>0</v>
      </c>
      <c r="CG1309" s="52">
        <f t="shared" ca="1" si="8326"/>
        <v>0</v>
      </c>
      <c r="CH1309" s="52">
        <f t="shared" ca="1" si="8326"/>
        <v>0</v>
      </c>
      <c r="CI1309" s="52">
        <f t="shared" ca="1" si="8326"/>
        <v>0</v>
      </c>
      <c r="CJ1309" s="52">
        <f t="shared" ca="1" si="8326"/>
        <v>0</v>
      </c>
      <c r="CK1309" s="52">
        <f t="shared" ca="1" si="8326"/>
        <v>0</v>
      </c>
      <c r="CL1309" s="52">
        <f t="shared" ca="1" si="8326"/>
        <v>0</v>
      </c>
      <c r="CM1309" s="52">
        <f t="shared" ca="1" si="8326"/>
        <v>0</v>
      </c>
      <c r="CN1309" s="52">
        <f t="shared" ca="1" si="8326"/>
        <v>0</v>
      </c>
      <c r="CO1309" s="52">
        <f t="shared" ca="1" si="8326"/>
        <v>0</v>
      </c>
    </row>
    <row r="1310" spans="1:93" ht="15" thickBot="1">
      <c r="A1310" s="10"/>
      <c r="B1310" s="10"/>
      <c r="C1310" s="21" t="s">
        <v>465</v>
      </c>
      <c r="D1310" s="10"/>
      <c r="E1310" s="10"/>
      <c r="F1310" s="10"/>
      <c r="G1310" s="134" t="str">
        <f t="shared" si="8281"/>
        <v>тыс. руб.</v>
      </c>
      <c r="H1310" s="10"/>
      <c r="I1310" s="23">
        <f>SUM(L1310:CO1310)</f>
        <v>4616063.5245886445</v>
      </c>
      <c r="J1310" s="10"/>
      <c r="K1310" s="10"/>
      <c r="L1310" s="52">
        <f t="shared" ref="L1310:BW1310" si="8327">Debt_Drawdown</f>
        <v>0</v>
      </c>
      <c r="M1310" s="52">
        <f t="shared" si="8327"/>
        <v>0</v>
      </c>
      <c r="N1310" s="52">
        <f t="shared" si="8327"/>
        <v>0</v>
      </c>
      <c r="O1310" s="52">
        <f t="shared" si="8327"/>
        <v>0</v>
      </c>
      <c r="P1310" s="52">
        <f t="shared" si="8327"/>
        <v>0</v>
      </c>
      <c r="Q1310" s="52">
        <f t="shared" si="8327"/>
        <v>0</v>
      </c>
      <c r="R1310" s="52">
        <f t="shared" si="8327"/>
        <v>0</v>
      </c>
      <c r="S1310" s="52">
        <f t="shared" si="8327"/>
        <v>93075.219462963287</v>
      </c>
      <c r="T1310" s="52">
        <f t="shared" si="8327"/>
        <v>286615.12444031495</v>
      </c>
      <c r="U1310" s="52">
        <f t="shared" si="8327"/>
        <v>289439.25978450867</v>
      </c>
      <c r="V1310" s="52">
        <f t="shared" si="8327"/>
        <v>292291.22248239798</v>
      </c>
      <c r="W1310" s="52">
        <f t="shared" si="8327"/>
        <v>295171.2867282122</v>
      </c>
      <c r="X1310" s="52">
        <f t="shared" si="8327"/>
        <v>622512.40131001174</v>
      </c>
      <c r="Y1310" s="52">
        <f t="shared" si="8327"/>
        <v>628646.26908189419</v>
      </c>
      <c r="Z1310" s="52">
        <f t="shared" si="8327"/>
        <v>634840.57634665037</v>
      </c>
      <c r="AA1310" s="52">
        <f t="shared" si="8327"/>
        <v>641095.91863917548</v>
      </c>
      <c r="AB1310" s="52">
        <f t="shared" si="8327"/>
        <v>832376.24631251558</v>
      </c>
      <c r="AC1310" s="52">
        <f t="shared" si="8327"/>
        <v>0</v>
      </c>
      <c r="AD1310" s="52">
        <f t="shared" si="8327"/>
        <v>0</v>
      </c>
      <c r="AE1310" s="52">
        <f t="shared" si="8327"/>
        <v>0</v>
      </c>
      <c r="AF1310" s="52">
        <f t="shared" si="8327"/>
        <v>0</v>
      </c>
      <c r="AG1310" s="52">
        <f t="shared" si="8327"/>
        <v>0</v>
      </c>
      <c r="AH1310" s="52">
        <f t="shared" si="8327"/>
        <v>0</v>
      </c>
      <c r="AI1310" s="52">
        <f t="shared" si="8327"/>
        <v>0</v>
      </c>
      <c r="AJ1310" s="52">
        <f t="shared" si="8327"/>
        <v>0</v>
      </c>
      <c r="AK1310" s="52">
        <f t="shared" si="8327"/>
        <v>0</v>
      </c>
      <c r="AL1310" s="52">
        <f t="shared" si="8327"/>
        <v>0</v>
      </c>
      <c r="AM1310" s="52">
        <f t="shared" si="8327"/>
        <v>0</v>
      </c>
      <c r="AN1310" s="52">
        <f t="shared" si="8327"/>
        <v>0</v>
      </c>
      <c r="AO1310" s="52">
        <f t="shared" si="8327"/>
        <v>0</v>
      </c>
      <c r="AP1310" s="52">
        <f t="shared" si="8327"/>
        <v>0</v>
      </c>
      <c r="AQ1310" s="52">
        <f t="shared" si="8327"/>
        <v>0</v>
      </c>
      <c r="AR1310" s="52">
        <f t="shared" si="8327"/>
        <v>0</v>
      </c>
      <c r="AS1310" s="52">
        <f t="shared" si="8327"/>
        <v>0</v>
      </c>
      <c r="AT1310" s="52">
        <f t="shared" si="8327"/>
        <v>0</v>
      </c>
      <c r="AU1310" s="52">
        <f t="shared" si="8327"/>
        <v>0</v>
      </c>
      <c r="AV1310" s="52">
        <f t="shared" si="8327"/>
        <v>0</v>
      </c>
      <c r="AW1310" s="52">
        <f t="shared" si="8327"/>
        <v>0</v>
      </c>
      <c r="AX1310" s="52">
        <f t="shared" si="8327"/>
        <v>0</v>
      </c>
      <c r="AY1310" s="52">
        <f t="shared" si="8327"/>
        <v>0</v>
      </c>
      <c r="AZ1310" s="52">
        <f t="shared" si="8327"/>
        <v>0</v>
      </c>
      <c r="BA1310" s="52">
        <f t="shared" si="8327"/>
        <v>0</v>
      </c>
      <c r="BB1310" s="52">
        <f t="shared" si="8327"/>
        <v>0</v>
      </c>
      <c r="BC1310" s="52">
        <f t="shared" si="8327"/>
        <v>0</v>
      </c>
      <c r="BD1310" s="52">
        <f t="shared" si="8327"/>
        <v>0</v>
      </c>
      <c r="BE1310" s="52">
        <f t="shared" si="8327"/>
        <v>0</v>
      </c>
      <c r="BF1310" s="52">
        <f t="shared" si="8327"/>
        <v>0</v>
      </c>
      <c r="BG1310" s="52">
        <f t="shared" si="8327"/>
        <v>0</v>
      </c>
      <c r="BH1310" s="52">
        <f t="shared" si="8327"/>
        <v>0</v>
      </c>
      <c r="BI1310" s="52">
        <f t="shared" si="8327"/>
        <v>0</v>
      </c>
      <c r="BJ1310" s="52">
        <f t="shared" si="8327"/>
        <v>0</v>
      </c>
      <c r="BK1310" s="52">
        <f t="shared" si="8327"/>
        <v>0</v>
      </c>
      <c r="BL1310" s="52">
        <f t="shared" si="8327"/>
        <v>0</v>
      </c>
      <c r="BM1310" s="52">
        <f t="shared" si="8327"/>
        <v>0</v>
      </c>
      <c r="BN1310" s="52">
        <f t="shared" si="8327"/>
        <v>0</v>
      </c>
      <c r="BO1310" s="52">
        <f t="shared" si="8327"/>
        <v>0</v>
      </c>
      <c r="BP1310" s="52">
        <f t="shared" si="8327"/>
        <v>0</v>
      </c>
      <c r="BQ1310" s="52">
        <f t="shared" si="8327"/>
        <v>0</v>
      </c>
      <c r="BR1310" s="52">
        <f t="shared" si="8327"/>
        <v>0</v>
      </c>
      <c r="BS1310" s="52">
        <f t="shared" si="8327"/>
        <v>0</v>
      </c>
      <c r="BT1310" s="52">
        <f t="shared" si="8327"/>
        <v>0</v>
      </c>
      <c r="BU1310" s="52">
        <f t="shared" si="8327"/>
        <v>0</v>
      </c>
      <c r="BV1310" s="52">
        <f t="shared" si="8327"/>
        <v>0</v>
      </c>
      <c r="BW1310" s="52">
        <f t="shared" si="8327"/>
        <v>0</v>
      </c>
      <c r="BX1310" s="52">
        <f t="shared" ref="BX1310:CO1310" si="8328">Debt_Drawdown</f>
        <v>0</v>
      </c>
      <c r="BY1310" s="52">
        <f t="shared" si="8328"/>
        <v>0</v>
      </c>
      <c r="BZ1310" s="52">
        <f t="shared" si="8328"/>
        <v>0</v>
      </c>
      <c r="CA1310" s="52">
        <f t="shared" si="8328"/>
        <v>0</v>
      </c>
      <c r="CB1310" s="52">
        <f t="shared" si="8328"/>
        <v>0</v>
      </c>
      <c r="CC1310" s="52">
        <f t="shared" si="8328"/>
        <v>0</v>
      </c>
      <c r="CD1310" s="52">
        <f t="shared" si="8328"/>
        <v>0</v>
      </c>
      <c r="CE1310" s="52">
        <f t="shared" si="8328"/>
        <v>0</v>
      </c>
      <c r="CF1310" s="52">
        <f t="shared" si="8328"/>
        <v>0</v>
      </c>
      <c r="CG1310" s="52">
        <f t="shared" si="8328"/>
        <v>0</v>
      </c>
      <c r="CH1310" s="52">
        <f t="shared" si="8328"/>
        <v>0</v>
      </c>
      <c r="CI1310" s="52">
        <f t="shared" si="8328"/>
        <v>0</v>
      </c>
      <c r="CJ1310" s="52">
        <f t="shared" si="8328"/>
        <v>0</v>
      </c>
      <c r="CK1310" s="52">
        <f t="shared" si="8328"/>
        <v>0</v>
      </c>
      <c r="CL1310" s="52">
        <f t="shared" si="8328"/>
        <v>0</v>
      </c>
      <c r="CM1310" s="52">
        <f t="shared" si="8328"/>
        <v>0</v>
      </c>
      <c r="CN1310" s="52">
        <f t="shared" si="8328"/>
        <v>0</v>
      </c>
      <c r="CO1310" s="52">
        <f t="shared" si="8328"/>
        <v>0</v>
      </c>
    </row>
    <row r="1311" spans="1:93" ht="15" thickTop="1">
      <c r="A1311" s="35"/>
      <c r="B1311" s="35"/>
      <c r="C1311" s="208" t="s">
        <v>216</v>
      </c>
      <c r="D1311" s="49"/>
      <c r="E1311" s="49"/>
      <c r="F1311" s="49"/>
      <c r="G1311" s="137" t="str">
        <f t="shared" si="8281"/>
        <v>тыс. руб.</v>
      </c>
      <c r="H1311" s="49"/>
      <c r="I1311" s="49"/>
      <c r="J1311" s="49"/>
      <c r="K1311" s="49"/>
      <c r="L1311" s="174">
        <f t="shared" ref="L1311" ca="1" si="8329">IF(ABS(SUM(L1307:L1310))&lt;Accuracy,0,SUM(L1307:L1310))</f>
        <v>0</v>
      </c>
      <c r="M1311" s="174">
        <f t="shared" ref="M1311:BX1311" ca="1" si="8330">IF(ABS(SUM(M1307:M1310))&lt;Accuracy,0,SUM(M1307:M1310))</f>
        <v>0</v>
      </c>
      <c r="N1311" s="174">
        <f t="shared" ca="1" si="8330"/>
        <v>0</v>
      </c>
      <c r="O1311" s="174">
        <f t="shared" ca="1" si="8330"/>
        <v>0</v>
      </c>
      <c r="P1311" s="174">
        <f t="shared" ca="1" si="8330"/>
        <v>0</v>
      </c>
      <c r="Q1311" s="174">
        <f t="shared" ca="1" si="8330"/>
        <v>0</v>
      </c>
      <c r="R1311" s="174">
        <f t="shared" ca="1" si="8330"/>
        <v>0</v>
      </c>
      <c r="S1311" s="174">
        <f t="shared" ca="1" si="8330"/>
        <v>0</v>
      </c>
      <c r="T1311" s="174">
        <f t="shared" ca="1" si="8330"/>
        <v>0</v>
      </c>
      <c r="U1311" s="174">
        <f t="shared" ca="1" si="8330"/>
        <v>0</v>
      </c>
      <c r="V1311" s="174">
        <f t="shared" ca="1" si="8330"/>
        <v>0</v>
      </c>
      <c r="W1311" s="174">
        <f t="shared" ca="1" si="8330"/>
        <v>0</v>
      </c>
      <c r="X1311" s="174">
        <f t="shared" ca="1" si="8330"/>
        <v>0</v>
      </c>
      <c r="Y1311" s="174">
        <f t="shared" ca="1" si="8330"/>
        <v>0</v>
      </c>
      <c r="Z1311" s="174">
        <f t="shared" ca="1" si="8330"/>
        <v>0</v>
      </c>
      <c r="AA1311" s="174">
        <f t="shared" ca="1" si="8330"/>
        <v>0</v>
      </c>
      <c r="AB1311" s="174">
        <f t="shared" ca="1" si="8330"/>
        <v>0</v>
      </c>
      <c r="AC1311" s="174">
        <f t="shared" ca="1" si="8330"/>
        <v>627052.01727898442</v>
      </c>
      <c r="AD1311" s="174">
        <f t="shared" ca="1" si="8330"/>
        <v>647024.37386468996</v>
      </c>
      <c r="AE1311" s="174">
        <f t="shared" ca="1" si="8330"/>
        <v>667784.47598624649</v>
      </c>
      <c r="AF1311" s="174">
        <f t="shared" ca="1" si="8330"/>
        <v>630772.39084627049</v>
      </c>
      <c r="AG1311" s="174">
        <f t="shared" ca="1" si="8330"/>
        <v>513573.66168152628</v>
      </c>
      <c r="AH1311" s="174">
        <f t="shared" ca="1" si="8330"/>
        <v>396122.30234698491</v>
      </c>
      <c r="AI1311" s="174">
        <f t="shared" ca="1" si="8330"/>
        <v>423845.41615374247</v>
      </c>
      <c r="AJ1311" s="174">
        <f t="shared" ca="1" si="8330"/>
        <v>383206.44297483156</v>
      </c>
      <c r="AK1311" s="174">
        <f t="shared" ca="1" si="8330"/>
        <v>248287.51285686766</v>
      </c>
      <c r="AL1311" s="174">
        <f t="shared" ca="1" si="8330"/>
        <v>113643.93181848663</v>
      </c>
      <c r="AM1311" s="174">
        <f t="shared" ca="1" si="8330"/>
        <v>148937.23222712189</v>
      </c>
      <c r="AN1311" s="174">
        <f t="shared" ca="1" si="8330"/>
        <v>104363.15485197154</v>
      </c>
      <c r="AO1311" s="174">
        <f t="shared" ca="1" si="8330"/>
        <v>0</v>
      </c>
      <c r="AP1311" s="174">
        <f t="shared" ca="1" si="8330"/>
        <v>0</v>
      </c>
      <c r="AQ1311" s="174">
        <f t="shared" ca="1" si="8330"/>
        <v>0</v>
      </c>
      <c r="AR1311" s="174">
        <f t="shared" ca="1" si="8330"/>
        <v>0</v>
      </c>
      <c r="AS1311" s="174">
        <f t="shared" ca="1" si="8330"/>
        <v>0</v>
      </c>
      <c r="AT1311" s="174">
        <f t="shared" ca="1" si="8330"/>
        <v>0</v>
      </c>
      <c r="AU1311" s="174">
        <f t="shared" ca="1" si="8330"/>
        <v>0</v>
      </c>
      <c r="AV1311" s="174">
        <f t="shared" ca="1" si="8330"/>
        <v>0</v>
      </c>
      <c r="AW1311" s="174">
        <f t="shared" ca="1" si="8330"/>
        <v>0</v>
      </c>
      <c r="AX1311" s="174">
        <f t="shared" ca="1" si="8330"/>
        <v>0</v>
      </c>
      <c r="AY1311" s="174">
        <f t="shared" ca="1" si="8330"/>
        <v>0</v>
      </c>
      <c r="AZ1311" s="174">
        <f t="shared" ca="1" si="8330"/>
        <v>0</v>
      </c>
      <c r="BA1311" s="174">
        <f t="shared" ca="1" si="8330"/>
        <v>0</v>
      </c>
      <c r="BB1311" s="174">
        <f t="shared" ca="1" si="8330"/>
        <v>0</v>
      </c>
      <c r="BC1311" s="174">
        <f t="shared" ca="1" si="8330"/>
        <v>0</v>
      </c>
      <c r="BD1311" s="174">
        <f t="shared" ca="1" si="8330"/>
        <v>0</v>
      </c>
      <c r="BE1311" s="174">
        <f t="shared" ca="1" si="8330"/>
        <v>0</v>
      </c>
      <c r="BF1311" s="174">
        <f t="shared" ca="1" si="8330"/>
        <v>0</v>
      </c>
      <c r="BG1311" s="174">
        <f t="shared" ca="1" si="8330"/>
        <v>0</v>
      </c>
      <c r="BH1311" s="174">
        <f t="shared" ca="1" si="8330"/>
        <v>0</v>
      </c>
      <c r="BI1311" s="174">
        <f t="shared" ca="1" si="8330"/>
        <v>0</v>
      </c>
      <c r="BJ1311" s="174">
        <f t="shared" ca="1" si="8330"/>
        <v>0</v>
      </c>
      <c r="BK1311" s="174">
        <f t="shared" ca="1" si="8330"/>
        <v>0</v>
      </c>
      <c r="BL1311" s="174">
        <f t="shared" ca="1" si="8330"/>
        <v>0</v>
      </c>
      <c r="BM1311" s="174">
        <f t="shared" ca="1" si="8330"/>
        <v>0</v>
      </c>
      <c r="BN1311" s="174">
        <f t="shared" ca="1" si="8330"/>
        <v>0</v>
      </c>
      <c r="BO1311" s="174">
        <f t="shared" ca="1" si="8330"/>
        <v>0</v>
      </c>
      <c r="BP1311" s="174">
        <f t="shared" ca="1" si="8330"/>
        <v>0</v>
      </c>
      <c r="BQ1311" s="174">
        <f t="shared" ca="1" si="8330"/>
        <v>0</v>
      </c>
      <c r="BR1311" s="174">
        <f t="shared" ca="1" si="8330"/>
        <v>0</v>
      </c>
      <c r="BS1311" s="174">
        <f t="shared" ca="1" si="8330"/>
        <v>0</v>
      </c>
      <c r="BT1311" s="174">
        <f t="shared" ca="1" si="8330"/>
        <v>0</v>
      </c>
      <c r="BU1311" s="174">
        <f t="shared" ca="1" si="8330"/>
        <v>0</v>
      </c>
      <c r="BV1311" s="174">
        <f t="shared" ca="1" si="8330"/>
        <v>0</v>
      </c>
      <c r="BW1311" s="174">
        <f t="shared" ca="1" si="8330"/>
        <v>0</v>
      </c>
      <c r="BX1311" s="174">
        <f t="shared" ca="1" si="8330"/>
        <v>0</v>
      </c>
      <c r="BY1311" s="174">
        <f t="shared" ref="BY1311:CO1311" ca="1" si="8331">IF(ABS(SUM(BY1307:BY1310))&lt;Accuracy,0,SUM(BY1307:BY1310))</f>
        <v>0</v>
      </c>
      <c r="BZ1311" s="174">
        <f t="shared" ca="1" si="8331"/>
        <v>0</v>
      </c>
      <c r="CA1311" s="174">
        <f t="shared" ca="1" si="8331"/>
        <v>0</v>
      </c>
      <c r="CB1311" s="174">
        <f t="shared" ca="1" si="8331"/>
        <v>0</v>
      </c>
      <c r="CC1311" s="174">
        <f t="shared" ca="1" si="8331"/>
        <v>0</v>
      </c>
      <c r="CD1311" s="174">
        <f t="shared" ca="1" si="8331"/>
        <v>0</v>
      </c>
      <c r="CE1311" s="174">
        <f t="shared" ca="1" si="8331"/>
        <v>0</v>
      </c>
      <c r="CF1311" s="174">
        <f t="shared" ca="1" si="8331"/>
        <v>0</v>
      </c>
      <c r="CG1311" s="174">
        <f t="shared" ca="1" si="8331"/>
        <v>0</v>
      </c>
      <c r="CH1311" s="174">
        <f t="shared" ca="1" si="8331"/>
        <v>0</v>
      </c>
      <c r="CI1311" s="174">
        <f t="shared" ca="1" si="8331"/>
        <v>0</v>
      </c>
      <c r="CJ1311" s="174">
        <f t="shared" ca="1" si="8331"/>
        <v>0</v>
      </c>
      <c r="CK1311" s="174">
        <f t="shared" ca="1" si="8331"/>
        <v>0</v>
      </c>
      <c r="CL1311" s="174">
        <f t="shared" ca="1" si="8331"/>
        <v>0</v>
      </c>
      <c r="CM1311" s="174">
        <f t="shared" ca="1" si="8331"/>
        <v>0</v>
      </c>
      <c r="CN1311" s="174">
        <f t="shared" ca="1" si="8331"/>
        <v>0</v>
      </c>
      <c r="CO1311" s="174">
        <f t="shared" ca="1" si="8331"/>
        <v>0</v>
      </c>
    </row>
    <row r="1312" spans="1:93">
      <c r="A1312" s="10"/>
      <c r="B1312" s="10"/>
      <c r="C1312" s="10"/>
      <c r="D1312" s="10"/>
      <c r="E1312" s="10"/>
      <c r="F1312" s="10"/>
      <c r="G1312" s="11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  <c r="AY1312" s="10"/>
      <c r="AZ1312" s="10"/>
      <c r="BA1312" s="10"/>
      <c r="BB1312" s="10"/>
      <c r="BC1312" s="10"/>
      <c r="BD1312" s="10"/>
      <c r="BE1312" s="10"/>
      <c r="BF1312" s="10"/>
      <c r="BG1312" s="10"/>
      <c r="BH1312" s="10"/>
      <c r="BI1312" s="10"/>
      <c r="BJ1312" s="10"/>
      <c r="BK1312" s="10"/>
      <c r="BL1312" s="10"/>
      <c r="BM1312" s="10"/>
      <c r="BN1312" s="10"/>
      <c r="BO1312" s="10"/>
      <c r="BP1312" s="10"/>
      <c r="BQ1312" s="10"/>
      <c r="BR1312" s="10"/>
      <c r="BS1312" s="10"/>
      <c r="BT1312" s="10"/>
      <c r="BU1312" s="10"/>
      <c r="BV1312" s="10"/>
      <c r="BW1312" s="10"/>
      <c r="BX1312" s="10"/>
      <c r="BY1312" s="10"/>
      <c r="BZ1312" s="10"/>
      <c r="CA1312" s="10"/>
      <c r="CB1312" s="10"/>
      <c r="CC1312" s="10"/>
      <c r="CD1312" s="10"/>
      <c r="CE1312" s="10"/>
      <c r="CF1312" s="10"/>
      <c r="CG1312" s="10"/>
      <c r="CH1312" s="10"/>
      <c r="CI1312" s="10"/>
      <c r="CJ1312" s="10"/>
      <c r="CK1312" s="10"/>
      <c r="CL1312" s="10"/>
      <c r="CM1312" s="10"/>
      <c r="CN1312" s="10"/>
      <c r="CO1312" s="10"/>
    </row>
    <row r="1313" spans="1:93">
      <c r="A1313" s="10"/>
      <c r="B1313" s="10"/>
      <c r="C1313" s="10" t="s">
        <v>466</v>
      </c>
      <c r="D1313" s="10"/>
      <c r="E1313" s="10"/>
      <c r="F1313" s="10"/>
      <c r="G1313" s="134" t="str">
        <f>Monetary_Unit</f>
        <v>тыс. руб.</v>
      </c>
      <c r="H1313" s="10"/>
      <c r="I1313" s="10"/>
      <c r="J1313" s="10"/>
      <c r="K1313" s="10"/>
      <c r="L1313" s="10">
        <f ca="1">L1300-L1290</f>
        <v>-31406.153379286916</v>
      </c>
      <c r="M1313" s="10">
        <f t="shared" ref="M1313:BX1313" ca="1" si="8332">M1300-M1290</f>
        <v>-31851.960190507532</v>
      </c>
      <c r="N1313" s="10">
        <f t="shared" ca="1" si="8332"/>
        <v>-32304.095179220327</v>
      </c>
      <c r="O1313" s="10">
        <f t="shared" ca="1" si="8332"/>
        <v>-32762.648173192309</v>
      </c>
      <c r="P1313" s="10">
        <f t="shared" ca="1" si="8332"/>
        <v>-275591.46580799518</v>
      </c>
      <c r="Q1313" s="10">
        <f t="shared" ca="1" si="8332"/>
        <v>-278306.9805620276</v>
      </c>
      <c r="R1313" s="10">
        <f t="shared" ca="1" si="8332"/>
        <v>-281049.25238692126</v>
      </c>
      <c r="S1313" s="10">
        <f t="shared" ca="1" si="8332"/>
        <v>-283818.54493097326</v>
      </c>
      <c r="T1313" s="10">
        <f t="shared" ca="1" si="8332"/>
        <v>-289960.89661122987</v>
      </c>
      <c r="U1313" s="10">
        <f t="shared" ca="1" si="8332"/>
        <v>-292607.834793624</v>
      </c>
      <c r="V1313" s="10">
        <f t="shared" ca="1" si="8332"/>
        <v>-295275.75333765452</v>
      </c>
      <c r="W1313" s="10">
        <f t="shared" ca="1" si="8332"/>
        <v>-297934.79737139982</v>
      </c>
      <c r="X1313" s="10">
        <f t="shared" ca="1" si="8332"/>
        <v>-625018.23654332163</v>
      </c>
      <c r="Y1313" s="10">
        <f t="shared" ca="1" si="8332"/>
        <v>-630687.77129455493</v>
      </c>
      <c r="Z1313" s="10">
        <f t="shared" ca="1" si="8332"/>
        <v>-636430.45152861311</v>
      </c>
      <c r="AA1313" s="10">
        <f t="shared" ca="1" si="8332"/>
        <v>-642207.06158323737</v>
      </c>
      <c r="AB1313" s="10">
        <f t="shared" ca="1" si="8332"/>
        <v>-832991.97668650013</v>
      </c>
      <c r="AC1313" s="10">
        <f t="shared" ca="1" si="8332"/>
        <v>870232.3965845874</v>
      </c>
      <c r="AD1313" s="10">
        <f t="shared" ca="1" si="8332"/>
        <v>323525.51156056835</v>
      </c>
      <c r="AE1313" s="10">
        <f t="shared" ca="1" si="8332"/>
        <v>220677.87583811313</v>
      </c>
      <c r="AF1313" s="10">
        <f t="shared" ca="1" si="8332"/>
        <v>162368.51874953369</v>
      </c>
      <c r="AG1313" s="10">
        <f t="shared" ca="1" si="8332"/>
        <v>170471.89456974238</v>
      </c>
      <c r="AH1313" s="10">
        <f t="shared" ca="1" si="8332"/>
        <v>241676.05608745053</v>
      </c>
      <c r="AI1313" s="10">
        <f t="shared" ca="1" si="8332"/>
        <v>262666.76439716335</v>
      </c>
      <c r="AJ1313" s="10">
        <f t="shared" ca="1" si="8332"/>
        <v>192566.15963543567</v>
      </c>
      <c r="AK1313" s="10">
        <f t="shared" ca="1" si="8332"/>
        <v>201164.54111336311</v>
      </c>
      <c r="AL1313" s="10">
        <f t="shared" ca="1" si="8332"/>
        <v>283932.27617986838</v>
      </c>
      <c r="AM1313" s="10">
        <f t="shared" ca="1" si="8332"/>
        <v>307659.43050999579</v>
      </c>
      <c r="AN1313" s="10">
        <f t="shared" ca="1" si="8332"/>
        <v>226858.25057665067</v>
      </c>
      <c r="AO1313" s="10">
        <f t="shared" ca="1" si="8332"/>
        <v>234047.02808842011</v>
      </c>
      <c r="AP1313" s="10">
        <f t="shared" ca="1" si="8332"/>
        <v>326091.39529012598</v>
      </c>
      <c r="AQ1313" s="10">
        <f t="shared" ca="1" si="8332"/>
        <v>345160.48852029972</v>
      </c>
      <c r="AR1313" s="10">
        <f t="shared" ca="1" si="8332"/>
        <v>245562.49792075154</v>
      </c>
      <c r="AS1313" s="10">
        <f t="shared" ca="1" si="8332"/>
        <v>246113.70882875129</v>
      </c>
      <c r="AT1313" s="10">
        <f t="shared" ca="1" si="8332"/>
        <v>337076.85495761334</v>
      </c>
      <c r="AU1313" s="10">
        <f t="shared" ca="1" si="8332"/>
        <v>351177.08044978726</v>
      </c>
      <c r="AV1313" s="10">
        <f t="shared" ca="1" si="8332"/>
        <v>248086.55026546764</v>
      </c>
      <c r="AW1313" s="10">
        <f t="shared" ca="1" si="8332"/>
        <v>292165.11672781332</v>
      </c>
      <c r="AX1313" s="10">
        <f t="shared" ca="1" si="8332"/>
        <v>269191.79577147099</v>
      </c>
      <c r="AY1313" s="10">
        <f t="shared" ca="1" si="8332"/>
        <v>194949.11604679129</v>
      </c>
      <c r="AZ1313" s="10">
        <f t="shared" ca="1" si="8332"/>
        <v>141205.65106453441</v>
      </c>
      <c r="BA1313" s="10">
        <f t="shared" ca="1" si="8332"/>
        <v>182897.85665672921</v>
      </c>
      <c r="BB1313" s="10">
        <f t="shared" ca="1" si="8332"/>
        <v>246245.57558774002</v>
      </c>
      <c r="BC1313" s="10">
        <f t="shared" ca="1" si="8332"/>
        <v>202016.04742557846</v>
      </c>
      <c r="BD1313" s="10">
        <f t="shared" ca="1" si="8332"/>
        <v>148330.5331067309</v>
      </c>
      <c r="BE1313" s="10">
        <f t="shared" ca="1" si="8332"/>
        <v>186921.41067506073</v>
      </c>
      <c r="BF1313" s="10">
        <f t="shared" ca="1" si="8332"/>
        <v>253412.90176951466</v>
      </c>
      <c r="BG1313" s="10">
        <f t="shared" ca="1" si="8332"/>
        <v>207443.65395520223</v>
      </c>
      <c r="BH1313" s="10">
        <f t="shared" ca="1" si="8332"/>
        <v>149271.3857948205</v>
      </c>
      <c r="BI1313" s="10">
        <f t="shared" ca="1" si="8332"/>
        <v>194467.00727934242</v>
      </c>
      <c r="BJ1313" s="10">
        <f t="shared" ca="1" si="8332"/>
        <v>263143.28819603729</v>
      </c>
      <c r="BK1313" s="10">
        <f t="shared" ca="1" si="8332"/>
        <v>215603.7609729098</v>
      </c>
      <c r="BL1313" s="10">
        <f t="shared" ca="1" si="8332"/>
        <v>155296.66139235115</v>
      </c>
      <c r="BM1313" s="10">
        <f t="shared" ca="1" si="8332"/>
        <v>202301.54613887856</v>
      </c>
      <c r="BN1313" s="10">
        <f t="shared" ca="1" si="8332"/>
        <v>273726.34847685776</v>
      </c>
      <c r="BO1313" s="10">
        <f t="shared" ca="1" si="8332"/>
        <v>211339.56051991874</v>
      </c>
      <c r="BP1313" s="10">
        <f t="shared" ca="1" si="8332"/>
        <v>149413.85129333788</v>
      </c>
      <c r="BQ1313" s="10">
        <f t="shared" ca="1" si="8332"/>
        <v>190474.5039588192</v>
      </c>
      <c r="BR1313" s="10">
        <f t="shared" ca="1" si="8332"/>
        <v>258984.87029722304</v>
      </c>
      <c r="BS1313" s="10">
        <f t="shared" ca="1" si="8332"/>
        <v>219743.48235772018</v>
      </c>
      <c r="BT1313" s="10">
        <f t="shared" ca="1" si="8332"/>
        <v>157749.91729861218</v>
      </c>
      <c r="BU1313" s="10">
        <f t="shared" ca="1" si="8332"/>
        <v>197317.58972668709</v>
      </c>
      <c r="BV1313" s="10">
        <f t="shared" ca="1" si="8332"/>
        <v>269303.81083330908</v>
      </c>
      <c r="BW1313" s="10">
        <f t="shared" ca="1" si="8332"/>
        <v>228492.77329331194</v>
      </c>
      <c r="BX1313" s="10">
        <f t="shared" ca="1" si="8332"/>
        <v>161499.22810249944</v>
      </c>
      <c r="BY1313" s="10">
        <f t="shared" ref="BY1313:CO1313" ca="1" si="8333">BY1300-BY1290</f>
        <v>205913.19083422472</v>
      </c>
      <c r="BZ1313" s="10">
        <f t="shared" ca="1" si="8333"/>
        <v>280016.72812416521</v>
      </c>
      <c r="CA1313" s="10">
        <f t="shared" ca="1" si="8333"/>
        <v>237573.24292879915</v>
      </c>
      <c r="CB1313" s="10">
        <f t="shared" ca="1" si="8333"/>
        <v>167906.9021982312</v>
      </c>
      <c r="CC1313" s="10">
        <f t="shared" ca="1" si="8333"/>
        <v>214098.72207169505</v>
      </c>
      <c r="CD1313" s="10">
        <f t="shared" ca="1" si="8333"/>
        <v>291167.7366661366</v>
      </c>
      <c r="CE1313" s="10">
        <f t="shared" ca="1" si="8333"/>
        <v>247026.51206295507</v>
      </c>
      <c r="CF1313" s="10">
        <f t="shared" ca="1" si="8333"/>
        <v>174570.84607735806</v>
      </c>
      <c r="CG1313" s="10">
        <f t="shared" ca="1" si="8333"/>
        <v>222611.67455866357</v>
      </c>
      <c r="CH1313" s="10">
        <f t="shared" ca="1" si="8333"/>
        <v>302764.78554978635</v>
      </c>
      <c r="CI1313" s="10">
        <f t="shared" ca="1" si="8333"/>
        <v>256857.91196247865</v>
      </c>
      <c r="CJ1313" s="10">
        <f t="shared" ca="1" si="8333"/>
        <v>184327.12636069866</v>
      </c>
      <c r="CK1313" s="10">
        <f t="shared" ca="1" si="8333"/>
        <v>230615.70664995754</v>
      </c>
      <c r="CL1313" s="10">
        <f t="shared" ca="1" si="8333"/>
        <v>314835.06059641473</v>
      </c>
      <c r="CM1313" s="10">
        <f t="shared" ca="1" si="8333"/>
        <v>267091.91898776783</v>
      </c>
      <c r="CN1313" s="10">
        <f t="shared" ca="1" si="8333"/>
        <v>188709.02758838091</v>
      </c>
      <c r="CO1313" s="10">
        <f t="shared" ca="1" si="8333"/>
        <v>240672.75455501606</v>
      </c>
    </row>
    <row r="1314" spans="1:93"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  <c r="AY1314" s="10"/>
      <c r="AZ1314" s="10"/>
      <c r="BA1314" s="10"/>
      <c r="BB1314" s="10"/>
      <c r="BC1314" s="10"/>
      <c r="BD1314" s="10"/>
      <c r="BE1314" s="10"/>
      <c r="BF1314" s="10"/>
      <c r="BG1314" s="10"/>
      <c r="BH1314" s="10"/>
      <c r="BI1314" s="10"/>
      <c r="BJ1314" s="10"/>
      <c r="BK1314" s="10"/>
      <c r="BL1314" s="10"/>
      <c r="BM1314" s="10"/>
      <c r="BN1314" s="10"/>
      <c r="BO1314" s="10"/>
      <c r="BP1314" s="10"/>
      <c r="BQ1314" s="10"/>
      <c r="BR1314" s="10"/>
      <c r="BS1314" s="10"/>
      <c r="BT1314" s="10"/>
      <c r="BU1314" s="10"/>
      <c r="BV1314" s="10"/>
      <c r="BW1314" s="10"/>
      <c r="BX1314" s="10"/>
      <c r="BY1314" s="10"/>
      <c r="BZ1314" s="10"/>
      <c r="CA1314" s="10"/>
      <c r="CB1314" s="10"/>
      <c r="CC1314" s="10"/>
      <c r="CD1314" s="10"/>
      <c r="CE1314" s="10"/>
      <c r="CF1314" s="10"/>
      <c r="CG1314" s="10"/>
      <c r="CH1314" s="10"/>
      <c r="CI1314" s="10"/>
      <c r="CJ1314" s="10"/>
      <c r="CK1314" s="10"/>
      <c r="CL1314" s="10"/>
      <c r="CM1314" s="10"/>
      <c r="CN1314" s="10"/>
      <c r="CO1314" s="10"/>
    </row>
    <row r="1315" spans="1:93" ht="22.5" customHeight="1">
      <c r="A1315" s="10"/>
      <c r="B1315" s="5" t="s">
        <v>171</v>
      </c>
      <c r="C1315" s="5"/>
      <c r="D1315" s="15"/>
      <c r="E1315" s="5"/>
      <c r="F1315" s="5"/>
      <c r="G1315" s="6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5"/>
      <c r="BP1315" s="5"/>
      <c r="BQ1315" s="5"/>
      <c r="BR1315" s="5"/>
      <c r="BS1315" s="5"/>
      <c r="BT1315" s="5"/>
      <c r="BU1315" s="5"/>
      <c r="BV1315" s="5"/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</row>
    <row r="1316" spans="1:93">
      <c r="A1316" s="10"/>
      <c r="B1316" s="10"/>
      <c r="C1316" s="10"/>
      <c r="D1316" s="10"/>
      <c r="E1316" s="10"/>
      <c r="F1316" s="10"/>
      <c r="G1316" s="11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  <c r="AY1316" s="10"/>
      <c r="AZ1316" s="10"/>
      <c r="BA1316" s="10"/>
      <c r="BB1316" s="10"/>
      <c r="BC1316" s="10"/>
      <c r="BD1316" s="10"/>
      <c r="BE1316" s="10"/>
      <c r="BF1316" s="10"/>
      <c r="BG1316" s="10"/>
      <c r="BH1316" s="10"/>
      <c r="BI1316" s="10"/>
      <c r="BJ1316" s="10"/>
      <c r="BK1316" s="10"/>
      <c r="BL1316" s="10"/>
      <c r="BM1316" s="10"/>
      <c r="BN1316" s="10"/>
      <c r="BO1316" s="10"/>
      <c r="BP1316" s="10"/>
      <c r="BQ1316" s="10"/>
      <c r="BR1316" s="10"/>
      <c r="BS1316" s="10"/>
      <c r="BT1316" s="10"/>
      <c r="BU1316" s="10"/>
      <c r="BV1316" s="10"/>
      <c r="BW1316" s="10"/>
      <c r="BX1316" s="10"/>
      <c r="BY1316" s="10"/>
      <c r="BZ1316" s="10"/>
      <c r="CA1316" s="10"/>
      <c r="CB1316" s="10"/>
      <c r="CC1316" s="10"/>
      <c r="CD1316" s="10"/>
      <c r="CE1316" s="10"/>
      <c r="CF1316" s="10"/>
      <c r="CG1316" s="10"/>
      <c r="CH1316" s="10"/>
      <c r="CI1316" s="10"/>
      <c r="CJ1316" s="10"/>
      <c r="CK1316" s="10"/>
      <c r="CL1316" s="10"/>
      <c r="CM1316" s="10"/>
      <c r="CN1316" s="10"/>
      <c r="CO1316" s="10"/>
    </row>
    <row r="1317" spans="1:93">
      <c r="A1317" s="10"/>
      <c r="B1317" s="10"/>
      <c r="C1317" s="67" t="s">
        <v>163</v>
      </c>
      <c r="D1317" s="10"/>
      <c r="E1317" s="10"/>
      <c r="F1317" s="10"/>
      <c r="G1317" s="11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  <c r="AY1317" s="10"/>
      <c r="AZ1317" s="10"/>
      <c r="BA1317" s="10"/>
      <c r="BB1317" s="10"/>
      <c r="BC1317" s="10"/>
      <c r="BD1317" s="10"/>
      <c r="BE1317" s="10"/>
      <c r="BF1317" s="10"/>
      <c r="BG1317" s="10"/>
      <c r="BH1317" s="10"/>
      <c r="BI1317" s="10"/>
      <c r="BJ1317" s="10"/>
      <c r="BK1317" s="10"/>
      <c r="BL1317" s="10"/>
      <c r="BM1317" s="10"/>
      <c r="BN1317" s="10"/>
      <c r="BO1317" s="10"/>
      <c r="BP1317" s="10"/>
      <c r="BQ1317" s="10"/>
      <c r="BR1317" s="10"/>
      <c r="BS1317" s="10"/>
      <c r="BT1317" s="10"/>
      <c r="BU1317" s="10"/>
      <c r="BV1317" s="10"/>
      <c r="BW1317" s="10"/>
      <c r="BX1317" s="10"/>
      <c r="BY1317" s="10"/>
      <c r="BZ1317" s="10"/>
      <c r="CA1317" s="10"/>
      <c r="CB1317" s="10"/>
      <c r="CC1317" s="10"/>
      <c r="CD1317" s="10"/>
      <c r="CE1317" s="10"/>
      <c r="CF1317" s="10"/>
      <c r="CG1317" s="10"/>
      <c r="CH1317" s="10"/>
      <c r="CI1317" s="10"/>
      <c r="CJ1317" s="10"/>
      <c r="CK1317" s="10"/>
      <c r="CL1317" s="10"/>
      <c r="CM1317" s="10"/>
      <c r="CN1317" s="10"/>
      <c r="CO1317" s="10"/>
    </row>
    <row r="1318" spans="1:93">
      <c r="A1318" s="10"/>
      <c r="B1318" s="10"/>
      <c r="C1318" s="17" t="s">
        <v>161</v>
      </c>
      <c r="D1318" s="10"/>
      <c r="E1318" s="10"/>
      <c r="F1318" s="10"/>
      <c r="G1318" s="134" t="str">
        <f t="shared" ref="G1318:G1331" si="8334">Monetary_Unit</f>
        <v>тыс. руб.</v>
      </c>
      <c r="H1318" s="10"/>
      <c r="I1318" s="23">
        <f t="shared" ref="I1318:I1331" ca="1" si="8335">SUM(L1318:CO1318)</f>
        <v>4808399.504779838</v>
      </c>
      <c r="J1318" s="10"/>
      <c r="K1318" s="10"/>
      <c r="L1318" s="52">
        <f t="shared" ref="L1318:BW1318" ca="1" si="8336">CAPEX</f>
        <v>26171.794482739097</v>
      </c>
      <c r="M1318" s="52">
        <f t="shared" ca="1" si="8336"/>
        <v>26543.300158756276</v>
      </c>
      <c r="N1318" s="52">
        <f t="shared" ca="1" si="8336"/>
        <v>26920.079316016938</v>
      </c>
      <c r="O1318" s="52">
        <f t="shared" ca="1" si="8336"/>
        <v>27302.20681099359</v>
      </c>
      <c r="P1318" s="52">
        <f t="shared" ca="1" si="8336"/>
        <v>229659.55483999598</v>
      </c>
      <c r="Q1318" s="52">
        <f t="shared" ca="1" si="8336"/>
        <v>231922.48380168967</v>
      </c>
      <c r="R1318" s="52">
        <f t="shared" ca="1" si="8336"/>
        <v>234207.71032243437</v>
      </c>
      <c r="S1318" s="52">
        <f t="shared" ca="1" si="8336"/>
        <v>236515.4541091444</v>
      </c>
      <c r="T1318" s="52">
        <f t="shared" ca="1" si="8336"/>
        <v>238845.93703359578</v>
      </c>
      <c r="U1318" s="52">
        <f t="shared" ca="1" si="8336"/>
        <v>241199.38315375723</v>
      </c>
      <c r="V1318" s="52">
        <f t="shared" ca="1" si="8336"/>
        <v>243576.01873533166</v>
      </c>
      <c r="W1318" s="52">
        <f t="shared" ca="1" si="8336"/>
        <v>245976.07227351013</v>
      </c>
      <c r="X1318" s="52">
        <f t="shared" ca="1" si="8336"/>
        <v>518760.33442500973</v>
      </c>
      <c r="Y1318" s="52">
        <f t="shared" ca="1" si="8336"/>
        <v>523871.89090157853</v>
      </c>
      <c r="Z1318" s="52">
        <f t="shared" ca="1" si="8336"/>
        <v>529033.81362220866</v>
      </c>
      <c r="AA1318" s="52">
        <f t="shared" ca="1" si="8336"/>
        <v>534246.59886597958</v>
      </c>
      <c r="AB1318" s="52">
        <f t="shared" ca="1" si="8336"/>
        <v>693646.87192709628</v>
      </c>
      <c r="AC1318" s="52">
        <f t="shared" ca="1" si="8336"/>
        <v>0</v>
      </c>
      <c r="AD1318" s="52">
        <f t="shared" ca="1" si="8336"/>
        <v>0</v>
      </c>
      <c r="AE1318" s="52">
        <f t="shared" ca="1" si="8336"/>
        <v>0</v>
      </c>
      <c r="AF1318" s="52">
        <f t="shared" ca="1" si="8336"/>
        <v>0</v>
      </c>
      <c r="AG1318" s="52">
        <f t="shared" ca="1" si="8336"/>
        <v>0</v>
      </c>
      <c r="AH1318" s="52">
        <f t="shared" ca="1" si="8336"/>
        <v>0</v>
      </c>
      <c r="AI1318" s="52">
        <f t="shared" ca="1" si="8336"/>
        <v>0</v>
      </c>
      <c r="AJ1318" s="52">
        <f t="shared" ca="1" si="8336"/>
        <v>0</v>
      </c>
      <c r="AK1318" s="52">
        <f t="shared" ca="1" si="8336"/>
        <v>0</v>
      </c>
      <c r="AL1318" s="52">
        <f t="shared" ca="1" si="8336"/>
        <v>0</v>
      </c>
      <c r="AM1318" s="52">
        <f t="shared" ca="1" si="8336"/>
        <v>0</v>
      </c>
      <c r="AN1318" s="52">
        <f t="shared" ca="1" si="8336"/>
        <v>0</v>
      </c>
      <c r="AO1318" s="52">
        <f t="shared" ca="1" si="8336"/>
        <v>0</v>
      </c>
      <c r="AP1318" s="52">
        <f t="shared" ca="1" si="8336"/>
        <v>0</v>
      </c>
      <c r="AQ1318" s="52">
        <f t="shared" ca="1" si="8336"/>
        <v>0</v>
      </c>
      <c r="AR1318" s="52">
        <f t="shared" ca="1" si="8336"/>
        <v>0</v>
      </c>
      <c r="AS1318" s="52">
        <f t="shared" ca="1" si="8336"/>
        <v>0</v>
      </c>
      <c r="AT1318" s="52">
        <f t="shared" ca="1" si="8336"/>
        <v>0</v>
      </c>
      <c r="AU1318" s="52">
        <f t="shared" ca="1" si="8336"/>
        <v>0</v>
      </c>
      <c r="AV1318" s="52">
        <f t="shared" ca="1" si="8336"/>
        <v>0</v>
      </c>
      <c r="AW1318" s="52">
        <f t="shared" ca="1" si="8336"/>
        <v>0</v>
      </c>
      <c r="AX1318" s="52">
        <f t="shared" ca="1" si="8336"/>
        <v>0</v>
      </c>
      <c r="AY1318" s="52">
        <f t="shared" ca="1" si="8336"/>
        <v>0</v>
      </c>
      <c r="AZ1318" s="52">
        <f t="shared" ca="1" si="8336"/>
        <v>0</v>
      </c>
      <c r="BA1318" s="52">
        <f t="shared" ca="1" si="8336"/>
        <v>0</v>
      </c>
      <c r="BB1318" s="52">
        <f t="shared" ca="1" si="8336"/>
        <v>0</v>
      </c>
      <c r="BC1318" s="52">
        <f t="shared" ca="1" si="8336"/>
        <v>0</v>
      </c>
      <c r="BD1318" s="52">
        <f t="shared" ca="1" si="8336"/>
        <v>0</v>
      </c>
      <c r="BE1318" s="52">
        <f t="shared" ca="1" si="8336"/>
        <v>0</v>
      </c>
      <c r="BF1318" s="52">
        <f t="shared" ca="1" si="8336"/>
        <v>0</v>
      </c>
      <c r="BG1318" s="52">
        <f t="shared" ca="1" si="8336"/>
        <v>0</v>
      </c>
      <c r="BH1318" s="52">
        <f t="shared" ca="1" si="8336"/>
        <v>0</v>
      </c>
      <c r="BI1318" s="52">
        <f t="shared" ca="1" si="8336"/>
        <v>0</v>
      </c>
      <c r="BJ1318" s="52">
        <f t="shared" ca="1" si="8336"/>
        <v>0</v>
      </c>
      <c r="BK1318" s="52">
        <f t="shared" ca="1" si="8336"/>
        <v>0</v>
      </c>
      <c r="BL1318" s="52">
        <f t="shared" ca="1" si="8336"/>
        <v>0</v>
      </c>
      <c r="BM1318" s="52">
        <f t="shared" ca="1" si="8336"/>
        <v>0</v>
      </c>
      <c r="BN1318" s="52">
        <f t="shared" ca="1" si="8336"/>
        <v>0</v>
      </c>
      <c r="BO1318" s="52">
        <f t="shared" ca="1" si="8336"/>
        <v>0</v>
      </c>
      <c r="BP1318" s="52">
        <f t="shared" ca="1" si="8336"/>
        <v>0</v>
      </c>
      <c r="BQ1318" s="52">
        <f t="shared" ca="1" si="8336"/>
        <v>0</v>
      </c>
      <c r="BR1318" s="52">
        <f t="shared" ca="1" si="8336"/>
        <v>0</v>
      </c>
      <c r="BS1318" s="52">
        <f t="shared" ca="1" si="8336"/>
        <v>0</v>
      </c>
      <c r="BT1318" s="52">
        <f t="shared" ca="1" si="8336"/>
        <v>0</v>
      </c>
      <c r="BU1318" s="52">
        <f t="shared" ca="1" si="8336"/>
        <v>0</v>
      </c>
      <c r="BV1318" s="52">
        <f t="shared" ca="1" si="8336"/>
        <v>0</v>
      </c>
      <c r="BW1318" s="52">
        <f t="shared" ca="1" si="8336"/>
        <v>0</v>
      </c>
      <c r="BX1318" s="52">
        <f t="shared" ref="BX1318:CO1318" ca="1" si="8337">CAPEX</f>
        <v>0</v>
      </c>
      <c r="BY1318" s="52">
        <f t="shared" ca="1" si="8337"/>
        <v>0</v>
      </c>
      <c r="BZ1318" s="52">
        <f t="shared" ca="1" si="8337"/>
        <v>0</v>
      </c>
      <c r="CA1318" s="52">
        <f t="shared" ca="1" si="8337"/>
        <v>0</v>
      </c>
      <c r="CB1318" s="52">
        <f t="shared" ca="1" si="8337"/>
        <v>0</v>
      </c>
      <c r="CC1318" s="52">
        <f t="shared" ca="1" si="8337"/>
        <v>0</v>
      </c>
      <c r="CD1318" s="52">
        <f t="shared" ca="1" si="8337"/>
        <v>0</v>
      </c>
      <c r="CE1318" s="52">
        <f t="shared" ca="1" si="8337"/>
        <v>0</v>
      </c>
      <c r="CF1318" s="52">
        <f t="shared" ca="1" si="8337"/>
        <v>0</v>
      </c>
      <c r="CG1318" s="52">
        <f t="shared" ca="1" si="8337"/>
        <v>0</v>
      </c>
      <c r="CH1318" s="52">
        <f t="shared" ca="1" si="8337"/>
        <v>0</v>
      </c>
      <c r="CI1318" s="52">
        <f t="shared" ca="1" si="8337"/>
        <v>0</v>
      </c>
      <c r="CJ1318" s="52">
        <f t="shared" ca="1" si="8337"/>
        <v>0</v>
      </c>
      <c r="CK1318" s="52">
        <f t="shared" ca="1" si="8337"/>
        <v>0</v>
      </c>
      <c r="CL1318" s="52">
        <f t="shared" ca="1" si="8337"/>
        <v>0</v>
      </c>
      <c r="CM1318" s="52">
        <f t="shared" ca="1" si="8337"/>
        <v>0</v>
      </c>
      <c r="CN1318" s="52">
        <f t="shared" ca="1" si="8337"/>
        <v>0</v>
      </c>
      <c r="CO1318" s="52">
        <f t="shared" ca="1" si="8337"/>
        <v>0</v>
      </c>
    </row>
    <row r="1319" spans="1:93">
      <c r="A1319" s="10"/>
      <c r="B1319" s="10"/>
      <c r="C1319" s="17" t="s">
        <v>722</v>
      </c>
      <c r="D1319" s="10"/>
      <c r="E1319" s="10"/>
      <c r="F1319" s="10"/>
      <c r="G1319" s="134" t="str">
        <f t="shared" si="8334"/>
        <v>тыс. руб.</v>
      </c>
      <c r="H1319" s="10"/>
      <c r="I1319" s="23">
        <f t="shared" ca="1" si="8335"/>
        <v>38547379.439622067</v>
      </c>
      <c r="J1319" s="10"/>
      <c r="K1319" s="10"/>
      <c r="L1319" s="52">
        <f t="shared" ref="L1319:BW1319" ca="1" si="8338">-COGS</f>
        <v>0</v>
      </c>
      <c r="M1319" s="52">
        <f t="shared" ca="1" si="8338"/>
        <v>0</v>
      </c>
      <c r="N1319" s="52">
        <f t="shared" ca="1" si="8338"/>
        <v>0</v>
      </c>
      <c r="O1319" s="52">
        <f t="shared" ca="1" si="8338"/>
        <v>0</v>
      </c>
      <c r="P1319" s="52">
        <f t="shared" ca="1" si="8338"/>
        <v>0</v>
      </c>
      <c r="Q1319" s="52">
        <f t="shared" ca="1" si="8338"/>
        <v>0</v>
      </c>
      <c r="R1319" s="52">
        <f t="shared" ca="1" si="8338"/>
        <v>0</v>
      </c>
      <c r="S1319" s="52">
        <f t="shared" ca="1" si="8338"/>
        <v>0</v>
      </c>
      <c r="T1319" s="52">
        <f t="shared" ca="1" si="8338"/>
        <v>0</v>
      </c>
      <c r="U1319" s="52">
        <f t="shared" ca="1" si="8338"/>
        <v>0</v>
      </c>
      <c r="V1319" s="52">
        <f t="shared" ca="1" si="8338"/>
        <v>0</v>
      </c>
      <c r="W1319" s="52">
        <f t="shared" ca="1" si="8338"/>
        <v>0</v>
      </c>
      <c r="X1319" s="52">
        <f t="shared" ca="1" si="8338"/>
        <v>0</v>
      </c>
      <c r="Y1319" s="52">
        <f t="shared" ca="1" si="8338"/>
        <v>0</v>
      </c>
      <c r="Z1319" s="52">
        <f t="shared" ca="1" si="8338"/>
        <v>0</v>
      </c>
      <c r="AA1319" s="52">
        <f t="shared" ca="1" si="8338"/>
        <v>0</v>
      </c>
      <c r="AB1319" s="52">
        <f t="shared" ca="1" si="8338"/>
        <v>0</v>
      </c>
      <c r="AC1319" s="52">
        <f t="shared" ca="1" si="8338"/>
        <v>338364.69457748812</v>
      </c>
      <c r="AD1319" s="52">
        <f t="shared" ca="1" si="8338"/>
        <v>440233.51075948874</v>
      </c>
      <c r="AE1319" s="52">
        <f t="shared" ca="1" si="8338"/>
        <v>260902.81296897485</v>
      </c>
      <c r="AF1319" s="52">
        <f t="shared" ca="1" si="8338"/>
        <v>256039.33641042063</v>
      </c>
      <c r="AG1319" s="52">
        <f t="shared" ca="1" si="8338"/>
        <v>403998.14006466302</v>
      </c>
      <c r="AH1319" s="52">
        <f t="shared" ca="1" si="8338"/>
        <v>523215.13660697942</v>
      </c>
      <c r="AI1319" s="52">
        <f t="shared" ca="1" si="8338"/>
        <v>308731.99285408959</v>
      </c>
      <c r="AJ1319" s="52">
        <f t="shared" ca="1" si="8338"/>
        <v>301753.52545773616</v>
      </c>
      <c r="AK1319" s="52">
        <f t="shared" ca="1" si="8338"/>
        <v>474340.87767948816</v>
      </c>
      <c r="AL1319" s="52">
        <f t="shared" ca="1" si="8338"/>
        <v>612130.91890505375</v>
      </c>
      <c r="AM1319" s="52">
        <f t="shared" ca="1" si="8338"/>
        <v>359970.06262926321</v>
      </c>
      <c r="AN1319" s="52">
        <f t="shared" ca="1" si="8338"/>
        <v>354611.34320440446</v>
      </c>
      <c r="AO1319" s="52">
        <f t="shared" ca="1" si="8338"/>
        <v>549663.95169612917</v>
      </c>
      <c r="AP1319" s="52">
        <f t="shared" ca="1" si="8338"/>
        <v>689645.45364490314</v>
      </c>
      <c r="AQ1319" s="52">
        <f t="shared" ca="1" si="8338"/>
        <v>394590.32912258612</v>
      </c>
      <c r="AR1319" s="52">
        <f t="shared" ca="1" si="8338"/>
        <v>374335.589413982</v>
      </c>
      <c r="AS1319" s="52">
        <f t="shared" ca="1" si="8338"/>
        <v>571651.22277057101</v>
      </c>
      <c r="AT1319" s="52">
        <f t="shared" ca="1" si="8338"/>
        <v>717231.99973528064</v>
      </c>
      <c r="AU1319" s="52">
        <f t="shared" ca="1" si="8338"/>
        <v>410374.67740480497</v>
      </c>
      <c r="AV1319" s="52">
        <f t="shared" ca="1" si="8338"/>
        <v>389309.01299054123</v>
      </c>
      <c r="AW1319" s="52">
        <f t="shared" ca="1" si="8338"/>
        <v>586465.74265078746</v>
      </c>
      <c r="AX1319" s="52">
        <f t="shared" ca="1" si="8338"/>
        <v>735818.43146604754</v>
      </c>
      <c r="AY1319" s="52">
        <f t="shared" ca="1" si="8338"/>
        <v>421010.81673520268</v>
      </c>
      <c r="AZ1319" s="52">
        <f t="shared" ca="1" si="8338"/>
        <v>399399.31868577609</v>
      </c>
      <c r="BA1319" s="52">
        <f t="shared" ca="1" si="8338"/>
        <v>609924.37235681852</v>
      </c>
      <c r="BB1319" s="52">
        <f t="shared" ca="1" si="8338"/>
        <v>765251.16872468952</v>
      </c>
      <c r="BC1319" s="52">
        <f t="shared" ca="1" si="8338"/>
        <v>437851.24940461077</v>
      </c>
      <c r="BD1319" s="52">
        <f t="shared" ca="1" si="8338"/>
        <v>419989.77823935129</v>
      </c>
      <c r="BE1319" s="52">
        <f t="shared" ca="1" si="8338"/>
        <v>634320.54521563894</v>
      </c>
      <c r="BF1319" s="52">
        <f t="shared" ca="1" si="8338"/>
        <v>795860.39663502329</v>
      </c>
      <c r="BG1319" s="52">
        <f t="shared" ca="1" si="8338"/>
        <v>455364.47247379133</v>
      </c>
      <c r="BH1319" s="52">
        <f t="shared" ca="1" si="8338"/>
        <v>431990.30309053528</v>
      </c>
      <c r="BI1319" s="52">
        <f t="shared" ca="1" si="8338"/>
        <v>659694.20114113495</v>
      </c>
      <c r="BJ1319" s="52">
        <f t="shared" ca="1" si="8338"/>
        <v>827695.66409262386</v>
      </c>
      <c r="BK1319" s="52">
        <f t="shared" ca="1" si="8338"/>
        <v>473579.91135602683</v>
      </c>
      <c r="BL1319" s="52">
        <f t="shared" ca="1" si="8338"/>
        <v>449269.91521415667</v>
      </c>
      <c r="BM1319" s="52">
        <f t="shared" ca="1" si="8338"/>
        <v>686081.96918678016</v>
      </c>
      <c r="BN1319" s="52">
        <f t="shared" ca="1" si="8338"/>
        <v>860803.49065632862</v>
      </c>
      <c r="BO1319" s="52">
        <f t="shared" ca="1" si="8338"/>
        <v>492523.10781026777</v>
      </c>
      <c r="BP1319" s="52">
        <f t="shared" ca="1" si="8338"/>
        <v>467240.71182272292</v>
      </c>
      <c r="BQ1319" s="52">
        <f t="shared" ca="1" si="8338"/>
        <v>713525.24795425136</v>
      </c>
      <c r="BR1319" s="52">
        <f t="shared" ca="1" si="8338"/>
        <v>895235.63028258167</v>
      </c>
      <c r="BS1319" s="52">
        <f t="shared" ca="1" si="8338"/>
        <v>512224.03212267824</v>
      </c>
      <c r="BT1319" s="52">
        <f t="shared" ca="1" si="8338"/>
        <v>491328.63718580664</v>
      </c>
      <c r="BU1319" s="52">
        <f t="shared" ca="1" si="8338"/>
        <v>742065.31960438204</v>
      </c>
      <c r="BV1319" s="52">
        <f t="shared" ca="1" si="8338"/>
        <v>931044.09756847634</v>
      </c>
      <c r="BW1319" s="52">
        <f t="shared" ca="1" si="8338"/>
        <v>532712.0260433486</v>
      </c>
      <c r="BX1319" s="52">
        <f t="shared" ref="BX1319:CO1319" ca="1" si="8339">-COGS</f>
        <v>505367.55390745687</v>
      </c>
      <c r="BY1319" s="52">
        <f t="shared" ca="1" si="8339"/>
        <v>771748.90818731789</v>
      </c>
      <c r="BZ1319" s="52">
        <f t="shared" ca="1" si="8339"/>
        <v>968286.8577136402</v>
      </c>
      <c r="CA1319" s="52">
        <f t="shared" ca="1" si="8339"/>
        <v>554021.51314388867</v>
      </c>
      <c r="CB1319" s="52">
        <f t="shared" ca="1" si="8339"/>
        <v>525582.25606375502</v>
      </c>
      <c r="CC1319" s="52">
        <f t="shared" ca="1" si="8339"/>
        <v>802618.86451481062</v>
      </c>
      <c r="CD1319" s="52">
        <f t="shared" ca="1" si="8339"/>
        <v>1007018.3320221858</v>
      </c>
      <c r="CE1319" s="52">
        <f t="shared" ca="1" si="8339"/>
        <v>576182.37366964424</v>
      </c>
      <c r="CF1319" s="52">
        <f t="shared" ca="1" si="8339"/>
        <v>546605.54630630522</v>
      </c>
      <c r="CG1319" s="52">
        <f t="shared" ca="1" si="8339"/>
        <v>834723.61909540289</v>
      </c>
      <c r="CH1319" s="52">
        <f t="shared" ca="1" si="8339"/>
        <v>1047299.0653030727</v>
      </c>
      <c r="CI1319" s="52">
        <f t="shared" ca="1" si="8339"/>
        <v>599229.66861643014</v>
      </c>
      <c r="CJ1319" s="52">
        <f t="shared" ca="1" si="8339"/>
        <v>574785.01198494982</v>
      </c>
      <c r="CK1319" s="52">
        <f t="shared" ca="1" si="8339"/>
        <v>868111.46621832193</v>
      </c>
      <c r="CL1319" s="52">
        <f t="shared" ca="1" si="8339"/>
        <v>1089189.9072779571</v>
      </c>
      <c r="CM1319" s="52">
        <f t="shared" ca="1" si="8339"/>
        <v>623197.72368175432</v>
      </c>
      <c r="CN1319" s="52">
        <f t="shared" ca="1" si="8339"/>
        <v>591208.55888489971</v>
      </c>
      <c r="CO1319" s="52">
        <f t="shared" ca="1" si="8339"/>
        <v>902837.06641358766</v>
      </c>
    </row>
    <row r="1320" spans="1:93">
      <c r="A1320" s="10"/>
      <c r="B1320" s="10"/>
      <c r="C1320" s="17" t="s">
        <v>751</v>
      </c>
      <c r="D1320" s="10"/>
      <c r="E1320" s="10"/>
      <c r="F1320" s="10"/>
      <c r="G1320" s="134" t="str">
        <f t="shared" si="8334"/>
        <v>тыс. руб.</v>
      </c>
      <c r="H1320" s="10"/>
      <c r="I1320" s="23">
        <f t="shared" ca="1" si="8335"/>
        <v>234399.59558506194</v>
      </c>
      <c r="J1320" s="10"/>
      <c r="K1320" s="10"/>
      <c r="L1320" s="52">
        <f t="shared" ref="L1320:BW1320" ca="1" si="8340">-SGA</f>
        <v>0</v>
      </c>
      <c r="M1320" s="52">
        <f t="shared" ca="1" si="8340"/>
        <v>0</v>
      </c>
      <c r="N1320" s="52">
        <f t="shared" ca="1" si="8340"/>
        <v>0</v>
      </c>
      <c r="O1320" s="52">
        <f t="shared" ca="1" si="8340"/>
        <v>0</v>
      </c>
      <c r="P1320" s="52">
        <f t="shared" ca="1" si="8340"/>
        <v>0</v>
      </c>
      <c r="Q1320" s="52">
        <f t="shared" ca="1" si="8340"/>
        <v>0</v>
      </c>
      <c r="R1320" s="52">
        <f t="shared" ca="1" si="8340"/>
        <v>0</v>
      </c>
      <c r="S1320" s="52">
        <f t="shared" ca="1" si="8340"/>
        <v>0</v>
      </c>
      <c r="T1320" s="52">
        <f t="shared" ca="1" si="8340"/>
        <v>0</v>
      </c>
      <c r="U1320" s="52">
        <f t="shared" ca="1" si="8340"/>
        <v>0</v>
      </c>
      <c r="V1320" s="52">
        <f t="shared" ca="1" si="8340"/>
        <v>0</v>
      </c>
      <c r="W1320" s="52">
        <f t="shared" ca="1" si="8340"/>
        <v>0</v>
      </c>
      <c r="X1320" s="52">
        <f t="shared" ca="1" si="8340"/>
        <v>0</v>
      </c>
      <c r="Y1320" s="52">
        <f t="shared" ca="1" si="8340"/>
        <v>0</v>
      </c>
      <c r="Z1320" s="52">
        <f t="shared" ca="1" si="8340"/>
        <v>0</v>
      </c>
      <c r="AA1320" s="52">
        <f t="shared" ca="1" si="8340"/>
        <v>0</v>
      </c>
      <c r="AB1320" s="52">
        <f t="shared" ca="1" si="8340"/>
        <v>0</v>
      </c>
      <c r="AC1320" s="52">
        <f t="shared" ca="1" si="8340"/>
        <v>3596.4193556298515</v>
      </c>
      <c r="AD1320" s="52">
        <f t="shared" ca="1" si="8340"/>
        <v>3635.9404474499602</v>
      </c>
      <c r="AE1320" s="52">
        <f t="shared" ca="1" si="8340"/>
        <v>3635.9404474499602</v>
      </c>
      <c r="AF1320" s="52">
        <f t="shared" ca="1" si="8340"/>
        <v>3556.8982638097432</v>
      </c>
      <c r="AG1320" s="52">
        <f t="shared" ca="1" si="8340"/>
        <v>3596.4193556298515</v>
      </c>
      <c r="AH1320" s="52">
        <f t="shared" ca="1" si="8340"/>
        <v>3635.9404474499602</v>
      </c>
      <c r="AI1320" s="52">
        <f t="shared" ca="1" si="8340"/>
        <v>3635.9404474499602</v>
      </c>
      <c r="AJ1320" s="52">
        <f t="shared" ca="1" si="8340"/>
        <v>3556.8982638097432</v>
      </c>
      <c r="AK1320" s="52">
        <f t="shared" ca="1" si="8340"/>
        <v>3596.4193556298515</v>
      </c>
      <c r="AL1320" s="52">
        <f t="shared" ca="1" si="8340"/>
        <v>3635.9404474499602</v>
      </c>
      <c r="AM1320" s="52">
        <f t="shared" ca="1" si="8340"/>
        <v>3635.9404474499602</v>
      </c>
      <c r="AN1320" s="52">
        <f t="shared" ca="1" si="8340"/>
        <v>3586.59307323742</v>
      </c>
      <c r="AO1320" s="52">
        <f t="shared" ca="1" si="8340"/>
        <v>3586.59307323742</v>
      </c>
      <c r="AP1320" s="52">
        <f t="shared" ca="1" si="8340"/>
        <v>3626.0061839323371</v>
      </c>
      <c r="AQ1320" s="52">
        <f t="shared" ca="1" si="8340"/>
        <v>3626.0061839323371</v>
      </c>
      <c r="AR1320" s="52">
        <f t="shared" ca="1" si="8340"/>
        <v>3556.8982638097432</v>
      </c>
      <c r="AS1320" s="52">
        <f t="shared" ca="1" si="8340"/>
        <v>3596.4193556298515</v>
      </c>
      <c r="AT1320" s="52">
        <f t="shared" ca="1" si="8340"/>
        <v>3635.9404474499602</v>
      </c>
      <c r="AU1320" s="52">
        <f t="shared" ca="1" si="8340"/>
        <v>3635.9404474499602</v>
      </c>
      <c r="AV1320" s="52">
        <f t="shared" ca="1" si="8340"/>
        <v>3556.8982638097432</v>
      </c>
      <c r="AW1320" s="52">
        <f t="shared" ca="1" si="8340"/>
        <v>3596.4193556298515</v>
      </c>
      <c r="AX1320" s="52">
        <f t="shared" ca="1" si="8340"/>
        <v>3635.9404474499602</v>
      </c>
      <c r="AY1320" s="52">
        <f t="shared" ca="1" si="8340"/>
        <v>3635.9404474499602</v>
      </c>
      <c r="AZ1320" s="52">
        <f t="shared" ca="1" si="8340"/>
        <v>3556.8982638097432</v>
      </c>
      <c r="BA1320" s="52">
        <f t="shared" ca="1" si="8340"/>
        <v>3596.4193556298515</v>
      </c>
      <c r="BB1320" s="52">
        <f t="shared" ca="1" si="8340"/>
        <v>3635.9404474499602</v>
      </c>
      <c r="BC1320" s="52">
        <f t="shared" ca="1" si="8340"/>
        <v>3635.9404474499602</v>
      </c>
      <c r="BD1320" s="52">
        <f t="shared" ca="1" si="8340"/>
        <v>3586.59307323742</v>
      </c>
      <c r="BE1320" s="52">
        <f t="shared" ca="1" si="8340"/>
        <v>3586.59307323742</v>
      </c>
      <c r="BF1320" s="52">
        <f t="shared" ca="1" si="8340"/>
        <v>3626.0061839323371</v>
      </c>
      <c r="BG1320" s="52">
        <f t="shared" ca="1" si="8340"/>
        <v>3626.0061839323371</v>
      </c>
      <c r="BH1320" s="52">
        <f t="shared" ca="1" si="8340"/>
        <v>3556.8982638097432</v>
      </c>
      <c r="BI1320" s="52">
        <f t="shared" ca="1" si="8340"/>
        <v>3596.4193556298515</v>
      </c>
      <c r="BJ1320" s="52">
        <f t="shared" ca="1" si="8340"/>
        <v>3635.9404474499602</v>
      </c>
      <c r="BK1320" s="52">
        <f t="shared" ca="1" si="8340"/>
        <v>3635.9404474499602</v>
      </c>
      <c r="BL1320" s="52">
        <f t="shared" ca="1" si="8340"/>
        <v>3556.8982638097432</v>
      </c>
      <c r="BM1320" s="52">
        <f t="shared" ca="1" si="8340"/>
        <v>3596.4193556298515</v>
      </c>
      <c r="BN1320" s="52">
        <f t="shared" ca="1" si="8340"/>
        <v>3635.9404474499602</v>
      </c>
      <c r="BO1320" s="52">
        <f t="shared" ca="1" si="8340"/>
        <v>3635.9404474499602</v>
      </c>
      <c r="BP1320" s="52">
        <f t="shared" ca="1" si="8340"/>
        <v>3556.8982638097432</v>
      </c>
      <c r="BQ1320" s="52">
        <f t="shared" ca="1" si="8340"/>
        <v>3596.4193556298515</v>
      </c>
      <c r="BR1320" s="52">
        <f t="shared" ca="1" si="8340"/>
        <v>3635.9404474499602</v>
      </c>
      <c r="BS1320" s="52">
        <f t="shared" ca="1" si="8340"/>
        <v>3635.9404474499602</v>
      </c>
      <c r="BT1320" s="52">
        <f t="shared" ca="1" si="8340"/>
        <v>3586.59307323742</v>
      </c>
      <c r="BU1320" s="52">
        <f t="shared" ca="1" si="8340"/>
        <v>3586.59307323742</v>
      </c>
      <c r="BV1320" s="52">
        <f t="shared" ca="1" si="8340"/>
        <v>3626.0061839323371</v>
      </c>
      <c r="BW1320" s="52">
        <f t="shared" ca="1" si="8340"/>
        <v>3626.0061839323371</v>
      </c>
      <c r="BX1320" s="52">
        <f t="shared" ref="BX1320:CO1320" ca="1" si="8341">-SGA</f>
        <v>3556.8982638097432</v>
      </c>
      <c r="BY1320" s="52">
        <f t="shared" ca="1" si="8341"/>
        <v>3596.4193556298515</v>
      </c>
      <c r="BZ1320" s="52">
        <f t="shared" ca="1" si="8341"/>
        <v>3635.9404474499602</v>
      </c>
      <c r="CA1320" s="52">
        <f t="shared" ca="1" si="8341"/>
        <v>3635.9404474499602</v>
      </c>
      <c r="CB1320" s="52">
        <f t="shared" ca="1" si="8341"/>
        <v>3556.8982638097432</v>
      </c>
      <c r="CC1320" s="52">
        <f t="shared" ca="1" si="8341"/>
        <v>3596.4193556298515</v>
      </c>
      <c r="CD1320" s="52">
        <f t="shared" ca="1" si="8341"/>
        <v>3635.9404474499602</v>
      </c>
      <c r="CE1320" s="52">
        <f t="shared" ca="1" si="8341"/>
        <v>3635.9404474499602</v>
      </c>
      <c r="CF1320" s="52">
        <f t="shared" ca="1" si="8341"/>
        <v>3556.8982638097432</v>
      </c>
      <c r="CG1320" s="52">
        <f t="shared" ca="1" si="8341"/>
        <v>3596.4193556298515</v>
      </c>
      <c r="CH1320" s="52">
        <f t="shared" ca="1" si="8341"/>
        <v>3635.9404474499602</v>
      </c>
      <c r="CI1320" s="52">
        <f t="shared" ca="1" si="8341"/>
        <v>3635.9404474499602</v>
      </c>
      <c r="CJ1320" s="52">
        <f t="shared" ca="1" si="8341"/>
        <v>3586.59307323742</v>
      </c>
      <c r="CK1320" s="52">
        <f t="shared" ca="1" si="8341"/>
        <v>3586.59307323742</v>
      </c>
      <c r="CL1320" s="52">
        <f t="shared" ca="1" si="8341"/>
        <v>3626.0061839323371</v>
      </c>
      <c r="CM1320" s="52">
        <f t="shared" ca="1" si="8341"/>
        <v>3626.0061839323371</v>
      </c>
      <c r="CN1320" s="52">
        <f t="shared" ca="1" si="8341"/>
        <v>3556.8982638097432</v>
      </c>
      <c r="CO1320" s="52">
        <f t="shared" ca="1" si="8341"/>
        <v>3596.4193556298515</v>
      </c>
    </row>
    <row r="1321" spans="1:93">
      <c r="A1321" s="10"/>
      <c r="B1321" s="10"/>
      <c r="C1321" s="17" t="s">
        <v>345</v>
      </c>
      <c r="D1321" s="10"/>
      <c r="E1321" s="10"/>
      <c r="F1321" s="10"/>
      <c r="G1321" s="134" t="str">
        <f t="shared" si="8334"/>
        <v>тыс. руб.</v>
      </c>
      <c r="H1321" s="10"/>
      <c r="I1321" s="23">
        <f t="shared" ca="1" si="8335"/>
        <v>1734990.8439948873</v>
      </c>
      <c r="J1321" s="10"/>
      <c r="K1321" s="10"/>
      <c r="L1321" s="52">
        <f t="shared" ref="L1321:BW1321" ca="1" si="8342">-VAT_Cash_Flow*(VAT_Cash_Flow&lt;0)</f>
        <v>5234.3588965478193</v>
      </c>
      <c r="M1321" s="52">
        <f t="shared" ca="1" si="8342"/>
        <v>5308.6600317512566</v>
      </c>
      <c r="N1321" s="52">
        <f t="shared" ca="1" si="8342"/>
        <v>5384.015863203389</v>
      </c>
      <c r="O1321" s="52">
        <f t="shared" ca="1" si="8342"/>
        <v>5460.4413621987187</v>
      </c>
      <c r="P1321" s="52">
        <f t="shared" ca="1" si="8342"/>
        <v>45931.910967999196</v>
      </c>
      <c r="Q1321" s="52">
        <f t="shared" ca="1" si="8342"/>
        <v>46384.496760337934</v>
      </c>
      <c r="R1321" s="52">
        <f t="shared" ca="1" si="8342"/>
        <v>46841.542064486872</v>
      </c>
      <c r="S1321" s="52">
        <f t="shared" ca="1" si="8342"/>
        <v>47303.090821828868</v>
      </c>
      <c r="T1321" s="52">
        <f t="shared" ca="1" si="8342"/>
        <v>47769.187406719167</v>
      </c>
      <c r="U1321" s="52">
        <f t="shared" ca="1" si="8342"/>
        <v>48239.876630751445</v>
      </c>
      <c r="V1321" s="52">
        <f t="shared" ca="1" si="8342"/>
        <v>48715.20374706632</v>
      </c>
      <c r="W1321" s="52">
        <f t="shared" ca="1" si="8342"/>
        <v>49195.214454702043</v>
      </c>
      <c r="X1321" s="52">
        <f t="shared" ca="1" si="8342"/>
        <v>103752.06688500196</v>
      </c>
      <c r="Y1321" s="52">
        <f t="shared" ca="1" si="8342"/>
        <v>104774.37818031572</v>
      </c>
      <c r="Z1321" s="52">
        <f t="shared" ca="1" si="8342"/>
        <v>105806.76272444171</v>
      </c>
      <c r="AA1321" s="52">
        <f t="shared" ca="1" si="8342"/>
        <v>106849.31977319589</v>
      </c>
      <c r="AB1321" s="52">
        <f t="shared" ca="1" si="8342"/>
        <v>138729.3743854193</v>
      </c>
      <c r="AC1321" s="52">
        <f t="shared" ca="1" si="8342"/>
        <v>0</v>
      </c>
      <c r="AD1321" s="52">
        <f t="shared" ca="1" si="8342"/>
        <v>0</v>
      </c>
      <c r="AE1321" s="52">
        <f t="shared" ca="1" si="8342"/>
        <v>0</v>
      </c>
      <c r="AF1321" s="52">
        <f t="shared" ca="1" si="8342"/>
        <v>0</v>
      </c>
      <c r="AG1321" s="52">
        <f t="shared" ca="1" si="8342"/>
        <v>11685.653784310161</v>
      </c>
      <c r="AH1321" s="52">
        <f t="shared" ca="1" si="8342"/>
        <v>21819.188282335046</v>
      </c>
      <c r="AI1321" s="52">
        <f t="shared" ca="1" si="8342"/>
        <v>0</v>
      </c>
      <c r="AJ1321" s="52">
        <f t="shared" ca="1" si="8342"/>
        <v>0</v>
      </c>
      <c r="AK1321" s="52">
        <f t="shared" ca="1" si="8342"/>
        <v>13524.160059774644</v>
      </c>
      <c r="AL1321" s="52">
        <f t="shared" ca="1" si="8342"/>
        <v>25347.152161396705</v>
      </c>
      <c r="AM1321" s="52">
        <f t="shared" ca="1" si="8342"/>
        <v>0</v>
      </c>
      <c r="AN1321" s="52">
        <f t="shared" ca="1" si="8342"/>
        <v>0</v>
      </c>
      <c r="AO1321" s="52">
        <f t="shared" ca="1" si="8342"/>
        <v>15490.912674568193</v>
      </c>
      <c r="AP1321" s="52">
        <f t="shared" ca="1" si="8342"/>
        <v>27360.384990569291</v>
      </c>
      <c r="AQ1321" s="52">
        <f t="shared" ca="1" si="8342"/>
        <v>0</v>
      </c>
      <c r="AR1321" s="52">
        <f t="shared" ca="1" si="8342"/>
        <v>0</v>
      </c>
      <c r="AS1321" s="52">
        <f t="shared" ca="1" si="8342"/>
        <v>14459.455058697989</v>
      </c>
      <c r="AT1321" s="52">
        <f t="shared" ca="1" si="8342"/>
        <v>28002.809260666356</v>
      </c>
      <c r="AU1321" s="52">
        <f t="shared" ca="1" si="8342"/>
        <v>0</v>
      </c>
      <c r="AV1321" s="52">
        <f t="shared" ca="1" si="8342"/>
        <v>0</v>
      </c>
      <c r="AW1321" s="52">
        <f t="shared" ca="1" si="8342"/>
        <v>0</v>
      </c>
      <c r="AX1321" s="52">
        <f t="shared" ca="1" si="8342"/>
        <v>0</v>
      </c>
      <c r="AY1321" s="52">
        <f t="shared" ca="1" si="8342"/>
        <v>42870.486806150671</v>
      </c>
      <c r="AZ1321" s="52">
        <f t="shared" ca="1" si="8342"/>
        <v>2941.8516133672383</v>
      </c>
      <c r="BA1321" s="52">
        <f t="shared" ca="1" si="8342"/>
        <v>0</v>
      </c>
      <c r="BB1321" s="52">
        <f t="shared" ca="1" si="8342"/>
        <v>0</v>
      </c>
      <c r="BC1321" s="52">
        <f t="shared" ca="1" si="8342"/>
        <v>44585.306278396616</v>
      </c>
      <c r="BD1321" s="52">
        <f t="shared" ca="1" si="8342"/>
        <v>2431.9453794303263</v>
      </c>
      <c r="BE1321" s="52">
        <f t="shared" ca="1" si="8342"/>
        <v>0</v>
      </c>
      <c r="BF1321" s="52">
        <f t="shared" ca="1" si="8342"/>
        <v>0</v>
      </c>
      <c r="BG1321" s="52">
        <f t="shared" ca="1" si="8342"/>
        <v>46368.716915862504</v>
      </c>
      <c r="BH1321" s="52">
        <f t="shared" ca="1" si="8342"/>
        <v>3182.0720864187897</v>
      </c>
      <c r="BI1321" s="52">
        <f t="shared" ca="1" si="8342"/>
        <v>0</v>
      </c>
      <c r="BJ1321" s="52">
        <f t="shared" ca="1" si="8342"/>
        <v>0</v>
      </c>
      <c r="BK1321" s="52">
        <f t="shared" ca="1" si="8342"/>
        <v>48223.467270713765</v>
      </c>
      <c r="BL1321" s="52">
        <f t="shared" ca="1" si="8342"/>
        <v>3309.1829732187325</v>
      </c>
      <c r="BM1321" s="52">
        <f t="shared" ca="1" si="8342"/>
        <v>0</v>
      </c>
      <c r="BN1321" s="52">
        <f t="shared" ca="1" si="8342"/>
        <v>0</v>
      </c>
      <c r="BO1321" s="52">
        <f t="shared" ca="1" si="8342"/>
        <v>50152.40596154239</v>
      </c>
      <c r="BP1321" s="52">
        <f t="shared" ca="1" si="8342"/>
        <v>3441.550292147469</v>
      </c>
      <c r="BQ1321" s="52">
        <f t="shared" ca="1" si="8342"/>
        <v>0</v>
      </c>
      <c r="BR1321" s="52">
        <f t="shared" ca="1" si="8342"/>
        <v>0</v>
      </c>
      <c r="BS1321" s="52">
        <f t="shared" ca="1" si="8342"/>
        <v>52158.502200004092</v>
      </c>
      <c r="BT1321" s="52">
        <f t="shared" ca="1" si="8342"/>
        <v>2845.0321195789875</v>
      </c>
      <c r="BU1321" s="52">
        <f t="shared" ca="1" si="8342"/>
        <v>0</v>
      </c>
      <c r="BV1321" s="52">
        <f t="shared" ca="1" si="8342"/>
        <v>0</v>
      </c>
      <c r="BW1321" s="52">
        <f t="shared" ca="1" si="8342"/>
        <v>54244.840400238492</v>
      </c>
      <c r="BX1321" s="52">
        <f t="shared" ref="BX1321:CO1321" ca="1" si="8343">-VAT_Cash_Flow*(VAT_Cash_Flow&lt;0)</f>
        <v>3722.5742688340397</v>
      </c>
      <c r="BY1321" s="52">
        <f t="shared" ca="1" si="8343"/>
        <v>0</v>
      </c>
      <c r="BZ1321" s="52">
        <f t="shared" ca="1" si="8343"/>
        <v>0</v>
      </c>
      <c r="CA1321" s="52">
        <f t="shared" ca="1" si="8343"/>
        <v>56414.635979524319</v>
      </c>
      <c r="CB1321" s="52">
        <f t="shared" ca="1" si="8343"/>
        <v>3871.2760278261849</v>
      </c>
      <c r="CC1321" s="52">
        <f t="shared" ca="1" si="8343"/>
        <v>0</v>
      </c>
      <c r="CD1321" s="52">
        <f t="shared" ca="1" si="8343"/>
        <v>0</v>
      </c>
      <c r="CE1321" s="52">
        <f t="shared" ca="1" si="8343"/>
        <v>58671.221418705361</v>
      </c>
      <c r="CF1321" s="52">
        <f t="shared" ca="1" si="8343"/>
        <v>4026.1270689392404</v>
      </c>
      <c r="CG1321" s="52">
        <f t="shared" ca="1" si="8343"/>
        <v>0</v>
      </c>
      <c r="CH1321" s="52">
        <f t="shared" ca="1" si="8343"/>
        <v>0</v>
      </c>
      <c r="CI1321" s="52">
        <f t="shared" ca="1" si="8343"/>
        <v>61018.070275453501</v>
      </c>
      <c r="CJ1321" s="52">
        <f t="shared" ca="1" si="8343"/>
        <v>3328.2851785645034</v>
      </c>
      <c r="CK1321" s="52">
        <f t="shared" ca="1" si="8343"/>
        <v>0</v>
      </c>
      <c r="CL1321" s="52">
        <f t="shared" ca="1" si="8343"/>
        <v>0</v>
      </c>
      <c r="CM1321" s="52">
        <f t="shared" ca="1" si="8343"/>
        <v>63458.790878052765</v>
      </c>
      <c r="CN1321" s="52">
        <f t="shared" ca="1" si="8343"/>
        <v>4354.8853736312303</v>
      </c>
      <c r="CO1321" s="52">
        <f t="shared" ca="1" si="8343"/>
        <v>0</v>
      </c>
    </row>
    <row r="1322" spans="1:93">
      <c r="A1322" s="10"/>
      <c r="B1322" s="10"/>
      <c r="C1322" s="17" t="s">
        <v>214</v>
      </c>
      <c r="D1322" s="10"/>
      <c r="E1322" s="10"/>
      <c r="F1322" s="10"/>
      <c r="G1322" s="134" t="str">
        <f t="shared" si="8334"/>
        <v>тыс. руб.</v>
      </c>
      <c r="H1322" s="10"/>
      <c r="I1322" s="23">
        <f t="shared" ca="1" si="8335"/>
        <v>1973143.1538558248</v>
      </c>
      <c r="J1322" s="10"/>
      <c r="K1322" s="10"/>
      <c r="L1322" s="52">
        <f t="shared" ref="L1322:BW1322" ca="1" si="8344">-WC_Cash_Flow*(WC_Cash_Flow&lt;0)</f>
        <v>0</v>
      </c>
      <c r="M1322" s="52">
        <f t="shared" ca="1" si="8344"/>
        <v>0</v>
      </c>
      <c r="N1322" s="52">
        <f t="shared" ca="1" si="8344"/>
        <v>0</v>
      </c>
      <c r="O1322" s="52">
        <f t="shared" ca="1" si="8344"/>
        <v>0</v>
      </c>
      <c r="P1322" s="52">
        <f t="shared" ca="1" si="8344"/>
        <v>0</v>
      </c>
      <c r="Q1322" s="52">
        <f t="shared" ca="1" si="8344"/>
        <v>0</v>
      </c>
      <c r="R1322" s="52">
        <f t="shared" ca="1" si="8344"/>
        <v>0</v>
      </c>
      <c r="S1322" s="52">
        <f t="shared" ca="1" si="8344"/>
        <v>0</v>
      </c>
      <c r="T1322" s="52">
        <f t="shared" ca="1" si="8344"/>
        <v>0</v>
      </c>
      <c r="U1322" s="52">
        <f t="shared" ca="1" si="8344"/>
        <v>0</v>
      </c>
      <c r="V1322" s="52">
        <f t="shared" ca="1" si="8344"/>
        <v>0</v>
      </c>
      <c r="W1322" s="52">
        <f t="shared" ca="1" si="8344"/>
        <v>0</v>
      </c>
      <c r="X1322" s="52">
        <f t="shared" ca="1" si="8344"/>
        <v>0</v>
      </c>
      <c r="Y1322" s="52">
        <f t="shared" ca="1" si="8344"/>
        <v>0</v>
      </c>
      <c r="Z1322" s="52">
        <f t="shared" ca="1" si="8344"/>
        <v>0</v>
      </c>
      <c r="AA1322" s="52">
        <f t="shared" ca="1" si="8344"/>
        <v>0</v>
      </c>
      <c r="AB1322" s="52">
        <f t="shared" ca="1" si="8344"/>
        <v>0</v>
      </c>
      <c r="AC1322" s="52">
        <f t="shared" ca="1" si="8344"/>
        <v>121828.76625646069</v>
      </c>
      <c r="AD1322" s="52">
        <f t="shared" ca="1" si="8344"/>
        <v>34987.597426641441</v>
      </c>
      <c r="AE1322" s="52">
        <f t="shared" ca="1" si="8344"/>
        <v>0</v>
      </c>
      <c r="AF1322" s="52">
        <f t="shared" ca="1" si="8344"/>
        <v>293.37772714710445</v>
      </c>
      <c r="AG1322" s="52">
        <f t="shared" ca="1" si="8344"/>
        <v>52297.565875992674</v>
      </c>
      <c r="AH1322" s="52">
        <f t="shared" ca="1" si="8344"/>
        <v>40914.729640385252</v>
      </c>
      <c r="AI1322" s="52">
        <f t="shared" ca="1" si="8344"/>
        <v>0</v>
      </c>
      <c r="AJ1322" s="52">
        <f t="shared" ca="1" si="8344"/>
        <v>0</v>
      </c>
      <c r="AK1322" s="52">
        <f t="shared" ca="1" si="8344"/>
        <v>60990.536971858121</v>
      </c>
      <c r="AL1322" s="52">
        <f t="shared" ca="1" si="8344"/>
        <v>47260.052275345603</v>
      </c>
      <c r="AM1322" s="52">
        <f t="shared" ca="1" si="8344"/>
        <v>0</v>
      </c>
      <c r="AN1322" s="52">
        <f t="shared" ca="1" si="8344"/>
        <v>0</v>
      </c>
      <c r="AO1322" s="52">
        <f t="shared" ca="1" si="8344"/>
        <v>70295.270752642537</v>
      </c>
      <c r="AP1322" s="52">
        <f t="shared" ca="1" si="8344"/>
        <v>47746.150743004575</v>
      </c>
      <c r="AQ1322" s="52">
        <f t="shared" ca="1" si="8344"/>
        <v>0</v>
      </c>
      <c r="AR1322" s="52">
        <f t="shared" ca="1" si="8344"/>
        <v>0</v>
      </c>
      <c r="AS1322" s="52">
        <f t="shared" ca="1" si="8344"/>
        <v>69611.807847343909</v>
      </c>
      <c r="AT1322" s="52">
        <f t="shared" ca="1" si="8344"/>
        <v>49655.995614668354</v>
      </c>
      <c r="AU1322" s="52">
        <f t="shared" ca="1" si="8344"/>
        <v>0</v>
      </c>
      <c r="AV1322" s="52">
        <f t="shared" ca="1" si="8344"/>
        <v>0</v>
      </c>
      <c r="AW1322" s="52">
        <f t="shared" ca="1" si="8344"/>
        <v>27138.740460894944</v>
      </c>
      <c r="AX1322" s="52">
        <f t="shared" ca="1" si="8344"/>
        <v>40729.057438868564</v>
      </c>
      <c r="AY1322" s="52">
        <f t="shared" ca="1" si="8344"/>
        <v>0</v>
      </c>
      <c r="AZ1322" s="52">
        <f t="shared" ca="1" si="8344"/>
        <v>0</v>
      </c>
      <c r="BA1322" s="52">
        <f t="shared" ca="1" si="8344"/>
        <v>59381.232754307508</v>
      </c>
      <c r="BB1322" s="52">
        <f t="shared" ca="1" si="8344"/>
        <v>42358.219736423169</v>
      </c>
      <c r="BC1322" s="52">
        <f t="shared" ca="1" si="8344"/>
        <v>0</v>
      </c>
      <c r="BD1322" s="52">
        <f t="shared" ca="1" si="8344"/>
        <v>0</v>
      </c>
      <c r="BE1322" s="52">
        <f t="shared" ca="1" si="8344"/>
        <v>61756.483354425523</v>
      </c>
      <c r="BF1322" s="52">
        <f t="shared" ca="1" si="8344"/>
        <v>44052.549828536459</v>
      </c>
      <c r="BG1322" s="52">
        <f t="shared" ca="1" si="8344"/>
        <v>0</v>
      </c>
      <c r="BH1322" s="52">
        <f t="shared" ca="1" si="8344"/>
        <v>0</v>
      </c>
      <c r="BI1322" s="52">
        <f t="shared" ca="1" si="8344"/>
        <v>64226.741347058734</v>
      </c>
      <c r="BJ1322" s="52">
        <f t="shared" ca="1" si="8344"/>
        <v>45814.650466915453</v>
      </c>
      <c r="BK1322" s="52">
        <f t="shared" ca="1" si="8344"/>
        <v>0</v>
      </c>
      <c r="BL1322" s="52">
        <f t="shared" ca="1" si="8344"/>
        <v>0</v>
      </c>
      <c r="BM1322" s="52">
        <f t="shared" ca="1" si="8344"/>
        <v>66795.811000941321</v>
      </c>
      <c r="BN1322" s="52">
        <f t="shared" ca="1" si="8344"/>
        <v>47647.236485591624</v>
      </c>
      <c r="BO1322" s="52">
        <f t="shared" ca="1" si="8344"/>
        <v>0</v>
      </c>
      <c r="BP1322" s="52">
        <f t="shared" ca="1" si="8344"/>
        <v>0</v>
      </c>
      <c r="BQ1322" s="52">
        <f t="shared" ca="1" si="8344"/>
        <v>69467.643440978718</v>
      </c>
      <c r="BR1322" s="52">
        <f t="shared" ca="1" si="8344"/>
        <v>49553.125945015578</v>
      </c>
      <c r="BS1322" s="52">
        <f t="shared" ca="1" si="8344"/>
        <v>0</v>
      </c>
      <c r="BT1322" s="52">
        <f t="shared" ca="1" si="8344"/>
        <v>0</v>
      </c>
      <c r="BU1322" s="52">
        <f t="shared" ca="1" si="8344"/>
        <v>72246.350687671977</v>
      </c>
      <c r="BV1322" s="52">
        <f t="shared" ca="1" si="8344"/>
        <v>51535.252506739693</v>
      </c>
      <c r="BW1322" s="52">
        <f t="shared" ca="1" si="8344"/>
        <v>0</v>
      </c>
      <c r="BX1322" s="52">
        <f t="shared" ref="BX1322:CO1322" ca="1" si="8345">-WC_Cash_Flow*(WC_Cash_Flow&lt;0)</f>
        <v>0</v>
      </c>
      <c r="BY1322" s="52">
        <f t="shared" ca="1" si="8345"/>
        <v>75136.203145762556</v>
      </c>
      <c r="BZ1322" s="52">
        <f t="shared" ca="1" si="8345"/>
        <v>53596.661022128887</v>
      </c>
      <c r="CA1322" s="52">
        <f t="shared" ca="1" si="8345"/>
        <v>0</v>
      </c>
      <c r="CB1322" s="52">
        <f t="shared" ca="1" si="8345"/>
        <v>0</v>
      </c>
      <c r="CC1322" s="52">
        <f t="shared" ca="1" si="8345"/>
        <v>78141.651271592942</v>
      </c>
      <c r="CD1322" s="52">
        <f t="shared" ca="1" si="8345"/>
        <v>55740.527463013772</v>
      </c>
      <c r="CE1322" s="52">
        <f t="shared" ca="1" si="8345"/>
        <v>0</v>
      </c>
      <c r="CF1322" s="52">
        <f t="shared" ca="1" si="8345"/>
        <v>0</v>
      </c>
      <c r="CG1322" s="52">
        <f t="shared" ca="1" si="8345"/>
        <v>81267.317322456976</v>
      </c>
      <c r="CH1322" s="52">
        <f t="shared" ca="1" si="8345"/>
        <v>57970.148561534588</v>
      </c>
      <c r="CI1322" s="52">
        <f t="shared" ca="1" si="8345"/>
        <v>0</v>
      </c>
      <c r="CJ1322" s="52">
        <f t="shared" ca="1" si="8345"/>
        <v>0</v>
      </c>
      <c r="CK1322" s="52">
        <f t="shared" ca="1" si="8345"/>
        <v>84518.011780735222</v>
      </c>
      <c r="CL1322" s="52">
        <f t="shared" ca="1" si="8345"/>
        <v>60288.956286770757</v>
      </c>
      <c r="CM1322" s="52">
        <f t="shared" ca="1" si="8345"/>
        <v>0</v>
      </c>
      <c r="CN1322" s="52">
        <f t="shared" ca="1" si="8345"/>
        <v>0</v>
      </c>
      <c r="CO1322" s="52">
        <f t="shared" ca="1" si="8345"/>
        <v>87898.730415969621</v>
      </c>
    </row>
    <row r="1323" spans="1:93">
      <c r="A1323" s="10"/>
      <c r="B1323" s="10"/>
      <c r="C1323" s="17" t="s">
        <v>107</v>
      </c>
      <c r="D1323" s="10"/>
      <c r="E1323" s="10"/>
      <c r="F1323" s="10"/>
      <c r="G1323" s="134" t="str">
        <f t="shared" si="8334"/>
        <v>тыс. руб.</v>
      </c>
      <c r="H1323" s="10"/>
      <c r="I1323" s="23">
        <f t="shared" ca="1" si="8335"/>
        <v>1246051.8709808199</v>
      </c>
      <c r="J1323" s="10"/>
      <c r="K1323" s="10"/>
      <c r="L1323" s="52">
        <f t="shared" ref="L1323:BW1323" ca="1" si="8346">-Profits_Tax</f>
        <v>0</v>
      </c>
      <c r="M1323" s="52">
        <f t="shared" ca="1" si="8346"/>
        <v>0</v>
      </c>
      <c r="N1323" s="52">
        <f t="shared" ca="1" si="8346"/>
        <v>0</v>
      </c>
      <c r="O1323" s="52">
        <f t="shared" ca="1" si="8346"/>
        <v>0</v>
      </c>
      <c r="P1323" s="52">
        <f t="shared" ca="1" si="8346"/>
        <v>0</v>
      </c>
      <c r="Q1323" s="52">
        <f t="shared" ca="1" si="8346"/>
        <v>0</v>
      </c>
      <c r="R1323" s="52">
        <f t="shared" ca="1" si="8346"/>
        <v>0</v>
      </c>
      <c r="S1323" s="52">
        <f t="shared" ca="1" si="8346"/>
        <v>0</v>
      </c>
      <c r="T1323" s="52">
        <f t="shared" ca="1" si="8346"/>
        <v>0</v>
      </c>
      <c r="U1323" s="52">
        <f t="shared" ca="1" si="8346"/>
        <v>0</v>
      </c>
      <c r="V1323" s="52">
        <f t="shared" ca="1" si="8346"/>
        <v>0</v>
      </c>
      <c r="W1323" s="52">
        <f t="shared" ca="1" si="8346"/>
        <v>0</v>
      </c>
      <c r="X1323" s="52">
        <f t="shared" ca="1" si="8346"/>
        <v>0</v>
      </c>
      <c r="Y1323" s="52">
        <f t="shared" ca="1" si="8346"/>
        <v>0</v>
      </c>
      <c r="Z1323" s="52">
        <f t="shared" ca="1" si="8346"/>
        <v>0</v>
      </c>
      <c r="AA1323" s="52">
        <f t="shared" ca="1" si="8346"/>
        <v>0</v>
      </c>
      <c r="AB1323" s="52">
        <f t="shared" ca="1" si="8346"/>
        <v>0</v>
      </c>
      <c r="AC1323" s="52">
        <f t="shared" ca="1" si="8346"/>
        <v>0</v>
      </c>
      <c r="AD1323" s="52">
        <f t="shared" ca="1" si="8346"/>
        <v>1389.8901071001442</v>
      </c>
      <c r="AE1323" s="52">
        <f t="shared" ca="1" si="8346"/>
        <v>343.06807048271355</v>
      </c>
      <c r="AF1323" s="52">
        <f t="shared" ca="1" si="8346"/>
        <v>345.23353688184091</v>
      </c>
      <c r="AG1323" s="52">
        <f t="shared" ca="1" si="8346"/>
        <v>1233.380536733503</v>
      </c>
      <c r="AH1323" s="52">
        <f t="shared" ca="1" si="8346"/>
        <v>1951.6135086286208</v>
      </c>
      <c r="AI1323" s="52">
        <f t="shared" ca="1" si="8346"/>
        <v>697.23204125733548</v>
      </c>
      <c r="AJ1323" s="52">
        <f t="shared" ca="1" si="8346"/>
        <v>686.27953043154048</v>
      </c>
      <c r="AK1323" s="52">
        <f t="shared" ca="1" si="8346"/>
        <v>1722.2768330930526</v>
      </c>
      <c r="AL1323" s="52">
        <f t="shared" ca="1" si="8346"/>
        <v>2552.4775815632656</v>
      </c>
      <c r="AM1323" s="52">
        <f t="shared" ca="1" si="8346"/>
        <v>1075.6116456652608</v>
      </c>
      <c r="AN1323" s="52">
        <f t="shared" ca="1" si="8346"/>
        <v>1069.6795860318255</v>
      </c>
      <c r="AO1323" s="52">
        <f t="shared" ca="1" si="8346"/>
        <v>2246.021293735289</v>
      </c>
      <c r="AP1323" s="52">
        <f t="shared" ca="1" si="8346"/>
        <v>3871.5435878940275</v>
      </c>
      <c r="AQ1323" s="52">
        <f t="shared" ca="1" si="8346"/>
        <v>2721.5949994583566</v>
      </c>
      <c r="AR1323" s="52">
        <f t="shared" ca="1" si="8346"/>
        <v>2537.3669215325235</v>
      </c>
      <c r="AS1323" s="52">
        <f t="shared" ca="1" si="8346"/>
        <v>4910.3548208880238</v>
      </c>
      <c r="AT1323" s="52">
        <f t="shared" ca="1" si="8346"/>
        <v>6670.9718023678251</v>
      </c>
      <c r="AU1323" s="52">
        <f t="shared" ca="1" si="8346"/>
        <v>10754.654024609054</v>
      </c>
      <c r="AV1323" s="52">
        <f t="shared" ca="1" si="8346"/>
        <v>10079.610833892344</v>
      </c>
      <c r="AW1323" s="52">
        <f t="shared" ca="1" si="8346"/>
        <v>9399.3887811251989</v>
      </c>
      <c r="AX1323" s="52">
        <f t="shared" ca="1" si="8346"/>
        <v>13441.647109621965</v>
      </c>
      <c r="AY1323" s="52">
        <f t="shared" ca="1" si="8346"/>
        <v>5356.1178602904338</v>
      </c>
      <c r="AZ1323" s="52">
        <f t="shared" ca="1" si="8346"/>
        <v>4934.9720522394755</v>
      </c>
      <c r="BA1323" s="52">
        <f t="shared" ca="1" si="8346"/>
        <v>10534.546945064436</v>
      </c>
      <c r="BB1323" s="52">
        <f t="shared" ca="1" si="8346"/>
        <v>14742.604280875961</v>
      </c>
      <c r="BC1323" s="52">
        <f t="shared" ca="1" si="8346"/>
        <v>6446.8334556844102</v>
      </c>
      <c r="BD1323" s="52">
        <f t="shared" ca="1" si="8346"/>
        <v>6118.4128459242202</v>
      </c>
      <c r="BE1323" s="52">
        <f t="shared" ca="1" si="8346"/>
        <v>13775.352981547452</v>
      </c>
      <c r="BF1323" s="52">
        <f t="shared" ca="1" si="8346"/>
        <v>18170.998071899296</v>
      </c>
      <c r="BG1323" s="52">
        <f t="shared" ca="1" si="8346"/>
        <v>9513.941247908826</v>
      </c>
      <c r="BH1323" s="52">
        <f t="shared" ca="1" si="8346"/>
        <v>9084.5245070020428</v>
      </c>
      <c r="BI1323" s="52">
        <f t="shared" ca="1" si="8346"/>
        <v>15042.948275777006</v>
      </c>
      <c r="BJ1323" s="52">
        <f t="shared" ca="1" si="8346"/>
        <v>19438.219890369604</v>
      </c>
      <c r="BK1323" s="52">
        <f t="shared" ca="1" si="8346"/>
        <v>10166.3837287761</v>
      </c>
      <c r="BL1323" s="52">
        <f t="shared" ca="1" si="8346"/>
        <v>9535.793034087581</v>
      </c>
      <c r="BM1323" s="52">
        <f t="shared" ca="1" si="8346"/>
        <v>15732.664412670643</v>
      </c>
      <c r="BN1323" s="52">
        <f t="shared" ca="1" si="8346"/>
        <v>20303.857550904053</v>
      </c>
      <c r="BO1323" s="52">
        <f t="shared" ca="1" si="8346"/>
        <v>23606.827587732194</v>
      </c>
      <c r="BP1323" s="52">
        <f t="shared" ca="1" si="8346"/>
        <v>22154.177240710902</v>
      </c>
      <c r="BQ1323" s="52">
        <f t="shared" ca="1" si="8346"/>
        <v>36424.931789017159</v>
      </c>
      <c r="BR1323" s="52">
        <f t="shared" ca="1" si="8346"/>
        <v>46951.98158954682</v>
      </c>
      <c r="BS1323" s="52">
        <f t="shared" ca="1" si="8346"/>
        <v>24746.19889213498</v>
      </c>
      <c r="BT1323" s="52">
        <f t="shared" ca="1" si="8346"/>
        <v>23542.717741804667</v>
      </c>
      <c r="BU1323" s="52">
        <f t="shared" ca="1" si="8346"/>
        <v>38078.450736018975</v>
      </c>
      <c r="BV1323" s="52">
        <f t="shared" ca="1" si="8346"/>
        <v>49026.847343305708</v>
      </c>
      <c r="BW1323" s="52">
        <f t="shared" ca="1" si="8346"/>
        <v>25932.834801015801</v>
      </c>
      <c r="BX1323" s="52">
        <f t="shared" ref="BX1323:CO1323" ca="1" si="8347">-Profits_Tax</f>
        <v>24358.958707836995</v>
      </c>
      <c r="BY1323" s="52">
        <f t="shared" ca="1" si="8347"/>
        <v>39794.70669005435</v>
      </c>
      <c r="BZ1323" s="52">
        <f t="shared" ca="1" si="8347"/>
        <v>51181.26361707654</v>
      </c>
      <c r="CA1323" s="52">
        <f t="shared" ca="1" si="8347"/>
        <v>27163.48905155596</v>
      </c>
      <c r="CB1323" s="52">
        <f t="shared" ca="1" si="8347"/>
        <v>25527.925195505442</v>
      </c>
      <c r="CC1323" s="52">
        <f t="shared" ca="1" si="8347"/>
        <v>41581.348127780795</v>
      </c>
      <c r="CD1323" s="52">
        <f t="shared" ca="1" si="8347"/>
        <v>53423.612362653126</v>
      </c>
      <c r="CE1323" s="52">
        <f t="shared" ca="1" si="8347"/>
        <v>28445.126814511706</v>
      </c>
      <c r="CF1323" s="52">
        <f t="shared" ca="1" si="8347"/>
        <v>26743.650342680594</v>
      </c>
      <c r="CG1323" s="52">
        <f t="shared" ca="1" si="8347"/>
        <v>43439.455223016266</v>
      </c>
      <c r="CH1323" s="52">
        <f t="shared" ca="1" si="8347"/>
        <v>55755.655058052784</v>
      </c>
      <c r="CI1323" s="52">
        <f t="shared" ca="1" si="8347"/>
        <v>29778.030087985695</v>
      </c>
      <c r="CJ1323" s="52">
        <f t="shared" ca="1" si="8347"/>
        <v>28368.828141014976</v>
      </c>
      <c r="CK1323" s="52">
        <f t="shared" ca="1" si="8347"/>
        <v>45373.579810170959</v>
      </c>
      <c r="CL1323" s="52">
        <f t="shared" ca="1" si="8347"/>
        <v>58182.692970885604</v>
      </c>
      <c r="CM1323" s="52">
        <f t="shared" ca="1" si="8347"/>
        <v>31165.964713540445</v>
      </c>
      <c r="CN1323" s="52">
        <f t="shared" ca="1" si="8347"/>
        <v>29322.932814927386</v>
      </c>
      <c r="CO1323" s="52">
        <f t="shared" ca="1" si="8347"/>
        <v>47381.615236267782</v>
      </c>
    </row>
    <row r="1324" spans="1:93">
      <c r="A1324" s="10"/>
      <c r="B1324" s="10"/>
      <c r="C1324" s="17" t="s">
        <v>467</v>
      </c>
      <c r="D1324" s="10"/>
      <c r="E1324" s="10"/>
      <c r="F1324" s="10"/>
      <c r="G1324" s="134" t="str">
        <f t="shared" si="8334"/>
        <v>тыс. руб.</v>
      </c>
      <c r="H1324" s="10"/>
      <c r="I1324" s="23">
        <f t="shared" si="8335"/>
        <v>4616063.5245886445</v>
      </c>
      <c r="J1324" s="10"/>
      <c r="K1324" s="10"/>
      <c r="L1324" s="52">
        <f t="shared" ref="L1324:BW1324" si="8348">-Debt_Repaiment</f>
        <v>0</v>
      </c>
      <c r="M1324" s="52">
        <f t="shared" si="8348"/>
        <v>0</v>
      </c>
      <c r="N1324" s="52">
        <f t="shared" si="8348"/>
        <v>0</v>
      </c>
      <c r="O1324" s="52">
        <f t="shared" si="8348"/>
        <v>0</v>
      </c>
      <c r="P1324" s="52">
        <f t="shared" si="8348"/>
        <v>0</v>
      </c>
      <c r="Q1324" s="52">
        <f t="shared" si="8348"/>
        <v>0</v>
      </c>
      <c r="R1324" s="52">
        <f t="shared" si="8348"/>
        <v>0</v>
      </c>
      <c r="S1324" s="52">
        <f t="shared" si="8348"/>
        <v>0</v>
      </c>
      <c r="T1324" s="52">
        <f t="shared" si="8348"/>
        <v>0</v>
      </c>
      <c r="U1324" s="52">
        <f t="shared" si="8348"/>
        <v>0</v>
      </c>
      <c r="V1324" s="52">
        <f t="shared" si="8348"/>
        <v>0</v>
      </c>
      <c r="W1324" s="52">
        <f t="shared" si="8348"/>
        <v>0</v>
      </c>
      <c r="X1324" s="52">
        <f t="shared" si="8348"/>
        <v>0</v>
      </c>
      <c r="Y1324" s="52">
        <f t="shared" si="8348"/>
        <v>0</v>
      </c>
      <c r="Z1324" s="52">
        <f t="shared" si="8348"/>
        <v>0</v>
      </c>
      <c r="AA1324" s="52">
        <f t="shared" si="8348"/>
        <v>0</v>
      </c>
      <c r="AB1324" s="52">
        <f t="shared" si="8348"/>
        <v>0</v>
      </c>
      <c r="AC1324" s="52">
        <f t="shared" si="8348"/>
        <v>120257.5745813126</v>
      </c>
      <c r="AD1324" s="52">
        <f t="shared" si="8348"/>
        <v>121637.91189024376</v>
      </c>
      <c r="AE1324" s="52">
        <f t="shared" si="8348"/>
        <v>123339.51000531408</v>
      </c>
      <c r="AF1324" s="52">
        <f t="shared" si="8348"/>
        <v>125606.07819573313</v>
      </c>
      <c r="AG1324" s="52">
        <f t="shared" si="8348"/>
        <v>127061.19578037452</v>
      </c>
      <c r="AH1324" s="52">
        <f t="shared" si="8348"/>
        <v>128563.12768775418</v>
      </c>
      <c r="AI1324" s="52">
        <f t="shared" si="8348"/>
        <v>130361.60300256562</v>
      </c>
      <c r="AJ1324" s="52">
        <f t="shared" si="8348"/>
        <v>132668.15530246156</v>
      </c>
      <c r="AK1324" s="52">
        <f t="shared" si="8348"/>
        <v>134249.91936226428</v>
      </c>
      <c r="AL1324" s="52">
        <f t="shared" si="8348"/>
        <v>135882.06287757197</v>
      </c>
      <c r="AM1324" s="52">
        <f t="shared" si="8348"/>
        <v>137782.92317637434</v>
      </c>
      <c r="AN1324" s="52">
        <f t="shared" si="8348"/>
        <v>139971.14470821922</v>
      </c>
      <c r="AO1324" s="52">
        <f t="shared" si="8348"/>
        <v>141902.63238530574</v>
      </c>
      <c r="AP1324" s="52">
        <f t="shared" si="8348"/>
        <v>143670.03792972286</v>
      </c>
      <c r="AQ1324" s="52">
        <f t="shared" si="8348"/>
        <v>145674.35340582032</v>
      </c>
      <c r="AR1324" s="52">
        <f t="shared" si="8348"/>
        <v>148008.7630993452</v>
      </c>
      <c r="AS1324" s="52">
        <f t="shared" si="8348"/>
        <v>149871.07920509396</v>
      </c>
      <c r="AT1324" s="52">
        <f t="shared" si="8348"/>
        <v>151791.69348981642</v>
      </c>
      <c r="AU1324" s="52">
        <f t="shared" si="8348"/>
        <v>153915.11464673752</v>
      </c>
      <c r="AV1324" s="52">
        <f t="shared" si="8348"/>
        <v>156333.60585778209</v>
      </c>
      <c r="AW1324" s="52">
        <f t="shared" si="8348"/>
        <v>158350.97398656677</v>
      </c>
      <c r="AX1324" s="52">
        <f t="shared" si="8348"/>
        <v>160431.02744453712</v>
      </c>
      <c r="AY1324" s="52">
        <f t="shared" si="8348"/>
        <v>162675.30504555287</v>
      </c>
      <c r="AZ1324" s="52">
        <f t="shared" si="8348"/>
        <v>165127.81642803919</v>
      </c>
      <c r="BA1324" s="52">
        <f t="shared" si="8348"/>
        <v>167310.90669825437</v>
      </c>
      <c r="BB1324" s="52">
        <f t="shared" si="8348"/>
        <v>169561.37863199293</v>
      </c>
      <c r="BC1324" s="52">
        <f t="shared" si="8348"/>
        <v>171933.38225283392</v>
      </c>
      <c r="BD1324" s="52">
        <f t="shared" si="8348"/>
        <v>174388.10819967216</v>
      </c>
      <c r="BE1324" s="52">
        <f t="shared" si="8348"/>
        <v>176794.52548106818</v>
      </c>
      <c r="BF1324" s="52">
        <f t="shared" si="8348"/>
        <v>179220.65636013079</v>
      </c>
      <c r="BG1324" s="52">
        <f t="shared" si="8348"/>
        <v>181720.95747018265</v>
      </c>
      <c r="BH1324" s="52">
        <f t="shared" si="8348"/>
        <v>0</v>
      </c>
      <c r="BI1324" s="52">
        <f t="shared" si="8348"/>
        <v>0</v>
      </c>
      <c r="BJ1324" s="52">
        <f t="shared" si="8348"/>
        <v>0</v>
      </c>
      <c r="BK1324" s="52">
        <f t="shared" si="8348"/>
        <v>0</v>
      </c>
      <c r="BL1324" s="52">
        <f t="shared" si="8348"/>
        <v>0</v>
      </c>
      <c r="BM1324" s="52">
        <f t="shared" si="8348"/>
        <v>0</v>
      </c>
      <c r="BN1324" s="52">
        <f t="shared" si="8348"/>
        <v>0</v>
      </c>
      <c r="BO1324" s="52">
        <f t="shared" si="8348"/>
        <v>0</v>
      </c>
      <c r="BP1324" s="52">
        <f t="shared" si="8348"/>
        <v>0</v>
      </c>
      <c r="BQ1324" s="52">
        <f t="shared" si="8348"/>
        <v>0</v>
      </c>
      <c r="BR1324" s="52">
        <f t="shared" si="8348"/>
        <v>0</v>
      </c>
      <c r="BS1324" s="52">
        <f t="shared" si="8348"/>
        <v>0</v>
      </c>
      <c r="BT1324" s="52">
        <f t="shared" si="8348"/>
        <v>0</v>
      </c>
      <c r="BU1324" s="52">
        <f t="shared" si="8348"/>
        <v>0</v>
      </c>
      <c r="BV1324" s="52">
        <f t="shared" si="8348"/>
        <v>0</v>
      </c>
      <c r="BW1324" s="52">
        <f t="shared" si="8348"/>
        <v>0</v>
      </c>
      <c r="BX1324" s="52">
        <f t="shared" ref="BX1324:CO1324" si="8349">-Debt_Repaiment</f>
        <v>0</v>
      </c>
      <c r="BY1324" s="52">
        <f t="shared" si="8349"/>
        <v>0</v>
      </c>
      <c r="BZ1324" s="52">
        <f t="shared" si="8349"/>
        <v>0</v>
      </c>
      <c r="CA1324" s="52">
        <f t="shared" si="8349"/>
        <v>0</v>
      </c>
      <c r="CB1324" s="52">
        <f t="shared" si="8349"/>
        <v>0</v>
      </c>
      <c r="CC1324" s="52">
        <f t="shared" si="8349"/>
        <v>0</v>
      </c>
      <c r="CD1324" s="52">
        <f t="shared" si="8349"/>
        <v>0</v>
      </c>
      <c r="CE1324" s="52">
        <f t="shared" si="8349"/>
        <v>0</v>
      </c>
      <c r="CF1324" s="52">
        <f t="shared" si="8349"/>
        <v>0</v>
      </c>
      <c r="CG1324" s="52">
        <f t="shared" si="8349"/>
        <v>0</v>
      </c>
      <c r="CH1324" s="52">
        <f t="shared" si="8349"/>
        <v>0</v>
      </c>
      <c r="CI1324" s="52">
        <f t="shared" si="8349"/>
        <v>0</v>
      </c>
      <c r="CJ1324" s="52">
        <f t="shared" si="8349"/>
        <v>0</v>
      </c>
      <c r="CK1324" s="52">
        <f t="shared" si="8349"/>
        <v>0</v>
      </c>
      <c r="CL1324" s="52">
        <f t="shared" si="8349"/>
        <v>0</v>
      </c>
      <c r="CM1324" s="52">
        <f t="shared" si="8349"/>
        <v>0</v>
      </c>
      <c r="CN1324" s="52">
        <f t="shared" si="8349"/>
        <v>0</v>
      </c>
      <c r="CO1324" s="52">
        <f t="shared" si="8349"/>
        <v>0</v>
      </c>
    </row>
    <row r="1325" spans="1:93">
      <c r="A1325" s="10"/>
      <c r="B1325" s="10"/>
      <c r="C1325" s="17" t="s">
        <v>468</v>
      </c>
      <c r="D1325" s="10"/>
      <c r="E1325" s="10"/>
      <c r="F1325" s="10"/>
      <c r="G1325" s="134" t="str">
        <f t="shared" si="8334"/>
        <v>тыс. руб.</v>
      </c>
      <c r="H1325" s="10"/>
      <c r="I1325" s="23">
        <f t="shared" si="8335"/>
        <v>1330786.673672708</v>
      </c>
      <c r="J1325" s="10"/>
      <c r="K1325" s="10"/>
      <c r="L1325" s="52">
        <f t="shared" ref="L1325:BW1325" si="8350">-Debt_Interest_Paid</f>
        <v>0</v>
      </c>
      <c r="M1325" s="52">
        <f t="shared" si="8350"/>
        <v>0</v>
      </c>
      <c r="N1325" s="52">
        <f t="shared" si="8350"/>
        <v>0</v>
      </c>
      <c r="O1325" s="52">
        <f t="shared" si="8350"/>
        <v>0</v>
      </c>
      <c r="P1325" s="52">
        <f t="shared" si="8350"/>
        <v>0</v>
      </c>
      <c r="Q1325" s="52">
        <f t="shared" si="8350"/>
        <v>0</v>
      </c>
      <c r="R1325" s="52">
        <f t="shared" si="8350"/>
        <v>0</v>
      </c>
      <c r="S1325" s="52">
        <f t="shared" si="8350"/>
        <v>738.99174247580174</v>
      </c>
      <c r="T1325" s="52">
        <f t="shared" si="8350"/>
        <v>3234.8821767320223</v>
      </c>
      <c r="U1325" s="52">
        <f t="shared" si="8350"/>
        <v>7256.2536237105141</v>
      </c>
      <c r="V1325" s="52">
        <f t="shared" si="8350"/>
        <v>11404.918486102473</v>
      </c>
      <c r="W1325" s="52">
        <f t="shared" si="8350"/>
        <v>15513.937077923534</v>
      </c>
      <c r="X1325" s="52">
        <f t="shared" si="8350"/>
        <v>21635.021605468475</v>
      </c>
      <c r="Y1325" s="52">
        <f t="shared" si="8350"/>
        <v>30267.503661225743</v>
      </c>
      <c r="Z1325" s="52">
        <f t="shared" si="8350"/>
        <v>39413.452160910616</v>
      </c>
      <c r="AA1325" s="52">
        <f t="shared" si="8350"/>
        <v>48313.632138229776</v>
      </c>
      <c r="AB1325" s="52">
        <f t="shared" si="8350"/>
        <v>57475.007205903479</v>
      </c>
      <c r="AC1325" s="52">
        <f t="shared" si="8350"/>
        <v>63872.407755986169</v>
      </c>
      <c r="AD1325" s="52">
        <f t="shared" si="8350"/>
        <v>62892.014193801202</v>
      </c>
      <c r="AE1325" s="52">
        <f t="shared" si="8350"/>
        <v>61190.416445550276</v>
      </c>
      <c r="AF1325" s="52">
        <f t="shared" si="8350"/>
        <v>58172.297254570709</v>
      </c>
      <c r="AG1325" s="52">
        <f t="shared" si="8350"/>
        <v>57080.646529591679</v>
      </c>
      <c r="AH1325" s="52">
        <f t="shared" si="8350"/>
        <v>55930.44209210058</v>
      </c>
      <c r="AI1325" s="52">
        <f t="shared" si="8350"/>
        <v>54131.967215460383</v>
      </c>
      <c r="AJ1325" s="52">
        <f t="shared" si="8350"/>
        <v>51171.195711258915</v>
      </c>
      <c r="AK1325" s="52">
        <f t="shared" si="8350"/>
        <v>49904.037104946961</v>
      </c>
      <c r="AL1325" s="52">
        <f t="shared" si="8350"/>
        <v>48574.405478010551</v>
      </c>
      <c r="AM1325" s="52">
        <f t="shared" si="8350"/>
        <v>46673.54571622183</v>
      </c>
      <c r="AN1325" s="52">
        <f t="shared" si="8350"/>
        <v>44138.79593852751</v>
      </c>
      <c r="AO1325" s="52">
        <f t="shared" si="8350"/>
        <v>42207.308872000569</v>
      </c>
      <c r="AP1325" s="52">
        <f t="shared" si="8350"/>
        <v>40691.467417603446</v>
      </c>
      <c r="AQ1325" s="52">
        <f t="shared" si="8350"/>
        <v>38687.152626157636</v>
      </c>
      <c r="AR1325" s="52">
        <f t="shared" si="8350"/>
        <v>35956.272041141216</v>
      </c>
      <c r="AS1325" s="52">
        <f t="shared" si="8350"/>
        <v>34307.790947443333</v>
      </c>
      <c r="AT1325" s="52">
        <f t="shared" si="8350"/>
        <v>32588.246953087979</v>
      </c>
      <c r="AU1325" s="52">
        <f t="shared" si="8350"/>
        <v>30464.826714844134</v>
      </c>
      <c r="AV1325" s="52">
        <f t="shared" si="8350"/>
        <v>27696.230071407623</v>
      </c>
      <c r="AW1325" s="52">
        <f t="shared" si="8350"/>
        <v>25840.779998392045</v>
      </c>
      <c r="AX1325" s="52">
        <f t="shared" si="8350"/>
        <v>23909.566331086633</v>
      </c>
      <c r="AY1325" s="52">
        <f t="shared" si="8350"/>
        <v>21665.290095109085</v>
      </c>
      <c r="AZ1325" s="52">
        <f t="shared" si="8350"/>
        <v>18968.105120419892</v>
      </c>
      <c r="BA1325" s="52">
        <f t="shared" si="8350"/>
        <v>16893.990510090218</v>
      </c>
      <c r="BB1325" s="52">
        <f t="shared" si="8350"/>
        <v>14739.119607861281</v>
      </c>
      <c r="BC1325" s="52">
        <f t="shared" si="8350"/>
        <v>12367.118513902496</v>
      </c>
      <c r="BD1325" s="52">
        <f t="shared" si="8350"/>
        <v>9826.7309072529442</v>
      </c>
      <c r="BE1325" s="52">
        <f t="shared" si="8350"/>
        <v>7420.3179551697622</v>
      </c>
      <c r="BF1325" s="52">
        <f t="shared" si="8350"/>
        <v>5035.4313667147007</v>
      </c>
      <c r="BG1325" s="52">
        <f t="shared" si="8350"/>
        <v>2535.1563083135316</v>
      </c>
      <c r="BH1325" s="52">
        <f t="shared" si="8350"/>
        <v>0</v>
      </c>
      <c r="BI1325" s="52">
        <f t="shared" si="8350"/>
        <v>0</v>
      </c>
      <c r="BJ1325" s="52">
        <f t="shared" si="8350"/>
        <v>0</v>
      </c>
      <c r="BK1325" s="52">
        <f t="shared" si="8350"/>
        <v>0</v>
      </c>
      <c r="BL1325" s="52">
        <f t="shared" si="8350"/>
        <v>0</v>
      </c>
      <c r="BM1325" s="52">
        <f t="shared" si="8350"/>
        <v>0</v>
      </c>
      <c r="BN1325" s="52">
        <f t="shared" si="8350"/>
        <v>0</v>
      </c>
      <c r="BO1325" s="52">
        <f t="shared" si="8350"/>
        <v>0</v>
      </c>
      <c r="BP1325" s="52">
        <f t="shared" si="8350"/>
        <v>0</v>
      </c>
      <c r="BQ1325" s="52">
        <f t="shared" si="8350"/>
        <v>0</v>
      </c>
      <c r="BR1325" s="52">
        <f t="shared" si="8350"/>
        <v>0</v>
      </c>
      <c r="BS1325" s="52">
        <f t="shared" si="8350"/>
        <v>0</v>
      </c>
      <c r="BT1325" s="52">
        <f t="shared" si="8350"/>
        <v>0</v>
      </c>
      <c r="BU1325" s="52">
        <f t="shared" si="8350"/>
        <v>0</v>
      </c>
      <c r="BV1325" s="52">
        <f t="shared" si="8350"/>
        <v>0</v>
      </c>
      <c r="BW1325" s="52">
        <f t="shared" si="8350"/>
        <v>0</v>
      </c>
      <c r="BX1325" s="52">
        <f t="shared" ref="BX1325:CO1325" si="8351">-Debt_Interest_Paid</f>
        <v>0</v>
      </c>
      <c r="BY1325" s="52">
        <f t="shared" si="8351"/>
        <v>0</v>
      </c>
      <c r="BZ1325" s="52">
        <f t="shared" si="8351"/>
        <v>0</v>
      </c>
      <c r="CA1325" s="52">
        <f t="shared" si="8351"/>
        <v>0</v>
      </c>
      <c r="CB1325" s="52">
        <f t="shared" si="8351"/>
        <v>0</v>
      </c>
      <c r="CC1325" s="52">
        <f t="shared" si="8351"/>
        <v>0</v>
      </c>
      <c r="CD1325" s="52">
        <f t="shared" si="8351"/>
        <v>0</v>
      </c>
      <c r="CE1325" s="52">
        <f t="shared" si="8351"/>
        <v>0</v>
      </c>
      <c r="CF1325" s="52">
        <f t="shared" si="8351"/>
        <v>0</v>
      </c>
      <c r="CG1325" s="52">
        <f t="shared" si="8351"/>
        <v>0</v>
      </c>
      <c r="CH1325" s="52">
        <f t="shared" si="8351"/>
        <v>0</v>
      </c>
      <c r="CI1325" s="52">
        <f t="shared" si="8351"/>
        <v>0</v>
      </c>
      <c r="CJ1325" s="52">
        <f t="shared" si="8351"/>
        <v>0</v>
      </c>
      <c r="CK1325" s="52">
        <f t="shared" si="8351"/>
        <v>0</v>
      </c>
      <c r="CL1325" s="52">
        <f t="shared" si="8351"/>
        <v>0</v>
      </c>
      <c r="CM1325" s="52">
        <f t="shared" si="8351"/>
        <v>0</v>
      </c>
      <c r="CN1325" s="52">
        <f t="shared" si="8351"/>
        <v>0</v>
      </c>
      <c r="CO1325" s="52">
        <f t="shared" si="8351"/>
        <v>0</v>
      </c>
    </row>
    <row r="1326" spans="1:93">
      <c r="A1326" s="10"/>
      <c r="B1326" s="10"/>
      <c r="C1326" s="17" t="s">
        <v>469</v>
      </c>
      <c r="D1326" s="10"/>
      <c r="E1326" s="10"/>
      <c r="F1326" s="10"/>
      <c r="G1326" s="134" t="str">
        <f t="shared" si="8334"/>
        <v>тыс. руб.</v>
      </c>
      <c r="H1326" s="10"/>
      <c r="I1326" s="23">
        <f t="shared" si="8335"/>
        <v>20126.474624454266</v>
      </c>
      <c r="J1326" s="10"/>
      <c r="K1326" s="10"/>
      <c r="L1326" s="52">
        <f t="shared" ref="L1326:BW1326" si="8352">-Bank_Fees</f>
        <v>0</v>
      </c>
      <c r="M1326" s="52">
        <f t="shared" si="8352"/>
        <v>0</v>
      </c>
      <c r="N1326" s="52">
        <f t="shared" si="8352"/>
        <v>0</v>
      </c>
      <c r="O1326" s="52">
        <f t="shared" si="8352"/>
        <v>0</v>
      </c>
      <c r="P1326" s="52">
        <f t="shared" si="8352"/>
        <v>0</v>
      </c>
      <c r="Q1326" s="52">
        <f t="shared" si="8352"/>
        <v>0</v>
      </c>
      <c r="R1326" s="52">
        <f t="shared" si="8352"/>
        <v>0</v>
      </c>
      <c r="S1326" s="52">
        <f t="shared" si="8352"/>
        <v>0</v>
      </c>
      <c r="T1326" s="52">
        <f t="shared" si="8352"/>
        <v>3345.7721709148877</v>
      </c>
      <c r="U1326" s="52">
        <f t="shared" si="8352"/>
        <v>3168.5750091153564</v>
      </c>
      <c r="V1326" s="52">
        <f t="shared" si="8352"/>
        <v>2984.5308552565393</v>
      </c>
      <c r="W1326" s="52">
        <f t="shared" si="8352"/>
        <v>2763.5106431876575</v>
      </c>
      <c r="X1326" s="52">
        <f t="shared" si="8352"/>
        <v>2505.8352333099388</v>
      </c>
      <c r="Y1326" s="52">
        <f t="shared" si="8352"/>
        <v>2041.5022126606673</v>
      </c>
      <c r="Z1326" s="52">
        <f t="shared" si="8352"/>
        <v>1589.8751819626839</v>
      </c>
      <c r="AA1326" s="52">
        <f t="shared" si="8352"/>
        <v>1111.1429440619313</v>
      </c>
      <c r="AB1326" s="52">
        <f t="shared" si="8352"/>
        <v>615.73037398460076</v>
      </c>
      <c r="AC1326" s="52">
        <f t="shared" si="8352"/>
        <v>0</v>
      </c>
      <c r="AD1326" s="52">
        <f t="shared" si="8352"/>
        <v>0</v>
      </c>
      <c r="AE1326" s="52">
        <f t="shared" si="8352"/>
        <v>0</v>
      </c>
      <c r="AF1326" s="52">
        <f t="shared" si="8352"/>
        <v>0</v>
      </c>
      <c r="AG1326" s="52">
        <f t="shared" si="8352"/>
        <v>0</v>
      </c>
      <c r="AH1326" s="52">
        <f t="shared" si="8352"/>
        <v>0</v>
      </c>
      <c r="AI1326" s="52">
        <f t="shared" si="8352"/>
        <v>0</v>
      </c>
      <c r="AJ1326" s="52">
        <f t="shared" si="8352"/>
        <v>0</v>
      </c>
      <c r="AK1326" s="52">
        <f t="shared" si="8352"/>
        <v>0</v>
      </c>
      <c r="AL1326" s="52">
        <f t="shared" si="8352"/>
        <v>0</v>
      </c>
      <c r="AM1326" s="52">
        <f t="shared" si="8352"/>
        <v>0</v>
      </c>
      <c r="AN1326" s="52">
        <f t="shared" si="8352"/>
        <v>0</v>
      </c>
      <c r="AO1326" s="52">
        <f t="shared" si="8352"/>
        <v>0</v>
      </c>
      <c r="AP1326" s="52">
        <f t="shared" si="8352"/>
        <v>0</v>
      </c>
      <c r="AQ1326" s="52">
        <f t="shared" si="8352"/>
        <v>0</v>
      </c>
      <c r="AR1326" s="52">
        <f t="shared" si="8352"/>
        <v>0</v>
      </c>
      <c r="AS1326" s="52">
        <f t="shared" si="8352"/>
        <v>0</v>
      </c>
      <c r="AT1326" s="52">
        <f t="shared" si="8352"/>
        <v>0</v>
      </c>
      <c r="AU1326" s="52">
        <f t="shared" si="8352"/>
        <v>0</v>
      </c>
      <c r="AV1326" s="52">
        <f t="shared" si="8352"/>
        <v>0</v>
      </c>
      <c r="AW1326" s="52">
        <f t="shared" si="8352"/>
        <v>0</v>
      </c>
      <c r="AX1326" s="52">
        <f t="shared" si="8352"/>
        <v>0</v>
      </c>
      <c r="AY1326" s="52">
        <f t="shared" si="8352"/>
        <v>0</v>
      </c>
      <c r="AZ1326" s="52">
        <f t="shared" si="8352"/>
        <v>0</v>
      </c>
      <c r="BA1326" s="52">
        <f t="shared" si="8352"/>
        <v>0</v>
      </c>
      <c r="BB1326" s="52">
        <f t="shared" si="8352"/>
        <v>0</v>
      </c>
      <c r="BC1326" s="52">
        <f t="shared" si="8352"/>
        <v>0</v>
      </c>
      <c r="BD1326" s="52">
        <f t="shared" si="8352"/>
        <v>0</v>
      </c>
      <c r="BE1326" s="52">
        <f t="shared" si="8352"/>
        <v>0</v>
      </c>
      <c r="BF1326" s="52">
        <f t="shared" si="8352"/>
        <v>0</v>
      </c>
      <c r="BG1326" s="52">
        <f t="shared" si="8352"/>
        <v>0</v>
      </c>
      <c r="BH1326" s="52">
        <f t="shared" si="8352"/>
        <v>0</v>
      </c>
      <c r="BI1326" s="52">
        <f t="shared" si="8352"/>
        <v>0</v>
      </c>
      <c r="BJ1326" s="52">
        <f t="shared" si="8352"/>
        <v>0</v>
      </c>
      <c r="BK1326" s="52">
        <f t="shared" si="8352"/>
        <v>0</v>
      </c>
      <c r="BL1326" s="52">
        <f t="shared" si="8352"/>
        <v>0</v>
      </c>
      <c r="BM1326" s="52">
        <f t="shared" si="8352"/>
        <v>0</v>
      </c>
      <c r="BN1326" s="52">
        <f t="shared" si="8352"/>
        <v>0</v>
      </c>
      <c r="BO1326" s="52">
        <f t="shared" si="8352"/>
        <v>0</v>
      </c>
      <c r="BP1326" s="52">
        <f t="shared" si="8352"/>
        <v>0</v>
      </c>
      <c r="BQ1326" s="52">
        <f t="shared" si="8352"/>
        <v>0</v>
      </c>
      <c r="BR1326" s="52">
        <f t="shared" si="8352"/>
        <v>0</v>
      </c>
      <c r="BS1326" s="52">
        <f t="shared" si="8352"/>
        <v>0</v>
      </c>
      <c r="BT1326" s="52">
        <f t="shared" si="8352"/>
        <v>0</v>
      </c>
      <c r="BU1326" s="52">
        <f t="shared" si="8352"/>
        <v>0</v>
      </c>
      <c r="BV1326" s="52">
        <f t="shared" si="8352"/>
        <v>0</v>
      </c>
      <c r="BW1326" s="52">
        <f t="shared" si="8352"/>
        <v>0</v>
      </c>
      <c r="BX1326" s="52">
        <f t="shared" ref="BX1326:CO1326" si="8353">-Bank_Fees</f>
        <v>0</v>
      </c>
      <c r="BY1326" s="52">
        <f t="shared" si="8353"/>
        <v>0</v>
      </c>
      <c r="BZ1326" s="52">
        <f t="shared" si="8353"/>
        <v>0</v>
      </c>
      <c r="CA1326" s="52">
        <f t="shared" si="8353"/>
        <v>0</v>
      </c>
      <c r="CB1326" s="52">
        <f t="shared" si="8353"/>
        <v>0</v>
      </c>
      <c r="CC1326" s="52">
        <f t="shared" si="8353"/>
        <v>0</v>
      </c>
      <c r="CD1326" s="52">
        <f t="shared" si="8353"/>
        <v>0</v>
      </c>
      <c r="CE1326" s="52">
        <f t="shared" si="8353"/>
        <v>0</v>
      </c>
      <c r="CF1326" s="52">
        <f t="shared" si="8353"/>
        <v>0</v>
      </c>
      <c r="CG1326" s="52">
        <f t="shared" si="8353"/>
        <v>0</v>
      </c>
      <c r="CH1326" s="52">
        <f t="shared" si="8353"/>
        <v>0</v>
      </c>
      <c r="CI1326" s="52">
        <f t="shared" si="8353"/>
        <v>0</v>
      </c>
      <c r="CJ1326" s="52">
        <f t="shared" si="8353"/>
        <v>0</v>
      </c>
      <c r="CK1326" s="52">
        <f t="shared" si="8353"/>
        <v>0</v>
      </c>
      <c r="CL1326" s="52">
        <f t="shared" si="8353"/>
        <v>0</v>
      </c>
      <c r="CM1326" s="52">
        <f t="shared" si="8353"/>
        <v>0</v>
      </c>
      <c r="CN1326" s="52">
        <f t="shared" si="8353"/>
        <v>0</v>
      </c>
      <c r="CO1326" s="52">
        <f t="shared" si="8353"/>
        <v>0</v>
      </c>
    </row>
    <row r="1327" spans="1:93">
      <c r="A1327" s="10"/>
      <c r="B1327" s="10"/>
      <c r="C1327" s="17" t="s">
        <v>421</v>
      </c>
      <c r="D1327" s="10"/>
      <c r="E1327" s="10"/>
      <c r="F1327" s="10"/>
      <c r="G1327" s="134" t="str">
        <f t="shared" si="8334"/>
        <v>тыс. руб.</v>
      </c>
      <c r="H1327" s="10"/>
      <c r="I1327" s="23">
        <f t="shared" ca="1" si="8335"/>
        <v>3991.4527079620657</v>
      </c>
      <c r="J1327" s="10"/>
      <c r="K1327" s="10"/>
      <c r="L1327" s="52">
        <f t="shared" ref="L1327:BW1327" ca="1" si="8354">-Subord_Interest_Paid</f>
        <v>0</v>
      </c>
      <c r="M1327" s="52">
        <f t="shared" ca="1" si="8354"/>
        <v>0</v>
      </c>
      <c r="N1327" s="52">
        <f t="shared" ca="1" si="8354"/>
        <v>0</v>
      </c>
      <c r="O1327" s="52">
        <f t="shared" ca="1" si="8354"/>
        <v>0</v>
      </c>
      <c r="P1327" s="52">
        <f t="shared" ca="1" si="8354"/>
        <v>0</v>
      </c>
      <c r="Q1327" s="52">
        <f t="shared" ca="1" si="8354"/>
        <v>0</v>
      </c>
      <c r="R1327" s="52">
        <f t="shared" ca="1" si="8354"/>
        <v>0</v>
      </c>
      <c r="S1327" s="52">
        <f t="shared" ca="1" si="8354"/>
        <v>0</v>
      </c>
      <c r="T1327" s="52">
        <f t="shared" ca="1" si="8354"/>
        <v>0</v>
      </c>
      <c r="U1327" s="52">
        <f t="shared" ca="1" si="8354"/>
        <v>0</v>
      </c>
      <c r="V1327" s="52">
        <f t="shared" ca="1" si="8354"/>
        <v>0</v>
      </c>
      <c r="W1327" s="52">
        <f t="shared" ca="1" si="8354"/>
        <v>0</v>
      </c>
      <c r="X1327" s="52">
        <f t="shared" ca="1" si="8354"/>
        <v>0</v>
      </c>
      <c r="Y1327" s="52">
        <f t="shared" ca="1" si="8354"/>
        <v>0</v>
      </c>
      <c r="Z1327" s="52">
        <f t="shared" ca="1" si="8354"/>
        <v>0</v>
      </c>
      <c r="AA1327" s="52">
        <f t="shared" ca="1" si="8354"/>
        <v>0</v>
      </c>
      <c r="AB1327" s="52">
        <f t="shared" ca="1" si="8354"/>
        <v>0</v>
      </c>
      <c r="AC1327" s="52">
        <f t="shared" ca="1" si="8354"/>
        <v>0</v>
      </c>
      <c r="AD1327" s="52">
        <f t="shared" ca="1" si="8354"/>
        <v>0</v>
      </c>
      <c r="AE1327" s="52">
        <f t="shared" ca="1" si="8354"/>
        <v>0</v>
      </c>
      <c r="AF1327" s="52">
        <f t="shared" ca="1" si="8354"/>
        <v>0</v>
      </c>
      <c r="AG1327" s="52">
        <f t="shared" ca="1" si="8354"/>
        <v>0</v>
      </c>
      <c r="AH1327" s="52">
        <f t="shared" ca="1" si="8354"/>
        <v>0</v>
      </c>
      <c r="AI1327" s="52">
        <f t="shared" ca="1" si="8354"/>
        <v>0</v>
      </c>
      <c r="AJ1327" s="52">
        <f t="shared" ca="1" si="8354"/>
        <v>0</v>
      </c>
      <c r="AK1327" s="52">
        <f t="shared" ca="1" si="8354"/>
        <v>0</v>
      </c>
      <c r="AL1327" s="52">
        <f t="shared" ca="1" si="8354"/>
        <v>0</v>
      </c>
      <c r="AM1327" s="52">
        <f t="shared" ca="1" si="8354"/>
        <v>0</v>
      </c>
      <c r="AN1327" s="52">
        <f t="shared" ca="1" si="8354"/>
        <v>0</v>
      </c>
      <c r="AO1327" s="52">
        <f t="shared" ca="1" si="8354"/>
        <v>0</v>
      </c>
      <c r="AP1327" s="52">
        <f t="shared" ca="1" si="8354"/>
        <v>0</v>
      </c>
      <c r="AQ1327" s="52">
        <f t="shared" ca="1" si="8354"/>
        <v>0</v>
      </c>
      <c r="AR1327" s="52">
        <f t="shared" ca="1" si="8354"/>
        <v>0</v>
      </c>
      <c r="AS1327" s="52">
        <f t="shared" ca="1" si="8354"/>
        <v>0</v>
      </c>
      <c r="AT1327" s="52">
        <f t="shared" ca="1" si="8354"/>
        <v>0</v>
      </c>
      <c r="AU1327" s="52">
        <f t="shared" ca="1" si="8354"/>
        <v>0</v>
      </c>
      <c r="AV1327" s="52">
        <f t="shared" ca="1" si="8354"/>
        <v>0</v>
      </c>
      <c r="AW1327" s="52">
        <f t="shared" ca="1" si="8354"/>
        <v>0</v>
      </c>
      <c r="AX1327" s="52">
        <f t="shared" ca="1" si="8354"/>
        <v>0</v>
      </c>
      <c r="AY1327" s="52">
        <f t="shared" ca="1" si="8354"/>
        <v>0</v>
      </c>
      <c r="AZ1327" s="52">
        <f t="shared" ca="1" si="8354"/>
        <v>0</v>
      </c>
      <c r="BA1327" s="52">
        <f t="shared" ca="1" si="8354"/>
        <v>0</v>
      </c>
      <c r="BB1327" s="52">
        <f t="shared" ca="1" si="8354"/>
        <v>1578.8975359324165</v>
      </c>
      <c r="BC1327" s="52">
        <f t="shared" ca="1" si="8354"/>
        <v>0</v>
      </c>
      <c r="BD1327" s="52">
        <f t="shared" ca="1" si="8354"/>
        <v>0</v>
      </c>
      <c r="BE1327" s="52">
        <f t="shared" ca="1" si="8354"/>
        <v>1224.6918064263284</v>
      </c>
      <c r="BF1327" s="52">
        <f t="shared" ca="1" si="8354"/>
        <v>1187.8633656033207</v>
      </c>
      <c r="BG1327" s="52">
        <f t="shared" ca="1" si="8354"/>
        <v>0</v>
      </c>
      <c r="BH1327" s="52">
        <f t="shared" ca="1" si="8354"/>
        <v>0</v>
      </c>
      <c r="BI1327" s="52">
        <f t="shared" ca="1" si="8354"/>
        <v>0</v>
      </c>
      <c r="BJ1327" s="52">
        <f t="shared" ca="1" si="8354"/>
        <v>0</v>
      </c>
      <c r="BK1327" s="52">
        <f t="shared" ca="1" si="8354"/>
        <v>0</v>
      </c>
      <c r="BL1327" s="52">
        <f t="shared" ca="1" si="8354"/>
        <v>0</v>
      </c>
      <c r="BM1327" s="52">
        <f t="shared" ca="1" si="8354"/>
        <v>0</v>
      </c>
      <c r="BN1327" s="52">
        <f t="shared" ca="1" si="8354"/>
        <v>0</v>
      </c>
      <c r="BO1327" s="52">
        <f t="shared" ca="1" si="8354"/>
        <v>0</v>
      </c>
      <c r="BP1327" s="52">
        <f t="shared" ca="1" si="8354"/>
        <v>0</v>
      </c>
      <c r="BQ1327" s="52">
        <f t="shared" ca="1" si="8354"/>
        <v>0</v>
      </c>
      <c r="BR1327" s="52">
        <f t="shared" ca="1" si="8354"/>
        <v>0</v>
      </c>
      <c r="BS1327" s="52">
        <f t="shared" ca="1" si="8354"/>
        <v>0</v>
      </c>
      <c r="BT1327" s="52">
        <f t="shared" ca="1" si="8354"/>
        <v>0</v>
      </c>
      <c r="BU1327" s="52">
        <f t="shared" ca="1" si="8354"/>
        <v>0</v>
      </c>
      <c r="BV1327" s="52">
        <f t="shared" ca="1" si="8354"/>
        <v>0</v>
      </c>
      <c r="BW1327" s="52">
        <f t="shared" ca="1" si="8354"/>
        <v>0</v>
      </c>
      <c r="BX1327" s="52">
        <f t="shared" ref="BX1327:CO1327" ca="1" si="8355">-Subord_Interest_Paid</f>
        <v>0</v>
      </c>
      <c r="BY1327" s="52">
        <f t="shared" ca="1" si="8355"/>
        <v>0</v>
      </c>
      <c r="BZ1327" s="52">
        <f t="shared" ca="1" si="8355"/>
        <v>0</v>
      </c>
      <c r="CA1327" s="52">
        <f t="shared" ca="1" si="8355"/>
        <v>0</v>
      </c>
      <c r="CB1327" s="52">
        <f t="shared" ca="1" si="8355"/>
        <v>0</v>
      </c>
      <c r="CC1327" s="52">
        <f t="shared" ca="1" si="8355"/>
        <v>0</v>
      </c>
      <c r="CD1327" s="52">
        <f t="shared" ca="1" si="8355"/>
        <v>0</v>
      </c>
      <c r="CE1327" s="52">
        <f t="shared" ca="1" si="8355"/>
        <v>0</v>
      </c>
      <c r="CF1327" s="52">
        <f t="shared" ca="1" si="8355"/>
        <v>0</v>
      </c>
      <c r="CG1327" s="52">
        <f t="shared" ca="1" si="8355"/>
        <v>0</v>
      </c>
      <c r="CH1327" s="52">
        <f t="shared" ca="1" si="8355"/>
        <v>0</v>
      </c>
      <c r="CI1327" s="52">
        <f t="shared" ca="1" si="8355"/>
        <v>0</v>
      </c>
      <c r="CJ1327" s="52">
        <f t="shared" ca="1" si="8355"/>
        <v>0</v>
      </c>
      <c r="CK1327" s="52">
        <f t="shared" ca="1" si="8355"/>
        <v>0</v>
      </c>
      <c r="CL1327" s="52">
        <f t="shared" ca="1" si="8355"/>
        <v>0</v>
      </c>
      <c r="CM1327" s="52">
        <f t="shared" ca="1" si="8355"/>
        <v>0</v>
      </c>
      <c r="CN1327" s="52">
        <f t="shared" ca="1" si="8355"/>
        <v>0</v>
      </c>
      <c r="CO1327" s="52">
        <f t="shared" ca="1" si="8355"/>
        <v>0</v>
      </c>
    </row>
    <row r="1328" spans="1:93">
      <c r="A1328" s="10"/>
      <c r="B1328" s="10"/>
      <c r="C1328" s="17" t="s">
        <v>420</v>
      </c>
      <c r="D1328" s="10"/>
      <c r="E1328" s="10"/>
      <c r="F1328" s="10"/>
      <c r="G1328" s="134" t="str">
        <f t="shared" si="8334"/>
        <v>тыс. руб.</v>
      </c>
      <c r="H1328" s="10"/>
      <c r="I1328" s="23">
        <f t="shared" ca="1" si="8335"/>
        <v>82887.317656723957</v>
      </c>
      <c r="J1328" s="10"/>
      <c r="K1328" s="10"/>
      <c r="L1328" s="52">
        <f t="shared" ref="L1328:BW1328" ca="1" si="8356">-Subord_Repayment</f>
        <v>0</v>
      </c>
      <c r="M1328" s="52">
        <f t="shared" ca="1" si="8356"/>
        <v>0</v>
      </c>
      <c r="N1328" s="52">
        <f t="shared" ca="1" si="8356"/>
        <v>0</v>
      </c>
      <c r="O1328" s="52">
        <f t="shared" ca="1" si="8356"/>
        <v>0</v>
      </c>
      <c r="P1328" s="52">
        <f t="shared" ca="1" si="8356"/>
        <v>0</v>
      </c>
      <c r="Q1328" s="52">
        <f t="shared" ca="1" si="8356"/>
        <v>0</v>
      </c>
      <c r="R1328" s="52">
        <f t="shared" ca="1" si="8356"/>
        <v>0</v>
      </c>
      <c r="S1328" s="52">
        <f t="shared" ca="1" si="8356"/>
        <v>0</v>
      </c>
      <c r="T1328" s="52">
        <f t="shared" ca="1" si="8356"/>
        <v>0</v>
      </c>
      <c r="U1328" s="52">
        <f t="shared" ca="1" si="8356"/>
        <v>0</v>
      </c>
      <c r="V1328" s="52">
        <f t="shared" ca="1" si="8356"/>
        <v>0</v>
      </c>
      <c r="W1328" s="52">
        <f t="shared" ca="1" si="8356"/>
        <v>0</v>
      </c>
      <c r="X1328" s="52">
        <f t="shared" ca="1" si="8356"/>
        <v>0</v>
      </c>
      <c r="Y1328" s="52">
        <f t="shared" ca="1" si="8356"/>
        <v>0</v>
      </c>
      <c r="Z1328" s="52">
        <f t="shared" ca="1" si="8356"/>
        <v>0</v>
      </c>
      <c r="AA1328" s="52">
        <f t="shared" ca="1" si="8356"/>
        <v>0</v>
      </c>
      <c r="AB1328" s="52">
        <f t="shared" ca="1" si="8356"/>
        <v>0</v>
      </c>
      <c r="AC1328" s="52">
        <f t="shared" ca="1" si="8356"/>
        <v>0</v>
      </c>
      <c r="AD1328" s="52">
        <f t="shared" ca="1" si="8356"/>
        <v>0</v>
      </c>
      <c r="AE1328" s="52">
        <f t="shared" ca="1" si="8356"/>
        <v>0</v>
      </c>
      <c r="AF1328" s="52">
        <f t="shared" ca="1" si="8356"/>
        <v>0</v>
      </c>
      <c r="AG1328" s="52">
        <f t="shared" ca="1" si="8356"/>
        <v>0</v>
      </c>
      <c r="AH1328" s="52">
        <f t="shared" ca="1" si="8356"/>
        <v>0</v>
      </c>
      <c r="AI1328" s="52">
        <f t="shared" ca="1" si="8356"/>
        <v>0</v>
      </c>
      <c r="AJ1328" s="52">
        <f t="shared" ca="1" si="8356"/>
        <v>0</v>
      </c>
      <c r="AK1328" s="52">
        <f t="shared" ca="1" si="8356"/>
        <v>0</v>
      </c>
      <c r="AL1328" s="52">
        <f t="shared" ca="1" si="8356"/>
        <v>0</v>
      </c>
      <c r="AM1328" s="52">
        <f t="shared" ca="1" si="8356"/>
        <v>0</v>
      </c>
      <c r="AN1328" s="52">
        <f t="shared" ca="1" si="8356"/>
        <v>0</v>
      </c>
      <c r="AO1328" s="52">
        <f t="shared" ca="1" si="8356"/>
        <v>0</v>
      </c>
      <c r="AP1328" s="52">
        <f t="shared" ca="1" si="8356"/>
        <v>0</v>
      </c>
      <c r="AQ1328" s="52">
        <f t="shared" ca="1" si="8356"/>
        <v>0</v>
      </c>
      <c r="AR1328" s="52">
        <f t="shared" ca="1" si="8356"/>
        <v>0</v>
      </c>
      <c r="AS1328" s="52">
        <f t="shared" ca="1" si="8356"/>
        <v>0</v>
      </c>
      <c r="AT1328" s="52">
        <f t="shared" ca="1" si="8356"/>
        <v>0</v>
      </c>
      <c r="AU1328" s="52">
        <f t="shared" ca="1" si="8356"/>
        <v>0</v>
      </c>
      <c r="AV1328" s="52">
        <f t="shared" ca="1" si="8356"/>
        <v>0</v>
      </c>
      <c r="AW1328" s="52">
        <f t="shared" ca="1" si="8356"/>
        <v>0</v>
      </c>
      <c r="AX1328" s="52">
        <f t="shared" ca="1" si="8356"/>
        <v>0</v>
      </c>
      <c r="AY1328" s="52">
        <f t="shared" ca="1" si="8356"/>
        <v>0</v>
      </c>
      <c r="AZ1328" s="52">
        <f t="shared" ca="1" si="8356"/>
        <v>0</v>
      </c>
      <c r="BA1328" s="52">
        <f t="shared" ca="1" si="8356"/>
        <v>0</v>
      </c>
      <c r="BB1328" s="52">
        <f t="shared" ca="1" si="8356"/>
        <v>46400.772996403553</v>
      </c>
      <c r="BC1328" s="52">
        <f t="shared" ca="1" si="8356"/>
        <v>0</v>
      </c>
      <c r="BD1328" s="52">
        <f t="shared" ca="1" si="8356"/>
        <v>0</v>
      </c>
      <c r="BE1328" s="52">
        <f t="shared" ca="1" si="8356"/>
        <v>1481.8754323964547</v>
      </c>
      <c r="BF1328" s="52">
        <f t="shared" ca="1" si="8356"/>
        <v>35004.669227923951</v>
      </c>
      <c r="BG1328" s="52">
        <f t="shared" ca="1" si="8356"/>
        <v>0</v>
      </c>
      <c r="BH1328" s="52">
        <f t="shared" ca="1" si="8356"/>
        <v>0</v>
      </c>
      <c r="BI1328" s="52">
        <f t="shared" ca="1" si="8356"/>
        <v>0</v>
      </c>
      <c r="BJ1328" s="52">
        <f t="shared" ca="1" si="8356"/>
        <v>0</v>
      </c>
      <c r="BK1328" s="52">
        <f t="shared" ca="1" si="8356"/>
        <v>0</v>
      </c>
      <c r="BL1328" s="52">
        <f t="shared" ca="1" si="8356"/>
        <v>0</v>
      </c>
      <c r="BM1328" s="52">
        <f t="shared" ca="1" si="8356"/>
        <v>0</v>
      </c>
      <c r="BN1328" s="52">
        <f t="shared" ca="1" si="8356"/>
        <v>0</v>
      </c>
      <c r="BO1328" s="52">
        <f t="shared" ca="1" si="8356"/>
        <v>0</v>
      </c>
      <c r="BP1328" s="52">
        <f t="shared" ca="1" si="8356"/>
        <v>0</v>
      </c>
      <c r="BQ1328" s="52">
        <f t="shared" ca="1" si="8356"/>
        <v>0</v>
      </c>
      <c r="BR1328" s="52">
        <f t="shared" ca="1" si="8356"/>
        <v>0</v>
      </c>
      <c r="BS1328" s="52">
        <f t="shared" ca="1" si="8356"/>
        <v>0</v>
      </c>
      <c r="BT1328" s="52">
        <f t="shared" ca="1" si="8356"/>
        <v>0</v>
      </c>
      <c r="BU1328" s="52">
        <f t="shared" ca="1" si="8356"/>
        <v>0</v>
      </c>
      <c r="BV1328" s="52">
        <f t="shared" ca="1" si="8356"/>
        <v>0</v>
      </c>
      <c r="BW1328" s="52">
        <f t="shared" ca="1" si="8356"/>
        <v>0</v>
      </c>
      <c r="BX1328" s="52">
        <f t="shared" ref="BX1328:CO1328" ca="1" si="8357">-Subord_Repayment</f>
        <v>0</v>
      </c>
      <c r="BY1328" s="52">
        <f t="shared" ca="1" si="8357"/>
        <v>0</v>
      </c>
      <c r="BZ1328" s="52">
        <f t="shared" ca="1" si="8357"/>
        <v>0</v>
      </c>
      <c r="CA1328" s="52">
        <f t="shared" ca="1" si="8357"/>
        <v>0</v>
      </c>
      <c r="CB1328" s="52">
        <f t="shared" ca="1" si="8357"/>
        <v>0</v>
      </c>
      <c r="CC1328" s="52">
        <f t="shared" ca="1" si="8357"/>
        <v>0</v>
      </c>
      <c r="CD1328" s="52">
        <f t="shared" ca="1" si="8357"/>
        <v>0</v>
      </c>
      <c r="CE1328" s="52">
        <f t="shared" ca="1" si="8357"/>
        <v>0</v>
      </c>
      <c r="CF1328" s="52">
        <f t="shared" ca="1" si="8357"/>
        <v>0</v>
      </c>
      <c r="CG1328" s="52">
        <f t="shared" ca="1" si="8357"/>
        <v>0</v>
      </c>
      <c r="CH1328" s="52">
        <f t="shared" ca="1" si="8357"/>
        <v>0</v>
      </c>
      <c r="CI1328" s="52">
        <f t="shared" ca="1" si="8357"/>
        <v>0</v>
      </c>
      <c r="CJ1328" s="52">
        <f t="shared" ca="1" si="8357"/>
        <v>0</v>
      </c>
      <c r="CK1328" s="52">
        <f t="shared" ca="1" si="8357"/>
        <v>0</v>
      </c>
      <c r="CL1328" s="52">
        <f t="shared" ca="1" si="8357"/>
        <v>0</v>
      </c>
      <c r="CM1328" s="52">
        <f t="shared" ca="1" si="8357"/>
        <v>0</v>
      </c>
      <c r="CN1328" s="52">
        <f t="shared" ca="1" si="8357"/>
        <v>0</v>
      </c>
      <c r="CO1328" s="52">
        <f t="shared" ca="1" si="8357"/>
        <v>0</v>
      </c>
    </row>
    <row r="1329" spans="1:93">
      <c r="A1329" s="10"/>
      <c r="B1329" s="10"/>
      <c r="C1329" s="17" t="s">
        <v>166</v>
      </c>
      <c r="D1329" s="10"/>
      <c r="E1329" s="10"/>
      <c r="F1329" s="10"/>
      <c r="G1329" s="134" t="str">
        <f t="shared" si="8334"/>
        <v>тыс. руб.</v>
      </c>
      <c r="H1329" s="10"/>
      <c r="I1329" s="23">
        <f t="shared" ca="1" si="8335"/>
        <v>9928390.6209045984</v>
      </c>
      <c r="J1329" s="10"/>
      <c r="K1329" s="10"/>
      <c r="L1329" s="52">
        <f t="shared" ref="L1329:BW1329" ca="1" si="8358">-Dividends</f>
        <v>0</v>
      </c>
      <c r="M1329" s="52">
        <f t="shared" ca="1" si="8358"/>
        <v>0</v>
      </c>
      <c r="N1329" s="52">
        <f t="shared" ca="1" si="8358"/>
        <v>0</v>
      </c>
      <c r="O1329" s="52">
        <f t="shared" ca="1" si="8358"/>
        <v>0</v>
      </c>
      <c r="P1329" s="52">
        <f t="shared" ca="1" si="8358"/>
        <v>0</v>
      </c>
      <c r="Q1329" s="52">
        <f t="shared" ca="1" si="8358"/>
        <v>0</v>
      </c>
      <c r="R1329" s="52">
        <f t="shared" ca="1" si="8358"/>
        <v>0</v>
      </c>
      <c r="S1329" s="52">
        <f t="shared" ca="1" si="8358"/>
        <v>0</v>
      </c>
      <c r="T1329" s="52">
        <f t="shared" ca="1" si="8358"/>
        <v>0</v>
      </c>
      <c r="U1329" s="52">
        <f t="shared" ca="1" si="8358"/>
        <v>0</v>
      </c>
      <c r="V1329" s="52">
        <f t="shared" ca="1" si="8358"/>
        <v>0</v>
      </c>
      <c r="W1329" s="52">
        <f t="shared" ca="1" si="8358"/>
        <v>0</v>
      </c>
      <c r="X1329" s="52">
        <f t="shared" ca="1" si="8358"/>
        <v>0</v>
      </c>
      <c r="Y1329" s="52">
        <f t="shared" ca="1" si="8358"/>
        <v>0</v>
      </c>
      <c r="Z1329" s="52">
        <f t="shared" ca="1" si="8358"/>
        <v>0</v>
      </c>
      <c r="AA1329" s="52">
        <f t="shared" ca="1" si="8358"/>
        <v>0</v>
      </c>
      <c r="AB1329" s="52">
        <f t="shared" ca="1" si="8358"/>
        <v>0</v>
      </c>
      <c r="AC1329" s="52">
        <f t="shared" ca="1" si="8358"/>
        <v>59050.396968304172</v>
      </c>
      <c r="AD1329" s="52">
        <f t="shared" ca="1" si="8358"/>
        <v>119023.22889081783</v>
      </c>
      <c r="AE1329" s="52">
        <f t="shared" ca="1" si="8358"/>
        <v>15387.84726569222</v>
      </c>
      <c r="AF1329" s="52">
        <f t="shared" ca="1" si="8358"/>
        <v>15602.228439205819</v>
      </c>
      <c r="AG1329" s="52">
        <f t="shared" ca="1" si="8358"/>
        <v>103528.78142452038</v>
      </c>
      <c r="AH1329" s="52">
        <f t="shared" ca="1" si="8358"/>
        <v>174633.84564213705</v>
      </c>
      <c r="AI1329" s="52">
        <f t="shared" ca="1" si="8358"/>
        <v>50450.080372379787</v>
      </c>
      <c r="AJ1329" s="52">
        <f t="shared" ca="1" si="8358"/>
        <v>49365.781800626079</v>
      </c>
      <c r="AK1329" s="52">
        <f t="shared" ca="1" si="8358"/>
        <v>151929.51476411583</v>
      </c>
      <c r="AL1329" s="52">
        <f t="shared" ca="1" si="8358"/>
        <v>234119.38886266688</v>
      </c>
      <c r="AM1329" s="52">
        <f t="shared" ca="1" si="8358"/>
        <v>87909.661208764373</v>
      </c>
      <c r="AN1329" s="52">
        <f t="shared" ca="1" si="8358"/>
        <v>87322.38730505429</v>
      </c>
      <c r="AO1329" s="52">
        <f t="shared" ca="1" si="8358"/>
        <v>154300.24168308536</v>
      </c>
      <c r="AP1329" s="52">
        <f t="shared" ca="1" si="8358"/>
        <v>141729.88994279964</v>
      </c>
      <c r="AQ1329" s="52">
        <f t="shared" ca="1" si="8358"/>
        <v>160798.98248832178</v>
      </c>
      <c r="AR1329" s="52">
        <f t="shared" ca="1" si="8358"/>
        <v>61597.462780265138</v>
      </c>
      <c r="AS1329" s="52">
        <f t="shared" ca="1" si="8358"/>
        <v>61934.838676213985</v>
      </c>
      <c r="AT1329" s="52">
        <f t="shared" ca="1" si="8358"/>
        <v>152696.91451470894</v>
      </c>
      <c r="AU1329" s="52">
        <f t="shared" ca="1" si="8358"/>
        <v>166797.13908820559</v>
      </c>
      <c r="AV1329" s="52">
        <f t="shared" ca="1" si="8358"/>
        <v>64056.714336277917</v>
      </c>
      <c r="AW1329" s="52">
        <f t="shared" ca="1" si="8358"/>
        <v>107973.36274285452</v>
      </c>
      <c r="AX1329" s="52">
        <f t="shared" ca="1" si="8358"/>
        <v>84851.201995847252</v>
      </c>
      <c r="AY1329" s="52">
        <f t="shared" ca="1" si="8358"/>
        <v>10608.520906129328</v>
      </c>
      <c r="AZ1329" s="52">
        <f t="shared" ca="1" si="8358"/>
        <v>0</v>
      </c>
      <c r="BA1329" s="52">
        <f t="shared" ca="1" si="8358"/>
        <v>0</v>
      </c>
      <c r="BB1329" s="52">
        <f t="shared" ca="1" si="8358"/>
        <v>13965.406815549846</v>
      </c>
      <c r="BC1329" s="52">
        <f t="shared" ca="1" si="8358"/>
        <v>17715.546658842039</v>
      </c>
      <c r="BD1329" s="52">
        <f t="shared" ca="1" si="8358"/>
        <v>0</v>
      </c>
      <c r="BE1329" s="52">
        <f t="shared" ca="1" si="8358"/>
        <v>0</v>
      </c>
      <c r="BF1329" s="52">
        <f t="shared" ca="1" si="8358"/>
        <v>32964.281449141898</v>
      </c>
      <c r="BG1329" s="52">
        <f t="shared" ca="1" si="8358"/>
        <v>23187.540176706039</v>
      </c>
      <c r="BH1329" s="52">
        <f t="shared" ca="1" si="8358"/>
        <v>149271.3857948205</v>
      </c>
      <c r="BI1329" s="52">
        <f t="shared" ca="1" si="8358"/>
        <v>194467.00727934242</v>
      </c>
      <c r="BJ1329" s="52">
        <f t="shared" ca="1" si="8358"/>
        <v>263143.28819603729</v>
      </c>
      <c r="BK1329" s="52">
        <f t="shared" ca="1" si="8358"/>
        <v>215603.7609729098</v>
      </c>
      <c r="BL1329" s="52">
        <f t="shared" ca="1" si="8358"/>
        <v>155296.66139235115</v>
      </c>
      <c r="BM1329" s="52">
        <f t="shared" ca="1" si="8358"/>
        <v>202301.54613887856</v>
      </c>
      <c r="BN1329" s="52">
        <f t="shared" ca="1" si="8358"/>
        <v>273726.34847685776</v>
      </c>
      <c r="BO1329" s="52">
        <f t="shared" ca="1" si="8358"/>
        <v>211339.56051991874</v>
      </c>
      <c r="BP1329" s="52">
        <f t="shared" ca="1" si="8358"/>
        <v>149413.85129333788</v>
      </c>
      <c r="BQ1329" s="52">
        <f t="shared" ca="1" si="8358"/>
        <v>190474.5039588192</v>
      </c>
      <c r="BR1329" s="52">
        <f t="shared" ca="1" si="8358"/>
        <v>258984.87029722304</v>
      </c>
      <c r="BS1329" s="52">
        <f t="shared" ca="1" si="8358"/>
        <v>219743.48235772018</v>
      </c>
      <c r="BT1329" s="52">
        <f t="shared" ca="1" si="8358"/>
        <v>157749.91729861218</v>
      </c>
      <c r="BU1329" s="52">
        <f t="shared" ca="1" si="8358"/>
        <v>197317.58972668709</v>
      </c>
      <c r="BV1329" s="52">
        <f t="shared" ca="1" si="8358"/>
        <v>269303.81083330908</v>
      </c>
      <c r="BW1329" s="52">
        <f t="shared" ca="1" si="8358"/>
        <v>228492.77329331194</v>
      </c>
      <c r="BX1329" s="52">
        <f t="shared" ref="BX1329:CO1329" ca="1" si="8359">-Dividends</f>
        <v>161499.22810249944</v>
      </c>
      <c r="BY1329" s="52">
        <f t="shared" ca="1" si="8359"/>
        <v>205913.19083422472</v>
      </c>
      <c r="BZ1329" s="52">
        <f t="shared" ca="1" si="8359"/>
        <v>280016.72812416521</v>
      </c>
      <c r="CA1329" s="52">
        <f t="shared" ca="1" si="8359"/>
        <v>237573.24292879915</v>
      </c>
      <c r="CB1329" s="52">
        <f t="shared" ca="1" si="8359"/>
        <v>167906.9021982312</v>
      </c>
      <c r="CC1329" s="52">
        <f t="shared" ca="1" si="8359"/>
        <v>214098.72207169505</v>
      </c>
      <c r="CD1329" s="52">
        <f t="shared" ca="1" si="8359"/>
        <v>291167.7366661366</v>
      </c>
      <c r="CE1329" s="52">
        <f t="shared" ca="1" si="8359"/>
        <v>247026.51206295507</v>
      </c>
      <c r="CF1329" s="52">
        <f t="shared" ca="1" si="8359"/>
        <v>174570.84607735806</v>
      </c>
      <c r="CG1329" s="52">
        <f t="shared" ca="1" si="8359"/>
        <v>222611.67455866357</v>
      </c>
      <c r="CH1329" s="52">
        <f t="shared" ca="1" si="8359"/>
        <v>302764.78554978635</v>
      </c>
      <c r="CI1329" s="52">
        <f t="shared" ca="1" si="8359"/>
        <v>256857.91196247865</v>
      </c>
      <c r="CJ1329" s="52">
        <f t="shared" ca="1" si="8359"/>
        <v>184327.12636069866</v>
      </c>
      <c r="CK1329" s="52">
        <f t="shared" ca="1" si="8359"/>
        <v>230615.70664995754</v>
      </c>
      <c r="CL1329" s="52">
        <f t="shared" ca="1" si="8359"/>
        <v>314835.06059641473</v>
      </c>
      <c r="CM1329" s="52">
        <f t="shared" ca="1" si="8359"/>
        <v>267091.91898776783</v>
      </c>
      <c r="CN1329" s="52">
        <f t="shared" ca="1" si="8359"/>
        <v>188709.02758838091</v>
      </c>
      <c r="CO1329" s="52">
        <f t="shared" ca="1" si="8359"/>
        <v>240672.75455501606</v>
      </c>
    </row>
    <row r="1330" spans="1:93" ht="15" thickBot="1">
      <c r="A1330" s="10"/>
      <c r="B1330" s="10"/>
      <c r="C1330" s="17" t="s">
        <v>470</v>
      </c>
      <c r="D1330" s="10"/>
      <c r="E1330" s="10"/>
      <c r="F1330" s="10"/>
      <c r="G1330" s="134" t="str">
        <f t="shared" si="8334"/>
        <v>тыс. руб.</v>
      </c>
      <c r="H1330" s="10"/>
      <c r="I1330" s="23">
        <f t="shared" ca="1" si="8335"/>
        <v>730800.89020163915</v>
      </c>
      <c r="J1330" s="10"/>
      <c r="K1330" s="10"/>
      <c r="L1330" s="52">
        <f t="shared" ref="L1330:BW1330" ca="1" si="8360">(Cash_EoP-Cash_BoP)*((Cash_EoP-Cash_BoP)&gt;0)</f>
        <v>0</v>
      </c>
      <c r="M1330" s="52">
        <f t="shared" ca="1" si="8360"/>
        <v>0</v>
      </c>
      <c r="N1330" s="52">
        <f t="shared" ca="1" si="8360"/>
        <v>0</v>
      </c>
      <c r="O1330" s="52">
        <f t="shared" ca="1" si="8360"/>
        <v>0</v>
      </c>
      <c r="P1330" s="52">
        <f t="shared" ca="1" si="8360"/>
        <v>0</v>
      </c>
      <c r="Q1330" s="52">
        <f t="shared" ca="1" si="8360"/>
        <v>0</v>
      </c>
      <c r="R1330" s="52">
        <f t="shared" ca="1" si="8360"/>
        <v>0</v>
      </c>
      <c r="S1330" s="52">
        <f t="shared" ca="1" si="8360"/>
        <v>0</v>
      </c>
      <c r="T1330" s="52">
        <f t="shared" ca="1" si="8360"/>
        <v>0</v>
      </c>
      <c r="U1330" s="52">
        <f t="shared" ca="1" si="8360"/>
        <v>0</v>
      </c>
      <c r="V1330" s="52">
        <f t="shared" ca="1" si="8360"/>
        <v>0</v>
      </c>
      <c r="W1330" s="52">
        <f t="shared" ca="1" si="8360"/>
        <v>0</v>
      </c>
      <c r="X1330" s="52">
        <f t="shared" ca="1" si="8360"/>
        <v>0</v>
      </c>
      <c r="Y1330" s="52">
        <f t="shared" ca="1" si="8360"/>
        <v>0</v>
      </c>
      <c r="Z1330" s="52">
        <f t="shared" ca="1" si="8360"/>
        <v>0</v>
      </c>
      <c r="AA1330" s="52">
        <f t="shared" ca="1" si="8360"/>
        <v>0</v>
      </c>
      <c r="AB1330" s="52">
        <f t="shared" ca="1" si="8360"/>
        <v>0</v>
      </c>
      <c r="AC1330" s="52">
        <f t="shared" ca="1" si="8360"/>
        <v>627052.01727898442</v>
      </c>
      <c r="AD1330" s="52">
        <f t="shared" ca="1" si="8360"/>
        <v>19972.35658570542</v>
      </c>
      <c r="AE1330" s="52">
        <f t="shared" ca="1" si="8360"/>
        <v>20760.102121556527</v>
      </c>
      <c r="AF1330" s="52">
        <f t="shared" ca="1" si="8360"/>
        <v>0</v>
      </c>
      <c r="AG1330" s="52">
        <f t="shared" ca="1" si="8360"/>
        <v>0</v>
      </c>
      <c r="AH1330" s="52">
        <f t="shared" ca="1" si="8360"/>
        <v>0</v>
      </c>
      <c r="AI1330" s="52">
        <f t="shared" ca="1" si="8360"/>
        <v>27723.113806757552</v>
      </c>
      <c r="AJ1330" s="52">
        <f t="shared" ca="1" si="8360"/>
        <v>0</v>
      </c>
      <c r="AK1330" s="52">
        <f t="shared" ca="1" si="8360"/>
        <v>0</v>
      </c>
      <c r="AL1330" s="52">
        <f t="shared" ca="1" si="8360"/>
        <v>0</v>
      </c>
      <c r="AM1330" s="52">
        <f t="shared" ca="1" si="8360"/>
        <v>35293.300408635288</v>
      </c>
      <c r="AN1330" s="52">
        <f t="shared" ca="1" si="8360"/>
        <v>0</v>
      </c>
      <c r="AO1330" s="52">
        <f t="shared" ca="1" si="8360"/>
        <v>0</v>
      </c>
      <c r="AP1330" s="52">
        <f t="shared" ca="1" si="8360"/>
        <v>0</v>
      </c>
      <c r="AQ1330" s="52">
        <f t="shared" ca="1" si="8360"/>
        <v>0</v>
      </c>
      <c r="AR1330" s="52">
        <f t="shared" ca="1" si="8360"/>
        <v>0</v>
      </c>
      <c r="AS1330" s="52">
        <f t="shared" ca="1" si="8360"/>
        <v>0</v>
      </c>
      <c r="AT1330" s="52">
        <f t="shared" ca="1" si="8360"/>
        <v>0</v>
      </c>
      <c r="AU1330" s="52">
        <f t="shared" ca="1" si="8360"/>
        <v>0</v>
      </c>
      <c r="AV1330" s="52">
        <f t="shared" ca="1" si="8360"/>
        <v>0</v>
      </c>
      <c r="AW1330" s="52">
        <f t="shared" ca="1" si="8360"/>
        <v>0</v>
      </c>
      <c r="AX1330" s="52">
        <f t="shared" ca="1" si="8360"/>
        <v>0</v>
      </c>
      <c r="AY1330" s="52">
        <f t="shared" ca="1" si="8360"/>
        <v>0</v>
      </c>
      <c r="AZ1330" s="52">
        <f t="shared" ca="1" si="8360"/>
        <v>0</v>
      </c>
      <c r="BA1330" s="52">
        <f t="shared" ca="1" si="8360"/>
        <v>0</v>
      </c>
      <c r="BB1330" s="52">
        <f t="shared" ca="1" si="8360"/>
        <v>0</v>
      </c>
      <c r="BC1330" s="52">
        <f t="shared" ca="1" si="8360"/>
        <v>0</v>
      </c>
      <c r="BD1330" s="52">
        <f t="shared" ca="1" si="8360"/>
        <v>0</v>
      </c>
      <c r="BE1330" s="52">
        <f t="shared" ca="1" si="8360"/>
        <v>0</v>
      </c>
      <c r="BF1330" s="52">
        <f t="shared" ca="1" si="8360"/>
        <v>0</v>
      </c>
      <c r="BG1330" s="52">
        <f t="shared" ca="1" si="8360"/>
        <v>0</v>
      </c>
      <c r="BH1330" s="52">
        <f t="shared" ca="1" si="8360"/>
        <v>0</v>
      </c>
      <c r="BI1330" s="52">
        <f t="shared" ca="1" si="8360"/>
        <v>0</v>
      </c>
      <c r="BJ1330" s="52">
        <f t="shared" ca="1" si="8360"/>
        <v>0</v>
      </c>
      <c r="BK1330" s="52">
        <f t="shared" ca="1" si="8360"/>
        <v>0</v>
      </c>
      <c r="BL1330" s="52">
        <f t="shared" ca="1" si="8360"/>
        <v>0</v>
      </c>
      <c r="BM1330" s="52">
        <f t="shared" ca="1" si="8360"/>
        <v>0</v>
      </c>
      <c r="BN1330" s="52">
        <f t="shared" ca="1" si="8360"/>
        <v>0</v>
      </c>
      <c r="BO1330" s="52">
        <f t="shared" ca="1" si="8360"/>
        <v>0</v>
      </c>
      <c r="BP1330" s="52">
        <f t="shared" ca="1" si="8360"/>
        <v>0</v>
      </c>
      <c r="BQ1330" s="52">
        <f t="shared" ca="1" si="8360"/>
        <v>0</v>
      </c>
      <c r="BR1330" s="52">
        <f t="shared" ca="1" si="8360"/>
        <v>0</v>
      </c>
      <c r="BS1330" s="52">
        <f t="shared" ca="1" si="8360"/>
        <v>0</v>
      </c>
      <c r="BT1330" s="52">
        <f t="shared" ca="1" si="8360"/>
        <v>0</v>
      </c>
      <c r="BU1330" s="52">
        <f t="shared" ca="1" si="8360"/>
        <v>0</v>
      </c>
      <c r="BV1330" s="52">
        <f t="shared" ca="1" si="8360"/>
        <v>0</v>
      </c>
      <c r="BW1330" s="52">
        <f t="shared" ca="1" si="8360"/>
        <v>0</v>
      </c>
      <c r="BX1330" s="52">
        <f t="shared" ref="BX1330:CO1330" ca="1" si="8361">(Cash_EoP-Cash_BoP)*((Cash_EoP-Cash_BoP)&gt;0)</f>
        <v>0</v>
      </c>
      <c r="BY1330" s="52">
        <f t="shared" ca="1" si="8361"/>
        <v>0</v>
      </c>
      <c r="BZ1330" s="52">
        <f t="shared" ca="1" si="8361"/>
        <v>0</v>
      </c>
      <c r="CA1330" s="52">
        <f t="shared" ca="1" si="8361"/>
        <v>0</v>
      </c>
      <c r="CB1330" s="52">
        <f t="shared" ca="1" si="8361"/>
        <v>0</v>
      </c>
      <c r="CC1330" s="52">
        <f t="shared" ca="1" si="8361"/>
        <v>0</v>
      </c>
      <c r="CD1330" s="52">
        <f t="shared" ca="1" si="8361"/>
        <v>0</v>
      </c>
      <c r="CE1330" s="52">
        <f t="shared" ca="1" si="8361"/>
        <v>0</v>
      </c>
      <c r="CF1330" s="52">
        <f t="shared" ca="1" si="8361"/>
        <v>0</v>
      </c>
      <c r="CG1330" s="52">
        <f t="shared" ca="1" si="8361"/>
        <v>0</v>
      </c>
      <c r="CH1330" s="52">
        <f t="shared" ca="1" si="8361"/>
        <v>0</v>
      </c>
      <c r="CI1330" s="52">
        <f t="shared" ca="1" si="8361"/>
        <v>0</v>
      </c>
      <c r="CJ1330" s="52">
        <f t="shared" ca="1" si="8361"/>
        <v>0</v>
      </c>
      <c r="CK1330" s="52">
        <f t="shared" ca="1" si="8361"/>
        <v>0</v>
      </c>
      <c r="CL1330" s="52">
        <f t="shared" ca="1" si="8361"/>
        <v>0</v>
      </c>
      <c r="CM1330" s="52">
        <f t="shared" ca="1" si="8361"/>
        <v>0</v>
      </c>
      <c r="CN1330" s="52">
        <f t="shared" ca="1" si="8361"/>
        <v>0</v>
      </c>
      <c r="CO1330" s="52">
        <f t="shared" ca="1" si="8361"/>
        <v>0</v>
      </c>
    </row>
    <row r="1331" spans="1:93" ht="15" thickTop="1">
      <c r="A1331" s="35"/>
      <c r="B1331" s="35"/>
      <c r="C1331" s="49" t="s">
        <v>167</v>
      </c>
      <c r="D1331" s="49"/>
      <c r="E1331" s="49"/>
      <c r="F1331" s="49"/>
      <c r="G1331" s="159" t="str">
        <f t="shared" si="8334"/>
        <v>тыс. руб.</v>
      </c>
      <c r="H1331" s="49"/>
      <c r="I1331" s="176">
        <f t="shared" ca="1" si="8335"/>
        <v>65257411.363175228</v>
      </c>
      <c r="J1331" s="49"/>
      <c r="K1331" s="49"/>
      <c r="L1331" s="174">
        <f t="shared" ref="L1331:BW1331" ca="1" si="8362">SUM(L1318:L1330)</f>
        <v>31406.153379286916</v>
      </c>
      <c r="M1331" s="174">
        <f t="shared" ca="1" si="8362"/>
        <v>31851.960190507532</v>
      </c>
      <c r="N1331" s="174">
        <f t="shared" ca="1" si="8362"/>
        <v>32304.095179220327</v>
      </c>
      <c r="O1331" s="174">
        <f t="shared" ca="1" si="8362"/>
        <v>32762.648173192309</v>
      </c>
      <c r="P1331" s="174">
        <f t="shared" ca="1" si="8362"/>
        <v>275591.46580799518</v>
      </c>
      <c r="Q1331" s="174">
        <f t="shared" ca="1" si="8362"/>
        <v>278306.9805620276</v>
      </c>
      <c r="R1331" s="174">
        <f t="shared" ca="1" si="8362"/>
        <v>281049.25238692126</v>
      </c>
      <c r="S1331" s="174">
        <f t="shared" ca="1" si="8362"/>
        <v>284557.53667344904</v>
      </c>
      <c r="T1331" s="174">
        <f t="shared" ca="1" si="8362"/>
        <v>293195.77878796181</v>
      </c>
      <c r="U1331" s="174">
        <f t="shared" ca="1" si="8362"/>
        <v>299864.08841733454</v>
      </c>
      <c r="V1331" s="174">
        <f t="shared" ca="1" si="8362"/>
        <v>306680.671823757</v>
      </c>
      <c r="W1331" s="174">
        <f t="shared" ca="1" si="8362"/>
        <v>313448.73444932338</v>
      </c>
      <c r="X1331" s="174">
        <f t="shared" ca="1" si="8362"/>
        <v>646653.2581487901</v>
      </c>
      <c r="Y1331" s="174">
        <f t="shared" ca="1" si="8362"/>
        <v>660955.27495578071</v>
      </c>
      <c r="Z1331" s="174">
        <f t="shared" ca="1" si="8362"/>
        <v>675843.90368952369</v>
      </c>
      <c r="AA1331" s="174">
        <f t="shared" ca="1" si="8362"/>
        <v>690520.69372146716</v>
      </c>
      <c r="AB1331" s="174">
        <f t="shared" ca="1" si="8362"/>
        <v>890466.98389240366</v>
      </c>
      <c r="AC1331" s="174">
        <f t="shared" ca="1" si="8362"/>
        <v>1334022.2767741662</v>
      </c>
      <c r="AD1331" s="174">
        <f t="shared" ca="1" si="8362"/>
        <v>803772.45030124858</v>
      </c>
      <c r="AE1331" s="174">
        <f t="shared" ca="1" si="8362"/>
        <v>485559.69732502056</v>
      </c>
      <c r="AF1331" s="174">
        <f t="shared" ca="1" si="8362"/>
        <v>459615.4498277689</v>
      </c>
      <c r="AG1331" s="174">
        <f t="shared" ca="1" si="8362"/>
        <v>760481.78335181577</v>
      </c>
      <c r="AH1331" s="174">
        <f t="shared" ca="1" si="8362"/>
        <v>950664.02390777017</v>
      </c>
      <c r="AI1331" s="174">
        <f t="shared" ca="1" si="8362"/>
        <v>575731.92973996024</v>
      </c>
      <c r="AJ1331" s="174">
        <f t="shared" ca="1" si="8362"/>
        <v>539201.83606632403</v>
      </c>
      <c r="AK1331" s="174">
        <f t="shared" ca="1" si="8362"/>
        <v>890257.74213117082</v>
      </c>
      <c r="AL1331" s="174">
        <f t="shared" ca="1" si="8362"/>
        <v>1109502.3985890585</v>
      </c>
      <c r="AM1331" s="174">
        <f t="shared" ca="1" si="8362"/>
        <v>672341.04523237434</v>
      </c>
      <c r="AN1331" s="174">
        <f t="shared" ca="1" si="8362"/>
        <v>630699.94381547463</v>
      </c>
      <c r="AO1331" s="174">
        <f t="shared" ca="1" si="8362"/>
        <v>979692.93243070424</v>
      </c>
      <c r="AP1331" s="174">
        <f t="shared" ca="1" si="8362"/>
        <v>1098340.9344404293</v>
      </c>
      <c r="AQ1331" s="174">
        <f t="shared" ca="1" si="8362"/>
        <v>746098.41882627644</v>
      </c>
      <c r="AR1331" s="174">
        <f t="shared" ca="1" si="8362"/>
        <v>625992.35252007574</v>
      </c>
      <c r="AS1331" s="174">
        <f t="shared" ca="1" si="8362"/>
        <v>910342.9686818819</v>
      </c>
      <c r="AT1331" s="174">
        <f t="shared" ca="1" si="8362"/>
        <v>1142274.5718180465</v>
      </c>
      <c r="AU1331" s="174">
        <f t="shared" ca="1" si="8362"/>
        <v>775942.35232665134</v>
      </c>
      <c r="AV1331" s="174">
        <f t="shared" ca="1" si="8362"/>
        <v>651032.072353711</v>
      </c>
      <c r="AW1331" s="174">
        <f t="shared" ca="1" si="8362"/>
        <v>918765.40797625086</v>
      </c>
      <c r="AX1331" s="174">
        <f t="shared" ca="1" si="8362"/>
        <v>1062816.872233459</v>
      </c>
      <c r="AY1331" s="174">
        <f t="shared" ca="1" si="8362"/>
        <v>667822.47789588524</v>
      </c>
      <c r="AZ1331" s="174">
        <f t="shared" ca="1" si="8362"/>
        <v>594928.96216365159</v>
      </c>
      <c r="BA1331" s="174">
        <f t="shared" ca="1" si="8362"/>
        <v>867641.4686201649</v>
      </c>
      <c r="BB1331" s="174">
        <f t="shared" ca="1" si="8362"/>
        <v>1072233.5087771786</v>
      </c>
      <c r="BC1331" s="174">
        <f t="shared" ca="1" si="8362"/>
        <v>694535.37701172032</v>
      </c>
      <c r="BD1331" s="174">
        <f t="shared" ca="1" si="8362"/>
        <v>616341.56864486833</v>
      </c>
      <c r="BE1331" s="174">
        <f t="shared" ca="1" si="8362"/>
        <v>900360.38529990998</v>
      </c>
      <c r="BF1331" s="174">
        <f t="shared" ca="1" si="8362"/>
        <v>1115122.8524889059</v>
      </c>
      <c r="BG1331" s="174">
        <f t="shared" ca="1" si="8362"/>
        <v>722316.79077669722</v>
      </c>
      <c r="BH1331" s="174">
        <f t="shared" ca="1" si="8362"/>
        <v>597085.18374258629</v>
      </c>
      <c r="BI1331" s="174">
        <f t="shared" ca="1" si="8362"/>
        <v>937027.31739894289</v>
      </c>
      <c r="BJ1331" s="174">
        <f t="shared" ca="1" si="8362"/>
        <v>1159727.7630933961</v>
      </c>
      <c r="BK1331" s="174">
        <f t="shared" ca="1" si="8362"/>
        <v>751209.46377587644</v>
      </c>
      <c r="BL1331" s="174">
        <f t="shared" ca="1" si="8362"/>
        <v>620968.45087762387</v>
      </c>
      <c r="BM1331" s="174">
        <f t="shared" ca="1" si="8362"/>
        <v>974508.41009490052</v>
      </c>
      <c r="BN1331" s="174">
        <f t="shared" ca="1" si="8362"/>
        <v>1206116.873617132</v>
      </c>
      <c r="BO1331" s="174">
        <f t="shared" ca="1" si="8362"/>
        <v>781257.84232691117</v>
      </c>
      <c r="BP1331" s="174">
        <f t="shared" ca="1" si="8362"/>
        <v>645807.1889127288</v>
      </c>
      <c r="BQ1331" s="174">
        <f t="shared" ca="1" si="8362"/>
        <v>1013488.7464986963</v>
      </c>
      <c r="BR1331" s="174">
        <f t="shared" ca="1" si="8362"/>
        <v>1254361.548561817</v>
      </c>
      <c r="BS1331" s="174">
        <f t="shared" ca="1" si="8362"/>
        <v>812508.15601998742</v>
      </c>
      <c r="BT1331" s="174">
        <f t="shared" ca="1" si="8362"/>
        <v>679052.89741903986</v>
      </c>
      <c r="BU1331" s="174">
        <f t="shared" ca="1" si="8362"/>
        <v>1053294.3038279975</v>
      </c>
      <c r="BV1331" s="174">
        <f t="shared" ca="1" si="8362"/>
        <v>1304536.014435763</v>
      </c>
      <c r="BW1331" s="174">
        <f t="shared" ca="1" si="8362"/>
        <v>845008.48072184715</v>
      </c>
      <c r="BX1331" s="174">
        <f t="shared" ref="BX1331:CO1331" ca="1" si="8363">SUM(BX1318:BX1330)</f>
        <v>698505.21325043705</v>
      </c>
      <c r="BY1331" s="174">
        <f t="shared" ca="1" si="8363"/>
        <v>1096189.4282129894</v>
      </c>
      <c r="BZ1331" s="174">
        <f t="shared" ca="1" si="8363"/>
        <v>1356717.4509244608</v>
      </c>
      <c r="CA1331" s="174">
        <f t="shared" ca="1" si="8363"/>
        <v>878808.82155121805</v>
      </c>
      <c r="CB1331" s="174">
        <f t="shared" ca="1" si="8363"/>
        <v>726445.25774912769</v>
      </c>
      <c r="CC1331" s="174">
        <f t="shared" ca="1" si="8363"/>
        <v>1140037.0053415094</v>
      </c>
      <c r="CD1331" s="174">
        <f t="shared" ca="1" si="8363"/>
        <v>1410986.148961439</v>
      </c>
      <c r="CE1331" s="174">
        <f t="shared" ca="1" si="8363"/>
        <v>913961.17441326636</v>
      </c>
      <c r="CF1331" s="174">
        <f t="shared" ca="1" si="8363"/>
        <v>755503.06805909285</v>
      </c>
      <c r="CG1331" s="174">
        <f t="shared" ca="1" si="8363"/>
        <v>1185638.4855551694</v>
      </c>
      <c r="CH1331" s="174">
        <f t="shared" ca="1" si="8363"/>
        <v>1467425.5949198967</v>
      </c>
      <c r="CI1331" s="174">
        <f t="shared" ca="1" si="8363"/>
        <v>950519.62138979789</v>
      </c>
      <c r="CJ1331" s="174">
        <f t="shared" ca="1" si="8363"/>
        <v>794395.8447384655</v>
      </c>
      <c r="CK1331" s="174">
        <f t="shared" ca="1" si="8363"/>
        <v>1232205.357532423</v>
      </c>
      <c r="CL1331" s="174">
        <f t="shared" ca="1" si="8363"/>
        <v>1526122.6233159606</v>
      </c>
      <c r="CM1331" s="174">
        <f t="shared" ca="1" si="8363"/>
        <v>988540.40444504749</v>
      </c>
      <c r="CN1331" s="174">
        <f t="shared" ca="1" si="8363"/>
        <v>817152.3029256491</v>
      </c>
      <c r="CO1331" s="174">
        <f t="shared" ca="1" si="8363"/>
        <v>1282386.585976471</v>
      </c>
    </row>
    <row r="1332" spans="1:93">
      <c r="A1332" s="10"/>
      <c r="B1332" s="10"/>
      <c r="C1332" s="10"/>
      <c r="D1332" s="10"/>
      <c r="E1332" s="10"/>
      <c r="F1332" s="10"/>
      <c r="G1332" s="11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  <c r="AY1332" s="10"/>
      <c r="AZ1332" s="10"/>
      <c r="BA1332" s="10"/>
      <c r="BB1332" s="10"/>
      <c r="BC1332" s="10"/>
      <c r="BD1332" s="10"/>
      <c r="BE1332" s="10"/>
      <c r="BF1332" s="10"/>
      <c r="BG1332" s="10"/>
      <c r="BH1332" s="10"/>
      <c r="BI1332" s="10"/>
      <c r="BJ1332" s="10"/>
      <c r="BK1332" s="10"/>
      <c r="BL1332" s="10"/>
      <c r="BM1332" s="10"/>
      <c r="BN1332" s="10"/>
      <c r="BO1332" s="10"/>
      <c r="BP1332" s="10"/>
      <c r="BQ1332" s="10"/>
      <c r="BR1332" s="10"/>
      <c r="BS1332" s="10"/>
      <c r="BT1332" s="10"/>
      <c r="BU1332" s="10"/>
      <c r="BV1332" s="10"/>
      <c r="BW1332" s="10"/>
      <c r="BX1332" s="10"/>
      <c r="BY1332" s="10"/>
      <c r="BZ1332" s="10"/>
      <c r="CA1332" s="10"/>
      <c r="CB1332" s="10"/>
      <c r="CC1332" s="10"/>
      <c r="CD1332" s="10"/>
      <c r="CE1332" s="10"/>
      <c r="CF1332" s="10"/>
      <c r="CG1332" s="10"/>
      <c r="CH1332" s="10"/>
      <c r="CI1332" s="10"/>
      <c r="CJ1332" s="10"/>
      <c r="CK1332" s="10"/>
      <c r="CL1332" s="10"/>
      <c r="CM1332" s="10"/>
      <c r="CN1332" s="10"/>
      <c r="CO1332" s="10"/>
    </row>
    <row r="1333" spans="1:93">
      <c r="A1333" s="10"/>
      <c r="B1333" s="10"/>
      <c r="C1333" s="67" t="s">
        <v>164</v>
      </c>
      <c r="D1333" s="10"/>
      <c r="E1333" s="10"/>
      <c r="F1333" s="10"/>
      <c r="G1333" s="11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  <c r="AY1333" s="10"/>
      <c r="AZ1333" s="10"/>
      <c r="BA1333" s="10"/>
      <c r="BB1333" s="10"/>
      <c r="BC1333" s="10"/>
      <c r="BD1333" s="10"/>
      <c r="BE1333" s="10"/>
      <c r="BF1333" s="10"/>
      <c r="BG1333" s="10"/>
      <c r="BH1333" s="10"/>
      <c r="BI1333" s="10"/>
      <c r="BJ1333" s="10"/>
      <c r="BK1333" s="10"/>
      <c r="BL1333" s="10"/>
      <c r="BM1333" s="10"/>
      <c r="BN1333" s="10"/>
      <c r="BO1333" s="10"/>
      <c r="BP1333" s="10"/>
      <c r="BQ1333" s="10"/>
      <c r="BR1333" s="10"/>
      <c r="BS1333" s="10"/>
      <c r="BT1333" s="10"/>
      <c r="BU1333" s="10"/>
      <c r="BV1333" s="10"/>
      <c r="BW1333" s="10"/>
      <c r="BX1333" s="10"/>
      <c r="BY1333" s="10"/>
      <c r="BZ1333" s="10"/>
      <c r="CA1333" s="10"/>
      <c r="CB1333" s="10"/>
      <c r="CC1333" s="10"/>
      <c r="CD1333" s="10"/>
      <c r="CE1333" s="10"/>
      <c r="CF1333" s="10"/>
      <c r="CG1333" s="10"/>
      <c r="CH1333" s="10"/>
      <c r="CI1333" s="10"/>
      <c r="CJ1333" s="10"/>
      <c r="CK1333" s="10"/>
      <c r="CL1333" s="10"/>
      <c r="CM1333" s="10"/>
      <c r="CN1333" s="10"/>
      <c r="CO1333" s="10"/>
    </row>
    <row r="1334" spans="1:93">
      <c r="A1334" s="10"/>
      <c r="B1334" s="10"/>
      <c r="C1334" s="17" t="s">
        <v>96</v>
      </c>
      <c r="D1334" s="10"/>
      <c r="E1334" s="10"/>
      <c r="F1334" s="10"/>
      <c r="G1334" s="134" t="str">
        <f t="shared" ref="G1334:G1341" si="8364">Monetary_Unit</f>
        <v>тыс. руб.</v>
      </c>
      <c r="H1334" s="10"/>
      <c r="I1334" s="23">
        <f t="shared" ref="I1334:I1341" ca="1" si="8365">SUM(L1334:CO1334)</f>
        <v>54850086.519837193</v>
      </c>
      <c r="J1334" s="10"/>
      <c r="K1334" s="10"/>
      <c r="L1334" s="52">
        <f t="shared" ref="L1334:BW1334" ca="1" si="8366">Revenue</f>
        <v>0</v>
      </c>
      <c r="M1334" s="52">
        <f t="shared" ca="1" si="8366"/>
        <v>0</v>
      </c>
      <c r="N1334" s="52">
        <f t="shared" ca="1" si="8366"/>
        <v>0</v>
      </c>
      <c r="O1334" s="52">
        <f t="shared" ca="1" si="8366"/>
        <v>0</v>
      </c>
      <c r="P1334" s="52">
        <f t="shared" ca="1" si="8366"/>
        <v>0</v>
      </c>
      <c r="Q1334" s="52">
        <f t="shared" ca="1" si="8366"/>
        <v>0</v>
      </c>
      <c r="R1334" s="52">
        <f t="shared" ca="1" si="8366"/>
        <v>0</v>
      </c>
      <c r="S1334" s="52">
        <f t="shared" ca="1" si="8366"/>
        <v>0</v>
      </c>
      <c r="T1334" s="52">
        <f t="shared" ca="1" si="8366"/>
        <v>0</v>
      </c>
      <c r="U1334" s="52">
        <f t="shared" ca="1" si="8366"/>
        <v>0</v>
      </c>
      <c r="V1334" s="52">
        <f t="shared" ca="1" si="8366"/>
        <v>0</v>
      </c>
      <c r="W1334" s="52">
        <f t="shared" ca="1" si="8366"/>
        <v>0</v>
      </c>
      <c r="X1334" s="52">
        <f t="shared" ca="1" si="8366"/>
        <v>0</v>
      </c>
      <c r="Y1334" s="52">
        <f t="shared" ca="1" si="8366"/>
        <v>0</v>
      </c>
      <c r="Z1334" s="52">
        <f t="shared" ca="1" si="8366"/>
        <v>0</v>
      </c>
      <c r="AA1334" s="52">
        <f t="shared" ca="1" si="8366"/>
        <v>0</v>
      </c>
      <c r="AB1334" s="52">
        <f t="shared" ca="1" si="8366"/>
        <v>0</v>
      </c>
      <c r="AC1334" s="52">
        <f t="shared" ca="1" si="8366"/>
        <v>538729.60493334138</v>
      </c>
      <c r="AD1334" s="52">
        <f t="shared" ca="1" si="8366"/>
        <v>701020.27067459095</v>
      </c>
      <c r="AE1334" s="52">
        <f t="shared" ca="1" si="8366"/>
        <v>415305.77147408307</v>
      </c>
      <c r="AF1334" s="52">
        <f t="shared" ca="1" si="8366"/>
        <v>407561.6801808218</v>
      </c>
      <c r="AG1334" s="52">
        <f t="shared" ca="1" si="8366"/>
        <v>643283.05418707151</v>
      </c>
      <c r="AH1334" s="52">
        <f t="shared" ca="1" si="8366"/>
        <v>833212.66457322869</v>
      </c>
      <c r="AI1334" s="52">
        <f t="shared" ca="1" si="8366"/>
        <v>491492.89920657012</v>
      </c>
      <c r="AJ1334" s="52">
        <f t="shared" ca="1" si="8366"/>
        <v>480379.3670397955</v>
      </c>
      <c r="AK1334" s="52">
        <f t="shared" ca="1" si="8366"/>
        <v>755338.81201320689</v>
      </c>
      <c r="AL1334" s="52">
        <f t="shared" ca="1" si="8366"/>
        <v>974858.81755067746</v>
      </c>
      <c r="AM1334" s="52">
        <f t="shared" ca="1" si="8366"/>
        <v>573110.5079232977</v>
      </c>
      <c r="AN1334" s="52">
        <f t="shared" ca="1" si="8366"/>
        <v>564574.48538318858</v>
      </c>
      <c r="AO1334" s="52">
        <f t="shared" ca="1" si="8366"/>
        <v>875329.7775787327</v>
      </c>
      <c r="AP1334" s="52">
        <f t="shared" ca="1" si="8366"/>
        <v>1098340.9344404293</v>
      </c>
      <c r="AQ1334" s="52">
        <f t="shared" ca="1" si="8366"/>
        <v>628253.03246943059</v>
      </c>
      <c r="AR1334" s="52">
        <f t="shared" ca="1" si="8366"/>
        <v>595986.90035939578</v>
      </c>
      <c r="AS1334" s="52">
        <f t="shared" ca="1" si="8366"/>
        <v>910342.96868188202</v>
      </c>
      <c r="AT1334" s="52">
        <f t="shared" ca="1" si="8366"/>
        <v>1142274.5718180465</v>
      </c>
      <c r="AU1334" s="52">
        <f t="shared" ca="1" si="8366"/>
        <v>653383.15376820788</v>
      </c>
      <c r="AV1334" s="52">
        <f t="shared" ca="1" si="8366"/>
        <v>619826.37637377158</v>
      </c>
      <c r="AW1334" s="52">
        <f t="shared" ca="1" si="8366"/>
        <v>805449.71915614884</v>
      </c>
      <c r="AX1334" s="52">
        <f t="shared" ca="1" si="8366"/>
        <v>1010657.2629458774</v>
      </c>
      <c r="AY1334" s="52">
        <f t="shared" ca="1" si="8366"/>
        <v>578097.81127431884</v>
      </c>
      <c r="AZ1334" s="52">
        <f t="shared" ca="1" si="8366"/>
        <v>548407.57599159959</v>
      </c>
      <c r="BA1334" s="52">
        <f t="shared" ca="1" si="8366"/>
        <v>837667.7079223945</v>
      </c>
      <c r="BB1334" s="52">
        <f t="shared" ca="1" si="8366"/>
        <v>1051083.5534637121</v>
      </c>
      <c r="BC1334" s="52">
        <f t="shared" ca="1" si="8366"/>
        <v>601221.72372529143</v>
      </c>
      <c r="BD1334" s="52">
        <f t="shared" ca="1" si="8366"/>
        <v>576681.03324272193</v>
      </c>
      <c r="BE1334" s="52">
        <f t="shared" ca="1" si="8366"/>
        <v>871174.41623929003</v>
      </c>
      <c r="BF1334" s="52">
        <f t="shared" ca="1" si="8366"/>
        <v>1093126.8956022605</v>
      </c>
      <c r="BG1334" s="52">
        <f t="shared" ca="1" si="8366"/>
        <v>625270.59267430298</v>
      </c>
      <c r="BH1334" s="52">
        <f t="shared" ca="1" si="8366"/>
        <v>593157.63419251388</v>
      </c>
      <c r="BI1334" s="52">
        <f t="shared" ca="1" si="8366"/>
        <v>906021.39288886171</v>
      </c>
      <c r="BJ1334" s="52">
        <f t="shared" ca="1" si="8366"/>
        <v>1136851.9714263508</v>
      </c>
      <c r="BK1334" s="52">
        <f t="shared" ca="1" si="8366"/>
        <v>650281.41638127505</v>
      </c>
      <c r="BL1334" s="52">
        <f t="shared" ca="1" si="8366"/>
        <v>616883.93956021441</v>
      </c>
      <c r="BM1334" s="52">
        <f t="shared" ca="1" si="8366"/>
        <v>942262.24860441603</v>
      </c>
      <c r="BN1334" s="52">
        <f t="shared" ca="1" si="8366"/>
        <v>1182326.0502834048</v>
      </c>
      <c r="BO1334" s="52">
        <f t="shared" ca="1" si="8366"/>
        <v>676292.67303652596</v>
      </c>
      <c r="BP1334" s="52">
        <f t="shared" ca="1" si="8366"/>
        <v>641559.29714262288</v>
      </c>
      <c r="BQ1334" s="52">
        <f t="shared" ca="1" si="8366"/>
        <v>979952.73854859243</v>
      </c>
      <c r="BR1334" s="52">
        <f t="shared" ca="1" si="8366"/>
        <v>1229619.0922947407</v>
      </c>
      <c r="BS1334" s="52">
        <f t="shared" ca="1" si="8366"/>
        <v>703344.37995798665</v>
      </c>
      <c r="BT1334" s="52">
        <f t="shared" ca="1" si="8366"/>
        <v>674635.24312864244</v>
      </c>
      <c r="BU1334" s="52">
        <f t="shared" ca="1" si="8366"/>
        <v>1019150.848090536</v>
      </c>
      <c r="BV1334" s="52">
        <f t="shared" ca="1" si="8366"/>
        <v>1278803.85598653</v>
      </c>
      <c r="BW1334" s="52">
        <f t="shared" ca="1" si="8366"/>
        <v>731478.15515630599</v>
      </c>
      <c r="BX1334" s="52">
        <f t="shared" ref="BX1334:CO1334" ca="1" si="8367">Revenue</f>
        <v>693910.53578946064</v>
      </c>
      <c r="BY1334" s="52">
        <f t="shared" ca="1" si="8367"/>
        <v>1059916.882014157</v>
      </c>
      <c r="BZ1334" s="52">
        <f t="shared" ca="1" si="8367"/>
        <v>1329956.010225991</v>
      </c>
      <c r="CA1334" s="52">
        <f t="shared" ca="1" si="8367"/>
        <v>760737.28136255825</v>
      </c>
      <c r="CB1334" s="52">
        <f t="shared" ca="1" si="8367"/>
        <v>721666.95722103911</v>
      </c>
      <c r="CC1334" s="52">
        <f t="shared" ca="1" si="8367"/>
        <v>1102313.5572947236</v>
      </c>
      <c r="CD1334" s="52">
        <f t="shared" ca="1" si="8367"/>
        <v>1383154.2506350307</v>
      </c>
      <c r="CE1334" s="52">
        <f t="shared" ca="1" si="8367"/>
        <v>791166.77261706057</v>
      </c>
      <c r="CF1334" s="52">
        <f t="shared" ca="1" si="8367"/>
        <v>750533.63550988061</v>
      </c>
      <c r="CG1334" s="52">
        <f t="shared" ca="1" si="8367"/>
        <v>1146406.0995865124</v>
      </c>
      <c r="CH1334" s="52">
        <f t="shared" ca="1" si="8367"/>
        <v>1438480.4206604315</v>
      </c>
      <c r="CI1334" s="52">
        <f t="shared" ca="1" si="8367"/>
        <v>822813.44352174317</v>
      </c>
      <c r="CJ1334" s="52">
        <f t="shared" ca="1" si="8367"/>
        <v>789227.81405172311</v>
      </c>
      <c r="CK1334" s="52">
        <f t="shared" ca="1" si="8367"/>
        <v>1192262.3435699726</v>
      </c>
      <c r="CL1334" s="52">
        <f t="shared" ca="1" si="8367"/>
        <v>1496019.6374868487</v>
      </c>
      <c r="CM1334" s="52">
        <f t="shared" ca="1" si="8367"/>
        <v>855725.98126261262</v>
      </c>
      <c r="CN1334" s="52">
        <f t="shared" ca="1" si="8367"/>
        <v>811777.18016748666</v>
      </c>
      <c r="CO1334" s="52">
        <f t="shared" ca="1" si="8367"/>
        <v>1239952.8373127715</v>
      </c>
    </row>
    <row r="1335" spans="1:93">
      <c r="A1335" s="10"/>
      <c r="B1335" s="10"/>
      <c r="C1335" s="17" t="s">
        <v>303</v>
      </c>
      <c r="D1335" s="10"/>
      <c r="E1335" s="10"/>
      <c r="F1335" s="10"/>
      <c r="G1335" s="134" t="str">
        <f t="shared" si="8364"/>
        <v>тыс. руб.</v>
      </c>
      <c r="H1335" s="10"/>
      <c r="I1335" s="23">
        <f t="shared" ca="1" si="8365"/>
        <v>1857796.0659968609</v>
      </c>
      <c r="J1335" s="10"/>
      <c r="K1335" s="10"/>
      <c r="L1335" s="52">
        <f t="shared" ref="L1335:BW1335" ca="1" si="8368">VAT_Cash_Flow*(VAT_Cash_Flow&gt;0)</f>
        <v>0</v>
      </c>
      <c r="M1335" s="52">
        <f t="shared" ca="1" si="8368"/>
        <v>0</v>
      </c>
      <c r="N1335" s="52">
        <f t="shared" ca="1" si="8368"/>
        <v>0</v>
      </c>
      <c r="O1335" s="52">
        <f t="shared" ca="1" si="8368"/>
        <v>0</v>
      </c>
      <c r="P1335" s="52">
        <f t="shared" ca="1" si="8368"/>
        <v>0</v>
      </c>
      <c r="Q1335" s="52">
        <f t="shared" ca="1" si="8368"/>
        <v>0</v>
      </c>
      <c r="R1335" s="52">
        <f t="shared" ca="1" si="8368"/>
        <v>0</v>
      </c>
      <c r="S1335" s="52">
        <f t="shared" ca="1" si="8368"/>
        <v>0</v>
      </c>
      <c r="T1335" s="52">
        <f t="shared" ca="1" si="8368"/>
        <v>0</v>
      </c>
      <c r="U1335" s="52">
        <f t="shared" ca="1" si="8368"/>
        <v>0</v>
      </c>
      <c r="V1335" s="52">
        <f t="shared" ca="1" si="8368"/>
        <v>0</v>
      </c>
      <c r="W1335" s="52">
        <f t="shared" ca="1" si="8368"/>
        <v>0</v>
      </c>
      <c r="X1335" s="52">
        <f t="shared" ca="1" si="8368"/>
        <v>0</v>
      </c>
      <c r="Y1335" s="52">
        <f t="shared" ca="1" si="8368"/>
        <v>0</v>
      </c>
      <c r="Z1335" s="52">
        <f t="shared" ca="1" si="8368"/>
        <v>0</v>
      </c>
      <c r="AA1335" s="52">
        <f t="shared" ca="1" si="8368"/>
        <v>0</v>
      </c>
      <c r="AB1335" s="52">
        <f t="shared" ca="1" si="8368"/>
        <v>0</v>
      </c>
      <c r="AC1335" s="52">
        <f t="shared" ca="1" si="8368"/>
        <v>795292.67184082465</v>
      </c>
      <c r="AD1335" s="52">
        <f t="shared" ca="1" si="8368"/>
        <v>102752.17962665751</v>
      </c>
      <c r="AE1335" s="52">
        <f t="shared" ca="1" si="8368"/>
        <v>6324.8550992254313</v>
      </c>
      <c r="AF1335" s="52">
        <f t="shared" ca="1" si="8368"/>
        <v>15041.684506971134</v>
      </c>
      <c r="AG1335" s="52">
        <f t="shared" ca="1" si="8368"/>
        <v>0</v>
      </c>
      <c r="AH1335" s="52">
        <f t="shared" ca="1" si="8368"/>
        <v>0</v>
      </c>
      <c r="AI1335" s="52">
        <f t="shared" ca="1" si="8368"/>
        <v>7778.7500474506378</v>
      </c>
      <c r="AJ1335" s="52">
        <f t="shared" ca="1" si="8368"/>
        <v>18085.011595617747</v>
      </c>
      <c r="AK1335" s="52">
        <f t="shared" ca="1" si="8368"/>
        <v>0</v>
      </c>
      <c r="AL1335" s="52">
        <f t="shared" ca="1" si="8368"/>
        <v>0</v>
      </c>
      <c r="AM1335" s="52">
        <f t="shared" ca="1" si="8368"/>
        <v>9338.8368233751535</v>
      </c>
      <c r="AN1335" s="52">
        <f t="shared" ca="1" si="8368"/>
        <v>21029.328368872833</v>
      </c>
      <c r="AO1335" s="52">
        <f t="shared" ca="1" si="8368"/>
        <v>0</v>
      </c>
      <c r="AP1335" s="52">
        <f t="shared" ca="1" si="8368"/>
        <v>0</v>
      </c>
      <c r="AQ1335" s="52">
        <f t="shared" ca="1" si="8368"/>
        <v>12662.666886245715</v>
      </c>
      <c r="AR1335" s="52">
        <f t="shared" ca="1" si="8368"/>
        <v>25748.747842885976</v>
      </c>
      <c r="AS1335" s="52">
        <f t="shared" ca="1" si="8368"/>
        <v>0</v>
      </c>
      <c r="AT1335" s="52">
        <f t="shared" ca="1" si="8368"/>
        <v>0</v>
      </c>
      <c r="AU1335" s="52">
        <f t="shared" ca="1" si="8368"/>
        <v>13169.169139551756</v>
      </c>
      <c r="AV1335" s="52">
        <f t="shared" ca="1" si="8368"/>
        <v>26778.843345517751</v>
      </c>
      <c r="AW1335" s="52">
        <f t="shared" ca="1" si="8368"/>
        <v>113315.68882010193</v>
      </c>
      <c r="AX1335" s="52">
        <f t="shared" ca="1" si="8368"/>
        <v>52159.609287581647</v>
      </c>
      <c r="AY1335" s="52">
        <f t="shared" ca="1" si="8368"/>
        <v>0</v>
      </c>
      <c r="AZ1335" s="52">
        <f t="shared" ca="1" si="8368"/>
        <v>0</v>
      </c>
      <c r="BA1335" s="52">
        <f t="shared" ca="1" si="8368"/>
        <v>28666.720146155043</v>
      </c>
      <c r="BB1335" s="52">
        <f t="shared" ca="1" si="8368"/>
        <v>21149.955313466562</v>
      </c>
      <c r="BC1335" s="52">
        <f t="shared" ca="1" si="8368"/>
        <v>0</v>
      </c>
      <c r="BD1335" s="52">
        <f t="shared" ca="1" si="8368"/>
        <v>0</v>
      </c>
      <c r="BE1335" s="52">
        <f t="shared" ca="1" si="8368"/>
        <v>29185.969060620017</v>
      </c>
      <c r="BF1335" s="52">
        <f t="shared" ca="1" si="8368"/>
        <v>21995.956886645596</v>
      </c>
      <c r="BG1335" s="52">
        <f t="shared" ca="1" si="8368"/>
        <v>0</v>
      </c>
      <c r="BH1335" s="52">
        <f t="shared" ca="1" si="8368"/>
        <v>0</v>
      </c>
      <c r="BI1335" s="52">
        <f t="shared" ca="1" si="8368"/>
        <v>31005.924510081284</v>
      </c>
      <c r="BJ1335" s="52">
        <f t="shared" ca="1" si="8368"/>
        <v>22875.791667045443</v>
      </c>
      <c r="BK1335" s="52">
        <f t="shared" ca="1" si="8368"/>
        <v>0</v>
      </c>
      <c r="BL1335" s="52">
        <f t="shared" ca="1" si="8368"/>
        <v>0</v>
      </c>
      <c r="BM1335" s="52">
        <f t="shared" ca="1" si="8368"/>
        <v>32246.161490484519</v>
      </c>
      <c r="BN1335" s="52">
        <f t="shared" ca="1" si="8368"/>
        <v>23790.823333727283</v>
      </c>
      <c r="BO1335" s="52">
        <f t="shared" ca="1" si="8368"/>
        <v>0</v>
      </c>
      <c r="BP1335" s="52">
        <f t="shared" ca="1" si="8368"/>
        <v>0</v>
      </c>
      <c r="BQ1335" s="52">
        <f t="shared" ca="1" si="8368"/>
        <v>33536.007950103871</v>
      </c>
      <c r="BR1335" s="52">
        <f t="shared" ca="1" si="8368"/>
        <v>24742.456267076399</v>
      </c>
      <c r="BS1335" s="52">
        <f t="shared" ca="1" si="8368"/>
        <v>0</v>
      </c>
      <c r="BT1335" s="52">
        <f t="shared" ca="1" si="8368"/>
        <v>0</v>
      </c>
      <c r="BU1335" s="52">
        <f t="shared" ca="1" si="8368"/>
        <v>34143.455737461496</v>
      </c>
      <c r="BV1335" s="52">
        <f t="shared" ca="1" si="8368"/>
        <v>25732.158449233219</v>
      </c>
      <c r="BW1335" s="52">
        <f t="shared" ca="1" si="8368"/>
        <v>0</v>
      </c>
      <c r="BX1335" s="52">
        <f t="shared" ref="BX1335:CO1335" ca="1" si="8369">VAT_Cash_Flow*(VAT_Cash_Flow&gt;0)</f>
        <v>0</v>
      </c>
      <c r="BY1335" s="52">
        <f t="shared" ca="1" si="8369"/>
        <v>36272.546198832322</v>
      </c>
      <c r="BZ1335" s="52">
        <f t="shared" ca="1" si="8369"/>
        <v>26761.440698469785</v>
      </c>
      <c r="CA1335" s="52">
        <f t="shared" ca="1" si="8369"/>
        <v>0</v>
      </c>
      <c r="CB1335" s="52">
        <f t="shared" ca="1" si="8369"/>
        <v>0</v>
      </c>
      <c r="CC1335" s="52">
        <f t="shared" ca="1" si="8369"/>
        <v>37723.448046785692</v>
      </c>
      <c r="CD1335" s="52">
        <f t="shared" ca="1" si="8369"/>
        <v>27831.898326408584</v>
      </c>
      <c r="CE1335" s="52">
        <f t="shared" ca="1" si="8369"/>
        <v>0</v>
      </c>
      <c r="CF1335" s="52">
        <f t="shared" ca="1" si="8369"/>
        <v>0</v>
      </c>
      <c r="CG1335" s="52">
        <f t="shared" ca="1" si="8369"/>
        <v>39232.38596865708</v>
      </c>
      <c r="CH1335" s="52">
        <f t="shared" ca="1" si="8369"/>
        <v>28945.174259464882</v>
      </c>
      <c r="CI1335" s="52">
        <f t="shared" ca="1" si="8369"/>
        <v>0</v>
      </c>
      <c r="CJ1335" s="52">
        <f t="shared" ca="1" si="8369"/>
        <v>0</v>
      </c>
      <c r="CK1335" s="52">
        <f t="shared" ca="1" si="8369"/>
        <v>39943.013962450466</v>
      </c>
      <c r="CL1335" s="52">
        <f t="shared" ca="1" si="8369"/>
        <v>30102.985829111756</v>
      </c>
      <c r="CM1335" s="52">
        <f t="shared" ca="1" si="8369"/>
        <v>0</v>
      </c>
      <c r="CN1335" s="52">
        <f t="shared" ca="1" si="8369"/>
        <v>0</v>
      </c>
      <c r="CO1335" s="52">
        <f t="shared" ca="1" si="8369"/>
        <v>42433.748663699458</v>
      </c>
    </row>
    <row r="1336" spans="1:93">
      <c r="A1336" s="10"/>
      <c r="B1336" s="10"/>
      <c r="C1336" s="17" t="s">
        <v>471</v>
      </c>
      <c r="D1336" s="10"/>
      <c r="E1336" s="10"/>
      <c r="F1336" s="10"/>
      <c r="G1336" s="134" t="str">
        <f t="shared" si="8364"/>
        <v>тыс. руб.</v>
      </c>
      <c r="H1336" s="10"/>
      <c r="I1336" s="23">
        <f t="shared" si="8365"/>
        <v>4616063.5245886445</v>
      </c>
      <c r="J1336" s="10"/>
      <c r="K1336" s="10"/>
      <c r="L1336" s="52">
        <f t="shared" ref="L1336:BW1336" si="8370">Debt_Drawdown</f>
        <v>0</v>
      </c>
      <c r="M1336" s="52">
        <f t="shared" si="8370"/>
        <v>0</v>
      </c>
      <c r="N1336" s="52">
        <f t="shared" si="8370"/>
        <v>0</v>
      </c>
      <c r="O1336" s="52">
        <f t="shared" si="8370"/>
        <v>0</v>
      </c>
      <c r="P1336" s="52">
        <f t="shared" si="8370"/>
        <v>0</v>
      </c>
      <c r="Q1336" s="52">
        <f t="shared" si="8370"/>
        <v>0</v>
      </c>
      <c r="R1336" s="52">
        <f t="shared" si="8370"/>
        <v>0</v>
      </c>
      <c r="S1336" s="52">
        <f t="shared" si="8370"/>
        <v>93075.219462963287</v>
      </c>
      <c r="T1336" s="52">
        <f t="shared" si="8370"/>
        <v>286615.12444031495</v>
      </c>
      <c r="U1336" s="52">
        <f t="shared" si="8370"/>
        <v>289439.25978450867</v>
      </c>
      <c r="V1336" s="52">
        <f t="shared" si="8370"/>
        <v>292291.22248239798</v>
      </c>
      <c r="W1336" s="52">
        <f t="shared" si="8370"/>
        <v>295171.2867282122</v>
      </c>
      <c r="X1336" s="52">
        <f t="shared" si="8370"/>
        <v>622512.40131001174</v>
      </c>
      <c r="Y1336" s="52">
        <f t="shared" si="8370"/>
        <v>628646.26908189419</v>
      </c>
      <c r="Z1336" s="52">
        <f t="shared" si="8370"/>
        <v>634840.57634665037</v>
      </c>
      <c r="AA1336" s="52">
        <f t="shared" si="8370"/>
        <v>641095.91863917548</v>
      </c>
      <c r="AB1336" s="52">
        <f t="shared" si="8370"/>
        <v>832376.24631251558</v>
      </c>
      <c r="AC1336" s="52">
        <f t="shared" si="8370"/>
        <v>0</v>
      </c>
      <c r="AD1336" s="52">
        <f t="shared" si="8370"/>
        <v>0</v>
      </c>
      <c r="AE1336" s="52">
        <f t="shared" si="8370"/>
        <v>0</v>
      </c>
      <c r="AF1336" s="52">
        <f t="shared" si="8370"/>
        <v>0</v>
      </c>
      <c r="AG1336" s="52">
        <f t="shared" si="8370"/>
        <v>0</v>
      </c>
      <c r="AH1336" s="52">
        <f t="shared" si="8370"/>
        <v>0</v>
      </c>
      <c r="AI1336" s="52">
        <f t="shared" si="8370"/>
        <v>0</v>
      </c>
      <c r="AJ1336" s="52">
        <f t="shared" si="8370"/>
        <v>0</v>
      </c>
      <c r="AK1336" s="52">
        <f t="shared" si="8370"/>
        <v>0</v>
      </c>
      <c r="AL1336" s="52">
        <f t="shared" si="8370"/>
        <v>0</v>
      </c>
      <c r="AM1336" s="52">
        <f t="shared" si="8370"/>
        <v>0</v>
      </c>
      <c r="AN1336" s="52">
        <f t="shared" si="8370"/>
        <v>0</v>
      </c>
      <c r="AO1336" s="52">
        <f t="shared" si="8370"/>
        <v>0</v>
      </c>
      <c r="AP1336" s="52">
        <f t="shared" si="8370"/>
        <v>0</v>
      </c>
      <c r="AQ1336" s="52">
        <f t="shared" si="8370"/>
        <v>0</v>
      </c>
      <c r="AR1336" s="52">
        <f t="shared" si="8370"/>
        <v>0</v>
      </c>
      <c r="AS1336" s="52">
        <f t="shared" si="8370"/>
        <v>0</v>
      </c>
      <c r="AT1336" s="52">
        <f t="shared" si="8370"/>
        <v>0</v>
      </c>
      <c r="AU1336" s="52">
        <f t="shared" si="8370"/>
        <v>0</v>
      </c>
      <c r="AV1336" s="52">
        <f t="shared" si="8370"/>
        <v>0</v>
      </c>
      <c r="AW1336" s="52">
        <f t="shared" si="8370"/>
        <v>0</v>
      </c>
      <c r="AX1336" s="52">
        <f t="shared" si="8370"/>
        <v>0</v>
      </c>
      <c r="AY1336" s="52">
        <f t="shared" si="8370"/>
        <v>0</v>
      </c>
      <c r="AZ1336" s="52">
        <f t="shared" si="8370"/>
        <v>0</v>
      </c>
      <c r="BA1336" s="52">
        <f t="shared" si="8370"/>
        <v>0</v>
      </c>
      <c r="BB1336" s="52">
        <f t="shared" si="8370"/>
        <v>0</v>
      </c>
      <c r="BC1336" s="52">
        <f t="shared" si="8370"/>
        <v>0</v>
      </c>
      <c r="BD1336" s="52">
        <f t="shared" si="8370"/>
        <v>0</v>
      </c>
      <c r="BE1336" s="52">
        <f t="shared" si="8370"/>
        <v>0</v>
      </c>
      <c r="BF1336" s="52">
        <f t="shared" si="8370"/>
        <v>0</v>
      </c>
      <c r="BG1336" s="52">
        <f t="shared" si="8370"/>
        <v>0</v>
      </c>
      <c r="BH1336" s="52">
        <f t="shared" si="8370"/>
        <v>0</v>
      </c>
      <c r="BI1336" s="52">
        <f t="shared" si="8370"/>
        <v>0</v>
      </c>
      <c r="BJ1336" s="52">
        <f t="shared" si="8370"/>
        <v>0</v>
      </c>
      <c r="BK1336" s="52">
        <f t="shared" si="8370"/>
        <v>0</v>
      </c>
      <c r="BL1336" s="52">
        <f t="shared" si="8370"/>
        <v>0</v>
      </c>
      <c r="BM1336" s="52">
        <f t="shared" si="8370"/>
        <v>0</v>
      </c>
      <c r="BN1336" s="52">
        <f t="shared" si="8370"/>
        <v>0</v>
      </c>
      <c r="BO1336" s="52">
        <f t="shared" si="8370"/>
        <v>0</v>
      </c>
      <c r="BP1336" s="52">
        <f t="shared" si="8370"/>
        <v>0</v>
      </c>
      <c r="BQ1336" s="52">
        <f t="shared" si="8370"/>
        <v>0</v>
      </c>
      <c r="BR1336" s="52">
        <f t="shared" si="8370"/>
        <v>0</v>
      </c>
      <c r="BS1336" s="52">
        <f t="shared" si="8370"/>
        <v>0</v>
      </c>
      <c r="BT1336" s="52">
        <f t="shared" si="8370"/>
        <v>0</v>
      </c>
      <c r="BU1336" s="52">
        <f t="shared" si="8370"/>
        <v>0</v>
      </c>
      <c r="BV1336" s="52">
        <f t="shared" si="8370"/>
        <v>0</v>
      </c>
      <c r="BW1336" s="52">
        <f t="shared" si="8370"/>
        <v>0</v>
      </c>
      <c r="BX1336" s="52">
        <f t="shared" ref="BX1336:CO1336" si="8371">Debt_Drawdown</f>
        <v>0</v>
      </c>
      <c r="BY1336" s="52">
        <f t="shared" si="8371"/>
        <v>0</v>
      </c>
      <c r="BZ1336" s="52">
        <f t="shared" si="8371"/>
        <v>0</v>
      </c>
      <c r="CA1336" s="52">
        <f t="shared" si="8371"/>
        <v>0</v>
      </c>
      <c r="CB1336" s="52">
        <f t="shared" si="8371"/>
        <v>0</v>
      </c>
      <c r="CC1336" s="52">
        <f t="shared" si="8371"/>
        <v>0</v>
      </c>
      <c r="CD1336" s="52">
        <f t="shared" si="8371"/>
        <v>0</v>
      </c>
      <c r="CE1336" s="52">
        <f t="shared" si="8371"/>
        <v>0</v>
      </c>
      <c r="CF1336" s="52">
        <f t="shared" si="8371"/>
        <v>0</v>
      </c>
      <c r="CG1336" s="52">
        <f t="shared" si="8371"/>
        <v>0</v>
      </c>
      <c r="CH1336" s="52">
        <f t="shared" si="8371"/>
        <v>0</v>
      </c>
      <c r="CI1336" s="52">
        <f t="shared" si="8371"/>
        <v>0</v>
      </c>
      <c r="CJ1336" s="52">
        <f t="shared" si="8371"/>
        <v>0</v>
      </c>
      <c r="CK1336" s="52">
        <f t="shared" si="8371"/>
        <v>0</v>
      </c>
      <c r="CL1336" s="52">
        <f t="shared" si="8371"/>
        <v>0</v>
      </c>
      <c r="CM1336" s="52">
        <f t="shared" si="8371"/>
        <v>0</v>
      </c>
      <c r="CN1336" s="52">
        <f t="shared" si="8371"/>
        <v>0</v>
      </c>
      <c r="CO1336" s="52">
        <f t="shared" si="8371"/>
        <v>0</v>
      </c>
    </row>
    <row r="1337" spans="1:93">
      <c r="A1337" s="10"/>
      <c r="B1337" s="10"/>
      <c r="C1337" s="17" t="s">
        <v>472</v>
      </c>
      <c r="D1337" s="10"/>
      <c r="E1337" s="10"/>
      <c r="F1337" s="10"/>
      <c r="G1337" s="134" t="str">
        <f t="shared" si="8364"/>
        <v>тыс. руб.</v>
      </c>
      <c r="H1337" s="10"/>
      <c r="I1337" s="23">
        <f t="shared" si="8365"/>
        <v>1409395.9556502979</v>
      </c>
      <c r="J1337" s="10"/>
      <c r="K1337" s="10"/>
      <c r="L1337" s="52">
        <f t="shared" ref="L1337:BW1337" si="8372">Equity_Drawdown</f>
        <v>31406.153379286916</v>
      </c>
      <c r="M1337" s="52">
        <f t="shared" si="8372"/>
        <v>31851.960190507532</v>
      </c>
      <c r="N1337" s="52">
        <f t="shared" si="8372"/>
        <v>32304.095179220327</v>
      </c>
      <c r="O1337" s="52">
        <f t="shared" si="8372"/>
        <v>32762.648173192309</v>
      </c>
      <c r="P1337" s="52">
        <f t="shared" si="8372"/>
        <v>275591.46580799518</v>
      </c>
      <c r="Q1337" s="52">
        <f t="shared" si="8372"/>
        <v>278306.9805620276</v>
      </c>
      <c r="R1337" s="52">
        <f t="shared" si="8372"/>
        <v>281049.25238692126</v>
      </c>
      <c r="S1337" s="52">
        <f t="shared" si="8372"/>
        <v>191482.31721048584</v>
      </c>
      <c r="T1337" s="52">
        <f t="shared" si="8372"/>
        <v>6580.6543476469105</v>
      </c>
      <c r="U1337" s="52">
        <f t="shared" si="8372"/>
        <v>10424.828632825871</v>
      </c>
      <c r="V1337" s="52">
        <f t="shared" si="8372"/>
        <v>14389.449341359013</v>
      </c>
      <c r="W1337" s="52">
        <f t="shared" si="8372"/>
        <v>18277.447721111192</v>
      </c>
      <c r="X1337" s="52">
        <f t="shared" si="8372"/>
        <v>24140.856838778414</v>
      </c>
      <c r="Y1337" s="52">
        <f t="shared" si="8372"/>
        <v>32309.00587388641</v>
      </c>
      <c r="Z1337" s="52">
        <f t="shared" si="8372"/>
        <v>41003.327342873301</v>
      </c>
      <c r="AA1337" s="52">
        <f t="shared" si="8372"/>
        <v>49424.775082291708</v>
      </c>
      <c r="AB1337" s="52">
        <f t="shared" si="8372"/>
        <v>58090.737579888082</v>
      </c>
      <c r="AC1337" s="52">
        <f t="shared" si="8372"/>
        <v>0</v>
      </c>
      <c r="AD1337" s="52">
        <f t="shared" si="8372"/>
        <v>0</v>
      </c>
      <c r="AE1337" s="52">
        <f t="shared" si="8372"/>
        <v>0</v>
      </c>
      <c r="AF1337" s="52">
        <f t="shared" si="8372"/>
        <v>0</v>
      </c>
      <c r="AG1337" s="52">
        <f t="shared" si="8372"/>
        <v>0</v>
      </c>
      <c r="AH1337" s="52">
        <f t="shared" si="8372"/>
        <v>0</v>
      </c>
      <c r="AI1337" s="52">
        <f t="shared" si="8372"/>
        <v>0</v>
      </c>
      <c r="AJ1337" s="52">
        <f t="shared" si="8372"/>
        <v>0</v>
      </c>
      <c r="AK1337" s="52">
        <f t="shared" si="8372"/>
        <v>0</v>
      </c>
      <c r="AL1337" s="52">
        <f t="shared" si="8372"/>
        <v>0</v>
      </c>
      <c r="AM1337" s="52">
        <f t="shared" si="8372"/>
        <v>0</v>
      </c>
      <c r="AN1337" s="52">
        <f t="shared" si="8372"/>
        <v>0</v>
      </c>
      <c r="AO1337" s="52">
        <f t="shared" si="8372"/>
        <v>0</v>
      </c>
      <c r="AP1337" s="52">
        <f t="shared" si="8372"/>
        <v>0</v>
      </c>
      <c r="AQ1337" s="52">
        <f t="shared" si="8372"/>
        <v>0</v>
      </c>
      <c r="AR1337" s="52">
        <f t="shared" si="8372"/>
        <v>0</v>
      </c>
      <c r="AS1337" s="52">
        <f t="shared" si="8372"/>
        <v>0</v>
      </c>
      <c r="AT1337" s="52">
        <f t="shared" si="8372"/>
        <v>0</v>
      </c>
      <c r="AU1337" s="52">
        <f t="shared" si="8372"/>
        <v>0</v>
      </c>
      <c r="AV1337" s="52">
        <f t="shared" si="8372"/>
        <v>0</v>
      </c>
      <c r="AW1337" s="52">
        <f t="shared" si="8372"/>
        <v>0</v>
      </c>
      <c r="AX1337" s="52">
        <f t="shared" si="8372"/>
        <v>0</v>
      </c>
      <c r="AY1337" s="52">
        <f t="shared" si="8372"/>
        <v>0</v>
      </c>
      <c r="AZ1337" s="52">
        <f t="shared" si="8372"/>
        <v>0</v>
      </c>
      <c r="BA1337" s="52">
        <f t="shared" si="8372"/>
        <v>0</v>
      </c>
      <c r="BB1337" s="52">
        <f t="shared" si="8372"/>
        <v>0</v>
      </c>
      <c r="BC1337" s="52">
        <f t="shared" si="8372"/>
        <v>0</v>
      </c>
      <c r="BD1337" s="52">
        <f t="shared" si="8372"/>
        <v>0</v>
      </c>
      <c r="BE1337" s="52">
        <f t="shared" si="8372"/>
        <v>0</v>
      </c>
      <c r="BF1337" s="52">
        <f t="shared" si="8372"/>
        <v>0</v>
      </c>
      <c r="BG1337" s="52">
        <f t="shared" si="8372"/>
        <v>0</v>
      </c>
      <c r="BH1337" s="52">
        <f t="shared" si="8372"/>
        <v>0</v>
      </c>
      <c r="BI1337" s="52">
        <f t="shared" si="8372"/>
        <v>0</v>
      </c>
      <c r="BJ1337" s="52">
        <f t="shared" si="8372"/>
        <v>0</v>
      </c>
      <c r="BK1337" s="52">
        <f t="shared" si="8372"/>
        <v>0</v>
      </c>
      <c r="BL1337" s="52">
        <f t="shared" si="8372"/>
        <v>0</v>
      </c>
      <c r="BM1337" s="52">
        <f t="shared" si="8372"/>
        <v>0</v>
      </c>
      <c r="BN1337" s="52">
        <f t="shared" si="8372"/>
        <v>0</v>
      </c>
      <c r="BO1337" s="52">
        <f t="shared" si="8372"/>
        <v>0</v>
      </c>
      <c r="BP1337" s="52">
        <f t="shared" si="8372"/>
        <v>0</v>
      </c>
      <c r="BQ1337" s="52">
        <f t="shared" si="8372"/>
        <v>0</v>
      </c>
      <c r="BR1337" s="52">
        <f t="shared" si="8372"/>
        <v>0</v>
      </c>
      <c r="BS1337" s="52">
        <f t="shared" si="8372"/>
        <v>0</v>
      </c>
      <c r="BT1337" s="52">
        <f t="shared" si="8372"/>
        <v>0</v>
      </c>
      <c r="BU1337" s="52">
        <f t="shared" si="8372"/>
        <v>0</v>
      </c>
      <c r="BV1337" s="52">
        <f t="shared" si="8372"/>
        <v>0</v>
      </c>
      <c r="BW1337" s="52">
        <f t="shared" si="8372"/>
        <v>0</v>
      </c>
      <c r="BX1337" s="52">
        <f t="shared" ref="BX1337:CO1337" si="8373">Equity_Drawdown</f>
        <v>0</v>
      </c>
      <c r="BY1337" s="52">
        <f t="shared" si="8373"/>
        <v>0</v>
      </c>
      <c r="BZ1337" s="52">
        <f t="shared" si="8373"/>
        <v>0</v>
      </c>
      <c r="CA1337" s="52">
        <f t="shared" si="8373"/>
        <v>0</v>
      </c>
      <c r="CB1337" s="52">
        <f t="shared" si="8373"/>
        <v>0</v>
      </c>
      <c r="CC1337" s="52">
        <f t="shared" si="8373"/>
        <v>0</v>
      </c>
      <c r="CD1337" s="52">
        <f t="shared" si="8373"/>
        <v>0</v>
      </c>
      <c r="CE1337" s="52">
        <f t="shared" si="8373"/>
        <v>0</v>
      </c>
      <c r="CF1337" s="52">
        <f t="shared" si="8373"/>
        <v>0</v>
      </c>
      <c r="CG1337" s="52">
        <f t="shared" si="8373"/>
        <v>0</v>
      </c>
      <c r="CH1337" s="52">
        <f t="shared" si="8373"/>
        <v>0</v>
      </c>
      <c r="CI1337" s="52">
        <f t="shared" si="8373"/>
        <v>0</v>
      </c>
      <c r="CJ1337" s="52">
        <f t="shared" si="8373"/>
        <v>0</v>
      </c>
      <c r="CK1337" s="52">
        <f t="shared" si="8373"/>
        <v>0</v>
      </c>
      <c r="CL1337" s="52">
        <f t="shared" si="8373"/>
        <v>0</v>
      </c>
      <c r="CM1337" s="52">
        <f t="shared" si="8373"/>
        <v>0</v>
      </c>
      <c r="CN1337" s="52">
        <f t="shared" si="8373"/>
        <v>0</v>
      </c>
      <c r="CO1337" s="52">
        <f t="shared" si="8373"/>
        <v>0</v>
      </c>
    </row>
    <row r="1338" spans="1:93">
      <c r="A1338" s="10"/>
      <c r="B1338" s="10"/>
      <c r="C1338" s="17" t="s">
        <v>359</v>
      </c>
      <c r="D1338" s="10"/>
      <c r="E1338" s="10"/>
      <c r="F1338" s="10"/>
      <c r="G1338" s="134" t="str">
        <f t="shared" si="8364"/>
        <v>тыс. руб.</v>
      </c>
      <c r="H1338" s="10"/>
      <c r="I1338" s="23">
        <f t="shared" ca="1" si="8365"/>
        <v>80081.617035734249</v>
      </c>
      <c r="J1338" s="10"/>
      <c r="K1338" s="10"/>
      <c r="L1338" s="52">
        <f t="shared" ref="L1338:BW1338" ca="1" si="8374">Subord_Drawdown</f>
        <v>0</v>
      </c>
      <c r="M1338" s="52">
        <f t="shared" ca="1" si="8374"/>
        <v>0</v>
      </c>
      <c r="N1338" s="52">
        <f t="shared" ca="1" si="8374"/>
        <v>0</v>
      </c>
      <c r="O1338" s="52">
        <f t="shared" ca="1" si="8374"/>
        <v>0</v>
      </c>
      <c r="P1338" s="52">
        <f t="shared" ca="1" si="8374"/>
        <v>0</v>
      </c>
      <c r="Q1338" s="52">
        <f t="shared" ca="1" si="8374"/>
        <v>0</v>
      </c>
      <c r="R1338" s="52">
        <f t="shared" ca="1" si="8374"/>
        <v>0</v>
      </c>
      <c r="S1338" s="52">
        <f t="shared" ca="1" si="8374"/>
        <v>0</v>
      </c>
      <c r="T1338" s="52">
        <f t="shared" ca="1" si="8374"/>
        <v>0</v>
      </c>
      <c r="U1338" s="52">
        <f t="shared" ca="1" si="8374"/>
        <v>0</v>
      </c>
      <c r="V1338" s="52">
        <f t="shared" ca="1" si="8374"/>
        <v>0</v>
      </c>
      <c r="W1338" s="52">
        <f t="shared" ca="1" si="8374"/>
        <v>0</v>
      </c>
      <c r="X1338" s="52">
        <f t="shared" ca="1" si="8374"/>
        <v>0</v>
      </c>
      <c r="Y1338" s="52">
        <f t="shared" ca="1" si="8374"/>
        <v>0</v>
      </c>
      <c r="Z1338" s="52">
        <f t="shared" ca="1" si="8374"/>
        <v>0</v>
      </c>
      <c r="AA1338" s="52">
        <f t="shared" ca="1" si="8374"/>
        <v>0</v>
      </c>
      <c r="AB1338" s="52">
        <f t="shared" ca="1" si="8374"/>
        <v>0</v>
      </c>
      <c r="AC1338" s="52">
        <f t="shared" ca="1" si="8374"/>
        <v>0</v>
      </c>
      <c r="AD1338" s="52">
        <f t="shared" ca="1" si="8374"/>
        <v>0</v>
      </c>
      <c r="AE1338" s="52">
        <f t="shared" ca="1" si="8374"/>
        <v>0</v>
      </c>
      <c r="AF1338" s="52">
        <f t="shared" ca="1" si="8374"/>
        <v>0</v>
      </c>
      <c r="AG1338" s="52">
        <f t="shared" ca="1" si="8374"/>
        <v>0</v>
      </c>
      <c r="AH1338" s="52">
        <f t="shared" ca="1" si="8374"/>
        <v>0</v>
      </c>
      <c r="AI1338" s="52">
        <f t="shared" ca="1" si="8374"/>
        <v>0</v>
      </c>
      <c r="AJ1338" s="52">
        <f t="shared" ca="1" si="8374"/>
        <v>0</v>
      </c>
      <c r="AK1338" s="52">
        <f t="shared" ca="1" si="8374"/>
        <v>0</v>
      </c>
      <c r="AL1338" s="52">
        <f t="shared" ca="1" si="8374"/>
        <v>0</v>
      </c>
      <c r="AM1338" s="52">
        <f t="shared" ca="1" si="8374"/>
        <v>0</v>
      </c>
      <c r="AN1338" s="52">
        <f t="shared" ca="1" si="8374"/>
        <v>0</v>
      </c>
      <c r="AO1338" s="52">
        <f t="shared" ca="1" si="8374"/>
        <v>0</v>
      </c>
      <c r="AP1338" s="52">
        <f t="shared" ca="1" si="8374"/>
        <v>0</v>
      </c>
      <c r="AQ1338" s="52">
        <f t="shared" ca="1" si="8374"/>
        <v>0</v>
      </c>
      <c r="AR1338" s="52">
        <f t="shared" ca="1" si="8374"/>
        <v>0</v>
      </c>
      <c r="AS1338" s="52">
        <f t="shared" ca="1" si="8374"/>
        <v>0</v>
      </c>
      <c r="AT1338" s="52">
        <f t="shared" ca="1" si="8374"/>
        <v>0</v>
      </c>
      <c r="AU1338" s="52">
        <f t="shared" ca="1" si="8374"/>
        <v>0</v>
      </c>
      <c r="AV1338" s="52">
        <f t="shared" ca="1" si="8374"/>
        <v>0</v>
      </c>
      <c r="AW1338" s="52">
        <f t="shared" ca="1" si="8374"/>
        <v>0</v>
      </c>
      <c r="AX1338" s="52">
        <f t="shared" ca="1" si="8374"/>
        <v>0</v>
      </c>
      <c r="AY1338" s="52">
        <f t="shared" ca="1" si="8374"/>
        <v>0</v>
      </c>
      <c r="AZ1338" s="52">
        <f t="shared" ca="1" si="8374"/>
        <v>42890.270483924673</v>
      </c>
      <c r="BA1338" s="52">
        <f t="shared" ca="1" si="8374"/>
        <v>1307.0405516153842</v>
      </c>
      <c r="BB1338" s="52">
        <f t="shared" ca="1" si="8374"/>
        <v>0</v>
      </c>
      <c r="BC1338" s="52">
        <f t="shared" ca="1" si="8374"/>
        <v>0</v>
      </c>
      <c r="BD1338" s="52">
        <f t="shared" ca="1" si="8374"/>
        <v>35884.306000194192</v>
      </c>
      <c r="BE1338" s="52">
        <f t="shared" ca="1" si="8374"/>
        <v>0</v>
      </c>
      <c r="BF1338" s="52">
        <f t="shared" ca="1" si="8374"/>
        <v>0</v>
      </c>
      <c r="BG1338" s="52">
        <f t="shared" ca="1" si="8374"/>
        <v>0</v>
      </c>
      <c r="BH1338" s="52">
        <f t="shared" ca="1" si="8374"/>
        <v>0</v>
      </c>
      <c r="BI1338" s="52">
        <f t="shared" ca="1" si="8374"/>
        <v>0</v>
      </c>
      <c r="BJ1338" s="52">
        <f t="shared" ca="1" si="8374"/>
        <v>0</v>
      </c>
      <c r="BK1338" s="52">
        <f t="shared" ca="1" si="8374"/>
        <v>0</v>
      </c>
      <c r="BL1338" s="52">
        <f t="shared" ca="1" si="8374"/>
        <v>0</v>
      </c>
      <c r="BM1338" s="52">
        <f t="shared" ca="1" si="8374"/>
        <v>0</v>
      </c>
      <c r="BN1338" s="52">
        <f t="shared" ca="1" si="8374"/>
        <v>0</v>
      </c>
      <c r="BO1338" s="52">
        <f t="shared" ca="1" si="8374"/>
        <v>0</v>
      </c>
      <c r="BP1338" s="52">
        <f t="shared" ca="1" si="8374"/>
        <v>0</v>
      </c>
      <c r="BQ1338" s="52">
        <f t="shared" ca="1" si="8374"/>
        <v>0</v>
      </c>
      <c r="BR1338" s="52">
        <f t="shared" ca="1" si="8374"/>
        <v>0</v>
      </c>
      <c r="BS1338" s="52">
        <f t="shared" ca="1" si="8374"/>
        <v>0</v>
      </c>
      <c r="BT1338" s="52">
        <f t="shared" ca="1" si="8374"/>
        <v>0</v>
      </c>
      <c r="BU1338" s="52">
        <f t="shared" ca="1" si="8374"/>
        <v>0</v>
      </c>
      <c r="BV1338" s="52">
        <f t="shared" ca="1" si="8374"/>
        <v>0</v>
      </c>
      <c r="BW1338" s="52">
        <f t="shared" ca="1" si="8374"/>
        <v>0</v>
      </c>
      <c r="BX1338" s="52">
        <f t="shared" ref="BX1338:CO1338" ca="1" si="8375">Subord_Drawdown</f>
        <v>0</v>
      </c>
      <c r="BY1338" s="52">
        <f t="shared" ca="1" si="8375"/>
        <v>0</v>
      </c>
      <c r="BZ1338" s="52">
        <f t="shared" ca="1" si="8375"/>
        <v>0</v>
      </c>
      <c r="CA1338" s="52">
        <f t="shared" ca="1" si="8375"/>
        <v>0</v>
      </c>
      <c r="CB1338" s="52">
        <f t="shared" ca="1" si="8375"/>
        <v>0</v>
      </c>
      <c r="CC1338" s="52">
        <f t="shared" ca="1" si="8375"/>
        <v>0</v>
      </c>
      <c r="CD1338" s="52">
        <f t="shared" ca="1" si="8375"/>
        <v>0</v>
      </c>
      <c r="CE1338" s="52">
        <f t="shared" ca="1" si="8375"/>
        <v>0</v>
      </c>
      <c r="CF1338" s="52">
        <f t="shared" ca="1" si="8375"/>
        <v>0</v>
      </c>
      <c r="CG1338" s="52">
        <f t="shared" ca="1" si="8375"/>
        <v>0</v>
      </c>
      <c r="CH1338" s="52">
        <f t="shared" ca="1" si="8375"/>
        <v>0</v>
      </c>
      <c r="CI1338" s="52">
        <f t="shared" ca="1" si="8375"/>
        <v>0</v>
      </c>
      <c r="CJ1338" s="52">
        <f t="shared" ca="1" si="8375"/>
        <v>0</v>
      </c>
      <c r="CK1338" s="52">
        <f t="shared" ca="1" si="8375"/>
        <v>0</v>
      </c>
      <c r="CL1338" s="52">
        <f t="shared" ca="1" si="8375"/>
        <v>0</v>
      </c>
      <c r="CM1338" s="52">
        <f t="shared" ca="1" si="8375"/>
        <v>0</v>
      </c>
      <c r="CN1338" s="52">
        <f t="shared" ca="1" si="8375"/>
        <v>0</v>
      </c>
      <c r="CO1338" s="52">
        <f t="shared" ca="1" si="8375"/>
        <v>0</v>
      </c>
    </row>
    <row r="1339" spans="1:93">
      <c r="A1339" s="10"/>
      <c r="B1339" s="10"/>
      <c r="C1339" s="17" t="s">
        <v>215</v>
      </c>
      <c r="D1339" s="10"/>
      <c r="E1339" s="10"/>
      <c r="F1339" s="10"/>
      <c r="G1339" s="134" t="str">
        <f t="shared" si="8364"/>
        <v>тыс. руб.</v>
      </c>
      <c r="H1339" s="10"/>
      <c r="I1339" s="23">
        <f t="shared" ca="1" si="8365"/>
        <v>1713186.7898648428</v>
      </c>
      <c r="J1339" s="10"/>
      <c r="K1339" s="10"/>
      <c r="L1339" s="52">
        <f t="shared" ref="L1339:BW1339" ca="1" si="8376">WC_Cash_Flow*(WC_Cash_Flow&gt;0)</f>
        <v>0</v>
      </c>
      <c r="M1339" s="52">
        <f t="shared" ca="1" si="8376"/>
        <v>0</v>
      </c>
      <c r="N1339" s="52">
        <f t="shared" ca="1" si="8376"/>
        <v>0</v>
      </c>
      <c r="O1339" s="52">
        <f t="shared" ca="1" si="8376"/>
        <v>0</v>
      </c>
      <c r="P1339" s="52">
        <f t="shared" ca="1" si="8376"/>
        <v>0</v>
      </c>
      <c r="Q1339" s="52">
        <f t="shared" ca="1" si="8376"/>
        <v>0</v>
      </c>
      <c r="R1339" s="52">
        <f t="shared" ca="1" si="8376"/>
        <v>0</v>
      </c>
      <c r="S1339" s="52">
        <f t="shared" ca="1" si="8376"/>
        <v>0</v>
      </c>
      <c r="T1339" s="52">
        <f t="shared" ca="1" si="8376"/>
        <v>0</v>
      </c>
      <c r="U1339" s="52">
        <f t="shared" ca="1" si="8376"/>
        <v>0</v>
      </c>
      <c r="V1339" s="52">
        <f t="shared" ca="1" si="8376"/>
        <v>0</v>
      </c>
      <c r="W1339" s="52">
        <f t="shared" ca="1" si="8376"/>
        <v>0</v>
      </c>
      <c r="X1339" s="52">
        <f t="shared" ca="1" si="8376"/>
        <v>0</v>
      </c>
      <c r="Y1339" s="52">
        <f t="shared" ca="1" si="8376"/>
        <v>0</v>
      </c>
      <c r="Z1339" s="52">
        <f t="shared" ca="1" si="8376"/>
        <v>0</v>
      </c>
      <c r="AA1339" s="52">
        <f t="shared" ca="1" si="8376"/>
        <v>0</v>
      </c>
      <c r="AB1339" s="52">
        <f t="shared" ca="1" si="8376"/>
        <v>0</v>
      </c>
      <c r="AC1339" s="52">
        <f t="shared" ca="1" si="8376"/>
        <v>0</v>
      </c>
      <c r="AD1339" s="52">
        <f t="shared" ca="1" si="8376"/>
        <v>0</v>
      </c>
      <c r="AE1339" s="52">
        <f t="shared" ca="1" si="8376"/>
        <v>63929.070751712134</v>
      </c>
      <c r="AF1339" s="52">
        <f t="shared" ca="1" si="8376"/>
        <v>0</v>
      </c>
      <c r="AG1339" s="52">
        <f t="shared" ca="1" si="8376"/>
        <v>0</v>
      </c>
      <c r="AH1339" s="52">
        <f t="shared" ca="1" si="8376"/>
        <v>0</v>
      </c>
      <c r="AI1339" s="52">
        <f t="shared" ca="1" si="8376"/>
        <v>76460.280485939467</v>
      </c>
      <c r="AJ1339" s="52">
        <f t="shared" ca="1" si="8376"/>
        <v>98.484251999761909</v>
      </c>
      <c r="AK1339" s="52">
        <f t="shared" ca="1" si="8376"/>
        <v>0</v>
      </c>
      <c r="AL1339" s="52">
        <f t="shared" ca="1" si="8376"/>
        <v>0</v>
      </c>
      <c r="AM1339" s="52">
        <f t="shared" ca="1" si="8376"/>
        <v>89891.700485701382</v>
      </c>
      <c r="AN1339" s="52">
        <f t="shared" ca="1" si="8376"/>
        <v>522.05268826289102</v>
      </c>
      <c r="AO1339" s="52">
        <f t="shared" ca="1" si="8376"/>
        <v>0</v>
      </c>
      <c r="AP1339" s="52">
        <f t="shared" ca="1" si="8376"/>
        <v>0</v>
      </c>
      <c r="AQ1339" s="52">
        <f t="shared" ca="1" si="8376"/>
        <v>105182.71947060019</v>
      </c>
      <c r="AR1339" s="52">
        <f t="shared" ca="1" si="8376"/>
        <v>4256.704317794065</v>
      </c>
      <c r="AS1339" s="52">
        <f t="shared" ca="1" si="8376"/>
        <v>0</v>
      </c>
      <c r="AT1339" s="52">
        <f t="shared" ca="1" si="8376"/>
        <v>0</v>
      </c>
      <c r="AU1339" s="52">
        <f t="shared" ca="1" si="8376"/>
        <v>109390.02941889165</v>
      </c>
      <c r="AV1339" s="52">
        <f t="shared" ca="1" si="8376"/>
        <v>4426.8526344216079</v>
      </c>
      <c r="AW1339" s="52">
        <f t="shared" ca="1" si="8376"/>
        <v>0</v>
      </c>
      <c r="AX1339" s="52">
        <f t="shared" ca="1" si="8376"/>
        <v>0</v>
      </c>
      <c r="AY1339" s="52">
        <f t="shared" ca="1" si="8376"/>
        <v>89724.666621566168</v>
      </c>
      <c r="AZ1339" s="52">
        <f t="shared" ca="1" si="8376"/>
        <v>3631.1156881273491</v>
      </c>
      <c r="BA1339" s="52">
        <f t="shared" ca="1" si="8376"/>
        <v>0</v>
      </c>
      <c r="BB1339" s="52">
        <f t="shared" ca="1" si="8376"/>
        <v>0</v>
      </c>
      <c r="BC1339" s="52">
        <f t="shared" ca="1" si="8376"/>
        <v>93313.653286428773</v>
      </c>
      <c r="BD1339" s="52">
        <f t="shared" ca="1" si="8376"/>
        <v>3776.2294019522378</v>
      </c>
      <c r="BE1339" s="52">
        <f t="shared" ca="1" si="8376"/>
        <v>0</v>
      </c>
      <c r="BF1339" s="52">
        <f t="shared" ca="1" si="8376"/>
        <v>0</v>
      </c>
      <c r="BG1339" s="52">
        <f t="shared" ca="1" si="8376"/>
        <v>97046.198102394235</v>
      </c>
      <c r="BH1339" s="52">
        <f t="shared" ca="1" si="8376"/>
        <v>3927.5495500724646</v>
      </c>
      <c r="BI1339" s="52">
        <f t="shared" ca="1" si="8376"/>
        <v>0</v>
      </c>
      <c r="BJ1339" s="52">
        <f t="shared" ca="1" si="8376"/>
        <v>0</v>
      </c>
      <c r="BK1339" s="52">
        <f t="shared" ca="1" si="8376"/>
        <v>100928.0473946014</v>
      </c>
      <c r="BL1339" s="52">
        <f t="shared" ca="1" si="8376"/>
        <v>4084.5113174094586</v>
      </c>
      <c r="BM1339" s="52">
        <f t="shared" ca="1" si="8376"/>
        <v>0</v>
      </c>
      <c r="BN1339" s="52">
        <f t="shared" ca="1" si="8376"/>
        <v>0</v>
      </c>
      <c r="BO1339" s="52">
        <f t="shared" ca="1" si="8376"/>
        <v>104965.16929038509</v>
      </c>
      <c r="BP1339" s="52">
        <f t="shared" ca="1" si="8376"/>
        <v>4247.8917701060418</v>
      </c>
      <c r="BQ1339" s="52">
        <f t="shared" ca="1" si="8376"/>
        <v>0</v>
      </c>
      <c r="BR1339" s="52">
        <f t="shared" ca="1" si="8376"/>
        <v>0</v>
      </c>
      <c r="BS1339" s="52">
        <f t="shared" ca="1" si="8376"/>
        <v>109163.77606200078</v>
      </c>
      <c r="BT1339" s="52">
        <f t="shared" ca="1" si="8376"/>
        <v>4417.6542903974769</v>
      </c>
      <c r="BU1339" s="52">
        <f t="shared" ca="1" si="8376"/>
        <v>0</v>
      </c>
      <c r="BV1339" s="52">
        <f t="shared" ca="1" si="8376"/>
        <v>0</v>
      </c>
      <c r="BW1339" s="52">
        <f t="shared" ca="1" si="8376"/>
        <v>113530.32556554116</v>
      </c>
      <c r="BX1339" s="52">
        <f t="shared" ref="BX1339:CO1339" ca="1" si="8377">WC_Cash_Flow*(WC_Cash_Flow&gt;0)</f>
        <v>4594.6774609764107</v>
      </c>
      <c r="BY1339" s="52">
        <f t="shared" ca="1" si="8377"/>
        <v>0</v>
      </c>
      <c r="BZ1339" s="52">
        <f t="shared" ca="1" si="8377"/>
        <v>0</v>
      </c>
      <c r="CA1339" s="52">
        <f t="shared" ca="1" si="8377"/>
        <v>118071.5401886598</v>
      </c>
      <c r="CB1339" s="52">
        <f t="shared" ca="1" si="8377"/>
        <v>4778.3005280884681</v>
      </c>
      <c r="CC1339" s="52">
        <f t="shared" ca="1" si="8377"/>
        <v>0</v>
      </c>
      <c r="CD1339" s="52">
        <f t="shared" ca="1" si="8377"/>
        <v>0</v>
      </c>
      <c r="CE1339" s="52">
        <f t="shared" ca="1" si="8377"/>
        <v>122794.40179620578</v>
      </c>
      <c r="CF1339" s="52">
        <f t="shared" ca="1" si="8377"/>
        <v>4969.4325492122443</v>
      </c>
      <c r="CG1339" s="52">
        <f t="shared" ca="1" si="8377"/>
        <v>0</v>
      </c>
      <c r="CH1339" s="52">
        <f t="shared" ca="1" si="8377"/>
        <v>0</v>
      </c>
      <c r="CI1339" s="52">
        <f t="shared" ca="1" si="8377"/>
        <v>127706.17786805471</v>
      </c>
      <c r="CJ1339" s="52">
        <f t="shared" ca="1" si="8377"/>
        <v>5168.0306867422769</v>
      </c>
      <c r="CK1339" s="52">
        <f t="shared" ca="1" si="8377"/>
        <v>0</v>
      </c>
      <c r="CL1339" s="52">
        <f t="shared" ca="1" si="8377"/>
        <v>0</v>
      </c>
      <c r="CM1339" s="52">
        <f t="shared" ca="1" si="8377"/>
        <v>132814.4231824351</v>
      </c>
      <c r="CN1339" s="52">
        <f t="shared" ca="1" si="8377"/>
        <v>5375.1227581623243</v>
      </c>
      <c r="CO1339" s="52">
        <f t="shared" ca="1" si="8377"/>
        <v>0</v>
      </c>
    </row>
    <row r="1340" spans="1:93" ht="15" thickBot="1">
      <c r="A1340" s="10"/>
      <c r="B1340" s="10"/>
      <c r="C1340" s="17" t="s">
        <v>473</v>
      </c>
      <c r="D1340" s="10"/>
      <c r="E1340" s="10"/>
      <c r="F1340" s="10"/>
      <c r="G1340" s="134" t="str">
        <f t="shared" si="8364"/>
        <v>тыс. руб.</v>
      </c>
      <c r="H1340" s="10"/>
      <c r="I1340" s="23">
        <f t="shared" ca="1" si="8365"/>
        <v>730800.89020163915</v>
      </c>
      <c r="J1340" s="10"/>
      <c r="K1340" s="10"/>
      <c r="L1340" s="52">
        <f t="shared" ref="L1340:BW1340" ca="1" si="8378">-(Cash_EoP-Cash_BoP)*((Cash_EoP-Cash_BoP)&lt;0)</f>
        <v>0</v>
      </c>
      <c r="M1340" s="52">
        <f t="shared" ca="1" si="8378"/>
        <v>0</v>
      </c>
      <c r="N1340" s="52">
        <f t="shared" ca="1" si="8378"/>
        <v>0</v>
      </c>
      <c r="O1340" s="52">
        <f t="shared" ca="1" si="8378"/>
        <v>0</v>
      </c>
      <c r="P1340" s="52">
        <f t="shared" ca="1" si="8378"/>
        <v>0</v>
      </c>
      <c r="Q1340" s="52">
        <f t="shared" ca="1" si="8378"/>
        <v>0</v>
      </c>
      <c r="R1340" s="52">
        <f t="shared" ca="1" si="8378"/>
        <v>0</v>
      </c>
      <c r="S1340" s="52">
        <f t="shared" ca="1" si="8378"/>
        <v>0</v>
      </c>
      <c r="T1340" s="52">
        <f t="shared" ca="1" si="8378"/>
        <v>0</v>
      </c>
      <c r="U1340" s="52">
        <f t="shared" ca="1" si="8378"/>
        <v>0</v>
      </c>
      <c r="V1340" s="52">
        <f t="shared" ca="1" si="8378"/>
        <v>0</v>
      </c>
      <c r="W1340" s="52">
        <f t="shared" ca="1" si="8378"/>
        <v>0</v>
      </c>
      <c r="X1340" s="52">
        <f t="shared" ca="1" si="8378"/>
        <v>0</v>
      </c>
      <c r="Y1340" s="52">
        <f t="shared" ca="1" si="8378"/>
        <v>0</v>
      </c>
      <c r="Z1340" s="52">
        <f t="shared" ca="1" si="8378"/>
        <v>0</v>
      </c>
      <c r="AA1340" s="52">
        <f t="shared" ca="1" si="8378"/>
        <v>0</v>
      </c>
      <c r="AB1340" s="52">
        <f t="shared" ca="1" si="8378"/>
        <v>0</v>
      </c>
      <c r="AC1340" s="52">
        <f t="shared" ca="1" si="8378"/>
        <v>0</v>
      </c>
      <c r="AD1340" s="52">
        <f t="shared" ca="1" si="8378"/>
        <v>0</v>
      </c>
      <c r="AE1340" s="52">
        <f t="shared" ca="1" si="8378"/>
        <v>0</v>
      </c>
      <c r="AF1340" s="52">
        <f t="shared" ca="1" si="8378"/>
        <v>37012.085139975999</v>
      </c>
      <c r="AG1340" s="52">
        <f t="shared" ca="1" si="8378"/>
        <v>117198.72916474426</v>
      </c>
      <c r="AH1340" s="52">
        <f t="shared" ca="1" si="8378"/>
        <v>117451.35933454143</v>
      </c>
      <c r="AI1340" s="52">
        <f t="shared" ca="1" si="8378"/>
        <v>0</v>
      </c>
      <c r="AJ1340" s="52">
        <f t="shared" ca="1" si="8378"/>
        <v>40638.973178911023</v>
      </c>
      <c r="AK1340" s="52">
        <f t="shared" ca="1" si="8378"/>
        <v>134918.93011796402</v>
      </c>
      <c r="AL1340" s="52">
        <f t="shared" ca="1" si="8378"/>
        <v>134643.58103838121</v>
      </c>
      <c r="AM1340" s="52">
        <f t="shared" ca="1" si="8378"/>
        <v>0</v>
      </c>
      <c r="AN1340" s="52">
        <f t="shared" ca="1" si="8378"/>
        <v>44574.077375150402</v>
      </c>
      <c r="AO1340" s="52">
        <f t="shared" ca="1" si="8378"/>
        <v>104363.15485197087</v>
      </c>
      <c r="AP1340" s="52">
        <f t="shared" ca="1" si="8378"/>
        <v>0</v>
      </c>
      <c r="AQ1340" s="52">
        <f t="shared" ca="1" si="8378"/>
        <v>0</v>
      </c>
      <c r="AR1340" s="52">
        <f t="shared" ca="1" si="8378"/>
        <v>0</v>
      </c>
      <c r="AS1340" s="52">
        <f t="shared" ca="1" si="8378"/>
        <v>0</v>
      </c>
      <c r="AT1340" s="52">
        <f t="shared" ca="1" si="8378"/>
        <v>0</v>
      </c>
      <c r="AU1340" s="52">
        <f t="shared" ca="1" si="8378"/>
        <v>0</v>
      </c>
      <c r="AV1340" s="52">
        <f t="shared" ca="1" si="8378"/>
        <v>0</v>
      </c>
      <c r="AW1340" s="52">
        <f t="shared" ca="1" si="8378"/>
        <v>0</v>
      </c>
      <c r="AX1340" s="52">
        <f t="shared" ca="1" si="8378"/>
        <v>0</v>
      </c>
      <c r="AY1340" s="52">
        <f t="shared" ca="1" si="8378"/>
        <v>0</v>
      </c>
      <c r="AZ1340" s="52">
        <f t="shared" ca="1" si="8378"/>
        <v>0</v>
      </c>
      <c r="BA1340" s="52">
        <f t="shared" ca="1" si="8378"/>
        <v>0</v>
      </c>
      <c r="BB1340" s="52">
        <f t="shared" ca="1" si="8378"/>
        <v>0</v>
      </c>
      <c r="BC1340" s="52">
        <f t="shared" ca="1" si="8378"/>
        <v>0</v>
      </c>
      <c r="BD1340" s="52">
        <f t="shared" ca="1" si="8378"/>
        <v>0</v>
      </c>
      <c r="BE1340" s="52">
        <f t="shared" ca="1" si="8378"/>
        <v>0</v>
      </c>
      <c r="BF1340" s="52">
        <f t="shared" ca="1" si="8378"/>
        <v>0</v>
      </c>
      <c r="BG1340" s="52">
        <f t="shared" ca="1" si="8378"/>
        <v>0</v>
      </c>
      <c r="BH1340" s="52">
        <f t="shared" ca="1" si="8378"/>
        <v>0</v>
      </c>
      <c r="BI1340" s="52">
        <f t="shared" ca="1" si="8378"/>
        <v>0</v>
      </c>
      <c r="BJ1340" s="52">
        <f t="shared" ca="1" si="8378"/>
        <v>0</v>
      </c>
      <c r="BK1340" s="52">
        <f t="shared" ca="1" si="8378"/>
        <v>0</v>
      </c>
      <c r="BL1340" s="52">
        <f t="shared" ca="1" si="8378"/>
        <v>0</v>
      </c>
      <c r="BM1340" s="52">
        <f t="shared" ca="1" si="8378"/>
        <v>0</v>
      </c>
      <c r="BN1340" s="52">
        <f t="shared" ca="1" si="8378"/>
        <v>0</v>
      </c>
      <c r="BO1340" s="52">
        <f t="shared" ca="1" si="8378"/>
        <v>0</v>
      </c>
      <c r="BP1340" s="52">
        <f t="shared" ca="1" si="8378"/>
        <v>0</v>
      </c>
      <c r="BQ1340" s="52">
        <f t="shared" ca="1" si="8378"/>
        <v>0</v>
      </c>
      <c r="BR1340" s="52">
        <f t="shared" ca="1" si="8378"/>
        <v>0</v>
      </c>
      <c r="BS1340" s="52">
        <f t="shared" ca="1" si="8378"/>
        <v>0</v>
      </c>
      <c r="BT1340" s="52">
        <f t="shared" ca="1" si="8378"/>
        <v>0</v>
      </c>
      <c r="BU1340" s="52">
        <f t="shared" ca="1" si="8378"/>
        <v>0</v>
      </c>
      <c r="BV1340" s="52">
        <f t="shared" ca="1" si="8378"/>
        <v>0</v>
      </c>
      <c r="BW1340" s="52">
        <f t="shared" ca="1" si="8378"/>
        <v>0</v>
      </c>
      <c r="BX1340" s="52">
        <f t="shared" ref="BX1340:CO1340" ca="1" si="8379">-(Cash_EoP-Cash_BoP)*((Cash_EoP-Cash_BoP)&lt;0)</f>
        <v>0</v>
      </c>
      <c r="BY1340" s="52">
        <f t="shared" ca="1" si="8379"/>
        <v>0</v>
      </c>
      <c r="BZ1340" s="52">
        <f t="shared" ca="1" si="8379"/>
        <v>0</v>
      </c>
      <c r="CA1340" s="52">
        <f t="shared" ca="1" si="8379"/>
        <v>0</v>
      </c>
      <c r="CB1340" s="52">
        <f t="shared" ca="1" si="8379"/>
        <v>0</v>
      </c>
      <c r="CC1340" s="52">
        <f t="shared" ca="1" si="8379"/>
        <v>0</v>
      </c>
      <c r="CD1340" s="52">
        <f t="shared" ca="1" si="8379"/>
        <v>0</v>
      </c>
      <c r="CE1340" s="52">
        <f t="shared" ca="1" si="8379"/>
        <v>0</v>
      </c>
      <c r="CF1340" s="52">
        <f t="shared" ca="1" si="8379"/>
        <v>0</v>
      </c>
      <c r="CG1340" s="52">
        <f t="shared" ca="1" si="8379"/>
        <v>0</v>
      </c>
      <c r="CH1340" s="52">
        <f t="shared" ca="1" si="8379"/>
        <v>0</v>
      </c>
      <c r="CI1340" s="52">
        <f t="shared" ca="1" si="8379"/>
        <v>0</v>
      </c>
      <c r="CJ1340" s="52">
        <f t="shared" ca="1" si="8379"/>
        <v>0</v>
      </c>
      <c r="CK1340" s="52">
        <f t="shared" ca="1" si="8379"/>
        <v>0</v>
      </c>
      <c r="CL1340" s="52">
        <f t="shared" ca="1" si="8379"/>
        <v>0</v>
      </c>
      <c r="CM1340" s="52">
        <f t="shared" ca="1" si="8379"/>
        <v>0</v>
      </c>
      <c r="CN1340" s="52">
        <f t="shared" ca="1" si="8379"/>
        <v>0</v>
      </c>
      <c r="CO1340" s="52">
        <f t="shared" ca="1" si="8379"/>
        <v>0</v>
      </c>
    </row>
    <row r="1341" spans="1:93" ht="15" thickTop="1">
      <c r="A1341" s="35"/>
      <c r="B1341" s="35"/>
      <c r="C1341" s="49" t="s">
        <v>168</v>
      </c>
      <c r="D1341" s="49"/>
      <c r="E1341" s="49"/>
      <c r="F1341" s="49"/>
      <c r="G1341" s="159" t="str">
        <f t="shared" si="8364"/>
        <v>тыс. руб.</v>
      </c>
      <c r="H1341" s="49"/>
      <c r="I1341" s="176">
        <f t="shared" ca="1" si="8365"/>
        <v>65257411.363175228</v>
      </c>
      <c r="J1341" s="49"/>
      <c r="K1341" s="49"/>
      <c r="L1341" s="174">
        <f t="shared" ref="L1341" ca="1" si="8380">SUM(L1334:L1340)</f>
        <v>31406.153379286916</v>
      </c>
      <c r="M1341" s="174">
        <f t="shared" ref="M1341:BX1341" ca="1" si="8381">SUM(M1334:M1340)</f>
        <v>31851.960190507532</v>
      </c>
      <c r="N1341" s="174">
        <f t="shared" ca="1" si="8381"/>
        <v>32304.095179220327</v>
      </c>
      <c r="O1341" s="174">
        <f t="shared" ca="1" si="8381"/>
        <v>32762.648173192309</v>
      </c>
      <c r="P1341" s="174">
        <f t="shared" ca="1" si="8381"/>
        <v>275591.46580799518</v>
      </c>
      <c r="Q1341" s="174">
        <f t="shared" ca="1" si="8381"/>
        <v>278306.9805620276</v>
      </c>
      <c r="R1341" s="174">
        <f t="shared" ca="1" si="8381"/>
        <v>281049.25238692126</v>
      </c>
      <c r="S1341" s="174">
        <f t="shared" ca="1" si="8381"/>
        <v>284557.5366734491</v>
      </c>
      <c r="T1341" s="174">
        <f t="shared" ca="1" si="8381"/>
        <v>293195.77878796187</v>
      </c>
      <c r="U1341" s="174">
        <f t="shared" ca="1" si="8381"/>
        <v>299864.08841733454</v>
      </c>
      <c r="V1341" s="174">
        <f t="shared" ca="1" si="8381"/>
        <v>306680.671823757</v>
      </c>
      <c r="W1341" s="174">
        <f t="shared" ca="1" si="8381"/>
        <v>313448.73444932338</v>
      </c>
      <c r="X1341" s="174">
        <f t="shared" ca="1" si="8381"/>
        <v>646653.2581487901</v>
      </c>
      <c r="Y1341" s="174">
        <f t="shared" ca="1" si="8381"/>
        <v>660955.27495578059</v>
      </c>
      <c r="Z1341" s="174">
        <f t="shared" ca="1" si="8381"/>
        <v>675843.90368952369</v>
      </c>
      <c r="AA1341" s="174">
        <f t="shared" ca="1" si="8381"/>
        <v>690520.69372146716</v>
      </c>
      <c r="AB1341" s="174">
        <f t="shared" ca="1" si="8381"/>
        <v>890466.98389240366</v>
      </c>
      <c r="AC1341" s="174">
        <f t="shared" ca="1" si="8381"/>
        <v>1334022.2767741662</v>
      </c>
      <c r="AD1341" s="174">
        <f t="shared" ca="1" si="8381"/>
        <v>803772.45030124846</v>
      </c>
      <c r="AE1341" s="174">
        <f t="shared" ca="1" si="8381"/>
        <v>485559.69732502062</v>
      </c>
      <c r="AF1341" s="174">
        <f t="shared" ca="1" si="8381"/>
        <v>459615.44982776896</v>
      </c>
      <c r="AG1341" s="174">
        <f t="shared" ca="1" si="8381"/>
        <v>760481.78335181577</v>
      </c>
      <c r="AH1341" s="174">
        <f t="shared" ca="1" si="8381"/>
        <v>950664.02390777017</v>
      </c>
      <c r="AI1341" s="174">
        <f t="shared" ca="1" si="8381"/>
        <v>575731.92973996024</v>
      </c>
      <c r="AJ1341" s="174">
        <f t="shared" ca="1" si="8381"/>
        <v>539201.83606632403</v>
      </c>
      <c r="AK1341" s="174">
        <f t="shared" ca="1" si="8381"/>
        <v>890257.74213117093</v>
      </c>
      <c r="AL1341" s="174">
        <f t="shared" ca="1" si="8381"/>
        <v>1109502.3985890588</v>
      </c>
      <c r="AM1341" s="174">
        <f t="shared" ca="1" si="8381"/>
        <v>672341.04523237422</v>
      </c>
      <c r="AN1341" s="174">
        <f t="shared" ca="1" si="8381"/>
        <v>630699.94381547475</v>
      </c>
      <c r="AO1341" s="174">
        <f t="shared" ca="1" si="8381"/>
        <v>979692.93243070354</v>
      </c>
      <c r="AP1341" s="174">
        <f t="shared" ca="1" si="8381"/>
        <v>1098340.9344404293</v>
      </c>
      <c r="AQ1341" s="174">
        <f t="shared" ca="1" si="8381"/>
        <v>746098.41882627644</v>
      </c>
      <c r="AR1341" s="174">
        <f t="shared" ca="1" si="8381"/>
        <v>625992.35252007586</v>
      </c>
      <c r="AS1341" s="174">
        <f t="shared" ca="1" si="8381"/>
        <v>910342.96868188202</v>
      </c>
      <c r="AT1341" s="174">
        <f t="shared" ca="1" si="8381"/>
        <v>1142274.5718180465</v>
      </c>
      <c r="AU1341" s="174">
        <f t="shared" ca="1" si="8381"/>
        <v>775942.35232665122</v>
      </c>
      <c r="AV1341" s="174">
        <f t="shared" ca="1" si="8381"/>
        <v>651032.07235371089</v>
      </c>
      <c r="AW1341" s="174">
        <f t="shared" ca="1" si="8381"/>
        <v>918765.40797625075</v>
      </c>
      <c r="AX1341" s="174">
        <f t="shared" ca="1" si="8381"/>
        <v>1062816.872233459</v>
      </c>
      <c r="AY1341" s="174">
        <f t="shared" ca="1" si="8381"/>
        <v>667822.47789588501</v>
      </c>
      <c r="AZ1341" s="174">
        <f t="shared" ca="1" si="8381"/>
        <v>594928.96216365159</v>
      </c>
      <c r="BA1341" s="174">
        <f t="shared" ca="1" si="8381"/>
        <v>867641.46862016502</v>
      </c>
      <c r="BB1341" s="174">
        <f t="shared" ca="1" si="8381"/>
        <v>1072233.5087771786</v>
      </c>
      <c r="BC1341" s="174">
        <f t="shared" ca="1" si="8381"/>
        <v>694535.37701172021</v>
      </c>
      <c r="BD1341" s="174">
        <f t="shared" ca="1" si="8381"/>
        <v>616341.56864486833</v>
      </c>
      <c r="BE1341" s="174">
        <f t="shared" ca="1" si="8381"/>
        <v>900360.38529991009</v>
      </c>
      <c r="BF1341" s="174">
        <f t="shared" ca="1" si="8381"/>
        <v>1115122.8524889061</v>
      </c>
      <c r="BG1341" s="174">
        <f t="shared" ca="1" si="8381"/>
        <v>722316.79077669722</v>
      </c>
      <c r="BH1341" s="174">
        <f t="shared" ca="1" si="8381"/>
        <v>597085.18374258629</v>
      </c>
      <c r="BI1341" s="174">
        <f t="shared" ca="1" si="8381"/>
        <v>937027.31739894301</v>
      </c>
      <c r="BJ1341" s="174">
        <f t="shared" ca="1" si="8381"/>
        <v>1159727.7630933961</v>
      </c>
      <c r="BK1341" s="174">
        <f t="shared" ca="1" si="8381"/>
        <v>751209.46377587644</v>
      </c>
      <c r="BL1341" s="174">
        <f t="shared" ca="1" si="8381"/>
        <v>620968.45087762387</v>
      </c>
      <c r="BM1341" s="174">
        <f t="shared" ca="1" si="8381"/>
        <v>974508.41009490052</v>
      </c>
      <c r="BN1341" s="174">
        <f t="shared" ca="1" si="8381"/>
        <v>1206116.873617132</v>
      </c>
      <c r="BO1341" s="174">
        <f t="shared" ca="1" si="8381"/>
        <v>781257.84232691105</v>
      </c>
      <c r="BP1341" s="174">
        <f t="shared" ca="1" si="8381"/>
        <v>645807.18891272892</v>
      </c>
      <c r="BQ1341" s="174">
        <f t="shared" ca="1" si="8381"/>
        <v>1013488.7464986963</v>
      </c>
      <c r="BR1341" s="174">
        <f t="shared" ca="1" si="8381"/>
        <v>1254361.548561817</v>
      </c>
      <c r="BS1341" s="174">
        <f t="shared" ca="1" si="8381"/>
        <v>812508.15601998742</v>
      </c>
      <c r="BT1341" s="174">
        <f t="shared" ca="1" si="8381"/>
        <v>679052.89741903986</v>
      </c>
      <c r="BU1341" s="174">
        <f t="shared" ca="1" si="8381"/>
        <v>1053294.3038279975</v>
      </c>
      <c r="BV1341" s="174">
        <f t="shared" ca="1" si="8381"/>
        <v>1304536.0144357632</v>
      </c>
      <c r="BW1341" s="174">
        <f t="shared" ca="1" si="8381"/>
        <v>845008.48072184715</v>
      </c>
      <c r="BX1341" s="174">
        <f t="shared" ca="1" si="8381"/>
        <v>698505.21325043705</v>
      </c>
      <c r="BY1341" s="174">
        <f t="shared" ref="BY1341:CO1341" ca="1" si="8382">SUM(BY1334:BY1340)</f>
        <v>1096189.4282129894</v>
      </c>
      <c r="BZ1341" s="174">
        <f t="shared" ca="1" si="8382"/>
        <v>1356717.4509244608</v>
      </c>
      <c r="CA1341" s="174">
        <f t="shared" ca="1" si="8382"/>
        <v>878808.82155121805</v>
      </c>
      <c r="CB1341" s="174">
        <f t="shared" ca="1" si="8382"/>
        <v>726445.25774912757</v>
      </c>
      <c r="CC1341" s="174">
        <f t="shared" ca="1" si="8382"/>
        <v>1140037.0053415094</v>
      </c>
      <c r="CD1341" s="174">
        <f t="shared" ca="1" si="8382"/>
        <v>1410986.1489614393</v>
      </c>
      <c r="CE1341" s="174">
        <f t="shared" ca="1" si="8382"/>
        <v>913961.17441326636</v>
      </c>
      <c r="CF1341" s="174">
        <f t="shared" ca="1" si="8382"/>
        <v>755503.06805909285</v>
      </c>
      <c r="CG1341" s="174">
        <f t="shared" ca="1" si="8382"/>
        <v>1185638.4855551694</v>
      </c>
      <c r="CH1341" s="174">
        <f t="shared" ca="1" si="8382"/>
        <v>1467425.5949198965</v>
      </c>
      <c r="CI1341" s="174">
        <f t="shared" ca="1" si="8382"/>
        <v>950519.62138979789</v>
      </c>
      <c r="CJ1341" s="174">
        <f t="shared" ca="1" si="8382"/>
        <v>794395.84473846538</v>
      </c>
      <c r="CK1341" s="174">
        <f t="shared" ca="1" si="8382"/>
        <v>1232205.357532423</v>
      </c>
      <c r="CL1341" s="174">
        <f t="shared" ca="1" si="8382"/>
        <v>1526122.6233159604</v>
      </c>
      <c r="CM1341" s="174">
        <f t="shared" ca="1" si="8382"/>
        <v>988540.40444504772</v>
      </c>
      <c r="CN1341" s="174">
        <f t="shared" ca="1" si="8382"/>
        <v>817152.30292564898</v>
      </c>
      <c r="CO1341" s="174">
        <f t="shared" ca="1" si="8382"/>
        <v>1282386.585976471</v>
      </c>
    </row>
    <row r="1342" spans="1:93">
      <c r="A1342" s="10"/>
      <c r="B1342" s="10"/>
      <c r="C1342" s="10"/>
      <c r="D1342" s="10"/>
      <c r="E1342" s="10"/>
      <c r="F1342" s="10"/>
      <c r="G1342" s="11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  <c r="AY1342" s="10"/>
      <c r="AZ1342" s="10"/>
      <c r="BA1342" s="10"/>
      <c r="BB1342" s="10"/>
      <c r="BC1342" s="10"/>
      <c r="BD1342" s="10"/>
      <c r="BE1342" s="10"/>
      <c r="BF1342" s="10"/>
      <c r="BG1342" s="10"/>
      <c r="BH1342" s="10"/>
      <c r="BI1342" s="10"/>
      <c r="BJ1342" s="10"/>
      <c r="BK1342" s="10"/>
      <c r="BL1342" s="10"/>
      <c r="BM1342" s="10"/>
      <c r="BN1342" s="10"/>
      <c r="BO1342" s="10"/>
      <c r="BP1342" s="10"/>
      <c r="BQ1342" s="10"/>
      <c r="BR1342" s="10"/>
      <c r="BS1342" s="10"/>
      <c r="BT1342" s="10"/>
      <c r="BU1342" s="10"/>
      <c r="BV1342" s="10"/>
      <c r="BW1342" s="10"/>
      <c r="BX1342" s="10"/>
      <c r="BY1342" s="10"/>
      <c r="BZ1342" s="10"/>
      <c r="CA1342" s="10"/>
      <c r="CB1342" s="10"/>
      <c r="CC1342" s="10"/>
      <c r="CD1342" s="10"/>
      <c r="CE1342" s="10"/>
      <c r="CF1342" s="10"/>
      <c r="CG1342" s="10"/>
      <c r="CH1342" s="10"/>
      <c r="CI1342" s="10"/>
      <c r="CJ1342" s="10"/>
      <c r="CK1342" s="10"/>
      <c r="CL1342" s="10"/>
      <c r="CM1342" s="10"/>
      <c r="CN1342" s="10"/>
      <c r="CO1342" s="10"/>
    </row>
    <row r="1343" spans="1:93">
      <c r="A1343" s="46"/>
      <c r="B1343" s="46"/>
      <c r="C1343" s="46" t="s">
        <v>165</v>
      </c>
      <c r="D1343" s="46"/>
      <c r="E1343" s="46"/>
      <c r="F1343" s="46"/>
      <c r="G1343" s="89"/>
      <c r="H1343" s="46"/>
      <c r="I1343" s="46">
        <f ca="1">SUM(L1343:CO1343)</f>
        <v>0</v>
      </c>
      <c r="J1343" s="46"/>
      <c r="K1343" s="46"/>
      <c r="L1343" s="46">
        <f t="shared" ref="L1343" ca="1" si="8383">(L1331-L1341)*(ABS(L1331-L1341)&gt;Accuracy)</f>
        <v>0</v>
      </c>
      <c r="M1343" s="46">
        <f t="shared" ref="M1343:BX1343" ca="1" si="8384">(M1331-M1341)*(ABS(M1331-M1341)&gt;Accuracy)</f>
        <v>0</v>
      </c>
      <c r="N1343" s="46">
        <f t="shared" ca="1" si="8384"/>
        <v>0</v>
      </c>
      <c r="O1343" s="46">
        <f t="shared" ca="1" si="8384"/>
        <v>0</v>
      </c>
      <c r="P1343" s="46">
        <f t="shared" ca="1" si="8384"/>
        <v>0</v>
      </c>
      <c r="Q1343" s="46">
        <f t="shared" ca="1" si="8384"/>
        <v>0</v>
      </c>
      <c r="R1343" s="46">
        <f t="shared" ca="1" si="8384"/>
        <v>0</v>
      </c>
      <c r="S1343" s="46">
        <f t="shared" ca="1" si="8384"/>
        <v>0</v>
      </c>
      <c r="T1343" s="46">
        <f t="shared" ca="1" si="8384"/>
        <v>0</v>
      </c>
      <c r="U1343" s="46">
        <f t="shared" ca="1" si="8384"/>
        <v>0</v>
      </c>
      <c r="V1343" s="46">
        <f t="shared" ca="1" si="8384"/>
        <v>0</v>
      </c>
      <c r="W1343" s="46">
        <f t="shared" ca="1" si="8384"/>
        <v>0</v>
      </c>
      <c r="X1343" s="46">
        <f t="shared" ca="1" si="8384"/>
        <v>0</v>
      </c>
      <c r="Y1343" s="46">
        <f t="shared" ca="1" si="8384"/>
        <v>0</v>
      </c>
      <c r="Z1343" s="46">
        <f t="shared" ca="1" si="8384"/>
        <v>0</v>
      </c>
      <c r="AA1343" s="46">
        <f t="shared" ca="1" si="8384"/>
        <v>0</v>
      </c>
      <c r="AB1343" s="46">
        <f t="shared" ca="1" si="8384"/>
        <v>0</v>
      </c>
      <c r="AC1343" s="46">
        <f t="shared" ca="1" si="8384"/>
        <v>0</v>
      </c>
      <c r="AD1343" s="46">
        <f t="shared" ca="1" si="8384"/>
        <v>0</v>
      </c>
      <c r="AE1343" s="46">
        <f t="shared" ca="1" si="8384"/>
        <v>0</v>
      </c>
      <c r="AF1343" s="46">
        <f t="shared" ca="1" si="8384"/>
        <v>0</v>
      </c>
      <c r="AG1343" s="46">
        <f t="shared" ca="1" si="8384"/>
        <v>0</v>
      </c>
      <c r="AH1343" s="46">
        <f t="shared" ca="1" si="8384"/>
        <v>0</v>
      </c>
      <c r="AI1343" s="46">
        <f t="shared" ca="1" si="8384"/>
        <v>0</v>
      </c>
      <c r="AJ1343" s="46">
        <f t="shared" ca="1" si="8384"/>
        <v>0</v>
      </c>
      <c r="AK1343" s="46">
        <f t="shared" ca="1" si="8384"/>
        <v>0</v>
      </c>
      <c r="AL1343" s="46">
        <f t="shared" ca="1" si="8384"/>
        <v>0</v>
      </c>
      <c r="AM1343" s="46">
        <f t="shared" ca="1" si="8384"/>
        <v>0</v>
      </c>
      <c r="AN1343" s="46">
        <f t="shared" ca="1" si="8384"/>
        <v>0</v>
      </c>
      <c r="AO1343" s="46">
        <f t="shared" ca="1" si="8384"/>
        <v>0</v>
      </c>
      <c r="AP1343" s="46">
        <f t="shared" ca="1" si="8384"/>
        <v>0</v>
      </c>
      <c r="AQ1343" s="46">
        <f t="shared" ca="1" si="8384"/>
        <v>0</v>
      </c>
      <c r="AR1343" s="46">
        <f t="shared" ca="1" si="8384"/>
        <v>0</v>
      </c>
      <c r="AS1343" s="46">
        <f t="shared" ca="1" si="8384"/>
        <v>0</v>
      </c>
      <c r="AT1343" s="46">
        <f t="shared" ca="1" si="8384"/>
        <v>0</v>
      </c>
      <c r="AU1343" s="46">
        <f t="shared" ca="1" si="8384"/>
        <v>0</v>
      </c>
      <c r="AV1343" s="46">
        <f t="shared" ca="1" si="8384"/>
        <v>0</v>
      </c>
      <c r="AW1343" s="46">
        <f t="shared" ca="1" si="8384"/>
        <v>0</v>
      </c>
      <c r="AX1343" s="46">
        <f t="shared" ca="1" si="8384"/>
        <v>0</v>
      </c>
      <c r="AY1343" s="46">
        <f t="shared" ca="1" si="8384"/>
        <v>0</v>
      </c>
      <c r="AZ1343" s="46">
        <f t="shared" ca="1" si="8384"/>
        <v>0</v>
      </c>
      <c r="BA1343" s="46">
        <f t="shared" ca="1" si="8384"/>
        <v>0</v>
      </c>
      <c r="BB1343" s="46">
        <f t="shared" ca="1" si="8384"/>
        <v>0</v>
      </c>
      <c r="BC1343" s="46">
        <f t="shared" ca="1" si="8384"/>
        <v>0</v>
      </c>
      <c r="BD1343" s="46">
        <f t="shared" ca="1" si="8384"/>
        <v>0</v>
      </c>
      <c r="BE1343" s="46">
        <f t="shared" ca="1" si="8384"/>
        <v>0</v>
      </c>
      <c r="BF1343" s="46">
        <f t="shared" ca="1" si="8384"/>
        <v>0</v>
      </c>
      <c r="BG1343" s="46">
        <f t="shared" ca="1" si="8384"/>
        <v>0</v>
      </c>
      <c r="BH1343" s="46">
        <f t="shared" ca="1" si="8384"/>
        <v>0</v>
      </c>
      <c r="BI1343" s="46">
        <f t="shared" ca="1" si="8384"/>
        <v>0</v>
      </c>
      <c r="BJ1343" s="46">
        <f t="shared" ca="1" si="8384"/>
        <v>0</v>
      </c>
      <c r="BK1343" s="46">
        <f t="shared" ca="1" si="8384"/>
        <v>0</v>
      </c>
      <c r="BL1343" s="46">
        <f t="shared" ca="1" si="8384"/>
        <v>0</v>
      </c>
      <c r="BM1343" s="46">
        <f t="shared" ca="1" si="8384"/>
        <v>0</v>
      </c>
      <c r="BN1343" s="46">
        <f t="shared" ca="1" si="8384"/>
        <v>0</v>
      </c>
      <c r="BO1343" s="46">
        <f t="shared" ca="1" si="8384"/>
        <v>0</v>
      </c>
      <c r="BP1343" s="46">
        <f t="shared" ca="1" si="8384"/>
        <v>0</v>
      </c>
      <c r="BQ1343" s="46">
        <f t="shared" ca="1" si="8384"/>
        <v>0</v>
      </c>
      <c r="BR1343" s="46">
        <f t="shared" ca="1" si="8384"/>
        <v>0</v>
      </c>
      <c r="BS1343" s="46">
        <f t="shared" ca="1" si="8384"/>
        <v>0</v>
      </c>
      <c r="BT1343" s="46">
        <f t="shared" ca="1" si="8384"/>
        <v>0</v>
      </c>
      <c r="BU1343" s="46">
        <f t="shared" ca="1" si="8384"/>
        <v>0</v>
      </c>
      <c r="BV1343" s="46">
        <f t="shared" ca="1" si="8384"/>
        <v>0</v>
      </c>
      <c r="BW1343" s="46">
        <f t="shared" ca="1" si="8384"/>
        <v>0</v>
      </c>
      <c r="BX1343" s="46">
        <f t="shared" ca="1" si="8384"/>
        <v>0</v>
      </c>
      <c r="BY1343" s="46">
        <f t="shared" ref="BY1343:CO1343" ca="1" si="8385">(BY1331-BY1341)*(ABS(BY1331-BY1341)&gt;Accuracy)</f>
        <v>0</v>
      </c>
      <c r="BZ1343" s="46">
        <f t="shared" ca="1" si="8385"/>
        <v>0</v>
      </c>
      <c r="CA1343" s="46">
        <f t="shared" ca="1" si="8385"/>
        <v>0</v>
      </c>
      <c r="CB1343" s="46">
        <f t="shared" ca="1" si="8385"/>
        <v>0</v>
      </c>
      <c r="CC1343" s="46">
        <f t="shared" ca="1" si="8385"/>
        <v>0</v>
      </c>
      <c r="CD1343" s="46">
        <f t="shared" ca="1" si="8385"/>
        <v>0</v>
      </c>
      <c r="CE1343" s="46">
        <f t="shared" ca="1" si="8385"/>
        <v>0</v>
      </c>
      <c r="CF1343" s="46">
        <f t="shared" ca="1" si="8385"/>
        <v>0</v>
      </c>
      <c r="CG1343" s="46">
        <f t="shared" ca="1" si="8385"/>
        <v>0</v>
      </c>
      <c r="CH1343" s="46">
        <f t="shared" ca="1" si="8385"/>
        <v>0</v>
      </c>
      <c r="CI1343" s="46">
        <f t="shared" ca="1" si="8385"/>
        <v>0</v>
      </c>
      <c r="CJ1343" s="46">
        <f t="shared" ca="1" si="8385"/>
        <v>0</v>
      </c>
      <c r="CK1343" s="46">
        <f t="shared" ca="1" si="8385"/>
        <v>0</v>
      </c>
      <c r="CL1343" s="46">
        <f t="shared" ca="1" si="8385"/>
        <v>0</v>
      </c>
      <c r="CM1343" s="46">
        <f t="shared" ca="1" si="8385"/>
        <v>0</v>
      </c>
      <c r="CN1343" s="46">
        <f t="shared" ca="1" si="8385"/>
        <v>0</v>
      </c>
      <c r="CO1343" s="46">
        <f t="shared" ca="1" si="8385"/>
        <v>0</v>
      </c>
    </row>
    <row r="1344" spans="1:93"/>
    <row r="1345" spans="1:93" ht="22.5" customHeight="1">
      <c r="A1345" s="10"/>
      <c r="B1345" s="5" t="s">
        <v>270</v>
      </c>
      <c r="C1345" s="5"/>
      <c r="D1345" s="15"/>
      <c r="E1345" s="5"/>
      <c r="F1345" s="5"/>
      <c r="G1345" s="6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5"/>
      <c r="BP1345" s="5"/>
      <c r="BQ1345" s="5"/>
      <c r="BR1345" s="5"/>
      <c r="BS1345" s="5"/>
      <c r="BT1345" s="5"/>
      <c r="BU1345" s="5"/>
      <c r="BV1345" s="5"/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</row>
    <row r="1346" spans="1:93">
      <c r="A1346" s="10"/>
      <c r="B1346" s="10"/>
      <c r="C1346" s="10"/>
      <c r="D1346" s="10"/>
      <c r="E1346" s="10"/>
      <c r="F1346" s="10"/>
      <c r="G1346" s="11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  <c r="AY1346" s="10"/>
      <c r="AZ1346" s="10"/>
      <c r="BA1346" s="10"/>
      <c r="BB1346" s="10"/>
      <c r="BC1346" s="10"/>
      <c r="BD1346" s="10"/>
      <c r="BE1346" s="10"/>
      <c r="BF1346" s="10"/>
      <c r="BG1346" s="10"/>
      <c r="BH1346" s="10"/>
      <c r="BI1346" s="10"/>
      <c r="BJ1346" s="10"/>
      <c r="BK1346" s="10"/>
      <c r="BL1346" s="10"/>
      <c r="BM1346" s="10"/>
      <c r="BN1346" s="10"/>
      <c r="BO1346" s="10"/>
      <c r="BP1346" s="10"/>
      <c r="BQ1346" s="10"/>
      <c r="BR1346" s="10"/>
      <c r="BS1346" s="10"/>
      <c r="BT1346" s="10"/>
      <c r="BU1346" s="10"/>
      <c r="BV1346" s="10"/>
      <c r="BW1346" s="10"/>
      <c r="BX1346" s="10"/>
      <c r="BY1346" s="10"/>
      <c r="BZ1346" s="10"/>
      <c r="CA1346" s="10"/>
      <c r="CB1346" s="10"/>
      <c r="CC1346" s="10"/>
      <c r="CD1346" s="10"/>
      <c r="CE1346" s="10"/>
      <c r="CF1346" s="10"/>
      <c r="CG1346" s="10"/>
      <c r="CH1346" s="10"/>
      <c r="CI1346" s="10"/>
      <c r="CJ1346" s="10"/>
      <c r="CK1346" s="10"/>
      <c r="CL1346" s="10"/>
      <c r="CM1346" s="10"/>
      <c r="CN1346" s="10"/>
      <c r="CO1346" s="10"/>
    </row>
    <row r="1347" spans="1:93">
      <c r="A1347" s="10"/>
      <c r="B1347" s="10"/>
      <c r="C1347" s="16" t="s">
        <v>481</v>
      </c>
      <c r="D1347" s="10"/>
      <c r="E1347" s="10"/>
      <c r="F1347" s="11"/>
      <c r="G1347" s="11"/>
      <c r="H1347" s="11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  <c r="AY1347" s="10"/>
      <c r="AZ1347" s="10"/>
      <c r="BA1347" s="10"/>
      <c r="BB1347" s="10"/>
      <c r="BC1347" s="10"/>
      <c r="BD1347" s="10"/>
      <c r="BE1347" s="10"/>
      <c r="BF1347" s="10"/>
      <c r="BG1347" s="10"/>
      <c r="BH1347" s="10"/>
      <c r="BI1347" s="10"/>
      <c r="BJ1347" s="10"/>
      <c r="BK1347" s="10"/>
      <c r="BL1347" s="10"/>
      <c r="BM1347" s="10"/>
      <c r="BN1347" s="10"/>
      <c r="BO1347" s="10"/>
      <c r="BP1347" s="10"/>
      <c r="BQ1347" s="10"/>
      <c r="BR1347" s="10"/>
      <c r="BS1347" s="10"/>
      <c r="BT1347" s="10"/>
      <c r="BU1347" s="10"/>
      <c r="BV1347" s="10"/>
      <c r="BW1347" s="10"/>
      <c r="BX1347" s="10"/>
      <c r="BY1347" s="10"/>
      <c r="BZ1347" s="10"/>
      <c r="CA1347" s="10"/>
      <c r="CB1347" s="10"/>
      <c r="CC1347" s="10"/>
      <c r="CD1347" s="10"/>
      <c r="CE1347" s="10"/>
      <c r="CF1347" s="10"/>
      <c r="CG1347" s="10"/>
      <c r="CH1347" s="10"/>
      <c r="CI1347" s="10"/>
      <c r="CJ1347" s="10"/>
      <c r="CK1347" s="10"/>
      <c r="CL1347" s="10"/>
      <c r="CM1347" s="10"/>
      <c r="CN1347" s="10"/>
      <c r="CO1347" s="10"/>
    </row>
    <row r="1348" spans="1:93">
      <c r="A1348" s="10"/>
      <c r="B1348" s="10"/>
      <c r="C1348" s="17" t="s">
        <v>422</v>
      </c>
      <c r="D1348" s="10"/>
      <c r="E1348" s="65">
        <f>SUMPRODUCT(L1244:CO1244,Flag_Invest )</f>
        <v>1409395.9556502979</v>
      </c>
      <c r="F1348" s="11"/>
      <c r="G1348" s="11" t="str">
        <f>Monetary_Unit</f>
        <v>тыс. руб.</v>
      </c>
      <c r="H1348" s="11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  <c r="AY1348" s="10"/>
      <c r="AZ1348" s="10"/>
      <c r="BA1348" s="10"/>
      <c r="BB1348" s="10"/>
      <c r="BC1348" s="10"/>
      <c r="BD1348" s="10"/>
      <c r="BE1348" s="10"/>
      <c r="BF1348" s="10"/>
      <c r="BG1348" s="10"/>
      <c r="BH1348" s="10"/>
      <c r="BI1348" s="10"/>
      <c r="BJ1348" s="10"/>
      <c r="BK1348" s="10"/>
      <c r="BL1348" s="10"/>
      <c r="BM1348" s="10"/>
      <c r="BN1348" s="10"/>
      <c r="BO1348" s="10"/>
      <c r="BP1348" s="10"/>
      <c r="BQ1348" s="10"/>
      <c r="BR1348" s="10"/>
      <c r="BS1348" s="10"/>
      <c r="BT1348" s="10"/>
      <c r="BU1348" s="10"/>
      <c r="BV1348" s="10"/>
      <c r="BW1348" s="10"/>
      <c r="BX1348" s="10"/>
      <c r="BY1348" s="10"/>
      <c r="BZ1348" s="10"/>
      <c r="CA1348" s="10"/>
      <c r="CB1348" s="10"/>
      <c r="CC1348" s="10"/>
      <c r="CD1348" s="10"/>
      <c r="CE1348" s="10"/>
      <c r="CF1348" s="10"/>
      <c r="CG1348" s="10"/>
      <c r="CH1348" s="10"/>
      <c r="CI1348" s="10"/>
      <c r="CJ1348" s="10"/>
      <c r="CK1348" s="10"/>
      <c r="CL1348" s="10"/>
      <c r="CM1348" s="10"/>
      <c r="CN1348" s="10"/>
      <c r="CO1348" s="10"/>
    </row>
    <row r="1349" spans="1:93">
      <c r="A1349" s="10"/>
      <c r="B1349" s="10"/>
      <c r="C1349" s="17" t="s">
        <v>423</v>
      </c>
      <c r="D1349" s="10"/>
      <c r="E1349" s="65">
        <f ca="1">SUMPRODUCT(Subord_Drawdown,Flag_Construction)</f>
        <v>0</v>
      </c>
      <c r="F1349" s="11"/>
      <c r="G1349" s="11" t="str">
        <f>Monetary_Unit</f>
        <v>тыс. руб.</v>
      </c>
      <c r="H1349" s="11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  <c r="AY1349" s="10"/>
      <c r="AZ1349" s="10"/>
      <c r="BA1349" s="10"/>
      <c r="BB1349" s="10"/>
      <c r="BC1349" s="10"/>
      <c r="BD1349" s="10"/>
      <c r="BE1349" s="10"/>
      <c r="BF1349" s="10"/>
      <c r="BG1349" s="10"/>
      <c r="BH1349" s="10"/>
      <c r="BI1349" s="10"/>
      <c r="BJ1349" s="10"/>
      <c r="BK1349" s="10"/>
      <c r="BL1349" s="10"/>
      <c r="BM1349" s="10"/>
      <c r="BN1349" s="10"/>
      <c r="BO1349" s="10"/>
      <c r="BP1349" s="10"/>
      <c r="BQ1349" s="10"/>
      <c r="BR1349" s="10"/>
      <c r="BS1349" s="10"/>
      <c r="BT1349" s="10"/>
      <c r="BU1349" s="10"/>
      <c r="BV1349" s="10"/>
      <c r="BW1349" s="10"/>
      <c r="BX1349" s="10"/>
      <c r="BY1349" s="10"/>
      <c r="BZ1349" s="10"/>
      <c r="CA1349" s="10"/>
      <c r="CB1349" s="10"/>
      <c r="CC1349" s="10"/>
      <c r="CD1349" s="10"/>
      <c r="CE1349" s="10"/>
      <c r="CF1349" s="10"/>
      <c r="CG1349" s="10"/>
      <c r="CH1349" s="10"/>
      <c r="CI1349" s="10"/>
      <c r="CJ1349" s="10"/>
      <c r="CK1349" s="10"/>
      <c r="CL1349" s="10"/>
      <c r="CM1349" s="10"/>
      <c r="CN1349" s="10"/>
      <c r="CO1349" s="10"/>
    </row>
    <row r="1350" spans="1:93" ht="15" thickBot="1">
      <c r="A1350" s="10"/>
      <c r="B1350" s="10"/>
      <c r="C1350" s="17" t="s">
        <v>162</v>
      </c>
      <c r="D1350" s="10"/>
      <c r="E1350" s="65">
        <f>SUMPRODUCT(Debt_Drawdown,Flag_Construction)</f>
        <v>4616063.5245886445</v>
      </c>
      <c r="F1350" s="11"/>
      <c r="G1350" s="11" t="str">
        <f>Monetary_Unit</f>
        <v>тыс. руб.</v>
      </c>
      <c r="H1350" s="11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  <c r="AY1350" s="10"/>
      <c r="AZ1350" s="10"/>
      <c r="BA1350" s="10"/>
      <c r="BB1350" s="10"/>
      <c r="BC1350" s="10"/>
      <c r="BD1350" s="10"/>
      <c r="BE1350" s="10"/>
      <c r="BF1350" s="10"/>
      <c r="BG1350" s="10"/>
      <c r="BH1350" s="10"/>
      <c r="BI1350" s="10"/>
      <c r="BJ1350" s="10"/>
      <c r="BK1350" s="10"/>
      <c r="BL1350" s="10"/>
      <c r="BM1350" s="10"/>
      <c r="BN1350" s="10"/>
      <c r="BO1350" s="10"/>
      <c r="BP1350" s="10"/>
      <c r="BQ1350" s="10"/>
      <c r="BR1350" s="10"/>
      <c r="BS1350" s="10"/>
      <c r="BT1350" s="10"/>
      <c r="BU1350" s="10"/>
      <c r="BV1350" s="10"/>
      <c r="BW1350" s="10"/>
      <c r="BX1350" s="10"/>
      <c r="BY1350" s="10"/>
      <c r="BZ1350" s="10"/>
      <c r="CA1350" s="10"/>
      <c r="CB1350" s="10"/>
      <c r="CC1350" s="10"/>
      <c r="CD1350" s="10"/>
      <c r="CE1350" s="10"/>
      <c r="CF1350" s="10"/>
      <c r="CG1350" s="10"/>
      <c r="CH1350" s="10"/>
      <c r="CI1350" s="10"/>
      <c r="CJ1350" s="10"/>
      <c r="CK1350" s="10"/>
      <c r="CL1350" s="10"/>
      <c r="CM1350" s="10"/>
      <c r="CN1350" s="10"/>
      <c r="CO1350" s="10"/>
    </row>
    <row r="1351" spans="1:93" ht="15" thickTop="1">
      <c r="A1351" s="10"/>
      <c r="B1351" s="10"/>
      <c r="C1351" s="49" t="s">
        <v>20</v>
      </c>
      <c r="D1351" s="49"/>
      <c r="E1351" s="136">
        <f ca="1">SUM(E1348:E1350)</f>
        <v>6025459.4802389424</v>
      </c>
      <c r="F1351" s="11"/>
      <c r="G1351" s="11" t="str">
        <f>Monetary_Unit</f>
        <v>тыс. руб.</v>
      </c>
      <c r="H1351" s="11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  <c r="AY1351" s="10"/>
      <c r="AZ1351" s="10"/>
      <c r="BA1351" s="10"/>
      <c r="BB1351" s="10"/>
      <c r="BC1351" s="10"/>
      <c r="BD1351" s="10"/>
      <c r="BE1351" s="10"/>
      <c r="BF1351" s="10"/>
      <c r="BG1351" s="10"/>
      <c r="BH1351" s="10"/>
      <c r="BI1351" s="10"/>
      <c r="BJ1351" s="10"/>
      <c r="BK1351" s="10"/>
      <c r="BL1351" s="10"/>
      <c r="BM1351" s="10"/>
      <c r="BN1351" s="10"/>
      <c r="BO1351" s="10"/>
      <c r="BP1351" s="10"/>
      <c r="BQ1351" s="10"/>
      <c r="BR1351" s="10"/>
      <c r="BS1351" s="10"/>
      <c r="BT1351" s="10"/>
      <c r="BU1351" s="10"/>
      <c r="BV1351" s="10"/>
      <c r="BW1351" s="10"/>
      <c r="BX1351" s="10"/>
      <c r="BY1351" s="10"/>
      <c r="BZ1351" s="10"/>
      <c r="CA1351" s="10"/>
      <c r="CB1351" s="10"/>
      <c r="CC1351" s="10"/>
      <c r="CD1351" s="10"/>
      <c r="CE1351" s="10"/>
      <c r="CF1351" s="10"/>
      <c r="CG1351" s="10"/>
      <c r="CH1351" s="10"/>
      <c r="CI1351" s="10"/>
      <c r="CJ1351" s="10"/>
      <c r="CK1351" s="10"/>
      <c r="CL1351" s="10"/>
      <c r="CM1351" s="10"/>
      <c r="CN1351" s="10"/>
      <c r="CO1351" s="10"/>
    </row>
    <row r="1352" spans="1:93">
      <c r="A1352" s="10"/>
      <c r="B1352" s="10"/>
      <c r="C1352" s="17"/>
      <c r="D1352" s="10"/>
      <c r="E1352" s="62"/>
      <c r="F1352" s="11"/>
      <c r="G1352" s="11"/>
      <c r="H1352" s="11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  <c r="AY1352" s="10"/>
      <c r="AZ1352" s="10"/>
      <c r="BA1352" s="10"/>
      <c r="BB1352" s="10"/>
      <c r="BC1352" s="10"/>
      <c r="BD1352" s="10"/>
      <c r="BE1352" s="10"/>
      <c r="BF1352" s="10"/>
      <c r="BG1352" s="10"/>
      <c r="BH1352" s="10"/>
      <c r="BI1352" s="10"/>
      <c r="BJ1352" s="10"/>
      <c r="BK1352" s="10"/>
      <c r="BL1352" s="10"/>
      <c r="BM1352" s="10"/>
      <c r="BN1352" s="10"/>
      <c r="BO1352" s="10"/>
      <c r="BP1352" s="10"/>
      <c r="BQ1352" s="10"/>
      <c r="BR1352" s="10"/>
      <c r="BS1352" s="10"/>
      <c r="BT1352" s="10"/>
      <c r="BU1352" s="10"/>
      <c r="BV1352" s="10"/>
      <c r="BW1352" s="10"/>
      <c r="BX1352" s="10"/>
      <c r="BY1352" s="10"/>
      <c r="BZ1352" s="10"/>
      <c r="CA1352" s="10"/>
      <c r="CB1352" s="10"/>
      <c r="CC1352" s="10"/>
      <c r="CD1352" s="10"/>
      <c r="CE1352" s="10"/>
      <c r="CF1352" s="10"/>
      <c r="CG1352" s="10"/>
      <c r="CH1352" s="10"/>
      <c r="CI1352" s="10"/>
      <c r="CJ1352" s="10"/>
      <c r="CK1352" s="10"/>
      <c r="CL1352" s="10"/>
      <c r="CM1352" s="10"/>
      <c r="CN1352" s="10"/>
      <c r="CO1352" s="10"/>
    </row>
    <row r="1353" spans="1:93">
      <c r="A1353" s="10"/>
      <c r="B1353" s="10"/>
      <c r="C1353" s="17" t="s">
        <v>422</v>
      </c>
      <c r="D1353" s="10"/>
      <c r="E1353" s="186">
        <f ca="1">IFERROR(E1348/E$1351,0)</f>
        <v>0.23390680167587943</v>
      </c>
      <c r="F1353" s="11"/>
      <c r="G1353" s="11" t="s">
        <v>28</v>
      </c>
      <c r="H1353" s="11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  <c r="AY1353" s="10"/>
      <c r="AZ1353" s="10"/>
      <c r="BA1353" s="10"/>
      <c r="BB1353" s="10"/>
      <c r="BC1353" s="10"/>
      <c r="BD1353" s="10"/>
      <c r="BE1353" s="10"/>
      <c r="BF1353" s="10"/>
      <c r="BG1353" s="10"/>
      <c r="BH1353" s="10"/>
      <c r="BI1353" s="10"/>
      <c r="BJ1353" s="10"/>
      <c r="BK1353" s="10"/>
      <c r="BL1353" s="10"/>
      <c r="BM1353" s="10"/>
      <c r="BN1353" s="10"/>
      <c r="BO1353" s="10"/>
      <c r="BP1353" s="10"/>
      <c r="BQ1353" s="10"/>
      <c r="BR1353" s="10"/>
      <c r="BS1353" s="10"/>
      <c r="BT1353" s="10"/>
      <c r="BU1353" s="10"/>
      <c r="BV1353" s="10"/>
      <c r="BW1353" s="10"/>
      <c r="BX1353" s="10"/>
      <c r="BY1353" s="10"/>
      <c r="BZ1353" s="10"/>
      <c r="CA1353" s="10"/>
      <c r="CB1353" s="10"/>
      <c r="CC1353" s="10"/>
      <c r="CD1353" s="10"/>
      <c r="CE1353" s="10"/>
      <c r="CF1353" s="10"/>
      <c r="CG1353" s="10"/>
      <c r="CH1353" s="10"/>
      <c r="CI1353" s="10"/>
      <c r="CJ1353" s="10"/>
      <c r="CK1353" s="10"/>
      <c r="CL1353" s="10"/>
      <c r="CM1353" s="10"/>
      <c r="CN1353" s="10"/>
      <c r="CO1353" s="10"/>
    </row>
    <row r="1354" spans="1:93">
      <c r="A1354" s="10"/>
      <c r="B1354" s="10"/>
      <c r="C1354" s="17" t="s">
        <v>423</v>
      </c>
      <c r="D1354" s="10"/>
      <c r="E1354" s="186">
        <f ca="1">IFERROR(E1349/E$1351,0)</f>
        <v>0</v>
      </c>
      <c r="F1354" s="11"/>
      <c r="G1354" s="11" t="s">
        <v>28</v>
      </c>
      <c r="H1354" s="11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  <c r="AY1354" s="10"/>
      <c r="AZ1354" s="10"/>
      <c r="BA1354" s="10"/>
      <c r="BB1354" s="10"/>
      <c r="BC1354" s="10"/>
      <c r="BD1354" s="10"/>
      <c r="BE1354" s="10"/>
      <c r="BF1354" s="10"/>
      <c r="BG1354" s="10"/>
      <c r="BH1354" s="10"/>
      <c r="BI1354" s="10"/>
      <c r="BJ1354" s="10"/>
      <c r="BK1354" s="10"/>
      <c r="BL1354" s="10"/>
      <c r="BM1354" s="10"/>
      <c r="BN1354" s="10"/>
      <c r="BO1354" s="10"/>
      <c r="BP1354" s="10"/>
      <c r="BQ1354" s="10"/>
      <c r="BR1354" s="10"/>
      <c r="BS1354" s="10"/>
      <c r="BT1354" s="10"/>
      <c r="BU1354" s="10"/>
      <c r="BV1354" s="10"/>
      <c r="BW1354" s="10"/>
      <c r="BX1354" s="10"/>
      <c r="BY1354" s="10"/>
      <c r="BZ1354" s="10"/>
      <c r="CA1354" s="10"/>
      <c r="CB1354" s="10"/>
      <c r="CC1354" s="10"/>
      <c r="CD1354" s="10"/>
      <c r="CE1354" s="10"/>
      <c r="CF1354" s="10"/>
      <c r="CG1354" s="10"/>
      <c r="CH1354" s="10"/>
      <c r="CI1354" s="10"/>
      <c r="CJ1354" s="10"/>
      <c r="CK1354" s="10"/>
      <c r="CL1354" s="10"/>
      <c r="CM1354" s="10"/>
      <c r="CN1354" s="10"/>
      <c r="CO1354" s="10"/>
    </row>
    <row r="1355" spans="1:93" ht="15" thickBot="1">
      <c r="A1355" s="10"/>
      <c r="B1355" s="10"/>
      <c r="C1355" s="17" t="s">
        <v>162</v>
      </c>
      <c r="D1355" s="10"/>
      <c r="E1355" s="186">
        <f ca="1">IFERROR(E1350/E$1351,0)</f>
        <v>0.76609319832412059</v>
      </c>
      <c r="F1355" s="11"/>
      <c r="G1355" s="11" t="s">
        <v>28</v>
      </c>
      <c r="H1355" s="11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  <c r="AY1355" s="10"/>
      <c r="AZ1355" s="10"/>
      <c r="BA1355" s="10"/>
      <c r="BB1355" s="10"/>
      <c r="BC1355" s="10"/>
      <c r="BD1355" s="10"/>
      <c r="BE1355" s="10"/>
      <c r="BF1355" s="10"/>
      <c r="BG1355" s="10"/>
      <c r="BH1355" s="10"/>
      <c r="BI1355" s="10"/>
      <c r="BJ1355" s="10"/>
      <c r="BK1355" s="10"/>
      <c r="BL1355" s="10"/>
      <c r="BM1355" s="10"/>
      <c r="BN1355" s="10"/>
      <c r="BO1355" s="10"/>
      <c r="BP1355" s="10"/>
      <c r="BQ1355" s="10"/>
      <c r="BR1355" s="10"/>
      <c r="BS1355" s="10"/>
      <c r="BT1355" s="10"/>
      <c r="BU1355" s="10"/>
      <c r="BV1355" s="10"/>
      <c r="BW1355" s="10"/>
      <c r="BX1355" s="10"/>
      <c r="BY1355" s="10"/>
      <c r="BZ1355" s="10"/>
      <c r="CA1355" s="10"/>
      <c r="CB1355" s="10"/>
      <c r="CC1355" s="10"/>
      <c r="CD1355" s="10"/>
      <c r="CE1355" s="10"/>
      <c r="CF1355" s="10"/>
      <c r="CG1355" s="10"/>
      <c r="CH1355" s="10"/>
      <c r="CI1355" s="10"/>
      <c r="CJ1355" s="10"/>
      <c r="CK1355" s="10"/>
      <c r="CL1355" s="10"/>
      <c r="CM1355" s="10"/>
      <c r="CN1355" s="10"/>
      <c r="CO1355" s="10"/>
    </row>
    <row r="1356" spans="1:93" ht="15" thickTop="1">
      <c r="A1356" s="10"/>
      <c r="B1356" s="10"/>
      <c r="C1356" s="49" t="s">
        <v>20</v>
      </c>
      <c r="D1356" s="49"/>
      <c r="E1356" s="187">
        <f ca="1">SUM(E1353:E1355)</f>
        <v>1</v>
      </c>
      <c r="F1356" s="11"/>
      <c r="G1356" s="11" t="s">
        <v>28</v>
      </c>
      <c r="H1356" s="11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  <c r="AY1356" s="10"/>
      <c r="AZ1356" s="10"/>
      <c r="BA1356" s="10"/>
      <c r="BB1356" s="10"/>
      <c r="BC1356" s="10"/>
      <c r="BD1356" s="10"/>
      <c r="BE1356" s="10"/>
      <c r="BF1356" s="10"/>
      <c r="BG1356" s="10"/>
      <c r="BH1356" s="10"/>
      <c r="BI1356" s="10"/>
      <c r="BJ1356" s="10"/>
      <c r="BK1356" s="10"/>
      <c r="BL1356" s="10"/>
      <c r="BM1356" s="10"/>
      <c r="BN1356" s="10"/>
      <c r="BO1356" s="10"/>
      <c r="BP1356" s="10"/>
      <c r="BQ1356" s="10"/>
      <c r="BR1356" s="10"/>
      <c r="BS1356" s="10"/>
      <c r="BT1356" s="10"/>
      <c r="BU1356" s="10"/>
      <c r="BV1356" s="10"/>
      <c r="BW1356" s="10"/>
      <c r="BX1356" s="10"/>
      <c r="BY1356" s="10"/>
      <c r="BZ1356" s="10"/>
      <c r="CA1356" s="10"/>
      <c r="CB1356" s="10"/>
      <c r="CC1356" s="10"/>
      <c r="CD1356" s="10"/>
      <c r="CE1356" s="10"/>
      <c r="CF1356" s="10"/>
      <c r="CG1356" s="10"/>
      <c r="CH1356" s="10"/>
      <c r="CI1356" s="10"/>
      <c r="CJ1356" s="10"/>
      <c r="CK1356" s="10"/>
      <c r="CL1356" s="10"/>
      <c r="CM1356" s="10"/>
      <c r="CN1356" s="10"/>
      <c r="CO1356" s="10"/>
    </row>
    <row r="1357" spans="1:93">
      <c r="A1357" s="10"/>
      <c r="B1357" s="10"/>
      <c r="C1357" s="10"/>
      <c r="D1357" s="10"/>
      <c r="E1357" s="62"/>
      <c r="F1357" s="11"/>
      <c r="G1357" s="11"/>
      <c r="H1357" s="11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  <c r="AY1357" s="10"/>
      <c r="AZ1357" s="10"/>
      <c r="BA1357" s="10"/>
      <c r="BB1357" s="10"/>
      <c r="BC1357" s="10"/>
      <c r="BD1357" s="10"/>
      <c r="BE1357" s="10"/>
      <c r="BF1357" s="10"/>
      <c r="BG1357" s="10"/>
      <c r="BH1357" s="10"/>
      <c r="BI1357" s="10"/>
      <c r="BJ1357" s="10"/>
      <c r="BK1357" s="10"/>
      <c r="BL1357" s="10"/>
      <c r="BM1357" s="10"/>
      <c r="BN1357" s="10"/>
      <c r="BO1357" s="10"/>
      <c r="BP1357" s="10"/>
      <c r="BQ1357" s="10"/>
      <c r="BR1357" s="10"/>
      <c r="BS1357" s="10"/>
      <c r="BT1357" s="10"/>
      <c r="BU1357" s="10"/>
      <c r="BV1357" s="10"/>
      <c r="BW1357" s="10"/>
      <c r="BX1357" s="10"/>
      <c r="BY1357" s="10"/>
      <c r="BZ1357" s="10"/>
      <c r="CA1357" s="10"/>
      <c r="CB1357" s="10"/>
      <c r="CC1357" s="10"/>
      <c r="CD1357" s="10"/>
      <c r="CE1357" s="10"/>
      <c r="CF1357" s="10"/>
      <c r="CG1357" s="10"/>
      <c r="CH1357" s="10"/>
      <c r="CI1357" s="10"/>
      <c r="CJ1357" s="10"/>
      <c r="CK1357" s="10"/>
      <c r="CL1357" s="10"/>
      <c r="CM1357" s="10"/>
      <c r="CN1357" s="10"/>
      <c r="CO1357" s="10"/>
    </row>
    <row r="1358" spans="1:93">
      <c r="A1358" s="10"/>
      <c r="B1358" s="10"/>
      <c r="C1358" s="16" t="s">
        <v>272</v>
      </c>
      <c r="D1358" s="10"/>
      <c r="E1358" s="62"/>
      <c r="F1358" s="11"/>
      <c r="G1358" s="11"/>
      <c r="H1358" s="11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  <c r="AY1358" s="10"/>
      <c r="AZ1358" s="10"/>
      <c r="BA1358" s="10"/>
      <c r="BB1358" s="10"/>
      <c r="BC1358" s="10"/>
      <c r="BD1358" s="10"/>
      <c r="BE1358" s="10"/>
      <c r="BF1358" s="10"/>
      <c r="BG1358" s="10"/>
      <c r="BH1358" s="10"/>
      <c r="BI1358" s="10"/>
      <c r="BJ1358" s="10"/>
      <c r="BK1358" s="10"/>
      <c r="BL1358" s="10"/>
      <c r="BM1358" s="10"/>
      <c r="BN1358" s="10"/>
      <c r="BO1358" s="10"/>
      <c r="BP1358" s="10"/>
      <c r="BQ1358" s="10"/>
      <c r="BR1358" s="10"/>
      <c r="BS1358" s="10"/>
      <c r="BT1358" s="10"/>
      <c r="BU1358" s="10"/>
      <c r="BV1358" s="10"/>
      <c r="BW1358" s="10"/>
      <c r="BX1358" s="10"/>
      <c r="BY1358" s="10"/>
      <c r="BZ1358" s="10"/>
      <c r="CA1358" s="10"/>
      <c r="CB1358" s="10"/>
      <c r="CC1358" s="10"/>
      <c r="CD1358" s="10"/>
      <c r="CE1358" s="10"/>
      <c r="CF1358" s="10"/>
      <c r="CG1358" s="10"/>
      <c r="CH1358" s="10"/>
      <c r="CI1358" s="10"/>
      <c r="CJ1358" s="10"/>
      <c r="CK1358" s="10"/>
      <c r="CL1358" s="10"/>
      <c r="CM1358" s="10"/>
      <c r="CN1358" s="10"/>
      <c r="CO1358" s="10"/>
    </row>
    <row r="1359" spans="1:93">
      <c r="A1359" s="10"/>
      <c r="B1359" s="10"/>
      <c r="C1359" s="17" t="s">
        <v>273</v>
      </c>
      <c r="D1359" s="10"/>
      <c r="E1359" s="188">
        <f>Предпосылки!E613</f>
        <v>3.9E-2</v>
      </c>
      <c r="F1359" s="11"/>
      <c r="G1359" s="11" t="s">
        <v>28</v>
      </c>
      <c r="H1359" s="11"/>
      <c r="I1359" s="3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  <c r="AY1359" s="10"/>
      <c r="AZ1359" s="10"/>
      <c r="BA1359" s="10"/>
      <c r="BB1359" s="10"/>
      <c r="BC1359" s="10"/>
      <c r="BD1359" s="10"/>
      <c r="BE1359" s="10"/>
      <c r="BF1359" s="10"/>
      <c r="BG1359" s="10"/>
      <c r="BH1359" s="10"/>
      <c r="BI1359" s="10"/>
      <c r="BJ1359" s="10"/>
      <c r="BK1359" s="10"/>
      <c r="BL1359" s="10"/>
      <c r="BM1359" s="10"/>
      <c r="BN1359" s="10"/>
      <c r="BO1359" s="10"/>
      <c r="BP1359" s="10"/>
      <c r="BQ1359" s="10"/>
      <c r="BR1359" s="10"/>
      <c r="BS1359" s="10"/>
      <c r="BT1359" s="10"/>
      <c r="BU1359" s="10"/>
      <c r="BV1359" s="10"/>
      <c r="BW1359" s="10"/>
      <c r="BX1359" s="10"/>
      <c r="BY1359" s="10"/>
      <c r="BZ1359" s="10"/>
      <c r="CA1359" s="10"/>
      <c r="CB1359" s="10"/>
      <c r="CC1359" s="10"/>
      <c r="CD1359" s="10"/>
      <c r="CE1359" s="10"/>
      <c r="CF1359" s="10"/>
      <c r="CG1359" s="10"/>
      <c r="CH1359" s="10"/>
      <c r="CI1359" s="10"/>
      <c r="CJ1359" s="10"/>
      <c r="CK1359" s="10"/>
      <c r="CL1359" s="10"/>
      <c r="CM1359" s="10"/>
      <c r="CN1359" s="10"/>
      <c r="CO1359" s="10"/>
    </row>
    <row r="1360" spans="1:93">
      <c r="A1360" s="10"/>
      <c r="B1360" s="10"/>
      <c r="C1360" s="17" t="s">
        <v>274</v>
      </c>
      <c r="D1360" s="10"/>
      <c r="E1360" s="188">
        <f>Предпосылки!E614</f>
        <v>7.2300000000000003E-2</v>
      </c>
      <c r="F1360" s="11"/>
      <c r="G1360" s="11" t="s">
        <v>28</v>
      </c>
      <c r="H1360" s="11"/>
      <c r="I1360" s="3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  <c r="AY1360" s="10"/>
      <c r="AZ1360" s="10"/>
      <c r="BA1360" s="10"/>
      <c r="BB1360" s="10"/>
      <c r="BC1360" s="10"/>
      <c r="BD1360" s="10"/>
      <c r="BE1360" s="10"/>
      <c r="BF1360" s="10"/>
      <c r="BG1360" s="10"/>
      <c r="BH1360" s="10"/>
      <c r="BI1360" s="10"/>
      <c r="BJ1360" s="10"/>
      <c r="BK1360" s="10"/>
      <c r="BL1360" s="10"/>
      <c r="BM1360" s="10"/>
      <c r="BN1360" s="10"/>
      <c r="BO1360" s="10"/>
      <c r="BP1360" s="10"/>
      <c r="BQ1360" s="10"/>
      <c r="BR1360" s="10"/>
      <c r="BS1360" s="10"/>
      <c r="BT1360" s="10"/>
      <c r="BU1360" s="10"/>
      <c r="BV1360" s="10"/>
      <c r="BW1360" s="10"/>
      <c r="BX1360" s="10"/>
      <c r="BY1360" s="10"/>
      <c r="BZ1360" s="10"/>
      <c r="CA1360" s="10"/>
      <c r="CB1360" s="10"/>
      <c r="CC1360" s="10"/>
      <c r="CD1360" s="10"/>
      <c r="CE1360" s="10"/>
      <c r="CF1360" s="10"/>
      <c r="CG1360" s="10"/>
      <c r="CH1360" s="10"/>
      <c r="CI1360" s="10"/>
      <c r="CJ1360" s="10"/>
      <c r="CK1360" s="10"/>
      <c r="CL1360" s="10"/>
      <c r="CM1360" s="10"/>
      <c r="CN1360" s="10"/>
      <c r="CO1360" s="10"/>
    </row>
    <row r="1361" spans="1:93">
      <c r="A1361" s="10"/>
      <c r="B1361" s="10"/>
      <c r="C1361" s="17" t="s">
        <v>275</v>
      </c>
      <c r="D1361" s="10"/>
      <c r="E1361" s="188">
        <f>Предпосылки!E617</f>
        <v>0</v>
      </c>
      <c r="F1361" s="11"/>
      <c r="G1361" s="11" t="s">
        <v>28</v>
      </c>
      <c r="H1361" s="11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  <c r="AY1361" s="10"/>
      <c r="AZ1361" s="10"/>
      <c r="BA1361" s="10"/>
      <c r="BB1361" s="10"/>
      <c r="BC1361" s="10"/>
      <c r="BD1361" s="10"/>
      <c r="BE1361" s="10"/>
      <c r="BF1361" s="10"/>
      <c r="BG1361" s="10"/>
      <c r="BH1361" s="10"/>
      <c r="BI1361" s="10"/>
      <c r="BJ1361" s="10"/>
      <c r="BK1361" s="10"/>
      <c r="BL1361" s="10"/>
      <c r="BM1361" s="10"/>
      <c r="BN1361" s="10"/>
      <c r="BO1361" s="10"/>
      <c r="BP1361" s="10"/>
      <c r="BQ1361" s="10"/>
      <c r="BR1361" s="10"/>
      <c r="BS1361" s="10"/>
      <c r="BT1361" s="10"/>
      <c r="BU1361" s="10"/>
      <c r="BV1361" s="10"/>
      <c r="BW1361" s="10"/>
      <c r="BX1361" s="10"/>
      <c r="BY1361" s="10"/>
      <c r="BZ1361" s="10"/>
      <c r="CA1361" s="10"/>
      <c r="CB1361" s="10"/>
      <c r="CC1361" s="10"/>
      <c r="CD1361" s="10"/>
      <c r="CE1361" s="10"/>
      <c r="CF1361" s="10"/>
      <c r="CG1361" s="10"/>
      <c r="CH1361" s="10"/>
      <c r="CI1361" s="10"/>
      <c r="CJ1361" s="10"/>
      <c r="CK1361" s="10"/>
      <c r="CL1361" s="10"/>
      <c r="CM1361" s="10"/>
      <c r="CN1361" s="10"/>
      <c r="CO1361" s="10"/>
    </row>
    <row r="1362" spans="1:93">
      <c r="A1362" s="10"/>
      <c r="B1362" s="10"/>
      <c r="C1362" s="17"/>
      <c r="D1362" s="10"/>
      <c r="E1362" s="62"/>
      <c r="F1362" s="11"/>
      <c r="G1362" s="11"/>
      <c r="H1362" s="11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  <c r="AY1362" s="10"/>
      <c r="AZ1362" s="10"/>
      <c r="BA1362" s="10"/>
      <c r="BB1362" s="10"/>
      <c r="BC1362" s="10"/>
      <c r="BD1362" s="10"/>
      <c r="BE1362" s="10"/>
      <c r="BF1362" s="10"/>
      <c r="BG1362" s="10"/>
      <c r="BH1362" s="10"/>
      <c r="BI1362" s="10"/>
      <c r="BJ1362" s="10"/>
      <c r="BK1362" s="10"/>
      <c r="BL1362" s="10"/>
      <c r="BM1362" s="10"/>
      <c r="BN1362" s="10"/>
      <c r="BO1362" s="10"/>
      <c r="BP1362" s="10"/>
      <c r="BQ1362" s="10"/>
      <c r="BR1362" s="10"/>
      <c r="BS1362" s="10"/>
      <c r="BT1362" s="10"/>
      <c r="BU1362" s="10"/>
      <c r="BV1362" s="10"/>
      <c r="BW1362" s="10"/>
      <c r="BX1362" s="10"/>
      <c r="BY1362" s="10"/>
      <c r="BZ1362" s="10"/>
      <c r="CA1362" s="10"/>
      <c r="CB1362" s="10"/>
      <c r="CC1362" s="10"/>
      <c r="CD1362" s="10"/>
      <c r="CE1362" s="10"/>
      <c r="CF1362" s="10"/>
      <c r="CG1362" s="10"/>
      <c r="CH1362" s="10"/>
      <c r="CI1362" s="10"/>
      <c r="CJ1362" s="10"/>
      <c r="CK1362" s="10"/>
      <c r="CL1362" s="10"/>
      <c r="CM1362" s="10"/>
      <c r="CN1362" s="10"/>
      <c r="CO1362" s="10"/>
    </row>
    <row r="1363" spans="1:93">
      <c r="A1363" s="10"/>
      <c r="B1363" s="10"/>
      <c r="C1363" s="16" t="s">
        <v>276</v>
      </c>
      <c r="D1363" s="10"/>
      <c r="E1363" s="62"/>
      <c r="F1363" s="11"/>
      <c r="G1363" s="11"/>
      <c r="H1363" s="11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  <c r="AY1363" s="10"/>
      <c r="AZ1363" s="10"/>
      <c r="BA1363" s="10"/>
      <c r="BB1363" s="10"/>
      <c r="BC1363" s="10"/>
      <c r="BD1363" s="10"/>
      <c r="BE1363" s="10"/>
      <c r="BF1363" s="10"/>
      <c r="BG1363" s="10"/>
      <c r="BH1363" s="10"/>
      <c r="BI1363" s="10"/>
      <c r="BJ1363" s="10"/>
      <c r="BK1363" s="10"/>
      <c r="BL1363" s="10"/>
      <c r="BM1363" s="10"/>
      <c r="BN1363" s="10"/>
      <c r="BO1363" s="10"/>
      <c r="BP1363" s="10"/>
      <c r="BQ1363" s="10"/>
      <c r="BR1363" s="10"/>
      <c r="BS1363" s="10"/>
      <c r="BT1363" s="10"/>
      <c r="BU1363" s="10"/>
      <c r="BV1363" s="10"/>
      <c r="BW1363" s="10"/>
      <c r="BX1363" s="10"/>
      <c r="BY1363" s="10"/>
      <c r="BZ1363" s="10"/>
      <c r="CA1363" s="10"/>
      <c r="CB1363" s="10"/>
      <c r="CC1363" s="10"/>
      <c r="CD1363" s="10"/>
      <c r="CE1363" s="10"/>
      <c r="CF1363" s="10"/>
      <c r="CG1363" s="10"/>
      <c r="CH1363" s="10"/>
      <c r="CI1363" s="10"/>
      <c r="CJ1363" s="10"/>
      <c r="CK1363" s="10"/>
      <c r="CL1363" s="10"/>
      <c r="CM1363" s="10"/>
      <c r="CN1363" s="10"/>
      <c r="CO1363" s="10"/>
    </row>
    <row r="1364" spans="1:93">
      <c r="A1364" s="10"/>
      <c r="B1364" s="10"/>
      <c r="C1364" s="17" t="s">
        <v>277</v>
      </c>
      <c r="D1364" s="10"/>
      <c r="E1364" s="189">
        <f>Предпосылки!E616</f>
        <v>1.34</v>
      </c>
      <c r="F1364" s="11"/>
      <c r="G1364" s="11" t="s">
        <v>378</v>
      </c>
      <c r="H1364" s="11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  <c r="AY1364" s="10"/>
      <c r="AZ1364" s="10"/>
      <c r="BA1364" s="10"/>
      <c r="BB1364" s="10"/>
      <c r="BC1364" s="10"/>
      <c r="BD1364" s="10"/>
      <c r="BE1364" s="10"/>
      <c r="BF1364" s="10"/>
      <c r="BG1364" s="10"/>
      <c r="BH1364" s="10"/>
      <c r="BI1364" s="10"/>
      <c r="BJ1364" s="10"/>
      <c r="BK1364" s="10"/>
      <c r="BL1364" s="10"/>
      <c r="BM1364" s="10"/>
      <c r="BN1364" s="10"/>
      <c r="BO1364" s="10"/>
      <c r="BP1364" s="10"/>
      <c r="BQ1364" s="10"/>
      <c r="BR1364" s="10"/>
      <c r="BS1364" s="10"/>
      <c r="BT1364" s="10"/>
      <c r="BU1364" s="10"/>
      <c r="BV1364" s="10"/>
      <c r="BW1364" s="10"/>
      <c r="BX1364" s="10"/>
      <c r="BY1364" s="10"/>
      <c r="BZ1364" s="10"/>
      <c r="CA1364" s="10"/>
      <c r="CB1364" s="10"/>
      <c r="CC1364" s="10"/>
      <c r="CD1364" s="10"/>
      <c r="CE1364" s="10"/>
      <c r="CF1364" s="10"/>
      <c r="CG1364" s="10"/>
      <c r="CH1364" s="10"/>
      <c r="CI1364" s="10"/>
      <c r="CJ1364" s="10"/>
      <c r="CK1364" s="10"/>
      <c r="CL1364" s="10"/>
      <c r="CM1364" s="10"/>
      <c r="CN1364" s="10"/>
      <c r="CO1364" s="10"/>
    </row>
    <row r="1365" spans="1:93">
      <c r="A1365" s="10"/>
      <c r="B1365" s="10"/>
      <c r="C1365" s="17" t="s">
        <v>278</v>
      </c>
      <c r="D1365" s="10"/>
      <c r="E1365" s="190">
        <f ca="1">E1354</f>
        <v>0</v>
      </c>
      <c r="F1365" s="11"/>
      <c r="G1365" s="11" t="s">
        <v>378</v>
      </c>
      <c r="H1365" s="11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  <c r="AY1365" s="10"/>
      <c r="AZ1365" s="10"/>
      <c r="BA1365" s="10"/>
      <c r="BB1365" s="10"/>
      <c r="BC1365" s="10"/>
      <c r="BD1365" s="10"/>
      <c r="BE1365" s="10"/>
      <c r="BF1365" s="10"/>
      <c r="BG1365" s="10"/>
      <c r="BH1365" s="10"/>
      <c r="BI1365" s="10"/>
      <c r="BJ1365" s="10"/>
      <c r="BK1365" s="10"/>
      <c r="BL1365" s="10"/>
      <c r="BM1365" s="10"/>
      <c r="BN1365" s="10"/>
      <c r="BO1365" s="10"/>
      <c r="BP1365" s="10"/>
      <c r="BQ1365" s="10"/>
      <c r="BR1365" s="10"/>
      <c r="BS1365" s="10"/>
      <c r="BT1365" s="10"/>
      <c r="BU1365" s="10"/>
      <c r="BV1365" s="10"/>
      <c r="BW1365" s="10"/>
      <c r="BX1365" s="10"/>
      <c r="BY1365" s="10"/>
      <c r="BZ1365" s="10"/>
      <c r="CA1365" s="10"/>
      <c r="CB1365" s="10"/>
      <c r="CC1365" s="10"/>
      <c r="CD1365" s="10"/>
      <c r="CE1365" s="10"/>
      <c r="CF1365" s="10"/>
      <c r="CG1365" s="10"/>
      <c r="CH1365" s="10"/>
      <c r="CI1365" s="10"/>
      <c r="CJ1365" s="10"/>
      <c r="CK1365" s="10"/>
      <c r="CL1365" s="10"/>
      <c r="CM1365" s="10"/>
      <c r="CN1365" s="10"/>
      <c r="CO1365" s="10"/>
    </row>
    <row r="1366" spans="1:93">
      <c r="A1366" s="10"/>
      <c r="B1366" s="10"/>
      <c r="C1366" s="17" t="s">
        <v>279</v>
      </c>
      <c r="D1366" s="10"/>
      <c r="E1366" s="190">
        <f ca="1">SUM(E1353:E1354)</f>
        <v>0.23390680167587943</v>
      </c>
      <c r="F1366" s="11"/>
      <c r="G1366" s="11" t="s">
        <v>378</v>
      </c>
      <c r="H1366" s="11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  <c r="AY1366" s="10"/>
      <c r="AZ1366" s="10"/>
      <c r="BA1366" s="10"/>
      <c r="BB1366" s="10"/>
      <c r="BC1366" s="10"/>
      <c r="BD1366" s="10"/>
      <c r="BE1366" s="10"/>
      <c r="BF1366" s="10"/>
      <c r="BG1366" s="10"/>
      <c r="BH1366" s="10"/>
      <c r="BI1366" s="10"/>
      <c r="BJ1366" s="10"/>
      <c r="BK1366" s="10"/>
      <c r="BL1366" s="10"/>
      <c r="BM1366" s="10"/>
      <c r="BN1366" s="10"/>
      <c r="BO1366" s="10"/>
      <c r="BP1366" s="10"/>
      <c r="BQ1366" s="10"/>
      <c r="BR1366" s="10"/>
      <c r="BS1366" s="10"/>
      <c r="BT1366" s="10"/>
      <c r="BU1366" s="10"/>
      <c r="BV1366" s="10"/>
      <c r="BW1366" s="10"/>
      <c r="BX1366" s="10"/>
      <c r="BY1366" s="10"/>
      <c r="BZ1366" s="10"/>
      <c r="CA1366" s="10"/>
      <c r="CB1366" s="10"/>
      <c r="CC1366" s="10"/>
      <c r="CD1366" s="10"/>
      <c r="CE1366" s="10"/>
      <c r="CF1366" s="10"/>
      <c r="CG1366" s="10"/>
      <c r="CH1366" s="10"/>
      <c r="CI1366" s="10"/>
      <c r="CJ1366" s="10"/>
      <c r="CK1366" s="10"/>
      <c r="CL1366" s="10"/>
      <c r="CM1366" s="10"/>
      <c r="CN1366" s="10"/>
      <c r="CO1366" s="10"/>
    </row>
    <row r="1367" spans="1:93" ht="15" thickBot="1">
      <c r="A1367" s="10"/>
      <c r="B1367" s="10"/>
      <c r="C1367" s="17" t="s">
        <v>280</v>
      </c>
      <c r="D1367" s="10"/>
      <c r="E1367" s="190">
        <f ca="1">IFERROR(E1364*(1+E1365/E1366*(1-Profits_Tax_Rate)),E1364)</f>
        <v>1.34</v>
      </c>
      <c r="F1367" s="11"/>
      <c r="G1367" s="11" t="s">
        <v>378</v>
      </c>
      <c r="H1367" s="11"/>
      <c r="I1367" s="11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  <c r="AY1367" s="10"/>
      <c r="AZ1367" s="10"/>
      <c r="BA1367" s="10"/>
      <c r="BB1367" s="10"/>
      <c r="BC1367" s="10"/>
      <c r="BD1367" s="10"/>
      <c r="BE1367" s="10"/>
      <c r="BF1367" s="10"/>
      <c r="BG1367" s="10"/>
      <c r="BH1367" s="10"/>
      <c r="BI1367" s="10"/>
      <c r="BJ1367" s="10"/>
      <c r="BK1367" s="10"/>
      <c r="BL1367" s="10"/>
      <c r="BM1367" s="10"/>
      <c r="BN1367" s="10"/>
      <c r="BO1367" s="10"/>
      <c r="BP1367" s="10"/>
      <c r="BQ1367" s="10"/>
      <c r="BR1367" s="10"/>
      <c r="BS1367" s="10"/>
      <c r="BT1367" s="10"/>
      <c r="BU1367" s="10"/>
      <c r="BV1367" s="10"/>
      <c r="BW1367" s="10"/>
      <c r="BX1367" s="10"/>
      <c r="BY1367" s="10"/>
      <c r="BZ1367" s="10"/>
      <c r="CA1367" s="10"/>
      <c r="CB1367" s="10"/>
      <c r="CC1367" s="10"/>
      <c r="CD1367" s="10"/>
      <c r="CE1367" s="10"/>
      <c r="CF1367" s="10"/>
      <c r="CG1367" s="10"/>
      <c r="CH1367" s="10"/>
      <c r="CI1367" s="10"/>
      <c r="CJ1367" s="10"/>
      <c r="CK1367" s="10"/>
      <c r="CL1367" s="10"/>
      <c r="CM1367" s="10"/>
      <c r="CN1367" s="10"/>
      <c r="CO1367" s="10"/>
    </row>
    <row r="1368" spans="1:93" ht="15" thickTop="1">
      <c r="A1368" s="10"/>
      <c r="B1368" s="10"/>
      <c r="C1368" s="49" t="s">
        <v>281</v>
      </c>
      <c r="D1368" s="49"/>
      <c r="E1368" s="186">
        <f ca="1">E1359+E1360*E1367+E1361</f>
        <v>0.135882</v>
      </c>
      <c r="F1368" s="11"/>
      <c r="G1368" s="11" t="s">
        <v>28</v>
      </c>
      <c r="H1368" s="11"/>
      <c r="I1368" s="11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  <c r="AY1368" s="10"/>
      <c r="AZ1368" s="10"/>
      <c r="BA1368" s="10"/>
      <c r="BB1368" s="10"/>
      <c r="BC1368" s="10"/>
      <c r="BD1368" s="10"/>
      <c r="BE1368" s="10"/>
      <c r="BF1368" s="10"/>
      <c r="BG1368" s="10"/>
      <c r="BH1368" s="10"/>
      <c r="BI1368" s="10"/>
      <c r="BJ1368" s="10"/>
      <c r="BK1368" s="10"/>
      <c r="BL1368" s="10"/>
      <c r="BM1368" s="10"/>
      <c r="BN1368" s="10"/>
      <c r="BO1368" s="10"/>
      <c r="BP1368" s="10"/>
      <c r="BQ1368" s="10"/>
      <c r="BR1368" s="10"/>
      <c r="BS1368" s="10"/>
      <c r="BT1368" s="10"/>
      <c r="BU1368" s="10"/>
      <c r="BV1368" s="10"/>
      <c r="BW1368" s="10"/>
      <c r="BX1368" s="10"/>
      <c r="BY1368" s="10"/>
      <c r="BZ1368" s="10"/>
      <c r="CA1368" s="10"/>
      <c r="CB1368" s="10"/>
      <c r="CC1368" s="10"/>
      <c r="CD1368" s="10"/>
      <c r="CE1368" s="10"/>
      <c r="CF1368" s="10"/>
      <c r="CG1368" s="10"/>
      <c r="CH1368" s="10"/>
      <c r="CI1368" s="10"/>
      <c r="CJ1368" s="10"/>
      <c r="CK1368" s="10"/>
      <c r="CL1368" s="10"/>
      <c r="CM1368" s="10"/>
      <c r="CN1368" s="10"/>
      <c r="CO1368" s="10"/>
    </row>
    <row r="1369" spans="1:93">
      <c r="A1369" s="10"/>
      <c r="B1369" s="10"/>
      <c r="C1369" s="17"/>
      <c r="D1369" s="10"/>
      <c r="E1369" s="62"/>
      <c r="F1369" s="11"/>
      <c r="G1369" s="11"/>
      <c r="H1369" s="11"/>
      <c r="I1369" s="11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  <c r="AY1369" s="10"/>
      <c r="AZ1369" s="10"/>
      <c r="BA1369" s="10"/>
      <c r="BB1369" s="10"/>
      <c r="BC1369" s="10"/>
      <c r="BD1369" s="10"/>
      <c r="BE1369" s="10"/>
      <c r="BF1369" s="10"/>
      <c r="BG1369" s="10"/>
      <c r="BH1369" s="10"/>
      <c r="BI1369" s="10"/>
      <c r="BJ1369" s="10"/>
      <c r="BK1369" s="10"/>
      <c r="BL1369" s="10"/>
      <c r="BM1369" s="10"/>
      <c r="BN1369" s="10"/>
      <c r="BO1369" s="10"/>
      <c r="BP1369" s="10"/>
      <c r="BQ1369" s="10"/>
      <c r="BR1369" s="10"/>
      <c r="BS1369" s="10"/>
      <c r="BT1369" s="10"/>
      <c r="BU1369" s="10"/>
      <c r="BV1369" s="10"/>
      <c r="BW1369" s="10"/>
      <c r="BX1369" s="10"/>
      <c r="BY1369" s="10"/>
      <c r="BZ1369" s="10"/>
      <c r="CA1369" s="10"/>
      <c r="CB1369" s="10"/>
      <c r="CC1369" s="10"/>
      <c r="CD1369" s="10"/>
      <c r="CE1369" s="10"/>
      <c r="CF1369" s="10"/>
      <c r="CG1369" s="10"/>
      <c r="CH1369" s="10"/>
      <c r="CI1369" s="10"/>
      <c r="CJ1369" s="10"/>
      <c r="CK1369" s="10"/>
      <c r="CL1369" s="10"/>
      <c r="CM1369" s="10"/>
      <c r="CN1369" s="10"/>
      <c r="CO1369" s="10"/>
    </row>
    <row r="1370" spans="1:93">
      <c r="A1370" s="10"/>
      <c r="B1370" s="10"/>
      <c r="C1370" s="17" t="s">
        <v>282</v>
      </c>
      <c r="D1370" s="10"/>
      <c r="E1370" s="188">
        <f>Предпосылки!E619</f>
        <v>8.5999999999999993E-2</v>
      </c>
      <c r="F1370" s="11"/>
      <c r="G1370" s="11" t="s">
        <v>28</v>
      </c>
      <c r="H1370" s="11"/>
      <c r="I1370" s="11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  <c r="AY1370" s="10"/>
      <c r="AZ1370" s="10"/>
      <c r="BA1370" s="10"/>
      <c r="BB1370" s="10"/>
      <c r="BC1370" s="10"/>
      <c r="BD1370" s="10"/>
      <c r="BE1370" s="10"/>
      <c r="BF1370" s="10"/>
      <c r="BG1370" s="10"/>
      <c r="BH1370" s="10"/>
      <c r="BI1370" s="10"/>
      <c r="BJ1370" s="10"/>
      <c r="BK1370" s="10"/>
      <c r="BL1370" s="10"/>
      <c r="BM1370" s="10"/>
      <c r="BN1370" s="10"/>
      <c r="BO1370" s="10"/>
      <c r="BP1370" s="10"/>
      <c r="BQ1370" s="10"/>
      <c r="BR1370" s="10"/>
      <c r="BS1370" s="10"/>
      <c r="BT1370" s="10"/>
      <c r="BU1370" s="10"/>
      <c r="BV1370" s="10"/>
      <c r="BW1370" s="10"/>
      <c r="BX1370" s="10"/>
      <c r="BY1370" s="10"/>
      <c r="BZ1370" s="10"/>
      <c r="CA1370" s="10"/>
      <c r="CB1370" s="10"/>
      <c r="CC1370" s="10"/>
      <c r="CD1370" s="10"/>
      <c r="CE1370" s="10"/>
      <c r="CF1370" s="10"/>
      <c r="CG1370" s="10"/>
      <c r="CH1370" s="10"/>
      <c r="CI1370" s="10"/>
      <c r="CJ1370" s="10"/>
      <c r="CK1370" s="10"/>
      <c r="CL1370" s="10"/>
      <c r="CM1370" s="10"/>
      <c r="CN1370" s="10"/>
      <c r="CO1370" s="10"/>
    </row>
    <row r="1371" spans="1:93" ht="15" thickBot="1">
      <c r="A1371" s="10"/>
      <c r="B1371" s="10"/>
      <c r="C1371" s="17" t="s">
        <v>283</v>
      </c>
      <c r="D1371" s="10"/>
      <c r="E1371" s="188">
        <f>Предпосылки!E620</f>
        <v>0.16200000000000001</v>
      </c>
      <c r="F1371" s="11"/>
      <c r="G1371" s="11" t="s">
        <v>28</v>
      </c>
      <c r="H1371" s="11"/>
      <c r="I1371" s="11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  <c r="AY1371" s="10"/>
      <c r="AZ1371" s="10"/>
      <c r="BA1371" s="10"/>
      <c r="BB1371" s="10"/>
      <c r="BC1371" s="10"/>
      <c r="BD1371" s="10"/>
      <c r="BE1371" s="10"/>
      <c r="BF1371" s="10"/>
      <c r="BG1371" s="10"/>
      <c r="BH1371" s="10"/>
      <c r="BI1371" s="10"/>
      <c r="BJ1371" s="10"/>
      <c r="BK1371" s="10"/>
      <c r="BL1371" s="10"/>
      <c r="BM1371" s="10"/>
      <c r="BN1371" s="10"/>
      <c r="BO1371" s="10"/>
      <c r="BP1371" s="10"/>
      <c r="BQ1371" s="10"/>
      <c r="BR1371" s="10"/>
      <c r="BS1371" s="10"/>
      <c r="BT1371" s="10"/>
      <c r="BU1371" s="10"/>
      <c r="BV1371" s="10"/>
      <c r="BW1371" s="10"/>
      <c r="BX1371" s="10"/>
      <c r="BY1371" s="10"/>
      <c r="BZ1371" s="10"/>
      <c r="CA1371" s="10"/>
      <c r="CB1371" s="10"/>
      <c r="CC1371" s="10"/>
      <c r="CD1371" s="10"/>
      <c r="CE1371" s="10"/>
      <c r="CF1371" s="10"/>
      <c r="CG1371" s="10"/>
      <c r="CH1371" s="10"/>
      <c r="CI1371" s="10"/>
      <c r="CJ1371" s="10"/>
      <c r="CK1371" s="10"/>
      <c r="CL1371" s="10"/>
      <c r="CM1371" s="10"/>
      <c r="CN1371" s="10"/>
      <c r="CO1371" s="10"/>
    </row>
    <row r="1372" spans="1:93" ht="15" thickTop="1">
      <c r="A1372" s="10"/>
      <c r="B1372" s="10"/>
      <c r="C1372" s="49" t="s">
        <v>284</v>
      </c>
      <c r="D1372" s="49"/>
      <c r="E1372" s="186">
        <f ca="1">((1+E1368)*((1+E1371)/(1+E1370))-1)</f>
        <v>0.21537282136279923</v>
      </c>
      <c r="F1372" s="11"/>
      <c r="G1372" s="11" t="s">
        <v>28</v>
      </c>
      <c r="H1372" s="11"/>
      <c r="I1372" s="11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  <c r="AY1372" s="10"/>
      <c r="AZ1372" s="10"/>
      <c r="BA1372" s="10"/>
      <c r="BB1372" s="10"/>
      <c r="BC1372" s="10"/>
      <c r="BD1372" s="10"/>
      <c r="BE1372" s="10"/>
      <c r="BF1372" s="10"/>
      <c r="BG1372" s="10"/>
      <c r="BH1372" s="10"/>
      <c r="BI1372" s="10"/>
      <c r="BJ1372" s="10"/>
      <c r="BK1372" s="10"/>
      <c r="BL1372" s="10"/>
      <c r="BM1372" s="10"/>
      <c r="BN1372" s="10"/>
      <c r="BO1372" s="10"/>
      <c r="BP1372" s="10"/>
      <c r="BQ1372" s="10"/>
      <c r="BR1372" s="10"/>
      <c r="BS1372" s="10"/>
      <c r="BT1372" s="10"/>
      <c r="BU1372" s="10"/>
      <c r="BV1372" s="10"/>
      <c r="BW1372" s="10"/>
      <c r="BX1372" s="10"/>
      <c r="BY1372" s="10"/>
      <c r="BZ1372" s="10"/>
      <c r="CA1372" s="10"/>
      <c r="CB1372" s="10"/>
      <c r="CC1372" s="10"/>
      <c r="CD1372" s="10"/>
      <c r="CE1372" s="10"/>
      <c r="CF1372" s="10"/>
      <c r="CG1372" s="10"/>
      <c r="CH1372" s="10"/>
      <c r="CI1372" s="10"/>
      <c r="CJ1372" s="10"/>
      <c r="CK1372" s="10"/>
      <c r="CL1372" s="10"/>
      <c r="CM1372" s="10"/>
      <c r="CN1372" s="10"/>
      <c r="CO1372" s="10"/>
    </row>
    <row r="1373" spans="1:93">
      <c r="A1373" s="10"/>
      <c r="B1373" s="10"/>
      <c r="C1373" s="17"/>
      <c r="D1373" s="10"/>
      <c r="E1373" s="151"/>
      <c r="F1373" s="11"/>
      <c r="G1373" s="11"/>
      <c r="H1373" s="11"/>
      <c r="I1373" s="11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  <c r="AY1373" s="10"/>
      <c r="AZ1373" s="10"/>
      <c r="BA1373" s="10"/>
      <c r="BB1373" s="10"/>
      <c r="BC1373" s="10"/>
      <c r="BD1373" s="10"/>
      <c r="BE1373" s="10"/>
      <c r="BF1373" s="10"/>
      <c r="BG1373" s="10"/>
      <c r="BH1373" s="10"/>
      <c r="BI1373" s="10"/>
      <c r="BJ1373" s="10"/>
      <c r="BK1373" s="10"/>
      <c r="BL1373" s="10"/>
      <c r="BM1373" s="10"/>
      <c r="BN1373" s="10"/>
      <c r="BO1373" s="10"/>
      <c r="BP1373" s="10"/>
      <c r="BQ1373" s="10"/>
      <c r="BR1373" s="10"/>
      <c r="BS1373" s="10"/>
      <c r="BT1373" s="10"/>
      <c r="BU1373" s="10"/>
      <c r="BV1373" s="10"/>
      <c r="BW1373" s="10"/>
      <c r="BX1373" s="10"/>
      <c r="BY1373" s="10"/>
      <c r="BZ1373" s="10"/>
      <c r="CA1373" s="10"/>
      <c r="CB1373" s="10"/>
      <c r="CC1373" s="10"/>
      <c r="CD1373" s="10"/>
      <c r="CE1373" s="10"/>
      <c r="CF1373" s="10"/>
      <c r="CG1373" s="10"/>
      <c r="CH1373" s="10"/>
      <c r="CI1373" s="10"/>
      <c r="CJ1373" s="10"/>
      <c r="CK1373" s="10"/>
      <c r="CL1373" s="10"/>
      <c r="CM1373" s="10"/>
      <c r="CN1373" s="10"/>
      <c r="CO1373" s="10"/>
    </row>
    <row r="1374" spans="1:93">
      <c r="A1374" s="10"/>
      <c r="B1374" s="10"/>
      <c r="C1374" s="41" t="s">
        <v>285</v>
      </c>
      <c r="D1374" s="10"/>
      <c r="E1374" s="10"/>
      <c r="F1374" s="11"/>
      <c r="G1374" s="11"/>
      <c r="H1374" s="11"/>
      <c r="I1374" s="11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  <c r="AY1374" s="10"/>
      <c r="AZ1374" s="10"/>
      <c r="BA1374" s="10"/>
      <c r="BB1374" s="10"/>
      <c r="BC1374" s="10"/>
      <c r="BD1374" s="10"/>
      <c r="BE1374" s="10"/>
      <c r="BF1374" s="10"/>
      <c r="BG1374" s="10"/>
      <c r="BH1374" s="10"/>
      <c r="BI1374" s="10"/>
      <c r="BJ1374" s="10"/>
      <c r="BK1374" s="10"/>
      <c r="BL1374" s="10"/>
      <c r="BM1374" s="10"/>
      <c r="BN1374" s="10"/>
      <c r="BO1374" s="10"/>
      <c r="BP1374" s="10"/>
      <c r="BQ1374" s="10"/>
      <c r="BR1374" s="10"/>
      <c r="BS1374" s="10"/>
      <c r="BT1374" s="10"/>
      <c r="BU1374" s="10"/>
      <c r="BV1374" s="10"/>
      <c r="BW1374" s="10"/>
      <c r="BX1374" s="10"/>
      <c r="BY1374" s="10"/>
      <c r="BZ1374" s="10"/>
      <c r="CA1374" s="10"/>
      <c r="CB1374" s="10"/>
      <c r="CC1374" s="10"/>
      <c r="CD1374" s="10"/>
      <c r="CE1374" s="10"/>
      <c r="CF1374" s="10"/>
      <c r="CG1374" s="10"/>
      <c r="CH1374" s="10"/>
      <c r="CI1374" s="10"/>
      <c r="CJ1374" s="10"/>
      <c r="CK1374" s="10"/>
      <c r="CL1374" s="10"/>
      <c r="CM1374" s="10"/>
      <c r="CN1374" s="10"/>
      <c r="CO1374" s="10"/>
    </row>
    <row r="1375" spans="1:93">
      <c r="A1375" s="10"/>
      <c r="B1375" s="10"/>
      <c r="C1375" s="17" t="s">
        <v>271</v>
      </c>
      <c r="D1375" s="10"/>
      <c r="E1375" s="186">
        <f ca="1">E1372</f>
        <v>0.21537282136279923</v>
      </c>
      <c r="F1375" s="11"/>
      <c r="G1375" s="11" t="s">
        <v>28</v>
      </c>
      <c r="H1375" s="11"/>
      <c r="I1375" s="11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  <c r="AY1375" s="10"/>
      <c r="AZ1375" s="10"/>
      <c r="BA1375" s="10"/>
      <c r="BB1375" s="10"/>
      <c r="BC1375" s="10"/>
      <c r="BD1375" s="10"/>
      <c r="BE1375" s="10"/>
      <c r="BF1375" s="10"/>
      <c r="BG1375" s="10"/>
      <c r="BH1375" s="10"/>
      <c r="BI1375" s="10"/>
      <c r="BJ1375" s="10"/>
      <c r="BK1375" s="10"/>
      <c r="BL1375" s="10"/>
      <c r="BM1375" s="10"/>
      <c r="BN1375" s="10"/>
      <c r="BO1375" s="10"/>
      <c r="BP1375" s="10"/>
      <c r="BQ1375" s="10"/>
      <c r="BR1375" s="10"/>
      <c r="BS1375" s="10"/>
      <c r="BT1375" s="10"/>
      <c r="BU1375" s="10"/>
      <c r="BV1375" s="10"/>
      <c r="BW1375" s="10"/>
      <c r="BX1375" s="10"/>
      <c r="BY1375" s="10"/>
      <c r="BZ1375" s="10"/>
      <c r="CA1375" s="10"/>
      <c r="CB1375" s="10"/>
      <c r="CC1375" s="10"/>
      <c r="CD1375" s="10"/>
      <c r="CE1375" s="10"/>
      <c r="CF1375" s="10"/>
      <c r="CG1375" s="10"/>
      <c r="CH1375" s="10"/>
      <c r="CI1375" s="10"/>
      <c r="CJ1375" s="10"/>
      <c r="CK1375" s="10"/>
      <c r="CL1375" s="10"/>
      <c r="CM1375" s="10"/>
      <c r="CN1375" s="10"/>
      <c r="CO1375" s="10"/>
    </row>
    <row r="1376" spans="1:93">
      <c r="A1376" s="10"/>
      <c r="B1376" s="10"/>
      <c r="C1376" s="17" t="s">
        <v>360</v>
      </c>
      <c r="D1376" s="10"/>
      <c r="E1376" s="186">
        <f>Предпосылки!$E$609+AVERAGE(CBR_Rate_Forecast)*Periods_in_Year</f>
        <v>0.13986100902104903</v>
      </c>
      <c r="F1376" s="11"/>
      <c r="G1376" s="11" t="s">
        <v>28</v>
      </c>
      <c r="H1376" s="11"/>
      <c r="I1376" s="11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  <c r="AY1376" s="10"/>
      <c r="AZ1376" s="10"/>
      <c r="BA1376" s="10"/>
      <c r="BB1376" s="10"/>
      <c r="BC1376" s="10"/>
      <c r="BD1376" s="10"/>
      <c r="BE1376" s="10"/>
      <c r="BF1376" s="10"/>
      <c r="BG1376" s="10"/>
      <c r="BH1376" s="10"/>
      <c r="BI1376" s="10"/>
      <c r="BJ1376" s="10"/>
      <c r="BK1376" s="10"/>
      <c r="BL1376" s="10"/>
      <c r="BM1376" s="10"/>
      <c r="BN1376" s="10"/>
      <c r="BO1376" s="10"/>
      <c r="BP1376" s="10"/>
      <c r="BQ1376" s="10"/>
      <c r="BR1376" s="10"/>
      <c r="BS1376" s="10"/>
      <c r="BT1376" s="10"/>
      <c r="BU1376" s="10"/>
      <c r="BV1376" s="10"/>
      <c r="BW1376" s="10"/>
      <c r="BX1376" s="10"/>
      <c r="BY1376" s="10"/>
      <c r="BZ1376" s="10"/>
      <c r="CA1376" s="10"/>
      <c r="CB1376" s="10"/>
      <c r="CC1376" s="10"/>
      <c r="CD1376" s="10"/>
      <c r="CE1376" s="10"/>
      <c r="CF1376" s="10"/>
      <c r="CG1376" s="10"/>
      <c r="CH1376" s="10"/>
      <c r="CI1376" s="10"/>
      <c r="CJ1376" s="10"/>
      <c r="CK1376" s="10"/>
      <c r="CL1376" s="10"/>
      <c r="CM1376" s="10"/>
      <c r="CN1376" s="10"/>
      <c r="CO1376" s="10"/>
    </row>
    <row r="1377" spans="1:93" ht="15" thickBot="1">
      <c r="A1377" s="10"/>
      <c r="B1377" s="10"/>
      <c r="C1377" s="17" t="s">
        <v>162</v>
      </c>
      <c r="D1377" s="10"/>
      <c r="E1377" s="186">
        <f xml:space="preserve"> SUMPRODUCT(L1177:CO1177,L1183:CO1183)/SUM(L1183:CO1183)*Periods_in_Year</f>
        <v>5.7999999999999989E-2</v>
      </c>
      <c r="F1377" s="11"/>
      <c r="G1377" s="11" t="s">
        <v>28</v>
      </c>
      <c r="H1377" s="11"/>
      <c r="I1377" s="11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  <c r="AY1377" s="10"/>
      <c r="AZ1377" s="10"/>
      <c r="BA1377" s="10"/>
      <c r="BB1377" s="10"/>
      <c r="BC1377" s="10"/>
      <c r="BD1377" s="10"/>
      <c r="BE1377" s="10"/>
      <c r="BF1377" s="10"/>
      <c r="BG1377" s="10"/>
      <c r="BH1377" s="10"/>
      <c r="BI1377" s="10"/>
      <c r="BJ1377" s="10"/>
      <c r="BK1377" s="10"/>
      <c r="BL1377" s="10"/>
      <c r="BM1377" s="10"/>
      <c r="BN1377" s="10"/>
      <c r="BO1377" s="10"/>
      <c r="BP1377" s="10"/>
      <c r="BQ1377" s="10"/>
      <c r="BR1377" s="10"/>
      <c r="BS1377" s="10"/>
      <c r="BT1377" s="10"/>
      <c r="BU1377" s="10"/>
      <c r="BV1377" s="10"/>
      <c r="BW1377" s="10"/>
      <c r="BX1377" s="10"/>
      <c r="BY1377" s="10"/>
      <c r="BZ1377" s="10"/>
      <c r="CA1377" s="10"/>
      <c r="CB1377" s="10"/>
      <c r="CC1377" s="10"/>
      <c r="CD1377" s="10"/>
      <c r="CE1377" s="10"/>
      <c r="CF1377" s="10"/>
      <c r="CG1377" s="10"/>
      <c r="CH1377" s="10"/>
      <c r="CI1377" s="10"/>
      <c r="CJ1377" s="10"/>
      <c r="CK1377" s="10"/>
      <c r="CL1377" s="10"/>
      <c r="CM1377" s="10"/>
      <c r="CN1377" s="10"/>
      <c r="CO1377" s="10"/>
    </row>
    <row r="1378" spans="1:93" ht="15" thickTop="1">
      <c r="A1378" s="10"/>
      <c r="B1378" s="10"/>
      <c r="C1378" s="49" t="s">
        <v>260</v>
      </c>
      <c r="D1378" s="49"/>
      <c r="E1378" s="186">
        <f ca="1">E1353*E1375+(E1354*E1376+E1355*E1377)*(1-Profits_Tax_Rate)</f>
        <v>8.7923395462748022E-2</v>
      </c>
      <c r="F1378" s="11"/>
      <c r="G1378" s="11" t="s">
        <v>28</v>
      </c>
      <c r="H1378" s="11"/>
      <c r="I1378" s="11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  <c r="AY1378" s="10"/>
      <c r="AZ1378" s="10"/>
      <c r="BA1378" s="10"/>
      <c r="BB1378" s="10"/>
      <c r="BC1378" s="10"/>
      <c r="BD1378" s="10"/>
      <c r="BE1378" s="10"/>
      <c r="BF1378" s="10"/>
      <c r="BG1378" s="10"/>
      <c r="BH1378" s="10"/>
      <c r="BI1378" s="10"/>
      <c r="BJ1378" s="10"/>
      <c r="BK1378" s="10"/>
      <c r="BL1378" s="10"/>
      <c r="BM1378" s="10"/>
      <c r="BN1378" s="10"/>
      <c r="BO1378" s="10"/>
      <c r="BP1378" s="10"/>
      <c r="BQ1378" s="10"/>
      <c r="BR1378" s="10"/>
      <c r="BS1378" s="10"/>
      <c r="BT1378" s="10"/>
      <c r="BU1378" s="10"/>
      <c r="BV1378" s="10"/>
      <c r="BW1378" s="10"/>
      <c r="BX1378" s="10"/>
      <c r="BY1378" s="10"/>
      <c r="BZ1378" s="10"/>
      <c r="CA1378" s="10"/>
      <c r="CB1378" s="10"/>
      <c r="CC1378" s="10"/>
      <c r="CD1378" s="10"/>
      <c r="CE1378" s="10"/>
      <c r="CF1378" s="10"/>
      <c r="CG1378" s="10"/>
      <c r="CH1378" s="10"/>
      <c r="CI1378" s="10"/>
      <c r="CJ1378" s="10"/>
      <c r="CK1378" s="10"/>
      <c r="CL1378" s="10"/>
      <c r="CM1378" s="10"/>
      <c r="CN1378" s="10"/>
      <c r="CO1378" s="10"/>
    </row>
    <row r="1379" spans="1:93">
      <c r="A1379" s="10"/>
      <c r="B1379" s="10"/>
      <c r="C1379" s="10"/>
      <c r="D1379" s="10"/>
      <c r="E1379" s="62"/>
      <c r="F1379" s="10"/>
      <c r="G1379" s="11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  <c r="AY1379" s="10"/>
      <c r="AZ1379" s="10"/>
      <c r="BA1379" s="10"/>
      <c r="BB1379" s="10"/>
      <c r="BC1379" s="10"/>
      <c r="BD1379" s="10"/>
      <c r="BE1379" s="10"/>
      <c r="BF1379" s="10"/>
      <c r="BG1379" s="10"/>
      <c r="BH1379" s="10"/>
      <c r="BI1379" s="10"/>
      <c r="BJ1379" s="10"/>
      <c r="BK1379" s="10"/>
      <c r="BL1379" s="10"/>
      <c r="BM1379" s="10"/>
      <c r="BN1379" s="10"/>
      <c r="BO1379" s="10"/>
      <c r="BP1379" s="10"/>
      <c r="BQ1379" s="10"/>
      <c r="BR1379" s="10"/>
      <c r="BS1379" s="10"/>
      <c r="BT1379" s="10"/>
      <c r="BU1379" s="10"/>
      <c r="BV1379" s="10"/>
      <c r="BW1379" s="10"/>
      <c r="BX1379" s="10"/>
      <c r="BY1379" s="10"/>
      <c r="BZ1379" s="10"/>
      <c r="CA1379" s="10"/>
      <c r="CB1379" s="10"/>
      <c r="CC1379" s="10"/>
      <c r="CD1379" s="10"/>
      <c r="CE1379" s="10"/>
      <c r="CF1379" s="10"/>
      <c r="CG1379" s="10"/>
      <c r="CH1379" s="10"/>
      <c r="CI1379" s="10"/>
      <c r="CJ1379" s="10"/>
      <c r="CK1379" s="10"/>
      <c r="CL1379" s="10"/>
      <c r="CM1379" s="10"/>
      <c r="CN1379" s="10"/>
      <c r="CO1379" s="10"/>
    </row>
    <row r="1380" spans="1:93" ht="22.5" customHeight="1">
      <c r="A1380" s="10"/>
      <c r="B1380" s="5" t="s">
        <v>258</v>
      </c>
      <c r="C1380" s="5"/>
      <c r="D1380" s="15"/>
      <c r="E1380" s="5"/>
      <c r="F1380" s="5"/>
      <c r="G1380" s="6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5"/>
      <c r="BP1380" s="5"/>
      <c r="BQ1380" s="5"/>
      <c r="BR1380" s="5"/>
      <c r="BS1380" s="5"/>
      <c r="BT1380" s="5"/>
      <c r="BU1380" s="5"/>
      <c r="BV1380" s="5"/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</row>
    <row r="1381" spans="1:93">
      <c r="A1381" s="10"/>
      <c r="B1381" s="10"/>
      <c r="C1381" s="10"/>
      <c r="D1381" s="10"/>
      <c r="E1381" s="62"/>
      <c r="F1381" s="10"/>
      <c r="G1381" s="11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  <c r="AY1381" s="10"/>
      <c r="AZ1381" s="10"/>
      <c r="BA1381" s="10"/>
      <c r="BB1381" s="10"/>
      <c r="BC1381" s="10"/>
      <c r="BD1381" s="10"/>
      <c r="BE1381" s="10"/>
      <c r="BF1381" s="10"/>
      <c r="BG1381" s="10"/>
      <c r="BH1381" s="10"/>
      <c r="BI1381" s="10"/>
      <c r="BJ1381" s="10"/>
      <c r="BK1381" s="10"/>
      <c r="BL1381" s="10"/>
      <c r="BM1381" s="10"/>
      <c r="BN1381" s="10"/>
      <c r="BO1381" s="10"/>
      <c r="BP1381" s="10"/>
      <c r="BQ1381" s="10"/>
      <c r="BR1381" s="10"/>
      <c r="BS1381" s="10"/>
      <c r="BT1381" s="10"/>
      <c r="BU1381" s="10"/>
      <c r="BV1381" s="10"/>
      <c r="BW1381" s="10"/>
      <c r="BX1381" s="10"/>
      <c r="BY1381" s="10"/>
      <c r="BZ1381" s="10"/>
      <c r="CA1381" s="10"/>
      <c r="CB1381" s="10"/>
      <c r="CC1381" s="10"/>
      <c r="CD1381" s="10"/>
      <c r="CE1381" s="10"/>
      <c r="CF1381" s="10"/>
      <c r="CG1381" s="10"/>
      <c r="CH1381" s="10"/>
      <c r="CI1381" s="10"/>
      <c r="CJ1381" s="10"/>
      <c r="CK1381" s="10"/>
      <c r="CL1381" s="10"/>
      <c r="CM1381" s="10"/>
      <c r="CN1381" s="10"/>
      <c r="CO1381" s="10"/>
    </row>
    <row r="1382" spans="1:93">
      <c r="A1382" s="10"/>
      <c r="B1382" s="10"/>
      <c r="C1382" s="153" t="s">
        <v>963</v>
      </c>
      <c r="D1382" s="10"/>
      <c r="E1382" s="376">
        <f>Инвестор!I19</f>
        <v>4.0300646272306576E-2</v>
      </c>
      <c r="F1382" s="10"/>
      <c r="G1382" s="11" t="s">
        <v>28</v>
      </c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  <c r="AY1382" s="10"/>
      <c r="AZ1382" s="10"/>
      <c r="BA1382" s="10"/>
      <c r="BB1382" s="10"/>
      <c r="BC1382" s="10"/>
      <c r="BD1382" s="10"/>
      <c r="BE1382" s="10"/>
      <c r="BF1382" s="10"/>
      <c r="BG1382" s="10"/>
      <c r="BH1382" s="10"/>
      <c r="BI1382" s="10"/>
      <c r="BJ1382" s="10"/>
      <c r="BK1382" s="10"/>
      <c r="BL1382" s="10"/>
      <c r="BM1382" s="10"/>
      <c r="BN1382" s="10"/>
      <c r="BO1382" s="10"/>
      <c r="BP1382" s="10"/>
      <c r="BQ1382" s="10"/>
      <c r="BR1382" s="10"/>
      <c r="BS1382" s="10"/>
      <c r="BT1382" s="10"/>
      <c r="BU1382" s="10"/>
      <c r="BV1382" s="10"/>
      <c r="BW1382" s="10"/>
      <c r="BX1382" s="10"/>
      <c r="BY1382" s="10"/>
      <c r="BZ1382" s="10"/>
      <c r="CA1382" s="10"/>
      <c r="CB1382" s="10"/>
      <c r="CC1382" s="10"/>
      <c r="CD1382" s="10"/>
      <c r="CE1382" s="10"/>
      <c r="CF1382" s="10"/>
      <c r="CG1382" s="10"/>
      <c r="CH1382" s="10"/>
      <c r="CI1382" s="10"/>
      <c r="CJ1382" s="10"/>
      <c r="CK1382" s="10"/>
      <c r="CL1382" s="10"/>
      <c r="CM1382" s="10"/>
      <c r="CN1382" s="10"/>
      <c r="CO1382" s="10"/>
    </row>
    <row r="1383" spans="1:93">
      <c r="A1383" s="10"/>
      <c r="B1383" s="10"/>
      <c r="C1383" s="10"/>
      <c r="D1383" s="10"/>
      <c r="E1383" s="62"/>
      <c r="F1383" s="10"/>
      <c r="G1383" s="11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412"/>
      <c r="AE1383" s="412"/>
      <c r="AF1383" s="412"/>
      <c r="AG1383" s="412"/>
      <c r="AH1383" s="412"/>
      <c r="AI1383" s="412"/>
      <c r="AJ1383" s="412"/>
      <c r="AK1383" s="412"/>
      <c r="AL1383" s="412"/>
      <c r="AM1383" s="412"/>
      <c r="AN1383" s="412"/>
      <c r="AO1383" s="412"/>
      <c r="AP1383" s="412"/>
      <c r="AQ1383" s="412"/>
      <c r="AR1383" s="412"/>
      <c r="AS1383" s="412"/>
      <c r="AT1383" s="412"/>
      <c r="AU1383" s="412"/>
      <c r="AV1383" s="10"/>
      <c r="AW1383" s="10"/>
      <c r="AX1383" s="10"/>
      <c r="AY1383" s="10"/>
      <c r="AZ1383" s="10"/>
      <c r="BA1383" s="10"/>
      <c r="BB1383" s="10"/>
      <c r="BC1383" s="10"/>
      <c r="BD1383" s="10"/>
      <c r="BE1383" s="10"/>
      <c r="BF1383" s="10"/>
      <c r="BG1383" s="10"/>
      <c r="BH1383" s="10"/>
      <c r="BI1383" s="10"/>
      <c r="BJ1383" s="10"/>
      <c r="BK1383" s="10"/>
      <c r="BL1383" s="10"/>
      <c r="BM1383" s="10"/>
      <c r="BN1383" s="10"/>
      <c r="BO1383" s="10"/>
      <c r="BP1383" s="10"/>
      <c r="BQ1383" s="10"/>
      <c r="BR1383" s="10"/>
      <c r="BS1383" s="10"/>
      <c r="BT1383" s="10"/>
      <c r="BU1383" s="10"/>
      <c r="BV1383" s="10"/>
      <c r="BW1383" s="10"/>
      <c r="BX1383" s="10"/>
      <c r="BY1383" s="10"/>
      <c r="BZ1383" s="10"/>
      <c r="CA1383" s="10"/>
      <c r="CB1383" s="10"/>
      <c r="CC1383" s="10"/>
      <c r="CD1383" s="10"/>
      <c r="CE1383" s="10"/>
      <c r="CF1383" s="10"/>
      <c r="CG1383" s="10"/>
      <c r="CH1383" s="10"/>
      <c r="CI1383" s="10"/>
      <c r="CJ1383" s="10"/>
      <c r="CK1383" s="10"/>
      <c r="CL1383" s="10"/>
      <c r="CM1383" s="10"/>
      <c r="CN1383" s="10"/>
      <c r="CO1383" s="10"/>
    </row>
    <row r="1384" spans="1:93">
      <c r="A1384" s="10"/>
      <c r="B1384" s="10"/>
      <c r="C1384" s="16" t="s">
        <v>1066</v>
      </c>
      <c r="D1384" s="10"/>
      <c r="E1384" s="62"/>
      <c r="F1384" s="10"/>
      <c r="G1384" s="11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  <c r="AY1384" s="10"/>
      <c r="AZ1384" s="10"/>
      <c r="BA1384" s="10"/>
      <c r="BB1384" s="10"/>
      <c r="BC1384" s="10"/>
      <c r="BD1384" s="10"/>
      <c r="BE1384" s="10"/>
      <c r="BF1384" s="10"/>
      <c r="BG1384" s="10"/>
      <c r="BH1384" s="10"/>
      <c r="BI1384" s="10"/>
      <c r="BJ1384" s="10"/>
      <c r="BK1384" s="10"/>
      <c r="BL1384" s="10"/>
      <c r="BM1384" s="10"/>
      <c r="BN1384" s="10"/>
      <c r="BO1384" s="10"/>
      <c r="BP1384" s="10"/>
      <c r="BQ1384" s="10"/>
      <c r="BR1384" s="10"/>
      <c r="BS1384" s="10"/>
      <c r="BT1384" s="10"/>
      <c r="BU1384" s="10"/>
      <c r="BV1384" s="10"/>
      <c r="BW1384" s="10"/>
      <c r="BX1384" s="10"/>
      <c r="BY1384" s="10"/>
      <c r="BZ1384" s="10"/>
      <c r="CA1384" s="10"/>
      <c r="CB1384" s="10"/>
      <c r="CC1384" s="10"/>
      <c r="CD1384" s="10"/>
      <c r="CE1384" s="10"/>
      <c r="CF1384" s="10"/>
      <c r="CG1384" s="10"/>
      <c r="CH1384" s="10"/>
      <c r="CI1384" s="10"/>
      <c r="CJ1384" s="10"/>
      <c r="CK1384" s="10"/>
      <c r="CL1384" s="10"/>
      <c r="CM1384" s="10"/>
      <c r="CN1384" s="10"/>
      <c r="CO1384" s="10"/>
    </row>
    <row r="1385" spans="1:93">
      <c r="A1385" s="10"/>
      <c r="B1385" s="10"/>
      <c r="C1385" s="17" t="s">
        <v>1187</v>
      </c>
      <c r="D1385" s="10"/>
      <c r="E1385" s="62"/>
      <c r="F1385" s="10"/>
      <c r="G1385" s="11" t="str">
        <f>Monetary_Unit</f>
        <v>тыс. руб.</v>
      </c>
      <c r="H1385" s="10"/>
      <c r="I1385" s="23">
        <f t="shared" ref="I1385:I1390" ca="1" si="8386">SUM(L1385:CO1385)</f>
        <v>13330199.870655131</v>
      </c>
      <c r="J1385" s="10"/>
      <c r="K1385" s="10"/>
      <c r="L1385" s="10">
        <f t="shared" ref="L1385:AQ1385" ca="1" si="8387" xml:space="preserve"> OCF+L1036</f>
        <v>-5234.3588965478193</v>
      </c>
      <c r="M1385" s="10">
        <f t="shared" ca="1" si="8387"/>
        <v>-5308.6600317512566</v>
      </c>
      <c r="N1385" s="10">
        <f t="shared" ca="1" si="8387"/>
        <v>-5384.015863203389</v>
      </c>
      <c r="O1385" s="10">
        <f t="shared" ca="1" si="8387"/>
        <v>-5460.4413621987187</v>
      </c>
      <c r="P1385" s="10">
        <f t="shared" ca="1" si="8387"/>
        <v>-45931.910967999196</v>
      </c>
      <c r="Q1385" s="10">
        <f t="shared" ca="1" si="8387"/>
        <v>-46384.496760337934</v>
      </c>
      <c r="R1385" s="10">
        <f t="shared" ca="1" si="8387"/>
        <v>-46841.542064486872</v>
      </c>
      <c r="S1385" s="10">
        <f t="shared" ca="1" si="8387"/>
        <v>-48042.08256430467</v>
      </c>
      <c r="T1385" s="10">
        <f t="shared" ca="1" si="8387"/>
        <v>-54349.841754366076</v>
      </c>
      <c r="U1385" s="10">
        <f t="shared" ca="1" si="8387"/>
        <v>-58664.705263577314</v>
      </c>
      <c r="V1385" s="10">
        <f t="shared" ca="1" si="8387"/>
        <v>-63104.65308842533</v>
      </c>
      <c r="W1385" s="10">
        <f t="shared" ca="1" si="8387"/>
        <v>-67472.662175813239</v>
      </c>
      <c r="X1385" s="10">
        <f t="shared" ca="1" si="8387"/>
        <v>-127892.92372378038</v>
      </c>
      <c r="Y1385" s="10">
        <f t="shared" ca="1" si="8387"/>
        <v>-137083.38405420212</v>
      </c>
      <c r="Z1385" s="10">
        <f t="shared" ca="1" si="8387"/>
        <v>-146810.090067315</v>
      </c>
      <c r="AA1385" s="10">
        <f t="shared" ca="1" si="8387"/>
        <v>-156274.09485548761</v>
      </c>
      <c r="AB1385" s="10">
        <f t="shared" ca="1" si="8387"/>
        <v>-196820.11196530738</v>
      </c>
      <c r="AC1385" s="10">
        <f t="shared" ca="1" si="8387"/>
        <v>806359.9888286012</v>
      </c>
      <c r="AD1385" s="10">
        <f t="shared" ca="1" si="8387"/>
        <v>260633.49736676697</v>
      </c>
      <c r="AE1385" s="10">
        <f t="shared" ca="1" si="8387"/>
        <v>159487.45939256286</v>
      </c>
      <c r="AF1385" s="10">
        <f t="shared" ca="1" si="8387"/>
        <v>104196.22149496293</v>
      </c>
      <c r="AG1385" s="10">
        <f t="shared" ca="1" si="8387"/>
        <v>113391.24804015062</v>
      </c>
      <c r="AH1385" s="10">
        <f t="shared" ca="1" si="8387"/>
        <v>185745.61399534979</v>
      </c>
      <c r="AI1385" s="10">
        <f t="shared" ca="1" si="8387"/>
        <v>208534.79718170298</v>
      </c>
      <c r="AJ1385" s="10">
        <f t="shared" ca="1" si="8387"/>
        <v>141394.96392417664</v>
      </c>
      <c r="AK1385" s="10">
        <f t="shared" ca="1" si="8387"/>
        <v>151260.50400841612</v>
      </c>
      <c r="AL1385" s="10">
        <f t="shared" ca="1" si="8387"/>
        <v>235357.87070185761</v>
      </c>
      <c r="AM1385" s="10">
        <f t="shared" ca="1" si="8387"/>
        <v>260985.88479377399</v>
      </c>
      <c r="AN1385" s="10">
        <f t="shared" ca="1" si="8387"/>
        <v>182719.4546381231</v>
      </c>
      <c r="AO1385" s="10">
        <f t="shared" ca="1" si="8387"/>
        <v>191839.71921641956</v>
      </c>
      <c r="AP1385" s="10">
        <f t="shared" ca="1" si="8387"/>
        <v>285399.92787252256</v>
      </c>
      <c r="AQ1385" s="10">
        <f t="shared" ca="1" si="8387"/>
        <v>306473.33589414204</v>
      </c>
      <c r="AR1385" s="10">
        <f t="shared" ref="AR1385:BW1385" ca="1" si="8388" xml:space="preserve"> OCF+AR1036</f>
        <v>209606.22587961034</v>
      </c>
      <c r="AS1385" s="10">
        <f t="shared" ca="1" si="8388"/>
        <v>211805.91788130795</v>
      </c>
      <c r="AT1385" s="10">
        <f t="shared" ca="1" si="8388"/>
        <v>304488.60800452536</v>
      </c>
      <c r="AU1385" s="10">
        <f t="shared" ca="1" si="8388"/>
        <v>320712.25373494322</v>
      </c>
      <c r="AV1385" s="10">
        <f t="shared" ca="1" si="8388"/>
        <v>220390.32019406001</v>
      </c>
      <c r="AW1385" s="10">
        <f t="shared" ca="1" si="8388"/>
        <v>266324.33672942128</v>
      </c>
      <c r="AX1385" s="10">
        <f t="shared" ca="1" si="8388"/>
        <v>245282.22944038437</v>
      </c>
      <c r="AY1385" s="10">
        <f t="shared" ca="1" si="8388"/>
        <v>173283.82595168217</v>
      </c>
      <c r="AZ1385" s="10">
        <f t="shared" ca="1" si="8388"/>
        <v>122237.54594411451</v>
      </c>
      <c r="BA1385" s="10">
        <f t="shared" ca="1" si="8388"/>
        <v>166003.86614663899</v>
      </c>
      <c r="BB1385" s="10">
        <f t="shared" ca="1" si="8388"/>
        <v>229927.55844394636</v>
      </c>
      <c r="BC1385" s="10">
        <f t="shared" ca="1" si="8388"/>
        <v>189648.92891167593</v>
      </c>
      <c r="BD1385" s="10">
        <f t="shared" ca="1" si="8388"/>
        <v>138503.80219947797</v>
      </c>
      <c r="BE1385" s="10">
        <f t="shared" ca="1" si="8388"/>
        <v>178276.4009134646</v>
      </c>
      <c r="BF1385" s="10">
        <f t="shared" ca="1" si="8388"/>
        <v>247189.60703719663</v>
      </c>
      <c r="BG1385" s="10">
        <f t="shared" ca="1" si="8388"/>
        <v>204908.49764688866</v>
      </c>
      <c r="BH1385" s="10">
        <f t="shared" ca="1" si="8388"/>
        <v>149271.3857948205</v>
      </c>
      <c r="BI1385" s="10">
        <f t="shared" ca="1" si="8388"/>
        <v>194467.00727934245</v>
      </c>
      <c r="BJ1385" s="10">
        <f t="shared" ca="1" si="8388"/>
        <v>263143.28819603729</v>
      </c>
      <c r="BK1385" s="10">
        <f t="shared" ca="1" si="8388"/>
        <v>215603.7609729098</v>
      </c>
      <c r="BL1385" s="10">
        <f t="shared" ca="1" si="8388"/>
        <v>155296.66139235115</v>
      </c>
      <c r="BM1385" s="10">
        <f t="shared" ca="1" si="8388"/>
        <v>202301.54613887856</v>
      </c>
      <c r="BN1385" s="10">
        <f t="shared" ca="1" si="8388"/>
        <v>273726.34847685776</v>
      </c>
      <c r="BO1385" s="10">
        <f t="shared" ca="1" si="8388"/>
        <v>211339.56051991874</v>
      </c>
      <c r="BP1385" s="10">
        <f t="shared" ca="1" si="8388"/>
        <v>149413.85129333788</v>
      </c>
      <c r="BQ1385" s="10">
        <f t="shared" ca="1" si="8388"/>
        <v>190474.50395881923</v>
      </c>
      <c r="BR1385" s="10">
        <f t="shared" ca="1" si="8388"/>
        <v>258984.8702972231</v>
      </c>
      <c r="BS1385" s="10">
        <f t="shared" ca="1" si="8388"/>
        <v>219743.48235772018</v>
      </c>
      <c r="BT1385" s="10">
        <f t="shared" ca="1" si="8388"/>
        <v>157749.91729861218</v>
      </c>
      <c r="BU1385" s="10">
        <f t="shared" ca="1" si="8388"/>
        <v>197317.58972668706</v>
      </c>
      <c r="BV1385" s="10">
        <f t="shared" ca="1" si="8388"/>
        <v>269303.81083330908</v>
      </c>
      <c r="BW1385" s="10">
        <f t="shared" ca="1" si="8388"/>
        <v>228492.77329331194</v>
      </c>
      <c r="BX1385" s="10">
        <f t="shared" ref="BX1385:CO1385" ca="1" si="8389" xml:space="preserve"> OCF+BX1036</f>
        <v>161499.22810249944</v>
      </c>
      <c r="BY1385" s="10">
        <f t="shared" ca="1" si="8389"/>
        <v>205913.19083422469</v>
      </c>
      <c r="BZ1385" s="10">
        <f t="shared" ca="1" si="8389"/>
        <v>280016.72812416521</v>
      </c>
      <c r="CA1385" s="10">
        <f t="shared" ca="1" si="8389"/>
        <v>237573.24292879915</v>
      </c>
      <c r="CB1385" s="10">
        <f t="shared" ca="1" si="8389"/>
        <v>167906.9021982312</v>
      </c>
      <c r="CC1385" s="10">
        <f t="shared" ca="1" si="8389"/>
        <v>214098.72207169508</v>
      </c>
      <c r="CD1385" s="10">
        <f t="shared" ca="1" si="8389"/>
        <v>291167.7366661366</v>
      </c>
      <c r="CE1385" s="10">
        <f t="shared" ca="1" si="8389"/>
        <v>247026.51206295512</v>
      </c>
      <c r="CF1385" s="10">
        <f t="shared" ca="1" si="8389"/>
        <v>174570.84607735806</v>
      </c>
      <c r="CG1385" s="10">
        <f t="shared" ca="1" si="8389"/>
        <v>222611.67455866357</v>
      </c>
      <c r="CH1385" s="10">
        <f t="shared" ca="1" si="8389"/>
        <v>302764.78554978635</v>
      </c>
      <c r="CI1385" s="10">
        <f t="shared" ca="1" si="8389"/>
        <v>256857.9119624786</v>
      </c>
      <c r="CJ1385" s="10">
        <f t="shared" ca="1" si="8389"/>
        <v>184327.12636069866</v>
      </c>
      <c r="CK1385" s="10">
        <f t="shared" ca="1" si="8389"/>
        <v>230615.70664995746</v>
      </c>
      <c r="CL1385" s="10">
        <f t="shared" ca="1" si="8389"/>
        <v>314835.06059641473</v>
      </c>
      <c r="CM1385" s="10">
        <f t="shared" ca="1" si="8389"/>
        <v>267091.91898776789</v>
      </c>
      <c r="CN1385" s="10">
        <f t="shared" ca="1" si="8389"/>
        <v>188709.02758838091</v>
      </c>
      <c r="CO1385" s="10">
        <f t="shared" ca="1" si="8389"/>
        <v>240672.75455501606</v>
      </c>
    </row>
    <row r="1386" spans="1:93">
      <c r="A1386" s="10"/>
      <c r="B1386" s="10"/>
      <c r="C1386" s="17" t="s">
        <v>1188</v>
      </c>
      <c r="D1386" s="10"/>
      <c r="E1386" s="62"/>
      <c r="F1386" s="10"/>
      <c r="G1386" s="11" t="str">
        <f>Monetary_Unit</f>
        <v>тыс. руб.</v>
      </c>
      <c r="H1386" s="10"/>
      <c r="I1386" s="23">
        <f t="shared" ca="1" si="8386"/>
        <v>1304156.756429832</v>
      </c>
      <c r="J1386" s="10"/>
      <c r="K1386" s="10"/>
      <c r="L1386" s="452">
        <f t="shared" ref="L1386:AQ1386" ca="1" si="8390" xml:space="preserve"> - (Debt_Interest_Paid + Subord_Interest_Paid) * (1 - IFERROR(-Profits_Tax/PBT,0))</f>
        <v>0</v>
      </c>
      <c r="M1386" s="452">
        <f t="shared" ca="1" si="8390"/>
        <v>0</v>
      </c>
      <c r="N1386" s="452">
        <f t="shared" ca="1" si="8390"/>
        <v>0</v>
      </c>
      <c r="O1386" s="452">
        <f t="shared" ca="1" si="8390"/>
        <v>0</v>
      </c>
      <c r="P1386" s="452">
        <f t="shared" ca="1" si="8390"/>
        <v>0</v>
      </c>
      <c r="Q1386" s="452">
        <f t="shared" ca="1" si="8390"/>
        <v>0</v>
      </c>
      <c r="R1386" s="452">
        <f t="shared" ca="1" si="8390"/>
        <v>0</v>
      </c>
      <c r="S1386" s="452">
        <f t="shared" ca="1" si="8390"/>
        <v>738.99174247580174</v>
      </c>
      <c r="T1386" s="452">
        <f t="shared" ca="1" si="8390"/>
        <v>3234.8821767320223</v>
      </c>
      <c r="U1386" s="452">
        <f t="shared" ca="1" si="8390"/>
        <v>7256.2536237105141</v>
      </c>
      <c r="V1386" s="452">
        <f t="shared" ca="1" si="8390"/>
        <v>11404.918486102473</v>
      </c>
      <c r="W1386" s="452">
        <f t="shared" ca="1" si="8390"/>
        <v>15513.937077923534</v>
      </c>
      <c r="X1386" s="452">
        <f t="shared" ca="1" si="8390"/>
        <v>21635.021605468475</v>
      </c>
      <c r="Y1386" s="452">
        <f t="shared" ca="1" si="8390"/>
        <v>30267.503661225743</v>
      </c>
      <c r="Z1386" s="452">
        <f t="shared" ca="1" si="8390"/>
        <v>39413.452160910616</v>
      </c>
      <c r="AA1386" s="452">
        <f t="shared" ca="1" si="8390"/>
        <v>48313.632138229776</v>
      </c>
      <c r="AB1386" s="452">
        <f t="shared" ca="1" si="8390"/>
        <v>57475.007205903479</v>
      </c>
      <c r="AC1386" s="452">
        <f t="shared" ca="1" si="8390"/>
        <v>63872.407755986169</v>
      </c>
      <c r="AD1386" s="452">
        <f t="shared" ca="1" si="8390"/>
        <v>62166.071795904521</v>
      </c>
      <c r="AE1386" s="452">
        <f t="shared" ca="1" si="8390"/>
        <v>59855.943679446566</v>
      </c>
      <c r="AF1386" s="452">
        <f t="shared" ca="1" si="8390"/>
        <v>56912.972858008383</v>
      </c>
      <c r="AG1386" s="452">
        <f t="shared" ca="1" si="8390"/>
        <v>56408.627576032843</v>
      </c>
      <c r="AH1386" s="452">
        <f t="shared" ca="1" si="8390"/>
        <v>55312.301692231529</v>
      </c>
      <c r="AI1386" s="452">
        <f t="shared" ca="1" si="8390"/>
        <v>53394.048833871137</v>
      </c>
      <c r="AJ1386" s="452">
        <f t="shared" ca="1" si="8390"/>
        <v>50469.571377905988</v>
      </c>
      <c r="AK1386" s="452">
        <f t="shared" ca="1" si="8390"/>
        <v>49344.664733884885</v>
      </c>
      <c r="AL1386" s="452">
        <f t="shared" ca="1" si="8390"/>
        <v>48050.536363852021</v>
      </c>
      <c r="AM1386" s="452">
        <f t="shared" ca="1" si="8390"/>
        <v>46109.378099418718</v>
      </c>
      <c r="AN1386" s="452">
        <f t="shared" ca="1" si="8390"/>
        <v>43604.648807137957</v>
      </c>
      <c r="AO1386" s="452">
        <f t="shared" ca="1" si="8390"/>
        <v>41747.18051381757</v>
      </c>
      <c r="AP1386" s="452">
        <f t="shared" ca="1" si="8390"/>
        <v>40149.225544944282</v>
      </c>
      <c r="AQ1386" s="452">
        <f t="shared" ca="1" si="8390"/>
        <v>37791.090465399298</v>
      </c>
      <c r="AR1386" s="452">
        <f t="shared" ref="AR1386:BW1386" ca="1" si="8391" xml:space="preserve"> - (Debt_Interest_Paid + Subord_Interest_Paid) * (1 - IFERROR(-Profits_Tax/PBT,0))</f>
        <v>35113.791779389023</v>
      </c>
      <c r="AS1386" s="452">
        <f t="shared" ca="1" si="8391"/>
        <v>33565.471154208011</v>
      </c>
      <c r="AT1386" s="452">
        <f t="shared" ca="1" si="8391"/>
        <v>31898.043396993657</v>
      </c>
      <c r="AU1386" s="452">
        <f t="shared" ca="1" si="8391"/>
        <v>28038.988095357978</v>
      </c>
      <c r="AV1386" s="452">
        <f t="shared" ca="1" si="8391"/>
        <v>25470.345436168707</v>
      </c>
      <c r="AW1386" s="452">
        <f t="shared" ca="1" si="8391"/>
        <v>23741.512517206702</v>
      </c>
      <c r="AX1386" s="452">
        <f t="shared" ca="1" si="8391"/>
        <v>22056.650049929733</v>
      </c>
      <c r="AY1386" s="452">
        <f t="shared" ca="1" si="8391"/>
        <v>19662.499422540113</v>
      </c>
      <c r="AZ1386" s="452">
        <f t="shared" ca="1" si="8391"/>
        <v>17165.324263767481</v>
      </c>
      <c r="BA1386" s="452">
        <f t="shared" ca="1" si="8391"/>
        <v>15544.887073932081</v>
      </c>
      <c r="BB1386" s="452">
        <f t="shared" ca="1" si="8391"/>
        <v>15065.261658935799</v>
      </c>
      <c r="BC1386" s="452">
        <f t="shared" ca="1" si="8391"/>
        <v>11282.694162355963</v>
      </c>
      <c r="BD1386" s="452">
        <f t="shared" ca="1" si="8391"/>
        <v>8953.2165777534356</v>
      </c>
      <c r="BE1386" s="452">
        <f t="shared" ca="1" si="8391"/>
        <v>8024.9401680070168</v>
      </c>
      <c r="BF1386" s="452">
        <f t="shared" ca="1" si="8391"/>
        <v>5779.5706523585723</v>
      </c>
      <c r="BG1386" s="452">
        <f t="shared" ca="1" si="8391"/>
        <v>2351.2900444034053</v>
      </c>
      <c r="BH1386" s="452">
        <f t="shared" ca="1" si="8391"/>
        <v>0</v>
      </c>
      <c r="BI1386" s="452">
        <f t="shared" ca="1" si="8391"/>
        <v>0</v>
      </c>
      <c r="BJ1386" s="452">
        <f t="shared" ca="1" si="8391"/>
        <v>0</v>
      </c>
      <c r="BK1386" s="452">
        <f t="shared" ca="1" si="8391"/>
        <v>0</v>
      </c>
      <c r="BL1386" s="452">
        <f t="shared" ca="1" si="8391"/>
        <v>0</v>
      </c>
      <c r="BM1386" s="452">
        <f t="shared" ca="1" si="8391"/>
        <v>0</v>
      </c>
      <c r="BN1386" s="452">
        <f t="shared" ca="1" si="8391"/>
        <v>0</v>
      </c>
      <c r="BO1386" s="452">
        <f t="shared" ca="1" si="8391"/>
        <v>0</v>
      </c>
      <c r="BP1386" s="452">
        <f t="shared" ca="1" si="8391"/>
        <v>0</v>
      </c>
      <c r="BQ1386" s="452">
        <f t="shared" ca="1" si="8391"/>
        <v>0</v>
      </c>
      <c r="BR1386" s="452">
        <f t="shared" ca="1" si="8391"/>
        <v>0</v>
      </c>
      <c r="BS1386" s="452">
        <f t="shared" ca="1" si="8391"/>
        <v>0</v>
      </c>
      <c r="BT1386" s="452">
        <f t="shared" ca="1" si="8391"/>
        <v>0</v>
      </c>
      <c r="BU1386" s="452">
        <f t="shared" ca="1" si="8391"/>
        <v>0</v>
      </c>
      <c r="BV1386" s="452">
        <f t="shared" ca="1" si="8391"/>
        <v>0</v>
      </c>
      <c r="BW1386" s="452">
        <f t="shared" ca="1" si="8391"/>
        <v>0</v>
      </c>
      <c r="BX1386" s="452">
        <f t="shared" ref="BX1386:CO1386" ca="1" si="8392" xml:space="preserve"> - (Debt_Interest_Paid + Subord_Interest_Paid) * (1 - IFERROR(-Profits_Tax/PBT,0))</f>
        <v>0</v>
      </c>
      <c r="BY1386" s="452">
        <f t="shared" ca="1" si="8392"/>
        <v>0</v>
      </c>
      <c r="BZ1386" s="452">
        <f t="shared" ca="1" si="8392"/>
        <v>0</v>
      </c>
      <c r="CA1386" s="452">
        <f t="shared" ca="1" si="8392"/>
        <v>0</v>
      </c>
      <c r="CB1386" s="452">
        <f t="shared" ca="1" si="8392"/>
        <v>0</v>
      </c>
      <c r="CC1386" s="452">
        <f t="shared" ca="1" si="8392"/>
        <v>0</v>
      </c>
      <c r="CD1386" s="452">
        <f t="shared" ca="1" si="8392"/>
        <v>0</v>
      </c>
      <c r="CE1386" s="452">
        <f t="shared" ca="1" si="8392"/>
        <v>0</v>
      </c>
      <c r="CF1386" s="452">
        <f t="shared" ca="1" si="8392"/>
        <v>0</v>
      </c>
      <c r="CG1386" s="452">
        <f t="shared" ca="1" si="8392"/>
        <v>0</v>
      </c>
      <c r="CH1386" s="452">
        <f t="shared" ca="1" si="8392"/>
        <v>0</v>
      </c>
      <c r="CI1386" s="452">
        <f t="shared" ca="1" si="8392"/>
        <v>0</v>
      </c>
      <c r="CJ1386" s="452">
        <f t="shared" ca="1" si="8392"/>
        <v>0</v>
      </c>
      <c r="CK1386" s="452">
        <f t="shared" ca="1" si="8392"/>
        <v>0</v>
      </c>
      <c r="CL1386" s="452">
        <f t="shared" ca="1" si="8392"/>
        <v>0</v>
      </c>
      <c r="CM1386" s="452">
        <f t="shared" ca="1" si="8392"/>
        <v>0</v>
      </c>
      <c r="CN1386" s="452">
        <f t="shared" ca="1" si="8392"/>
        <v>0</v>
      </c>
      <c r="CO1386" s="452">
        <f t="shared" ca="1" si="8392"/>
        <v>0</v>
      </c>
    </row>
    <row r="1387" spans="1:93" ht="15" thickBot="1">
      <c r="A1387" s="10"/>
      <c r="B1387" s="10"/>
      <c r="C1387" s="17" t="s">
        <v>1189</v>
      </c>
      <c r="D1387" s="10"/>
      <c r="E1387" s="62"/>
      <c r="F1387" s="10"/>
      <c r="G1387" s="11" t="str">
        <f>Monetary_Unit</f>
        <v>тыс. руб.</v>
      </c>
      <c r="H1387" s="10"/>
      <c r="I1387" s="23">
        <f t="shared" ca="1" si="8386"/>
        <v>-4808399.504779838</v>
      </c>
      <c r="J1387" s="10"/>
      <c r="K1387" s="10"/>
      <c r="L1387" s="10">
        <f t="shared" ref="L1387:AQ1387" ca="1" si="8393">ICF-SUM(L273:L275)</f>
        <v>-26171.794482739097</v>
      </c>
      <c r="M1387" s="10">
        <f t="shared" ca="1" si="8393"/>
        <v>-26543.300158756276</v>
      </c>
      <c r="N1387" s="10">
        <f t="shared" ca="1" si="8393"/>
        <v>-26920.079316016938</v>
      </c>
      <c r="O1387" s="10">
        <f t="shared" ca="1" si="8393"/>
        <v>-27302.20681099359</v>
      </c>
      <c r="P1387" s="10">
        <f t="shared" ca="1" si="8393"/>
        <v>-229659.55483999598</v>
      </c>
      <c r="Q1387" s="10">
        <f t="shared" ca="1" si="8393"/>
        <v>-231922.48380168967</v>
      </c>
      <c r="R1387" s="10">
        <f t="shared" ca="1" si="8393"/>
        <v>-234207.71032243437</v>
      </c>
      <c r="S1387" s="10">
        <f t="shared" ca="1" si="8393"/>
        <v>-236515.4541091444</v>
      </c>
      <c r="T1387" s="10">
        <f t="shared" ca="1" si="8393"/>
        <v>-238845.93703359578</v>
      </c>
      <c r="U1387" s="10">
        <f t="shared" ca="1" si="8393"/>
        <v>-241199.38315375723</v>
      </c>
      <c r="V1387" s="10">
        <f t="shared" ca="1" si="8393"/>
        <v>-243576.01873533166</v>
      </c>
      <c r="W1387" s="10">
        <f t="shared" ca="1" si="8393"/>
        <v>-245976.07227351013</v>
      </c>
      <c r="X1387" s="10">
        <f t="shared" ca="1" si="8393"/>
        <v>-518760.33442500973</v>
      </c>
      <c r="Y1387" s="10">
        <f t="shared" ca="1" si="8393"/>
        <v>-523871.89090157853</v>
      </c>
      <c r="Z1387" s="10">
        <f t="shared" ca="1" si="8393"/>
        <v>-529033.81362220866</v>
      </c>
      <c r="AA1387" s="10">
        <f t="shared" ca="1" si="8393"/>
        <v>-534246.59886597958</v>
      </c>
      <c r="AB1387" s="10">
        <f t="shared" ca="1" si="8393"/>
        <v>-693646.87192709628</v>
      </c>
      <c r="AC1387" s="10">
        <f t="shared" ca="1" si="8393"/>
        <v>0</v>
      </c>
      <c r="AD1387" s="10">
        <f t="shared" ca="1" si="8393"/>
        <v>0</v>
      </c>
      <c r="AE1387" s="10">
        <f t="shared" ca="1" si="8393"/>
        <v>0</v>
      </c>
      <c r="AF1387" s="10">
        <f t="shared" ca="1" si="8393"/>
        <v>0</v>
      </c>
      <c r="AG1387" s="10">
        <f t="shared" ca="1" si="8393"/>
        <v>0</v>
      </c>
      <c r="AH1387" s="10">
        <f t="shared" ca="1" si="8393"/>
        <v>0</v>
      </c>
      <c r="AI1387" s="10">
        <f t="shared" ca="1" si="8393"/>
        <v>0</v>
      </c>
      <c r="AJ1387" s="10">
        <f t="shared" ca="1" si="8393"/>
        <v>0</v>
      </c>
      <c r="AK1387" s="10">
        <f t="shared" ca="1" si="8393"/>
        <v>0</v>
      </c>
      <c r="AL1387" s="10">
        <f t="shared" ca="1" si="8393"/>
        <v>0</v>
      </c>
      <c r="AM1387" s="10">
        <f t="shared" ca="1" si="8393"/>
        <v>0</v>
      </c>
      <c r="AN1387" s="10">
        <f t="shared" ca="1" si="8393"/>
        <v>0</v>
      </c>
      <c r="AO1387" s="10">
        <f t="shared" ca="1" si="8393"/>
        <v>0</v>
      </c>
      <c r="AP1387" s="10">
        <f t="shared" ca="1" si="8393"/>
        <v>0</v>
      </c>
      <c r="AQ1387" s="10">
        <f t="shared" ca="1" si="8393"/>
        <v>0</v>
      </c>
      <c r="AR1387" s="10">
        <f t="shared" ref="AR1387:BW1387" ca="1" si="8394">ICF-SUM(AR273:AR275)</f>
        <v>0</v>
      </c>
      <c r="AS1387" s="10">
        <f t="shared" ca="1" si="8394"/>
        <v>0</v>
      </c>
      <c r="AT1387" s="10">
        <f t="shared" ca="1" si="8394"/>
        <v>0</v>
      </c>
      <c r="AU1387" s="10">
        <f t="shared" ca="1" si="8394"/>
        <v>0</v>
      </c>
      <c r="AV1387" s="10">
        <f t="shared" ca="1" si="8394"/>
        <v>0</v>
      </c>
      <c r="AW1387" s="10">
        <f t="shared" ca="1" si="8394"/>
        <v>0</v>
      </c>
      <c r="AX1387" s="10">
        <f t="shared" ca="1" si="8394"/>
        <v>0</v>
      </c>
      <c r="AY1387" s="10">
        <f t="shared" ca="1" si="8394"/>
        <v>0</v>
      </c>
      <c r="AZ1387" s="10">
        <f t="shared" ca="1" si="8394"/>
        <v>0</v>
      </c>
      <c r="BA1387" s="10">
        <f t="shared" ca="1" si="8394"/>
        <v>0</v>
      </c>
      <c r="BB1387" s="10">
        <f t="shared" ca="1" si="8394"/>
        <v>0</v>
      </c>
      <c r="BC1387" s="10">
        <f t="shared" ca="1" si="8394"/>
        <v>0</v>
      </c>
      <c r="BD1387" s="10">
        <f t="shared" ca="1" si="8394"/>
        <v>0</v>
      </c>
      <c r="BE1387" s="10">
        <f t="shared" ca="1" si="8394"/>
        <v>0</v>
      </c>
      <c r="BF1387" s="10">
        <f t="shared" ca="1" si="8394"/>
        <v>0</v>
      </c>
      <c r="BG1387" s="10">
        <f t="shared" ca="1" si="8394"/>
        <v>0</v>
      </c>
      <c r="BH1387" s="10">
        <f t="shared" ca="1" si="8394"/>
        <v>0</v>
      </c>
      <c r="BI1387" s="10">
        <f t="shared" ca="1" si="8394"/>
        <v>0</v>
      </c>
      <c r="BJ1387" s="10">
        <f t="shared" ca="1" si="8394"/>
        <v>0</v>
      </c>
      <c r="BK1387" s="10">
        <f t="shared" ca="1" si="8394"/>
        <v>0</v>
      </c>
      <c r="BL1387" s="10">
        <f t="shared" ca="1" si="8394"/>
        <v>0</v>
      </c>
      <c r="BM1387" s="10">
        <f t="shared" ca="1" si="8394"/>
        <v>0</v>
      </c>
      <c r="BN1387" s="10">
        <f t="shared" ca="1" si="8394"/>
        <v>0</v>
      </c>
      <c r="BO1387" s="10">
        <f t="shared" ca="1" si="8394"/>
        <v>0</v>
      </c>
      <c r="BP1387" s="10">
        <f t="shared" ca="1" si="8394"/>
        <v>0</v>
      </c>
      <c r="BQ1387" s="10">
        <f t="shared" ca="1" si="8394"/>
        <v>0</v>
      </c>
      <c r="BR1387" s="10">
        <f t="shared" ca="1" si="8394"/>
        <v>0</v>
      </c>
      <c r="BS1387" s="10">
        <f t="shared" ca="1" si="8394"/>
        <v>0</v>
      </c>
      <c r="BT1387" s="10">
        <f t="shared" ca="1" si="8394"/>
        <v>0</v>
      </c>
      <c r="BU1387" s="10">
        <f t="shared" ca="1" si="8394"/>
        <v>0</v>
      </c>
      <c r="BV1387" s="10">
        <f t="shared" ca="1" si="8394"/>
        <v>0</v>
      </c>
      <c r="BW1387" s="10">
        <f t="shared" ca="1" si="8394"/>
        <v>0</v>
      </c>
      <c r="BX1387" s="10">
        <f t="shared" ref="BX1387:CO1387" ca="1" si="8395">ICF-SUM(BX273:BX275)</f>
        <v>0</v>
      </c>
      <c r="BY1387" s="10">
        <f t="shared" ca="1" si="8395"/>
        <v>0</v>
      </c>
      <c r="BZ1387" s="10">
        <f t="shared" ca="1" si="8395"/>
        <v>0</v>
      </c>
      <c r="CA1387" s="10">
        <f t="shared" ca="1" si="8395"/>
        <v>0</v>
      </c>
      <c r="CB1387" s="10">
        <f t="shared" ca="1" si="8395"/>
        <v>0</v>
      </c>
      <c r="CC1387" s="10">
        <f t="shared" ca="1" si="8395"/>
        <v>0</v>
      </c>
      <c r="CD1387" s="10">
        <f t="shared" ca="1" si="8395"/>
        <v>0</v>
      </c>
      <c r="CE1387" s="10">
        <f t="shared" ca="1" si="8395"/>
        <v>0</v>
      </c>
      <c r="CF1387" s="10">
        <f t="shared" ca="1" si="8395"/>
        <v>0</v>
      </c>
      <c r="CG1387" s="10">
        <f t="shared" ca="1" si="8395"/>
        <v>0</v>
      </c>
      <c r="CH1387" s="10">
        <f t="shared" ca="1" si="8395"/>
        <v>0</v>
      </c>
      <c r="CI1387" s="10">
        <f t="shared" ca="1" si="8395"/>
        <v>0</v>
      </c>
      <c r="CJ1387" s="10">
        <f t="shared" ca="1" si="8395"/>
        <v>0</v>
      </c>
      <c r="CK1387" s="10">
        <f t="shared" ca="1" si="8395"/>
        <v>0</v>
      </c>
      <c r="CL1387" s="10">
        <f t="shared" ca="1" si="8395"/>
        <v>0</v>
      </c>
      <c r="CM1387" s="10">
        <f t="shared" ca="1" si="8395"/>
        <v>0</v>
      </c>
      <c r="CN1387" s="10">
        <f t="shared" ca="1" si="8395"/>
        <v>0</v>
      </c>
      <c r="CO1387" s="10">
        <f t="shared" ca="1" si="8395"/>
        <v>0</v>
      </c>
    </row>
    <row r="1388" spans="1:93" ht="15" thickTop="1">
      <c r="A1388" s="35"/>
      <c r="B1388" s="35"/>
      <c r="C1388" s="49" t="s">
        <v>1066</v>
      </c>
      <c r="D1388" s="49"/>
      <c r="E1388" s="105"/>
      <c r="F1388" s="49"/>
      <c r="G1388" s="137" t="str">
        <f>Monetary_Unit</f>
        <v>тыс. руб.</v>
      </c>
      <c r="H1388" s="49"/>
      <c r="I1388" s="371">
        <f t="shared" ca="1" si="8386"/>
        <v>9825957.1223051213</v>
      </c>
      <c r="J1388" s="49"/>
      <c r="K1388" s="49"/>
      <c r="L1388" s="174">
        <f t="shared" ref="L1388" ca="1" si="8396">SUM(L1385:L1387)</f>
        <v>-31406.153379286916</v>
      </c>
      <c r="M1388" s="174">
        <f t="shared" ref="M1388:BX1388" ca="1" si="8397">SUM(M1385:M1387)</f>
        <v>-31851.960190507532</v>
      </c>
      <c r="N1388" s="174">
        <f t="shared" ca="1" si="8397"/>
        <v>-32304.095179220327</v>
      </c>
      <c r="O1388" s="174">
        <f t="shared" ca="1" si="8397"/>
        <v>-32762.648173192309</v>
      </c>
      <c r="P1388" s="174">
        <f t="shared" ca="1" si="8397"/>
        <v>-275591.46580799518</v>
      </c>
      <c r="Q1388" s="174">
        <f t="shared" ca="1" si="8397"/>
        <v>-278306.9805620276</v>
      </c>
      <c r="R1388" s="174">
        <f t="shared" ca="1" si="8397"/>
        <v>-281049.25238692126</v>
      </c>
      <c r="S1388" s="174">
        <f t="shared" ca="1" si="8397"/>
        <v>-283818.54493097326</v>
      </c>
      <c r="T1388" s="174">
        <f t="shared" ca="1" si="8397"/>
        <v>-289960.89661122987</v>
      </c>
      <c r="U1388" s="174">
        <f t="shared" ca="1" si="8397"/>
        <v>-292607.834793624</v>
      </c>
      <c r="V1388" s="174">
        <f t="shared" ca="1" si="8397"/>
        <v>-295275.75333765452</v>
      </c>
      <c r="W1388" s="174">
        <f t="shared" ca="1" si="8397"/>
        <v>-297934.79737139982</v>
      </c>
      <c r="X1388" s="174">
        <f t="shared" ca="1" si="8397"/>
        <v>-625018.23654332163</v>
      </c>
      <c r="Y1388" s="174">
        <f t="shared" ca="1" si="8397"/>
        <v>-630687.77129455493</v>
      </c>
      <c r="Z1388" s="174">
        <f t="shared" ca="1" si="8397"/>
        <v>-636430.45152861299</v>
      </c>
      <c r="AA1388" s="174">
        <f t="shared" ca="1" si="8397"/>
        <v>-642207.06158323737</v>
      </c>
      <c r="AB1388" s="174">
        <f t="shared" ca="1" si="8397"/>
        <v>-832991.97668650025</v>
      </c>
      <c r="AC1388" s="174">
        <f t="shared" ca="1" si="8397"/>
        <v>870232.3965845874</v>
      </c>
      <c r="AD1388" s="174">
        <f t="shared" ca="1" si="8397"/>
        <v>322799.56916267151</v>
      </c>
      <c r="AE1388" s="174">
        <f t="shared" ca="1" si="8397"/>
        <v>219343.40307200942</v>
      </c>
      <c r="AF1388" s="174">
        <f t="shared" ca="1" si="8397"/>
        <v>161109.1943529713</v>
      </c>
      <c r="AG1388" s="174">
        <f t="shared" ca="1" si="8397"/>
        <v>169799.87561618345</v>
      </c>
      <c r="AH1388" s="174">
        <f t="shared" ca="1" si="8397"/>
        <v>241057.91568758132</v>
      </c>
      <c r="AI1388" s="174">
        <f t="shared" ca="1" si="8397"/>
        <v>261928.84601557412</v>
      </c>
      <c r="AJ1388" s="174">
        <f t="shared" ca="1" si="8397"/>
        <v>191864.53530208263</v>
      </c>
      <c r="AK1388" s="174">
        <f t="shared" ca="1" si="8397"/>
        <v>200605.168742301</v>
      </c>
      <c r="AL1388" s="174">
        <f t="shared" ca="1" si="8397"/>
        <v>283408.40706570965</v>
      </c>
      <c r="AM1388" s="174">
        <f t="shared" ca="1" si="8397"/>
        <v>307095.2628931927</v>
      </c>
      <c r="AN1388" s="174">
        <f t="shared" ca="1" si="8397"/>
        <v>226324.10344526108</v>
      </c>
      <c r="AO1388" s="174">
        <f t="shared" ca="1" si="8397"/>
        <v>233586.89973023714</v>
      </c>
      <c r="AP1388" s="174">
        <f t="shared" ca="1" si="8397"/>
        <v>325549.15341746685</v>
      </c>
      <c r="AQ1388" s="174">
        <f t="shared" ca="1" si="8397"/>
        <v>344264.42635954136</v>
      </c>
      <c r="AR1388" s="174">
        <f t="shared" ca="1" si="8397"/>
        <v>244720.01765899936</v>
      </c>
      <c r="AS1388" s="174">
        <f t="shared" ca="1" si="8397"/>
        <v>245371.38903551595</v>
      </c>
      <c r="AT1388" s="174">
        <f t="shared" ca="1" si="8397"/>
        <v>336386.65140151902</v>
      </c>
      <c r="AU1388" s="174">
        <f t="shared" ca="1" si="8397"/>
        <v>348751.24183030118</v>
      </c>
      <c r="AV1388" s="174">
        <f t="shared" ca="1" si="8397"/>
        <v>245860.66563022873</v>
      </c>
      <c r="AW1388" s="174">
        <f t="shared" ca="1" si="8397"/>
        <v>290065.849246628</v>
      </c>
      <c r="AX1388" s="174">
        <f t="shared" ca="1" si="8397"/>
        <v>267338.87949031411</v>
      </c>
      <c r="AY1388" s="174">
        <f t="shared" ca="1" si="8397"/>
        <v>192946.32537422227</v>
      </c>
      <c r="AZ1388" s="174">
        <f t="shared" ca="1" si="8397"/>
        <v>139402.87020788199</v>
      </c>
      <c r="BA1388" s="174">
        <f t="shared" ca="1" si="8397"/>
        <v>181548.75322057106</v>
      </c>
      <c r="BB1388" s="174">
        <f t="shared" ca="1" si="8397"/>
        <v>244992.82010288216</v>
      </c>
      <c r="BC1388" s="174">
        <f t="shared" ca="1" si="8397"/>
        <v>200931.6230740319</v>
      </c>
      <c r="BD1388" s="174">
        <f t="shared" ca="1" si="8397"/>
        <v>147457.01877723139</v>
      </c>
      <c r="BE1388" s="174">
        <f t="shared" ca="1" si="8397"/>
        <v>186301.34108147162</v>
      </c>
      <c r="BF1388" s="174">
        <f t="shared" ca="1" si="8397"/>
        <v>252969.17768955522</v>
      </c>
      <c r="BG1388" s="174">
        <f t="shared" ca="1" si="8397"/>
        <v>207259.78769129206</v>
      </c>
      <c r="BH1388" s="174">
        <f t="shared" ca="1" si="8397"/>
        <v>149271.3857948205</v>
      </c>
      <c r="BI1388" s="174">
        <f t="shared" ca="1" si="8397"/>
        <v>194467.00727934245</v>
      </c>
      <c r="BJ1388" s="174">
        <f t="shared" ca="1" si="8397"/>
        <v>263143.28819603729</v>
      </c>
      <c r="BK1388" s="174">
        <f t="shared" ca="1" si="8397"/>
        <v>215603.7609729098</v>
      </c>
      <c r="BL1388" s="174">
        <f t="shared" ca="1" si="8397"/>
        <v>155296.66139235115</v>
      </c>
      <c r="BM1388" s="174">
        <f t="shared" ca="1" si="8397"/>
        <v>202301.54613887856</v>
      </c>
      <c r="BN1388" s="174">
        <f t="shared" ca="1" si="8397"/>
        <v>273726.34847685776</v>
      </c>
      <c r="BO1388" s="174">
        <f t="shared" ca="1" si="8397"/>
        <v>211339.56051991874</v>
      </c>
      <c r="BP1388" s="174">
        <f t="shared" ca="1" si="8397"/>
        <v>149413.85129333788</v>
      </c>
      <c r="BQ1388" s="174">
        <f t="shared" ca="1" si="8397"/>
        <v>190474.50395881923</v>
      </c>
      <c r="BR1388" s="174">
        <f t="shared" ca="1" si="8397"/>
        <v>258984.8702972231</v>
      </c>
      <c r="BS1388" s="174">
        <f t="shared" ca="1" si="8397"/>
        <v>219743.48235772018</v>
      </c>
      <c r="BT1388" s="174">
        <f t="shared" ca="1" si="8397"/>
        <v>157749.91729861218</v>
      </c>
      <c r="BU1388" s="174">
        <f t="shared" ca="1" si="8397"/>
        <v>197317.58972668706</v>
      </c>
      <c r="BV1388" s="174">
        <f t="shared" ca="1" si="8397"/>
        <v>269303.81083330908</v>
      </c>
      <c r="BW1388" s="174">
        <f t="shared" ca="1" si="8397"/>
        <v>228492.77329331194</v>
      </c>
      <c r="BX1388" s="174">
        <f t="shared" ca="1" si="8397"/>
        <v>161499.22810249944</v>
      </c>
      <c r="BY1388" s="174">
        <f t="shared" ref="BY1388:CO1388" ca="1" si="8398">SUM(BY1385:BY1387)</f>
        <v>205913.19083422469</v>
      </c>
      <c r="BZ1388" s="174">
        <f t="shared" ca="1" si="8398"/>
        <v>280016.72812416521</v>
      </c>
      <c r="CA1388" s="174">
        <f t="shared" ca="1" si="8398"/>
        <v>237573.24292879915</v>
      </c>
      <c r="CB1388" s="174">
        <f t="shared" ca="1" si="8398"/>
        <v>167906.9021982312</v>
      </c>
      <c r="CC1388" s="174">
        <f t="shared" ca="1" si="8398"/>
        <v>214098.72207169508</v>
      </c>
      <c r="CD1388" s="174">
        <f t="shared" ca="1" si="8398"/>
        <v>291167.7366661366</v>
      </c>
      <c r="CE1388" s="174">
        <f t="shared" ca="1" si="8398"/>
        <v>247026.51206295512</v>
      </c>
      <c r="CF1388" s="174">
        <f t="shared" ca="1" si="8398"/>
        <v>174570.84607735806</v>
      </c>
      <c r="CG1388" s="174">
        <f t="shared" ca="1" si="8398"/>
        <v>222611.67455866357</v>
      </c>
      <c r="CH1388" s="174">
        <f t="shared" ca="1" si="8398"/>
        <v>302764.78554978635</v>
      </c>
      <c r="CI1388" s="174">
        <f t="shared" ca="1" si="8398"/>
        <v>256857.9119624786</v>
      </c>
      <c r="CJ1388" s="174">
        <f t="shared" ca="1" si="8398"/>
        <v>184327.12636069866</v>
      </c>
      <c r="CK1388" s="174">
        <f t="shared" ca="1" si="8398"/>
        <v>230615.70664995746</v>
      </c>
      <c r="CL1388" s="174">
        <f t="shared" ca="1" si="8398"/>
        <v>314835.06059641473</v>
      </c>
      <c r="CM1388" s="174">
        <f t="shared" ca="1" si="8398"/>
        <v>267091.91898776789</v>
      </c>
      <c r="CN1388" s="174">
        <f t="shared" ca="1" si="8398"/>
        <v>188709.02758838091</v>
      </c>
      <c r="CO1388" s="174">
        <f t="shared" ca="1" si="8398"/>
        <v>240672.75455501606</v>
      </c>
    </row>
    <row r="1389" spans="1:93" ht="15" thickBot="1">
      <c r="A1389" s="35"/>
      <c r="B1389" s="35"/>
      <c r="C1389" s="369" t="s">
        <v>1065</v>
      </c>
      <c r="D1389" s="372"/>
      <c r="E1389" s="188" t="str">
        <f>Предпосылки!E625</f>
        <v>нет</v>
      </c>
      <c r="F1389" s="372"/>
      <c r="G1389" s="373" t="s">
        <v>26</v>
      </c>
      <c r="H1389" s="372"/>
      <c r="I1389" s="374">
        <f t="shared" si="8386"/>
        <v>0</v>
      </c>
      <c r="J1389" s="372"/>
      <c r="K1389" s="372"/>
      <c r="L1389" s="375">
        <f t="shared" ref="L1389:AQ1389" si="8399" xml:space="preserve"> IF( AND( Flag_Last_Operations = 1, ($E$1389="да")), SUM(I1388:L1388) * (1 + $E$1382) / (Required_Rate_of_Return - $E$1382), 0)</f>
        <v>0</v>
      </c>
      <c r="M1389" s="375">
        <f t="shared" si="8399"/>
        <v>0</v>
      </c>
      <c r="N1389" s="375">
        <f t="shared" si="8399"/>
        <v>0</v>
      </c>
      <c r="O1389" s="375">
        <f t="shared" si="8399"/>
        <v>0</v>
      </c>
      <c r="P1389" s="375">
        <f t="shared" si="8399"/>
        <v>0</v>
      </c>
      <c r="Q1389" s="375">
        <f t="shared" si="8399"/>
        <v>0</v>
      </c>
      <c r="R1389" s="375">
        <f t="shared" si="8399"/>
        <v>0</v>
      </c>
      <c r="S1389" s="375">
        <f t="shared" si="8399"/>
        <v>0</v>
      </c>
      <c r="T1389" s="375">
        <f t="shared" si="8399"/>
        <v>0</v>
      </c>
      <c r="U1389" s="375">
        <f t="shared" si="8399"/>
        <v>0</v>
      </c>
      <c r="V1389" s="375">
        <f t="shared" si="8399"/>
        <v>0</v>
      </c>
      <c r="W1389" s="375">
        <f t="shared" si="8399"/>
        <v>0</v>
      </c>
      <c r="X1389" s="375">
        <f t="shared" si="8399"/>
        <v>0</v>
      </c>
      <c r="Y1389" s="375">
        <f t="shared" si="8399"/>
        <v>0</v>
      </c>
      <c r="Z1389" s="375">
        <f t="shared" si="8399"/>
        <v>0</v>
      </c>
      <c r="AA1389" s="375">
        <f t="shared" si="8399"/>
        <v>0</v>
      </c>
      <c r="AB1389" s="375">
        <f t="shared" si="8399"/>
        <v>0</v>
      </c>
      <c r="AC1389" s="375">
        <f t="shared" si="8399"/>
        <v>0</v>
      </c>
      <c r="AD1389" s="375">
        <f t="shared" si="8399"/>
        <v>0</v>
      </c>
      <c r="AE1389" s="375">
        <f t="shared" si="8399"/>
        <v>0</v>
      </c>
      <c r="AF1389" s="375">
        <f t="shared" si="8399"/>
        <v>0</v>
      </c>
      <c r="AG1389" s="375">
        <f t="shared" si="8399"/>
        <v>0</v>
      </c>
      <c r="AH1389" s="375">
        <f t="shared" si="8399"/>
        <v>0</v>
      </c>
      <c r="AI1389" s="375">
        <f t="shared" si="8399"/>
        <v>0</v>
      </c>
      <c r="AJ1389" s="375">
        <f t="shared" si="8399"/>
        <v>0</v>
      </c>
      <c r="AK1389" s="375">
        <f t="shared" si="8399"/>
        <v>0</v>
      </c>
      <c r="AL1389" s="375">
        <f t="shared" si="8399"/>
        <v>0</v>
      </c>
      <c r="AM1389" s="375">
        <f t="shared" si="8399"/>
        <v>0</v>
      </c>
      <c r="AN1389" s="375">
        <f t="shared" si="8399"/>
        <v>0</v>
      </c>
      <c r="AO1389" s="375">
        <f t="shared" si="8399"/>
        <v>0</v>
      </c>
      <c r="AP1389" s="375">
        <f t="shared" si="8399"/>
        <v>0</v>
      </c>
      <c r="AQ1389" s="375">
        <f t="shared" si="8399"/>
        <v>0</v>
      </c>
      <c r="AR1389" s="375">
        <f t="shared" ref="AR1389:BW1389" si="8400" xml:space="preserve"> IF( AND( Flag_Last_Operations = 1, ($E$1389="да")), SUM(AO1388:AR1388) * (1 + $E$1382) / (Required_Rate_of_Return - $E$1382), 0)</f>
        <v>0</v>
      </c>
      <c r="AS1389" s="375">
        <f t="shared" si="8400"/>
        <v>0</v>
      </c>
      <c r="AT1389" s="375">
        <f t="shared" si="8400"/>
        <v>0</v>
      </c>
      <c r="AU1389" s="375">
        <f t="shared" si="8400"/>
        <v>0</v>
      </c>
      <c r="AV1389" s="375">
        <f t="shared" si="8400"/>
        <v>0</v>
      </c>
      <c r="AW1389" s="375">
        <f t="shared" si="8400"/>
        <v>0</v>
      </c>
      <c r="AX1389" s="375">
        <f t="shared" si="8400"/>
        <v>0</v>
      </c>
      <c r="AY1389" s="375">
        <f t="shared" si="8400"/>
        <v>0</v>
      </c>
      <c r="AZ1389" s="375">
        <f t="shared" si="8400"/>
        <v>0</v>
      </c>
      <c r="BA1389" s="375">
        <f t="shared" si="8400"/>
        <v>0</v>
      </c>
      <c r="BB1389" s="375">
        <f t="shared" si="8400"/>
        <v>0</v>
      </c>
      <c r="BC1389" s="375">
        <f t="shared" si="8400"/>
        <v>0</v>
      </c>
      <c r="BD1389" s="375">
        <f t="shared" si="8400"/>
        <v>0</v>
      </c>
      <c r="BE1389" s="375">
        <f t="shared" si="8400"/>
        <v>0</v>
      </c>
      <c r="BF1389" s="375">
        <f t="shared" si="8400"/>
        <v>0</v>
      </c>
      <c r="BG1389" s="375">
        <f t="shared" si="8400"/>
        <v>0</v>
      </c>
      <c r="BH1389" s="375">
        <f t="shared" si="8400"/>
        <v>0</v>
      </c>
      <c r="BI1389" s="375">
        <f t="shared" si="8400"/>
        <v>0</v>
      </c>
      <c r="BJ1389" s="375">
        <f t="shared" si="8400"/>
        <v>0</v>
      </c>
      <c r="BK1389" s="375">
        <f t="shared" si="8400"/>
        <v>0</v>
      </c>
      <c r="BL1389" s="375">
        <f t="shared" si="8400"/>
        <v>0</v>
      </c>
      <c r="BM1389" s="375">
        <f t="shared" si="8400"/>
        <v>0</v>
      </c>
      <c r="BN1389" s="375">
        <f t="shared" si="8400"/>
        <v>0</v>
      </c>
      <c r="BO1389" s="375">
        <f t="shared" si="8400"/>
        <v>0</v>
      </c>
      <c r="BP1389" s="375">
        <f t="shared" si="8400"/>
        <v>0</v>
      </c>
      <c r="BQ1389" s="375">
        <f t="shared" si="8400"/>
        <v>0</v>
      </c>
      <c r="BR1389" s="375">
        <f t="shared" si="8400"/>
        <v>0</v>
      </c>
      <c r="BS1389" s="375">
        <f t="shared" si="8400"/>
        <v>0</v>
      </c>
      <c r="BT1389" s="375">
        <f t="shared" si="8400"/>
        <v>0</v>
      </c>
      <c r="BU1389" s="375">
        <f t="shared" si="8400"/>
        <v>0</v>
      </c>
      <c r="BV1389" s="375">
        <f t="shared" si="8400"/>
        <v>0</v>
      </c>
      <c r="BW1389" s="375">
        <f t="shared" si="8400"/>
        <v>0</v>
      </c>
      <c r="BX1389" s="375">
        <f t="shared" ref="BX1389:CO1389" si="8401" xml:space="preserve"> IF( AND( Flag_Last_Operations = 1, ($E$1389="да")), SUM(BU1388:BX1388) * (1 + $E$1382) / (Required_Rate_of_Return - $E$1382), 0)</f>
        <v>0</v>
      </c>
      <c r="BY1389" s="375">
        <f t="shared" si="8401"/>
        <v>0</v>
      </c>
      <c r="BZ1389" s="375">
        <f t="shared" si="8401"/>
        <v>0</v>
      </c>
      <c r="CA1389" s="375">
        <f t="shared" si="8401"/>
        <v>0</v>
      </c>
      <c r="CB1389" s="375">
        <f t="shared" si="8401"/>
        <v>0</v>
      </c>
      <c r="CC1389" s="375">
        <f t="shared" si="8401"/>
        <v>0</v>
      </c>
      <c r="CD1389" s="375">
        <f t="shared" si="8401"/>
        <v>0</v>
      </c>
      <c r="CE1389" s="375">
        <f t="shared" si="8401"/>
        <v>0</v>
      </c>
      <c r="CF1389" s="375">
        <f t="shared" si="8401"/>
        <v>0</v>
      </c>
      <c r="CG1389" s="375">
        <f t="shared" si="8401"/>
        <v>0</v>
      </c>
      <c r="CH1389" s="375">
        <f t="shared" si="8401"/>
        <v>0</v>
      </c>
      <c r="CI1389" s="375">
        <f t="shared" si="8401"/>
        <v>0</v>
      </c>
      <c r="CJ1389" s="375">
        <f t="shared" si="8401"/>
        <v>0</v>
      </c>
      <c r="CK1389" s="375">
        <f t="shared" si="8401"/>
        <v>0</v>
      </c>
      <c r="CL1389" s="375">
        <f t="shared" si="8401"/>
        <v>0</v>
      </c>
      <c r="CM1389" s="375">
        <f t="shared" si="8401"/>
        <v>0</v>
      </c>
      <c r="CN1389" s="375">
        <f t="shared" si="8401"/>
        <v>0</v>
      </c>
      <c r="CO1389" s="375">
        <f t="shared" si="8401"/>
        <v>0</v>
      </c>
    </row>
    <row r="1390" spans="1:93" ht="15" thickTop="1">
      <c r="A1390" s="35"/>
      <c r="B1390" s="35"/>
      <c r="C1390" s="49" t="s">
        <v>259</v>
      </c>
      <c r="D1390" s="49"/>
      <c r="E1390" s="105"/>
      <c r="F1390" s="49"/>
      <c r="G1390" s="137"/>
      <c r="H1390" s="49"/>
      <c r="I1390" s="176">
        <f t="shared" ca="1" si="8386"/>
        <v>9825957.1223051213</v>
      </c>
      <c r="J1390" s="49"/>
      <c r="K1390" s="49"/>
      <c r="L1390" s="174">
        <f t="shared" ref="L1390" ca="1" si="8402">SUM(L1388:L1389)</f>
        <v>-31406.153379286916</v>
      </c>
      <c r="M1390" s="174">
        <f t="shared" ref="M1390:BX1390" ca="1" si="8403">SUM(M1388:M1389)</f>
        <v>-31851.960190507532</v>
      </c>
      <c r="N1390" s="174">
        <f t="shared" ca="1" si="8403"/>
        <v>-32304.095179220327</v>
      </c>
      <c r="O1390" s="174">
        <f t="shared" ca="1" si="8403"/>
        <v>-32762.648173192309</v>
      </c>
      <c r="P1390" s="174">
        <f t="shared" ca="1" si="8403"/>
        <v>-275591.46580799518</v>
      </c>
      <c r="Q1390" s="174">
        <f t="shared" ca="1" si="8403"/>
        <v>-278306.9805620276</v>
      </c>
      <c r="R1390" s="174">
        <f t="shared" ca="1" si="8403"/>
        <v>-281049.25238692126</v>
      </c>
      <c r="S1390" s="174">
        <f t="shared" ca="1" si="8403"/>
        <v>-283818.54493097326</v>
      </c>
      <c r="T1390" s="174">
        <f t="shared" ca="1" si="8403"/>
        <v>-289960.89661122987</v>
      </c>
      <c r="U1390" s="174">
        <f t="shared" ca="1" si="8403"/>
        <v>-292607.834793624</v>
      </c>
      <c r="V1390" s="174">
        <f t="shared" ca="1" si="8403"/>
        <v>-295275.75333765452</v>
      </c>
      <c r="W1390" s="174">
        <f t="shared" ca="1" si="8403"/>
        <v>-297934.79737139982</v>
      </c>
      <c r="X1390" s="174">
        <f t="shared" ca="1" si="8403"/>
        <v>-625018.23654332163</v>
      </c>
      <c r="Y1390" s="174">
        <f t="shared" ca="1" si="8403"/>
        <v>-630687.77129455493</v>
      </c>
      <c r="Z1390" s="174">
        <f t="shared" ca="1" si="8403"/>
        <v>-636430.45152861299</v>
      </c>
      <c r="AA1390" s="174">
        <f t="shared" ca="1" si="8403"/>
        <v>-642207.06158323737</v>
      </c>
      <c r="AB1390" s="174">
        <f t="shared" ca="1" si="8403"/>
        <v>-832991.97668650025</v>
      </c>
      <c r="AC1390" s="174">
        <f t="shared" ca="1" si="8403"/>
        <v>870232.3965845874</v>
      </c>
      <c r="AD1390" s="174">
        <f t="shared" ca="1" si="8403"/>
        <v>322799.56916267151</v>
      </c>
      <c r="AE1390" s="174">
        <f t="shared" ca="1" si="8403"/>
        <v>219343.40307200942</v>
      </c>
      <c r="AF1390" s="174">
        <f t="shared" ca="1" si="8403"/>
        <v>161109.1943529713</v>
      </c>
      <c r="AG1390" s="174">
        <f t="shared" ca="1" si="8403"/>
        <v>169799.87561618345</v>
      </c>
      <c r="AH1390" s="174">
        <f t="shared" ca="1" si="8403"/>
        <v>241057.91568758132</v>
      </c>
      <c r="AI1390" s="174">
        <f t="shared" ca="1" si="8403"/>
        <v>261928.84601557412</v>
      </c>
      <c r="AJ1390" s="174">
        <f t="shared" ca="1" si="8403"/>
        <v>191864.53530208263</v>
      </c>
      <c r="AK1390" s="174">
        <f t="shared" ca="1" si="8403"/>
        <v>200605.168742301</v>
      </c>
      <c r="AL1390" s="174">
        <f t="shared" ca="1" si="8403"/>
        <v>283408.40706570965</v>
      </c>
      <c r="AM1390" s="174">
        <f t="shared" ca="1" si="8403"/>
        <v>307095.2628931927</v>
      </c>
      <c r="AN1390" s="174">
        <f t="shared" ca="1" si="8403"/>
        <v>226324.10344526108</v>
      </c>
      <c r="AO1390" s="174">
        <f t="shared" ca="1" si="8403"/>
        <v>233586.89973023714</v>
      </c>
      <c r="AP1390" s="174">
        <f t="shared" ca="1" si="8403"/>
        <v>325549.15341746685</v>
      </c>
      <c r="AQ1390" s="174">
        <f t="shared" ca="1" si="8403"/>
        <v>344264.42635954136</v>
      </c>
      <c r="AR1390" s="174">
        <f t="shared" ca="1" si="8403"/>
        <v>244720.01765899936</v>
      </c>
      <c r="AS1390" s="174">
        <f t="shared" ca="1" si="8403"/>
        <v>245371.38903551595</v>
      </c>
      <c r="AT1390" s="174">
        <f t="shared" ca="1" si="8403"/>
        <v>336386.65140151902</v>
      </c>
      <c r="AU1390" s="174">
        <f t="shared" ca="1" si="8403"/>
        <v>348751.24183030118</v>
      </c>
      <c r="AV1390" s="174">
        <f t="shared" ca="1" si="8403"/>
        <v>245860.66563022873</v>
      </c>
      <c r="AW1390" s="174">
        <f t="shared" ca="1" si="8403"/>
        <v>290065.849246628</v>
      </c>
      <c r="AX1390" s="174">
        <f t="shared" ca="1" si="8403"/>
        <v>267338.87949031411</v>
      </c>
      <c r="AY1390" s="174">
        <f t="shared" ca="1" si="8403"/>
        <v>192946.32537422227</v>
      </c>
      <c r="AZ1390" s="174">
        <f t="shared" ca="1" si="8403"/>
        <v>139402.87020788199</v>
      </c>
      <c r="BA1390" s="174">
        <f t="shared" ca="1" si="8403"/>
        <v>181548.75322057106</v>
      </c>
      <c r="BB1390" s="174">
        <f t="shared" ca="1" si="8403"/>
        <v>244992.82010288216</v>
      </c>
      <c r="BC1390" s="174">
        <f t="shared" ca="1" si="8403"/>
        <v>200931.6230740319</v>
      </c>
      <c r="BD1390" s="174">
        <f t="shared" ca="1" si="8403"/>
        <v>147457.01877723139</v>
      </c>
      <c r="BE1390" s="174">
        <f t="shared" ca="1" si="8403"/>
        <v>186301.34108147162</v>
      </c>
      <c r="BF1390" s="174">
        <f t="shared" ca="1" si="8403"/>
        <v>252969.17768955522</v>
      </c>
      <c r="BG1390" s="174">
        <f t="shared" ca="1" si="8403"/>
        <v>207259.78769129206</v>
      </c>
      <c r="BH1390" s="174">
        <f t="shared" ca="1" si="8403"/>
        <v>149271.3857948205</v>
      </c>
      <c r="BI1390" s="174">
        <f t="shared" ca="1" si="8403"/>
        <v>194467.00727934245</v>
      </c>
      <c r="BJ1390" s="174">
        <f t="shared" ca="1" si="8403"/>
        <v>263143.28819603729</v>
      </c>
      <c r="BK1390" s="174">
        <f t="shared" ca="1" si="8403"/>
        <v>215603.7609729098</v>
      </c>
      <c r="BL1390" s="174">
        <f t="shared" ca="1" si="8403"/>
        <v>155296.66139235115</v>
      </c>
      <c r="BM1390" s="174">
        <f t="shared" ca="1" si="8403"/>
        <v>202301.54613887856</v>
      </c>
      <c r="BN1390" s="174">
        <f t="shared" ca="1" si="8403"/>
        <v>273726.34847685776</v>
      </c>
      <c r="BO1390" s="174">
        <f t="shared" ca="1" si="8403"/>
        <v>211339.56051991874</v>
      </c>
      <c r="BP1390" s="174">
        <f t="shared" ca="1" si="8403"/>
        <v>149413.85129333788</v>
      </c>
      <c r="BQ1390" s="174">
        <f t="shared" ca="1" si="8403"/>
        <v>190474.50395881923</v>
      </c>
      <c r="BR1390" s="174">
        <f t="shared" ca="1" si="8403"/>
        <v>258984.8702972231</v>
      </c>
      <c r="BS1390" s="174">
        <f t="shared" ca="1" si="8403"/>
        <v>219743.48235772018</v>
      </c>
      <c r="BT1390" s="174">
        <f t="shared" ca="1" si="8403"/>
        <v>157749.91729861218</v>
      </c>
      <c r="BU1390" s="174">
        <f t="shared" ca="1" si="8403"/>
        <v>197317.58972668706</v>
      </c>
      <c r="BV1390" s="174">
        <f t="shared" ca="1" si="8403"/>
        <v>269303.81083330908</v>
      </c>
      <c r="BW1390" s="174">
        <f t="shared" ca="1" si="8403"/>
        <v>228492.77329331194</v>
      </c>
      <c r="BX1390" s="174">
        <f t="shared" ca="1" si="8403"/>
        <v>161499.22810249944</v>
      </c>
      <c r="BY1390" s="174">
        <f t="shared" ref="BY1390:CO1390" ca="1" si="8404">SUM(BY1388:BY1389)</f>
        <v>205913.19083422469</v>
      </c>
      <c r="BZ1390" s="174">
        <f t="shared" ca="1" si="8404"/>
        <v>280016.72812416521</v>
      </c>
      <c r="CA1390" s="174">
        <f t="shared" ca="1" si="8404"/>
        <v>237573.24292879915</v>
      </c>
      <c r="CB1390" s="174">
        <f t="shared" ca="1" si="8404"/>
        <v>167906.9021982312</v>
      </c>
      <c r="CC1390" s="174">
        <f t="shared" ca="1" si="8404"/>
        <v>214098.72207169508</v>
      </c>
      <c r="CD1390" s="174">
        <f t="shared" ca="1" si="8404"/>
        <v>291167.7366661366</v>
      </c>
      <c r="CE1390" s="174">
        <f t="shared" ca="1" si="8404"/>
        <v>247026.51206295512</v>
      </c>
      <c r="CF1390" s="174">
        <f t="shared" ca="1" si="8404"/>
        <v>174570.84607735806</v>
      </c>
      <c r="CG1390" s="174">
        <f t="shared" ca="1" si="8404"/>
        <v>222611.67455866357</v>
      </c>
      <c r="CH1390" s="174">
        <f t="shared" ca="1" si="8404"/>
        <v>302764.78554978635</v>
      </c>
      <c r="CI1390" s="174">
        <f t="shared" ca="1" si="8404"/>
        <v>256857.9119624786</v>
      </c>
      <c r="CJ1390" s="174">
        <f t="shared" ca="1" si="8404"/>
        <v>184327.12636069866</v>
      </c>
      <c r="CK1390" s="174">
        <f t="shared" ca="1" si="8404"/>
        <v>230615.70664995746</v>
      </c>
      <c r="CL1390" s="174">
        <f t="shared" ca="1" si="8404"/>
        <v>314835.06059641473</v>
      </c>
      <c r="CM1390" s="174">
        <f t="shared" ca="1" si="8404"/>
        <v>267091.91898776789</v>
      </c>
      <c r="CN1390" s="174">
        <f t="shared" ca="1" si="8404"/>
        <v>188709.02758838091</v>
      </c>
      <c r="CO1390" s="174">
        <f t="shared" ca="1" si="8404"/>
        <v>240672.75455501606</v>
      </c>
    </row>
    <row r="1391" spans="1:93">
      <c r="A1391" s="10"/>
      <c r="B1391" s="10"/>
      <c r="C1391" s="17"/>
      <c r="D1391" s="10"/>
      <c r="E1391" s="62"/>
      <c r="F1391" s="10"/>
      <c r="G1391" s="11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  <c r="AY1391" s="10"/>
      <c r="AZ1391" s="10"/>
      <c r="BA1391" s="10"/>
      <c r="BB1391" s="10"/>
      <c r="BC1391" s="10"/>
      <c r="BD1391" s="10"/>
      <c r="BE1391" s="10"/>
      <c r="BF1391" s="10"/>
      <c r="BG1391" s="10"/>
      <c r="BH1391" s="10"/>
      <c r="BI1391" s="10"/>
      <c r="BJ1391" s="10"/>
      <c r="BK1391" s="10"/>
      <c r="BL1391" s="10"/>
      <c r="BM1391" s="10"/>
      <c r="BN1391" s="10"/>
      <c r="BO1391" s="10"/>
      <c r="BP1391" s="10"/>
      <c r="BQ1391" s="10"/>
      <c r="BR1391" s="10"/>
      <c r="BS1391" s="10"/>
      <c r="BT1391" s="10"/>
      <c r="BU1391" s="10"/>
      <c r="BV1391" s="10"/>
      <c r="BW1391" s="10"/>
      <c r="BX1391" s="10"/>
      <c r="BY1391" s="10"/>
      <c r="BZ1391" s="10"/>
      <c r="CA1391" s="10"/>
      <c r="CB1391" s="10"/>
      <c r="CC1391" s="10"/>
      <c r="CD1391" s="10"/>
      <c r="CE1391" s="10"/>
      <c r="CF1391" s="10"/>
      <c r="CG1391" s="10"/>
      <c r="CH1391" s="10"/>
      <c r="CI1391" s="10"/>
      <c r="CJ1391" s="10"/>
      <c r="CK1391" s="10"/>
      <c r="CL1391" s="10"/>
      <c r="CM1391" s="10"/>
      <c r="CN1391" s="10"/>
      <c r="CO1391" s="10"/>
    </row>
    <row r="1392" spans="1:93" s="133" customFormat="1" ht="14">
      <c r="A1392" s="10"/>
      <c r="B1392" s="10"/>
      <c r="C1392" s="17" t="s">
        <v>217</v>
      </c>
      <c r="D1392" s="10"/>
      <c r="E1392" s="62"/>
      <c r="F1392" s="10"/>
      <c r="G1392" s="11"/>
      <c r="H1392" s="10"/>
      <c r="I1392" s="10"/>
      <c r="J1392" s="10"/>
      <c r="K1392" s="10"/>
      <c r="L1392" s="35">
        <f>IF(K1392 = "", YEAR(Beginning_of_period), IF(MAX($K1392:K1392) &lt; YEAR(Date_Operations_End), K1392+1, 0))</f>
        <v>2025</v>
      </c>
      <c r="M1392" s="35">
        <f>IF(L1392 = "", YEAR(Beginning_of_period), IF(MAX($K1392:L1392) &lt; YEAR(Date_Operations_End), L1392+1, 0))</f>
        <v>2026</v>
      </c>
      <c r="N1392" s="35">
        <f>IF(M1392 = "", YEAR(Beginning_of_period), IF(MAX($K1392:M1392) &lt; YEAR(Date_Operations_End), M1392+1, 0))</f>
        <v>2027</v>
      </c>
      <c r="O1392" s="35">
        <f>IF(N1392 = "", YEAR(Beginning_of_period), IF(MAX($K1392:N1392) &lt; YEAR(Date_Operations_End), N1392+1, 0))</f>
        <v>2028</v>
      </c>
      <c r="P1392" s="35">
        <f>IF(O1392 = "", YEAR(Beginning_of_period), IF(MAX($K1392:O1392) &lt; YEAR(Date_Operations_End), O1392+1, 0))</f>
        <v>2029</v>
      </c>
      <c r="Q1392" s="35">
        <f>IF(P1392 = "", YEAR(Beginning_of_period), IF(MAX($K1392:P1392) &lt; YEAR(Date_Operations_End), P1392+1, 0))</f>
        <v>2030</v>
      </c>
      <c r="R1392" s="35">
        <f>IF(Q1392 = "", YEAR(Beginning_of_period), IF(MAX($K1392:Q1392) &lt; YEAR(Date_Operations_End), Q1392+1, 0))</f>
        <v>2031</v>
      </c>
      <c r="S1392" s="35">
        <f>IF(R1392 = "", YEAR(Beginning_of_period), IF(MAX($K1392:R1392) &lt; YEAR(Date_Operations_End), R1392+1, 0))</f>
        <v>2032</v>
      </c>
      <c r="T1392" s="35">
        <f>IF(S1392 = "", YEAR(Beginning_of_period), IF(MAX($K1392:S1392) &lt; YEAR(Date_Operations_End), S1392+1, 0))</f>
        <v>2033</v>
      </c>
      <c r="U1392" s="35">
        <f>IF(T1392 = "", YEAR(Beginning_of_period), IF(MAX($K1392:T1392) &lt; YEAR(Date_Operations_End), T1392+1, 0))</f>
        <v>2034</v>
      </c>
      <c r="V1392" s="35">
        <f>IF(U1392 = "", YEAR(Beginning_of_period), IF(MAX($K1392:U1392) &lt; YEAR(Date_Operations_End), U1392+1, 0))</f>
        <v>2035</v>
      </c>
      <c r="W1392" s="35">
        <f>IF(V1392 = "", YEAR(Beginning_of_period), IF(MAX($K1392:V1392) &lt; YEAR(Date_Operations_End), V1392+1, 0))</f>
        <v>2036</v>
      </c>
      <c r="X1392" s="35">
        <f>IF(W1392 = "", YEAR(Beginning_of_period), IF(MAX($K1392:W1392) &lt; YEAR(Date_Operations_End), W1392+1, 0))</f>
        <v>2037</v>
      </c>
      <c r="Y1392" s="35">
        <f>IF(X1392 = "", YEAR(Beginning_of_period), IF(MAX($K1392:X1392) &lt; YEAR(Date_Operations_End), X1392+1, 0))</f>
        <v>2038</v>
      </c>
      <c r="Z1392" s="35">
        <f>IF(Y1392 = "", YEAR(Beginning_of_period), IF(MAX($K1392:Y1392) &lt; YEAR(Date_Operations_End), Y1392+1, 0))</f>
        <v>2039</v>
      </c>
      <c r="AA1392" s="35">
        <f>IF(Z1392 = "", YEAR(Beginning_of_period), IF(MAX($K1392:Z1392) &lt; YEAR(Date_Operations_End), Z1392+1, 0))</f>
        <v>2040</v>
      </c>
      <c r="AB1392" s="35">
        <f>IF(AA1392 = "", YEAR(Beginning_of_period), IF(MAX($K1392:AA1392) &lt; YEAR(Date_Operations_End), AA1392+1, 0))</f>
        <v>2041</v>
      </c>
      <c r="AC1392" s="35">
        <f>IF(AB1392 = "", YEAR(Beginning_of_period), IF(MAX($K1392:AB1392) &lt; YEAR(Date_Operations_End), AB1392+1, 0))</f>
        <v>2042</v>
      </c>
      <c r="AD1392" s="35">
        <f>IF(AC1392 = "", YEAR(Beginning_of_period), IF(MAX($K1392:AC1392) &lt; YEAR(Date_Operations_End), AC1392+1, 0))</f>
        <v>2043</v>
      </c>
      <c r="AE1392" s="35">
        <f>IF(AD1392 = "", YEAR(Beginning_of_period), IF(MAX($K1392:AD1392) &lt; YEAR(Date_Operations_End), AD1392+1, 0))</f>
        <v>2044</v>
      </c>
      <c r="AF1392" s="35">
        <f>IF(AE1392 = "", YEAR(Beginning_of_period), IF(MAX($K1392:AE1392) &lt; YEAR(Date_Operations_End), AE1392+1, 0))</f>
        <v>2045</v>
      </c>
      <c r="AG1392" s="35">
        <f>IF(AF1392 = "", YEAR(Beginning_of_period), IF(MAX($K1392:AF1392) &lt; YEAR(Date_Operations_End), AF1392+1, 0))</f>
        <v>2046</v>
      </c>
      <c r="AH1392" s="35">
        <f>IF(AG1392 = "", YEAR(Beginning_of_period), IF(MAX($K1392:AG1392) &lt; YEAR(Date_Operations_End), AG1392+1, 0))</f>
        <v>2047</v>
      </c>
      <c r="AI1392" s="35">
        <f>IF(AH1392 = "", YEAR(Beginning_of_period), IF(MAX($K1392:AH1392) &lt; YEAR(Date_Operations_End), AH1392+1, 0))</f>
        <v>2048</v>
      </c>
      <c r="AJ1392" s="35">
        <f>IF(AI1392 = "", YEAR(Beginning_of_period), IF(MAX($K1392:AI1392) &lt; YEAR(Date_Operations_End), AI1392+1, 0))</f>
        <v>2049</v>
      </c>
      <c r="AK1392" s="35">
        <f>IF(AJ1392 = "", YEAR(Beginning_of_period), IF(MAX($K1392:AJ1392) &lt; YEAR(Date_Operations_End), AJ1392+1, 0))</f>
        <v>0</v>
      </c>
      <c r="AL1392" s="35">
        <f>IF(AK1392 = "", YEAR(Beginning_of_period), IF(MAX($K1392:AK1392) &lt; YEAR(Date_Operations_End), AK1392+1, 0))</f>
        <v>0</v>
      </c>
      <c r="AM1392" s="35">
        <f>IF(AL1392 = "", YEAR(Beginning_of_period), IF(MAX($K1392:AL1392) &lt; YEAR(Date_Operations_End), AL1392+1, 0))</f>
        <v>0</v>
      </c>
      <c r="AN1392" s="35">
        <f>IF(AM1392 = "", YEAR(Beginning_of_period), IF(MAX($K1392:AM1392) &lt; YEAR(Date_Operations_End), AM1392+1, 0))</f>
        <v>0</v>
      </c>
      <c r="AO1392" s="35">
        <f>IF(AN1392 = "", YEAR(Beginning_of_period), IF(MAX($K1392:AN1392) &lt; YEAR(Date_Operations_End), AN1392+1, 0))</f>
        <v>0</v>
      </c>
      <c r="AP1392" s="35">
        <f>IF(AO1392 = "", YEAR(Beginning_of_period), IF(MAX($K1392:AO1392) &lt; YEAR(Date_Operations_End), AO1392+1, 0))</f>
        <v>0</v>
      </c>
      <c r="AQ1392" s="35">
        <f>IF(AP1392 = "", YEAR(Beginning_of_period), IF(MAX($K1392:AP1392) &lt; YEAR(Date_Operations_End), AP1392+1, 0))</f>
        <v>0</v>
      </c>
      <c r="AR1392" s="35">
        <f>IF(AQ1392 = "", YEAR(Beginning_of_period), IF(MAX($K1392:AQ1392) &lt; YEAR(Date_Operations_End), AQ1392+1, 0))</f>
        <v>0</v>
      </c>
      <c r="AS1392" s="35">
        <f>IF(AR1392 = "", YEAR(Beginning_of_period), IF(MAX($K1392:AR1392) &lt; YEAR(Date_Operations_End), AR1392+1, 0))</f>
        <v>0</v>
      </c>
      <c r="AT1392" s="35">
        <f>IF(AS1392 = "", YEAR(Beginning_of_period), IF(MAX($K1392:AS1392) &lt; YEAR(Date_Operations_End), AS1392+1, 0))</f>
        <v>0</v>
      </c>
      <c r="AU1392" s="35">
        <f>IF(AT1392 = "", YEAR(Beginning_of_period), IF(MAX($K1392:AT1392) &lt; YEAR(Date_Operations_End), AT1392+1, 0))</f>
        <v>0</v>
      </c>
      <c r="AV1392" s="35">
        <f>IF(AU1392 = "", YEAR(Beginning_of_period), IF(MAX($K1392:AU1392) &lt; YEAR(Date_Operations_End), AU1392+1, 0))</f>
        <v>0</v>
      </c>
      <c r="AW1392" s="35">
        <f>IF(AV1392 = "", YEAR(Beginning_of_period), IF(MAX($K1392:AV1392) &lt; YEAR(Date_Operations_End), AV1392+1, 0))</f>
        <v>0</v>
      </c>
      <c r="AX1392" s="35">
        <f>IF(AW1392 = "", YEAR(Beginning_of_period), IF(MAX($K1392:AW1392) &lt; YEAR(Date_Operations_End), AW1392+1, 0))</f>
        <v>0</v>
      </c>
      <c r="AY1392" s="35">
        <f>IF(AX1392 = "", YEAR(Beginning_of_period), IF(MAX($K1392:AX1392) &lt; YEAR(Date_Operations_End), AX1392+1, 0))</f>
        <v>0</v>
      </c>
      <c r="AZ1392" s="35">
        <f>IF(AY1392 = "", YEAR(Beginning_of_period), IF(MAX($K1392:AY1392) &lt; YEAR(Date_Operations_End), AY1392+1, 0))</f>
        <v>0</v>
      </c>
      <c r="BA1392" s="35">
        <f>IF(AZ1392 = "", YEAR(Beginning_of_period), IF(MAX($K1392:AZ1392) &lt; YEAR(Date_Operations_End), AZ1392+1, 0))</f>
        <v>0</v>
      </c>
      <c r="BB1392" s="35">
        <f>IF(BA1392 = "", YEAR(Beginning_of_period), IF(MAX($K1392:BA1392) &lt; YEAR(Date_Operations_End), BA1392+1, 0))</f>
        <v>0</v>
      </c>
      <c r="BC1392" s="35">
        <f>IF(BB1392 = "", YEAR(Beginning_of_period), IF(MAX($K1392:BB1392) &lt; YEAR(Date_Operations_End), BB1392+1, 0))</f>
        <v>0</v>
      </c>
      <c r="BD1392" s="35">
        <f>IF(BC1392 = "", YEAR(Beginning_of_period), IF(MAX($K1392:BC1392) &lt; YEAR(Date_Operations_End), BC1392+1, 0))</f>
        <v>0</v>
      </c>
      <c r="BE1392" s="35">
        <f>IF(BD1392 = "", YEAR(Beginning_of_period), IF(MAX($K1392:BD1392) &lt; YEAR(Date_Operations_End), BD1392+1, 0))</f>
        <v>0</v>
      </c>
      <c r="BF1392" s="35">
        <f>IF(BE1392 = "", YEAR(Beginning_of_period), IF(MAX($K1392:BE1392) &lt; YEAR(Date_Operations_End), BE1392+1, 0))</f>
        <v>0</v>
      </c>
      <c r="BG1392" s="35">
        <f>IF(BF1392 = "", YEAR(Beginning_of_period), IF(MAX($K1392:BF1392) &lt; YEAR(Date_Operations_End), BF1392+1, 0))</f>
        <v>0</v>
      </c>
      <c r="BH1392" s="35">
        <f>IF(BG1392 = "", YEAR(Beginning_of_period), IF(MAX($K1392:BG1392) &lt; YEAR(Date_Operations_End), BG1392+1, 0))</f>
        <v>0</v>
      </c>
      <c r="BI1392" s="35">
        <f>IF(BH1392 = "", YEAR(Beginning_of_period), IF(MAX($K1392:BH1392) &lt; YEAR(Date_Operations_End), BH1392+1, 0))</f>
        <v>0</v>
      </c>
      <c r="BJ1392" s="35">
        <f>IF(BI1392 = "", YEAR(Beginning_of_period), IF(MAX($K1392:BI1392) &lt; YEAR(Date_Operations_End), BI1392+1, 0))</f>
        <v>0</v>
      </c>
      <c r="BK1392" s="35">
        <f>IF(BJ1392 = "", YEAR(Beginning_of_period), IF(MAX($K1392:BJ1392) &lt; YEAR(Date_Operations_End), BJ1392+1, 0))</f>
        <v>0</v>
      </c>
      <c r="BL1392" s="35">
        <f>IF(BK1392 = "", YEAR(Beginning_of_period), IF(MAX($K1392:BK1392) &lt; YEAR(Date_Operations_End), BK1392+1, 0))</f>
        <v>0</v>
      </c>
      <c r="BM1392" s="35">
        <f>IF(BL1392 = "", YEAR(Beginning_of_period), IF(MAX($K1392:BL1392) &lt; YEAR(Date_Operations_End), BL1392+1, 0))</f>
        <v>0</v>
      </c>
      <c r="BN1392" s="35">
        <f>IF(BM1392 = "", YEAR(Beginning_of_period), IF(MAX($K1392:BM1392) &lt; YEAR(Date_Operations_End), BM1392+1, 0))</f>
        <v>0</v>
      </c>
      <c r="BO1392" s="35">
        <f>IF(BN1392 = "", YEAR(Beginning_of_period), IF(MAX($K1392:BN1392) &lt; YEAR(Date_Operations_End), BN1392+1, 0))</f>
        <v>0</v>
      </c>
      <c r="BP1392" s="35">
        <f>IF(BO1392 = "", YEAR(Beginning_of_period), IF(MAX($K1392:BO1392) &lt; YEAR(Date_Operations_End), BO1392+1, 0))</f>
        <v>0</v>
      </c>
      <c r="BQ1392" s="35">
        <f>IF(BP1392 = "", YEAR(Beginning_of_period), IF(MAX($K1392:BP1392) &lt; YEAR(Date_Operations_End), BP1392+1, 0))</f>
        <v>0</v>
      </c>
      <c r="BR1392" s="35">
        <f>IF(BQ1392 = "", YEAR(Beginning_of_period), IF(MAX($K1392:BQ1392) &lt; YEAR(Date_Operations_End), BQ1392+1, 0))</f>
        <v>0</v>
      </c>
      <c r="BS1392" s="35">
        <f>IF(BR1392 = "", YEAR(Beginning_of_period), IF(MAX($K1392:BR1392) &lt; YEAR(Date_Operations_End), BR1392+1, 0))</f>
        <v>0</v>
      </c>
      <c r="BT1392" s="35">
        <f>IF(BS1392 = "", YEAR(Beginning_of_period), IF(MAX($K1392:BS1392) &lt; YEAR(Date_Operations_End), BS1392+1, 0))</f>
        <v>0</v>
      </c>
      <c r="BU1392" s="35">
        <f>IF(BT1392 = "", YEAR(Beginning_of_period), IF(MAX($K1392:BT1392) &lt; YEAR(Date_Operations_End), BT1392+1, 0))</f>
        <v>0</v>
      </c>
      <c r="BV1392" s="35">
        <f>IF(BU1392 = "", YEAR(Beginning_of_period), IF(MAX($K1392:BU1392) &lt; YEAR(Date_Operations_End), BU1392+1, 0))</f>
        <v>0</v>
      </c>
      <c r="BW1392" s="35">
        <f>IF(BV1392 = "", YEAR(Beginning_of_period), IF(MAX($K1392:BV1392) &lt; YEAR(Date_Operations_End), BV1392+1, 0))</f>
        <v>0</v>
      </c>
      <c r="BX1392" s="35">
        <f>IF(BW1392 = "", YEAR(Beginning_of_period), IF(MAX($K1392:BW1392) &lt; YEAR(Date_Operations_End), BW1392+1, 0))</f>
        <v>0</v>
      </c>
      <c r="BY1392" s="35">
        <f>IF(BX1392 = "", YEAR(Beginning_of_period), IF(MAX($K1392:BX1392) &lt; YEAR(Date_Operations_End), BX1392+1, 0))</f>
        <v>0</v>
      </c>
      <c r="BZ1392" s="35">
        <f>IF(BY1392 = "", YEAR(Beginning_of_period), IF(MAX($K1392:BY1392) &lt; YEAR(Date_Operations_End), BY1392+1, 0))</f>
        <v>0</v>
      </c>
      <c r="CA1392" s="35">
        <f>IF(BZ1392 = "", YEAR(Beginning_of_period), IF(MAX($K1392:BZ1392) &lt; YEAR(Date_Operations_End), BZ1392+1, 0))</f>
        <v>0</v>
      </c>
      <c r="CB1392" s="35">
        <f>IF(CA1392 = "", YEAR(Beginning_of_period), IF(MAX($K1392:CA1392) &lt; YEAR(Date_Operations_End), CA1392+1, 0))</f>
        <v>0</v>
      </c>
      <c r="CC1392" s="35">
        <f>IF(CB1392 = "", YEAR(Beginning_of_period), IF(MAX($K1392:CB1392) &lt; YEAR(Date_Operations_End), CB1392+1, 0))</f>
        <v>0</v>
      </c>
      <c r="CD1392" s="35">
        <f>IF(CC1392 = "", YEAR(Beginning_of_period), IF(MAX($K1392:CC1392) &lt; YEAR(Date_Operations_End), CC1392+1, 0))</f>
        <v>0</v>
      </c>
      <c r="CE1392" s="35">
        <f>IF(CD1392 = "", YEAR(Beginning_of_period), IF(MAX($K1392:CD1392) &lt; YEAR(Date_Operations_End), CD1392+1, 0))</f>
        <v>0</v>
      </c>
      <c r="CF1392" s="35">
        <f>IF(CE1392 = "", YEAR(Beginning_of_period), IF(MAX($K1392:CE1392) &lt; YEAR(Date_Operations_End), CE1392+1, 0))</f>
        <v>0</v>
      </c>
      <c r="CG1392" s="35">
        <f>IF(CF1392 = "", YEAR(Beginning_of_period), IF(MAX($K1392:CF1392) &lt; YEAR(Date_Operations_End), CF1392+1, 0))</f>
        <v>0</v>
      </c>
      <c r="CH1392" s="35">
        <f>IF(CG1392 = "", YEAR(Beginning_of_period), IF(MAX($K1392:CG1392) &lt; YEAR(Date_Operations_End), CG1392+1, 0))</f>
        <v>0</v>
      </c>
      <c r="CI1392" s="35">
        <f>IF(CH1392 = "", YEAR(Beginning_of_period), IF(MAX($K1392:CH1392) &lt; YEAR(Date_Operations_End), CH1392+1, 0))</f>
        <v>0</v>
      </c>
      <c r="CJ1392" s="35">
        <f>IF(CI1392 = "", YEAR(Beginning_of_period), IF(MAX($K1392:CI1392) &lt; YEAR(Date_Operations_End), CI1392+1, 0))</f>
        <v>0</v>
      </c>
      <c r="CK1392" s="35">
        <f>IF(CJ1392 = "", YEAR(Beginning_of_period), IF(MAX($K1392:CJ1392) &lt; YEAR(Date_Operations_End), CJ1392+1, 0))</f>
        <v>0</v>
      </c>
      <c r="CL1392" s="35">
        <f>IF(CK1392 = "", YEAR(Beginning_of_period), IF(MAX($K1392:CK1392) &lt; YEAR(Date_Operations_End), CK1392+1, 0))</f>
        <v>0</v>
      </c>
      <c r="CM1392" s="35">
        <f>IF(CL1392 = "", YEAR(Beginning_of_period), IF(MAX($K1392:CL1392) &lt; YEAR(Date_Operations_End), CL1392+1, 0))</f>
        <v>0</v>
      </c>
      <c r="CN1392" s="35">
        <f>IF(CM1392 = "", YEAR(Beginning_of_period), IF(MAX($K1392:CM1392) &lt; YEAR(Date_Operations_End), CM1392+1, 0))</f>
        <v>0</v>
      </c>
      <c r="CO1392" s="35">
        <f>IF(CN1392 = "", YEAR(Beginning_of_period), IF(MAX($K1392:CN1392) &lt; YEAR(Date_Operations_End), CN1392+1, 0))</f>
        <v>0</v>
      </c>
    </row>
    <row r="1393" spans="1:93">
      <c r="A1393" s="10"/>
      <c r="B1393" s="10"/>
      <c r="C1393" s="17" t="s">
        <v>218</v>
      </c>
      <c r="D1393" s="10"/>
      <c r="E1393" s="106"/>
      <c r="F1393" s="10"/>
      <c r="G1393" s="134" t="str">
        <f>Monetary_Unit</f>
        <v>тыс. руб.</v>
      </c>
      <c r="H1393" s="10"/>
      <c r="I1393" s="23">
        <f ca="1">SUM(L1393:CO1393)</f>
        <v>9825957.1223051231</v>
      </c>
      <c r="J1393" s="10"/>
      <c r="K1393" s="10"/>
      <c r="L1393" s="52">
        <f t="shared" ref="L1393" ca="1" si="8405">SUMIF(Year,L$1392,$L1390:$CO1390)</f>
        <v>-128324.85692220708</v>
      </c>
      <c r="M1393" s="52">
        <f t="shared" ref="M1393:BX1393" ca="1" si="8406">SUMIF(Year,M$1392,$L1390:$CO1390)</f>
        <v>-1118766.2436879175</v>
      </c>
      <c r="N1393" s="52">
        <f t="shared" ca="1" si="8406"/>
        <v>-1175779.2821139083</v>
      </c>
      <c r="O1393" s="52">
        <f t="shared" ca="1" si="8406"/>
        <v>-2534343.5209497269</v>
      </c>
      <c r="P1393" s="52">
        <f t="shared" ca="1" si="8406"/>
        <v>579383.39213276806</v>
      </c>
      <c r="Q1393" s="52">
        <f t="shared" ca="1" si="8406"/>
        <v>833895.83167231013</v>
      </c>
      <c r="R1393" s="52">
        <f t="shared" ca="1" si="8406"/>
        <v>982973.37400328601</v>
      </c>
      <c r="S1393" s="52">
        <f t="shared" ca="1" si="8406"/>
        <v>1129724.5829525064</v>
      </c>
      <c r="T1393" s="52">
        <f t="shared" ca="1" si="8406"/>
        <v>1175229.2999263355</v>
      </c>
      <c r="U1393" s="52">
        <f t="shared" ca="1" si="8406"/>
        <v>996211.719741393</v>
      </c>
      <c r="V1393" s="52">
        <f t="shared" ca="1" si="8406"/>
        <v>766876.06660536712</v>
      </c>
      <c r="W1393" s="52">
        <f t="shared" ca="1" si="8406"/>
        <v>793987.32523955032</v>
      </c>
      <c r="X1393" s="52">
        <f t="shared" ca="1" si="8406"/>
        <v>822485.44224311016</v>
      </c>
      <c r="Y1393" s="52">
        <f t="shared" ca="1" si="8406"/>
        <v>842664.11652800627</v>
      </c>
      <c r="Z1393" s="52">
        <f t="shared" ca="1" si="8406"/>
        <v>818616.70790710032</v>
      </c>
      <c r="AA1393" s="52">
        <f t="shared" ca="1" si="8406"/>
        <v>852864.09115192026</v>
      </c>
      <c r="AB1393" s="52">
        <f t="shared" ca="1" si="8406"/>
        <v>885002.38998968841</v>
      </c>
      <c r="AC1393" s="52">
        <f t="shared" ca="1" si="8406"/>
        <v>920199.87299901806</v>
      </c>
      <c r="AD1393" s="52">
        <f t="shared" ca="1" si="8406"/>
        <v>956805.21814828669</v>
      </c>
      <c r="AE1393" s="52">
        <f t="shared" ca="1" si="8406"/>
        <v>996869.81259483879</v>
      </c>
      <c r="AF1393" s="52">
        <f t="shared" ca="1" si="8406"/>
        <v>429381.78214339697</v>
      </c>
      <c r="AG1393" s="52">
        <f t="shared" si="8406"/>
        <v>0</v>
      </c>
      <c r="AH1393" s="52">
        <f t="shared" si="8406"/>
        <v>0</v>
      </c>
      <c r="AI1393" s="52">
        <f t="shared" si="8406"/>
        <v>0</v>
      </c>
      <c r="AJ1393" s="52">
        <f t="shared" si="8406"/>
        <v>0</v>
      </c>
      <c r="AK1393" s="52">
        <f t="shared" si="8406"/>
        <v>0</v>
      </c>
      <c r="AL1393" s="52">
        <f t="shared" si="8406"/>
        <v>0</v>
      </c>
      <c r="AM1393" s="52">
        <f t="shared" si="8406"/>
        <v>0</v>
      </c>
      <c r="AN1393" s="52">
        <f t="shared" si="8406"/>
        <v>0</v>
      </c>
      <c r="AO1393" s="52">
        <f t="shared" si="8406"/>
        <v>0</v>
      </c>
      <c r="AP1393" s="52">
        <f t="shared" si="8406"/>
        <v>0</v>
      </c>
      <c r="AQ1393" s="52">
        <f t="shared" si="8406"/>
        <v>0</v>
      </c>
      <c r="AR1393" s="52">
        <f t="shared" si="8406"/>
        <v>0</v>
      </c>
      <c r="AS1393" s="52">
        <f t="shared" si="8406"/>
        <v>0</v>
      </c>
      <c r="AT1393" s="52">
        <f t="shared" si="8406"/>
        <v>0</v>
      </c>
      <c r="AU1393" s="52">
        <f t="shared" si="8406"/>
        <v>0</v>
      </c>
      <c r="AV1393" s="52">
        <f t="shared" si="8406"/>
        <v>0</v>
      </c>
      <c r="AW1393" s="52">
        <f t="shared" si="8406"/>
        <v>0</v>
      </c>
      <c r="AX1393" s="52">
        <f t="shared" si="8406"/>
        <v>0</v>
      </c>
      <c r="AY1393" s="52">
        <f t="shared" si="8406"/>
        <v>0</v>
      </c>
      <c r="AZ1393" s="52">
        <f t="shared" si="8406"/>
        <v>0</v>
      </c>
      <c r="BA1393" s="52">
        <f t="shared" si="8406"/>
        <v>0</v>
      </c>
      <c r="BB1393" s="52">
        <f t="shared" si="8406"/>
        <v>0</v>
      </c>
      <c r="BC1393" s="52">
        <f t="shared" si="8406"/>
        <v>0</v>
      </c>
      <c r="BD1393" s="52">
        <f t="shared" si="8406"/>
        <v>0</v>
      </c>
      <c r="BE1393" s="52">
        <f t="shared" si="8406"/>
        <v>0</v>
      </c>
      <c r="BF1393" s="52">
        <f t="shared" si="8406"/>
        <v>0</v>
      </c>
      <c r="BG1393" s="52">
        <f t="shared" si="8406"/>
        <v>0</v>
      </c>
      <c r="BH1393" s="52">
        <f t="shared" si="8406"/>
        <v>0</v>
      </c>
      <c r="BI1393" s="52">
        <f t="shared" si="8406"/>
        <v>0</v>
      </c>
      <c r="BJ1393" s="52">
        <f t="shared" si="8406"/>
        <v>0</v>
      </c>
      <c r="BK1393" s="52">
        <f t="shared" si="8406"/>
        <v>0</v>
      </c>
      <c r="BL1393" s="52">
        <f t="shared" si="8406"/>
        <v>0</v>
      </c>
      <c r="BM1393" s="52">
        <f t="shared" si="8406"/>
        <v>0</v>
      </c>
      <c r="BN1393" s="52">
        <f t="shared" si="8406"/>
        <v>0</v>
      </c>
      <c r="BO1393" s="52">
        <f t="shared" si="8406"/>
        <v>0</v>
      </c>
      <c r="BP1393" s="52">
        <f t="shared" si="8406"/>
        <v>0</v>
      </c>
      <c r="BQ1393" s="52">
        <f t="shared" si="8406"/>
        <v>0</v>
      </c>
      <c r="BR1393" s="52">
        <f t="shared" si="8406"/>
        <v>0</v>
      </c>
      <c r="BS1393" s="52">
        <f t="shared" si="8406"/>
        <v>0</v>
      </c>
      <c r="BT1393" s="52">
        <f t="shared" si="8406"/>
        <v>0</v>
      </c>
      <c r="BU1393" s="52">
        <f t="shared" si="8406"/>
        <v>0</v>
      </c>
      <c r="BV1393" s="52">
        <f t="shared" si="8406"/>
        <v>0</v>
      </c>
      <c r="BW1393" s="52">
        <f t="shared" si="8406"/>
        <v>0</v>
      </c>
      <c r="BX1393" s="52">
        <f t="shared" si="8406"/>
        <v>0</v>
      </c>
      <c r="BY1393" s="52">
        <f t="shared" ref="BY1393:CO1393" si="8407">SUMIF(Year,BY$1392,$L1390:$CO1390)</f>
        <v>0</v>
      </c>
      <c r="BZ1393" s="52">
        <f t="shared" si="8407"/>
        <v>0</v>
      </c>
      <c r="CA1393" s="52">
        <f t="shared" si="8407"/>
        <v>0</v>
      </c>
      <c r="CB1393" s="52">
        <f t="shared" si="8407"/>
        <v>0</v>
      </c>
      <c r="CC1393" s="52">
        <f t="shared" si="8407"/>
        <v>0</v>
      </c>
      <c r="CD1393" s="52">
        <f t="shared" si="8407"/>
        <v>0</v>
      </c>
      <c r="CE1393" s="52">
        <f t="shared" si="8407"/>
        <v>0</v>
      </c>
      <c r="CF1393" s="52">
        <f t="shared" si="8407"/>
        <v>0</v>
      </c>
      <c r="CG1393" s="52">
        <f t="shared" si="8407"/>
        <v>0</v>
      </c>
      <c r="CH1393" s="52">
        <f t="shared" si="8407"/>
        <v>0</v>
      </c>
      <c r="CI1393" s="52">
        <f t="shared" si="8407"/>
        <v>0</v>
      </c>
      <c r="CJ1393" s="52">
        <f t="shared" si="8407"/>
        <v>0</v>
      </c>
      <c r="CK1393" s="52">
        <f t="shared" si="8407"/>
        <v>0</v>
      </c>
      <c r="CL1393" s="52">
        <f t="shared" si="8407"/>
        <v>0</v>
      </c>
      <c r="CM1393" s="52">
        <f t="shared" si="8407"/>
        <v>0</v>
      </c>
      <c r="CN1393" s="52">
        <f t="shared" si="8407"/>
        <v>0</v>
      </c>
      <c r="CO1393" s="52">
        <f t="shared" si="8407"/>
        <v>0</v>
      </c>
    </row>
    <row r="1394" spans="1:93">
      <c r="A1394" s="10"/>
      <c r="B1394" s="10"/>
      <c r="C1394" s="17"/>
      <c r="D1394" s="10"/>
      <c r="E1394" s="62"/>
      <c r="F1394" s="10"/>
      <c r="G1394" s="11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  <c r="AY1394" s="10"/>
      <c r="AZ1394" s="10"/>
      <c r="BA1394" s="10"/>
      <c r="BB1394" s="10"/>
      <c r="BC1394" s="10"/>
      <c r="BD1394" s="10"/>
      <c r="BE1394" s="10"/>
      <c r="BF1394" s="10"/>
      <c r="BG1394" s="10"/>
      <c r="BH1394" s="10"/>
      <c r="BI1394" s="10"/>
      <c r="BJ1394" s="10"/>
      <c r="BK1394" s="10"/>
      <c r="BL1394" s="10"/>
      <c r="BM1394" s="10"/>
      <c r="BN1394" s="10"/>
      <c r="BO1394" s="10"/>
      <c r="BP1394" s="10"/>
      <c r="BQ1394" s="10"/>
      <c r="BR1394" s="10"/>
      <c r="BS1394" s="10"/>
      <c r="BT1394" s="10"/>
      <c r="BU1394" s="10"/>
      <c r="BV1394" s="10"/>
      <c r="BW1394" s="10"/>
      <c r="BX1394" s="10"/>
      <c r="BY1394" s="10"/>
      <c r="BZ1394" s="10"/>
      <c r="CA1394" s="10"/>
      <c r="CB1394" s="10"/>
      <c r="CC1394" s="10"/>
      <c r="CD1394" s="10"/>
      <c r="CE1394" s="10"/>
      <c r="CF1394" s="10"/>
      <c r="CG1394" s="10"/>
      <c r="CH1394" s="10"/>
      <c r="CI1394" s="10"/>
      <c r="CJ1394" s="10"/>
      <c r="CK1394" s="10"/>
      <c r="CL1394" s="10"/>
      <c r="CM1394" s="10"/>
      <c r="CN1394" s="10"/>
      <c r="CO1394" s="10"/>
    </row>
    <row r="1395" spans="1:93">
      <c r="A1395" s="10"/>
      <c r="B1395" s="10"/>
      <c r="C1395" s="17" t="s">
        <v>523</v>
      </c>
      <c r="D1395" s="10"/>
      <c r="E1395" s="62"/>
      <c r="F1395" s="10"/>
      <c r="G1395" s="134" t="str">
        <f>Monetary_Unit</f>
        <v>тыс. руб.</v>
      </c>
      <c r="H1395" s="10"/>
      <c r="I1395" s="10"/>
      <c r="J1395" s="10"/>
      <c r="K1395" s="10"/>
      <c r="L1395" s="10">
        <f ca="1">NPV(WACC,$L1393:L1393)*(L1393&lt;&gt;0)</f>
        <v>-117953.94552354867</v>
      </c>
      <c r="M1395" s="10">
        <f ca="1">NPV(WACC,$L1393:M1393)*(M1393&lt;&gt;0)</f>
        <v>-1063195.31681462</v>
      </c>
      <c r="N1395" s="10">
        <f ca="1">NPV(WACC,$L1393:N1393)*(N1393&lt;&gt;0)</f>
        <v>-1976321.6234449085</v>
      </c>
      <c r="O1395" s="10">
        <f ca="1">NPV(WACC,$L1393:O1393)*(O1393&lt;&gt;0)</f>
        <v>-3785461.7929195138</v>
      </c>
      <c r="P1395" s="10">
        <f ca="1">NPV(WACC,$L1393:P1393)*(P1393&lt;&gt;0)</f>
        <v>-3405294.7532721553</v>
      </c>
      <c r="Q1395" s="10">
        <f ca="1">NPV(WACC,$L1393:Q1393)*(Q1393&lt;&gt;0)</f>
        <v>-2902348.1196720111</v>
      </c>
      <c r="R1395" s="10">
        <f ca="1">NPV(WACC,$L1393:R1393)*(R1393&lt;&gt;0)</f>
        <v>-2357402.030018677</v>
      </c>
      <c r="S1395" s="10">
        <f ca="1">NPV(WACC,$L1393:S1393)*(S1393&lt;&gt;0)</f>
        <v>-1781715.5245947074</v>
      </c>
      <c r="T1395" s="10">
        <f ca="1">NPV(WACC,$L1393:T1393)*(T1393&lt;&gt;0)</f>
        <v>-1231240.3164129679</v>
      </c>
      <c r="U1395" s="10">
        <f ca="1">NPV(WACC,$L1393:U1393)*(U1393&lt;&gt;0)</f>
        <v>-802328.03264217393</v>
      </c>
      <c r="V1395" s="10">
        <f ca="1">NPV(WACC,$L1393:V1393)*(V1393&lt;&gt;0)</f>
        <v>-498838.5078522109</v>
      </c>
      <c r="W1395" s="10">
        <f ca="1">NPV(WACC,$L1393:W1393)*(W1393&lt;&gt;0)</f>
        <v>-210014.17760736195</v>
      </c>
      <c r="X1395" s="10">
        <f ca="1">NPV(WACC,$L1393:X1393)*(X1393&lt;&gt;0)</f>
        <v>64996.849994915778</v>
      </c>
      <c r="Y1395" s="10">
        <f ca="1">NPV(WACC,$L1393:Y1393)*(Y1393&lt;&gt;0)</f>
        <v>323983.91466694092</v>
      </c>
      <c r="Z1395" s="10">
        <f ca="1">NPV(WACC,$L1393:Z1393)*(Z1393&lt;&gt;0)</f>
        <v>555246.75800272368</v>
      </c>
      <c r="AA1395" s="10">
        <f ca="1">NPV(WACC,$L1393:AA1393)*(AA1393&lt;&gt;0)</f>
        <v>776712.6090844007</v>
      </c>
      <c r="AB1395" s="10">
        <f ca="1">NPV(WACC,$L1393:AB1393)*(AB1393&lt;&gt;0)</f>
        <v>987951.10556355002</v>
      </c>
      <c r="AC1395" s="10">
        <f ca="1">NPV(WACC,$L1393:AC1393)*(AC1393&lt;&gt;0)</f>
        <v>1189840.0218960764</v>
      </c>
      <c r="AD1395" s="10">
        <f ca="1">NPV(WACC,$L1393:AD1393)*(AD1393&lt;&gt;0)</f>
        <v>1382794.7953186862</v>
      </c>
      <c r="AE1395" s="10">
        <f ca="1">NPV(WACC,$L1393:AE1393)*(AE1393&lt;&gt;0)</f>
        <v>1567582.0954909769</v>
      </c>
      <c r="AF1395" s="10">
        <f ca="1">NPV(WACC,$L1393:AF1393)*(AF1393&lt;&gt;0)</f>
        <v>1640742.9843818063</v>
      </c>
      <c r="AG1395" s="10">
        <f ca="1">NPV(WACC,$L1393:AG1393)*(AG1393&lt;&gt;0)</f>
        <v>0</v>
      </c>
      <c r="AH1395" s="10">
        <f ca="1">NPV(WACC,$L1393:AH1393)*(AH1393&lt;&gt;0)</f>
        <v>0</v>
      </c>
      <c r="AI1395" s="10">
        <f ca="1">NPV(WACC,$L1393:AI1393)*(AI1393&lt;&gt;0)</f>
        <v>0</v>
      </c>
      <c r="AJ1395" s="10">
        <f ca="1">NPV(WACC,$L1393:AJ1393)*(AJ1393&lt;&gt;0)</f>
        <v>0</v>
      </c>
      <c r="AK1395" s="10">
        <f ca="1">NPV(WACC,$L1393:AK1393)*(AK1393&lt;&gt;0)</f>
        <v>0</v>
      </c>
      <c r="AL1395" s="10">
        <f ca="1">NPV(WACC,$L1393:AL1393)*(AL1393&lt;&gt;0)</f>
        <v>0</v>
      </c>
      <c r="AM1395" s="10">
        <f ca="1">NPV(WACC,$L1393:AM1393)*(AM1393&lt;&gt;0)</f>
        <v>0</v>
      </c>
      <c r="AN1395" s="10">
        <f ca="1">NPV(WACC,$L1393:AN1393)*(AN1393&lt;&gt;0)</f>
        <v>0</v>
      </c>
      <c r="AO1395" s="10">
        <f ca="1">NPV(WACC,$L1393:AO1393)*(AO1393&lt;&gt;0)</f>
        <v>0</v>
      </c>
      <c r="AP1395" s="10">
        <f ca="1">NPV(WACC,$L1393:AP1393)*(AP1393&lt;&gt;0)</f>
        <v>0</v>
      </c>
      <c r="AQ1395" s="10">
        <f ca="1">NPV(WACC,$L1393:AQ1393)*(AQ1393&lt;&gt;0)</f>
        <v>0</v>
      </c>
      <c r="AR1395" s="10">
        <f ca="1">NPV(WACC,$L1393:AR1393)*(AR1393&lt;&gt;0)</f>
        <v>0</v>
      </c>
      <c r="AS1395" s="10">
        <f ca="1">NPV(WACC,$L1393:AS1393)*(AS1393&lt;&gt;0)</f>
        <v>0</v>
      </c>
      <c r="AT1395" s="10">
        <f ca="1">NPV(WACC,$L1393:AT1393)*(AT1393&lt;&gt;0)</f>
        <v>0</v>
      </c>
      <c r="AU1395" s="10">
        <f ca="1">NPV(WACC,$L1393:AU1393)*(AU1393&lt;&gt;0)</f>
        <v>0</v>
      </c>
      <c r="AV1395" s="10">
        <f ca="1">NPV(WACC,$L1393:AV1393)*(AV1393&lt;&gt;0)</f>
        <v>0</v>
      </c>
      <c r="AW1395" s="10">
        <f ca="1">NPV(WACC,$L1393:AW1393)*(AW1393&lt;&gt;0)</f>
        <v>0</v>
      </c>
      <c r="AX1395" s="10">
        <f ca="1">NPV(WACC,$L1393:AX1393)*(AX1393&lt;&gt;0)</f>
        <v>0</v>
      </c>
      <c r="AY1395" s="10">
        <f ca="1">NPV(WACC,$L1393:AY1393)*(AY1393&lt;&gt;0)</f>
        <v>0</v>
      </c>
      <c r="AZ1395" s="10">
        <f ca="1">NPV(WACC,$L1393:AZ1393)*(AZ1393&lt;&gt;0)</f>
        <v>0</v>
      </c>
      <c r="BA1395" s="10">
        <f ca="1">NPV(WACC,$L1393:BA1393)*(BA1393&lt;&gt;0)</f>
        <v>0</v>
      </c>
      <c r="BB1395" s="10">
        <f ca="1">NPV(WACC,$L1393:BB1393)*(BB1393&lt;&gt;0)</f>
        <v>0</v>
      </c>
      <c r="BC1395" s="10">
        <f ca="1">NPV(WACC,$L1393:BC1393)*(BC1393&lt;&gt;0)</f>
        <v>0</v>
      </c>
      <c r="BD1395" s="10">
        <f ca="1">NPV(WACC,$L1393:BD1393)*(BD1393&lt;&gt;0)</f>
        <v>0</v>
      </c>
      <c r="BE1395" s="10">
        <f ca="1">NPV(WACC,$L1393:BE1393)*(BE1393&lt;&gt;0)</f>
        <v>0</v>
      </c>
      <c r="BF1395" s="10">
        <f ca="1">NPV(WACC,$L1393:BF1393)*(BF1393&lt;&gt;0)</f>
        <v>0</v>
      </c>
      <c r="BG1395" s="10">
        <f ca="1">NPV(WACC,$L1393:BG1393)*(BG1393&lt;&gt;0)</f>
        <v>0</v>
      </c>
      <c r="BH1395" s="10">
        <f ca="1">NPV(WACC,$L1393:BH1393)*(BH1393&lt;&gt;0)</f>
        <v>0</v>
      </c>
      <c r="BI1395" s="10">
        <f ca="1">NPV(WACC,$L1393:BI1393)*(BI1393&lt;&gt;0)</f>
        <v>0</v>
      </c>
      <c r="BJ1395" s="10">
        <f ca="1">NPV(WACC,$L1393:BJ1393)*(BJ1393&lt;&gt;0)</f>
        <v>0</v>
      </c>
      <c r="BK1395" s="10">
        <f ca="1">NPV(WACC,$L1393:BK1393)*(BK1393&lt;&gt;0)</f>
        <v>0</v>
      </c>
      <c r="BL1395" s="10">
        <f ca="1">NPV(WACC,$L1393:BL1393)*(BL1393&lt;&gt;0)</f>
        <v>0</v>
      </c>
      <c r="BM1395" s="10">
        <f ca="1">NPV(WACC,$L1393:BM1393)*(BM1393&lt;&gt;0)</f>
        <v>0</v>
      </c>
      <c r="BN1395" s="10">
        <f ca="1">NPV(WACC,$L1393:BN1393)*(BN1393&lt;&gt;0)</f>
        <v>0</v>
      </c>
      <c r="BO1395" s="10">
        <f ca="1">NPV(WACC,$L1393:BO1393)*(BO1393&lt;&gt;0)</f>
        <v>0</v>
      </c>
      <c r="BP1395" s="10">
        <f ca="1">NPV(WACC,$L1393:BP1393)*(BP1393&lt;&gt;0)</f>
        <v>0</v>
      </c>
      <c r="BQ1395" s="10">
        <f ca="1">NPV(WACC,$L1393:BQ1393)*(BQ1393&lt;&gt;0)</f>
        <v>0</v>
      </c>
      <c r="BR1395" s="10">
        <f ca="1">NPV(WACC,$L1393:BR1393)*(BR1393&lt;&gt;0)</f>
        <v>0</v>
      </c>
      <c r="BS1395" s="10">
        <f ca="1">NPV(WACC,$L1393:BS1393)*(BS1393&lt;&gt;0)</f>
        <v>0</v>
      </c>
      <c r="BT1395" s="10">
        <f ca="1">NPV(WACC,$L1393:BT1393)*(BT1393&lt;&gt;0)</f>
        <v>0</v>
      </c>
      <c r="BU1395" s="10">
        <f ca="1">NPV(WACC,$L1393:BU1393)*(BU1393&lt;&gt;0)</f>
        <v>0</v>
      </c>
      <c r="BV1395" s="10">
        <f ca="1">NPV(WACC,$L1393:BV1393)*(BV1393&lt;&gt;0)</f>
        <v>0</v>
      </c>
      <c r="BW1395" s="10">
        <f ca="1">NPV(WACC,$L1393:BW1393)*(BW1393&lt;&gt;0)</f>
        <v>0</v>
      </c>
      <c r="BX1395" s="10">
        <f ca="1">NPV(WACC,$L1393:BX1393)*(BX1393&lt;&gt;0)</f>
        <v>0</v>
      </c>
      <c r="BY1395" s="10">
        <f ca="1">NPV(WACC,$L1393:BY1393)*(BY1393&lt;&gt;0)</f>
        <v>0</v>
      </c>
      <c r="BZ1395" s="10">
        <f ca="1">NPV(WACC,$L1393:BZ1393)*(BZ1393&lt;&gt;0)</f>
        <v>0</v>
      </c>
      <c r="CA1395" s="10">
        <f ca="1">NPV(WACC,$L1393:CA1393)*(CA1393&lt;&gt;0)</f>
        <v>0</v>
      </c>
      <c r="CB1395" s="10">
        <f ca="1">NPV(WACC,$L1393:CB1393)*(CB1393&lt;&gt;0)</f>
        <v>0</v>
      </c>
      <c r="CC1395" s="10">
        <f ca="1">NPV(WACC,$L1393:CC1393)*(CC1393&lt;&gt;0)</f>
        <v>0</v>
      </c>
      <c r="CD1395" s="10">
        <f ca="1">NPV(WACC,$L1393:CD1393)*(CD1393&lt;&gt;0)</f>
        <v>0</v>
      </c>
      <c r="CE1395" s="10">
        <f ca="1">NPV(WACC,$L1393:CE1393)*(CE1393&lt;&gt;0)</f>
        <v>0</v>
      </c>
      <c r="CF1395" s="10">
        <f ca="1">NPV(WACC,$L1393:CF1393)*(CF1393&lt;&gt;0)</f>
        <v>0</v>
      </c>
      <c r="CG1395" s="10">
        <f ca="1">NPV(WACC,$L1393:CG1393)*(CG1393&lt;&gt;0)</f>
        <v>0</v>
      </c>
      <c r="CH1395" s="10">
        <f ca="1">NPV(WACC,$L1393:CH1393)*(CH1393&lt;&gt;0)</f>
        <v>0</v>
      </c>
      <c r="CI1395" s="10">
        <f ca="1">NPV(WACC,$L1393:CI1393)*(CI1393&lt;&gt;0)</f>
        <v>0</v>
      </c>
      <c r="CJ1395" s="10">
        <f ca="1">NPV(WACC,$L1393:CJ1393)*(CJ1393&lt;&gt;0)</f>
        <v>0</v>
      </c>
      <c r="CK1395" s="10">
        <f ca="1">NPV(WACC,$L1393:CK1393)*(CK1393&lt;&gt;0)</f>
        <v>0</v>
      </c>
      <c r="CL1395" s="10">
        <f ca="1">NPV(WACC,$L1393:CL1393)*(CL1393&lt;&gt;0)</f>
        <v>0</v>
      </c>
      <c r="CM1395" s="10">
        <f ca="1">NPV(WACC,$L1393:CM1393)*(CM1393&lt;&gt;0)</f>
        <v>0</v>
      </c>
      <c r="CN1395" s="10">
        <f ca="1">NPV(WACC,$L1393:CN1393)*(CN1393&lt;&gt;0)</f>
        <v>0</v>
      </c>
      <c r="CO1395" s="10">
        <f ca="1">NPV(WACC,$L1393:CO1393)*(CO1393&lt;&gt;0)</f>
        <v>0</v>
      </c>
    </row>
    <row r="1396" spans="1:93">
      <c r="A1396" s="10"/>
      <c r="B1396" s="10"/>
      <c r="C1396" s="17" t="s">
        <v>524</v>
      </c>
      <c r="D1396" s="10"/>
      <c r="E1396" s="62"/>
      <c r="F1396" s="10"/>
      <c r="G1396" s="11" t="s">
        <v>28</v>
      </c>
      <c r="H1396" s="10"/>
      <c r="I1396" s="10"/>
      <c r="J1396" s="10"/>
      <c r="K1396" s="10"/>
      <c r="L1396" s="58">
        <f ca="1">IFERROR(IRR($L1393:L1393),0)*(L1393&lt;&gt;0)</f>
        <v>0</v>
      </c>
      <c r="M1396" s="58">
        <f ca="1">IFERROR(IRR($L1393:M1393),0)*(M1393&lt;&gt;0)</f>
        <v>0</v>
      </c>
      <c r="N1396" s="58">
        <f ca="1">IFERROR(IRR($L1393:N1393),0)*(N1393&lt;&gt;0)</f>
        <v>0</v>
      </c>
      <c r="O1396" s="58">
        <f ca="1">IFERROR(IRR($L1393:O1393),0)*(O1393&lt;&gt;0)</f>
        <v>0</v>
      </c>
      <c r="P1396" s="58">
        <f ca="1">IFERROR(IRR($L1393:P1393),0)*(P1393&lt;&gt;0)</f>
        <v>0</v>
      </c>
      <c r="Q1396" s="58">
        <f ca="1">IFERROR(IRR($L1393:Q1393),0)*(Q1393&lt;&gt;0)</f>
        <v>0</v>
      </c>
      <c r="R1396" s="58">
        <f ca="1">IFERROR(IRR($L1393:R1393),0)*(R1393&lt;&gt;0)</f>
        <v>-0.22052538594790072</v>
      </c>
      <c r="S1396" s="58">
        <f ca="1">IFERROR(IRR($L1393:S1393),0)*(S1393&lt;&gt;0)</f>
        <v>-9.1769160844587638E-2</v>
      </c>
      <c r="T1396" s="58">
        <f ca="1">IFERROR(IRR($L1393:T1393),0)*(T1393&lt;&gt;0)</f>
        <v>-1.2883099519552466E-2</v>
      </c>
      <c r="U1396" s="58">
        <f ca="1">IFERROR(IRR($L1393:U1393),0)*(U1393&lt;&gt;0)</f>
        <v>3.1233870575200884E-2</v>
      </c>
      <c r="V1396" s="58">
        <f ca="1">IFERROR(IRR($L1393:V1393),0)*(V1393&lt;&gt;0)</f>
        <v>5.6088353635943333E-2</v>
      </c>
      <c r="W1396" s="58">
        <f ca="1">IFERROR(IRR($L1393:W1393),0)*(W1393&lt;&gt;0)</f>
        <v>7.5750789796253049E-2</v>
      </c>
      <c r="X1396" s="58">
        <f ca="1">IFERROR(IRR($L1393:X1393),0)*(X1393&lt;&gt;0)</f>
        <v>9.1366913401161653E-2</v>
      </c>
      <c r="Y1396" s="58">
        <f ca="1">IFERROR(IRR($L1393:Y1393),0)*(Y1393&lt;&gt;0)</f>
        <v>0.10372853200413856</v>
      </c>
      <c r="Z1396" s="58">
        <f ca="1">IFERROR(IRR($L1393:Z1393),0)*(Z1393&lt;&gt;0)</f>
        <v>0.11312787850024231</v>
      </c>
      <c r="AA1396" s="58">
        <f ca="1">IFERROR(IRR($L1393:AA1393),0)*(AA1393&lt;&gt;0)</f>
        <v>0.12087716554985861</v>
      </c>
      <c r="AB1396" s="58">
        <f ca="1">IFERROR(IRR($L1393:AB1393),0)*(AB1393&lt;&gt;0)</f>
        <v>0.12727848832575872</v>
      </c>
      <c r="AC1396" s="58">
        <f ca="1">IFERROR(IRR($L1393:AC1393),0)*(AC1393&lt;&gt;0)</f>
        <v>0.13260889354321526</v>
      </c>
      <c r="AD1396" s="58">
        <f ca="1">IFERROR(IRR($L1393:AD1393),0)*(AD1393&lt;&gt;0)</f>
        <v>0.13707264974918032</v>
      </c>
      <c r="AE1396" s="58">
        <f ca="1">IFERROR(IRR($L1393:AE1393),0)*(AE1393&lt;&gt;0)</f>
        <v>0.14083775139668453</v>
      </c>
      <c r="AF1396" s="58">
        <f ca="1">IFERROR(IRR($L1393:AF1393),0)*(AF1393&lt;&gt;0)</f>
        <v>0.14218453612103432</v>
      </c>
      <c r="AG1396" s="58">
        <f ca="1">IFERROR(IRR($L1393:AG1393),0)*(AG1393&lt;&gt;0)</f>
        <v>0</v>
      </c>
      <c r="AH1396" s="58">
        <f ca="1">IFERROR(IRR($L1393:AH1393),0)*(AH1393&lt;&gt;0)</f>
        <v>0</v>
      </c>
      <c r="AI1396" s="58">
        <f ca="1">IFERROR(IRR($L1393:AI1393),0)*(AI1393&lt;&gt;0)</f>
        <v>0</v>
      </c>
      <c r="AJ1396" s="58">
        <f ca="1">IFERROR(IRR($L1393:AJ1393),0)*(AJ1393&lt;&gt;0)</f>
        <v>0</v>
      </c>
      <c r="AK1396" s="58">
        <f ca="1">IFERROR(IRR($L1393:AK1393),0)*(AK1393&lt;&gt;0)</f>
        <v>0</v>
      </c>
      <c r="AL1396" s="58">
        <f ca="1">IFERROR(IRR($L1393:AL1393),0)*(AL1393&lt;&gt;0)</f>
        <v>0</v>
      </c>
      <c r="AM1396" s="58">
        <f ca="1">IFERROR(IRR($L1393:AM1393),0)*(AM1393&lt;&gt;0)</f>
        <v>0</v>
      </c>
      <c r="AN1396" s="58">
        <f ca="1">IFERROR(IRR($L1393:AN1393),0)*(AN1393&lt;&gt;0)</f>
        <v>0</v>
      </c>
      <c r="AO1396" s="58">
        <f ca="1">IFERROR(IRR($L1393:AO1393),0)*(AO1393&lt;&gt;0)</f>
        <v>0</v>
      </c>
      <c r="AP1396" s="58">
        <f ca="1">IFERROR(IRR($L1393:AP1393),0)*(AP1393&lt;&gt;0)</f>
        <v>0</v>
      </c>
      <c r="AQ1396" s="58">
        <f ca="1">IFERROR(IRR($L1393:AQ1393),0)*(AQ1393&lt;&gt;0)</f>
        <v>0</v>
      </c>
      <c r="AR1396" s="58">
        <f ca="1">IFERROR(IRR($L1393:AR1393),0)*(AR1393&lt;&gt;0)</f>
        <v>0</v>
      </c>
      <c r="AS1396" s="58">
        <f ca="1">IFERROR(IRR($L1393:AS1393),0)*(AS1393&lt;&gt;0)</f>
        <v>0</v>
      </c>
      <c r="AT1396" s="58">
        <f ca="1">IFERROR(IRR($L1393:AT1393),0)*(AT1393&lt;&gt;0)</f>
        <v>0</v>
      </c>
      <c r="AU1396" s="58">
        <f ca="1">IFERROR(IRR($L1393:AU1393),0)*(AU1393&lt;&gt;0)</f>
        <v>0</v>
      </c>
      <c r="AV1396" s="58">
        <f ca="1">IFERROR(IRR($L1393:AV1393),0)*(AV1393&lt;&gt;0)</f>
        <v>0</v>
      </c>
      <c r="AW1396" s="58">
        <f ca="1">IFERROR(IRR($L1393:AW1393),0)*(AW1393&lt;&gt;0)</f>
        <v>0</v>
      </c>
      <c r="AX1396" s="58">
        <f ca="1">IFERROR(IRR($L1393:AX1393),0)*(AX1393&lt;&gt;0)</f>
        <v>0</v>
      </c>
      <c r="AY1396" s="58">
        <f ca="1">IFERROR(IRR($L1393:AY1393),0)*(AY1393&lt;&gt;0)</f>
        <v>0</v>
      </c>
      <c r="AZ1396" s="58">
        <f ca="1">IFERROR(IRR($L1393:AZ1393),0)*(AZ1393&lt;&gt;0)</f>
        <v>0</v>
      </c>
      <c r="BA1396" s="58">
        <f ca="1">IFERROR(IRR($L1393:BA1393),0)*(BA1393&lt;&gt;0)</f>
        <v>0</v>
      </c>
      <c r="BB1396" s="58">
        <f ca="1">IFERROR(IRR($L1393:BB1393),0)*(BB1393&lt;&gt;0)</f>
        <v>0</v>
      </c>
      <c r="BC1396" s="58">
        <f ca="1">IFERROR(IRR($L1393:BC1393),0)*(BC1393&lt;&gt;0)</f>
        <v>0</v>
      </c>
      <c r="BD1396" s="58">
        <f ca="1">IFERROR(IRR($L1393:BD1393),0)*(BD1393&lt;&gt;0)</f>
        <v>0</v>
      </c>
      <c r="BE1396" s="58">
        <f ca="1">IFERROR(IRR($L1393:BE1393),0)*(BE1393&lt;&gt;0)</f>
        <v>0</v>
      </c>
      <c r="BF1396" s="58">
        <f ca="1">IFERROR(IRR($L1393:BF1393),0)*(BF1393&lt;&gt;0)</f>
        <v>0</v>
      </c>
      <c r="BG1396" s="58">
        <f ca="1">IFERROR(IRR($L1393:BG1393),0)*(BG1393&lt;&gt;0)</f>
        <v>0</v>
      </c>
      <c r="BH1396" s="58">
        <f ca="1">IFERROR(IRR($L1393:BH1393),0)*(BH1393&lt;&gt;0)</f>
        <v>0</v>
      </c>
      <c r="BI1396" s="58">
        <f ca="1">IFERROR(IRR($L1393:BI1393),0)*(BI1393&lt;&gt;0)</f>
        <v>0</v>
      </c>
      <c r="BJ1396" s="58">
        <f ca="1">IFERROR(IRR($L1393:BJ1393),0)*(BJ1393&lt;&gt;0)</f>
        <v>0</v>
      </c>
      <c r="BK1396" s="58">
        <f ca="1">IFERROR(IRR($L1393:BK1393),0)*(BK1393&lt;&gt;0)</f>
        <v>0</v>
      </c>
      <c r="BL1396" s="58">
        <f ca="1">IFERROR(IRR($L1393:BL1393),0)*(BL1393&lt;&gt;0)</f>
        <v>0</v>
      </c>
      <c r="BM1396" s="58">
        <f ca="1">IFERROR(IRR($L1393:BM1393),0)*(BM1393&lt;&gt;0)</f>
        <v>0</v>
      </c>
      <c r="BN1396" s="58">
        <f ca="1">IFERROR(IRR($L1393:BN1393),0)*(BN1393&lt;&gt;0)</f>
        <v>0</v>
      </c>
      <c r="BO1396" s="58">
        <f ca="1">IFERROR(IRR($L1393:BO1393),0)*(BO1393&lt;&gt;0)</f>
        <v>0</v>
      </c>
      <c r="BP1396" s="58">
        <f ca="1">IFERROR(IRR($L1393:BP1393),0)*(BP1393&lt;&gt;0)</f>
        <v>0</v>
      </c>
      <c r="BQ1396" s="58">
        <f ca="1">IFERROR(IRR($L1393:BQ1393),0)*(BQ1393&lt;&gt;0)</f>
        <v>0</v>
      </c>
      <c r="BR1396" s="58">
        <f ca="1">IFERROR(IRR($L1393:BR1393),0)*(BR1393&lt;&gt;0)</f>
        <v>0</v>
      </c>
      <c r="BS1396" s="58">
        <f ca="1">IFERROR(IRR($L1393:BS1393),0)*(BS1393&lt;&gt;0)</f>
        <v>0</v>
      </c>
      <c r="BT1396" s="58">
        <f ca="1">IFERROR(IRR($L1393:BT1393),0)*(BT1393&lt;&gt;0)</f>
        <v>0</v>
      </c>
      <c r="BU1396" s="58">
        <f ca="1">IFERROR(IRR($L1393:BU1393),0)*(BU1393&lt;&gt;0)</f>
        <v>0</v>
      </c>
      <c r="BV1396" s="58">
        <f ca="1">IFERROR(IRR($L1393:BV1393),0)*(BV1393&lt;&gt;0)</f>
        <v>0</v>
      </c>
      <c r="BW1396" s="58">
        <f ca="1">IFERROR(IRR($L1393:BW1393),0)*(BW1393&lt;&gt;0)</f>
        <v>0</v>
      </c>
      <c r="BX1396" s="58">
        <f ca="1">IFERROR(IRR($L1393:BX1393),0)*(BX1393&lt;&gt;0)</f>
        <v>0</v>
      </c>
      <c r="BY1396" s="58">
        <f ca="1">IFERROR(IRR($L1393:BY1393),0)*(BY1393&lt;&gt;0)</f>
        <v>0</v>
      </c>
      <c r="BZ1396" s="58">
        <f ca="1">IFERROR(IRR($L1393:BZ1393),0)*(BZ1393&lt;&gt;0)</f>
        <v>0</v>
      </c>
      <c r="CA1396" s="58">
        <f ca="1">IFERROR(IRR($L1393:CA1393),0)*(CA1393&lt;&gt;0)</f>
        <v>0</v>
      </c>
      <c r="CB1396" s="58">
        <f ca="1">IFERROR(IRR($L1393:CB1393),0)*(CB1393&lt;&gt;0)</f>
        <v>0</v>
      </c>
      <c r="CC1396" s="58">
        <f ca="1">IFERROR(IRR($L1393:CC1393),0)*(CC1393&lt;&gt;0)</f>
        <v>0</v>
      </c>
      <c r="CD1396" s="58">
        <f ca="1">IFERROR(IRR($L1393:CD1393),0)*(CD1393&lt;&gt;0)</f>
        <v>0</v>
      </c>
      <c r="CE1396" s="58">
        <f ca="1">IFERROR(IRR($L1393:CE1393),0)*(CE1393&lt;&gt;0)</f>
        <v>0</v>
      </c>
      <c r="CF1396" s="58">
        <f ca="1">IFERROR(IRR($L1393:CF1393),0)*(CF1393&lt;&gt;0)</f>
        <v>0</v>
      </c>
      <c r="CG1396" s="58">
        <f ca="1">IFERROR(IRR($L1393:CG1393),0)*(CG1393&lt;&gt;0)</f>
        <v>0</v>
      </c>
      <c r="CH1396" s="58">
        <f ca="1">IFERROR(IRR($L1393:CH1393),0)*(CH1393&lt;&gt;0)</f>
        <v>0</v>
      </c>
      <c r="CI1396" s="58">
        <f ca="1">IFERROR(IRR($L1393:CI1393),0)*(CI1393&lt;&gt;0)</f>
        <v>0</v>
      </c>
      <c r="CJ1396" s="58">
        <f ca="1">IFERROR(IRR($L1393:CJ1393),0)*(CJ1393&lt;&gt;0)</f>
        <v>0</v>
      </c>
      <c r="CK1396" s="58">
        <f ca="1">IFERROR(IRR($L1393:CK1393),0)*(CK1393&lt;&gt;0)</f>
        <v>0</v>
      </c>
      <c r="CL1396" s="58">
        <f ca="1">IFERROR(IRR($L1393:CL1393),0)*(CL1393&lt;&gt;0)</f>
        <v>0</v>
      </c>
      <c r="CM1396" s="58">
        <f ca="1">IFERROR(IRR($L1393:CM1393),0)*(CM1393&lt;&gt;0)</f>
        <v>0</v>
      </c>
      <c r="CN1396" s="58">
        <f ca="1">IFERROR(IRR($L1393:CN1393),0)*(CN1393&lt;&gt;0)</f>
        <v>0</v>
      </c>
      <c r="CO1396" s="58">
        <f ca="1">IFERROR(IRR($L1393:CO1393),0)*(CO1393&lt;&gt;0)</f>
        <v>0</v>
      </c>
    </row>
    <row r="1397" spans="1:93">
      <c r="A1397" s="10"/>
      <c r="B1397" s="10"/>
      <c r="C1397" s="17"/>
      <c r="D1397" s="10"/>
      <c r="E1397" s="62"/>
      <c r="F1397" s="10"/>
      <c r="G1397" s="11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  <c r="AY1397" s="10"/>
      <c r="AZ1397" s="10"/>
      <c r="BA1397" s="10"/>
      <c r="BB1397" s="10"/>
      <c r="BC1397" s="10"/>
      <c r="BD1397" s="10"/>
      <c r="BE1397" s="10"/>
      <c r="BF1397" s="10"/>
      <c r="BG1397" s="10"/>
      <c r="BH1397" s="10"/>
      <c r="BI1397" s="10"/>
      <c r="BJ1397" s="10"/>
      <c r="BK1397" s="10"/>
      <c r="BL1397" s="10"/>
      <c r="BM1397" s="10"/>
      <c r="BN1397" s="10"/>
      <c r="BO1397" s="10"/>
      <c r="BP1397" s="10"/>
      <c r="BQ1397" s="10"/>
      <c r="BR1397" s="10"/>
      <c r="BS1397" s="10"/>
      <c r="BT1397" s="10"/>
      <c r="BU1397" s="10"/>
      <c r="BV1397" s="10"/>
      <c r="BW1397" s="10"/>
      <c r="BX1397" s="10"/>
      <c r="BY1397" s="10"/>
      <c r="BZ1397" s="10"/>
      <c r="CA1397" s="10"/>
      <c r="CB1397" s="10"/>
      <c r="CC1397" s="10"/>
      <c r="CD1397" s="10"/>
      <c r="CE1397" s="10"/>
      <c r="CF1397" s="10"/>
      <c r="CG1397" s="10"/>
      <c r="CH1397" s="10"/>
      <c r="CI1397" s="10"/>
      <c r="CJ1397" s="10"/>
      <c r="CK1397" s="10"/>
      <c r="CL1397" s="10"/>
      <c r="CM1397" s="10"/>
      <c r="CN1397" s="10"/>
      <c r="CO1397" s="10"/>
    </row>
    <row r="1398" spans="1:93">
      <c r="A1398" s="10"/>
      <c r="B1398" s="10"/>
      <c r="C1398" s="16" t="s">
        <v>219</v>
      </c>
      <c r="D1398" s="10"/>
      <c r="E1398" s="407">
        <f ca="1">NPV(WACC,L1393:CO1393)</f>
        <v>1640742.9843818063</v>
      </c>
      <c r="F1398" s="51"/>
      <c r="G1398" s="134" t="str">
        <f>Monetary_Unit</f>
        <v>тыс. руб.</v>
      </c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  <c r="AY1398" s="10"/>
      <c r="AZ1398" s="10"/>
      <c r="BA1398" s="10"/>
      <c r="BB1398" s="10"/>
      <c r="BC1398" s="10"/>
      <c r="BD1398" s="10"/>
      <c r="BE1398" s="10"/>
      <c r="BF1398" s="10"/>
      <c r="BG1398" s="10"/>
      <c r="BH1398" s="10"/>
      <c r="BI1398" s="10"/>
      <c r="BJ1398" s="10"/>
      <c r="BK1398" s="10"/>
      <c r="BL1398" s="10"/>
      <c r="BM1398" s="10"/>
      <c r="BN1398" s="10"/>
      <c r="BO1398" s="10"/>
      <c r="BP1398" s="10"/>
      <c r="BQ1398" s="10"/>
      <c r="BR1398" s="10"/>
      <c r="BS1398" s="10"/>
      <c r="BT1398" s="10"/>
      <c r="BU1398" s="10"/>
      <c r="BV1398" s="10"/>
      <c r="BW1398" s="10"/>
      <c r="BX1398" s="10"/>
      <c r="BY1398" s="10"/>
      <c r="BZ1398" s="10"/>
      <c r="CA1398" s="10"/>
      <c r="CB1398" s="10"/>
      <c r="CC1398" s="10"/>
      <c r="CD1398" s="10"/>
      <c r="CE1398" s="10"/>
      <c r="CF1398" s="10"/>
      <c r="CG1398" s="10"/>
      <c r="CH1398" s="10"/>
      <c r="CI1398" s="10"/>
      <c r="CJ1398" s="10"/>
      <c r="CK1398" s="10"/>
      <c r="CL1398" s="10"/>
      <c r="CM1398" s="10"/>
      <c r="CN1398" s="10"/>
      <c r="CO1398" s="10"/>
    </row>
    <row r="1399" spans="1:93">
      <c r="A1399" s="10"/>
      <c r="B1399" s="10"/>
      <c r="C1399" s="16" t="s">
        <v>293</v>
      </c>
      <c r="D1399" s="10"/>
      <c r="E1399" s="191">
        <f ca="1">IFERROR(IRR(L1393:AY1393),0)</f>
        <v>0.14218453612103432</v>
      </c>
      <c r="F1399" s="51"/>
      <c r="G1399" s="11" t="s">
        <v>28</v>
      </c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  <c r="AY1399" s="10"/>
      <c r="AZ1399" s="10"/>
      <c r="BA1399" s="10"/>
      <c r="BB1399" s="10"/>
      <c r="BC1399" s="10"/>
      <c r="BD1399" s="10"/>
      <c r="BE1399" s="10"/>
      <c r="BF1399" s="10"/>
      <c r="BG1399" s="10"/>
      <c r="BH1399" s="10"/>
      <c r="BI1399" s="10"/>
      <c r="BJ1399" s="10"/>
      <c r="BK1399" s="10"/>
      <c r="BL1399" s="10"/>
      <c r="BM1399" s="10"/>
      <c r="BN1399" s="10"/>
      <c r="BO1399" s="10"/>
      <c r="BP1399" s="10"/>
      <c r="BQ1399" s="10"/>
      <c r="BR1399" s="10"/>
      <c r="BS1399" s="10"/>
      <c r="BT1399" s="10"/>
      <c r="BU1399" s="10"/>
      <c r="BV1399" s="10"/>
      <c r="BW1399" s="10"/>
      <c r="BX1399" s="10"/>
      <c r="BY1399" s="10"/>
      <c r="BZ1399" s="10"/>
      <c r="CA1399" s="10"/>
      <c r="CB1399" s="10"/>
      <c r="CC1399" s="10"/>
      <c r="CD1399" s="10"/>
      <c r="CE1399" s="10"/>
      <c r="CF1399" s="10"/>
      <c r="CG1399" s="10"/>
      <c r="CH1399" s="10"/>
      <c r="CI1399" s="10"/>
      <c r="CJ1399" s="10"/>
      <c r="CK1399" s="10"/>
      <c r="CL1399" s="10"/>
      <c r="CM1399" s="10"/>
      <c r="CN1399" s="10"/>
      <c r="CO1399" s="10"/>
    </row>
    <row r="1400" spans="1:93">
      <c r="A1400" s="10"/>
      <c r="B1400" s="10"/>
      <c r="C1400" s="10"/>
      <c r="D1400" s="10"/>
      <c r="E1400" s="107"/>
      <c r="F1400" s="10"/>
      <c r="G1400" s="11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  <c r="AY1400" s="10"/>
      <c r="AZ1400" s="10"/>
      <c r="BA1400" s="10"/>
      <c r="BB1400" s="10"/>
      <c r="BC1400" s="10"/>
      <c r="BD1400" s="10"/>
      <c r="BE1400" s="10"/>
      <c r="BF1400" s="10"/>
      <c r="BG1400" s="10"/>
      <c r="BH1400" s="10"/>
      <c r="BI1400" s="10"/>
      <c r="BJ1400" s="10"/>
      <c r="BK1400" s="10"/>
      <c r="BL1400" s="10"/>
      <c r="BM1400" s="10"/>
      <c r="BN1400" s="10"/>
      <c r="BO1400" s="10"/>
      <c r="BP1400" s="10"/>
      <c r="BQ1400" s="10"/>
      <c r="BR1400" s="10"/>
      <c r="BS1400" s="10"/>
      <c r="BT1400" s="10"/>
      <c r="BU1400" s="10"/>
      <c r="BV1400" s="10"/>
      <c r="BW1400" s="10"/>
      <c r="BX1400" s="10"/>
      <c r="BY1400" s="10"/>
      <c r="BZ1400" s="10"/>
      <c r="CA1400" s="10"/>
      <c r="CB1400" s="10"/>
      <c r="CC1400" s="10"/>
      <c r="CD1400" s="10"/>
      <c r="CE1400" s="10"/>
      <c r="CF1400" s="10"/>
      <c r="CG1400" s="10"/>
      <c r="CH1400" s="10"/>
      <c r="CI1400" s="10"/>
      <c r="CJ1400" s="10"/>
      <c r="CK1400" s="10"/>
      <c r="CL1400" s="10"/>
      <c r="CM1400" s="10"/>
      <c r="CN1400" s="10"/>
      <c r="CO1400" s="10"/>
    </row>
    <row r="1401" spans="1:93">
      <c r="A1401" s="10"/>
      <c r="B1401" s="10"/>
      <c r="C1401" s="16" t="s">
        <v>220</v>
      </c>
      <c r="D1401" s="10"/>
      <c r="E1401" s="62"/>
      <c r="F1401" s="10"/>
      <c r="G1401" s="11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  <c r="AY1401" s="10"/>
      <c r="AZ1401" s="10"/>
      <c r="BA1401" s="10"/>
      <c r="BB1401" s="10"/>
      <c r="BC1401" s="10"/>
      <c r="BD1401" s="10"/>
      <c r="BE1401" s="10"/>
      <c r="BF1401" s="10"/>
      <c r="BG1401" s="10"/>
      <c r="BH1401" s="10"/>
      <c r="BI1401" s="10"/>
      <c r="BJ1401" s="10"/>
      <c r="BK1401" s="10"/>
      <c r="BL1401" s="10"/>
      <c r="BM1401" s="10"/>
      <c r="BN1401" s="10"/>
      <c r="BO1401" s="10"/>
      <c r="BP1401" s="10"/>
      <c r="BQ1401" s="10"/>
      <c r="BR1401" s="10"/>
      <c r="BS1401" s="10"/>
      <c r="BT1401" s="10"/>
      <c r="BU1401" s="10"/>
      <c r="BV1401" s="10"/>
      <c r="BW1401" s="10"/>
      <c r="BX1401" s="10"/>
      <c r="BY1401" s="10"/>
      <c r="BZ1401" s="10"/>
      <c r="CA1401" s="10"/>
      <c r="CB1401" s="10"/>
      <c r="CC1401" s="10"/>
      <c r="CD1401" s="10"/>
      <c r="CE1401" s="10"/>
      <c r="CF1401" s="10"/>
      <c r="CG1401" s="10"/>
      <c r="CH1401" s="10"/>
      <c r="CI1401" s="10"/>
      <c r="CJ1401" s="10"/>
      <c r="CK1401" s="10"/>
      <c r="CL1401" s="10"/>
      <c r="CM1401" s="10"/>
      <c r="CN1401" s="10"/>
      <c r="CO1401" s="10"/>
    </row>
    <row r="1402" spans="1:93">
      <c r="A1402" s="10"/>
      <c r="B1402" s="10"/>
      <c r="C1402" s="17" t="s">
        <v>221</v>
      </c>
      <c r="D1402" s="10"/>
      <c r="E1402" s="62"/>
      <c r="F1402" s="10"/>
      <c r="G1402" s="134" t="str">
        <f>Monetary_Unit</f>
        <v>тыс. руб.</v>
      </c>
      <c r="H1402" s="10"/>
      <c r="I1402" s="10"/>
      <c r="J1402" s="10"/>
      <c r="K1402" s="10"/>
      <c r="L1402" s="52">
        <f t="shared" ref="L1402:AQ1402" ca="1" si="8408">K1402+L1388</f>
        <v>-31406.153379286916</v>
      </c>
      <c r="M1402" s="52">
        <f t="shared" ca="1" si="8408"/>
        <v>-63258.113569794448</v>
      </c>
      <c r="N1402" s="52">
        <f t="shared" ca="1" si="8408"/>
        <v>-95562.208749014768</v>
      </c>
      <c r="O1402" s="52">
        <f t="shared" ca="1" si="8408"/>
        <v>-128324.85692220708</v>
      </c>
      <c r="P1402" s="52">
        <f t="shared" ca="1" si="8408"/>
        <v>-403916.32273020223</v>
      </c>
      <c r="Q1402" s="52">
        <f t="shared" ca="1" si="8408"/>
        <v>-682223.30329222977</v>
      </c>
      <c r="R1402" s="52">
        <f t="shared" ca="1" si="8408"/>
        <v>-963272.55567915109</v>
      </c>
      <c r="S1402" s="52">
        <f t="shared" ca="1" si="8408"/>
        <v>-1247091.1006101244</v>
      </c>
      <c r="T1402" s="52">
        <f t="shared" ca="1" si="8408"/>
        <v>-1537051.9972213544</v>
      </c>
      <c r="U1402" s="52">
        <f t="shared" ca="1" si="8408"/>
        <v>-1829659.8320149784</v>
      </c>
      <c r="V1402" s="52">
        <f t="shared" ca="1" si="8408"/>
        <v>-2124935.5853526331</v>
      </c>
      <c r="W1402" s="52">
        <f t="shared" ca="1" si="8408"/>
        <v>-2422870.3827240327</v>
      </c>
      <c r="X1402" s="52">
        <f t="shared" ca="1" si="8408"/>
        <v>-3047888.6192673543</v>
      </c>
      <c r="Y1402" s="52">
        <f t="shared" ca="1" si="8408"/>
        <v>-3678576.3905619094</v>
      </c>
      <c r="Z1402" s="52">
        <f t="shared" ca="1" si="8408"/>
        <v>-4315006.8420905229</v>
      </c>
      <c r="AA1402" s="52">
        <f t="shared" ca="1" si="8408"/>
        <v>-4957213.9036737606</v>
      </c>
      <c r="AB1402" s="52">
        <f t="shared" ca="1" si="8408"/>
        <v>-5790205.8803602606</v>
      </c>
      <c r="AC1402" s="52">
        <f t="shared" ca="1" si="8408"/>
        <v>-4919973.4837756734</v>
      </c>
      <c r="AD1402" s="52">
        <f t="shared" ca="1" si="8408"/>
        <v>-4597173.914613002</v>
      </c>
      <c r="AE1402" s="52">
        <f t="shared" ca="1" si="8408"/>
        <v>-4377830.5115409922</v>
      </c>
      <c r="AF1402" s="52">
        <f t="shared" ca="1" si="8408"/>
        <v>-4216721.3171880208</v>
      </c>
      <c r="AG1402" s="52">
        <f t="shared" ca="1" si="8408"/>
        <v>-4046921.4415718373</v>
      </c>
      <c r="AH1402" s="52">
        <f t="shared" ca="1" si="8408"/>
        <v>-3805863.5258842558</v>
      </c>
      <c r="AI1402" s="52">
        <f t="shared" ca="1" si="8408"/>
        <v>-3543934.6798686818</v>
      </c>
      <c r="AJ1402" s="52">
        <f t="shared" ca="1" si="8408"/>
        <v>-3352070.1445665993</v>
      </c>
      <c r="AK1402" s="52">
        <f t="shared" ca="1" si="8408"/>
        <v>-3151464.9758242983</v>
      </c>
      <c r="AL1402" s="52">
        <f t="shared" ca="1" si="8408"/>
        <v>-2868056.5687585887</v>
      </c>
      <c r="AM1402" s="52">
        <f t="shared" ca="1" si="8408"/>
        <v>-2560961.3058653958</v>
      </c>
      <c r="AN1402" s="52">
        <f t="shared" ca="1" si="8408"/>
        <v>-2334637.2024201346</v>
      </c>
      <c r="AO1402" s="52">
        <f t="shared" ca="1" si="8408"/>
        <v>-2101050.3026898974</v>
      </c>
      <c r="AP1402" s="52">
        <f t="shared" ca="1" si="8408"/>
        <v>-1775501.1492724305</v>
      </c>
      <c r="AQ1402" s="52">
        <f t="shared" ca="1" si="8408"/>
        <v>-1431236.722912889</v>
      </c>
      <c r="AR1402" s="52">
        <f t="shared" ref="AR1402:BW1402" ca="1" si="8409">AQ1402+AR1388</f>
        <v>-1186516.7052538896</v>
      </c>
      <c r="AS1402" s="52">
        <f t="shared" ca="1" si="8409"/>
        <v>-941145.3162183736</v>
      </c>
      <c r="AT1402" s="52">
        <f t="shared" ca="1" si="8409"/>
        <v>-604758.66481685452</v>
      </c>
      <c r="AU1402" s="52">
        <f t="shared" ca="1" si="8409"/>
        <v>-256007.42298655334</v>
      </c>
      <c r="AV1402" s="52">
        <f t="shared" ca="1" si="8409"/>
        <v>-10146.757356324611</v>
      </c>
      <c r="AW1402" s="52">
        <f t="shared" ca="1" si="8409"/>
        <v>279919.09189030342</v>
      </c>
      <c r="AX1402" s="52">
        <f t="shared" ca="1" si="8409"/>
        <v>547257.97138061747</v>
      </c>
      <c r="AY1402" s="52">
        <f t="shared" ca="1" si="8409"/>
        <v>740204.29675483971</v>
      </c>
      <c r="AZ1402" s="52">
        <f t="shared" ca="1" si="8409"/>
        <v>879607.16696272173</v>
      </c>
      <c r="BA1402" s="52">
        <f t="shared" ca="1" si="8409"/>
        <v>1061155.9201832928</v>
      </c>
      <c r="BB1402" s="52">
        <f t="shared" ca="1" si="8409"/>
        <v>1306148.7402861749</v>
      </c>
      <c r="BC1402" s="52">
        <f t="shared" ca="1" si="8409"/>
        <v>1507080.3633602068</v>
      </c>
      <c r="BD1402" s="52">
        <f t="shared" ca="1" si="8409"/>
        <v>1654537.3821374383</v>
      </c>
      <c r="BE1402" s="52">
        <f t="shared" ca="1" si="8409"/>
        <v>1840838.7232189099</v>
      </c>
      <c r="BF1402" s="52">
        <f t="shared" ca="1" si="8409"/>
        <v>2093807.900908465</v>
      </c>
      <c r="BG1402" s="52">
        <f t="shared" ca="1" si="8409"/>
        <v>2301067.6885997569</v>
      </c>
      <c r="BH1402" s="52">
        <f t="shared" ca="1" si="8409"/>
        <v>2450339.0743945772</v>
      </c>
      <c r="BI1402" s="52">
        <f t="shared" ca="1" si="8409"/>
        <v>2644806.0816739197</v>
      </c>
      <c r="BJ1402" s="52">
        <f t="shared" ca="1" si="8409"/>
        <v>2907949.3698699567</v>
      </c>
      <c r="BK1402" s="52">
        <f t="shared" ca="1" si="8409"/>
        <v>3123553.1308428664</v>
      </c>
      <c r="BL1402" s="52">
        <f t="shared" ca="1" si="8409"/>
        <v>3278849.7922352175</v>
      </c>
      <c r="BM1402" s="52">
        <f t="shared" ca="1" si="8409"/>
        <v>3481151.338374096</v>
      </c>
      <c r="BN1402" s="52">
        <f t="shared" ca="1" si="8409"/>
        <v>3754877.6868509538</v>
      </c>
      <c r="BO1402" s="52">
        <f t="shared" ca="1" si="8409"/>
        <v>3966217.2473708726</v>
      </c>
      <c r="BP1402" s="52">
        <f t="shared" ca="1" si="8409"/>
        <v>4115631.0986642106</v>
      </c>
      <c r="BQ1402" s="52">
        <f t="shared" ca="1" si="8409"/>
        <v>4306105.6026230296</v>
      </c>
      <c r="BR1402" s="52">
        <f t="shared" ca="1" si="8409"/>
        <v>4565090.4729202529</v>
      </c>
      <c r="BS1402" s="52">
        <f t="shared" ca="1" si="8409"/>
        <v>4784833.9552779729</v>
      </c>
      <c r="BT1402" s="52">
        <f t="shared" ca="1" si="8409"/>
        <v>4942583.872576585</v>
      </c>
      <c r="BU1402" s="52">
        <f t="shared" ca="1" si="8409"/>
        <v>5139901.4623032724</v>
      </c>
      <c r="BV1402" s="52">
        <f t="shared" ca="1" si="8409"/>
        <v>5409205.2731365813</v>
      </c>
      <c r="BW1402" s="52">
        <f t="shared" ca="1" si="8409"/>
        <v>5637698.046429893</v>
      </c>
      <c r="BX1402" s="52">
        <f t="shared" ref="BX1402:CO1402" ca="1" si="8410">BW1402+BX1388</f>
        <v>5799197.2745323926</v>
      </c>
      <c r="BY1402" s="52">
        <f t="shared" ca="1" si="8410"/>
        <v>6005110.4653666168</v>
      </c>
      <c r="BZ1402" s="52">
        <f t="shared" ca="1" si="8410"/>
        <v>6285127.1934907818</v>
      </c>
      <c r="CA1402" s="52">
        <f t="shared" ca="1" si="8410"/>
        <v>6522700.4364195811</v>
      </c>
      <c r="CB1402" s="52">
        <f t="shared" ca="1" si="8410"/>
        <v>6690607.3386178119</v>
      </c>
      <c r="CC1402" s="52">
        <f t="shared" ca="1" si="8410"/>
        <v>6904706.0606895071</v>
      </c>
      <c r="CD1402" s="52">
        <f t="shared" ca="1" si="8410"/>
        <v>7195873.7973556435</v>
      </c>
      <c r="CE1402" s="52">
        <f t="shared" ca="1" si="8410"/>
        <v>7442900.3094185982</v>
      </c>
      <c r="CF1402" s="52">
        <f t="shared" ca="1" si="8410"/>
        <v>7617471.1554959565</v>
      </c>
      <c r="CG1402" s="52">
        <f t="shared" ca="1" si="8410"/>
        <v>7840082.8300546203</v>
      </c>
      <c r="CH1402" s="52">
        <f t="shared" ca="1" si="8410"/>
        <v>8142847.6156044062</v>
      </c>
      <c r="CI1402" s="52">
        <f t="shared" ca="1" si="8410"/>
        <v>8399705.5275668856</v>
      </c>
      <c r="CJ1402" s="52">
        <f t="shared" ca="1" si="8410"/>
        <v>8584032.6539275851</v>
      </c>
      <c r="CK1402" s="52">
        <f t="shared" ca="1" si="8410"/>
        <v>8814648.3605775423</v>
      </c>
      <c r="CL1402" s="52">
        <f t="shared" ca="1" si="8410"/>
        <v>9129483.4211739562</v>
      </c>
      <c r="CM1402" s="52">
        <f t="shared" ca="1" si="8410"/>
        <v>9396575.340161724</v>
      </c>
      <c r="CN1402" s="52">
        <f t="shared" ca="1" si="8410"/>
        <v>9585284.3677501045</v>
      </c>
      <c r="CO1402" s="52">
        <f t="shared" ca="1" si="8410"/>
        <v>9825957.1223051213</v>
      </c>
    </row>
    <row r="1403" spans="1:93">
      <c r="A1403" s="10"/>
      <c r="B1403" s="10"/>
      <c r="C1403" s="17" t="s">
        <v>222</v>
      </c>
      <c r="D1403" s="10"/>
      <c r="E1403" s="10">
        <f ca="1">SUM(L1403:CO1403)</f>
        <v>1</v>
      </c>
      <c r="F1403" s="10"/>
      <c r="G1403" s="11"/>
      <c r="H1403" s="10"/>
      <c r="I1403" s="10"/>
      <c r="J1403" s="10"/>
      <c r="K1403" s="10"/>
      <c r="L1403" s="52">
        <f ca="1">1*(L1402&gt;0)*(K1402&lt;0)*(SUM($K1403:K1403)=0)</f>
        <v>0</v>
      </c>
      <c r="M1403" s="52">
        <f ca="1">1*(M1402&gt;0)*(L1402&lt;0)*(SUM($K1403:L1403)=0)</f>
        <v>0</v>
      </c>
      <c r="N1403" s="52">
        <f ca="1">1*(N1402&gt;0)*(M1402&lt;0)*(SUM($K1403:M1403)=0)</f>
        <v>0</v>
      </c>
      <c r="O1403" s="52">
        <f ca="1">1*(O1402&gt;0)*(N1402&lt;0)*(SUM($K1403:N1403)=0)</f>
        <v>0</v>
      </c>
      <c r="P1403" s="52">
        <f ca="1">1*(P1402&gt;0)*(O1402&lt;0)*(SUM($K1403:O1403)=0)</f>
        <v>0</v>
      </c>
      <c r="Q1403" s="52">
        <f ca="1">1*(Q1402&gt;0)*(P1402&lt;0)*(SUM($K1403:P1403)=0)</f>
        <v>0</v>
      </c>
      <c r="R1403" s="52">
        <f ca="1">1*(R1402&gt;0)*(Q1402&lt;0)*(SUM($K1403:Q1403)=0)</f>
        <v>0</v>
      </c>
      <c r="S1403" s="52">
        <f ca="1">1*(S1402&gt;0)*(R1402&lt;0)*(SUM($K1403:R1403)=0)</f>
        <v>0</v>
      </c>
      <c r="T1403" s="52">
        <f ca="1">1*(T1402&gt;0)*(S1402&lt;0)*(SUM($K1403:S1403)=0)</f>
        <v>0</v>
      </c>
      <c r="U1403" s="52">
        <f ca="1">1*(U1402&gt;0)*(T1402&lt;0)*(SUM($K1403:T1403)=0)</f>
        <v>0</v>
      </c>
      <c r="V1403" s="52">
        <f ca="1">1*(V1402&gt;0)*(U1402&lt;0)*(SUM($K1403:U1403)=0)</f>
        <v>0</v>
      </c>
      <c r="W1403" s="52">
        <f ca="1">1*(W1402&gt;0)*(V1402&lt;0)*(SUM($K1403:V1403)=0)</f>
        <v>0</v>
      </c>
      <c r="X1403" s="52">
        <f ca="1">1*(X1402&gt;0)*(W1402&lt;0)*(SUM($K1403:W1403)=0)</f>
        <v>0</v>
      </c>
      <c r="Y1403" s="52">
        <f ca="1">1*(Y1402&gt;0)*(X1402&lt;0)*(SUM($K1403:X1403)=0)</f>
        <v>0</v>
      </c>
      <c r="Z1403" s="52">
        <f ca="1">1*(Z1402&gt;0)*(Y1402&lt;0)*(SUM($K1403:Y1403)=0)</f>
        <v>0</v>
      </c>
      <c r="AA1403" s="52">
        <f ca="1">1*(AA1402&gt;0)*(Z1402&lt;0)*(SUM($K1403:Z1403)=0)</f>
        <v>0</v>
      </c>
      <c r="AB1403" s="52">
        <f ca="1">1*(AB1402&gt;0)*(AA1402&lt;0)*(SUM($K1403:AA1403)=0)</f>
        <v>0</v>
      </c>
      <c r="AC1403" s="52">
        <f ca="1">1*(AC1402&gt;0)*(AB1402&lt;0)*(SUM($K1403:AB1403)=0)</f>
        <v>0</v>
      </c>
      <c r="AD1403" s="52">
        <f ca="1">1*(AD1402&gt;0)*(AC1402&lt;0)*(SUM($K1403:AC1403)=0)</f>
        <v>0</v>
      </c>
      <c r="AE1403" s="52">
        <f ca="1">1*(AE1402&gt;0)*(AD1402&lt;0)*(SUM($K1403:AD1403)=0)</f>
        <v>0</v>
      </c>
      <c r="AF1403" s="52">
        <f ca="1">1*(AF1402&gt;0)*(AE1402&lt;0)*(SUM($K1403:AE1403)=0)</f>
        <v>0</v>
      </c>
      <c r="AG1403" s="52">
        <f ca="1">1*(AG1402&gt;0)*(AF1402&lt;0)*(SUM($K1403:AF1403)=0)</f>
        <v>0</v>
      </c>
      <c r="AH1403" s="52">
        <f ca="1">1*(AH1402&gt;0)*(AG1402&lt;0)*(SUM($K1403:AG1403)=0)</f>
        <v>0</v>
      </c>
      <c r="AI1403" s="52">
        <f ca="1">1*(AI1402&gt;0)*(AH1402&lt;0)*(SUM($K1403:AH1403)=0)</f>
        <v>0</v>
      </c>
      <c r="AJ1403" s="52">
        <f ca="1">1*(AJ1402&gt;0)*(AI1402&lt;0)*(SUM($K1403:AI1403)=0)</f>
        <v>0</v>
      </c>
      <c r="AK1403" s="52">
        <f ca="1">1*(AK1402&gt;0)*(AJ1402&lt;0)*(SUM($K1403:AJ1403)=0)</f>
        <v>0</v>
      </c>
      <c r="AL1403" s="52">
        <f ca="1">1*(AL1402&gt;0)*(AK1402&lt;0)*(SUM($K1403:AK1403)=0)</f>
        <v>0</v>
      </c>
      <c r="AM1403" s="52">
        <f ca="1">1*(AM1402&gt;0)*(AL1402&lt;0)*(SUM($K1403:AL1403)=0)</f>
        <v>0</v>
      </c>
      <c r="AN1403" s="52">
        <f ca="1">1*(AN1402&gt;0)*(AM1402&lt;0)*(SUM($K1403:AM1403)=0)</f>
        <v>0</v>
      </c>
      <c r="AO1403" s="52">
        <f ca="1">1*(AO1402&gt;0)*(AN1402&lt;0)*(SUM($K1403:AN1403)=0)</f>
        <v>0</v>
      </c>
      <c r="AP1403" s="52">
        <f ca="1">1*(AP1402&gt;0)*(AO1402&lt;0)*(SUM($K1403:AO1403)=0)</f>
        <v>0</v>
      </c>
      <c r="AQ1403" s="52">
        <f ca="1">1*(AQ1402&gt;0)*(AP1402&lt;0)*(SUM($K1403:AP1403)=0)</f>
        <v>0</v>
      </c>
      <c r="AR1403" s="52">
        <f ca="1">1*(AR1402&gt;0)*(AQ1402&lt;0)*(SUM($K1403:AQ1403)=0)</f>
        <v>0</v>
      </c>
      <c r="AS1403" s="52">
        <f ca="1">1*(AS1402&gt;0)*(AR1402&lt;0)*(SUM($K1403:AR1403)=0)</f>
        <v>0</v>
      </c>
      <c r="AT1403" s="52">
        <f ca="1">1*(AT1402&gt;0)*(AS1402&lt;0)*(SUM($K1403:AS1403)=0)</f>
        <v>0</v>
      </c>
      <c r="AU1403" s="52">
        <f ca="1">1*(AU1402&gt;0)*(AT1402&lt;0)*(SUM($K1403:AT1403)=0)</f>
        <v>0</v>
      </c>
      <c r="AV1403" s="52">
        <f ca="1">1*(AV1402&gt;0)*(AU1402&lt;0)*(SUM($K1403:AU1403)=0)</f>
        <v>0</v>
      </c>
      <c r="AW1403" s="52">
        <f ca="1">1*(AW1402&gt;0)*(AV1402&lt;0)*(SUM($K1403:AV1403)=0)</f>
        <v>1</v>
      </c>
      <c r="AX1403" s="52">
        <f ca="1">1*(AX1402&gt;0)*(AW1402&lt;0)*(SUM($K1403:AW1403)=0)</f>
        <v>0</v>
      </c>
      <c r="AY1403" s="52">
        <f ca="1">1*(AY1402&gt;0)*(AX1402&lt;0)*(SUM($K1403:AX1403)=0)</f>
        <v>0</v>
      </c>
      <c r="AZ1403" s="52">
        <f ca="1">1*(AZ1402&gt;0)*(AY1402&lt;0)*(SUM($K1403:AY1403)=0)</f>
        <v>0</v>
      </c>
      <c r="BA1403" s="52">
        <f ca="1">1*(BA1402&gt;0)*(AZ1402&lt;0)*(SUM($K1403:AZ1403)=0)</f>
        <v>0</v>
      </c>
      <c r="BB1403" s="52">
        <f ca="1">1*(BB1402&gt;0)*(BA1402&lt;0)*(SUM($K1403:BA1403)=0)</f>
        <v>0</v>
      </c>
      <c r="BC1403" s="52">
        <f ca="1">1*(BC1402&gt;0)*(BB1402&lt;0)*(SUM($K1403:BB1403)=0)</f>
        <v>0</v>
      </c>
      <c r="BD1403" s="52">
        <f ca="1">1*(BD1402&gt;0)*(BC1402&lt;0)*(SUM($K1403:BC1403)=0)</f>
        <v>0</v>
      </c>
      <c r="BE1403" s="52">
        <f ca="1">1*(BE1402&gt;0)*(BD1402&lt;0)*(SUM($K1403:BD1403)=0)</f>
        <v>0</v>
      </c>
      <c r="BF1403" s="52">
        <f ca="1">1*(BF1402&gt;0)*(BE1402&lt;0)*(SUM($K1403:BE1403)=0)</f>
        <v>0</v>
      </c>
      <c r="BG1403" s="52">
        <f ca="1">1*(BG1402&gt;0)*(BF1402&lt;0)*(SUM($K1403:BF1403)=0)</f>
        <v>0</v>
      </c>
      <c r="BH1403" s="52">
        <f ca="1">1*(BH1402&gt;0)*(BG1402&lt;0)*(SUM($K1403:BG1403)=0)</f>
        <v>0</v>
      </c>
      <c r="BI1403" s="52">
        <f ca="1">1*(BI1402&gt;0)*(BH1402&lt;0)*(SUM($K1403:BH1403)=0)</f>
        <v>0</v>
      </c>
      <c r="BJ1403" s="52">
        <f ca="1">1*(BJ1402&gt;0)*(BI1402&lt;0)*(SUM($K1403:BI1403)=0)</f>
        <v>0</v>
      </c>
      <c r="BK1403" s="52">
        <f ca="1">1*(BK1402&gt;0)*(BJ1402&lt;0)*(SUM($K1403:BJ1403)=0)</f>
        <v>0</v>
      </c>
      <c r="BL1403" s="52">
        <f ca="1">1*(BL1402&gt;0)*(BK1402&lt;0)*(SUM($K1403:BK1403)=0)</f>
        <v>0</v>
      </c>
      <c r="BM1403" s="52">
        <f ca="1">1*(BM1402&gt;0)*(BL1402&lt;0)*(SUM($K1403:BL1403)=0)</f>
        <v>0</v>
      </c>
      <c r="BN1403" s="52">
        <f ca="1">1*(BN1402&gt;0)*(BM1402&lt;0)*(SUM($K1403:BM1403)=0)</f>
        <v>0</v>
      </c>
      <c r="BO1403" s="52">
        <f ca="1">1*(BO1402&gt;0)*(BN1402&lt;0)*(SUM($K1403:BN1403)=0)</f>
        <v>0</v>
      </c>
      <c r="BP1403" s="52">
        <f ca="1">1*(BP1402&gt;0)*(BO1402&lt;0)*(SUM($K1403:BO1403)=0)</f>
        <v>0</v>
      </c>
      <c r="BQ1403" s="52">
        <f ca="1">1*(BQ1402&gt;0)*(BP1402&lt;0)*(SUM($K1403:BP1403)=0)</f>
        <v>0</v>
      </c>
      <c r="BR1403" s="52">
        <f ca="1">1*(BR1402&gt;0)*(BQ1402&lt;0)*(SUM($K1403:BQ1403)=0)</f>
        <v>0</v>
      </c>
      <c r="BS1403" s="52">
        <f ca="1">1*(BS1402&gt;0)*(BR1402&lt;0)*(SUM($K1403:BR1403)=0)</f>
        <v>0</v>
      </c>
      <c r="BT1403" s="52">
        <f ca="1">1*(BT1402&gt;0)*(BS1402&lt;0)*(SUM($K1403:BS1403)=0)</f>
        <v>0</v>
      </c>
      <c r="BU1403" s="52">
        <f ca="1">1*(BU1402&gt;0)*(BT1402&lt;0)*(SUM($K1403:BT1403)=0)</f>
        <v>0</v>
      </c>
      <c r="BV1403" s="52">
        <f ca="1">1*(BV1402&gt;0)*(BU1402&lt;0)*(SUM($K1403:BU1403)=0)</f>
        <v>0</v>
      </c>
      <c r="BW1403" s="52">
        <f ca="1">1*(BW1402&gt;0)*(BV1402&lt;0)*(SUM($K1403:BV1403)=0)</f>
        <v>0</v>
      </c>
      <c r="BX1403" s="52">
        <f ca="1">1*(BX1402&gt;0)*(BW1402&lt;0)*(SUM($K1403:BW1403)=0)</f>
        <v>0</v>
      </c>
      <c r="BY1403" s="52">
        <f ca="1">1*(BY1402&gt;0)*(BX1402&lt;0)*(SUM($K1403:BX1403)=0)</f>
        <v>0</v>
      </c>
      <c r="BZ1403" s="52">
        <f ca="1">1*(BZ1402&gt;0)*(BY1402&lt;0)*(SUM($K1403:BY1403)=0)</f>
        <v>0</v>
      </c>
      <c r="CA1403" s="52">
        <f ca="1">1*(CA1402&gt;0)*(BZ1402&lt;0)*(SUM($K1403:BZ1403)=0)</f>
        <v>0</v>
      </c>
      <c r="CB1403" s="52">
        <f ca="1">1*(CB1402&gt;0)*(CA1402&lt;0)*(SUM($K1403:CA1403)=0)</f>
        <v>0</v>
      </c>
      <c r="CC1403" s="52">
        <f ca="1">1*(CC1402&gt;0)*(CB1402&lt;0)*(SUM($K1403:CB1403)=0)</f>
        <v>0</v>
      </c>
      <c r="CD1403" s="52">
        <f ca="1">1*(CD1402&gt;0)*(CC1402&lt;0)*(SUM($K1403:CC1403)=0)</f>
        <v>0</v>
      </c>
      <c r="CE1403" s="52">
        <f ca="1">1*(CE1402&gt;0)*(CD1402&lt;0)*(SUM($K1403:CD1403)=0)</f>
        <v>0</v>
      </c>
      <c r="CF1403" s="52">
        <f ca="1">1*(CF1402&gt;0)*(CE1402&lt;0)*(SUM($K1403:CE1403)=0)</f>
        <v>0</v>
      </c>
      <c r="CG1403" s="52">
        <f ca="1">1*(CG1402&gt;0)*(CF1402&lt;0)*(SUM($K1403:CF1403)=0)</f>
        <v>0</v>
      </c>
      <c r="CH1403" s="52">
        <f ca="1">1*(CH1402&gt;0)*(CG1402&lt;0)*(SUM($K1403:CG1403)=0)</f>
        <v>0</v>
      </c>
      <c r="CI1403" s="52">
        <f ca="1">1*(CI1402&gt;0)*(CH1402&lt;0)*(SUM($K1403:CH1403)=0)</f>
        <v>0</v>
      </c>
      <c r="CJ1403" s="52">
        <f ca="1">1*(CJ1402&gt;0)*(CI1402&lt;0)*(SUM($K1403:CI1403)=0)</f>
        <v>0</v>
      </c>
      <c r="CK1403" s="52">
        <f ca="1">1*(CK1402&gt;0)*(CJ1402&lt;0)*(SUM($K1403:CJ1403)=0)</f>
        <v>0</v>
      </c>
      <c r="CL1403" s="52">
        <f ca="1">1*(CL1402&gt;0)*(CK1402&lt;0)*(SUM($K1403:CK1403)=0)</f>
        <v>0</v>
      </c>
      <c r="CM1403" s="52">
        <f ca="1">1*(CM1402&gt;0)*(CL1402&lt;0)*(SUM($K1403:CL1403)=0)</f>
        <v>0</v>
      </c>
      <c r="CN1403" s="52">
        <f ca="1">1*(CN1402&gt;0)*(CM1402&lt;0)*(SUM($K1403:CM1403)=0)</f>
        <v>0</v>
      </c>
      <c r="CO1403" s="52">
        <f ca="1">1*(CO1402&gt;0)*(CN1402&lt;0)*(SUM($K1403:CN1403)=0)</f>
        <v>0</v>
      </c>
    </row>
    <row r="1404" spans="1:93">
      <c r="A1404" s="10"/>
      <c r="B1404" s="10"/>
      <c r="C1404" s="17" t="s">
        <v>223</v>
      </c>
      <c r="D1404" s="10"/>
      <c r="E1404" s="10">
        <f ca="1">SUM(L1404:CO1404)</f>
        <v>3.1832596695671636</v>
      </c>
      <c r="F1404" s="10"/>
      <c r="G1404" s="11"/>
      <c r="H1404" s="10"/>
      <c r="I1404" s="10"/>
      <c r="J1404" s="10"/>
      <c r="K1404" s="10"/>
      <c r="L1404" s="52">
        <f t="shared" ref="L1404:AQ1404" ca="1" si="8411">-IFERROR(K1402/L1388,0)*Days_In_Period*L1403</f>
        <v>0</v>
      </c>
      <c r="M1404" s="52">
        <f t="shared" ca="1" si="8411"/>
        <v>0</v>
      </c>
      <c r="N1404" s="52">
        <f t="shared" ca="1" si="8411"/>
        <v>0</v>
      </c>
      <c r="O1404" s="52">
        <f t="shared" ca="1" si="8411"/>
        <v>0</v>
      </c>
      <c r="P1404" s="52">
        <f t="shared" ca="1" si="8411"/>
        <v>0</v>
      </c>
      <c r="Q1404" s="52">
        <f t="shared" ca="1" si="8411"/>
        <v>0</v>
      </c>
      <c r="R1404" s="52">
        <f t="shared" ca="1" si="8411"/>
        <v>0</v>
      </c>
      <c r="S1404" s="52">
        <f t="shared" ca="1" si="8411"/>
        <v>0</v>
      </c>
      <c r="T1404" s="52">
        <f t="shared" ca="1" si="8411"/>
        <v>0</v>
      </c>
      <c r="U1404" s="52">
        <f t="shared" ca="1" si="8411"/>
        <v>0</v>
      </c>
      <c r="V1404" s="52">
        <f t="shared" ca="1" si="8411"/>
        <v>0</v>
      </c>
      <c r="W1404" s="52">
        <f t="shared" ca="1" si="8411"/>
        <v>0</v>
      </c>
      <c r="X1404" s="52">
        <f t="shared" ca="1" si="8411"/>
        <v>0</v>
      </c>
      <c r="Y1404" s="52">
        <f t="shared" ca="1" si="8411"/>
        <v>0</v>
      </c>
      <c r="Z1404" s="52">
        <f t="shared" ca="1" si="8411"/>
        <v>0</v>
      </c>
      <c r="AA1404" s="52">
        <f t="shared" ca="1" si="8411"/>
        <v>0</v>
      </c>
      <c r="AB1404" s="52">
        <f t="shared" ca="1" si="8411"/>
        <v>0</v>
      </c>
      <c r="AC1404" s="52">
        <f t="shared" ca="1" si="8411"/>
        <v>0</v>
      </c>
      <c r="AD1404" s="52">
        <f t="shared" ca="1" si="8411"/>
        <v>0</v>
      </c>
      <c r="AE1404" s="52">
        <f t="shared" ca="1" si="8411"/>
        <v>0</v>
      </c>
      <c r="AF1404" s="52">
        <f t="shared" ca="1" si="8411"/>
        <v>0</v>
      </c>
      <c r="AG1404" s="52">
        <f t="shared" ca="1" si="8411"/>
        <v>0</v>
      </c>
      <c r="AH1404" s="52">
        <f t="shared" ca="1" si="8411"/>
        <v>0</v>
      </c>
      <c r="AI1404" s="52">
        <f t="shared" ca="1" si="8411"/>
        <v>0</v>
      </c>
      <c r="AJ1404" s="52">
        <f t="shared" ca="1" si="8411"/>
        <v>0</v>
      </c>
      <c r="AK1404" s="52">
        <f t="shared" ca="1" si="8411"/>
        <v>0</v>
      </c>
      <c r="AL1404" s="52">
        <f t="shared" ca="1" si="8411"/>
        <v>0</v>
      </c>
      <c r="AM1404" s="52">
        <f t="shared" ca="1" si="8411"/>
        <v>0</v>
      </c>
      <c r="AN1404" s="52">
        <f t="shared" ca="1" si="8411"/>
        <v>0</v>
      </c>
      <c r="AO1404" s="52">
        <f t="shared" ca="1" si="8411"/>
        <v>0</v>
      </c>
      <c r="AP1404" s="52">
        <f t="shared" ca="1" si="8411"/>
        <v>0</v>
      </c>
      <c r="AQ1404" s="52">
        <f t="shared" ca="1" si="8411"/>
        <v>0</v>
      </c>
      <c r="AR1404" s="52">
        <f t="shared" ref="AR1404:BW1404" ca="1" si="8412">-IFERROR(AQ1402/AR1388,0)*Days_In_Period*AR1403</f>
        <v>0</v>
      </c>
      <c r="AS1404" s="52">
        <f t="shared" ca="1" si="8412"/>
        <v>0</v>
      </c>
      <c r="AT1404" s="52">
        <f t="shared" ca="1" si="8412"/>
        <v>0</v>
      </c>
      <c r="AU1404" s="52">
        <f t="shared" ca="1" si="8412"/>
        <v>0</v>
      </c>
      <c r="AV1404" s="52">
        <f t="shared" ca="1" si="8412"/>
        <v>0</v>
      </c>
      <c r="AW1404" s="52">
        <f t="shared" ca="1" si="8412"/>
        <v>3.1832596695671636</v>
      </c>
      <c r="AX1404" s="52">
        <f t="shared" ca="1" si="8412"/>
        <v>0</v>
      </c>
      <c r="AY1404" s="52">
        <f t="shared" ca="1" si="8412"/>
        <v>0</v>
      </c>
      <c r="AZ1404" s="52">
        <f t="shared" ca="1" si="8412"/>
        <v>0</v>
      </c>
      <c r="BA1404" s="52">
        <f t="shared" ca="1" si="8412"/>
        <v>0</v>
      </c>
      <c r="BB1404" s="52">
        <f t="shared" ca="1" si="8412"/>
        <v>0</v>
      </c>
      <c r="BC1404" s="52">
        <f t="shared" ca="1" si="8412"/>
        <v>0</v>
      </c>
      <c r="BD1404" s="52">
        <f t="shared" ca="1" si="8412"/>
        <v>0</v>
      </c>
      <c r="BE1404" s="52">
        <f t="shared" ca="1" si="8412"/>
        <v>0</v>
      </c>
      <c r="BF1404" s="52">
        <f t="shared" ca="1" si="8412"/>
        <v>0</v>
      </c>
      <c r="BG1404" s="52">
        <f t="shared" ca="1" si="8412"/>
        <v>0</v>
      </c>
      <c r="BH1404" s="52">
        <f t="shared" ca="1" si="8412"/>
        <v>0</v>
      </c>
      <c r="BI1404" s="52">
        <f t="shared" ca="1" si="8412"/>
        <v>0</v>
      </c>
      <c r="BJ1404" s="52">
        <f t="shared" ca="1" si="8412"/>
        <v>0</v>
      </c>
      <c r="BK1404" s="52">
        <f t="shared" ca="1" si="8412"/>
        <v>0</v>
      </c>
      <c r="BL1404" s="52">
        <f t="shared" ca="1" si="8412"/>
        <v>0</v>
      </c>
      <c r="BM1404" s="52">
        <f t="shared" ca="1" si="8412"/>
        <v>0</v>
      </c>
      <c r="BN1404" s="52">
        <f t="shared" ca="1" si="8412"/>
        <v>0</v>
      </c>
      <c r="BO1404" s="52">
        <f t="shared" ca="1" si="8412"/>
        <v>0</v>
      </c>
      <c r="BP1404" s="52">
        <f t="shared" ca="1" si="8412"/>
        <v>0</v>
      </c>
      <c r="BQ1404" s="52">
        <f t="shared" ca="1" si="8412"/>
        <v>0</v>
      </c>
      <c r="BR1404" s="52">
        <f t="shared" ca="1" si="8412"/>
        <v>0</v>
      </c>
      <c r="BS1404" s="52">
        <f t="shared" ca="1" si="8412"/>
        <v>0</v>
      </c>
      <c r="BT1404" s="52">
        <f t="shared" ca="1" si="8412"/>
        <v>0</v>
      </c>
      <c r="BU1404" s="52">
        <f t="shared" ca="1" si="8412"/>
        <v>0</v>
      </c>
      <c r="BV1404" s="52">
        <f t="shared" ca="1" si="8412"/>
        <v>0</v>
      </c>
      <c r="BW1404" s="52">
        <f t="shared" ca="1" si="8412"/>
        <v>0</v>
      </c>
      <c r="BX1404" s="52">
        <f t="shared" ref="BX1404:CO1404" ca="1" si="8413">-IFERROR(BW1402/BX1388,0)*Days_In_Period*BX1403</f>
        <v>0</v>
      </c>
      <c r="BY1404" s="52">
        <f t="shared" ca="1" si="8413"/>
        <v>0</v>
      </c>
      <c r="BZ1404" s="52">
        <f t="shared" ca="1" si="8413"/>
        <v>0</v>
      </c>
      <c r="CA1404" s="52">
        <f t="shared" ca="1" si="8413"/>
        <v>0</v>
      </c>
      <c r="CB1404" s="52">
        <f t="shared" ca="1" si="8413"/>
        <v>0</v>
      </c>
      <c r="CC1404" s="52">
        <f t="shared" ca="1" si="8413"/>
        <v>0</v>
      </c>
      <c r="CD1404" s="52">
        <f t="shared" ca="1" si="8413"/>
        <v>0</v>
      </c>
      <c r="CE1404" s="52">
        <f t="shared" ca="1" si="8413"/>
        <v>0</v>
      </c>
      <c r="CF1404" s="52">
        <f t="shared" ca="1" si="8413"/>
        <v>0</v>
      </c>
      <c r="CG1404" s="52">
        <f t="shared" ca="1" si="8413"/>
        <v>0</v>
      </c>
      <c r="CH1404" s="52">
        <f t="shared" ca="1" si="8413"/>
        <v>0</v>
      </c>
      <c r="CI1404" s="52">
        <f t="shared" ca="1" si="8413"/>
        <v>0</v>
      </c>
      <c r="CJ1404" s="52">
        <f t="shared" ca="1" si="8413"/>
        <v>0</v>
      </c>
      <c r="CK1404" s="52">
        <f t="shared" ca="1" si="8413"/>
        <v>0</v>
      </c>
      <c r="CL1404" s="52">
        <f t="shared" ca="1" si="8413"/>
        <v>0</v>
      </c>
      <c r="CM1404" s="52">
        <f t="shared" ca="1" si="8413"/>
        <v>0</v>
      </c>
      <c r="CN1404" s="52">
        <f t="shared" ca="1" si="8413"/>
        <v>0</v>
      </c>
      <c r="CO1404" s="52">
        <f t="shared" ca="1" si="8413"/>
        <v>0</v>
      </c>
    </row>
    <row r="1405" spans="1:93">
      <c r="A1405" s="10"/>
      <c r="B1405" s="10"/>
      <c r="C1405" s="17" t="s">
        <v>94</v>
      </c>
      <c r="D1405" s="10"/>
      <c r="E1405" s="192">
        <f ca="1">SUMPRODUCT(Beginning_of_period,L1403:CO1403)+E1404</f>
        <v>49038.183259669568</v>
      </c>
      <c r="F1405" s="10"/>
      <c r="G1405" s="11" t="s">
        <v>31</v>
      </c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  <c r="AY1405" s="10"/>
      <c r="AZ1405" s="10"/>
      <c r="BA1405" s="10"/>
      <c r="BB1405" s="10"/>
      <c r="BC1405" s="10"/>
      <c r="BD1405" s="10"/>
      <c r="BE1405" s="10"/>
      <c r="BF1405" s="10"/>
      <c r="BG1405" s="10"/>
      <c r="BH1405" s="10"/>
      <c r="BI1405" s="10"/>
      <c r="BJ1405" s="10"/>
      <c r="BK1405" s="10"/>
      <c r="BL1405" s="10"/>
      <c r="BM1405" s="10"/>
      <c r="BN1405" s="10"/>
      <c r="BO1405" s="10"/>
      <c r="BP1405" s="10"/>
      <c r="BQ1405" s="10"/>
      <c r="BR1405" s="10"/>
      <c r="BS1405" s="10"/>
      <c r="BT1405" s="10"/>
      <c r="BU1405" s="10"/>
      <c r="BV1405" s="10"/>
      <c r="BW1405" s="10"/>
      <c r="BX1405" s="10"/>
      <c r="BY1405" s="10"/>
      <c r="BZ1405" s="10"/>
      <c r="CA1405" s="10"/>
      <c r="CB1405" s="10"/>
      <c r="CC1405" s="10"/>
      <c r="CD1405" s="10"/>
      <c r="CE1405" s="10"/>
      <c r="CF1405" s="10"/>
      <c r="CG1405" s="10"/>
      <c r="CH1405" s="10"/>
      <c r="CI1405" s="10"/>
      <c r="CJ1405" s="10"/>
      <c r="CK1405" s="10"/>
      <c r="CL1405" s="10"/>
      <c r="CM1405" s="10"/>
      <c r="CN1405" s="10"/>
      <c r="CO1405" s="10"/>
    </row>
    <row r="1406" spans="1:93">
      <c r="A1406" s="10"/>
      <c r="B1406" s="10"/>
      <c r="C1406" s="17" t="s">
        <v>224</v>
      </c>
      <c r="D1406" s="10"/>
      <c r="E1406" s="193">
        <f ca="1">IF(E1405=0,"н.пр.",IFERROR((E1405-Date_Forecast_Start)/Предпосылки!$E$27,"н.пр."))</f>
        <v>9.2607760538892272</v>
      </c>
      <c r="F1406" s="51"/>
      <c r="G1406" s="11" t="s">
        <v>123</v>
      </c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  <c r="AY1406" s="10"/>
      <c r="AZ1406" s="10"/>
      <c r="BA1406" s="10"/>
      <c r="BB1406" s="10"/>
      <c r="BC1406" s="10"/>
      <c r="BD1406" s="10"/>
      <c r="BE1406" s="10"/>
      <c r="BF1406" s="10"/>
      <c r="BG1406" s="10"/>
      <c r="BH1406" s="10"/>
      <c r="BI1406" s="10"/>
      <c r="BJ1406" s="10"/>
      <c r="BK1406" s="10"/>
      <c r="BL1406" s="10"/>
      <c r="BM1406" s="10"/>
      <c r="BN1406" s="10"/>
      <c r="BO1406" s="10"/>
      <c r="BP1406" s="10"/>
      <c r="BQ1406" s="10"/>
      <c r="BR1406" s="10"/>
      <c r="BS1406" s="10"/>
      <c r="BT1406" s="10"/>
      <c r="BU1406" s="10"/>
      <c r="BV1406" s="10"/>
      <c r="BW1406" s="10"/>
      <c r="BX1406" s="10"/>
      <c r="BY1406" s="10"/>
      <c r="BZ1406" s="10"/>
      <c r="CA1406" s="10"/>
      <c r="CB1406" s="10"/>
      <c r="CC1406" s="10"/>
      <c r="CD1406" s="10"/>
      <c r="CE1406" s="10"/>
      <c r="CF1406" s="10"/>
      <c r="CG1406" s="10"/>
      <c r="CH1406" s="10"/>
      <c r="CI1406" s="10"/>
      <c r="CJ1406" s="10"/>
      <c r="CK1406" s="10"/>
      <c r="CL1406" s="10"/>
      <c r="CM1406" s="10"/>
      <c r="CN1406" s="10"/>
      <c r="CO1406" s="10"/>
    </row>
    <row r="1407" spans="1:93">
      <c r="A1407" s="10"/>
      <c r="B1407" s="10"/>
      <c r="C1407" s="10"/>
      <c r="D1407" s="10"/>
      <c r="E1407" s="62"/>
      <c r="F1407" s="10"/>
      <c r="G1407" s="11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  <c r="AY1407" s="10"/>
      <c r="AZ1407" s="10"/>
      <c r="BA1407" s="10"/>
      <c r="BB1407" s="10"/>
      <c r="BC1407" s="10"/>
      <c r="BD1407" s="10"/>
      <c r="BE1407" s="10"/>
      <c r="BF1407" s="10"/>
      <c r="BG1407" s="10"/>
      <c r="BH1407" s="10"/>
      <c r="BI1407" s="10"/>
      <c r="BJ1407" s="10"/>
      <c r="BK1407" s="10"/>
      <c r="BL1407" s="10"/>
      <c r="BM1407" s="10"/>
      <c r="BN1407" s="10"/>
      <c r="BO1407" s="10"/>
      <c r="BP1407" s="10"/>
      <c r="BQ1407" s="10"/>
      <c r="BR1407" s="10"/>
      <c r="BS1407" s="10"/>
      <c r="BT1407" s="10"/>
      <c r="BU1407" s="10"/>
      <c r="BV1407" s="10"/>
      <c r="BW1407" s="10"/>
      <c r="BX1407" s="10"/>
      <c r="BY1407" s="10"/>
      <c r="BZ1407" s="10"/>
      <c r="CA1407" s="10"/>
      <c r="CB1407" s="10"/>
      <c r="CC1407" s="10"/>
      <c r="CD1407" s="10"/>
      <c r="CE1407" s="10"/>
      <c r="CF1407" s="10"/>
      <c r="CG1407" s="10"/>
      <c r="CH1407" s="10"/>
      <c r="CI1407" s="10"/>
      <c r="CJ1407" s="10"/>
      <c r="CK1407" s="10"/>
      <c r="CL1407" s="10"/>
      <c r="CM1407" s="10"/>
      <c r="CN1407" s="10"/>
      <c r="CO1407" s="10"/>
    </row>
    <row r="1408" spans="1:93">
      <c r="A1408" s="10"/>
      <c r="B1408" s="10"/>
      <c r="C1408" s="16" t="s">
        <v>225</v>
      </c>
      <c r="D1408" s="10"/>
      <c r="E1408" s="62"/>
      <c r="F1408" s="10"/>
      <c r="G1408" s="11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  <c r="AY1408" s="10"/>
      <c r="AZ1408" s="10"/>
      <c r="BA1408" s="10"/>
      <c r="BB1408" s="10"/>
      <c r="BC1408" s="10"/>
      <c r="BD1408" s="10"/>
      <c r="BE1408" s="10"/>
      <c r="BF1408" s="10"/>
      <c r="BG1408" s="10"/>
      <c r="BH1408" s="10"/>
      <c r="BI1408" s="10"/>
      <c r="BJ1408" s="10"/>
      <c r="BK1408" s="10"/>
      <c r="BL1408" s="10"/>
      <c r="BM1408" s="10"/>
      <c r="BN1408" s="10"/>
      <c r="BO1408" s="10"/>
      <c r="BP1408" s="10"/>
      <c r="BQ1408" s="10"/>
      <c r="BR1408" s="10"/>
      <c r="BS1408" s="10"/>
      <c r="BT1408" s="10"/>
      <c r="BU1408" s="10"/>
      <c r="BV1408" s="10"/>
      <c r="BW1408" s="10"/>
      <c r="BX1408" s="10"/>
      <c r="BY1408" s="10"/>
      <c r="BZ1408" s="10"/>
      <c r="CA1408" s="10"/>
      <c r="CB1408" s="10"/>
      <c r="CC1408" s="10"/>
      <c r="CD1408" s="10"/>
      <c r="CE1408" s="10"/>
      <c r="CF1408" s="10"/>
      <c r="CG1408" s="10"/>
      <c r="CH1408" s="10"/>
      <c r="CI1408" s="10"/>
      <c r="CJ1408" s="10"/>
      <c r="CK1408" s="10"/>
      <c r="CL1408" s="10"/>
      <c r="CM1408" s="10"/>
      <c r="CN1408" s="10"/>
      <c r="CO1408" s="10"/>
    </row>
    <row r="1409" spans="1:93">
      <c r="A1409" s="10"/>
      <c r="B1409" s="10"/>
      <c r="C1409" s="17" t="s">
        <v>226</v>
      </c>
      <c r="D1409" s="10"/>
      <c r="E1409" s="62"/>
      <c r="F1409" s="10"/>
      <c r="G1409" s="11" t="s">
        <v>378</v>
      </c>
      <c r="H1409" s="10"/>
      <c r="I1409" s="10"/>
      <c r="J1409" s="10"/>
      <c r="K1409" s="10"/>
      <c r="L1409" s="151">
        <f t="shared" ref="L1409" si="8414">IF(End_of_period&gt;Date_Forecast_Start,K1409+0.25,0)</f>
        <v>0.25</v>
      </c>
      <c r="M1409" s="151">
        <f t="shared" ref="M1409" si="8415">IF(End_of_period&gt;Date_Forecast_Start,L1409+0.25,0)</f>
        <v>0.5</v>
      </c>
      <c r="N1409" s="151">
        <f t="shared" ref="N1409" si="8416">IF(End_of_period&gt;Date_Forecast_Start,M1409+0.25,0)</f>
        <v>0.75</v>
      </c>
      <c r="O1409" s="151">
        <f t="shared" ref="O1409" si="8417">IF(End_of_period&gt;Date_Forecast_Start,N1409+0.25,0)</f>
        <v>1</v>
      </c>
      <c r="P1409" s="151">
        <f t="shared" ref="P1409" si="8418">IF(End_of_period&gt;Date_Forecast_Start,O1409+0.25,0)</f>
        <v>1.25</v>
      </c>
      <c r="Q1409" s="151">
        <f t="shared" ref="Q1409" si="8419">IF(End_of_period&gt;Date_Forecast_Start,P1409+0.25,0)</f>
        <v>1.5</v>
      </c>
      <c r="R1409" s="151">
        <f t="shared" ref="R1409" si="8420">IF(End_of_period&gt;Date_Forecast_Start,Q1409+0.25,0)</f>
        <v>1.75</v>
      </c>
      <c r="S1409" s="151">
        <f t="shared" ref="S1409" si="8421">IF(End_of_period&gt;Date_Forecast_Start,R1409+0.25,0)</f>
        <v>2</v>
      </c>
      <c r="T1409" s="151">
        <f t="shared" ref="T1409" si="8422">IF(End_of_period&gt;Date_Forecast_Start,S1409+0.25,0)</f>
        <v>2.25</v>
      </c>
      <c r="U1409" s="151">
        <f t="shared" ref="U1409" si="8423">IF(End_of_period&gt;Date_Forecast_Start,T1409+0.25,0)</f>
        <v>2.5</v>
      </c>
      <c r="V1409" s="151">
        <f t="shared" ref="V1409" si="8424">IF(End_of_period&gt;Date_Forecast_Start,U1409+0.25,0)</f>
        <v>2.75</v>
      </c>
      <c r="W1409" s="151">
        <f t="shared" ref="W1409" si="8425">IF(End_of_period&gt;Date_Forecast_Start,V1409+0.25,0)</f>
        <v>3</v>
      </c>
      <c r="X1409" s="151">
        <f t="shared" ref="X1409" si="8426">IF(End_of_period&gt;Date_Forecast_Start,W1409+0.25,0)</f>
        <v>3.25</v>
      </c>
      <c r="Y1409" s="151">
        <f t="shared" ref="Y1409" si="8427">IF(End_of_period&gt;Date_Forecast_Start,X1409+0.25,0)</f>
        <v>3.5</v>
      </c>
      <c r="Z1409" s="151">
        <f t="shared" ref="Z1409" si="8428">IF(End_of_period&gt;Date_Forecast_Start,Y1409+0.25,0)</f>
        <v>3.75</v>
      </c>
      <c r="AA1409" s="151">
        <f t="shared" ref="AA1409" si="8429">IF(End_of_period&gt;Date_Forecast_Start,Z1409+0.25,0)</f>
        <v>4</v>
      </c>
      <c r="AB1409" s="151">
        <f t="shared" ref="AB1409" si="8430">IF(End_of_period&gt;Date_Forecast_Start,AA1409+0.25,0)</f>
        <v>4.25</v>
      </c>
      <c r="AC1409" s="151">
        <f t="shared" ref="AC1409" si="8431">IF(End_of_period&gt;Date_Forecast_Start,AB1409+0.25,0)</f>
        <v>4.5</v>
      </c>
      <c r="AD1409" s="151">
        <f t="shared" ref="AD1409" si="8432">IF(End_of_period&gt;Date_Forecast_Start,AC1409+0.25,0)</f>
        <v>4.75</v>
      </c>
      <c r="AE1409" s="151">
        <f t="shared" ref="AE1409" si="8433">IF(End_of_period&gt;Date_Forecast_Start,AD1409+0.25,0)</f>
        <v>5</v>
      </c>
      <c r="AF1409" s="151">
        <f t="shared" ref="AF1409" si="8434">IF(End_of_period&gt;Date_Forecast_Start,AE1409+0.25,0)</f>
        <v>5.25</v>
      </c>
      <c r="AG1409" s="151">
        <f t="shared" ref="AG1409" si="8435">IF(End_of_period&gt;Date_Forecast_Start,AF1409+0.25,0)</f>
        <v>5.5</v>
      </c>
      <c r="AH1409" s="151">
        <f t="shared" ref="AH1409" si="8436">IF(End_of_period&gt;Date_Forecast_Start,AG1409+0.25,0)</f>
        <v>5.75</v>
      </c>
      <c r="AI1409" s="151">
        <f t="shared" ref="AI1409" si="8437">IF(End_of_period&gt;Date_Forecast_Start,AH1409+0.25,0)</f>
        <v>6</v>
      </c>
      <c r="AJ1409" s="151">
        <f t="shared" ref="AJ1409" si="8438">IF(End_of_period&gt;Date_Forecast_Start,AI1409+0.25,0)</f>
        <v>6.25</v>
      </c>
      <c r="AK1409" s="151">
        <f t="shared" ref="AK1409" si="8439">IF(End_of_period&gt;Date_Forecast_Start,AJ1409+0.25,0)</f>
        <v>6.5</v>
      </c>
      <c r="AL1409" s="151">
        <f t="shared" ref="AL1409" si="8440">IF(End_of_period&gt;Date_Forecast_Start,AK1409+0.25,0)</f>
        <v>6.75</v>
      </c>
      <c r="AM1409" s="151">
        <f t="shared" ref="AM1409" si="8441">IF(End_of_period&gt;Date_Forecast_Start,AL1409+0.25,0)</f>
        <v>7</v>
      </c>
      <c r="AN1409" s="151">
        <f t="shared" ref="AN1409" si="8442">IF(End_of_period&gt;Date_Forecast_Start,AM1409+0.25,0)</f>
        <v>7.25</v>
      </c>
      <c r="AO1409" s="151">
        <f t="shared" ref="AO1409" si="8443">IF(End_of_period&gt;Date_Forecast_Start,AN1409+0.25,0)</f>
        <v>7.5</v>
      </c>
      <c r="AP1409" s="151">
        <f t="shared" ref="AP1409" si="8444">IF(End_of_period&gt;Date_Forecast_Start,AO1409+0.25,0)</f>
        <v>7.75</v>
      </c>
      <c r="AQ1409" s="151">
        <f t="shared" ref="AQ1409" si="8445">IF(End_of_period&gt;Date_Forecast_Start,AP1409+0.25,0)</f>
        <v>8</v>
      </c>
      <c r="AR1409" s="151">
        <f t="shared" ref="AR1409" si="8446">IF(End_of_period&gt;Date_Forecast_Start,AQ1409+0.25,0)</f>
        <v>8.25</v>
      </c>
      <c r="AS1409" s="151">
        <f t="shared" ref="AS1409" si="8447">IF(End_of_period&gt;Date_Forecast_Start,AR1409+0.25,0)</f>
        <v>8.5</v>
      </c>
      <c r="AT1409" s="151">
        <f t="shared" ref="AT1409" si="8448">IF(End_of_period&gt;Date_Forecast_Start,AS1409+0.25,0)</f>
        <v>8.75</v>
      </c>
      <c r="AU1409" s="151">
        <f t="shared" ref="AU1409" si="8449">IF(End_of_period&gt;Date_Forecast_Start,AT1409+0.25,0)</f>
        <v>9</v>
      </c>
      <c r="AV1409" s="151">
        <f t="shared" ref="AV1409" si="8450">IF(End_of_period&gt;Date_Forecast_Start,AU1409+0.25,0)</f>
        <v>9.25</v>
      </c>
      <c r="AW1409" s="151">
        <f t="shared" ref="AW1409" si="8451">IF(End_of_period&gt;Date_Forecast_Start,AV1409+0.25,0)</f>
        <v>9.5</v>
      </c>
      <c r="AX1409" s="151">
        <f t="shared" ref="AX1409" si="8452">IF(End_of_period&gt;Date_Forecast_Start,AW1409+0.25,0)</f>
        <v>9.75</v>
      </c>
      <c r="AY1409" s="151">
        <f t="shared" ref="AY1409" si="8453">IF(End_of_period&gt;Date_Forecast_Start,AX1409+0.25,0)</f>
        <v>10</v>
      </c>
      <c r="AZ1409" s="151">
        <f t="shared" ref="AZ1409" si="8454">IF(End_of_period&gt;Date_Forecast_Start,AY1409+0.25,0)</f>
        <v>10.25</v>
      </c>
      <c r="BA1409" s="151">
        <f t="shared" ref="BA1409" si="8455">IF(End_of_period&gt;Date_Forecast_Start,AZ1409+0.25,0)</f>
        <v>10.5</v>
      </c>
      <c r="BB1409" s="151">
        <f t="shared" ref="BB1409" si="8456">IF(End_of_period&gt;Date_Forecast_Start,BA1409+0.25,0)</f>
        <v>10.75</v>
      </c>
      <c r="BC1409" s="151">
        <f t="shared" ref="BC1409" si="8457">IF(End_of_period&gt;Date_Forecast_Start,BB1409+0.25,0)</f>
        <v>11</v>
      </c>
      <c r="BD1409" s="151">
        <f t="shared" ref="BD1409" si="8458">IF(End_of_period&gt;Date_Forecast_Start,BC1409+0.25,0)</f>
        <v>11.25</v>
      </c>
      <c r="BE1409" s="151">
        <f t="shared" ref="BE1409" si="8459">IF(End_of_period&gt;Date_Forecast_Start,BD1409+0.25,0)</f>
        <v>11.5</v>
      </c>
      <c r="BF1409" s="151">
        <f t="shared" ref="BF1409" si="8460">IF(End_of_period&gt;Date_Forecast_Start,BE1409+0.25,0)</f>
        <v>11.75</v>
      </c>
      <c r="BG1409" s="151">
        <f t="shared" ref="BG1409" si="8461">IF(End_of_period&gt;Date_Forecast_Start,BF1409+0.25,0)</f>
        <v>12</v>
      </c>
      <c r="BH1409" s="151">
        <f t="shared" ref="BH1409" si="8462">IF(End_of_period&gt;Date_Forecast_Start,BG1409+0.25,0)</f>
        <v>12.25</v>
      </c>
      <c r="BI1409" s="151">
        <f t="shared" ref="BI1409" si="8463">IF(End_of_period&gt;Date_Forecast_Start,BH1409+0.25,0)</f>
        <v>12.5</v>
      </c>
      <c r="BJ1409" s="151">
        <f t="shared" ref="BJ1409" si="8464">IF(End_of_period&gt;Date_Forecast_Start,BI1409+0.25,0)</f>
        <v>12.75</v>
      </c>
      <c r="BK1409" s="151">
        <f t="shared" ref="BK1409" si="8465">IF(End_of_period&gt;Date_Forecast_Start,BJ1409+0.25,0)</f>
        <v>13</v>
      </c>
      <c r="BL1409" s="151">
        <f t="shared" ref="BL1409" si="8466">IF(End_of_period&gt;Date_Forecast_Start,BK1409+0.25,0)</f>
        <v>13.25</v>
      </c>
      <c r="BM1409" s="151">
        <f t="shared" ref="BM1409" si="8467">IF(End_of_period&gt;Date_Forecast_Start,BL1409+0.25,0)</f>
        <v>13.5</v>
      </c>
      <c r="BN1409" s="151">
        <f t="shared" ref="BN1409" si="8468">IF(End_of_period&gt;Date_Forecast_Start,BM1409+0.25,0)</f>
        <v>13.75</v>
      </c>
      <c r="BO1409" s="151">
        <f t="shared" ref="BO1409" si="8469">IF(End_of_period&gt;Date_Forecast_Start,BN1409+0.25,0)</f>
        <v>14</v>
      </c>
      <c r="BP1409" s="151">
        <f t="shared" ref="BP1409" si="8470">IF(End_of_period&gt;Date_Forecast_Start,BO1409+0.25,0)</f>
        <v>14.25</v>
      </c>
      <c r="BQ1409" s="151">
        <f t="shared" ref="BQ1409" si="8471">IF(End_of_period&gt;Date_Forecast_Start,BP1409+0.25,0)</f>
        <v>14.5</v>
      </c>
      <c r="BR1409" s="151">
        <f t="shared" ref="BR1409" si="8472">IF(End_of_period&gt;Date_Forecast_Start,BQ1409+0.25,0)</f>
        <v>14.75</v>
      </c>
      <c r="BS1409" s="151">
        <f t="shared" ref="BS1409" si="8473">IF(End_of_period&gt;Date_Forecast_Start,BR1409+0.25,0)</f>
        <v>15</v>
      </c>
      <c r="BT1409" s="151">
        <f t="shared" ref="BT1409" si="8474">IF(End_of_period&gt;Date_Forecast_Start,BS1409+0.25,0)</f>
        <v>15.25</v>
      </c>
      <c r="BU1409" s="151">
        <f t="shared" ref="BU1409" si="8475">IF(End_of_period&gt;Date_Forecast_Start,BT1409+0.25,0)</f>
        <v>15.5</v>
      </c>
      <c r="BV1409" s="151">
        <f t="shared" ref="BV1409" si="8476">IF(End_of_period&gt;Date_Forecast_Start,BU1409+0.25,0)</f>
        <v>15.75</v>
      </c>
      <c r="BW1409" s="151">
        <f t="shared" ref="BW1409" si="8477">IF(End_of_period&gt;Date_Forecast_Start,BV1409+0.25,0)</f>
        <v>16</v>
      </c>
      <c r="BX1409" s="151">
        <f t="shared" ref="BX1409" si="8478">IF(End_of_period&gt;Date_Forecast_Start,BW1409+0.25,0)</f>
        <v>16.25</v>
      </c>
      <c r="BY1409" s="151">
        <f t="shared" ref="BY1409" si="8479">IF(End_of_period&gt;Date_Forecast_Start,BX1409+0.25,0)</f>
        <v>16.5</v>
      </c>
      <c r="BZ1409" s="151">
        <f t="shared" ref="BZ1409" si="8480">IF(End_of_period&gt;Date_Forecast_Start,BY1409+0.25,0)</f>
        <v>16.75</v>
      </c>
      <c r="CA1409" s="151">
        <f t="shared" ref="CA1409" si="8481">IF(End_of_period&gt;Date_Forecast_Start,BZ1409+0.25,0)</f>
        <v>17</v>
      </c>
      <c r="CB1409" s="151">
        <f t="shared" ref="CB1409" si="8482">IF(End_of_period&gt;Date_Forecast_Start,CA1409+0.25,0)</f>
        <v>17.25</v>
      </c>
      <c r="CC1409" s="151">
        <f t="shared" ref="CC1409" si="8483">IF(End_of_period&gt;Date_Forecast_Start,CB1409+0.25,0)</f>
        <v>17.5</v>
      </c>
      <c r="CD1409" s="151">
        <f t="shared" ref="CD1409" si="8484">IF(End_of_period&gt;Date_Forecast_Start,CC1409+0.25,0)</f>
        <v>17.75</v>
      </c>
      <c r="CE1409" s="151">
        <f t="shared" ref="CE1409" si="8485">IF(End_of_period&gt;Date_Forecast_Start,CD1409+0.25,0)</f>
        <v>18</v>
      </c>
      <c r="CF1409" s="151">
        <f t="shared" ref="CF1409" si="8486">IF(End_of_period&gt;Date_Forecast_Start,CE1409+0.25,0)</f>
        <v>18.25</v>
      </c>
      <c r="CG1409" s="151">
        <f t="shared" ref="CG1409" si="8487">IF(End_of_period&gt;Date_Forecast_Start,CF1409+0.25,0)</f>
        <v>18.5</v>
      </c>
      <c r="CH1409" s="151">
        <f t="shared" ref="CH1409" si="8488">IF(End_of_period&gt;Date_Forecast_Start,CG1409+0.25,0)</f>
        <v>18.75</v>
      </c>
      <c r="CI1409" s="151">
        <f t="shared" ref="CI1409" si="8489">IF(End_of_period&gt;Date_Forecast_Start,CH1409+0.25,0)</f>
        <v>19</v>
      </c>
      <c r="CJ1409" s="151">
        <f t="shared" ref="CJ1409" si="8490">IF(End_of_period&gt;Date_Forecast_Start,CI1409+0.25,0)</f>
        <v>19.25</v>
      </c>
      <c r="CK1409" s="151">
        <f t="shared" ref="CK1409" si="8491">IF(End_of_period&gt;Date_Forecast_Start,CJ1409+0.25,0)</f>
        <v>19.5</v>
      </c>
      <c r="CL1409" s="151">
        <f t="shared" ref="CL1409" si="8492">IF(End_of_period&gt;Date_Forecast_Start,CK1409+0.25,0)</f>
        <v>19.75</v>
      </c>
      <c r="CM1409" s="151">
        <f t="shared" ref="CM1409" si="8493">IF(End_of_period&gt;Date_Forecast_Start,CL1409+0.25,0)</f>
        <v>20</v>
      </c>
      <c r="CN1409" s="151">
        <f t="shared" ref="CN1409" si="8494">IF(End_of_period&gt;Date_Forecast_Start,CM1409+0.25,0)</f>
        <v>20.25</v>
      </c>
      <c r="CO1409" s="151">
        <f t="shared" ref="CO1409" si="8495">IF(End_of_period&gt;Date_Forecast_Start,CN1409+0.25,0)</f>
        <v>20.5</v>
      </c>
    </row>
    <row r="1410" spans="1:93">
      <c r="A1410" s="10"/>
      <c r="B1410" s="10"/>
      <c r="C1410" s="17" t="s">
        <v>227</v>
      </c>
      <c r="D1410" s="10"/>
      <c r="E1410" s="62"/>
      <c r="F1410" s="10"/>
      <c r="G1410" s="11" t="s">
        <v>378</v>
      </c>
      <c r="H1410" s="10"/>
      <c r="I1410" s="10"/>
      <c r="J1410" s="10"/>
      <c r="K1410" s="10"/>
      <c r="L1410" s="151">
        <f t="shared" ref="L1410" ca="1" si="8496">1/(1+WACC)^L1409</f>
        <v>0.97915268901989883</v>
      </c>
      <c r="M1410" s="151">
        <f t="shared" ref="M1410:BX1410" ca="1" si="8497">1/(1+WACC)^M1409</f>
        <v>0.9587399884148986</v>
      </c>
      <c r="N1410" s="151">
        <f t="shared" ca="1" si="8497"/>
        <v>0.93875283772735474</v>
      </c>
      <c r="O1410" s="151">
        <f t="shared" ca="1" si="8497"/>
        <v>0.91918236538580012</v>
      </c>
      <c r="P1410" s="151">
        <f t="shared" ca="1" si="8497"/>
        <v>0.90001988476717731</v>
      </c>
      <c r="Q1410" s="151">
        <f t="shared" ca="1" si="8497"/>
        <v>0.88125689034116117</v>
      </c>
      <c r="R1410" s="151">
        <f t="shared" ca="1" si="8497"/>
        <v>0.86288505389486214</v>
      </c>
      <c r="S1410" s="151">
        <f t="shared" ca="1" si="8497"/>
        <v>0.84489622083623461</v>
      </c>
      <c r="T1410" s="151">
        <f t="shared" ca="1" si="8497"/>
        <v>0.82728240657454932</v>
      </c>
      <c r="U1410" s="151">
        <f t="shared" ca="1" si="8497"/>
        <v>0.81003579297632311</v>
      </c>
      <c r="V1410" s="151">
        <f t="shared" ca="1" si="8497"/>
        <v>0.79314872489513288</v>
      </c>
      <c r="W1410" s="151">
        <f t="shared" ca="1" si="8497"/>
        <v>0.77661370677377339</v>
      </c>
      <c r="X1410" s="151">
        <f t="shared" ca="1" si="8497"/>
        <v>0.76042339931725145</v>
      </c>
      <c r="Y1410" s="151">
        <f t="shared" ca="1" si="8497"/>
        <v>0.74457061623513898</v>
      </c>
      <c r="Z1410" s="151">
        <f t="shared" ca="1" si="8497"/>
        <v>0.72904832105183948</v>
      </c>
      <c r="AA1410" s="151">
        <f t="shared" ca="1" si="8497"/>
        <v>0.71384962398335128</v>
      </c>
      <c r="AB1410" s="151">
        <f t="shared" ca="1" si="8497"/>
        <v>0.69896777887914197</v>
      </c>
      <c r="AC1410" s="151">
        <f t="shared" ca="1" si="8497"/>
        <v>0.68439618022777793</v>
      </c>
      <c r="AD1410" s="151">
        <f t="shared" ca="1" si="8497"/>
        <v>0.67012836022497602</v>
      </c>
      <c r="AE1410" s="151">
        <f t="shared" ca="1" si="8497"/>
        <v>0.65615798590278074</v>
      </c>
      <c r="AF1410" s="151">
        <f t="shared" ca="1" si="8497"/>
        <v>0.64247885631858859</v>
      </c>
      <c r="AG1410" s="151">
        <f t="shared" ca="1" si="8497"/>
        <v>0.62908489980277527</v>
      </c>
      <c r="AH1410" s="151">
        <f t="shared" ca="1" si="8497"/>
        <v>0.61597017126370102</v>
      </c>
      <c r="AI1410" s="151">
        <f t="shared" ca="1" si="8497"/>
        <v>0.60312884954890045</v>
      </c>
      <c r="AJ1410" s="151">
        <f t="shared" ca="1" si="8497"/>
        <v>0.59055523486128381</v>
      </c>
      <c r="AK1410" s="151">
        <f t="shared" ca="1" si="8497"/>
        <v>0.57824374622920405</v>
      </c>
      <c r="AL1410" s="151">
        <f t="shared" ca="1" si="8497"/>
        <v>0.56618891902926505</v>
      </c>
      <c r="AM1410" s="151">
        <f t="shared" ca="1" si="8497"/>
        <v>0.55438540256077473</v>
      </c>
      <c r="AN1410" s="151">
        <f t="shared" ca="1" si="8497"/>
        <v>0.54282795767076153</v>
      </c>
      <c r="AO1410" s="151">
        <f t="shared" ca="1" si="8497"/>
        <v>0.531511454428506</v>
      </c>
      <c r="AP1410" s="151">
        <f t="shared" ca="1" si="8497"/>
        <v>0.52043086984854914</v>
      </c>
      <c r="AQ1410" s="151">
        <f t="shared" ca="1" si="8497"/>
        <v>0.509581285661172</v>
      </c>
      <c r="AR1410" s="151">
        <f t="shared" ca="1" si="8497"/>
        <v>0.4989578861293536</v>
      </c>
      <c r="AS1410" s="151">
        <f t="shared" ca="1" si="8497"/>
        <v>0.48855595591124112</v>
      </c>
      <c r="AT1410" s="151">
        <f t="shared" ca="1" si="8497"/>
        <v>0.47837087796717886</v>
      </c>
      <c r="AU1410" s="151">
        <f t="shared" ca="1" si="8497"/>
        <v>0.46839813151037318</v>
      </c>
      <c r="AV1410" s="151">
        <f t="shared" ca="1" si="8497"/>
        <v>0.45863329000027797</v>
      </c>
      <c r="AW1410" s="151">
        <f t="shared" ca="1" si="8497"/>
        <v>0.4490720191778152</v>
      </c>
      <c r="AX1410" s="151">
        <f t="shared" ca="1" si="8497"/>
        <v>0.43971007514155336</v>
      </c>
      <c r="AY1410" s="151">
        <f t="shared" ca="1" si="8497"/>
        <v>0.43054330246399392</v>
      </c>
      <c r="AZ1410" s="151">
        <f t="shared" ca="1" si="8497"/>
        <v>0.42156763234712707</v>
      </c>
      <c r="BA1410" s="151">
        <f t="shared" ca="1" si="8497"/>
        <v>0.4127790808164416</v>
      </c>
      <c r="BB1410" s="151">
        <f t="shared" ca="1" si="8497"/>
        <v>0.4041737469525809</v>
      </c>
      <c r="BC1410" s="151">
        <f t="shared" ca="1" si="8497"/>
        <v>0.3957478111598679</v>
      </c>
      <c r="BD1410" s="151">
        <f t="shared" ca="1" si="8497"/>
        <v>0.38749753347092358</v>
      </c>
      <c r="BE1410" s="151">
        <f t="shared" ca="1" si="8497"/>
        <v>0.37941925188663311</v>
      </c>
      <c r="BF1410" s="151">
        <f t="shared" ca="1" si="8497"/>
        <v>0.37150938075071516</v>
      </c>
      <c r="BG1410" s="151">
        <f t="shared" ca="1" si="8497"/>
        <v>0.36376440915818031</v>
      </c>
      <c r="BH1410" s="151">
        <f t="shared" ca="1" si="8497"/>
        <v>0.35618089939696679</v>
      </c>
      <c r="BI1410" s="151">
        <f t="shared" ca="1" si="8497"/>
        <v>0.34875548542206614</v>
      </c>
      <c r="BJ1410" s="151">
        <f t="shared" ca="1" si="8497"/>
        <v>0.34148487136145617</v>
      </c>
      <c r="BK1410" s="151">
        <f t="shared" ca="1" si="8497"/>
        <v>0.33436583005318421</v>
      </c>
      <c r="BL1410" s="151">
        <f t="shared" ca="1" si="8497"/>
        <v>0.32739520161294566</v>
      </c>
      <c r="BM1410" s="151">
        <f t="shared" ca="1" si="8497"/>
        <v>0.32056989203152764</v>
      </c>
      <c r="BN1410" s="151">
        <f t="shared" ca="1" si="8497"/>
        <v>0.31388687180148889</v>
      </c>
      <c r="BO1410" s="151">
        <f t="shared" ca="1" si="8497"/>
        <v>0.30734317457247229</v>
      </c>
      <c r="BP1410" s="151">
        <f t="shared" ca="1" si="8497"/>
        <v>0.30093589583454833</v>
      </c>
      <c r="BQ1410" s="151">
        <f t="shared" ca="1" si="8497"/>
        <v>0.29466219162901014</v>
      </c>
      <c r="BR1410" s="151">
        <f t="shared" ca="1" si="8497"/>
        <v>0.28851927728604199</v>
      </c>
      <c r="BS1410" s="151">
        <f t="shared" ca="1" si="8497"/>
        <v>0.28250442618870597</v>
      </c>
      <c r="BT1410" s="151">
        <f t="shared" ca="1" si="8497"/>
        <v>0.2766149685626948</v>
      </c>
      <c r="BU1410" s="151">
        <f t="shared" ca="1" si="8497"/>
        <v>0.27084829029131746</v>
      </c>
      <c r="BV1410" s="151">
        <f t="shared" ca="1" si="8497"/>
        <v>0.26520183175518564</v>
      </c>
      <c r="BW1410" s="151">
        <f t="shared" ca="1" si="8497"/>
        <v>0.2596730866960929</v>
      </c>
      <c r="BX1410" s="151">
        <f t="shared" ca="1" si="8497"/>
        <v>0.25425960110457657</v>
      </c>
      <c r="BY1410" s="151">
        <f t="shared" ref="BY1410:CO1410" ca="1" si="8498">1/(1+WACC)^BY1409</f>
        <v>0.248958972130673</v>
      </c>
      <c r="BZ1410" s="151">
        <f t="shared" ca="1" si="8498"/>
        <v>0.24376884701737855</v>
      </c>
      <c r="CA1410" s="151">
        <f t="shared" ca="1" si="8498"/>
        <v>0.23868692205634662</v>
      </c>
      <c r="CB1410" s="151">
        <f t="shared" ca="1" si="8498"/>
        <v>0.23371094156535469</v>
      </c>
      <c r="CC1410" s="151">
        <f t="shared" ca="1" si="8498"/>
        <v>0.22883869688708949</v>
      </c>
      <c r="CD1410" s="151">
        <f t="shared" ca="1" si="8498"/>
        <v>0.22406802540880322</v>
      </c>
      <c r="CE1410" s="151">
        <f t="shared" ca="1" si="8498"/>
        <v>0.21939680960240879</v>
      </c>
      <c r="CF1410" s="151">
        <f t="shared" ca="1" si="8498"/>
        <v>0.21482297608458525</v>
      </c>
      <c r="CG1410" s="151">
        <f t="shared" ca="1" si="8498"/>
        <v>0.21034449469647906</v>
      </c>
      <c r="CH1410" s="151">
        <f t="shared" ca="1" si="8498"/>
        <v>0.20595937760258931</v>
      </c>
      <c r="CI1410" s="151">
        <f t="shared" ca="1" si="8498"/>
        <v>0.20166567840844016</v>
      </c>
      <c r="CJ1410" s="151">
        <f t="shared" ca="1" si="8498"/>
        <v>0.19746149129664622</v>
      </c>
      <c r="CK1410" s="151">
        <f t="shared" ca="1" si="8498"/>
        <v>0.19334495018099049</v>
      </c>
      <c r="CL1410" s="151">
        <f t="shared" ca="1" si="8498"/>
        <v>0.18931422787813526</v>
      </c>
      <c r="CM1410" s="151">
        <f t="shared" ca="1" si="8498"/>
        <v>0.1853675352966021</v>
      </c>
      <c r="CN1410" s="151">
        <f t="shared" ca="1" si="8498"/>
        <v>0.18150312064265886</v>
      </c>
      <c r="CO1410" s="151">
        <f t="shared" ca="1" si="8498"/>
        <v>0.17771926864276252</v>
      </c>
    </row>
    <row r="1411" spans="1:93">
      <c r="A1411" s="10"/>
      <c r="B1411" s="10"/>
      <c r="C1411" s="17" t="s">
        <v>228</v>
      </c>
      <c r="D1411" s="10"/>
      <c r="E1411" s="62"/>
      <c r="F1411" s="10"/>
      <c r="G1411" s="134" t="str">
        <f>Monetary_Unit</f>
        <v>тыс. руб.</v>
      </c>
      <c r="H1411" s="10"/>
      <c r="I1411" s="10"/>
      <c r="J1411" s="10"/>
      <c r="K1411" s="10"/>
      <c r="L1411" s="52">
        <f t="shared" ref="L1411:AQ1411" ca="1" si="8499">L1388*L1410</f>
        <v>-30751.419533100165</v>
      </c>
      <c r="M1411" s="52">
        <f t="shared" ca="1" si="8499"/>
        <v>-30537.747944039002</v>
      </c>
      <c r="N1411" s="52">
        <f t="shared" ca="1" si="8499"/>
        <v>-30325.561019707642</v>
      </c>
      <c r="O1411" s="52">
        <f t="shared" ca="1" si="8499"/>
        <v>-30114.848444137668</v>
      </c>
      <c r="P1411" s="52">
        <f t="shared" ca="1" si="8499"/>
        <v>-248037.79929932932</v>
      </c>
      <c r="Q1411" s="52">
        <f t="shared" ca="1" si="8499"/>
        <v>-245259.94425033045</v>
      </c>
      <c r="R1411" s="52">
        <f t="shared" ca="1" si="8499"/>
        <v>-242513.19929299926</v>
      </c>
      <c r="S1411" s="52">
        <f t="shared" ca="1" si="8499"/>
        <v>-239797.21601541835</v>
      </c>
      <c r="T1411" s="52">
        <f t="shared" ca="1" si="8499"/>
        <v>-239879.54836105232</v>
      </c>
      <c r="U1411" s="52">
        <f t="shared" ca="1" si="8499"/>
        <v>-237022.81948813816</v>
      </c>
      <c r="V1411" s="52">
        <f t="shared" ca="1" si="8499"/>
        <v>-234197.58725221045</v>
      </c>
      <c r="W1411" s="52">
        <f t="shared" ca="1" si="8499"/>
        <v>-231380.2473634959</v>
      </c>
      <c r="X1411" s="52">
        <f t="shared" ca="1" si="8499"/>
        <v>-475278.49206754658</v>
      </c>
      <c r="Y1411" s="52">
        <f t="shared" ca="1" si="8499"/>
        <v>-469591.58252475318</v>
      </c>
      <c r="Z1411" s="52">
        <f t="shared" ca="1" si="8499"/>
        <v>-463988.55215319939</v>
      </c>
      <c r="AA1411" s="52">
        <f t="shared" ca="1" si="8499"/>
        <v>-458439.26943064691</v>
      </c>
      <c r="AB1411" s="52">
        <f t="shared" ca="1" si="8499"/>
        <v>-582234.55176870909</v>
      </c>
      <c r="AC1411" s="52">
        <f t="shared" ca="1" si="8499"/>
        <v>595583.72813295643</v>
      </c>
      <c r="AD1411" s="52">
        <f t="shared" ca="1" si="8499"/>
        <v>216317.14596430981</v>
      </c>
      <c r="AE1411" s="52">
        <f t="shared" ca="1" si="8499"/>
        <v>143923.92558079152</v>
      </c>
      <c r="AF1411" s="52">
        <f t="shared" ca="1" si="8499"/>
        <v>103509.25093030621</v>
      </c>
      <c r="AG1411" s="52">
        <f t="shared" ca="1" si="8499"/>
        <v>106818.53773853046</v>
      </c>
      <c r="AH1411" s="52">
        <f t="shared" ca="1" si="8499"/>
        <v>148484.48561055027</v>
      </c>
      <c r="AI1411" s="52">
        <f t="shared" ca="1" si="8499"/>
        <v>157976.84356104431</v>
      </c>
      <c r="AJ1411" s="52">
        <f t="shared" ca="1" si="8499"/>
        <v>113306.60570687249</v>
      </c>
      <c r="AK1411" s="52">
        <f t="shared" ca="1" si="8499"/>
        <v>115998.68428648976</v>
      </c>
      <c r="AL1411" s="52">
        <f t="shared" ca="1" si="8499"/>
        <v>160462.69964034006</v>
      </c>
      <c r="AM1411" s="52">
        <f t="shared" ca="1" si="8499"/>
        <v>170249.13094354959</v>
      </c>
      <c r="AN1411" s="52">
        <f t="shared" ca="1" si="8499"/>
        <v>122855.05084485724</v>
      </c>
      <c r="AO1411" s="52">
        <f t="shared" ca="1" si="8499"/>
        <v>124154.11281106394</v>
      </c>
      <c r="AP1411" s="52">
        <f t="shared" ca="1" si="8499"/>
        <v>169425.82909151106</v>
      </c>
      <c r="AQ1411" s="52">
        <f t="shared" ca="1" si="8499"/>
        <v>175430.70899170096</v>
      </c>
      <c r="AR1411" s="52">
        <f t="shared" ref="AR1411:BW1411" ca="1" si="8500">AR1388*AR1410</f>
        <v>122104.98270467241</v>
      </c>
      <c r="AS1411" s="52">
        <f t="shared" ca="1" si="8500"/>
        <v>119877.65352351553</v>
      </c>
      <c r="AT1411" s="52">
        <f t="shared" ca="1" si="8500"/>
        <v>160917.57776738401</v>
      </c>
      <c r="AU1411" s="52">
        <f t="shared" ca="1" si="8500"/>
        <v>163354.43003523536</v>
      </c>
      <c r="AV1411" s="52">
        <f t="shared" ca="1" si="8500"/>
        <v>112759.88595965007</v>
      </c>
      <c r="AW1411" s="52">
        <f t="shared" ca="1" si="8500"/>
        <v>130260.45661571098</v>
      </c>
      <c r="AX1411" s="52">
        <f t="shared" ca="1" si="8500"/>
        <v>117551.5987889447</v>
      </c>
      <c r="AY1411" s="52">
        <f t="shared" ca="1" si="8500"/>
        <v>83071.748124909966</v>
      </c>
      <c r="AZ1411" s="52">
        <f t="shared" ca="1" si="8500"/>
        <v>58767.737935930672</v>
      </c>
      <c r="BA1411" s="52">
        <f t="shared" ca="1" si="8500"/>
        <v>74939.527477758311</v>
      </c>
      <c r="BB1411" s="52">
        <f t="shared" ca="1" si="8500"/>
        <v>99019.666077461472</v>
      </c>
      <c r="BC1411" s="52">
        <f t="shared" ca="1" si="8500"/>
        <v>79518.250024347726</v>
      </c>
      <c r="BD1411" s="52">
        <f t="shared" ca="1" si="8500"/>
        <v>57139.231069152833</v>
      </c>
      <c r="BE1411" s="52">
        <f t="shared" ca="1" si="8500"/>
        <v>70686.315458608427</v>
      </c>
      <c r="BF1411" s="52">
        <f t="shared" ca="1" si="8500"/>
        <v>93980.422552464282</v>
      </c>
      <c r="BG1411" s="52">
        <f t="shared" ca="1" si="8500"/>
        <v>75393.734211772753</v>
      </c>
      <c r="BH1411" s="52">
        <f t="shared" ca="1" si="8500"/>
        <v>53167.616446630775</v>
      </c>
      <c r="BI1411" s="52">
        <f t="shared" ca="1" si="8500"/>
        <v>67821.435522283544</v>
      </c>
      <c r="BJ1411" s="52">
        <f t="shared" ca="1" si="8500"/>
        <v>89859.451919254381</v>
      </c>
      <c r="BK1411" s="52">
        <f t="shared" ca="1" si="8500"/>
        <v>72090.53050029531</v>
      </c>
      <c r="BL1411" s="52">
        <f t="shared" ca="1" si="8500"/>
        <v>50843.381766366161</v>
      </c>
      <c r="BM1411" s="52">
        <f t="shared" ca="1" si="8500"/>
        <v>64851.784803551411</v>
      </c>
      <c r="BN1411" s="52">
        <f t="shared" ca="1" si="8500"/>
        <v>85919.10725304512</v>
      </c>
      <c r="BO1411" s="52">
        <f t="shared" ca="1" si="8500"/>
        <v>64953.771442942962</v>
      </c>
      <c r="BP1411" s="52">
        <f t="shared" ca="1" si="8500"/>
        <v>44963.991189050619</v>
      </c>
      <c r="BQ1411" s="52">
        <f t="shared" ca="1" si="8500"/>
        <v>56125.634785954244</v>
      </c>
      <c r="BR1411" s="52">
        <f t="shared" ca="1" si="8500"/>
        <v>74722.127606174123</v>
      </c>
      <c r="BS1411" s="52">
        <f t="shared" ca="1" si="8500"/>
        <v>62078.506392175768</v>
      </c>
      <c r="BT1411" s="52">
        <f t="shared" ca="1" si="8500"/>
        <v>43635.988414323314</v>
      </c>
      <c r="BU1411" s="52">
        <f t="shared" ca="1" si="8500"/>
        <v>53443.131821876814</v>
      </c>
      <c r="BV1411" s="52">
        <f t="shared" ca="1" si="8500"/>
        <v>71419.863931645566</v>
      </c>
      <c r="BW1411" s="52">
        <f t="shared" ca="1" si="8500"/>
        <v>59333.423728824891</v>
      </c>
      <c r="BX1411" s="52">
        <f t="shared" ref="BX1411:CO1411" ca="1" si="8501">BX1388*BX1410</f>
        <v>41062.729316038531</v>
      </c>
      <c r="BY1411" s="52">
        <f t="shared" ca="1" si="8501"/>
        <v>51263.936338235697</v>
      </c>
      <c r="BZ1411" s="52">
        <f t="shared" ca="1" si="8501"/>
        <v>68259.354960406505</v>
      </c>
      <c r="CA1411" s="52">
        <f t="shared" ca="1" si="8501"/>
        <v>56705.62611761978</v>
      </c>
      <c r="CB1411" s="52">
        <f t="shared" ca="1" si="8501"/>
        <v>39241.680208070538</v>
      </c>
      <c r="CC1411" s="52">
        <f t="shared" ca="1" si="8501"/>
        <v>48994.072564077847</v>
      </c>
      <c r="CD1411" s="52">
        <f t="shared" ca="1" si="8501"/>
        <v>65241.379817531619</v>
      </c>
      <c r="CE1411" s="52">
        <f t="shared" ca="1" si="8501"/>
        <v>54196.828633823301</v>
      </c>
      <c r="CF1411" s="52">
        <f t="shared" ca="1" si="8501"/>
        <v>37501.828691942101</v>
      </c>
      <c r="CG1411" s="52">
        <f t="shared" ca="1" si="8501"/>
        <v>46825.140198579131</v>
      </c>
      <c r="CH1411" s="52">
        <f t="shared" ca="1" si="8501"/>
        <v>62357.246791815422</v>
      </c>
      <c r="CI1411" s="52">
        <f t="shared" ca="1" si="8501"/>
        <v>51799.425070488644</v>
      </c>
      <c r="CJ1411" s="52">
        <f t="shared" ca="1" si="8501"/>
        <v>36397.509257608908</v>
      </c>
      <c r="CK1411" s="52">
        <f t="shared" ca="1" si="8501"/>
        <v>44588.382313189941</v>
      </c>
      <c r="CL1411" s="52">
        <f t="shared" ca="1" si="8501"/>
        <v>59602.756405776177</v>
      </c>
      <c r="CM1411" s="52">
        <f t="shared" ca="1" si="8501"/>
        <v>49510.170720402253</v>
      </c>
      <c r="CN1411" s="52">
        <f t="shared" ca="1" si="8501"/>
        <v>34251.277400732739</v>
      </c>
      <c r="CO1411" s="52">
        <f t="shared" ca="1" si="8501"/>
        <v>42772.185921756543</v>
      </c>
    </row>
    <row r="1412" spans="1:93">
      <c r="A1412" s="10"/>
      <c r="B1412" s="10"/>
      <c r="C1412" s="17" t="s">
        <v>229</v>
      </c>
      <c r="D1412" s="10"/>
      <c r="E1412" s="10"/>
      <c r="F1412" s="10"/>
      <c r="G1412" s="134" t="str">
        <f>Monetary_Unit</f>
        <v>тыс. руб.</v>
      </c>
      <c r="H1412" s="10"/>
      <c r="I1412" s="10"/>
      <c r="J1412" s="10"/>
      <c r="K1412" s="10"/>
      <c r="L1412" s="52">
        <f t="shared" ref="L1412" ca="1" si="8502">K1412+L1411</f>
        <v>-30751.419533100165</v>
      </c>
      <c r="M1412" s="52">
        <f t="shared" ref="M1412" ca="1" si="8503">L1412+M1411</f>
        <v>-61289.16747713917</v>
      </c>
      <c r="N1412" s="52">
        <f t="shared" ref="N1412" ca="1" si="8504">M1412+N1411</f>
        <v>-91614.728496846816</v>
      </c>
      <c r="O1412" s="52">
        <f t="shared" ref="O1412" ca="1" si="8505">N1412+O1411</f>
        <v>-121729.57694098448</v>
      </c>
      <c r="P1412" s="52">
        <f t="shared" ref="P1412" ca="1" si="8506">O1412+P1411</f>
        <v>-369767.37624031381</v>
      </c>
      <c r="Q1412" s="52">
        <f t="shared" ref="Q1412" ca="1" si="8507">P1412+Q1411</f>
        <v>-615027.32049064431</v>
      </c>
      <c r="R1412" s="52">
        <f t="shared" ref="R1412" ca="1" si="8508">Q1412+R1411</f>
        <v>-857540.51978364354</v>
      </c>
      <c r="S1412" s="52">
        <f t="shared" ref="S1412" ca="1" si="8509">R1412+S1411</f>
        <v>-1097337.7357990618</v>
      </c>
      <c r="T1412" s="52">
        <f t="shared" ref="T1412" ca="1" si="8510">S1412+T1411</f>
        <v>-1337217.2841601141</v>
      </c>
      <c r="U1412" s="52">
        <f t="shared" ref="U1412" ca="1" si="8511">T1412+U1411</f>
        <v>-1574240.1036482523</v>
      </c>
      <c r="V1412" s="52">
        <f t="shared" ref="V1412" ca="1" si="8512">U1412+V1411</f>
        <v>-1808437.6909004627</v>
      </c>
      <c r="W1412" s="52">
        <f t="shared" ref="W1412" ca="1" si="8513">V1412+W1411</f>
        <v>-2039817.9382639586</v>
      </c>
      <c r="X1412" s="52">
        <f t="shared" ref="X1412" ca="1" si="8514">W1412+X1411</f>
        <v>-2515096.4303315049</v>
      </c>
      <c r="Y1412" s="52">
        <f t="shared" ref="Y1412" ca="1" si="8515">X1412+Y1411</f>
        <v>-2984688.0128562581</v>
      </c>
      <c r="Z1412" s="52">
        <f t="shared" ref="Z1412" ca="1" si="8516">Y1412+Z1411</f>
        <v>-3448676.5650094575</v>
      </c>
      <c r="AA1412" s="52">
        <f t="shared" ref="AA1412" ca="1" si="8517">Z1412+AA1411</f>
        <v>-3907115.8344401047</v>
      </c>
      <c r="AB1412" s="52">
        <f t="shared" ref="AB1412" ca="1" si="8518">AA1412+AB1411</f>
        <v>-4489350.3862088136</v>
      </c>
      <c r="AC1412" s="52">
        <f t="shared" ref="AC1412" ca="1" si="8519">AB1412+AC1411</f>
        <v>-3893766.658075857</v>
      </c>
      <c r="AD1412" s="52">
        <f t="shared" ref="AD1412" ca="1" si="8520">AC1412+AD1411</f>
        <v>-3677449.5121115474</v>
      </c>
      <c r="AE1412" s="52">
        <f t="shared" ref="AE1412" ca="1" si="8521">AD1412+AE1411</f>
        <v>-3533525.5865307557</v>
      </c>
      <c r="AF1412" s="52">
        <f t="shared" ref="AF1412" ca="1" si="8522">AE1412+AF1411</f>
        <v>-3430016.3356004497</v>
      </c>
      <c r="AG1412" s="52">
        <f t="shared" ref="AG1412" ca="1" si="8523">AF1412+AG1411</f>
        <v>-3323197.7978619193</v>
      </c>
      <c r="AH1412" s="52">
        <f t="shared" ref="AH1412" ca="1" si="8524">AG1412+AH1411</f>
        <v>-3174713.312251369</v>
      </c>
      <c r="AI1412" s="52">
        <f t="shared" ref="AI1412" ca="1" si="8525">AH1412+AI1411</f>
        <v>-3016736.4686903246</v>
      </c>
      <c r="AJ1412" s="52">
        <f t="shared" ref="AJ1412" ca="1" si="8526">AI1412+AJ1411</f>
        <v>-2903429.8629834522</v>
      </c>
      <c r="AK1412" s="52">
        <f t="shared" ref="AK1412" ca="1" si="8527">AJ1412+AK1411</f>
        <v>-2787431.1786969625</v>
      </c>
      <c r="AL1412" s="52">
        <f t="shared" ref="AL1412" ca="1" si="8528">AK1412+AL1411</f>
        <v>-2626968.4790566224</v>
      </c>
      <c r="AM1412" s="52">
        <f t="shared" ref="AM1412" ca="1" si="8529">AL1412+AM1411</f>
        <v>-2456719.3481130726</v>
      </c>
      <c r="AN1412" s="52">
        <f t="shared" ref="AN1412" ca="1" si="8530">AM1412+AN1411</f>
        <v>-2333864.2972682156</v>
      </c>
      <c r="AO1412" s="52">
        <f t="shared" ref="AO1412" ca="1" si="8531">AN1412+AO1411</f>
        <v>-2209710.1844571517</v>
      </c>
      <c r="AP1412" s="52">
        <f t="shared" ref="AP1412" ca="1" si="8532">AO1412+AP1411</f>
        <v>-2040284.3553656407</v>
      </c>
      <c r="AQ1412" s="52">
        <f t="shared" ref="AQ1412" ca="1" si="8533">AP1412+AQ1411</f>
        <v>-1864853.6463739397</v>
      </c>
      <c r="AR1412" s="52">
        <f t="shared" ref="AR1412" ca="1" si="8534">AQ1412+AR1411</f>
        <v>-1742748.6636692672</v>
      </c>
      <c r="AS1412" s="52">
        <f t="shared" ref="AS1412" ca="1" si="8535">AR1412+AS1411</f>
        <v>-1622871.0101457518</v>
      </c>
      <c r="AT1412" s="52">
        <f t="shared" ref="AT1412" ca="1" si="8536">AS1412+AT1411</f>
        <v>-1461953.4323783678</v>
      </c>
      <c r="AU1412" s="52">
        <f t="shared" ref="AU1412" ca="1" si="8537">AT1412+AU1411</f>
        <v>-1298599.0023431324</v>
      </c>
      <c r="AV1412" s="52">
        <f t="shared" ref="AV1412" ca="1" si="8538">AU1412+AV1411</f>
        <v>-1185839.1163834822</v>
      </c>
      <c r="AW1412" s="52">
        <f t="shared" ref="AW1412" ca="1" si="8539">AV1412+AW1411</f>
        <v>-1055578.6597677711</v>
      </c>
      <c r="AX1412" s="52">
        <f t="shared" ref="AX1412" ca="1" si="8540">AW1412+AX1411</f>
        <v>-938027.06097882648</v>
      </c>
      <c r="AY1412" s="52">
        <f t="shared" ref="AY1412" ca="1" si="8541">AX1412+AY1411</f>
        <v>-854955.31285391655</v>
      </c>
      <c r="AZ1412" s="52">
        <f t="shared" ref="AZ1412" ca="1" si="8542">AY1412+AZ1411</f>
        <v>-796187.57491798582</v>
      </c>
      <c r="BA1412" s="52">
        <f t="shared" ref="BA1412" ca="1" si="8543">AZ1412+BA1411</f>
        <v>-721248.04744022747</v>
      </c>
      <c r="BB1412" s="52">
        <f t="shared" ref="BB1412" ca="1" si="8544">BA1412+BB1411</f>
        <v>-622228.38136276603</v>
      </c>
      <c r="BC1412" s="52">
        <f t="shared" ref="BC1412" ca="1" si="8545">BB1412+BC1411</f>
        <v>-542710.13133841834</v>
      </c>
      <c r="BD1412" s="52">
        <f t="shared" ref="BD1412" ca="1" si="8546">BC1412+BD1411</f>
        <v>-485570.90026926552</v>
      </c>
      <c r="BE1412" s="52">
        <f t="shared" ref="BE1412" ca="1" si="8547">BD1412+BE1411</f>
        <v>-414884.58481065708</v>
      </c>
      <c r="BF1412" s="52">
        <f t="shared" ref="BF1412" ca="1" si="8548">BE1412+BF1411</f>
        <v>-320904.16225819278</v>
      </c>
      <c r="BG1412" s="52">
        <f t="shared" ref="BG1412" ca="1" si="8549">BF1412+BG1411</f>
        <v>-245510.42804642004</v>
      </c>
      <c r="BH1412" s="52">
        <f t="shared" ref="BH1412" ca="1" si="8550">BG1412+BH1411</f>
        <v>-192342.81159978927</v>
      </c>
      <c r="BI1412" s="52">
        <f t="shared" ref="BI1412" ca="1" si="8551">BH1412+BI1411</f>
        <v>-124521.37607750573</v>
      </c>
      <c r="BJ1412" s="52">
        <f t="shared" ref="BJ1412" ca="1" si="8552">BI1412+BJ1411</f>
        <v>-34661.92415825135</v>
      </c>
      <c r="BK1412" s="52">
        <f t="shared" ref="BK1412" ca="1" si="8553">BJ1412+BK1411</f>
        <v>37428.60634204396</v>
      </c>
      <c r="BL1412" s="52">
        <f t="shared" ref="BL1412" ca="1" si="8554">BK1412+BL1411</f>
        <v>88271.988108410122</v>
      </c>
      <c r="BM1412" s="52">
        <f t="shared" ref="BM1412" ca="1" si="8555">BL1412+BM1411</f>
        <v>153123.77291196154</v>
      </c>
      <c r="BN1412" s="52">
        <f t="shared" ref="BN1412" ca="1" si="8556">BM1412+BN1411</f>
        <v>239042.88016500667</v>
      </c>
      <c r="BO1412" s="52">
        <f t="shared" ref="BO1412" ca="1" si="8557">BN1412+BO1411</f>
        <v>303996.65160794964</v>
      </c>
      <c r="BP1412" s="52">
        <f t="shared" ref="BP1412" ca="1" si="8558">BO1412+BP1411</f>
        <v>348960.64279700024</v>
      </c>
      <c r="BQ1412" s="52">
        <f t="shared" ref="BQ1412" ca="1" si="8559">BP1412+BQ1411</f>
        <v>405086.2775829545</v>
      </c>
      <c r="BR1412" s="52">
        <f t="shared" ref="BR1412" ca="1" si="8560">BQ1412+BR1411</f>
        <v>479808.40518912859</v>
      </c>
      <c r="BS1412" s="52">
        <f t="shared" ref="BS1412" ca="1" si="8561">BR1412+BS1411</f>
        <v>541886.91158130439</v>
      </c>
      <c r="BT1412" s="52">
        <f t="shared" ref="BT1412" ca="1" si="8562">BS1412+BT1411</f>
        <v>585522.8999956277</v>
      </c>
      <c r="BU1412" s="52">
        <f t="shared" ref="BU1412" ca="1" si="8563">BT1412+BU1411</f>
        <v>638966.03181750455</v>
      </c>
      <c r="BV1412" s="52">
        <f t="shared" ref="BV1412" ca="1" si="8564">BU1412+BV1411</f>
        <v>710385.89574915008</v>
      </c>
      <c r="BW1412" s="52">
        <f t="shared" ref="BW1412" ca="1" si="8565">BV1412+BW1411</f>
        <v>769719.31947797502</v>
      </c>
      <c r="BX1412" s="52">
        <f t="shared" ref="BX1412" ca="1" si="8566">BW1412+BX1411</f>
        <v>810782.04879401356</v>
      </c>
      <c r="BY1412" s="52">
        <f t="shared" ref="BY1412" ca="1" si="8567">BX1412+BY1411</f>
        <v>862045.98513224931</v>
      </c>
      <c r="BZ1412" s="52">
        <f t="shared" ref="BZ1412" ca="1" si="8568">BY1412+BZ1411</f>
        <v>930305.34009265585</v>
      </c>
      <c r="CA1412" s="52">
        <f t="shared" ref="CA1412" ca="1" si="8569">BZ1412+CA1411</f>
        <v>987010.96621027566</v>
      </c>
      <c r="CB1412" s="52">
        <f t="shared" ref="CB1412" ca="1" si="8570">CA1412+CB1411</f>
        <v>1026252.6464183462</v>
      </c>
      <c r="CC1412" s="52">
        <f t="shared" ref="CC1412" ca="1" si="8571">CB1412+CC1411</f>
        <v>1075246.7189824241</v>
      </c>
      <c r="CD1412" s="52">
        <f t="shared" ref="CD1412" ca="1" si="8572">CC1412+CD1411</f>
        <v>1140488.0987999558</v>
      </c>
      <c r="CE1412" s="52">
        <f t="shared" ref="CE1412" ca="1" si="8573">CD1412+CE1411</f>
        <v>1194684.927433779</v>
      </c>
      <c r="CF1412" s="52">
        <f t="shared" ref="CF1412" ca="1" si="8574">CE1412+CF1411</f>
        <v>1232186.7561257211</v>
      </c>
      <c r="CG1412" s="52">
        <f t="shared" ref="CG1412" ca="1" si="8575">CF1412+CG1411</f>
        <v>1279011.8963243002</v>
      </c>
      <c r="CH1412" s="52">
        <f t="shared" ref="CH1412" ca="1" si="8576">CG1412+CH1411</f>
        <v>1341369.1431161156</v>
      </c>
      <c r="CI1412" s="52">
        <f t="shared" ref="CI1412" ca="1" si="8577">CH1412+CI1411</f>
        <v>1393168.5681866042</v>
      </c>
      <c r="CJ1412" s="52">
        <f t="shared" ref="CJ1412" ca="1" si="8578">CI1412+CJ1411</f>
        <v>1429566.077444213</v>
      </c>
      <c r="CK1412" s="52">
        <f t="shared" ref="CK1412" ca="1" si="8579">CJ1412+CK1411</f>
        <v>1474154.459757403</v>
      </c>
      <c r="CL1412" s="52">
        <f t="shared" ref="CL1412" ca="1" si="8580">CK1412+CL1411</f>
        <v>1533757.2161631791</v>
      </c>
      <c r="CM1412" s="52">
        <f t="shared" ref="CM1412" ca="1" si="8581">CL1412+CM1411</f>
        <v>1583267.3868835813</v>
      </c>
      <c r="CN1412" s="52">
        <f t="shared" ref="CN1412" ca="1" si="8582">CM1412+CN1411</f>
        <v>1617518.664284314</v>
      </c>
      <c r="CO1412" s="52">
        <f t="shared" ref="CO1412" ca="1" si="8583">CN1412+CO1411</f>
        <v>1660290.8502060706</v>
      </c>
    </row>
    <row r="1413" spans="1:93">
      <c r="A1413" s="10"/>
      <c r="B1413" s="10"/>
      <c r="C1413" s="17" t="s">
        <v>222</v>
      </c>
      <c r="D1413" s="10"/>
      <c r="E1413" s="10">
        <f ca="1">SUM(L1413:CO1413)</f>
        <v>1</v>
      </c>
      <c r="F1413" s="10"/>
      <c r="G1413" s="11"/>
      <c r="H1413" s="10"/>
      <c r="I1413" s="10"/>
      <c r="J1413" s="10"/>
      <c r="K1413" s="10"/>
      <c r="L1413" s="52">
        <f ca="1">1*(L1412&gt;0)*(K1412&lt;0)*(SUM($K1413:K1413)=0)</f>
        <v>0</v>
      </c>
      <c r="M1413" s="52">
        <f ca="1">1*(M1412&gt;0)*(L1412&lt;0)*(SUM($K1413:L1413)=0)</f>
        <v>0</v>
      </c>
      <c r="N1413" s="52">
        <f ca="1">1*(N1412&gt;0)*(M1412&lt;0)*(SUM($K1413:M1413)=0)</f>
        <v>0</v>
      </c>
      <c r="O1413" s="52">
        <f ca="1">1*(O1412&gt;0)*(N1412&lt;0)*(SUM($K1413:N1413)=0)</f>
        <v>0</v>
      </c>
      <c r="P1413" s="52">
        <f ca="1">1*(P1412&gt;0)*(O1412&lt;0)*(SUM($K1413:O1413)=0)</f>
        <v>0</v>
      </c>
      <c r="Q1413" s="52">
        <f ca="1">1*(Q1412&gt;0)*(P1412&lt;0)*(SUM($K1413:P1413)=0)</f>
        <v>0</v>
      </c>
      <c r="R1413" s="52">
        <f ca="1">1*(R1412&gt;0)*(Q1412&lt;0)*(SUM($K1413:Q1413)=0)</f>
        <v>0</v>
      </c>
      <c r="S1413" s="52">
        <f ca="1">1*(S1412&gt;0)*(R1412&lt;0)*(SUM($K1413:R1413)=0)</f>
        <v>0</v>
      </c>
      <c r="T1413" s="52">
        <f ca="1">1*(T1412&gt;0)*(S1412&lt;0)*(SUM($K1413:S1413)=0)</f>
        <v>0</v>
      </c>
      <c r="U1413" s="52">
        <f ca="1">1*(U1412&gt;0)*(T1412&lt;0)*(SUM($K1413:T1413)=0)</f>
        <v>0</v>
      </c>
      <c r="V1413" s="52">
        <f ca="1">1*(V1412&gt;0)*(U1412&lt;0)*(SUM($K1413:U1413)=0)</f>
        <v>0</v>
      </c>
      <c r="W1413" s="52">
        <f ca="1">1*(W1412&gt;0)*(V1412&lt;0)*(SUM($K1413:V1413)=0)</f>
        <v>0</v>
      </c>
      <c r="X1413" s="52">
        <f ca="1">1*(X1412&gt;0)*(W1412&lt;0)*(SUM($K1413:W1413)=0)</f>
        <v>0</v>
      </c>
      <c r="Y1413" s="52">
        <f ca="1">1*(Y1412&gt;0)*(X1412&lt;0)*(SUM($K1413:X1413)=0)</f>
        <v>0</v>
      </c>
      <c r="Z1413" s="52">
        <f ca="1">1*(Z1412&gt;0)*(Y1412&lt;0)*(SUM($K1413:Y1413)=0)</f>
        <v>0</v>
      </c>
      <c r="AA1413" s="52">
        <f ca="1">1*(AA1412&gt;0)*(Z1412&lt;0)*(SUM($K1413:Z1413)=0)</f>
        <v>0</v>
      </c>
      <c r="AB1413" s="52">
        <f ca="1">1*(AB1412&gt;0)*(AA1412&lt;0)*(SUM($K1413:AA1413)=0)</f>
        <v>0</v>
      </c>
      <c r="AC1413" s="52">
        <f ca="1">1*(AC1412&gt;0)*(AB1412&lt;0)*(SUM($K1413:AB1413)=0)</f>
        <v>0</v>
      </c>
      <c r="AD1413" s="52">
        <f ca="1">1*(AD1412&gt;0)*(AC1412&lt;0)*(SUM($K1413:AC1413)=0)</f>
        <v>0</v>
      </c>
      <c r="AE1413" s="52">
        <f ca="1">1*(AE1412&gt;0)*(AD1412&lt;0)*(SUM($K1413:AD1413)=0)</f>
        <v>0</v>
      </c>
      <c r="AF1413" s="52">
        <f ca="1">1*(AF1412&gt;0)*(AE1412&lt;0)*(SUM($K1413:AE1413)=0)</f>
        <v>0</v>
      </c>
      <c r="AG1413" s="52">
        <f ca="1">1*(AG1412&gt;0)*(AF1412&lt;0)*(SUM($K1413:AF1413)=0)</f>
        <v>0</v>
      </c>
      <c r="AH1413" s="52">
        <f ca="1">1*(AH1412&gt;0)*(AG1412&lt;0)*(SUM($K1413:AG1413)=0)</f>
        <v>0</v>
      </c>
      <c r="AI1413" s="52">
        <f ca="1">1*(AI1412&gt;0)*(AH1412&lt;0)*(SUM($K1413:AH1413)=0)</f>
        <v>0</v>
      </c>
      <c r="AJ1413" s="52">
        <f ca="1">1*(AJ1412&gt;0)*(AI1412&lt;0)*(SUM($K1413:AI1413)=0)</f>
        <v>0</v>
      </c>
      <c r="AK1413" s="52">
        <f ca="1">1*(AK1412&gt;0)*(AJ1412&lt;0)*(SUM($K1413:AJ1413)=0)</f>
        <v>0</v>
      </c>
      <c r="AL1413" s="52">
        <f ca="1">1*(AL1412&gt;0)*(AK1412&lt;0)*(SUM($K1413:AK1413)=0)</f>
        <v>0</v>
      </c>
      <c r="AM1413" s="52">
        <f ca="1">1*(AM1412&gt;0)*(AL1412&lt;0)*(SUM($K1413:AL1413)=0)</f>
        <v>0</v>
      </c>
      <c r="AN1413" s="52">
        <f ca="1">1*(AN1412&gt;0)*(AM1412&lt;0)*(SUM($K1413:AM1413)=0)</f>
        <v>0</v>
      </c>
      <c r="AO1413" s="52">
        <f ca="1">1*(AO1412&gt;0)*(AN1412&lt;0)*(SUM($K1413:AN1413)=0)</f>
        <v>0</v>
      </c>
      <c r="AP1413" s="52">
        <f ca="1">1*(AP1412&gt;0)*(AO1412&lt;0)*(SUM($K1413:AO1413)=0)</f>
        <v>0</v>
      </c>
      <c r="AQ1413" s="52">
        <f ca="1">1*(AQ1412&gt;0)*(AP1412&lt;0)*(SUM($K1413:AP1413)=0)</f>
        <v>0</v>
      </c>
      <c r="AR1413" s="52">
        <f ca="1">1*(AR1412&gt;0)*(AQ1412&lt;0)*(SUM($K1413:AQ1413)=0)</f>
        <v>0</v>
      </c>
      <c r="AS1413" s="52">
        <f ca="1">1*(AS1412&gt;0)*(AR1412&lt;0)*(SUM($K1413:AR1413)=0)</f>
        <v>0</v>
      </c>
      <c r="AT1413" s="52">
        <f ca="1">1*(AT1412&gt;0)*(AS1412&lt;0)*(SUM($K1413:AS1413)=0)</f>
        <v>0</v>
      </c>
      <c r="AU1413" s="52">
        <f ca="1">1*(AU1412&gt;0)*(AT1412&lt;0)*(SUM($K1413:AT1413)=0)</f>
        <v>0</v>
      </c>
      <c r="AV1413" s="52">
        <f ca="1">1*(AV1412&gt;0)*(AU1412&lt;0)*(SUM($K1413:AU1413)=0)</f>
        <v>0</v>
      </c>
      <c r="AW1413" s="52">
        <f ca="1">1*(AW1412&gt;0)*(AV1412&lt;0)*(SUM($K1413:AV1413)=0)</f>
        <v>0</v>
      </c>
      <c r="AX1413" s="52">
        <f ca="1">1*(AX1412&gt;0)*(AW1412&lt;0)*(SUM($K1413:AW1413)=0)</f>
        <v>0</v>
      </c>
      <c r="AY1413" s="52">
        <f ca="1">1*(AY1412&gt;0)*(AX1412&lt;0)*(SUM($K1413:AX1413)=0)</f>
        <v>0</v>
      </c>
      <c r="AZ1413" s="52">
        <f ca="1">1*(AZ1412&gt;0)*(AY1412&lt;0)*(SUM($K1413:AY1413)=0)</f>
        <v>0</v>
      </c>
      <c r="BA1413" s="52">
        <f ca="1">1*(BA1412&gt;0)*(AZ1412&lt;0)*(SUM($K1413:AZ1413)=0)</f>
        <v>0</v>
      </c>
      <c r="BB1413" s="52">
        <f ca="1">1*(BB1412&gt;0)*(BA1412&lt;0)*(SUM($K1413:BA1413)=0)</f>
        <v>0</v>
      </c>
      <c r="BC1413" s="52">
        <f ca="1">1*(BC1412&gt;0)*(BB1412&lt;0)*(SUM($K1413:BB1413)=0)</f>
        <v>0</v>
      </c>
      <c r="BD1413" s="52">
        <f ca="1">1*(BD1412&gt;0)*(BC1412&lt;0)*(SUM($K1413:BC1413)=0)</f>
        <v>0</v>
      </c>
      <c r="BE1413" s="52">
        <f ca="1">1*(BE1412&gt;0)*(BD1412&lt;0)*(SUM($K1413:BD1413)=0)</f>
        <v>0</v>
      </c>
      <c r="BF1413" s="52">
        <f ca="1">1*(BF1412&gt;0)*(BE1412&lt;0)*(SUM($K1413:BE1413)=0)</f>
        <v>0</v>
      </c>
      <c r="BG1413" s="52">
        <f ca="1">1*(BG1412&gt;0)*(BF1412&lt;0)*(SUM($K1413:BF1413)=0)</f>
        <v>0</v>
      </c>
      <c r="BH1413" s="52">
        <f ca="1">1*(BH1412&gt;0)*(BG1412&lt;0)*(SUM($K1413:BG1413)=0)</f>
        <v>0</v>
      </c>
      <c r="BI1413" s="52">
        <f ca="1">1*(BI1412&gt;0)*(BH1412&lt;0)*(SUM($K1413:BH1413)=0)</f>
        <v>0</v>
      </c>
      <c r="BJ1413" s="52">
        <f ca="1">1*(BJ1412&gt;0)*(BI1412&lt;0)*(SUM($K1413:BI1413)=0)</f>
        <v>0</v>
      </c>
      <c r="BK1413" s="52">
        <f ca="1">1*(BK1412&gt;0)*(BJ1412&lt;0)*(SUM($K1413:BJ1413)=0)</f>
        <v>1</v>
      </c>
      <c r="BL1413" s="52">
        <f ca="1">1*(BL1412&gt;0)*(BK1412&lt;0)*(SUM($K1413:BK1413)=0)</f>
        <v>0</v>
      </c>
      <c r="BM1413" s="52">
        <f ca="1">1*(BM1412&gt;0)*(BL1412&lt;0)*(SUM($K1413:BL1413)=0)</f>
        <v>0</v>
      </c>
      <c r="BN1413" s="52">
        <f ca="1">1*(BN1412&gt;0)*(BM1412&lt;0)*(SUM($K1413:BM1413)=0)</f>
        <v>0</v>
      </c>
      <c r="BO1413" s="52">
        <f ca="1">1*(BO1412&gt;0)*(BN1412&lt;0)*(SUM($K1413:BN1413)=0)</f>
        <v>0</v>
      </c>
      <c r="BP1413" s="52">
        <f ca="1">1*(BP1412&gt;0)*(BO1412&lt;0)*(SUM($K1413:BO1413)=0)</f>
        <v>0</v>
      </c>
      <c r="BQ1413" s="52">
        <f ca="1">1*(BQ1412&gt;0)*(BP1412&lt;0)*(SUM($K1413:BP1413)=0)</f>
        <v>0</v>
      </c>
      <c r="BR1413" s="52">
        <f ca="1">1*(BR1412&gt;0)*(BQ1412&lt;0)*(SUM($K1413:BQ1413)=0)</f>
        <v>0</v>
      </c>
      <c r="BS1413" s="52">
        <f ca="1">1*(BS1412&gt;0)*(BR1412&lt;0)*(SUM($K1413:BR1413)=0)</f>
        <v>0</v>
      </c>
      <c r="BT1413" s="52">
        <f ca="1">1*(BT1412&gt;0)*(BS1412&lt;0)*(SUM($K1413:BS1413)=0)</f>
        <v>0</v>
      </c>
      <c r="BU1413" s="52">
        <f ca="1">1*(BU1412&gt;0)*(BT1412&lt;0)*(SUM($K1413:BT1413)=0)</f>
        <v>0</v>
      </c>
      <c r="BV1413" s="52">
        <f ca="1">1*(BV1412&gt;0)*(BU1412&lt;0)*(SUM($K1413:BU1413)=0)</f>
        <v>0</v>
      </c>
      <c r="BW1413" s="52">
        <f ca="1">1*(BW1412&gt;0)*(BV1412&lt;0)*(SUM($K1413:BV1413)=0)</f>
        <v>0</v>
      </c>
      <c r="BX1413" s="52">
        <f ca="1">1*(BX1412&gt;0)*(BW1412&lt;0)*(SUM($K1413:BW1413)=0)</f>
        <v>0</v>
      </c>
      <c r="BY1413" s="52">
        <f ca="1">1*(BY1412&gt;0)*(BX1412&lt;0)*(SUM($K1413:BX1413)=0)</f>
        <v>0</v>
      </c>
      <c r="BZ1413" s="52">
        <f ca="1">1*(BZ1412&gt;0)*(BY1412&lt;0)*(SUM($K1413:BY1413)=0)</f>
        <v>0</v>
      </c>
      <c r="CA1413" s="52">
        <f ca="1">1*(CA1412&gt;0)*(BZ1412&lt;0)*(SUM($K1413:BZ1413)=0)</f>
        <v>0</v>
      </c>
      <c r="CB1413" s="52">
        <f ca="1">1*(CB1412&gt;0)*(CA1412&lt;0)*(SUM($K1413:CA1413)=0)</f>
        <v>0</v>
      </c>
      <c r="CC1413" s="52">
        <f ca="1">1*(CC1412&gt;0)*(CB1412&lt;0)*(SUM($K1413:CB1413)=0)</f>
        <v>0</v>
      </c>
      <c r="CD1413" s="52">
        <f ca="1">1*(CD1412&gt;0)*(CC1412&lt;0)*(SUM($K1413:CC1413)=0)</f>
        <v>0</v>
      </c>
      <c r="CE1413" s="52">
        <f ca="1">1*(CE1412&gt;0)*(CD1412&lt;0)*(SUM($K1413:CD1413)=0)</f>
        <v>0</v>
      </c>
      <c r="CF1413" s="52">
        <f ca="1">1*(CF1412&gt;0)*(CE1412&lt;0)*(SUM($K1413:CE1413)=0)</f>
        <v>0</v>
      </c>
      <c r="CG1413" s="52">
        <f ca="1">1*(CG1412&gt;0)*(CF1412&lt;0)*(SUM($K1413:CF1413)=0)</f>
        <v>0</v>
      </c>
      <c r="CH1413" s="52">
        <f ca="1">1*(CH1412&gt;0)*(CG1412&lt;0)*(SUM($K1413:CG1413)=0)</f>
        <v>0</v>
      </c>
      <c r="CI1413" s="52">
        <f ca="1">1*(CI1412&gt;0)*(CH1412&lt;0)*(SUM($K1413:CH1413)=0)</f>
        <v>0</v>
      </c>
      <c r="CJ1413" s="52">
        <f ca="1">1*(CJ1412&gt;0)*(CI1412&lt;0)*(SUM($K1413:CI1413)=0)</f>
        <v>0</v>
      </c>
      <c r="CK1413" s="52">
        <f ca="1">1*(CK1412&gt;0)*(CJ1412&lt;0)*(SUM($K1413:CJ1413)=0)</f>
        <v>0</v>
      </c>
      <c r="CL1413" s="52">
        <f ca="1">1*(CL1412&gt;0)*(CK1412&lt;0)*(SUM($K1413:CK1413)=0)</f>
        <v>0</v>
      </c>
      <c r="CM1413" s="52">
        <f ca="1">1*(CM1412&gt;0)*(CL1412&lt;0)*(SUM($K1413:CL1413)=0)</f>
        <v>0</v>
      </c>
      <c r="CN1413" s="52">
        <f ca="1">1*(CN1412&gt;0)*(CM1412&lt;0)*(SUM($K1413:CM1413)=0)</f>
        <v>0</v>
      </c>
      <c r="CO1413" s="52">
        <f ca="1">1*(CO1412&gt;0)*(CN1412&lt;0)*(SUM($K1413:CN1413)=0)</f>
        <v>0</v>
      </c>
    </row>
    <row r="1414" spans="1:93">
      <c r="A1414" s="10"/>
      <c r="B1414" s="10"/>
      <c r="C1414" s="17" t="s">
        <v>223</v>
      </c>
      <c r="D1414" s="10"/>
      <c r="E1414" s="10">
        <f ca="1">SUM(L1414:CO1414)</f>
        <v>44.23461722959663</v>
      </c>
      <c r="F1414" s="10"/>
      <c r="G1414" s="11"/>
      <c r="H1414" s="10"/>
      <c r="I1414" s="10"/>
      <c r="J1414" s="10"/>
      <c r="K1414" s="10"/>
      <c r="L1414" s="52">
        <f t="shared" ref="L1414" ca="1" si="8584">-IFERROR(K1412/L1411,0)*Days_In_Period*L1413</f>
        <v>0</v>
      </c>
      <c r="M1414" s="52">
        <f t="shared" ref="M1414" ca="1" si="8585">-IFERROR(L1412/M1411,0)*Days_In_Period*M1413</f>
        <v>0</v>
      </c>
      <c r="N1414" s="52">
        <f t="shared" ref="N1414" ca="1" si="8586">-IFERROR(M1412/N1411,0)*Days_In_Period*N1413</f>
        <v>0</v>
      </c>
      <c r="O1414" s="52">
        <f t="shared" ref="O1414" ca="1" si="8587">-IFERROR(N1412/O1411,0)*Days_In_Period*O1413</f>
        <v>0</v>
      </c>
      <c r="P1414" s="52">
        <f t="shared" ref="P1414" ca="1" si="8588">-IFERROR(O1412/P1411,0)*Days_In_Period*P1413</f>
        <v>0</v>
      </c>
      <c r="Q1414" s="52">
        <f t="shared" ref="Q1414" ca="1" si="8589">-IFERROR(P1412/Q1411,0)*Days_In_Period*Q1413</f>
        <v>0</v>
      </c>
      <c r="R1414" s="52">
        <f t="shared" ref="R1414" ca="1" si="8590">-IFERROR(Q1412/R1411,0)*Days_In_Period*R1413</f>
        <v>0</v>
      </c>
      <c r="S1414" s="52">
        <f t="shared" ref="S1414" ca="1" si="8591">-IFERROR(R1412/S1411,0)*Days_In_Period*S1413</f>
        <v>0</v>
      </c>
      <c r="T1414" s="52">
        <f t="shared" ref="T1414" ca="1" si="8592">-IFERROR(S1412/T1411,0)*Days_In_Period*T1413</f>
        <v>0</v>
      </c>
      <c r="U1414" s="52">
        <f t="shared" ref="U1414" ca="1" si="8593">-IFERROR(T1412/U1411,0)*Days_In_Period*U1413</f>
        <v>0</v>
      </c>
      <c r="V1414" s="52">
        <f t="shared" ref="V1414" ca="1" si="8594">-IFERROR(U1412/V1411,0)*Days_In_Period*V1413</f>
        <v>0</v>
      </c>
      <c r="W1414" s="52">
        <f t="shared" ref="W1414" ca="1" si="8595">-IFERROR(V1412/W1411,0)*Days_In_Period*W1413</f>
        <v>0</v>
      </c>
      <c r="X1414" s="52">
        <f t="shared" ref="X1414" ca="1" si="8596">-IFERROR(W1412/X1411,0)*Days_In_Period*X1413</f>
        <v>0</v>
      </c>
      <c r="Y1414" s="52">
        <f t="shared" ref="Y1414" ca="1" si="8597">-IFERROR(X1412/Y1411,0)*Days_In_Period*Y1413</f>
        <v>0</v>
      </c>
      <c r="Z1414" s="52">
        <f t="shared" ref="Z1414" ca="1" si="8598">-IFERROR(Y1412/Z1411,0)*Days_In_Period*Z1413</f>
        <v>0</v>
      </c>
      <c r="AA1414" s="52">
        <f t="shared" ref="AA1414" ca="1" si="8599">-IFERROR(Z1412/AA1411,0)*Days_In_Period*AA1413</f>
        <v>0</v>
      </c>
      <c r="AB1414" s="52">
        <f t="shared" ref="AB1414" ca="1" si="8600">-IFERROR(AA1412/AB1411,0)*Days_In_Period*AB1413</f>
        <v>0</v>
      </c>
      <c r="AC1414" s="52">
        <f t="shared" ref="AC1414" ca="1" si="8601">-IFERROR(AB1412/AC1411,0)*Days_In_Period*AC1413</f>
        <v>0</v>
      </c>
      <c r="AD1414" s="52">
        <f t="shared" ref="AD1414" ca="1" si="8602">-IFERROR(AC1412/AD1411,0)*Days_In_Period*AD1413</f>
        <v>0</v>
      </c>
      <c r="AE1414" s="52">
        <f t="shared" ref="AE1414" ca="1" si="8603">-IFERROR(AD1412/AE1411,0)*Days_In_Period*AE1413</f>
        <v>0</v>
      </c>
      <c r="AF1414" s="52">
        <f t="shared" ref="AF1414" ca="1" si="8604">-IFERROR(AE1412/AF1411,0)*Days_In_Period*AF1413</f>
        <v>0</v>
      </c>
      <c r="AG1414" s="52">
        <f t="shared" ref="AG1414" ca="1" si="8605">-IFERROR(AF1412/AG1411,0)*Days_In_Period*AG1413</f>
        <v>0</v>
      </c>
      <c r="AH1414" s="52">
        <f t="shared" ref="AH1414" ca="1" si="8606">-IFERROR(AG1412/AH1411,0)*Days_In_Period*AH1413</f>
        <v>0</v>
      </c>
      <c r="AI1414" s="52">
        <f t="shared" ref="AI1414" ca="1" si="8607">-IFERROR(AH1412/AI1411,0)*Days_In_Period*AI1413</f>
        <v>0</v>
      </c>
      <c r="AJ1414" s="52">
        <f t="shared" ref="AJ1414" ca="1" si="8608">-IFERROR(AI1412/AJ1411,0)*Days_In_Period*AJ1413</f>
        <v>0</v>
      </c>
      <c r="AK1414" s="52">
        <f t="shared" ref="AK1414" ca="1" si="8609">-IFERROR(AJ1412/AK1411,0)*Days_In_Period*AK1413</f>
        <v>0</v>
      </c>
      <c r="AL1414" s="52">
        <f t="shared" ref="AL1414" ca="1" si="8610">-IFERROR(AK1412/AL1411,0)*Days_In_Period*AL1413</f>
        <v>0</v>
      </c>
      <c r="AM1414" s="52">
        <f t="shared" ref="AM1414" ca="1" si="8611">-IFERROR(AL1412/AM1411,0)*Days_In_Period*AM1413</f>
        <v>0</v>
      </c>
      <c r="AN1414" s="52">
        <f t="shared" ref="AN1414" ca="1" si="8612">-IFERROR(AM1412/AN1411,0)*Days_In_Period*AN1413</f>
        <v>0</v>
      </c>
      <c r="AO1414" s="52">
        <f t="shared" ref="AO1414" ca="1" si="8613">-IFERROR(AN1412/AO1411,0)*Days_In_Period*AO1413</f>
        <v>0</v>
      </c>
      <c r="AP1414" s="52">
        <f t="shared" ref="AP1414" ca="1" si="8614">-IFERROR(AO1412/AP1411,0)*Days_In_Period*AP1413</f>
        <v>0</v>
      </c>
      <c r="AQ1414" s="52">
        <f t="shared" ref="AQ1414" ca="1" si="8615">-IFERROR(AP1412/AQ1411,0)*Days_In_Period*AQ1413</f>
        <v>0</v>
      </c>
      <c r="AR1414" s="52">
        <f t="shared" ref="AR1414" ca="1" si="8616">-IFERROR(AQ1412/AR1411,0)*Days_In_Period*AR1413</f>
        <v>0</v>
      </c>
      <c r="AS1414" s="52">
        <f t="shared" ref="AS1414" ca="1" si="8617">-IFERROR(AR1412/AS1411,0)*Days_In_Period*AS1413</f>
        <v>0</v>
      </c>
      <c r="AT1414" s="52">
        <f t="shared" ref="AT1414" ca="1" si="8618">-IFERROR(AS1412/AT1411,0)*Days_In_Period*AT1413</f>
        <v>0</v>
      </c>
      <c r="AU1414" s="52">
        <f t="shared" ref="AU1414" ca="1" si="8619">-IFERROR(AT1412/AU1411,0)*Days_In_Period*AU1413</f>
        <v>0</v>
      </c>
      <c r="AV1414" s="52">
        <f t="shared" ref="AV1414" ca="1" si="8620">-IFERROR(AU1412/AV1411,0)*Days_In_Period*AV1413</f>
        <v>0</v>
      </c>
      <c r="AW1414" s="52">
        <f t="shared" ref="AW1414" ca="1" si="8621">-IFERROR(AV1412/AW1411,0)*Days_In_Period*AW1413</f>
        <v>0</v>
      </c>
      <c r="AX1414" s="52">
        <f t="shared" ref="AX1414" ca="1" si="8622">-IFERROR(AW1412/AX1411,0)*Days_In_Period*AX1413</f>
        <v>0</v>
      </c>
      <c r="AY1414" s="52">
        <f t="shared" ref="AY1414" ca="1" si="8623">-IFERROR(AX1412/AY1411,0)*Days_In_Period*AY1413</f>
        <v>0</v>
      </c>
      <c r="AZ1414" s="52">
        <f t="shared" ref="AZ1414" ca="1" si="8624">-IFERROR(AY1412/AZ1411,0)*Days_In_Period*AZ1413</f>
        <v>0</v>
      </c>
      <c r="BA1414" s="52">
        <f t="shared" ref="BA1414" ca="1" si="8625">-IFERROR(AZ1412/BA1411,0)*Days_In_Period*BA1413</f>
        <v>0</v>
      </c>
      <c r="BB1414" s="52">
        <f t="shared" ref="BB1414" ca="1" si="8626">-IFERROR(BA1412/BB1411,0)*Days_In_Period*BB1413</f>
        <v>0</v>
      </c>
      <c r="BC1414" s="52">
        <f t="shared" ref="BC1414" ca="1" si="8627">-IFERROR(BB1412/BC1411,0)*Days_In_Period*BC1413</f>
        <v>0</v>
      </c>
      <c r="BD1414" s="52">
        <f t="shared" ref="BD1414" ca="1" si="8628">-IFERROR(BC1412/BD1411,0)*Days_In_Period*BD1413</f>
        <v>0</v>
      </c>
      <c r="BE1414" s="52">
        <f t="shared" ref="BE1414" ca="1" si="8629">-IFERROR(BD1412/BE1411,0)*Days_In_Period*BE1413</f>
        <v>0</v>
      </c>
      <c r="BF1414" s="52">
        <f t="shared" ref="BF1414" ca="1" si="8630">-IFERROR(BE1412/BF1411,0)*Days_In_Period*BF1413</f>
        <v>0</v>
      </c>
      <c r="BG1414" s="52">
        <f t="shared" ref="BG1414" ca="1" si="8631">-IFERROR(BF1412/BG1411,0)*Days_In_Period*BG1413</f>
        <v>0</v>
      </c>
      <c r="BH1414" s="52">
        <f t="shared" ref="BH1414" ca="1" si="8632">-IFERROR(BG1412/BH1411,0)*Days_In_Period*BH1413</f>
        <v>0</v>
      </c>
      <c r="BI1414" s="52">
        <f t="shared" ref="BI1414" ca="1" si="8633">-IFERROR(BH1412/BI1411,0)*Days_In_Period*BI1413</f>
        <v>0</v>
      </c>
      <c r="BJ1414" s="52">
        <f t="shared" ref="BJ1414" ca="1" si="8634">-IFERROR(BI1412/BJ1411,0)*Days_In_Period*BJ1413</f>
        <v>0</v>
      </c>
      <c r="BK1414" s="52">
        <f t="shared" ref="BK1414" ca="1" si="8635">-IFERROR(BJ1412/BK1411,0)*Days_In_Period*BK1413</f>
        <v>44.23461722959663</v>
      </c>
      <c r="BL1414" s="52">
        <f t="shared" ref="BL1414" ca="1" si="8636">-IFERROR(BK1412/BL1411,0)*Days_In_Period*BL1413</f>
        <v>0</v>
      </c>
      <c r="BM1414" s="52">
        <f t="shared" ref="BM1414" ca="1" si="8637">-IFERROR(BL1412/BM1411,0)*Days_In_Period*BM1413</f>
        <v>0</v>
      </c>
      <c r="BN1414" s="52">
        <f t="shared" ref="BN1414" ca="1" si="8638">-IFERROR(BM1412/BN1411,0)*Days_In_Period*BN1413</f>
        <v>0</v>
      </c>
      <c r="BO1414" s="52">
        <f t="shared" ref="BO1414" ca="1" si="8639">-IFERROR(BN1412/BO1411,0)*Days_In_Period*BO1413</f>
        <v>0</v>
      </c>
      <c r="BP1414" s="52">
        <f t="shared" ref="BP1414" ca="1" si="8640">-IFERROR(BO1412/BP1411,0)*Days_In_Period*BP1413</f>
        <v>0</v>
      </c>
      <c r="BQ1414" s="52">
        <f t="shared" ref="BQ1414" ca="1" si="8641">-IFERROR(BP1412/BQ1411,0)*Days_In_Period*BQ1413</f>
        <v>0</v>
      </c>
      <c r="BR1414" s="52">
        <f t="shared" ref="BR1414" ca="1" si="8642">-IFERROR(BQ1412/BR1411,0)*Days_In_Period*BR1413</f>
        <v>0</v>
      </c>
      <c r="BS1414" s="52">
        <f t="shared" ref="BS1414" ca="1" si="8643">-IFERROR(BR1412/BS1411,0)*Days_In_Period*BS1413</f>
        <v>0</v>
      </c>
      <c r="BT1414" s="52">
        <f t="shared" ref="BT1414" ca="1" si="8644">-IFERROR(BS1412/BT1411,0)*Days_In_Period*BT1413</f>
        <v>0</v>
      </c>
      <c r="BU1414" s="52">
        <f t="shared" ref="BU1414" ca="1" si="8645">-IFERROR(BT1412/BU1411,0)*Days_In_Period*BU1413</f>
        <v>0</v>
      </c>
      <c r="BV1414" s="52">
        <f t="shared" ref="BV1414" ca="1" si="8646">-IFERROR(BU1412/BV1411,0)*Days_In_Period*BV1413</f>
        <v>0</v>
      </c>
      <c r="BW1414" s="52">
        <f t="shared" ref="BW1414" ca="1" si="8647">-IFERROR(BV1412/BW1411,0)*Days_In_Period*BW1413</f>
        <v>0</v>
      </c>
      <c r="BX1414" s="52">
        <f t="shared" ref="BX1414" ca="1" si="8648">-IFERROR(BW1412/BX1411,0)*Days_In_Period*BX1413</f>
        <v>0</v>
      </c>
      <c r="BY1414" s="52">
        <f t="shared" ref="BY1414" ca="1" si="8649">-IFERROR(BX1412/BY1411,0)*Days_In_Period*BY1413</f>
        <v>0</v>
      </c>
      <c r="BZ1414" s="52">
        <f t="shared" ref="BZ1414" ca="1" si="8650">-IFERROR(BY1412/BZ1411,0)*Days_In_Period*BZ1413</f>
        <v>0</v>
      </c>
      <c r="CA1414" s="52">
        <f t="shared" ref="CA1414" ca="1" si="8651">-IFERROR(BZ1412/CA1411,0)*Days_In_Period*CA1413</f>
        <v>0</v>
      </c>
      <c r="CB1414" s="52">
        <f t="shared" ref="CB1414" ca="1" si="8652">-IFERROR(CA1412/CB1411,0)*Days_In_Period*CB1413</f>
        <v>0</v>
      </c>
      <c r="CC1414" s="52">
        <f t="shared" ref="CC1414" ca="1" si="8653">-IFERROR(CB1412/CC1411,0)*Days_In_Period*CC1413</f>
        <v>0</v>
      </c>
      <c r="CD1414" s="52">
        <f t="shared" ref="CD1414" ca="1" si="8654">-IFERROR(CC1412/CD1411,0)*Days_In_Period*CD1413</f>
        <v>0</v>
      </c>
      <c r="CE1414" s="52">
        <f t="shared" ref="CE1414" ca="1" si="8655">-IFERROR(CD1412/CE1411,0)*Days_In_Period*CE1413</f>
        <v>0</v>
      </c>
      <c r="CF1414" s="52">
        <f t="shared" ref="CF1414" ca="1" si="8656">-IFERROR(CE1412/CF1411,0)*Days_In_Period*CF1413</f>
        <v>0</v>
      </c>
      <c r="CG1414" s="52">
        <f t="shared" ref="CG1414" ca="1" si="8657">-IFERROR(CF1412/CG1411,0)*Days_In_Period*CG1413</f>
        <v>0</v>
      </c>
      <c r="CH1414" s="52">
        <f t="shared" ref="CH1414" ca="1" si="8658">-IFERROR(CG1412/CH1411,0)*Days_In_Period*CH1413</f>
        <v>0</v>
      </c>
      <c r="CI1414" s="52">
        <f t="shared" ref="CI1414" ca="1" si="8659">-IFERROR(CH1412/CI1411,0)*Days_In_Period*CI1413</f>
        <v>0</v>
      </c>
      <c r="CJ1414" s="52">
        <f t="shared" ref="CJ1414" ca="1" si="8660">-IFERROR(CI1412/CJ1411,0)*Days_In_Period*CJ1413</f>
        <v>0</v>
      </c>
      <c r="CK1414" s="52">
        <f t="shared" ref="CK1414" ca="1" si="8661">-IFERROR(CJ1412/CK1411,0)*Days_In_Period*CK1413</f>
        <v>0</v>
      </c>
      <c r="CL1414" s="52">
        <f t="shared" ref="CL1414" ca="1" si="8662">-IFERROR(CK1412/CL1411,0)*Days_In_Period*CL1413</f>
        <v>0</v>
      </c>
      <c r="CM1414" s="52">
        <f t="shared" ref="CM1414" ca="1" si="8663">-IFERROR(CL1412/CM1411,0)*Days_In_Period*CM1413</f>
        <v>0</v>
      </c>
      <c r="CN1414" s="52">
        <f t="shared" ref="CN1414" ca="1" si="8664">-IFERROR(CM1412/CN1411,0)*Days_In_Period*CN1413</f>
        <v>0</v>
      </c>
      <c r="CO1414" s="52">
        <f t="shared" ref="CO1414" ca="1" si="8665">-IFERROR(CN1412/CO1411,0)*Days_In_Period*CO1413</f>
        <v>0</v>
      </c>
    </row>
    <row r="1415" spans="1:93">
      <c r="A1415" s="10"/>
      <c r="B1415" s="10"/>
      <c r="C1415" s="17" t="s">
        <v>94</v>
      </c>
      <c r="D1415" s="10"/>
      <c r="E1415" s="192">
        <f ca="1">SUMPRODUCT(Beginning_of_period,L1413:CO1413)+E1414</f>
        <v>50358.234617229595</v>
      </c>
      <c r="F1415" s="10"/>
      <c r="G1415" s="11" t="s">
        <v>31</v>
      </c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  <c r="AY1415" s="10"/>
      <c r="AZ1415" s="10"/>
      <c r="BA1415" s="10"/>
      <c r="BB1415" s="10"/>
      <c r="BC1415" s="10"/>
      <c r="BD1415" s="10"/>
      <c r="BE1415" s="10"/>
      <c r="BF1415" s="10"/>
      <c r="BG1415" s="10"/>
      <c r="BH1415" s="10"/>
      <c r="BI1415" s="10"/>
      <c r="BJ1415" s="10"/>
      <c r="BK1415" s="10"/>
      <c r="BL1415" s="10"/>
      <c r="BM1415" s="10"/>
      <c r="BN1415" s="10"/>
      <c r="BO1415" s="10"/>
      <c r="BP1415" s="10"/>
      <c r="BQ1415" s="10"/>
      <c r="BR1415" s="10"/>
      <c r="BS1415" s="10"/>
      <c r="BT1415" s="10"/>
      <c r="BU1415" s="10"/>
      <c r="BV1415" s="10"/>
      <c r="BW1415" s="10"/>
      <c r="BX1415" s="10"/>
      <c r="BY1415" s="10"/>
      <c r="BZ1415" s="10"/>
      <c r="CA1415" s="10"/>
      <c r="CB1415" s="10"/>
      <c r="CC1415" s="10"/>
      <c r="CD1415" s="10"/>
      <c r="CE1415" s="10"/>
      <c r="CF1415" s="10"/>
      <c r="CG1415" s="10"/>
      <c r="CH1415" s="10"/>
      <c r="CI1415" s="10"/>
      <c r="CJ1415" s="10"/>
      <c r="CK1415" s="10"/>
      <c r="CL1415" s="10"/>
      <c r="CM1415" s="10"/>
      <c r="CN1415" s="10"/>
      <c r="CO1415" s="10"/>
    </row>
    <row r="1416" spans="1:93">
      <c r="A1416" s="10"/>
      <c r="B1416" s="10"/>
      <c r="C1416" s="17" t="s">
        <v>224</v>
      </c>
      <c r="D1416" s="10"/>
      <c r="E1416" s="193">
        <f ca="1">IF(E1415=0,"н.пр.",IFERROR((E1415-Date_Forecast_Start)/Предпосылки!$E$27,"н.пр."))</f>
        <v>12.877355115697521</v>
      </c>
      <c r="F1416" s="10"/>
      <c r="G1416" s="11" t="s">
        <v>123</v>
      </c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  <c r="AY1416" s="10"/>
      <c r="AZ1416" s="10"/>
      <c r="BA1416" s="10"/>
      <c r="BB1416" s="10"/>
      <c r="BC1416" s="10"/>
      <c r="BD1416" s="10"/>
      <c r="BE1416" s="10"/>
      <c r="BF1416" s="10"/>
      <c r="BG1416" s="10"/>
      <c r="BH1416" s="10"/>
      <c r="BI1416" s="10"/>
      <c r="BJ1416" s="10"/>
      <c r="BK1416" s="10"/>
      <c r="BL1416" s="10"/>
      <c r="BM1416" s="10"/>
      <c r="BN1416" s="10"/>
      <c r="BO1416" s="10"/>
      <c r="BP1416" s="10"/>
      <c r="BQ1416" s="10"/>
      <c r="BR1416" s="10"/>
      <c r="BS1416" s="10"/>
      <c r="BT1416" s="10"/>
      <c r="BU1416" s="10"/>
      <c r="BV1416" s="10"/>
      <c r="BW1416" s="10"/>
      <c r="BX1416" s="10"/>
      <c r="BY1416" s="10"/>
      <c r="BZ1416" s="10"/>
      <c r="CA1416" s="10"/>
      <c r="CB1416" s="10"/>
      <c r="CC1416" s="10"/>
      <c r="CD1416" s="10"/>
      <c r="CE1416" s="10"/>
      <c r="CF1416" s="10"/>
      <c r="CG1416" s="10"/>
      <c r="CH1416" s="10"/>
      <c r="CI1416" s="10"/>
      <c r="CJ1416" s="10"/>
      <c r="CK1416" s="10"/>
      <c r="CL1416" s="10"/>
      <c r="CM1416" s="10"/>
      <c r="CN1416" s="10"/>
      <c r="CO1416" s="10"/>
    </row>
    <row r="1417" spans="1:93">
      <c r="A1417" s="10"/>
      <c r="B1417" s="10"/>
      <c r="C1417" s="17"/>
      <c r="D1417" s="10"/>
      <c r="E1417" s="108"/>
      <c r="F1417" s="10"/>
      <c r="G1417" s="11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  <c r="AY1417" s="10"/>
      <c r="AZ1417" s="10"/>
      <c r="BA1417" s="10"/>
      <c r="BB1417" s="10"/>
      <c r="BC1417" s="10"/>
      <c r="BD1417" s="10"/>
      <c r="BE1417" s="10"/>
      <c r="BF1417" s="10"/>
      <c r="BG1417" s="10"/>
      <c r="BH1417" s="10"/>
      <c r="BI1417" s="10"/>
      <c r="BJ1417" s="10"/>
      <c r="BK1417" s="10"/>
      <c r="BL1417" s="10"/>
      <c r="BM1417" s="10"/>
      <c r="BN1417" s="10"/>
      <c r="BO1417" s="10"/>
      <c r="BP1417" s="10"/>
      <c r="BQ1417" s="10"/>
      <c r="BR1417" s="10"/>
      <c r="BS1417" s="10"/>
      <c r="BT1417" s="10"/>
      <c r="BU1417" s="10"/>
      <c r="BV1417" s="10"/>
      <c r="BW1417" s="10"/>
      <c r="BX1417" s="10"/>
      <c r="BY1417" s="10"/>
      <c r="BZ1417" s="10"/>
      <c r="CA1417" s="10"/>
      <c r="CB1417" s="10"/>
      <c r="CC1417" s="10"/>
      <c r="CD1417" s="10"/>
      <c r="CE1417" s="10"/>
      <c r="CF1417" s="10"/>
      <c r="CG1417" s="10"/>
      <c r="CH1417" s="10"/>
      <c r="CI1417" s="10"/>
      <c r="CJ1417" s="10"/>
      <c r="CK1417" s="10"/>
      <c r="CL1417" s="10"/>
      <c r="CM1417" s="10"/>
      <c r="CN1417" s="10"/>
      <c r="CO1417" s="10"/>
    </row>
    <row r="1418" spans="1:93" ht="22.5" customHeight="1">
      <c r="A1418" s="10"/>
      <c r="B1418" s="5" t="s">
        <v>296</v>
      </c>
      <c r="C1418" s="5"/>
      <c r="D1418" s="15"/>
      <c r="E1418" s="5"/>
      <c r="F1418" s="5"/>
      <c r="G1418" s="6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5"/>
      <c r="BP1418" s="5"/>
      <c r="BQ1418" s="5"/>
      <c r="BR1418" s="5"/>
      <c r="BS1418" s="5"/>
      <c r="BT1418" s="5"/>
      <c r="BU1418" s="5"/>
      <c r="BV1418" s="5"/>
      <c r="BW1418" s="5"/>
      <c r="BX1418" s="5"/>
      <c r="BY1418" s="5"/>
      <c r="BZ1418" s="5"/>
      <c r="CA1418" s="5"/>
      <c r="CB1418" s="5"/>
      <c r="CC1418" s="5"/>
      <c r="CD1418" s="5"/>
      <c r="CE1418" s="5"/>
      <c r="CF1418" s="5"/>
      <c r="CG1418" s="5"/>
      <c r="CH1418" s="5"/>
      <c r="CI1418" s="5"/>
      <c r="CJ1418" s="5"/>
      <c r="CK1418" s="5"/>
      <c r="CL1418" s="5"/>
      <c r="CM1418" s="5"/>
      <c r="CN1418" s="5"/>
      <c r="CO1418" s="5"/>
    </row>
    <row r="1419" spans="1:93">
      <c r="A1419" s="10"/>
      <c r="B1419" s="10"/>
      <c r="C1419" s="10"/>
      <c r="D1419" s="10"/>
      <c r="E1419" s="62"/>
      <c r="F1419" s="10"/>
      <c r="G1419" s="11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  <c r="AY1419" s="10"/>
      <c r="AZ1419" s="10"/>
      <c r="BA1419" s="10"/>
      <c r="BB1419" s="10"/>
      <c r="BC1419" s="10"/>
      <c r="BD1419" s="10"/>
      <c r="BE1419" s="10"/>
      <c r="BF1419" s="10"/>
      <c r="BG1419" s="10"/>
      <c r="BH1419" s="10"/>
      <c r="BI1419" s="10"/>
      <c r="BJ1419" s="10"/>
      <c r="BK1419" s="10"/>
      <c r="BL1419" s="10"/>
      <c r="BM1419" s="10"/>
      <c r="BN1419" s="10"/>
      <c r="BO1419" s="10"/>
      <c r="BP1419" s="10"/>
      <c r="BQ1419" s="10"/>
      <c r="BR1419" s="10"/>
      <c r="BS1419" s="10"/>
      <c r="BT1419" s="10"/>
      <c r="BU1419" s="10"/>
      <c r="BV1419" s="10"/>
      <c r="BW1419" s="10"/>
      <c r="BX1419" s="10"/>
      <c r="BY1419" s="10"/>
      <c r="BZ1419" s="10"/>
      <c r="CA1419" s="10"/>
      <c r="CB1419" s="10"/>
      <c r="CC1419" s="10"/>
      <c r="CD1419" s="10"/>
      <c r="CE1419" s="10"/>
      <c r="CF1419" s="10"/>
      <c r="CG1419" s="10"/>
      <c r="CH1419" s="10"/>
      <c r="CI1419" s="10"/>
      <c r="CJ1419" s="10"/>
      <c r="CK1419" s="10"/>
      <c r="CL1419" s="10"/>
      <c r="CM1419" s="10"/>
      <c r="CN1419" s="10"/>
      <c r="CO1419" s="10"/>
    </row>
    <row r="1420" spans="1:93">
      <c r="A1420" s="10"/>
      <c r="B1420" s="10"/>
      <c r="C1420" s="16" t="s">
        <v>295</v>
      </c>
      <c r="D1420" s="10"/>
      <c r="E1420" s="409">
        <f>Предпосылки!E622</f>
        <v>2</v>
      </c>
      <c r="F1420" s="10"/>
      <c r="G1420" s="11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  <c r="AY1420" s="10"/>
      <c r="AZ1420" s="10"/>
      <c r="BA1420" s="10"/>
      <c r="BB1420" s="10"/>
      <c r="BC1420" s="10"/>
      <c r="BD1420" s="10"/>
      <c r="BE1420" s="10"/>
      <c r="BF1420" s="10"/>
      <c r="BG1420" s="10"/>
      <c r="BH1420" s="10"/>
      <c r="BI1420" s="10"/>
      <c r="BJ1420" s="10"/>
      <c r="BK1420" s="10"/>
      <c r="BL1420" s="10"/>
      <c r="BM1420" s="10"/>
      <c r="BN1420" s="10"/>
      <c r="BO1420" s="10"/>
      <c r="BP1420" s="10"/>
      <c r="BQ1420" s="10"/>
      <c r="BR1420" s="10"/>
      <c r="BS1420" s="10"/>
      <c r="BT1420" s="10"/>
      <c r="BU1420" s="10"/>
      <c r="BV1420" s="10"/>
      <c r="BW1420" s="10"/>
      <c r="BX1420" s="10"/>
      <c r="BY1420" s="10"/>
      <c r="BZ1420" s="10"/>
      <c r="CA1420" s="10"/>
      <c r="CB1420" s="10"/>
      <c r="CC1420" s="10"/>
      <c r="CD1420" s="10"/>
      <c r="CE1420" s="10"/>
      <c r="CF1420" s="10"/>
      <c r="CG1420" s="10"/>
      <c r="CH1420" s="10"/>
      <c r="CI1420" s="10"/>
      <c r="CJ1420" s="10"/>
      <c r="CK1420" s="10"/>
      <c r="CL1420" s="10"/>
      <c r="CM1420" s="10"/>
      <c r="CN1420" s="10"/>
      <c r="CO1420" s="10"/>
    </row>
    <row r="1421" spans="1:93">
      <c r="A1421" s="10"/>
      <c r="B1421" s="10"/>
      <c r="C1421" s="405" t="str">
        <f>CHOOSE(E1420,"Внесение акционерного займа","Операционный денежный поток")</f>
        <v>Операционный денежный поток</v>
      </c>
      <c r="D1421" s="10"/>
      <c r="E1421" s="62"/>
      <c r="F1421" s="10"/>
      <c r="G1421" s="134" t="str">
        <f>Monetary_Unit</f>
        <v>тыс. руб.</v>
      </c>
      <c r="H1421" s="10"/>
      <c r="I1421" s="23">
        <f t="shared" ref="I1421:I1427" ca="1" si="8666">SUM(L1421:CO1421)</f>
        <v>13334191.323363092</v>
      </c>
      <c r="J1421" s="10"/>
      <c r="K1421" s="10"/>
      <c r="L1421" s="452">
        <f t="shared" ref="L1421:AQ1421" ca="1" si="8667">CHOOSE($E$1420, -_xlfn.SINGLE(Subord_Drawdown),_xlfn.SINGLE( OCF)+L1036 -_xlfn.SINGLE( Subord_Interest_Paid ))</f>
        <v>-5234.3588965478193</v>
      </c>
      <c r="M1421" s="452">
        <f t="shared" ca="1" si="8667"/>
        <v>-5308.6600317512566</v>
      </c>
      <c r="N1421" s="452">
        <f t="shared" ca="1" si="8667"/>
        <v>-5384.015863203389</v>
      </c>
      <c r="O1421" s="452">
        <f t="shared" ca="1" si="8667"/>
        <v>-5460.4413621987187</v>
      </c>
      <c r="P1421" s="452">
        <f t="shared" ca="1" si="8667"/>
        <v>-45931.910967999196</v>
      </c>
      <c r="Q1421" s="452">
        <f t="shared" ca="1" si="8667"/>
        <v>-46384.496760337934</v>
      </c>
      <c r="R1421" s="452">
        <f t="shared" ca="1" si="8667"/>
        <v>-46841.542064486872</v>
      </c>
      <c r="S1421" s="452">
        <f t="shared" ca="1" si="8667"/>
        <v>-48042.08256430467</v>
      </c>
      <c r="T1421" s="452">
        <f t="shared" ca="1" si="8667"/>
        <v>-54349.841754366076</v>
      </c>
      <c r="U1421" s="452">
        <f t="shared" ca="1" si="8667"/>
        <v>-58664.705263577314</v>
      </c>
      <c r="V1421" s="452">
        <f t="shared" ca="1" si="8667"/>
        <v>-63104.65308842533</v>
      </c>
      <c r="W1421" s="452">
        <f t="shared" ca="1" si="8667"/>
        <v>-67472.662175813239</v>
      </c>
      <c r="X1421" s="452">
        <f t="shared" ca="1" si="8667"/>
        <v>-127892.92372378038</v>
      </c>
      <c r="Y1421" s="452">
        <f t="shared" ca="1" si="8667"/>
        <v>-137083.38405420212</v>
      </c>
      <c r="Z1421" s="452">
        <f t="shared" ca="1" si="8667"/>
        <v>-146810.090067315</v>
      </c>
      <c r="AA1421" s="452">
        <f t="shared" ca="1" si="8667"/>
        <v>-156274.09485548761</v>
      </c>
      <c r="AB1421" s="452">
        <f t="shared" ca="1" si="8667"/>
        <v>-196820.11196530738</v>
      </c>
      <c r="AC1421" s="452">
        <f t="shared" ca="1" si="8667"/>
        <v>806359.9888286012</v>
      </c>
      <c r="AD1421" s="452">
        <f t="shared" ca="1" si="8667"/>
        <v>260633.49736676697</v>
      </c>
      <c r="AE1421" s="452">
        <f t="shared" ca="1" si="8667"/>
        <v>159487.45939256286</v>
      </c>
      <c r="AF1421" s="452">
        <f t="shared" ca="1" si="8667"/>
        <v>104196.22149496293</v>
      </c>
      <c r="AG1421" s="452">
        <f t="shared" ca="1" si="8667"/>
        <v>113391.24804015062</v>
      </c>
      <c r="AH1421" s="452">
        <f t="shared" ca="1" si="8667"/>
        <v>185745.61399534979</v>
      </c>
      <c r="AI1421" s="452">
        <f t="shared" ca="1" si="8667"/>
        <v>208534.79718170298</v>
      </c>
      <c r="AJ1421" s="452">
        <f t="shared" ca="1" si="8667"/>
        <v>141394.96392417664</v>
      </c>
      <c r="AK1421" s="452">
        <f t="shared" ca="1" si="8667"/>
        <v>151260.50400841612</v>
      </c>
      <c r="AL1421" s="452">
        <f t="shared" ca="1" si="8667"/>
        <v>235357.87070185761</v>
      </c>
      <c r="AM1421" s="452">
        <f t="shared" ca="1" si="8667"/>
        <v>260985.88479377399</v>
      </c>
      <c r="AN1421" s="452">
        <f t="shared" ca="1" si="8667"/>
        <v>182719.4546381231</v>
      </c>
      <c r="AO1421" s="452">
        <f t="shared" ca="1" si="8667"/>
        <v>191839.71921641956</v>
      </c>
      <c r="AP1421" s="452">
        <f t="shared" ca="1" si="8667"/>
        <v>285399.92787252256</v>
      </c>
      <c r="AQ1421" s="452">
        <f t="shared" ca="1" si="8667"/>
        <v>306473.33589414204</v>
      </c>
      <c r="AR1421" s="452">
        <f t="shared" ref="AR1421:BW1421" ca="1" si="8668">CHOOSE($E$1420, -_xlfn.SINGLE(Subord_Drawdown),_xlfn.SINGLE( OCF)+AR1036 -_xlfn.SINGLE( Subord_Interest_Paid ))</f>
        <v>209606.22587961034</v>
      </c>
      <c r="AS1421" s="452">
        <f t="shared" ca="1" si="8668"/>
        <v>211805.91788130795</v>
      </c>
      <c r="AT1421" s="452">
        <f t="shared" ca="1" si="8668"/>
        <v>304488.60800452536</v>
      </c>
      <c r="AU1421" s="452">
        <f t="shared" ca="1" si="8668"/>
        <v>320712.25373494322</v>
      </c>
      <c r="AV1421" s="452">
        <f t="shared" ca="1" si="8668"/>
        <v>220390.32019406001</v>
      </c>
      <c r="AW1421" s="452">
        <f t="shared" ca="1" si="8668"/>
        <v>266324.33672942128</v>
      </c>
      <c r="AX1421" s="452">
        <f t="shared" ca="1" si="8668"/>
        <v>245282.22944038437</v>
      </c>
      <c r="AY1421" s="452">
        <f t="shared" ca="1" si="8668"/>
        <v>173283.82595168217</v>
      </c>
      <c r="AZ1421" s="452">
        <f t="shared" ca="1" si="8668"/>
        <v>122237.54594411451</v>
      </c>
      <c r="BA1421" s="452">
        <f t="shared" ca="1" si="8668"/>
        <v>166003.86614663899</v>
      </c>
      <c r="BB1421" s="452">
        <f t="shared" ca="1" si="8668"/>
        <v>231506.45597987878</v>
      </c>
      <c r="BC1421" s="452">
        <f t="shared" ca="1" si="8668"/>
        <v>189648.92891167593</v>
      </c>
      <c r="BD1421" s="452">
        <f t="shared" ca="1" si="8668"/>
        <v>138503.80219947797</v>
      </c>
      <c r="BE1421" s="452">
        <f t="shared" ca="1" si="8668"/>
        <v>179501.09271989093</v>
      </c>
      <c r="BF1421" s="452">
        <f t="shared" ca="1" si="8668"/>
        <v>248377.47040279995</v>
      </c>
      <c r="BG1421" s="452">
        <f t="shared" ca="1" si="8668"/>
        <v>204908.49764688866</v>
      </c>
      <c r="BH1421" s="452">
        <f t="shared" ca="1" si="8668"/>
        <v>149271.3857948205</v>
      </c>
      <c r="BI1421" s="452">
        <f t="shared" ca="1" si="8668"/>
        <v>194467.00727934245</v>
      </c>
      <c r="BJ1421" s="452">
        <f t="shared" ca="1" si="8668"/>
        <v>263143.28819603729</v>
      </c>
      <c r="BK1421" s="452">
        <f t="shared" ca="1" si="8668"/>
        <v>215603.7609729098</v>
      </c>
      <c r="BL1421" s="452">
        <f t="shared" ca="1" si="8668"/>
        <v>155296.66139235115</v>
      </c>
      <c r="BM1421" s="452">
        <f t="shared" ca="1" si="8668"/>
        <v>202301.54613887856</v>
      </c>
      <c r="BN1421" s="452">
        <f t="shared" ca="1" si="8668"/>
        <v>273726.34847685776</v>
      </c>
      <c r="BO1421" s="452">
        <f t="shared" ca="1" si="8668"/>
        <v>211339.56051991874</v>
      </c>
      <c r="BP1421" s="452">
        <f t="shared" ca="1" si="8668"/>
        <v>149413.85129333788</v>
      </c>
      <c r="BQ1421" s="452">
        <f t="shared" ca="1" si="8668"/>
        <v>190474.50395881923</v>
      </c>
      <c r="BR1421" s="452">
        <f t="shared" ca="1" si="8668"/>
        <v>258984.8702972231</v>
      </c>
      <c r="BS1421" s="452">
        <f t="shared" ca="1" si="8668"/>
        <v>219743.48235772018</v>
      </c>
      <c r="BT1421" s="452">
        <f t="shared" ca="1" si="8668"/>
        <v>157749.91729861218</v>
      </c>
      <c r="BU1421" s="452">
        <f t="shared" ca="1" si="8668"/>
        <v>197317.58972668706</v>
      </c>
      <c r="BV1421" s="452">
        <f t="shared" ca="1" si="8668"/>
        <v>269303.81083330908</v>
      </c>
      <c r="BW1421" s="452">
        <f t="shared" ca="1" si="8668"/>
        <v>228492.77329331194</v>
      </c>
      <c r="BX1421" s="452">
        <f t="shared" ref="BX1421:CO1421" ca="1" si="8669">CHOOSE($E$1420, -_xlfn.SINGLE(Subord_Drawdown),_xlfn.SINGLE( OCF)+BX1036 -_xlfn.SINGLE( Subord_Interest_Paid ))</f>
        <v>161499.22810249944</v>
      </c>
      <c r="BY1421" s="452">
        <f t="shared" ca="1" si="8669"/>
        <v>205913.19083422469</v>
      </c>
      <c r="BZ1421" s="452">
        <f t="shared" ca="1" si="8669"/>
        <v>280016.72812416521</v>
      </c>
      <c r="CA1421" s="452">
        <f t="shared" ca="1" si="8669"/>
        <v>237573.24292879915</v>
      </c>
      <c r="CB1421" s="452">
        <f t="shared" ca="1" si="8669"/>
        <v>167906.9021982312</v>
      </c>
      <c r="CC1421" s="452">
        <f t="shared" ca="1" si="8669"/>
        <v>214098.72207169508</v>
      </c>
      <c r="CD1421" s="452">
        <f t="shared" ca="1" si="8669"/>
        <v>291167.7366661366</v>
      </c>
      <c r="CE1421" s="452">
        <f t="shared" ca="1" si="8669"/>
        <v>247026.51206295512</v>
      </c>
      <c r="CF1421" s="452">
        <f t="shared" ca="1" si="8669"/>
        <v>174570.84607735806</v>
      </c>
      <c r="CG1421" s="452">
        <f t="shared" ca="1" si="8669"/>
        <v>222611.67455866357</v>
      </c>
      <c r="CH1421" s="452">
        <f t="shared" ca="1" si="8669"/>
        <v>302764.78554978635</v>
      </c>
      <c r="CI1421" s="452">
        <f t="shared" ca="1" si="8669"/>
        <v>256857.9119624786</v>
      </c>
      <c r="CJ1421" s="452">
        <f t="shared" ca="1" si="8669"/>
        <v>184327.12636069866</v>
      </c>
      <c r="CK1421" s="452">
        <f t="shared" ca="1" si="8669"/>
        <v>230615.70664995746</v>
      </c>
      <c r="CL1421" s="452">
        <f t="shared" ca="1" si="8669"/>
        <v>314835.06059641473</v>
      </c>
      <c r="CM1421" s="452">
        <f t="shared" ca="1" si="8669"/>
        <v>267091.91898776789</v>
      </c>
      <c r="CN1421" s="452">
        <f t="shared" ca="1" si="8669"/>
        <v>188709.02758838091</v>
      </c>
      <c r="CO1421" s="452">
        <f t="shared" ca="1" si="8669"/>
        <v>240672.75455501606</v>
      </c>
    </row>
    <row r="1422" spans="1:93">
      <c r="A1422" s="10"/>
      <c r="B1422" s="10"/>
      <c r="C1422" s="405" t="str">
        <f>CHOOSE(E1420,"Внесение собственного капитала","Инвестиционный денежный поток")</f>
        <v>Инвестиционный денежный поток</v>
      </c>
      <c r="D1422" s="10"/>
      <c r="E1422" s="62"/>
      <c r="F1422" s="10"/>
      <c r="G1422" s="134" t="str">
        <f>Monetary_Unit</f>
        <v>тыс. руб.</v>
      </c>
      <c r="H1422" s="10"/>
      <c r="I1422" s="23">
        <f t="shared" ca="1" si="8666"/>
        <v>-4808399.504779838</v>
      </c>
      <c r="J1422" s="10"/>
      <c r="K1422" s="10"/>
      <c r="L1422" s="452">
        <f t="shared" ref="L1422:AQ1422" ca="1" si="8670">CHOOSE($E$1420, -Equity_Drawdown -Equity_S_Drawdown_1 -Equity_S_Drawdown_2, ICF -SUM(L273:L275))</f>
        <v>-26171.794482739097</v>
      </c>
      <c r="M1422" s="452">
        <f t="shared" ca="1" si="8670"/>
        <v>-26543.300158756276</v>
      </c>
      <c r="N1422" s="452">
        <f t="shared" ca="1" si="8670"/>
        <v>-26920.079316016938</v>
      </c>
      <c r="O1422" s="452">
        <f t="shared" ca="1" si="8670"/>
        <v>-27302.20681099359</v>
      </c>
      <c r="P1422" s="452">
        <f t="shared" ca="1" si="8670"/>
        <v>-229659.55483999598</v>
      </c>
      <c r="Q1422" s="452">
        <f t="shared" ca="1" si="8670"/>
        <v>-231922.48380168967</v>
      </c>
      <c r="R1422" s="452">
        <f t="shared" ca="1" si="8670"/>
        <v>-234207.71032243437</v>
      </c>
      <c r="S1422" s="452">
        <f t="shared" ca="1" si="8670"/>
        <v>-236515.4541091444</v>
      </c>
      <c r="T1422" s="452">
        <f t="shared" ca="1" si="8670"/>
        <v>-238845.93703359578</v>
      </c>
      <c r="U1422" s="452">
        <f t="shared" ca="1" si="8670"/>
        <v>-241199.38315375723</v>
      </c>
      <c r="V1422" s="452">
        <f t="shared" ca="1" si="8670"/>
        <v>-243576.01873533166</v>
      </c>
      <c r="W1422" s="452">
        <f t="shared" ca="1" si="8670"/>
        <v>-245976.07227351013</v>
      </c>
      <c r="X1422" s="452">
        <f t="shared" ca="1" si="8670"/>
        <v>-518760.33442500973</v>
      </c>
      <c r="Y1422" s="452">
        <f t="shared" ca="1" si="8670"/>
        <v>-523871.89090157853</v>
      </c>
      <c r="Z1422" s="452">
        <f t="shared" ca="1" si="8670"/>
        <v>-529033.81362220866</v>
      </c>
      <c r="AA1422" s="452">
        <f t="shared" ca="1" si="8670"/>
        <v>-534246.59886597958</v>
      </c>
      <c r="AB1422" s="452">
        <f t="shared" ca="1" si="8670"/>
        <v>-693646.87192709628</v>
      </c>
      <c r="AC1422" s="452">
        <f t="shared" ca="1" si="8670"/>
        <v>0</v>
      </c>
      <c r="AD1422" s="452">
        <f t="shared" ca="1" si="8670"/>
        <v>0</v>
      </c>
      <c r="AE1422" s="452">
        <f t="shared" ca="1" si="8670"/>
        <v>0</v>
      </c>
      <c r="AF1422" s="452">
        <f t="shared" ca="1" si="8670"/>
        <v>0</v>
      </c>
      <c r="AG1422" s="452">
        <f t="shared" ca="1" si="8670"/>
        <v>0</v>
      </c>
      <c r="AH1422" s="452">
        <f t="shared" ca="1" si="8670"/>
        <v>0</v>
      </c>
      <c r="AI1422" s="452">
        <f t="shared" ca="1" si="8670"/>
        <v>0</v>
      </c>
      <c r="AJ1422" s="452">
        <f t="shared" ca="1" si="8670"/>
        <v>0</v>
      </c>
      <c r="AK1422" s="452">
        <f t="shared" ca="1" si="8670"/>
        <v>0</v>
      </c>
      <c r="AL1422" s="452">
        <f t="shared" ca="1" si="8670"/>
        <v>0</v>
      </c>
      <c r="AM1422" s="452">
        <f t="shared" ca="1" si="8670"/>
        <v>0</v>
      </c>
      <c r="AN1422" s="452">
        <f t="shared" ca="1" si="8670"/>
        <v>0</v>
      </c>
      <c r="AO1422" s="452">
        <f t="shared" ca="1" si="8670"/>
        <v>0</v>
      </c>
      <c r="AP1422" s="452">
        <f t="shared" ca="1" si="8670"/>
        <v>0</v>
      </c>
      <c r="AQ1422" s="452">
        <f t="shared" ca="1" si="8670"/>
        <v>0</v>
      </c>
      <c r="AR1422" s="452">
        <f t="shared" ref="AR1422:BW1422" ca="1" si="8671">CHOOSE($E$1420, -Equity_Drawdown -Equity_S_Drawdown_1 -Equity_S_Drawdown_2, ICF -SUM(AR273:AR275))</f>
        <v>0</v>
      </c>
      <c r="AS1422" s="452">
        <f t="shared" ca="1" si="8671"/>
        <v>0</v>
      </c>
      <c r="AT1422" s="452">
        <f t="shared" ca="1" si="8671"/>
        <v>0</v>
      </c>
      <c r="AU1422" s="452">
        <f t="shared" ca="1" si="8671"/>
        <v>0</v>
      </c>
      <c r="AV1422" s="452">
        <f t="shared" ca="1" si="8671"/>
        <v>0</v>
      </c>
      <c r="AW1422" s="452">
        <f t="shared" ca="1" si="8671"/>
        <v>0</v>
      </c>
      <c r="AX1422" s="452">
        <f t="shared" ca="1" si="8671"/>
        <v>0</v>
      </c>
      <c r="AY1422" s="452">
        <f t="shared" ca="1" si="8671"/>
        <v>0</v>
      </c>
      <c r="AZ1422" s="452">
        <f t="shared" ca="1" si="8671"/>
        <v>0</v>
      </c>
      <c r="BA1422" s="452">
        <f t="shared" ca="1" si="8671"/>
        <v>0</v>
      </c>
      <c r="BB1422" s="452">
        <f t="shared" ca="1" si="8671"/>
        <v>0</v>
      </c>
      <c r="BC1422" s="452">
        <f t="shared" ca="1" si="8671"/>
        <v>0</v>
      </c>
      <c r="BD1422" s="452">
        <f t="shared" ca="1" si="8671"/>
        <v>0</v>
      </c>
      <c r="BE1422" s="452">
        <f t="shared" ca="1" si="8671"/>
        <v>0</v>
      </c>
      <c r="BF1422" s="452">
        <f t="shared" ca="1" si="8671"/>
        <v>0</v>
      </c>
      <c r="BG1422" s="452">
        <f t="shared" ca="1" si="8671"/>
        <v>0</v>
      </c>
      <c r="BH1422" s="452">
        <f t="shared" ca="1" si="8671"/>
        <v>0</v>
      </c>
      <c r="BI1422" s="452">
        <f t="shared" ca="1" si="8671"/>
        <v>0</v>
      </c>
      <c r="BJ1422" s="452">
        <f t="shared" ca="1" si="8671"/>
        <v>0</v>
      </c>
      <c r="BK1422" s="452">
        <f t="shared" ca="1" si="8671"/>
        <v>0</v>
      </c>
      <c r="BL1422" s="452">
        <f t="shared" ca="1" si="8671"/>
        <v>0</v>
      </c>
      <c r="BM1422" s="452">
        <f t="shared" ca="1" si="8671"/>
        <v>0</v>
      </c>
      <c r="BN1422" s="452">
        <f t="shared" ca="1" si="8671"/>
        <v>0</v>
      </c>
      <c r="BO1422" s="452">
        <f t="shared" ca="1" si="8671"/>
        <v>0</v>
      </c>
      <c r="BP1422" s="452">
        <f t="shared" ca="1" si="8671"/>
        <v>0</v>
      </c>
      <c r="BQ1422" s="452">
        <f t="shared" ca="1" si="8671"/>
        <v>0</v>
      </c>
      <c r="BR1422" s="452">
        <f t="shared" ca="1" si="8671"/>
        <v>0</v>
      </c>
      <c r="BS1422" s="452">
        <f t="shared" ca="1" si="8671"/>
        <v>0</v>
      </c>
      <c r="BT1422" s="452">
        <f t="shared" ca="1" si="8671"/>
        <v>0</v>
      </c>
      <c r="BU1422" s="452">
        <f t="shared" ca="1" si="8671"/>
        <v>0</v>
      </c>
      <c r="BV1422" s="452">
        <f t="shared" ca="1" si="8671"/>
        <v>0</v>
      </c>
      <c r="BW1422" s="452">
        <f t="shared" ca="1" si="8671"/>
        <v>0</v>
      </c>
      <c r="BX1422" s="452">
        <f t="shared" ref="BX1422:CO1422" ca="1" si="8672">CHOOSE($E$1420, -Equity_Drawdown -Equity_S_Drawdown_1 -Equity_S_Drawdown_2, ICF -SUM(BX273:BX275))</f>
        <v>0</v>
      </c>
      <c r="BY1422" s="452">
        <f t="shared" ca="1" si="8672"/>
        <v>0</v>
      </c>
      <c r="BZ1422" s="452">
        <f t="shared" ca="1" si="8672"/>
        <v>0</v>
      </c>
      <c r="CA1422" s="452">
        <f t="shared" ca="1" si="8672"/>
        <v>0</v>
      </c>
      <c r="CB1422" s="452">
        <f t="shared" ca="1" si="8672"/>
        <v>0</v>
      </c>
      <c r="CC1422" s="452">
        <f t="shared" ca="1" si="8672"/>
        <v>0</v>
      </c>
      <c r="CD1422" s="452">
        <f t="shared" ca="1" si="8672"/>
        <v>0</v>
      </c>
      <c r="CE1422" s="452">
        <f t="shared" ca="1" si="8672"/>
        <v>0</v>
      </c>
      <c r="CF1422" s="452">
        <f t="shared" ca="1" si="8672"/>
        <v>0</v>
      </c>
      <c r="CG1422" s="452">
        <f t="shared" ca="1" si="8672"/>
        <v>0</v>
      </c>
      <c r="CH1422" s="452">
        <f t="shared" ca="1" si="8672"/>
        <v>0</v>
      </c>
      <c r="CI1422" s="452">
        <f t="shared" ca="1" si="8672"/>
        <v>0</v>
      </c>
      <c r="CJ1422" s="452">
        <f t="shared" ca="1" si="8672"/>
        <v>0</v>
      </c>
      <c r="CK1422" s="452">
        <f t="shared" ca="1" si="8672"/>
        <v>0</v>
      </c>
      <c r="CL1422" s="452">
        <f t="shared" ca="1" si="8672"/>
        <v>0</v>
      </c>
      <c r="CM1422" s="452">
        <f t="shared" ca="1" si="8672"/>
        <v>0</v>
      </c>
      <c r="CN1422" s="452">
        <f t="shared" ca="1" si="8672"/>
        <v>0</v>
      </c>
      <c r="CO1422" s="452">
        <f t="shared" ca="1" si="8672"/>
        <v>0</v>
      </c>
    </row>
    <row r="1423" spans="1:93">
      <c r="A1423" s="10"/>
      <c r="B1423" s="10"/>
      <c r="C1423" s="405" t="str">
        <f>CHOOSE(E1420,"Обслуживание акционерного займа","Выборка старшего долга")</f>
        <v>Выборка старшего долга</v>
      </c>
      <c r="D1423" s="10"/>
      <c r="E1423" s="62"/>
      <c r="F1423" s="10"/>
      <c r="G1423" s="134" t="str">
        <f>Monetary_Unit</f>
        <v>тыс. руб.</v>
      </c>
      <c r="H1423" s="10"/>
      <c r="I1423" s="23">
        <f t="shared" si="8666"/>
        <v>4616063.5245886445</v>
      </c>
      <c r="J1423" s="10"/>
      <c r="K1423" s="10"/>
      <c r="L1423" s="452">
        <f t="shared" ref="L1423:AQ1423" si="8673">CHOOSE($E$1420,  - Subord_Repayment - Subord_Interest_Paid, Debt_Drawdown)</f>
        <v>0</v>
      </c>
      <c r="M1423" s="452">
        <f t="shared" si="8673"/>
        <v>0</v>
      </c>
      <c r="N1423" s="452">
        <f t="shared" si="8673"/>
        <v>0</v>
      </c>
      <c r="O1423" s="452">
        <f t="shared" si="8673"/>
        <v>0</v>
      </c>
      <c r="P1423" s="452">
        <f t="shared" si="8673"/>
        <v>0</v>
      </c>
      <c r="Q1423" s="452">
        <f t="shared" si="8673"/>
        <v>0</v>
      </c>
      <c r="R1423" s="452">
        <f t="shared" si="8673"/>
        <v>0</v>
      </c>
      <c r="S1423" s="452">
        <f t="shared" si="8673"/>
        <v>93075.219462963287</v>
      </c>
      <c r="T1423" s="452">
        <f t="shared" si="8673"/>
        <v>286615.12444031495</v>
      </c>
      <c r="U1423" s="452">
        <f t="shared" si="8673"/>
        <v>289439.25978450867</v>
      </c>
      <c r="V1423" s="452">
        <f t="shared" si="8673"/>
        <v>292291.22248239798</v>
      </c>
      <c r="W1423" s="452">
        <f t="shared" si="8673"/>
        <v>295171.2867282122</v>
      </c>
      <c r="X1423" s="452">
        <f t="shared" si="8673"/>
        <v>622512.40131001174</v>
      </c>
      <c r="Y1423" s="452">
        <f t="shared" si="8673"/>
        <v>628646.26908189419</v>
      </c>
      <c r="Z1423" s="452">
        <f t="shared" si="8673"/>
        <v>634840.57634665037</v>
      </c>
      <c r="AA1423" s="452">
        <f t="shared" si="8673"/>
        <v>641095.91863917548</v>
      </c>
      <c r="AB1423" s="452">
        <f t="shared" si="8673"/>
        <v>832376.24631251558</v>
      </c>
      <c r="AC1423" s="452">
        <f t="shared" si="8673"/>
        <v>0</v>
      </c>
      <c r="AD1423" s="452">
        <f t="shared" si="8673"/>
        <v>0</v>
      </c>
      <c r="AE1423" s="452">
        <f t="shared" si="8673"/>
        <v>0</v>
      </c>
      <c r="AF1423" s="452">
        <f t="shared" si="8673"/>
        <v>0</v>
      </c>
      <c r="AG1423" s="452">
        <f t="shared" si="8673"/>
        <v>0</v>
      </c>
      <c r="AH1423" s="452">
        <f t="shared" si="8673"/>
        <v>0</v>
      </c>
      <c r="AI1423" s="452">
        <f t="shared" si="8673"/>
        <v>0</v>
      </c>
      <c r="AJ1423" s="452">
        <f t="shared" si="8673"/>
        <v>0</v>
      </c>
      <c r="AK1423" s="452">
        <f t="shared" si="8673"/>
        <v>0</v>
      </c>
      <c r="AL1423" s="452">
        <f t="shared" si="8673"/>
        <v>0</v>
      </c>
      <c r="AM1423" s="452">
        <f t="shared" si="8673"/>
        <v>0</v>
      </c>
      <c r="AN1423" s="452">
        <f t="shared" si="8673"/>
        <v>0</v>
      </c>
      <c r="AO1423" s="452">
        <f t="shared" si="8673"/>
        <v>0</v>
      </c>
      <c r="AP1423" s="452">
        <f t="shared" si="8673"/>
        <v>0</v>
      </c>
      <c r="AQ1423" s="452">
        <f t="shared" si="8673"/>
        <v>0</v>
      </c>
      <c r="AR1423" s="452">
        <f t="shared" ref="AR1423:BW1423" si="8674">CHOOSE($E$1420,  - Subord_Repayment - Subord_Interest_Paid, Debt_Drawdown)</f>
        <v>0</v>
      </c>
      <c r="AS1423" s="452">
        <f t="shared" si="8674"/>
        <v>0</v>
      </c>
      <c r="AT1423" s="452">
        <f t="shared" si="8674"/>
        <v>0</v>
      </c>
      <c r="AU1423" s="452">
        <f t="shared" si="8674"/>
        <v>0</v>
      </c>
      <c r="AV1423" s="452">
        <f t="shared" si="8674"/>
        <v>0</v>
      </c>
      <c r="AW1423" s="452">
        <f t="shared" si="8674"/>
        <v>0</v>
      </c>
      <c r="AX1423" s="452">
        <f t="shared" si="8674"/>
        <v>0</v>
      </c>
      <c r="AY1423" s="452">
        <f t="shared" si="8674"/>
        <v>0</v>
      </c>
      <c r="AZ1423" s="452">
        <f t="shared" si="8674"/>
        <v>0</v>
      </c>
      <c r="BA1423" s="452">
        <f t="shared" si="8674"/>
        <v>0</v>
      </c>
      <c r="BB1423" s="452">
        <f t="shared" si="8674"/>
        <v>0</v>
      </c>
      <c r="BC1423" s="452">
        <f t="shared" si="8674"/>
        <v>0</v>
      </c>
      <c r="BD1423" s="452">
        <f t="shared" si="8674"/>
        <v>0</v>
      </c>
      <c r="BE1423" s="452">
        <f t="shared" si="8674"/>
        <v>0</v>
      </c>
      <c r="BF1423" s="452">
        <f t="shared" si="8674"/>
        <v>0</v>
      </c>
      <c r="BG1423" s="452">
        <f t="shared" si="8674"/>
        <v>0</v>
      </c>
      <c r="BH1423" s="452">
        <f t="shared" si="8674"/>
        <v>0</v>
      </c>
      <c r="BI1423" s="452">
        <f t="shared" si="8674"/>
        <v>0</v>
      </c>
      <c r="BJ1423" s="452">
        <f t="shared" si="8674"/>
        <v>0</v>
      </c>
      <c r="BK1423" s="452">
        <f t="shared" si="8674"/>
        <v>0</v>
      </c>
      <c r="BL1423" s="452">
        <f t="shared" si="8674"/>
        <v>0</v>
      </c>
      <c r="BM1423" s="452">
        <f t="shared" si="8674"/>
        <v>0</v>
      </c>
      <c r="BN1423" s="452">
        <f t="shared" si="8674"/>
        <v>0</v>
      </c>
      <c r="BO1423" s="452">
        <f t="shared" si="8674"/>
        <v>0</v>
      </c>
      <c r="BP1423" s="452">
        <f t="shared" si="8674"/>
        <v>0</v>
      </c>
      <c r="BQ1423" s="452">
        <f t="shared" si="8674"/>
        <v>0</v>
      </c>
      <c r="BR1423" s="452">
        <f t="shared" si="8674"/>
        <v>0</v>
      </c>
      <c r="BS1423" s="452">
        <f t="shared" si="8674"/>
        <v>0</v>
      </c>
      <c r="BT1423" s="452">
        <f t="shared" si="8674"/>
        <v>0</v>
      </c>
      <c r="BU1423" s="452">
        <f t="shared" si="8674"/>
        <v>0</v>
      </c>
      <c r="BV1423" s="452">
        <f t="shared" si="8674"/>
        <v>0</v>
      </c>
      <c r="BW1423" s="452">
        <f t="shared" si="8674"/>
        <v>0</v>
      </c>
      <c r="BX1423" s="452">
        <f t="shared" ref="BX1423:CO1423" si="8675">CHOOSE($E$1420,  - Subord_Repayment - Subord_Interest_Paid, Debt_Drawdown)</f>
        <v>0</v>
      </c>
      <c r="BY1423" s="452">
        <f t="shared" si="8675"/>
        <v>0</v>
      </c>
      <c r="BZ1423" s="452">
        <f t="shared" si="8675"/>
        <v>0</v>
      </c>
      <c r="CA1423" s="452">
        <f t="shared" si="8675"/>
        <v>0</v>
      </c>
      <c r="CB1423" s="452">
        <f t="shared" si="8675"/>
        <v>0</v>
      </c>
      <c r="CC1423" s="452">
        <f t="shared" si="8675"/>
        <v>0</v>
      </c>
      <c r="CD1423" s="452">
        <f t="shared" si="8675"/>
        <v>0</v>
      </c>
      <c r="CE1423" s="452">
        <f t="shared" si="8675"/>
        <v>0</v>
      </c>
      <c r="CF1423" s="452">
        <f t="shared" si="8675"/>
        <v>0</v>
      </c>
      <c r="CG1423" s="452">
        <f t="shared" si="8675"/>
        <v>0</v>
      </c>
      <c r="CH1423" s="452">
        <f t="shared" si="8675"/>
        <v>0</v>
      </c>
      <c r="CI1423" s="452">
        <f t="shared" si="8675"/>
        <v>0</v>
      </c>
      <c r="CJ1423" s="452">
        <f t="shared" si="8675"/>
        <v>0</v>
      </c>
      <c r="CK1423" s="452">
        <f t="shared" si="8675"/>
        <v>0</v>
      </c>
      <c r="CL1423" s="452">
        <f t="shared" si="8675"/>
        <v>0</v>
      </c>
      <c r="CM1423" s="452">
        <f t="shared" si="8675"/>
        <v>0</v>
      </c>
      <c r="CN1423" s="452">
        <f t="shared" si="8675"/>
        <v>0</v>
      </c>
      <c r="CO1423" s="452">
        <f t="shared" si="8675"/>
        <v>0</v>
      </c>
    </row>
    <row r="1424" spans="1:93" ht="15" thickBot="1">
      <c r="A1424" s="10"/>
      <c r="B1424" s="10"/>
      <c r="C1424" s="405" t="str">
        <f>CHOOSE(E1420,"Дивиденды","Обслуживание старшего долга")</f>
        <v>Обслуживание старшего долга</v>
      </c>
      <c r="D1424" s="10"/>
      <c r="E1424" s="62"/>
      <c r="F1424" s="10"/>
      <c r="G1424" s="134" t="str">
        <f>Monetary_Unit</f>
        <v>тыс. руб.</v>
      </c>
      <c r="H1424" s="10"/>
      <c r="I1424" s="378">
        <f t="shared" si="8666"/>
        <v>-4616063.5245886445</v>
      </c>
      <c r="J1424" s="10"/>
      <c r="K1424" s="10"/>
      <c r="L1424" s="452">
        <f t="shared" ref="L1424:AQ1424" si="8676">CHOOSE($E$1420, -Dividends, Debt_Repaiment)</f>
        <v>0</v>
      </c>
      <c r="M1424" s="452">
        <f t="shared" si="8676"/>
        <v>0</v>
      </c>
      <c r="N1424" s="452">
        <f t="shared" si="8676"/>
        <v>0</v>
      </c>
      <c r="O1424" s="452">
        <f t="shared" si="8676"/>
        <v>0</v>
      </c>
      <c r="P1424" s="452">
        <f t="shared" si="8676"/>
        <v>0</v>
      </c>
      <c r="Q1424" s="452">
        <f t="shared" si="8676"/>
        <v>0</v>
      </c>
      <c r="R1424" s="452">
        <f t="shared" si="8676"/>
        <v>0</v>
      </c>
      <c r="S1424" s="452">
        <f t="shared" si="8676"/>
        <v>0</v>
      </c>
      <c r="T1424" s="452">
        <f t="shared" si="8676"/>
        <v>0</v>
      </c>
      <c r="U1424" s="452">
        <f t="shared" si="8676"/>
        <v>0</v>
      </c>
      <c r="V1424" s="452">
        <f t="shared" si="8676"/>
        <v>0</v>
      </c>
      <c r="W1424" s="452">
        <f t="shared" si="8676"/>
        <v>0</v>
      </c>
      <c r="X1424" s="452">
        <f t="shared" si="8676"/>
        <v>0</v>
      </c>
      <c r="Y1424" s="452">
        <f t="shared" si="8676"/>
        <v>0</v>
      </c>
      <c r="Z1424" s="452">
        <f t="shared" si="8676"/>
        <v>0</v>
      </c>
      <c r="AA1424" s="452">
        <f t="shared" si="8676"/>
        <v>0</v>
      </c>
      <c r="AB1424" s="452">
        <f t="shared" si="8676"/>
        <v>0</v>
      </c>
      <c r="AC1424" s="452">
        <f t="shared" si="8676"/>
        <v>-120257.5745813126</v>
      </c>
      <c r="AD1424" s="452">
        <f t="shared" si="8676"/>
        <v>-121637.91189024376</v>
      </c>
      <c r="AE1424" s="452">
        <f t="shared" si="8676"/>
        <v>-123339.51000531408</v>
      </c>
      <c r="AF1424" s="452">
        <f t="shared" si="8676"/>
        <v>-125606.07819573313</v>
      </c>
      <c r="AG1424" s="452">
        <f t="shared" si="8676"/>
        <v>-127061.19578037452</v>
      </c>
      <c r="AH1424" s="452">
        <f t="shared" si="8676"/>
        <v>-128563.12768775418</v>
      </c>
      <c r="AI1424" s="452">
        <f t="shared" si="8676"/>
        <v>-130361.60300256562</v>
      </c>
      <c r="AJ1424" s="452">
        <f t="shared" si="8676"/>
        <v>-132668.15530246156</v>
      </c>
      <c r="AK1424" s="452">
        <f t="shared" si="8676"/>
        <v>-134249.91936226428</v>
      </c>
      <c r="AL1424" s="452">
        <f t="shared" si="8676"/>
        <v>-135882.06287757197</v>
      </c>
      <c r="AM1424" s="452">
        <f t="shared" si="8676"/>
        <v>-137782.92317637434</v>
      </c>
      <c r="AN1424" s="452">
        <f t="shared" si="8676"/>
        <v>-139971.14470821922</v>
      </c>
      <c r="AO1424" s="452">
        <f t="shared" si="8676"/>
        <v>-141902.63238530574</v>
      </c>
      <c r="AP1424" s="452">
        <f t="shared" si="8676"/>
        <v>-143670.03792972286</v>
      </c>
      <c r="AQ1424" s="452">
        <f t="shared" si="8676"/>
        <v>-145674.35340582032</v>
      </c>
      <c r="AR1424" s="452">
        <f t="shared" ref="AR1424:BW1424" si="8677">CHOOSE($E$1420, -Dividends, Debt_Repaiment)</f>
        <v>-148008.7630993452</v>
      </c>
      <c r="AS1424" s="452">
        <f t="shared" si="8677"/>
        <v>-149871.07920509396</v>
      </c>
      <c r="AT1424" s="452">
        <f t="shared" si="8677"/>
        <v>-151791.69348981642</v>
      </c>
      <c r="AU1424" s="452">
        <f t="shared" si="8677"/>
        <v>-153915.11464673752</v>
      </c>
      <c r="AV1424" s="452">
        <f t="shared" si="8677"/>
        <v>-156333.60585778209</v>
      </c>
      <c r="AW1424" s="452">
        <f t="shared" si="8677"/>
        <v>-158350.97398656677</v>
      </c>
      <c r="AX1424" s="452">
        <f t="shared" si="8677"/>
        <v>-160431.02744453712</v>
      </c>
      <c r="AY1424" s="452">
        <f t="shared" si="8677"/>
        <v>-162675.30504555287</v>
      </c>
      <c r="AZ1424" s="452">
        <f t="shared" si="8677"/>
        <v>-165127.81642803919</v>
      </c>
      <c r="BA1424" s="452">
        <f t="shared" si="8677"/>
        <v>-167310.90669825437</v>
      </c>
      <c r="BB1424" s="452">
        <f t="shared" si="8677"/>
        <v>-169561.37863199293</v>
      </c>
      <c r="BC1424" s="452">
        <f t="shared" si="8677"/>
        <v>-171933.38225283392</v>
      </c>
      <c r="BD1424" s="452">
        <f t="shared" si="8677"/>
        <v>-174388.10819967216</v>
      </c>
      <c r="BE1424" s="452">
        <f t="shared" si="8677"/>
        <v>-176794.52548106818</v>
      </c>
      <c r="BF1424" s="452">
        <f t="shared" si="8677"/>
        <v>-179220.65636013079</v>
      </c>
      <c r="BG1424" s="452">
        <f t="shared" si="8677"/>
        <v>-181720.95747018265</v>
      </c>
      <c r="BH1424" s="452">
        <f t="shared" si="8677"/>
        <v>0</v>
      </c>
      <c r="BI1424" s="452">
        <f t="shared" si="8677"/>
        <v>0</v>
      </c>
      <c r="BJ1424" s="452">
        <f t="shared" si="8677"/>
        <v>0</v>
      </c>
      <c r="BK1424" s="452">
        <f t="shared" si="8677"/>
        <v>0</v>
      </c>
      <c r="BL1424" s="452">
        <f t="shared" si="8677"/>
        <v>0</v>
      </c>
      <c r="BM1424" s="452">
        <f t="shared" si="8677"/>
        <v>0</v>
      </c>
      <c r="BN1424" s="452">
        <f t="shared" si="8677"/>
        <v>0</v>
      </c>
      <c r="BO1424" s="452">
        <f t="shared" si="8677"/>
        <v>0</v>
      </c>
      <c r="BP1424" s="452">
        <f t="shared" si="8677"/>
        <v>0</v>
      </c>
      <c r="BQ1424" s="452">
        <f t="shared" si="8677"/>
        <v>0</v>
      </c>
      <c r="BR1424" s="452">
        <f t="shared" si="8677"/>
        <v>0</v>
      </c>
      <c r="BS1424" s="452">
        <f t="shared" si="8677"/>
        <v>0</v>
      </c>
      <c r="BT1424" s="452">
        <f t="shared" si="8677"/>
        <v>0</v>
      </c>
      <c r="BU1424" s="452">
        <f t="shared" si="8677"/>
        <v>0</v>
      </c>
      <c r="BV1424" s="452">
        <f t="shared" si="8677"/>
        <v>0</v>
      </c>
      <c r="BW1424" s="452">
        <f t="shared" si="8677"/>
        <v>0</v>
      </c>
      <c r="BX1424" s="452">
        <f t="shared" ref="BX1424:CO1424" si="8678">CHOOSE($E$1420, -Dividends, Debt_Repaiment)</f>
        <v>0</v>
      </c>
      <c r="BY1424" s="452">
        <f t="shared" si="8678"/>
        <v>0</v>
      </c>
      <c r="BZ1424" s="452">
        <f t="shared" si="8678"/>
        <v>0</v>
      </c>
      <c r="CA1424" s="452">
        <f t="shared" si="8678"/>
        <v>0</v>
      </c>
      <c r="CB1424" s="452">
        <f t="shared" si="8678"/>
        <v>0</v>
      </c>
      <c r="CC1424" s="452">
        <f t="shared" si="8678"/>
        <v>0</v>
      </c>
      <c r="CD1424" s="452">
        <f t="shared" si="8678"/>
        <v>0</v>
      </c>
      <c r="CE1424" s="452">
        <f t="shared" si="8678"/>
        <v>0</v>
      </c>
      <c r="CF1424" s="452">
        <f t="shared" si="8678"/>
        <v>0</v>
      </c>
      <c r="CG1424" s="452">
        <f t="shared" si="8678"/>
        <v>0</v>
      </c>
      <c r="CH1424" s="452">
        <f t="shared" si="8678"/>
        <v>0</v>
      </c>
      <c r="CI1424" s="452">
        <f t="shared" si="8678"/>
        <v>0</v>
      </c>
      <c r="CJ1424" s="452">
        <f t="shared" si="8678"/>
        <v>0</v>
      </c>
      <c r="CK1424" s="452">
        <f t="shared" si="8678"/>
        <v>0</v>
      </c>
      <c r="CL1424" s="452">
        <f t="shared" si="8678"/>
        <v>0</v>
      </c>
      <c r="CM1424" s="452">
        <f t="shared" si="8678"/>
        <v>0</v>
      </c>
      <c r="CN1424" s="452">
        <f t="shared" si="8678"/>
        <v>0</v>
      </c>
      <c r="CO1424" s="452">
        <f t="shared" si="8678"/>
        <v>0</v>
      </c>
    </row>
    <row r="1425" spans="1:94" ht="15" thickTop="1">
      <c r="A1425" s="35"/>
      <c r="B1425" s="35"/>
      <c r="C1425" s="49" t="s">
        <v>424</v>
      </c>
      <c r="D1425" s="49"/>
      <c r="E1425" s="105"/>
      <c r="F1425" s="49"/>
      <c r="G1425" s="137" t="str">
        <f>Monetary_Unit</f>
        <v>тыс. руб.</v>
      </c>
      <c r="H1425" s="49"/>
      <c r="I1425" s="374">
        <f t="shared" ca="1" si="8666"/>
        <v>8525791.81858325</v>
      </c>
      <c r="J1425" s="49"/>
      <c r="K1425" s="49"/>
      <c r="L1425" s="174">
        <f t="shared" ref="L1425" ca="1" si="8679">SUM(L1421:L1424)</f>
        <v>-31406.153379286916</v>
      </c>
      <c r="M1425" s="174">
        <f t="shared" ref="M1425:BX1425" ca="1" si="8680">SUM(M1421:M1424)</f>
        <v>-31851.960190507532</v>
      </c>
      <c r="N1425" s="174">
        <f t="shared" ca="1" si="8680"/>
        <v>-32304.095179220327</v>
      </c>
      <c r="O1425" s="174">
        <f t="shared" ca="1" si="8680"/>
        <v>-32762.648173192309</v>
      </c>
      <c r="P1425" s="174">
        <f t="shared" ca="1" si="8680"/>
        <v>-275591.46580799518</v>
      </c>
      <c r="Q1425" s="174">
        <f t="shared" ca="1" si="8680"/>
        <v>-278306.9805620276</v>
      </c>
      <c r="R1425" s="174">
        <f t="shared" ca="1" si="8680"/>
        <v>-281049.25238692126</v>
      </c>
      <c r="S1425" s="174">
        <f t="shared" ca="1" si="8680"/>
        <v>-191482.31721048581</v>
      </c>
      <c r="T1425" s="174">
        <f t="shared" ca="1" si="8680"/>
        <v>-6580.6543476469233</v>
      </c>
      <c r="U1425" s="174">
        <f t="shared" ca="1" si="8680"/>
        <v>-10424.828632825869</v>
      </c>
      <c r="V1425" s="174">
        <f t="shared" ca="1" si="8680"/>
        <v>-14389.449341359024</v>
      </c>
      <c r="W1425" s="174">
        <f t="shared" ca="1" si="8680"/>
        <v>-18277.447721111181</v>
      </c>
      <c r="X1425" s="174">
        <f t="shared" ca="1" si="8680"/>
        <v>-24140.85683877836</v>
      </c>
      <c r="Y1425" s="174">
        <f t="shared" ca="1" si="8680"/>
        <v>-32309.005873886519</v>
      </c>
      <c r="Z1425" s="174">
        <f t="shared" ca="1" si="8680"/>
        <v>-41003.327342873323</v>
      </c>
      <c r="AA1425" s="174">
        <f t="shared" ca="1" si="8680"/>
        <v>-49424.775082291686</v>
      </c>
      <c r="AB1425" s="174">
        <f t="shared" ca="1" si="8680"/>
        <v>-58090.737579888082</v>
      </c>
      <c r="AC1425" s="174">
        <f t="shared" ca="1" si="8680"/>
        <v>686102.4142472886</v>
      </c>
      <c r="AD1425" s="174">
        <f t="shared" ca="1" si="8680"/>
        <v>138995.58547652321</v>
      </c>
      <c r="AE1425" s="174">
        <f t="shared" ca="1" si="8680"/>
        <v>36147.94938724878</v>
      </c>
      <c r="AF1425" s="174">
        <f t="shared" ca="1" si="8680"/>
        <v>-21409.856700770208</v>
      </c>
      <c r="AG1425" s="174">
        <f t="shared" ca="1" si="8680"/>
        <v>-13669.947740223899</v>
      </c>
      <c r="AH1425" s="174">
        <f t="shared" ca="1" si="8680"/>
        <v>57182.486307595609</v>
      </c>
      <c r="AI1425" s="174">
        <f t="shared" ca="1" si="8680"/>
        <v>78173.194179137354</v>
      </c>
      <c r="AJ1425" s="174">
        <f t="shared" ca="1" si="8680"/>
        <v>8726.8086217150849</v>
      </c>
      <c r="AK1425" s="174">
        <f t="shared" ca="1" si="8680"/>
        <v>17010.584646151838</v>
      </c>
      <c r="AL1425" s="174">
        <f t="shared" ca="1" si="8680"/>
        <v>99475.807824285643</v>
      </c>
      <c r="AM1425" s="174">
        <f t="shared" ca="1" si="8680"/>
        <v>123202.96161739965</v>
      </c>
      <c r="AN1425" s="174">
        <f t="shared" ca="1" si="8680"/>
        <v>42748.309929903888</v>
      </c>
      <c r="AO1425" s="174">
        <f t="shared" ca="1" si="8680"/>
        <v>49937.086831113818</v>
      </c>
      <c r="AP1425" s="174">
        <f t="shared" ca="1" si="8680"/>
        <v>141729.88994279969</v>
      </c>
      <c r="AQ1425" s="174">
        <f t="shared" ca="1" si="8680"/>
        <v>160798.98248832172</v>
      </c>
      <c r="AR1425" s="174">
        <f t="shared" ca="1" si="8680"/>
        <v>61597.462780265138</v>
      </c>
      <c r="AS1425" s="174">
        <f t="shared" ca="1" si="8680"/>
        <v>61934.838676213985</v>
      </c>
      <c r="AT1425" s="174">
        <f t="shared" ca="1" si="8680"/>
        <v>152696.91451470894</v>
      </c>
      <c r="AU1425" s="174">
        <f t="shared" ca="1" si="8680"/>
        <v>166797.1390882057</v>
      </c>
      <c r="AV1425" s="174">
        <f t="shared" ca="1" si="8680"/>
        <v>64056.714336277917</v>
      </c>
      <c r="AW1425" s="174">
        <f t="shared" ca="1" si="8680"/>
        <v>107973.36274285452</v>
      </c>
      <c r="AX1425" s="174">
        <f t="shared" ca="1" si="8680"/>
        <v>84851.201995847252</v>
      </c>
      <c r="AY1425" s="174">
        <f t="shared" ca="1" si="8680"/>
        <v>10608.520906129299</v>
      </c>
      <c r="AZ1425" s="174">
        <f t="shared" ca="1" si="8680"/>
        <v>-42890.270483924687</v>
      </c>
      <c r="BA1425" s="174">
        <f t="shared" ca="1" si="8680"/>
        <v>-1307.0405516153842</v>
      </c>
      <c r="BB1425" s="174">
        <f t="shared" ca="1" si="8680"/>
        <v>61945.077347885846</v>
      </c>
      <c r="BC1425" s="174">
        <f t="shared" ca="1" si="8680"/>
        <v>17715.546658842009</v>
      </c>
      <c r="BD1425" s="174">
        <f t="shared" ca="1" si="8680"/>
        <v>-35884.306000194192</v>
      </c>
      <c r="BE1425" s="174">
        <f t="shared" ca="1" si="8680"/>
        <v>2706.567238822754</v>
      </c>
      <c r="BF1425" s="174">
        <f t="shared" ca="1" si="8680"/>
        <v>69156.814042669168</v>
      </c>
      <c r="BG1425" s="174">
        <f t="shared" ca="1" si="8680"/>
        <v>23187.54017670601</v>
      </c>
      <c r="BH1425" s="174">
        <f t="shared" ca="1" si="8680"/>
        <v>149271.3857948205</v>
      </c>
      <c r="BI1425" s="174">
        <f t="shared" ca="1" si="8680"/>
        <v>194467.00727934245</v>
      </c>
      <c r="BJ1425" s="174">
        <f t="shared" ca="1" si="8680"/>
        <v>263143.28819603729</v>
      </c>
      <c r="BK1425" s="174">
        <f t="shared" ca="1" si="8680"/>
        <v>215603.7609729098</v>
      </c>
      <c r="BL1425" s="174">
        <f t="shared" ca="1" si="8680"/>
        <v>155296.66139235115</v>
      </c>
      <c r="BM1425" s="174">
        <f t="shared" ca="1" si="8680"/>
        <v>202301.54613887856</v>
      </c>
      <c r="BN1425" s="174">
        <f t="shared" ca="1" si="8680"/>
        <v>273726.34847685776</v>
      </c>
      <c r="BO1425" s="174">
        <f t="shared" ca="1" si="8680"/>
        <v>211339.56051991874</v>
      </c>
      <c r="BP1425" s="174">
        <f t="shared" ca="1" si="8680"/>
        <v>149413.85129333788</v>
      </c>
      <c r="BQ1425" s="174">
        <f t="shared" ca="1" si="8680"/>
        <v>190474.50395881923</v>
      </c>
      <c r="BR1425" s="174">
        <f t="shared" ca="1" si="8680"/>
        <v>258984.8702972231</v>
      </c>
      <c r="BS1425" s="174">
        <f t="shared" ca="1" si="8680"/>
        <v>219743.48235772018</v>
      </c>
      <c r="BT1425" s="174">
        <f t="shared" ca="1" si="8680"/>
        <v>157749.91729861218</v>
      </c>
      <c r="BU1425" s="174">
        <f t="shared" ca="1" si="8680"/>
        <v>197317.58972668706</v>
      </c>
      <c r="BV1425" s="174">
        <f t="shared" ca="1" si="8680"/>
        <v>269303.81083330908</v>
      </c>
      <c r="BW1425" s="174">
        <f t="shared" ca="1" si="8680"/>
        <v>228492.77329331194</v>
      </c>
      <c r="BX1425" s="174">
        <f t="shared" ca="1" si="8680"/>
        <v>161499.22810249944</v>
      </c>
      <c r="BY1425" s="174">
        <f t="shared" ref="BY1425:CO1425" ca="1" si="8681">SUM(BY1421:BY1424)</f>
        <v>205913.19083422469</v>
      </c>
      <c r="BZ1425" s="174">
        <f t="shared" ca="1" si="8681"/>
        <v>280016.72812416521</v>
      </c>
      <c r="CA1425" s="174">
        <f t="shared" ca="1" si="8681"/>
        <v>237573.24292879915</v>
      </c>
      <c r="CB1425" s="174">
        <f t="shared" ca="1" si="8681"/>
        <v>167906.9021982312</v>
      </c>
      <c r="CC1425" s="174">
        <f t="shared" ca="1" si="8681"/>
        <v>214098.72207169508</v>
      </c>
      <c r="CD1425" s="174">
        <f t="shared" ca="1" si="8681"/>
        <v>291167.7366661366</v>
      </c>
      <c r="CE1425" s="174">
        <f t="shared" ca="1" si="8681"/>
        <v>247026.51206295512</v>
      </c>
      <c r="CF1425" s="174">
        <f t="shared" ca="1" si="8681"/>
        <v>174570.84607735806</v>
      </c>
      <c r="CG1425" s="174">
        <f t="shared" ca="1" si="8681"/>
        <v>222611.67455866357</v>
      </c>
      <c r="CH1425" s="174">
        <f t="shared" ca="1" si="8681"/>
        <v>302764.78554978635</v>
      </c>
      <c r="CI1425" s="174">
        <f t="shared" ca="1" si="8681"/>
        <v>256857.9119624786</v>
      </c>
      <c r="CJ1425" s="174">
        <f t="shared" ca="1" si="8681"/>
        <v>184327.12636069866</v>
      </c>
      <c r="CK1425" s="174">
        <f t="shared" ca="1" si="8681"/>
        <v>230615.70664995746</v>
      </c>
      <c r="CL1425" s="174">
        <f t="shared" ca="1" si="8681"/>
        <v>314835.06059641473</v>
      </c>
      <c r="CM1425" s="174">
        <f t="shared" ca="1" si="8681"/>
        <v>267091.91898776789</v>
      </c>
      <c r="CN1425" s="174">
        <f t="shared" ca="1" si="8681"/>
        <v>188709.02758838091</v>
      </c>
      <c r="CO1425" s="174">
        <f t="shared" ca="1" si="8681"/>
        <v>240672.75455501606</v>
      </c>
    </row>
    <row r="1426" spans="1:94" ht="15" thickBot="1">
      <c r="A1426" s="35"/>
      <c r="B1426" s="35"/>
      <c r="C1426" s="369" t="s">
        <v>1065</v>
      </c>
      <c r="D1426" s="372"/>
      <c r="E1426" s="188" t="str">
        <f>Предпосылки!E625</f>
        <v>нет</v>
      </c>
      <c r="F1426" s="372"/>
      <c r="G1426" s="373" t="s">
        <v>26</v>
      </c>
      <c r="H1426" s="372"/>
      <c r="I1426" s="370">
        <f t="shared" ca="1" si="8666"/>
        <v>0</v>
      </c>
      <c r="J1426" s="372"/>
      <c r="K1426" s="372"/>
      <c r="L1426" s="454">
        <f t="shared" ref="L1426:AQ1426" ca="1" si="8682">($E$1426="да")* (SUM(I1425:L1425) * (1 + $E$1382) / (Required_Rate_of_Return- $E$1382)+Cash_EoP*($E$1420=1))  * Flag_Last_Operations</f>
        <v>0</v>
      </c>
      <c r="M1426" s="454">
        <f t="shared" ca="1" si="8682"/>
        <v>0</v>
      </c>
      <c r="N1426" s="454">
        <f t="shared" ca="1" si="8682"/>
        <v>0</v>
      </c>
      <c r="O1426" s="454">
        <f t="shared" ca="1" si="8682"/>
        <v>0</v>
      </c>
      <c r="P1426" s="454">
        <f t="shared" ca="1" si="8682"/>
        <v>0</v>
      </c>
      <c r="Q1426" s="454">
        <f t="shared" ca="1" si="8682"/>
        <v>0</v>
      </c>
      <c r="R1426" s="454">
        <f t="shared" ca="1" si="8682"/>
        <v>0</v>
      </c>
      <c r="S1426" s="454">
        <f t="shared" ca="1" si="8682"/>
        <v>0</v>
      </c>
      <c r="T1426" s="454">
        <f t="shared" ca="1" si="8682"/>
        <v>0</v>
      </c>
      <c r="U1426" s="454">
        <f t="shared" ca="1" si="8682"/>
        <v>0</v>
      </c>
      <c r="V1426" s="454">
        <f t="shared" ca="1" si="8682"/>
        <v>0</v>
      </c>
      <c r="W1426" s="454">
        <f t="shared" ca="1" si="8682"/>
        <v>0</v>
      </c>
      <c r="X1426" s="454">
        <f t="shared" ca="1" si="8682"/>
        <v>0</v>
      </c>
      <c r="Y1426" s="454">
        <f t="shared" ca="1" si="8682"/>
        <v>0</v>
      </c>
      <c r="Z1426" s="454">
        <f t="shared" ca="1" si="8682"/>
        <v>0</v>
      </c>
      <c r="AA1426" s="454">
        <f t="shared" ca="1" si="8682"/>
        <v>0</v>
      </c>
      <c r="AB1426" s="454">
        <f t="shared" ca="1" si="8682"/>
        <v>0</v>
      </c>
      <c r="AC1426" s="454">
        <f t="shared" ca="1" si="8682"/>
        <v>0</v>
      </c>
      <c r="AD1426" s="454">
        <f t="shared" ca="1" si="8682"/>
        <v>0</v>
      </c>
      <c r="AE1426" s="454">
        <f t="shared" ca="1" si="8682"/>
        <v>0</v>
      </c>
      <c r="AF1426" s="454">
        <f t="shared" ca="1" si="8682"/>
        <v>0</v>
      </c>
      <c r="AG1426" s="454">
        <f t="shared" ca="1" si="8682"/>
        <v>0</v>
      </c>
      <c r="AH1426" s="454">
        <f t="shared" ca="1" si="8682"/>
        <v>0</v>
      </c>
      <c r="AI1426" s="454">
        <f t="shared" ca="1" si="8682"/>
        <v>0</v>
      </c>
      <c r="AJ1426" s="454">
        <f t="shared" ca="1" si="8682"/>
        <v>0</v>
      </c>
      <c r="AK1426" s="454">
        <f t="shared" ca="1" si="8682"/>
        <v>0</v>
      </c>
      <c r="AL1426" s="454">
        <f t="shared" ca="1" si="8682"/>
        <v>0</v>
      </c>
      <c r="AM1426" s="454">
        <f t="shared" ca="1" si="8682"/>
        <v>0</v>
      </c>
      <c r="AN1426" s="454">
        <f t="shared" ca="1" si="8682"/>
        <v>0</v>
      </c>
      <c r="AO1426" s="454">
        <f t="shared" ca="1" si="8682"/>
        <v>0</v>
      </c>
      <c r="AP1426" s="454">
        <f t="shared" ca="1" si="8682"/>
        <v>0</v>
      </c>
      <c r="AQ1426" s="454">
        <f t="shared" ca="1" si="8682"/>
        <v>0</v>
      </c>
      <c r="AR1426" s="454">
        <f t="shared" ref="AR1426:BW1426" ca="1" si="8683">($E$1426="да")* (SUM(AO1425:AR1425) * (1 + $E$1382) / (Required_Rate_of_Return- $E$1382)+Cash_EoP*($E$1420=1))  * Flag_Last_Operations</f>
        <v>0</v>
      </c>
      <c r="AS1426" s="454">
        <f t="shared" ca="1" si="8683"/>
        <v>0</v>
      </c>
      <c r="AT1426" s="454">
        <f t="shared" ca="1" si="8683"/>
        <v>0</v>
      </c>
      <c r="AU1426" s="454">
        <f t="shared" ca="1" si="8683"/>
        <v>0</v>
      </c>
      <c r="AV1426" s="454">
        <f t="shared" ca="1" si="8683"/>
        <v>0</v>
      </c>
      <c r="AW1426" s="454">
        <f t="shared" ca="1" si="8683"/>
        <v>0</v>
      </c>
      <c r="AX1426" s="454">
        <f t="shared" ca="1" si="8683"/>
        <v>0</v>
      </c>
      <c r="AY1426" s="454">
        <f t="shared" ca="1" si="8683"/>
        <v>0</v>
      </c>
      <c r="AZ1426" s="454">
        <f t="shared" ca="1" si="8683"/>
        <v>0</v>
      </c>
      <c r="BA1426" s="454">
        <f t="shared" ca="1" si="8683"/>
        <v>0</v>
      </c>
      <c r="BB1426" s="454">
        <f t="shared" ca="1" si="8683"/>
        <v>0</v>
      </c>
      <c r="BC1426" s="454">
        <f t="shared" ca="1" si="8683"/>
        <v>0</v>
      </c>
      <c r="BD1426" s="454">
        <f t="shared" ca="1" si="8683"/>
        <v>0</v>
      </c>
      <c r="BE1426" s="454">
        <f t="shared" ca="1" si="8683"/>
        <v>0</v>
      </c>
      <c r="BF1426" s="454">
        <f t="shared" ca="1" si="8683"/>
        <v>0</v>
      </c>
      <c r="BG1426" s="454">
        <f t="shared" ca="1" si="8683"/>
        <v>0</v>
      </c>
      <c r="BH1426" s="454">
        <f t="shared" ca="1" si="8683"/>
        <v>0</v>
      </c>
      <c r="BI1426" s="454">
        <f t="shared" ca="1" si="8683"/>
        <v>0</v>
      </c>
      <c r="BJ1426" s="454">
        <f t="shared" ca="1" si="8683"/>
        <v>0</v>
      </c>
      <c r="BK1426" s="454">
        <f t="shared" ca="1" si="8683"/>
        <v>0</v>
      </c>
      <c r="BL1426" s="454">
        <f t="shared" ca="1" si="8683"/>
        <v>0</v>
      </c>
      <c r="BM1426" s="454">
        <f t="shared" ca="1" si="8683"/>
        <v>0</v>
      </c>
      <c r="BN1426" s="454">
        <f t="shared" ca="1" si="8683"/>
        <v>0</v>
      </c>
      <c r="BO1426" s="454">
        <f t="shared" ca="1" si="8683"/>
        <v>0</v>
      </c>
      <c r="BP1426" s="454">
        <f t="shared" ca="1" si="8683"/>
        <v>0</v>
      </c>
      <c r="BQ1426" s="454">
        <f t="shared" ca="1" si="8683"/>
        <v>0</v>
      </c>
      <c r="BR1426" s="454">
        <f t="shared" ca="1" si="8683"/>
        <v>0</v>
      </c>
      <c r="BS1426" s="454">
        <f t="shared" ca="1" si="8683"/>
        <v>0</v>
      </c>
      <c r="BT1426" s="454">
        <f t="shared" ca="1" si="8683"/>
        <v>0</v>
      </c>
      <c r="BU1426" s="454">
        <f t="shared" ca="1" si="8683"/>
        <v>0</v>
      </c>
      <c r="BV1426" s="454">
        <f t="shared" ca="1" si="8683"/>
        <v>0</v>
      </c>
      <c r="BW1426" s="454">
        <f t="shared" ca="1" si="8683"/>
        <v>0</v>
      </c>
      <c r="BX1426" s="454">
        <f t="shared" ref="BX1426:CO1426" ca="1" si="8684">($E$1426="да")* (SUM(BU1425:BX1425) * (1 + $E$1382) / (Required_Rate_of_Return- $E$1382)+Cash_EoP*($E$1420=1))  * Flag_Last_Operations</f>
        <v>0</v>
      </c>
      <c r="BY1426" s="454">
        <f t="shared" ca="1" si="8684"/>
        <v>0</v>
      </c>
      <c r="BZ1426" s="454">
        <f t="shared" ca="1" si="8684"/>
        <v>0</v>
      </c>
      <c r="CA1426" s="454">
        <f t="shared" ca="1" si="8684"/>
        <v>0</v>
      </c>
      <c r="CB1426" s="454">
        <f t="shared" ca="1" si="8684"/>
        <v>0</v>
      </c>
      <c r="CC1426" s="454">
        <f t="shared" ca="1" si="8684"/>
        <v>0</v>
      </c>
      <c r="CD1426" s="454">
        <f t="shared" ca="1" si="8684"/>
        <v>0</v>
      </c>
      <c r="CE1426" s="454">
        <f t="shared" ca="1" si="8684"/>
        <v>0</v>
      </c>
      <c r="CF1426" s="454">
        <f t="shared" ca="1" si="8684"/>
        <v>0</v>
      </c>
      <c r="CG1426" s="454">
        <f t="shared" ca="1" si="8684"/>
        <v>0</v>
      </c>
      <c r="CH1426" s="454">
        <f t="shared" ca="1" si="8684"/>
        <v>0</v>
      </c>
      <c r="CI1426" s="454">
        <f t="shared" ca="1" si="8684"/>
        <v>0</v>
      </c>
      <c r="CJ1426" s="454">
        <f t="shared" ca="1" si="8684"/>
        <v>0</v>
      </c>
      <c r="CK1426" s="454">
        <f t="shared" ca="1" si="8684"/>
        <v>0</v>
      </c>
      <c r="CL1426" s="454">
        <f t="shared" ca="1" si="8684"/>
        <v>0</v>
      </c>
      <c r="CM1426" s="454">
        <f t="shared" ca="1" si="8684"/>
        <v>0</v>
      </c>
      <c r="CN1426" s="454">
        <f t="shared" ca="1" si="8684"/>
        <v>0</v>
      </c>
      <c r="CO1426" s="454">
        <f t="shared" ca="1" si="8684"/>
        <v>0</v>
      </c>
    </row>
    <row r="1427" spans="1:94" ht="15" thickTop="1">
      <c r="A1427" s="35"/>
      <c r="B1427" s="35"/>
      <c r="C1427" s="49" t="s">
        <v>424</v>
      </c>
      <c r="D1427" s="49"/>
      <c r="E1427" s="105"/>
      <c r="F1427" s="49"/>
      <c r="G1427" s="137"/>
      <c r="H1427" s="49"/>
      <c r="I1427" s="374">
        <f t="shared" ca="1" si="8666"/>
        <v>8525791.81858325</v>
      </c>
      <c r="J1427" s="49"/>
      <c r="K1427" s="49"/>
      <c r="L1427" s="174">
        <f t="shared" ref="L1427" ca="1" si="8685">SUM(L1425:L1426)</f>
        <v>-31406.153379286916</v>
      </c>
      <c r="M1427" s="174">
        <f t="shared" ref="M1427:BX1427" ca="1" si="8686">SUM(M1425:M1426)</f>
        <v>-31851.960190507532</v>
      </c>
      <c r="N1427" s="174">
        <f t="shared" ca="1" si="8686"/>
        <v>-32304.095179220327</v>
      </c>
      <c r="O1427" s="174">
        <f t="shared" ca="1" si="8686"/>
        <v>-32762.648173192309</v>
      </c>
      <c r="P1427" s="174">
        <f t="shared" ca="1" si="8686"/>
        <v>-275591.46580799518</v>
      </c>
      <c r="Q1427" s="174">
        <f t="shared" ca="1" si="8686"/>
        <v>-278306.9805620276</v>
      </c>
      <c r="R1427" s="174">
        <f t="shared" ca="1" si="8686"/>
        <v>-281049.25238692126</v>
      </c>
      <c r="S1427" s="174">
        <f t="shared" ca="1" si="8686"/>
        <v>-191482.31721048581</v>
      </c>
      <c r="T1427" s="174">
        <f t="shared" ca="1" si="8686"/>
        <v>-6580.6543476469233</v>
      </c>
      <c r="U1427" s="174">
        <f t="shared" ca="1" si="8686"/>
        <v>-10424.828632825869</v>
      </c>
      <c r="V1427" s="174">
        <f t="shared" ca="1" si="8686"/>
        <v>-14389.449341359024</v>
      </c>
      <c r="W1427" s="174">
        <f t="shared" ca="1" si="8686"/>
        <v>-18277.447721111181</v>
      </c>
      <c r="X1427" s="174">
        <f t="shared" ca="1" si="8686"/>
        <v>-24140.85683877836</v>
      </c>
      <c r="Y1427" s="174">
        <f t="shared" ca="1" si="8686"/>
        <v>-32309.005873886519</v>
      </c>
      <c r="Z1427" s="174">
        <f t="shared" ca="1" si="8686"/>
        <v>-41003.327342873323</v>
      </c>
      <c r="AA1427" s="174">
        <f t="shared" ca="1" si="8686"/>
        <v>-49424.775082291686</v>
      </c>
      <c r="AB1427" s="174">
        <f t="shared" ca="1" si="8686"/>
        <v>-58090.737579888082</v>
      </c>
      <c r="AC1427" s="174">
        <f t="shared" ca="1" si="8686"/>
        <v>686102.4142472886</v>
      </c>
      <c r="AD1427" s="174">
        <f t="shared" ca="1" si="8686"/>
        <v>138995.58547652321</v>
      </c>
      <c r="AE1427" s="174">
        <f t="shared" ca="1" si="8686"/>
        <v>36147.94938724878</v>
      </c>
      <c r="AF1427" s="174">
        <f t="shared" ca="1" si="8686"/>
        <v>-21409.856700770208</v>
      </c>
      <c r="AG1427" s="174">
        <f t="shared" ca="1" si="8686"/>
        <v>-13669.947740223899</v>
      </c>
      <c r="AH1427" s="174">
        <f t="shared" ca="1" si="8686"/>
        <v>57182.486307595609</v>
      </c>
      <c r="AI1427" s="174">
        <f t="shared" ca="1" si="8686"/>
        <v>78173.194179137354</v>
      </c>
      <c r="AJ1427" s="174">
        <f t="shared" ca="1" si="8686"/>
        <v>8726.8086217150849</v>
      </c>
      <c r="AK1427" s="174">
        <f t="shared" ca="1" si="8686"/>
        <v>17010.584646151838</v>
      </c>
      <c r="AL1427" s="174">
        <f t="shared" ca="1" si="8686"/>
        <v>99475.807824285643</v>
      </c>
      <c r="AM1427" s="174">
        <f t="shared" ca="1" si="8686"/>
        <v>123202.96161739965</v>
      </c>
      <c r="AN1427" s="174">
        <f t="shared" ca="1" si="8686"/>
        <v>42748.309929903888</v>
      </c>
      <c r="AO1427" s="174">
        <f t="shared" ca="1" si="8686"/>
        <v>49937.086831113818</v>
      </c>
      <c r="AP1427" s="174">
        <f t="shared" ca="1" si="8686"/>
        <v>141729.88994279969</v>
      </c>
      <c r="AQ1427" s="174">
        <f t="shared" ca="1" si="8686"/>
        <v>160798.98248832172</v>
      </c>
      <c r="AR1427" s="174">
        <f t="shared" ca="1" si="8686"/>
        <v>61597.462780265138</v>
      </c>
      <c r="AS1427" s="174">
        <f t="shared" ca="1" si="8686"/>
        <v>61934.838676213985</v>
      </c>
      <c r="AT1427" s="174">
        <f t="shared" ca="1" si="8686"/>
        <v>152696.91451470894</v>
      </c>
      <c r="AU1427" s="174">
        <f t="shared" ca="1" si="8686"/>
        <v>166797.1390882057</v>
      </c>
      <c r="AV1427" s="174">
        <f t="shared" ca="1" si="8686"/>
        <v>64056.714336277917</v>
      </c>
      <c r="AW1427" s="174">
        <f t="shared" ca="1" si="8686"/>
        <v>107973.36274285452</v>
      </c>
      <c r="AX1427" s="174">
        <f t="shared" ca="1" si="8686"/>
        <v>84851.201995847252</v>
      </c>
      <c r="AY1427" s="174">
        <f t="shared" ca="1" si="8686"/>
        <v>10608.520906129299</v>
      </c>
      <c r="AZ1427" s="174">
        <f t="shared" ca="1" si="8686"/>
        <v>-42890.270483924687</v>
      </c>
      <c r="BA1427" s="174">
        <f t="shared" ca="1" si="8686"/>
        <v>-1307.0405516153842</v>
      </c>
      <c r="BB1427" s="174">
        <f t="shared" ca="1" si="8686"/>
        <v>61945.077347885846</v>
      </c>
      <c r="BC1427" s="174">
        <f t="shared" ca="1" si="8686"/>
        <v>17715.546658842009</v>
      </c>
      <c r="BD1427" s="174">
        <f t="shared" ca="1" si="8686"/>
        <v>-35884.306000194192</v>
      </c>
      <c r="BE1427" s="174">
        <f t="shared" ca="1" si="8686"/>
        <v>2706.567238822754</v>
      </c>
      <c r="BF1427" s="174">
        <f t="shared" ca="1" si="8686"/>
        <v>69156.814042669168</v>
      </c>
      <c r="BG1427" s="174">
        <f t="shared" ca="1" si="8686"/>
        <v>23187.54017670601</v>
      </c>
      <c r="BH1427" s="174">
        <f t="shared" ca="1" si="8686"/>
        <v>149271.3857948205</v>
      </c>
      <c r="BI1427" s="174">
        <f t="shared" ca="1" si="8686"/>
        <v>194467.00727934245</v>
      </c>
      <c r="BJ1427" s="174">
        <f t="shared" ca="1" si="8686"/>
        <v>263143.28819603729</v>
      </c>
      <c r="BK1427" s="174">
        <f t="shared" ca="1" si="8686"/>
        <v>215603.7609729098</v>
      </c>
      <c r="BL1427" s="174">
        <f t="shared" ca="1" si="8686"/>
        <v>155296.66139235115</v>
      </c>
      <c r="BM1427" s="174">
        <f t="shared" ca="1" si="8686"/>
        <v>202301.54613887856</v>
      </c>
      <c r="BN1427" s="174">
        <f t="shared" ca="1" si="8686"/>
        <v>273726.34847685776</v>
      </c>
      <c r="BO1427" s="174">
        <f t="shared" ca="1" si="8686"/>
        <v>211339.56051991874</v>
      </c>
      <c r="BP1427" s="174">
        <f t="shared" ca="1" si="8686"/>
        <v>149413.85129333788</v>
      </c>
      <c r="BQ1427" s="174">
        <f t="shared" ca="1" si="8686"/>
        <v>190474.50395881923</v>
      </c>
      <c r="BR1427" s="174">
        <f t="shared" ca="1" si="8686"/>
        <v>258984.8702972231</v>
      </c>
      <c r="BS1427" s="174">
        <f t="shared" ca="1" si="8686"/>
        <v>219743.48235772018</v>
      </c>
      <c r="BT1427" s="174">
        <f t="shared" ca="1" si="8686"/>
        <v>157749.91729861218</v>
      </c>
      <c r="BU1427" s="174">
        <f t="shared" ca="1" si="8686"/>
        <v>197317.58972668706</v>
      </c>
      <c r="BV1427" s="174">
        <f t="shared" ca="1" si="8686"/>
        <v>269303.81083330908</v>
      </c>
      <c r="BW1427" s="174">
        <f t="shared" ca="1" si="8686"/>
        <v>228492.77329331194</v>
      </c>
      <c r="BX1427" s="174">
        <f t="shared" ca="1" si="8686"/>
        <v>161499.22810249944</v>
      </c>
      <c r="BY1427" s="174">
        <f t="shared" ref="BY1427:CO1427" ca="1" si="8687">SUM(BY1425:BY1426)</f>
        <v>205913.19083422469</v>
      </c>
      <c r="BZ1427" s="174">
        <f t="shared" ca="1" si="8687"/>
        <v>280016.72812416521</v>
      </c>
      <c r="CA1427" s="174">
        <f t="shared" ca="1" si="8687"/>
        <v>237573.24292879915</v>
      </c>
      <c r="CB1427" s="174">
        <f t="shared" ca="1" si="8687"/>
        <v>167906.9021982312</v>
      </c>
      <c r="CC1427" s="174">
        <f t="shared" ca="1" si="8687"/>
        <v>214098.72207169508</v>
      </c>
      <c r="CD1427" s="174">
        <f t="shared" ca="1" si="8687"/>
        <v>291167.7366661366</v>
      </c>
      <c r="CE1427" s="174">
        <f t="shared" ca="1" si="8687"/>
        <v>247026.51206295512</v>
      </c>
      <c r="CF1427" s="174">
        <f t="shared" ca="1" si="8687"/>
        <v>174570.84607735806</v>
      </c>
      <c r="CG1427" s="174">
        <f t="shared" ca="1" si="8687"/>
        <v>222611.67455866357</v>
      </c>
      <c r="CH1427" s="174">
        <f t="shared" ca="1" si="8687"/>
        <v>302764.78554978635</v>
      </c>
      <c r="CI1427" s="174">
        <f t="shared" ca="1" si="8687"/>
        <v>256857.9119624786</v>
      </c>
      <c r="CJ1427" s="174">
        <f t="shared" ca="1" si="8687"/>
        <v>184327.12636069866</v>
      </c>
      <c r="CK1427" s="174">
        <f t="shared" ca="1" si="8687"/>
        <v>230615.70664995746</v>
      </c>
      <c r="CL1427" s="174">
        <f t="shared" ca="1" si="8687"/>
        <v>314835.06059641473</v>
      </c>
      <c r="CM1427" s="174">
        <f t="shared" ca="1" si="8687"/>
        <v>267091.91898776789</v>
      </c>
      <c r="CN1427" s="174">
        <f t="shared" ca="1" si="8687"/>
        <v>188709.02758838091</v>
      </c>
      <c r="CO1427" s="174">
        <f t="shared" ca="1" si="8687"/>
        <v>240672.75455501606</v>
      </c>
    </row>
    <row r="1428" spans="1:94">
      <c r="A1428" s="10"/>
      <c r="B1428" s="10"/>
      <c r="C1428" s="17"/>
      <c r="D1428" s="10"/>
      <c r="E1428" s="62"/>
      <c r="F1428" s="10"/>
      <c r="G1428" s="11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  <c r="AY1428" s="10"/>
      <c r="AZ1428" s="10"/>
      <c r="BA1428" s="10"/>
      <c r="BB1428" s="10"/>
      <c r="BC1428" s="10"/>
      <c r="BD1428" s="10"/>
      <c r="BE1428" s="10"/>
      <c r="BF1428" s="10"/>
      <c r="BG1428" s="10"/>
      <c r="BH1428" s="10"/>
      <c r="BI1428" s="10"/>
      <c r="BJ1428" s="10"/>
      <c r="BK1428" s="10"/>
      <c r="BL1428" s="10"/>
      <c r="BM1428" s="10"/>
      <c r="BN1428" s="10"/>
      <c r="BO1428" s="10"/>
      <c r="BP1428" s="10"/>
      <c r="BQ1428" s="10"/>
      <c r="BR1428" s="10"/>
      <c r="BS1428" s="10"/>
      <c r="BT1428" s="10"/>
      <c r="BU1428" s="10"/>
      <c r="BV1428" s="10"/>
      <c r="BW1428" s="10"/>
      <c r="BX1428" s="10"/>
      <c r="BY1428" s="10"/>
      <c r="BZ1428" s="10"/>
      <c r="CA1428" s="10"/>
      <c r="CB1428" s="10"/>
      <c r="CC1428" s="10"/>
      <c r="CD1428" s="10"/>
      <c r="CE1428" s="10"/>
      <c r="CF1428" s="10"/>
      <c r="CG1428" s="10"/>
      <c r="CH1428" s="10"/>
      <c r="CI1428" s="10"/>
      <c r="CJ1428" s="10"/>
      <c r="CK1428" s="10"/>
      <c r="CL1428" s="10"/>
      <c r="CM1428" s="10"/>
      <c r="CN1428" s="10"/>
      <c r="CO1428" s="10"/>
    </row>
    <row r="1429" spans="1:94">
      <c r="A1429" s="10"/>
      <c r="B1429" s="10"/>
      <c r="C1429" s="17" t="s">
        <v>425</v>
      </c>
      <c r="D1429" s="10"/>
      <c r="E1429" s="62"/>
      <c r="F1429" s="10"/>
      <c r="G1429" s="11"/>
      <c r="H1429" s="10"/>
      <c r="I1429" s="10"/>
      <c r="J1429" s="10"/>
      <c r="K1429" s="10"/>
      <c r="L1429" s="35">
        <f>L1392</f>
        <v>2025</v>
      </c>
      <c r="M1429" s="35">
        <f t="shared" ref="M1429:BX1429" si="8688">M1392</f>
        <v>2026</v>
      </c>
      <c r="N1429" s="35">
        <f t="shared" si="8688"/>
        <v>2027</v>
      </c>
      <c r="O1429" s="35">
        <f t="shared" si="8688"/>
        <v>2028</v>
      </c>
      <c r="P1429" s="35">
        <f t="shared" si="8688"/>
        <v>2029</v>
      </c>
      <c r="Q1429" s="35">
        <f t="shared" si="8688"/>
        <v>2030</v>
      </c>
      <c r="R1429" s="35">
        <f t="shared" si="8688"/>
        <v>2031</v>
      </c>
      <c r="S1429" s="35">
        <f t="shared" si="8688"/>
        <v>2032</v>
      </c>
      <c r="T1429" s="35">
        <f t="shared" si="8688"/>
        <v>2033</v>
      </c>
      <c r="U1429" s="35">
        <f t="shared" si="8688"/>
        <v>2034</v>
      </c>
      <c r="V1429" s="35">
        <f t="shared" si="8688"/>
        <v>2035</v>
      </c>
      <c r="W1429" s="35">
        <f t="shared" si="8688"/>
        <v>2036</v>
      </c>
      <c r="X1429" s="35">
        <f t="shared" si="8688"/>
        <v>2037</v>
      </c>
      <c r="Y1429" s="35">
        <f t="shared" si="8688"/>
        <v>2038</v>
      </c>
      <c r="Z1429" s="35">
        <f t="shared" si="8688"/>
        <v>2039</v>
      </c>
      <c r="AA1429" s="35">
        <f t="shared" si="8688"/>
        <v>2040</v>
      </c>
      <c r="AB1429" s="35">
        <f t="shared" si="8688"/>
        <v>2041</v>
      </c>
      <c r="AC1429" s="35">
        <f t="shared" si="8688"/>
        <v>2042</v>
      </c>
      <c r="AD1429" s="35">
        <f t="shared" si="8688"/>
        <v>2043</v>
      </c>
      <c r="AE1429" s="35">
        <f t="shared" si="8688"/>
        <v>2044</v>
      </c>
      <c r="AF1429" s="35">
        <f t="shared" si="8688"/>
        <v>2045</v>
      </c>
      <c r="AG1429" s="35">
        <f t="shared" si="8688"/>
        <v>2046</v>
      </c>
      <c r="AH1429" s="35">
        <f t="shared" si="8688"/>
        <v>2047</v>
      </c>
      <c r="AI1429" s="35">
        <f t="shared" si="8688"/>
        <v>2048</v>
      </c>
      <c r="AJ1429" s="35">
        <f t="shared" si="8688"/>
        <v>2049</v>
      </c>
      <c r="AK1429" s="35">
        <f t="shared" si="8688"/>
        <v>0</v>
      </c>
      <c r="AL1429" s="35">
        <f t="shared" si="8688"/>
        <v>0</v>
      </c>
      <c r="AM1429" s="35">
        <f t="shared" si="8688"/>
        <v>0</v>
      </c>
      <c r="AN1429" s="35">
        <f t="shared" si="8688"/>
        <v>0</v>
      </c>
      <c r="AO1429" s="35">
        <f t="shared" si="8688"/>
        <v>0</v>
      </c>
      <c r="AP1429" s="35">
        <f t="shared" si="8688"/>
        <v>0</v>
      </c>
      <c r="AQ1429" s="35">
        <f t="shared" si="8688"/>
        <v>0</v>
      </c>
      <c r="AR1429" s="35">
        <f t="shared" si="8688"/>
        <v>0</v>
      </c>
      <c r="AS1429" s="35">
        <f t="shared" si="8688"/>
        <v>0</v>
      </c>
      <c r="AT1429" s="35">
        <f t="shared" si="8688"/>
        <v>0</v>
      </c>
      <c r="AU1429" s="35">
        <f t="shared" si="8688"/>
        <v>0</v>
      </c>
      <c r="AV1429" s="35">
        <f t="shared" si="8688"/>
        <v>0</v>
      </c>
      <c r="AW1429" s="35">
        <f t="shared" si="8688"/>
        <v>0</v>
      </c>
      <c r="AX1429" s="35">
        <f t="shared" si="8688"/>
        <v>0</v>
      </c>
      <c r="AY1429" s="35">
        <f t="shared" si="8688"/>
        <v>0</v>
      </c>
      <c r="AZ1429" s="35">
        <f t="shared" si="8688"/>
        <v>0</v>
      </c>
      <c r="BA1429" s="35">
        <f t="shared" si="8688"/>
        <v>0</v>
      </c>
      <c r="BB1429" s="35">
        <f t="shared" si="8688"/>
        <v>0</v>
      </c>
      <c r="BC1429" s="35">
        <f t="shared" si="8688"/>
        <v>0</v>
      </c>
      <c r="BD1429" s="35">
        <f t="shared" si="8688"/>
        <v>0</v>
      </c>
      <c r="BE1429" s="35">
        <f t="shared" si="8688"/>
        <v>0</v>
      </c>
      <c r="BF1429" s="35">
        <f t="shared" si="8688"/>
        <v>0</v>
      </c>
      <c r="BG1429" s="35">
        <f t="shared" si="8688"/>
        <v>0</v>
      </c>
      <c r="BH1429" s="35">
        <f t="shared" si="8688"/>
        <v>0</v>
      </c>
      <c r="BI1429" s="35">
        <f t="shared" si="8688"/>
        <v>0</v>
      </c>
      <c r="BJ1429" s="35">
        <f t="shared" si="8688"/>
        <v>0</v>
      </c>
      <c r="BK1429" s="35">
        <f t="shared" si="8688"/>
        <v>0</v>
      </c>
      <c r="BL1429" s="35">
        <f t="shared" si="8688"/>
        <v>0</v>
      </c>
      <c r="BM1429" s="35">
        <f t="shared" si="8688"/>
        <v>0</v>
      </c>
      <c r="BN1429" s="35">
        <f t="shared" si="8688"/>
        <v>0</v>
      </c>
      <c r="BO1429" s="35">
        <f t="shared" si="8688"/>
        <v>0</v>
      </c>
      <c r="BP1429" s="35">
        <f t="shared" si="8688"/>
        <v>0</v>
      </c>
      <c r="BQ1429" s="35">
        <f t="shared" si="8688"/>
        <v>0</v>
      </c>
      <c r="BR1429" s="35">
        <f t="shared" si="8688"/>
        <v>0</v>
      </c>
      <c r="BS1429" s="35">
        <f t="shared" si="8688"/>
        <v>0</v>
      </c>
      <c r="BT1429" s="35">
        <f t="shared" si="8688"/>
        <v>0</v>
      </c>
      <c r="BU1429" s="35">
        <f t="shared" si="8688"/>
        <v>0</v>
      </c>
      <c r="BV1429" s="35">
        <f t="shared" si="8688"/>
        <v>0</v>
      </c>
      <c r="BW1429" s="35">
        <f t="shared" si="8688"/>
        <v>0</v>
      </c>
      <c r="BX1429" s="35">
        <f t="shared" si="8688"/>
        <v>0</v>
      </c>
      <c r="BY1429" s="35">
        <f t="shared" ref="BY1429:CO1429" si="8689">BY1392</f>
        <v>0</v>
      </c>
      <c r="BZ1429" s="35">
        <f t="shared" si="8689"/>
        <v>0</v>
      </c>
      <c r="CA1429" s="35">
        <f t="shared" si="8689"/>
        <v>0</v>
      </c>
      <c r="CB1429" s="35">
        <f t="shared" si="8689"/>
        <v>0</v>
      </c>
      <c r="CC1429" s="35">
        <f t="shared" si="8689"/>
        <v>0</v>
      </c>
      <c r="CD1429" s="35">
        <f t="shared" si="8689"/>
        <v>0</v>
      </c>
      <c r="CE1429" s="35">
        <f t="shared" si="8689"/>
        <v>0</v>
      </c>
      <c r="CF1429" s="35">
        <f t="shared" si="8689"/>
        <v>0</v>
      </c>
      <c r="CG1429" s="35">
        <f t="shared" si="8689"/>
        <v>0</v>
      </c>
      <c r="CH1429" s="35">
        <f t="shared" si="8689"/>
        <v>0</v>
      </c>
      <c r="CI1429" s="35">
        <f t="shared" si="8689"/>
        <v>0</v>
      </c>
      <c r="CJ1429" s="35">
        <f t="shared" si="8689"/>
        <v>0</v>
      </c>
      <c r="CK1429" s="35">
        <f t="shared" si="8689"/>
        <v>0</v>
      </c>
      <c r="CL1429" s="35">
        <f t="shared" si="8689"/>
        <v>0</v>
      </c>
      <c r="CM1429" s="35">
        <f t="shared" si="8689"/>
        <v>0</v>
      </c>
      <c r="CN1429" s="35">
        <f t="shared" si="8689"/>
        <v>0</v>
      </c>
      <c r="CO1429" s="35">
        <f t="shared" si="8689"/>
        <v>0</v>
      </c>
    </row>
    <row r="1430" spans="1:94">
      <c r="A1430" s="10"/>
      <c r="B1430" s="10"/>
      <c r="C1430" s="17" t="s">
        <v>218</v>
      </c>
      <c r="D1430" s="10"/>
      <c r="E1430" s="106"/>
      <c r="F1430" s="10"/>
      <c r="G1430" s="134" t="str">
        <f>Monetary_Unit</f>
        <v>тыс. руб.</v>
      </c>
      <c r="H1430" s="10"/>
      <c r="I1430" s="23">
        <f ca="1">SUM(L1430:CO1430)</f>
        <v>8525791.8185832519</v>
      </c>
      <c r="J1430" s="10"/>
      <c r="K1430" s="10"/>
      <c r="L1430" s="52">
        <f t="shared" ref="L1430" ca="1" si="8690">SUMIF(Year,L$1429,$L1427:$CO1427)</f>
        <v>-128324.85692220708</v>
      </c>
      <c r="M1430" s="52">
        <f t="shared" ref="M1430:BX1430" ca="1" si="8691">SUMIF(Year,M$1429,$L1427:$CO1427)</f>
        <v>-1026430.01596743</v>
      </c>
      <c r="N1430" s="52">
        <f t="shared" ca="1" si="8691"/>
        <v>-49672.380042942998</v>
      </c>
      <c r="O1430" s="52">
        <f t="shared" ca="1" si="8691"/>
        <v>-146877.96513782989</v>
      </c>
      <c r="P1430" s="52">
        <f t="shared" ca="1" si="8691"/>
        <v>803155.21153117251</v>
      </c>
      <c r="Q1430" s="52">
        <f t="shared" ca="1" si="8691"/>
        <v>100275.87604573886</v>
      </c>
      <c r="R1430" s="52">
        <f t="shared" ca="1" si="8691"/>
        <v>248416.16270955221</v>
      </c>
      <c r="S1430" s="52">
        <f t="shared" ca="1" si="8691"/>
        <v>395214.26919213915</v>
      </c>
      <c r="T1430" s="52">
        <f t="shared" ca="1" si="8691"/>
        <v>443026.35505939374</v>
      </c>
      <c r="U1430" s="52">
        <f t="shared" ca="1" si="8691"/>
        <v>267489.79998110898</v>
      </c>
      <c r="V1430" s="52">
        <f t="shared" ca="1" si="8691"/>
        <v>35463.312971187785</v>
      </c>
      <c r="W1430" s="52">
        <f t="shared" ca="1" si="8691"/>
        <v>59166.61545800374</v>
      </c>
      <c r="X1430" s="52">
        <f t="shared" ca="1" si="8691"/>
        <v>822485.44224311016</v>
      </c>
      <c r="Y1430" s="52">
        <f t="shared" ca="1" si="8691"/>
        <v>842664.11652800627</v>
      </c>
      <c r="Z1430" s="52">
        <f t="shared" ca="1" si="8691"/>
        <v>818616.70790710032</v>
      </c>
      <c r="AA1430" s="52">
        <f t="shared" ca="1" si="8691"/>
        <v>852864.09115192026</v>
      </c>
      <c r="AB1430" s="52">
        <f t="shared" ca="1" si="8691"/>
        <v>885002.38998968841</v>
      </c>
      <c r="AC1430" s="52">
        <f t="shared" ca="1" si="8691"/>
        <v>920199.87299901806</v>
      </c>
      <c r="AD1430" s="52">
        <f t="shared" ca="1" si="8691"/>
        <v>956805.21814828669</v>
      </c>
      <c r="AE1430" s="52">
        <f t="shared" ca="1" si="8691"/>
        <v>996869.81259483879</v>
      </c>
      <c r="AF1430" s="52">
        <f t="shared" ca="1" si="8691"/>
        <v>429381.78214339697</v>
      </c>
      <c r="AG1430" s="52">
        <f t="shared" si="8691"/>
        <v>0</v>
      </c>
      <c r="AH1430" s="52">
        <f t="shared" si="8691"/>
        <v>0</v>
      </c>
      <c r="AI1430" s="52">
        <f t="shared" si="8691"/>
        <v>0</v>
      </c>
      <c r="AJ1430" s="52">
        <f t="shared" si="8691"/>
        <v>0</v>
      </c>
      <c r="AK1430" s="52">
        <f t="shared" si="8691"/>
        <v>0</v>
      </c>
      <c r="AL1430" s="52">
        <f t="shared" si="8691"/>
        <v>0</v>
      </c>
      <c r="AM1430" s="52">
        <f t="shared" si="8691"/>
        <v>0</v>
      </c>
      <c r="AN1430" s="52">
        <f t="shared" si="8691"/>
        <v>0</v>
      </c>
      <c r="AO1430" s="52">
        <f t="shared" si="8691"/>
        <v>0</v>
      </c>
      <c r="AP1430" s="52">
        <f t="shared" si="8691"/>
        <v>0</v>
      </c>
      <c r="AQ1430" s="52">
        <f t="shared" si="8691"/>
        <v>0</v>
      </c>
      <c r="AR1430" s="52">
        <f t="shared" si="8691"/>
        <v>0</v>
      </c>
      <c r="AS1430" s="52">
        <f t="shared" si="8691"/>
        <v>0</v>
      </c>
      <c r="AT1430" s="52">
        <f t="shared" si="8691"/>
        <v>0</v>
      </c>
      <c r="AU1430" s="52">
        <f t="shared" si="8691"/>
        <v>0</v>
      </c>
      <c r="AV1430" s="52">
        <f t="shared" si="8691"/>
        <v>0</v>
      </c>
      <c r="AW1430" s="52">
        <f t="shared" si="8691"/>
        <v>0</v>
      </c>
      <c r="AX1430" s="52">
        <f t="shared" si="8691"/>
        <v>0</v>
      </c>
      <c r="AY1430" s="52">
        <f t="shared" si="8691"/>
        <v>0</v>
      </c>
      <c r="AZ1430" s="52">
        <f t="shared" si="8691"/>
        <v>0</v>
      </c>
      <c r="BA1430" s="52">
        <f t="shared" si="8691"/>
        <v>0</v>
      </c>
      <c r="BB1430" s="52">
        <f t="shared" si="8691"/>
        <v>0</v>
      </c>
      <c r="BC1430" s="52">
        <f t="shared" si="8691"/>
        <v>0</v>
      </c>
      <c r="BD1430" s="52">
        <f t="shared" si="8691"/>
        <v>0</v>
      </c>
      <c r="BE1430" s="52">
        <f t="shared" si="8691"/>
        <v>0</v>
      </c>
      <c r="BF1430" s="52">
        <f t="shared" si="8691"/>
        <v>0</v>
      </c>
      <c r="BG1430" s="52">
        <f t="shared" si="8691"/>
        <v>0</v>
      </c>
      <c r="BH1430" s="52">
        <f t="shared" si="8691"/>
        <v>0</v>
      </c>
      <c r="BI1430" s="52">
        <f t="shared" si="8691"/>
        <v>0</v>
      </c>
      <c r="BJ1430" s="52">
        <f t="shared" si="8691"/>
        <v>0</v>
      </c>
      <c r="BK1430" s="52">
        <f t="shared" si="8691"/>
        <v>0</v>
      </c>
      <c r="BL1430" s="52">
        <f t="shared" si="8691"/>
        <v>0</v>
      </c>
      <c r="BM1430" s="52">
        <f t="shared" si="8691"/>
        <v>0</v>
      </c>
      <c r="BN1430" s="52">
        <f t="shared" si="8691"/>
        <v>0</v>
      </c>
      <c r="BO1430" s="52">
        <f t="shared" si="8691"/>
        <v>0</v>
      </c>
      <c r="BP1430" s="52">
        <f t="shared" si="8691"/>
        <v>0</v>
      </c>
      <c r="BQ1430" s="52">
        <f t="shared" si="8691"/>
        <v>0</v>
      </c>
      <c r="BR1430" s="52">
        <f t="shared" si="8691"/>
        <v>0</v>
      </c>
      <c r="BS1430" s="52">
        <f t="shared" si="8691"/>
        <v>0</v>
      </c>
      <c r="BT1430" s="52">
        <f t="shared" si="8691"/>
        <v>0</v>
      </c>
      <c r="BU1430" s="52">
        <f t="shared" si="8691"/>
        <v>0</v>
      </c>
      <c r="BV1430" s="52">
        <f t="shared" si="8691"/>
        <v>0</v>
      </c>
      <c r="BW1430" s="52">
        <f t="shared" si="8691"/>
        <v>0</v>
      </c>
      <c r="BX1430" s="52">
        <f t="shared" si="8691"/>
        <v>0</v>
      </c>
      <c r="BY1430" s="52">
        <f t="shared" ref="BY1430:CO1430" si="8692">SUMIF(Year,BY$1429,$L1427:$CO1427)</f>
        <v>0</v>
      </c>
      <c r="BZ1430" s="52">
        <f t="shared" si="8692"/>
        <v>0</v>
      </c>
      <c r="CA1430" s="52">
        <f t="shared" si="8692"/>
        <v>0</v>
      </c>
      <c r="CB1430" s="52">
        <f t="shared" si="8692"/>
        <v>0</v>
      </c>
      <c r="CC1430" s="52">
        <f t="shared" si="8692"/>
        <v>0</v>
      </c>
      <c r="CD1430" s="52">
        <f t="shared" si="8692"/>
        <v>0</v>
      </c>
      <c r="CE1430" s="52">
        <f t="shared" si="8692"/>
        <v>0</v>
      </c>
      <c r="CF1430" s="52">
        <f t="shared" si="8692"/>
        <v>0</v>
      </c>
      <c r="CG1430" s="52">
        <f t="shared" si="8692"/>
        <v>0</v>
      </c>
      <c r="CH1430" s="52">
        <f t="shared" si="8692"/>
        <v>0</v>
      </c>
      <c r="CI1430" s="52">
        <f t="shared" si="8692"/>
        <v>0</v>
      </c>
      <c r="CJ1430" s="52">
        <f t="shared" si="8692"/>
        <v>0</v>
      </c>
      <c r="CK1430" s="52">
        <f t="shared" si="8692"/>
        <v>0</v>
      </c>
      <c r="CL1430" s="52">
        <f t="shared" si="8692"/>
        <v>0</v>
      </c>
      <c r="CM1430" s="52">
        <f t="shared" si="8692"/>
        <v>0</v>
      </c>
      <c r="CN1430" s="52">
        <f t="shared" si="8692"/>
        <v>0</v>
      </c>
      <c r="CO1430" s="52">
        <f t="shared" si="8692"/>
        <v>0</v>
      </c>
    </row>
    <row r="1431" spans="1:94">
      <c r="A1431" s="10"/>
      <c r="B1431" s="10"/>
      <c r="C1431" s="17"/>
      <c r="D1431" s="10"/>
      <c r="E1431" s="62"/>
      <c r="F1431" s="10"/>
      <c r="G1431" s="11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  <c r="AY1431" s="10"/>
      <c r="AZ1431" s="10"/>
      <c r="BA1431" s="10"/>
      <c r="BB1431" s="10"/>
      <c r="BC1431" s="10"/>
      <c r="BD1431" s="10"/>
      <c r="BE1431" s="10"/>
      <c r="BF1431" s="10"/>
      <c r="BG1431" s="10"/>
      <c r="BH1431" s="10"/>
      <c r="BI1431" s="10"/>
      <c r="BJ1431" s="10"/>
      <c r="BK1431" s="10"/>
      <c r="BL1431" s="10"/>
      <c r="BM1431" s="10"/>
      <c r="BN1431" s="10"/>
      <c r="BO1431" s="10"/>
      <c r="BP1431" s="10"/>
      <c r="BQ1431" s="10"/>
      <c r="BR1431" s="10"/>
      <c r="BS1431" s="10"/>
      <c r="BT1431" s="10"/>
      <c r="BU1431" s="10"/>
      <c r="BV1431" s="10"/>
      <c r="BW1431" s="10"/>
      <c r="BX1431" s="10"/>
      <c r="BY1431" s="10"/>
      <c r="BZ1431" s="10"/>
      <c r="CA1431" s="10"/>
      <c r="CB1431" s="10"/>
      <c r="CC1431" s="10"/>
      <c r="CD1431" s="10"/>
      <c r="CE1431" s="10"/>
      <c r="CF1431" s="10"/>
      <c r="CG1431" s="10"/>
      <c r="CH1431" s="10"/>
      <c r="CI1431" s="10"/>
      <c r="CJ1431" s="10"/>
      <c r="CK1431" s="10"/>
      <c r="CL1431" s="10"/>
      <c r="CM1431" s="10"/>
      <c r="CN1431" s="10"/>
      <c r="CO1431" s="10"/>
    </row>
    <row r="1432" spans="1:94">
      <c r="A1432" s="10"/>
      <c r="B1432" s="10"/>
      <c r="C1432" s="17" t="s">
        <v>523</v>
      </c>
      <c r="D1432" s="10"/>
      <c r="E1432" s="62"/>
      <c r="F1432" s="10"/>
      <c r="G1432" s="134" t="str">
        <f>Monetary_Unit</f>
        <v>тыс. руб.</v>
      </c>
      <c r="H1432" s="10"/>
      <c r="I1432" s="10"/>
      <c r="J1432" s="10"/>
      <c r="K1432" s="10"/>
      <c r="L1432" s="10">
        <f ca="1">NPV(WACC,$L1430:L1430)*(L1430&lt;&gt;0)</f>
        <v>-117953.94552354867</v>
      </c>
      <c r="M1432" s="10">
        <f ca="1">NPV(WACC,$L1430:M1430)*(M1430&lt;&gt;0)</f>
        <v>-985180.78696730617</v>
      </c>
      <c r="N1432" s="10">
        <f ca="1">NPV(WACC,$L1430:N1430)*(N1430&lt;&gt;0)</f>
        <v>-1023757.0381567318</v>
      </c>
      <c r="O1432" s="10">
        <f ca="1">NPV(WACC,$L1430:O1430)*(O1430&lt;&gt;0)</f>
        <v>-1128605.8183418114</v>
      </c>
      <c r="P1432" s="10">
        <f ca="1">NPV(WACC,$L1430:P1430)*(P1430&lt;&gt;0)</f>
        <v>-601609.11237619538</v>
      </c>
      <c r="Q1432" s="10">
        <f ca="1">NPV(WACC,$L1430:Q1430)*(Q1430&lt;&gt;0)</f>
        <v>-541129.83861922077</v>
      </c>
      <c r="R1432" s="10">
        <f ca="1">NPV(WACC,$L1430:R1430)*(R1430&lt;&gt;0)</f>
        <v>-403411.54425288271</v>
      </c>
      <c r="S1432" s="10">
        <f ca="1">NPV(WACC,$L1430:S1430)*(S1430&lt;&gt;0)</f>
        <v>-202017.74884631197</v>
      </c>
      <c r="T1432" s="10">
        <f ca="1">NPV(WACC,$L1430:T1430)*(T1430&lt;&gt;0)</f>
        <v>5494.9680733591722</v>
      </c>
      <c r="U1432" s="10">
        <f ca="1">NPV(WACC,$L1430:U1430)*(U1430&lt;&gt;0)</f>
        <v>120660.90993265898</v>
      </c>
      <c r="V1432" s="10">
        <f ca="1">NPV(WACC,$L1430:V1430)*(V1430&lt;&gt;0)</f>
        <v>134695.43841748391</v>
      </c>
      <c r="W1432" s="10">
        <f ca="1">NPV(WACC,$L1430:W1430)*(W1430&lt;&gt;0)</f>
        <v>156218.14733145389</v>
      </c>
      <c r="X1432" s="10">
        <f ca="1">NPV(WACC,$L1430:X1430)*(X1430&lt;&gt;0)</f>
        <v>431229.17493373161</v>
      </c>
      <c r="Y1432" s="10">
        <f ca="1">NPV(WACC,$L1430:Y1430)*(Y1430&lt;&gt;0)</f>
        <v>690216.23960575683</v>
      </c>
      <c r="Z1432" s="10">
        <f ca="1">NPV(WACC,$L1430:Z1430)*(Z1430&lt;&gt;0)</f>
        <v>921479.0829415397</v>
      </c>
      <c r="AA1432" s="10">
        <f ca="1">NPV(WACC,$L1430:AA1430)*(AA1430&lt;&gt;0)</f>
        <v>1142944.9340232166</v>
      </c>
      <c r="AB1432" s="10">
        <f ca="1">NPV(WACC,$L1430:AB1430)*(AB1430&lt;&gt;0)</f>
        <v>1354183.430502366</v>
      </c>
      <c r="AC1432" s="10">
        <f ca="1">NPV(WACC,$L1430:AC1430)*(AC1430&lt;&gt;0)</f>
        <v>1556072.3468348924</v>
      </c>
      <c r="AD1432" s="10">
        <f ca="1">NPV(WACC,$L1430:AD1430)*(AD1430&lt;&gt;0)</f>
        <v>1749027.1202575022</v>
      </c>
      <c r="AE1432" s="10">
        <f ca="1">NPV(WACC,$L1430:AE1430)*(AE1430&lt;&gt;0)</f>
        <v>1933814.420429793</v>
      </c>
      <c r="AF1432" s="10">
        <f ca="1">NPV(WACC,$L1430:AF1430)*(AF1430&lt;&gt;0)</f>
        <v>2006975.3093206221</v>
      </c>
      <c r="AG1432" s="10">
        <f ca="1">NPV(WACC,$L1430:AG1430)*(AG1430&lt;&gt;0)</f>
        <v>0</v>
      </c>
      <c r="AH1432" s="10">
        <f ca="1">NPV(WACC,$L1430:AH1430)*(AH1430&lt;&gt;0)</f>
        <v>0</v>
      </c>
      <c r="AI1432" s="10">
        <f ca="1">NPV(WACC,$L1430:AI1430)*(AI1430&lt;&gt;0)</f>
        <v>0</v>
      </c>
      <c r="AJ1432" s="10">
        <f ca="1">NPV(WACC,$L1430:AJ1430)*(AJ1430&lt;&gt;0)</f>
        <v>0</v>
      </c>
      <c r="AK1432" s="10">
        <f ca="1">NPV(WACC,$L1430:AK1430)*(AK1430&lt;&gt;0)</f>
        <v>0</v>
      </c>
      <c r="AL1432" s="10">
        <f ca="1">NPV(WACC,$L1430:AL1430)*(AL1430&lt;&gt;0)</f>
        <v>0</v>
      </c>
      <c r="AM1432" s="10">
        <f ca="1">NPV(WACC,$L1430:AM1430)*(AM1430&lt;&gt;0)</f>
        <v>0</v>
      </c>
      <c r="AN1432" s="10">
        <f ca="1">NPV(WACC,$L1430:AN1430)*(AN1430&lt;&gt;0)</f>
        <v>0</v>
      </c>
      <c r="AO1432" s="10">
        <f ca="1">NPV(WACC,$L1430:AO1430)*(AO1430&lt;&gt;0)</f>
        <v>0</v>
      </c>
      <c r="AP1432" s="10">
        <f ca="1">NPV(WACC,$L1430:AP1430)*(AP1430&lt;&gt;0)</f>
        <v>0</v>
      </c>
      <c r="AQ1432" s="10">
        <f ca="1">NPV(WACC,$L1430:AQ1430)*(AQ1430&lt;&gt;0)</f>
        <v>0</v>
      </c>
      <c r="AR1432" s="10">
        <f ca="1">NPV(WACC,$L1430:AR1430)*(AR1430&lt;&gt;0)</f>
        <v>0</v>
      </c>
      <c r="AS1432" s="10">
        <f ca="1">NPV(WACC,$L1430:AS1430)*(AS1430&lt;&gt;0)</f>
        <v>0</v>
      </c>
      <c r="AT1432" s="10">
        <f ca="1">NPV(WACC,$L1430:AT1430)*(AT1430&lt;&gt;0)</f>
        <v>0</v>
      </c>
      <c r="AU1432" s="10">
        <f ca="1">NPV(WACC,$L1430:AU1430)*(AU1430&lt;&gt;0)</f>
        <v>0</v>
      </c>
      <c r="AV1432" s="10">
        <f ca="1">NPV(WACC,$L1430:AV1430)*(AV1430&lt;&gt;0)</f>
        <v>0</v>
      </c>
      <c r="AW1432" s="10">
        <f ca="1">NPV(WACC,$L1430:AW1430)*(AW1430&lt;&gt;0)</f>
        <v>0</v>
      </c>
      <c r="AX1432" s="10">
        <f ca="1">NPV(WACC,$L1430:AX1430)*(AX1430&lt;&gt;0)</f>
        <v>0</v>
      </c>
      <c r="AY1432" s="10">
        <f ca="1">NPV(WACC,$L1430:AY1430)*(AY1430&lt;&gt;0)</f>
        <v>0</v>
      </c>
      <c r="AZ1432" s="10">
        <f ca="1">NPV(WACC,$L1430:AZ1430)*(AZ1430&lt;&gt;0)</f>
        <v>0</v>
      </c>
      <c r="BA1432" s="10">
        <f ca="1">NPV(WACC,$L1430:BA1430)*(BA1430&lt;&gt;0)</f>
        <v>0</v>
      </c>
      <c r="BB1432" s="10">
        <f ca="1">NPV(WACC,$L1430:BB1430)*(BB1430&lt;&gt;0)</f>
        <v>0</v>
      </c>
      <c r="BC1432" s="10">
        <f ca="1">NPV(WACC,$L1430:BC1430)*(BC1430&lt;&gt;0)</f>
        <v>0</v>
      </c>
      <c r="BD1432" s="10">
        <f ca="1">NPV(WACC,$L1430:BD1430)*(BD1430&lt;&gt;0)</f>
        <v>0</v>
      </c>
      <c r="BE1432" s="10">
        <f ca="1">NPV(WACC,$L1430:BE1430)*(BE1430&lt;&gt;0)</f>
        <v>0</v>
      </c>
      <c r="BF1432" s="10">
        <f ca="1">NPV(WACC,$L1430:BF1430)*(BF1430&lt;&gt;0)</f>
        <v>0</v>
      </c>
      <c r="BG1432" s="10">
        <f ca="1">NPV(WACC,$L1430:BG1430)*(BG1430&lt;&gt;0)</f>
        <v>0</v>
      </c>
      <c r="BH1432" s="10">
        <f ca="1">NPV(WACC,$L1430:BH1430)*(BH1430&lt;&gt;0)</f>
        <v>0</v>
      </c>
      <c r="BI1432" s="10">
        <f ca="1">NPV(WACC,$L1430:BI1430)*(BI1430&lt;&gt;0)</f>
        <v>0</v>
      </c>
      <c r="BJ1432" s="10">
        <f ca="1">NPV(WACC,$L1430:BJ1430)*(BJ1430&lt;&gt;0)</f>
        <v>0</v>
      </c>
      <c r="BK1432" s="10">
        <f ca="1">NPV(WACC,$L1430:BK1430)*(BK1430&lt;&gt;0)</f>
        <v>0</v>
      </c>
      <c r="BL1432" s="10">
        <f ca="1">NPV(WACC,$L1430:BL1430)*(BL1430&lt;&gt;0)</f>
        <v>0</v>
      </c>
      <c r="BM1432" s="10">
        <f ca="1">NPV(WACC,$L1430:BM1430)*(BM1430&lt;&gt;0)</f>
        <v>0</v>
      </c>
      <c r="BN1432" s="10">
        <f ca="1">NPV(WACC,$L1430:BN1430)*(BN1430&lt;&gt;0)</f>
        <v>0</v>
      </c>
      <c r="BO1432" s="10">
        <f ca="1">NPV(WACC,$L1430:BO1430)*(BO1430&lt;&gt;0)</f>
        <v>0</v>
      </c>
      <c r="BP1432" s="10">
        <f ca="1">NPV(WACC,$L1430:BP1430)*(BP1430&lt;&gt;0)</f>
        <v>0</v>
      </c>
      <c r="BQ1432" s="10">
        <f ca="1">NPV(WACC,$L1430:BQ1430)*(BQ1430&lt;&gt;0)</f>
        <v>0</v>
      </c>
      <c r="BR1432" s="10">
        <f ca="1">NPV(WACC,$L1430:BR1430)*(BR1430&lt;&gt;0)</f>
        <v>0</v>
      </c>
      <c r="BS1432" s="10">
        <f ca="1">NPV(WACC,$L1430:BS1430)*(BS1430&lt;&gt;0)</f>
        <v>0</v>
      </c>
      <c r="BT1432" s="10">
        <f ca="1">NPV(WACC,$L1430:BT1430)*(BT1430&lt;&gt;0)</f>
        <v>0</v>
      </c>
      <c r="BU1432" s="10">
        <f ca="1">NPV(WACC,$L1430:BU1430)*(BU1430&lt;&gt;0)</f>
        <v>0</v>
      </c>
      <c r="BV1432" s="10">
        <f ca="1">NPV(WACC,$L1430:BV1430)*(BV1430&lt;&gt;0)</f>
        <v>0</v>
      </c>
      <c r="BW1432" s="10">
        <f ca="1">NPV(WACC,$L1430:BW1430)*(BW1430&lt;&gt;0)</f>
        <v>0</v>
      </c>
      <c r="BX1432" s="10">
        <f ca="1">NPV(WACC,$L1430:BX1430)*(BX1430&lt;&gt;0)</f>
        <v>0</v>
      </c>
      <c r="BY1432" s="10">
        <f ca="1">NPV(WACC,$L1430:BY1430)*(BY1430&lt;&gt;0)</f>
        <v>0</v>
      </c>
      <c r="BZ1432" s="10">
        <f ca="1">NPV(WACC,$L1430:BZ1430)*(BZ1430&lt;&gt;0)</f>
        <v>0</v>
      </c>
      <c r="CA1432" s="10">
        <f ca="1">NPV(WACC,$L1430:CA1430)*(CA1430&lt;&gt;0)</f>
        <v>0</v>
      </c>
      <c r="CB1432" s="10">
        <f ca="1">NPV(WACC,$L1430:CB1430)*(CB1430&lt;&gt;0)</f>
        <v>0</v>
      </c>
      <c r="CC1432" s="10">
        <f ca="1">NPV(WACC,$L1430:CC1430)*(CC1430&lt;&gt;0)</f>
        <v>0</v>
      </c>
      <c r="CD1432" s="10">
        <f ca="1">NPV(WACC,$L1430:CD1430)*(CD1430&lt;&gt;0)</f>
        <v>0</v>
      </c>
      <c r="CE1432" s="10">
        <f ca="1">NPV(WACC,$L1430:CE1430)*(CE1430&lt;&gt;0)</f>
        <v>0</v>
      </c>
      <c r="CF1432" s="10">
        <f ca="1">NPV(WACC,$L1430:CF1430)*(CF1430&lt;&gt;0)</f>
        <v>0</v>
      </c>
      <c r="CG1432" s="10">
        <f ca="1">NPV(WACC,$L1430:CG1430)*(CG1430&lt;&gt;0)</f>
        <v>0</v>
      </c>
      <c r="CH1432" s="10">
        <f ca="1">NPV(WACC,$L1430:CH1430)*(CH1430&lt;&gt;0)</f>
        <v>0</v>
      </c>
      <c r="CI1432" s="10">
        <f ca="1">NPV(WACC,$L1430:CI1430)*(CI1430&lt;&gt;0)</f>
        <v>0</v>
      </c>
      <c r="CJ1432" s="10">
        <f ca="1">NPV(WACC,$L1430:CJ1430)*(CJ1430&lt;&gt;0)</f>
        <v>0</v>
      </c>
      <c r="CK1432" s="10">
        <f ca="1">NPV(WACC,$L1430:CK1430)*(CK1430&lt;&gt;0)</f>
        <v>0</v>
      </c>
      <c r="CL1432" s="10">
        <f ca="1">NPV(WACC,$L1430:CL1430)*(CL1430&lt;&gt;0)</f>
        <v>0</v>
      </c>
      <c r="CM1432" s="10">
        <f ca="1">NPV(WACC,$L1430:CM1430)*(CM1430&lt;&gt;0)</f>
        <v>0</v>
      </c>
      <c r="CN1432" s="10">
        <f ca="1">NPV(WACC,$L1430:CN1430)*(CN1430&lt;&gt;0)</f>
        <v>0</v>
      </c>
      <c r="CO1432" s="10">
        <f ca="1">NPV(WACC,$L1430:CO1430)*(CO1430&lt;&gt;0)</f>
        <v>0</v>
      </c>
    </row>
    <row r="1433" spans="1:94">
      <c r="A1433" s="10"/>
      <c r="B1433" s="10"/>
      <c r="C1433" s="17" t="s">
        <v>524</v>
      </c>
      <c r="D1433" s="10"/>
      <c r="E1433" s="62"/>
      <c r="F1433" s="10"/>
      <c r="G1433" s="11" t="s">
        <v>28</v>
      </c>
      <c r="H1433" s="10"/>
      <c r="I1433" s="10"/>
      <c r="J1433" s="10"/>
      <c r="K1433" s="10"/>
      <c r="L1433" s="58">
        <f ca="1">IFERROR(IRR($L1430:L1430),0)*(L1430&lt;&gt;0)</f>
        <v>0</v>
      </c>
      <c r="M1433" s="58">
        <f ca="1">IFERROR(IRR($L1430:M1430),0)*(M1430&lt;&gt;0)</f>
        <v>0</v>
      </c>
      <c r="N1433" s="58">
        <f ca="1">IFERROR(IRR($L1430:N1430),0)*(N1430&lt;&gt;0)</f>
        <v>0</v>
      </c>
      <c r="O1433" s="58">
        <f ca="1">IFERROR(IRR($L1430:O1430),0)*(O1430&lt;&gt;0)</f>
        <v>0</v>
      </c>
      <c r="P1433" s="58">
        <f ca="1">IFERROR(IRR($L1430:P1430),0)*(P1430&lt;&gt;0)</f>
        <v>-0.17029243079440648</v>
      </c>
      <c r="Q1433" s="58">
        <f ca="1">IFERROR(IRR($L1430:Q1430),0)*(Q1430&lt;&gt;0)</f>
        <v>-0.12881191050066576</v>
      </c>
      <c r="R1433" s="58">
        <f ca="1">IFERROR(IRR($L1430:R1430),0)*(R1430&lt;&gt;0)</f>
        <v>-4.6384651881930195E-2</v>
      </c>
      <c r="S1433" s="58">
        <f ca="1">IFERROR(IRR($L1430:S1430),0)*(S1430&lt;&gt;0)</f>
        <v>3.4629975501327293E-2</v>
      </c>
      <c r="T1433" s="58">
        <f ca="1">IFERROR(IRR($L1430:T1430),0)*(T1430&lt;&gt;0)</f>
        <v>8.9113018722262849E-2</v>
      </c>
      <c r="U1433" s="58">
        <f ca="1">IFERROR(IRR($L1430:U1430),0)*(U1430&lt;&gt;0)</f>
        <v>0.11153034259005157</v>
      </c>
      <c r="V1433" s="58">
        <f ca="1">IFERROR(IRR($L1430:V1430),0)*(V1430&lt;&gt;0)</f>
        <v>0.11392990409597203</v>
      </c>
      <c r="W1433" s="58">
        <f ca="1">IFERROR(IRR($L1430:W1430),0)*(W1430&lt;&gt;0)</f>
        <v>0.11740633700605008</v>
      </c>
      <c r="X1433" s="58">
        <f ca="1">IFERROR(IRR($L1430:X1430),0)*(X1430&lt;&gt;0)</f>
        <v>0.1510969572494385</v>
      </c>
      <c r="Y1433" s="58">
        <f ca="1">IFERROR(IRR($L1430:Y1430),0)*(Y1430&lt;&gt;0)</f>
        <v>0.17219758829518317</v>
      </c>
      <c r="Z1433" s="58">
        <f ca="1">IFERROR(IRR($L1430:Z1430),0)*(Z1430&lt;&gt;0)</f>
        <v>0.18598502123560312</v>
      </c>
      <c r="AA1433" s="58">
        <f ca="1">IFERROR(IRR($L1430:AA1430),0)*(AA1430&lt;&gt;0)</f>
        <v>0.19614173224871934</v>
      </c>
      <c r="AB1433" s="58">
        <f ca="1">IFERROR(IRR($L1430:AB1430),0)*(AB1430&lt;&gt;0)</f>
        <v>0.20379437532517031</v>
      </c>
      <c r="AC1433" s="58">
        <f ca="1">IFERROR(IRR($L1430:AC1430),0)*(AC1430&lt;&gt;0)</f>
        <v>0.20968465543097659</v>
      </c>
      <c r="AD1433" s="58">
        <f ca="1">IFERROR(IRR($L1430:AD1430),0)*(AD1430&lt;&gt;0)</f>
        <v>0.2142852124586454</v>
      </c>
      <c r="AE1433" s="58">
        <f ca="1">IFERROR(IRR($L1430:AE1430),0)*(AE1430&lt;&gt;0)</f>
        <v>0.21792724932769758</v>
      </c>
      <c r="AF1433" s="58">
        <f ca="1">IFERROR(IRR($L1430:AF1430),0)*(AF1430&lt;&gt;0)</f>
        <v>0.2191525565137169</v>
      </c>
      <c r="AG1433" s="58">
        <f ca="1">IFERROR(IRR($L1430:AG1430),0)*(AG1430&lt;&gt;0)</f>
        <v>0</v>
      </c>
      <c r="AH1433" s="58">
        <f ca="1">IFERROR(IRR($L1430:AH1430),0)*(AH1430&lt;&gt;0)</f>
        <v>0</v>
      </c>
      <c r="AI1433" s="58">
        <f ca="1">IFERROR(IRR($L1430:AI1430),0)*(AI1430&lt;&gt;0)</f>
        <v>0</v>
      </c>
      <c r="AJ1433" s="58">
        <f ca="1">IFERROR(IRR($L1430:AJ1430),0)*(AJ1430&lt;&gt;0)</f>
        <v>0</v>
      </c>
      <c r="AK1433" s="58">
        <f ca="1">IFERROR(IRR($L1430:AK1430),0)*(AK1430&lt;&gt;0)</f>
        <v>0</v>
      </c>
      <c r="AL1433" s="58">
        <f ca="1">IFERROR(IRR($L1430:AL1430),0)*(AL1430&lt;&gt;0)</f>
        <v>0</v>
      </c>
      <c r="AM1433" s="58">
        <f ca="1">IFERROR(IRR($L1430:AM1430),0)*(AM1430&lt;&gt;0)</f>
        <v>0</v>
      </c>
      <c r="AN1433" s="58">
        <f ca="1">IFERROR(IRR($L1430:AN1430),0)*(AN1430&lt;&gt;0)</f>
        <v>0</v>
      </c>
      <c r="AO1433" s="58">
        <f ca="1">IFERROR(IRR($L1430:AO1430),0)*(AO1430&lt;&gt;0)</f>
        <v>0</v>
      </c>
      <c r="AP1433" s="58">
        <f ca="1">IFERROR(IRR($L1430:AP1430),0)*(AP1430&lt;&gt;0)</f>
        <v>0</v>
      </c>
      <c r="AQ1433" s="58">
        <f ca="1">IFERROR(IRR($L1430:AQ1430),0)*(AQ1430&lt;&gt;0)</f>
        <v>0</v>
      </c>
      <c r="AR1433" s="58">
        <f ca="1">IFERROR(IRR($L1430:AR1430),0)*(AR1430&lt;&gt;0)</f>
        <v>0</v>
      </c>
      <c r="AS1433" s="58">
        <f ca="1">IFERROR(IRR($L1430:AS1430),0)*(AS1430&lt;&gt;0)</f>
        <v>0</v>
      </c>
      <c r="AT1433" s="58">
        <f ca="1">IFERROR(IRR($L1430:AT1430),0)*(AT1430&lt;&gt;0)</f>
        <v>0</v>
      </c>
      <c r="AU1433" s="58">
        <f ca="1">IFERROR(IRR($L1430:AU1430),0)*(AU1430&lt;&gt;0)</f>
        <v>0</v>
      </c>
      <c r="AV1433" s="58">
        <f ca="1">IFERROR(IRR($L1430:AV1430),0)*(AV1430&lt;&gt;0)</f>
        <v>0</v>
      </c>
      <c r="AW1433" s="58">
        <f ca="1">IFERROR(IRR($L1430:AW1430),0)*(AW1430&lt;&gt;0)</f>
        <v>0</v>
      </c>
      <c r="AX1433" s="58">
        <f ca="1">IFERROR(IRR($L1430:AX1430),0)*(AX1430&lt;&gt;0)</f>
        <v>0</v>
      </c>
      <c r="AY1433" s="58">
        <f ca="1">IFERROR(IRR($L1430:AY1430),0)*(AY1430&lt;&gt;0)</f>
        <v>0</v>
      </c>
      <c r="AZ1433" s="58">
        <f ca="1">IFERROR(IRR($L1430:AZ1430),0)*(AZ1430&lt;&gt;0)</f>
        <v>0</v>
      </c>
      <c r="BA1433" s="58">
        <f ca="1">IFERROR(IRR($L1430:BA1430),0)*(BA1430&lt;&gt;0)</f>
        <v>0</v>
      </c>
      <c r="BB1433" s="58">
        <f ca="1">IFERROR(IRR($L1430:BB1430),0)*(BB1430&lt;&gt;0)</f>
        <v>0</v>
      </c>
      <c r="BC1433" s="58">
        <f ca="1">IFERROR(IRR($L1430:BC1430),0)*(BC1430&lt;&gt;0)</f>
        <v>0</v>
      </c>
      <c r="BD1433" s="58">
        <f ca="1">IFERROR(IRR($L1430:BD1430),0)*(BD1430&lt;&gt;0)</f>
        <v>0</v>
      </c>
      <c r="BE1433" s="58">
        <f ca="1">IFERROR(IRR($L1430:BE1430),0)*(BE1430&lt;&gt;0)</f>
        <v>0</v>
      </c>
      <c r="BF1433" s="58">
        <f ca="1">IFERROR(IRR($L1430:BF1430),0)*(BF1430&lt;&gt;0)</f>
        <v>0</v>
      </c>
      <c r="BG1433" s="58">
        <f ca="1">IFERROR(IRR($L1430:BG1430),0)*(BG1430&lt;&gt;0)</f>
        <v>0</v>
      </c>
      <c r="BH1433" s="58">
        <f ca="1">IFERROR(IRR($L1430:BH1430),0)*(BH1430&lt;&gt;0)</f>
        <v>0</v>
      </c>
      <c r="BI1433" s="58">
        <f ca="1">IFERROR(IRR($L1430:BI1430),0)*(BI1430&lt;&gt;0)</f>
        <v>0</v>
      </c>
      <c r="BJ1433" s="58">
        <f ca="1">IFERROR(IRR($L1430:BJ1430),0)*(BJ1430&lt;&gt;0)</f>
        <v>0</v>
      </c>
      <c r="BK1433" s="58">
        <f ca="1">IFERROR(IRR($L1430:BK1430),0)*(BK1430&lt;&gt;0)</f>
        <v>0</v>
      </c>
      <c r="BL1433" s="58">
        <f ca="1">IFERROR(IRR($L1430:BL1430),0)*(BL1430&lt;&gt;0)</f>
        <v>0</v>
      </c>
      <c r="BM1433" s="58">
        <f ca="1">IFERROR(IRR($L1430:BM1430),0)*(BM1430&lt;&gt;0)</f>
        <v>0</v>
      </c>
      <c r="BN1433" s="58">
        <f ca="1">IFERROR(IRR($L1430:BN1430),0)*(BN1430&lt;&gt;0)</f>
        <v>0</v>
      </c>
      <c r="BO1433" s="58">
        <f ca="1">IFERROR(IRR($L1430:BO1430),0)*(BO1430&lt;&gt;0)</f>
        <v>0</v>
      </c>
      <c r="BP1433" s="58">
        <f ca="1">IFERROR(IRR($L1430:BP1430),0)*(BP1430&lt;&gt;0)</f>
        <v>0</v>
      </c>
      <c r="BQ1433" s="58">
        <f ca="1">IFERROR(IRR($L1430:BQ1430),0)*(BQ1430&lt;&gt;0)</f>
        <v>0</v>
      </c>
      <c r="BR1433" s="58">
        <f ca="1">IFERROR(IRR($L1430:BR1430),0)*(BR1430&lt;&gt;0)</f>
        <v>0</v>
      </c>
      <c r="BS1433" s="58">
        <f ca="1">IFERROR(IRR($L1430:BS1430),0)*(BS1430&lt;&gt;0)</f>
        <v>0</v>
      </c>
      <c r="BT1433" s="58">
        <f ca="1">IFERROR(IRR($L1430:BT1430),0)*(BT1430&lt;&gt;0)</f>
        <v>0</v>
      </c>
      <c r="BU1433" s="58">
        <f ca="1">IFERROR(IRR($L1430:BU1430),0)*(BU1430&lt;&gt;0)</f>
        <v>0</v>
      </c>
      <c r="BV1433" s="58">
        <f ca="1">IFERROR(IRR($L1430:BV1430),0)*(BV1430&lt;&gt;0)</f>
        <v>0</v>
      </c>
      <c r="BW1433" s="58">
        <f ca="1">IFERROR(IRR($L1430:BW1430),0)*(BW1430&lt;&gt;0)</f>
        <v>0</v>
      </c>
      <c r="BX1433" s="58">
        <f ca="1">IFERROR(IRR($L1430:BX1430),0)*(BX1430&lt;&gt;0)</f>
        <v>0</v>
      </c>
      <c r="BY1433" s="58">
        <f ca="1">IFERROR(IRR($L1430:BY1430),0)*(BY1430&lt;&gt;0)</f>
        <v>0</v>
      </c>
      <c r="BZ1433" s="58">
        <f ca="1">IFERROR(IRR($L1430:BZ1430),0)*(BZ1430&lt;&gt;0)</f>
        <v>0</v>
      </c>
      <c r="CA1433" s="58">
        <f ca="1">IFERROR(IRR($L1430:CA1430),0)*(CA1430&lt;&gt;0)</f>
        <v>0</v>
      </c>
      <c r="CB1433" s="58">
        <f ca="1">IFERROR(IRR($L1430:CB1430),0)*(CB1430&lt;&gt;0)</f>
        <v>0</v>
      </c>
      <c r="CC1433" s="58">
        <f ca="1">IFERROR(IRR($L1430:CC1430),0)*(CC1430&lt;&gt;0)</f>
        <v>0</v>
      </c>
      <c r="CD1433" s="58">
        <f ca="1">IFERROR(IRR($L1430:CD1430),0)*(CD1430&lt;&gt;0)</f>
        <v>0</v>
      </c>
      <c r="CE1433" s="58">
        <f ca="1">IFERROR(IRR($L1430:CE1430),0)*(CE1430&lt;&gt;0)</f>
        <v>0</v>
      </c>
      <c r="CF1433" s="58">
        <f ca="1">IFERROR(IRR($L1430:CF1430),0)*(CF1430&lt;&gt;0)</f>
        <v>0</v>
      </c>
      <c r="CG1433" s="58">
        <f ca="1">IFERROR(IRR($L1430:CG1430),0)*(CG1430&lt;&gt;0)</f>
        <v>0</v>
      </c>
      <c r="CH1433" s="58">
        <f ca="1">IFERROR(IRR($L1430:CH1430),0)*(CH1430&lt;&gt;0)</f>
        <v>0</v>
      </c>
      <c r="CI1433" s="58">
        <f ca="1">IFERROR(IRR($L1430:CI1430),0)*(CI1430&lt;&gt;0)</f>
        <v>0</v>
      </c>
      <c r="CJ1433" s="58">
        <f ca="1">IFERROR(IRR($L1430:CJ1430),0)*(CJ1430&lt;&gt;0)</f>
        <v>0</v>
      </c>
      <c r="CK1433" s="58">
        <f ca="1">IFERROR(IRR($L1430:CK1430),0)*(CK1430&lt;&gt;0)</f>
        <v>0</v>
      </c>
      <c r="CL1433" s="58">
        <f ca="1">IFERROR(IRR($L1430:CL1430),0)*(CL1430&lt;&gt;0)</f>
        <v>0</v>
      </c>
      <c r="CM1433" s="58">
        <f ca="1">IFERROR(IRR($L1430:CM1430),0)*(CM1430&lt;&gt;0)</f>
        <v>0</v>
      </c>
      <c r="CN1433" s="58">
        <f ca="1">IFERROR(IRR($L1430:CN1430),0)*(CN1430&lt;&gt;0)</f>
        <v>0</v>
      </c>
      <c r="CO1433" s="58">
        <f ca="1">IFERROR(IRR($L1430:CO1430),0)*(CO1430&lt;&gt;0)</f>
        <v>0</v>
      </c>
    </row>
    <row r="1434" spans="1:94">
      <c r="A1434" s="10"/>
      <c r="B1434" s="10"/>
      <c r="C1434" s="17"/>
      <c r="D1434" s="10"/>
      <c r="E1434" s="62"/>
      <c r="F1434" s="10"/>
      <c r="G1434" s="11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  <c r="AY1434" s="10"/>
      <c r="AZ1434" s="10"/>
      <c r="BA1434" s="10"/>
      <c r="BB1434" s="10"/>
      <c r="BC1434" s="10"/>
      <c r="BD1434" s="10"/>
      <c r="BE1434" s="10"/>
      <c r="BF1434" s="10"/>
      <c r="BG1434" s="10"/>
      <c r="BH1434" s="10"/>
      <c r="BI1434" s="10"/>
      <c r="BJ1434" s="10"/>
      <c r="BK1434" s="10"/>
      <c r="BL1434" s="10"/>
      <c r="BM1434" s="10"/>
      <c r="BN1434" s="10"/>
      <c r="BO1434" s="10"/>
      <c r="BP1434" s="10"/>
      <c r="BQ1434" s="10"/>
      <c r="BR1434" s="10"/>
      <c r="BS1434" s="10"/>
      <c r="BT1434" s="10"/>
      <c r="BU1434" s="10"/>
      <c r="BV1434" s="10"/>
      <c r="BW1434" s="10"/>
      <c r="BX1434" s="10"/>
      <c r="BY1434" s="10"/>
      <c r="BZ1434" s="10"/>
      <c r="CA1434" s="10"/>
      <c r="CB1434" s="10"/>
      <c r="CC1434" s="10"/>
      <c r="CD1434" s="10"/>
      <c r="CE1434" s="10"/>
      <c r="CF1434" s="10"/>
      <c r="CG1434" s="10"/>
      <c r="CH1434" s="10"/>
      <c r="CI1434" s="10"/>
      <c r="CJ1434" s="10"/>
      <c r="CK1434" s="10"/>
      <c r="CL1434" s="10"/>
      <c r="CM1434" s="10"/>
      <c r="CN1434" s="10"/>
      <c r="CO1434" s="10"/>
      <c r="CP1434" s="10"/>
    </row>
    <row r="1435" spans="1:94">
      <c r="A1435" s="10"/>
      <c r="B1435" s="10"/>
      <c r="C1435" s="16" t="s">
        <v>497</v>
      </c>
      <c r="D1435" s="10"/>
      <c r="E1435" s="62"/>
      <c r="F1435" s="10"/>
      <c r="G1435" s="11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  <c r="AY1435" s="10"/>
      <c r="AZ1435" s="10"/>
      <c r="BA1435" s="10"/>
      <c r="BB1435" s="10"/>
      <c r="BC1435" s="10"/>
      <c r="BD1435" s="10"/>
      <c r="BE1435" s="10"/>
      <c r="BF1435" s="10"/>
      <c r="BG1435" s="10"/>
      <c r="BH1435" s="10"/>
      <c r="BI1435" s="10"/>
      <c r="BJ1435" s="10"/>
      <c r="BK1435" s="10"/>
      <c r="BL1435" s="10"/>
      <c r="BM1435" s="10"/>
      <c r="BN1435" s="10"/>
      <c r="BO1435" s="10"/>
      <c r="BP1435" s="10"/>
      <c r="BQ1435" s="10"/>
      <c r="BR1435" s="10"/>
      <c r="BS1435" s="10"/>
      <c r="BT1435" s="10"/>
      <c r="BU1435" s="10"/>
      <c r="BV1435" s="10"/>
      <c r="BW1435" s="10"/>
      <c r="BX1435" s="10"/>
      <c r="BY1435" s="10"/>
      <c r="BZ1435" s="10"/>
      <c r="CA1435" s="10"/>
      <c r="CB1435" s="10"/>
      <c r="CC1435" s="10"/>
      <c r="CD1435" s="10"/>
      <c r="CE1435" s="10"/>
      <c r="CF1435" s="10"/>
      <c r="CG1435" s="10"/>
      <c r="CH1435" s="10"/>
      <c r="CI1435" s="10"/>
      <c r="CJ1435" s="10"/>
      <c r="CK1435" s="10"/>
      <c r="CL1435" s="10"/>
      <c r="CM1435" s="10"/>
      <c r="CN1435" s="10"/>
      <c r="CO1435" s="10"/>
    </row>
    <row r="1436" spans="1:94">
      <c r="A1436" s="10"/>
      <c r="B1436" s="10"/>
      <c r="C1436" s="17" t="s">
        <v>525</v>
      </c>
      <c r="D1436" s="10"/>
      <c r="E1436" s="407">
        <f ca="1">NPV(Required_Rate_of_Return,L1430:AY1430)</f>
        <v>21437.651870644175</v>
      </c>
      <c r="F1436" s="51"/>
      <c r="G1436" s="134" t="str">
        <f>Monetary_Unit</f>
        <v>тыс. руб.</v>
      </c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  <c r="AY1436" s="10"/>
      <c r="AZ1436" s="10"/>
      <c r="BA1436" s="10"/>
      <c r="BB1436" s="10"/>
      <c r="BC1436" s="10"/>
      <c r="BD1436" s="10"/>
      <c r="BE1436" s="10"/>
      <c r="BF1436" s="10"/>
      <c r="BG1436" s="10"/>
      <c r="BH1436" s="10"/>
      <c r="BI1436" s="10"/>
      <c r="BJ1436" s="10"/>
      <c r="BK1436" s="10"/>
      <c r="BL1436" s="10"/>
      <c r="BM1436" s="10"/>
      <c r="BN1436" s="10"/>
      <c r="BO1436" s="10"/>
      <c r="BP1436" s="10"/>
      <c r="BQ1436" s="10"/>
      <c r="BR1436" s="10"/>
      <c r="BS1436" s="10"/>
      <c r="BT1436" s="10"/>
      <c r="BU1436" s="10"/>
      <c r="BV1436" s="10"/>
      <c r="BW1436" s="10"/>
      <c r="BX1436" s="10"/>
      <c r="BY1436" s="10"/>
      <c r="BZ1436" s="10"/>
      <c r="CA1436" s="10"/>
      <c r="CB1436" s="10"/>
      <c r="CC1436" s="10"/>
      <c r="CD1436" s="10"/>
      <c r="CE1436" s="10"/>
      <c r="CF1436" s="10"/>
      <c r="CG1436" s="10"/>
      <c r="CH1436" s="10"/>
      <c r="CI1436" s="10"/>
      <c r="CJ1436" s="10"/>
      <c r="CK1436" s="10"/>
      <c r="CL1436" s="10"/>
      <c r="CM1436" s="10"/>
      <c r="CN1436" s="10"/>
      <c r="CO1436" s="10"/>
    </row>
    <row r="1437" spans="1:94">
      <c r="A1437" s="10"/>
      <c r="B1437" s="10"/>
      <c r="C1437" s="17" t="s">
        <v>512</v>
      </c>
      <c r="D1437" s="10"/>
      <c r="E1437" s="191">
        <f ca="1">IFERROR(IRR(L1430:AY1430),0)</f>
        <v>0.2191525565137169</v>
      </c>
      <c r="F1437" s="51"/>
      <c r="G1437" s="11" t="s">
        <v>28</v>
      </c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  <c r="AY1437" s="10"/>
      <c r="AZ1437" s="10"/>
      <c r="BA1437" s="10"/>
      <c r="BB1437" s="10"/>
      <c r="BC1437" s="10"/>
      <c r="BD1437" s="10"/>
      <c r="BE1437" s="10"/>
      <c r="BF1437" s="10"/>
      <c r="BG1437" s="10"/>
      <c r="BH1437" s="10"/>
      <c r="BI1437" s="10"/>
      <c r="BJ1437" s="10"/>
      <c r="BK1437" s="10"/>
      <c r="BL1437" s="10"/>
      <c r="BM1437" s="10"/>
      <c r="BN1437" s="10"/>
      <c r="BO1437" s="10"/>
      <c r="BP1437" s="10"/>
      <c r="BQ1437" s="10"/>
      <c r="BR1437" s="10"/>
      <c r="BS1437" s="10"/>
      <c r="BT1437" s="10"/>
      <c r="BU1437" s="10"/>
      <c r="BV1437" s="10"/>
      <c r="BW1437" s="10"/>
      <c r="BX1437" s="10"/>
      <c r="BY1437" s="10"/>
      <c r="BZ1437" s="10"/>
      <c r="CA1437" s="10"/>
      <c r="CB1437" s="10"/>
      <c r="CC1437" s="10"/>
      <c r="CD1437" s="10"/>
      <c r="CE1437" s="10"/>
      <c r="CF1437" s="10"/>
      <c r="CG1437" s="10"/>
      <c r="CH1437" s="10"/>
      <c r="CI1437" s="10"/>
      <c r="CJ1437" s="10"/>
      <c r="CK1437" s="10"/>
      <c r="CL1437" s="10"/>
      <c r="CM1437" s="10"/>
      <c r="CN1437" s="10"/>
      <c r="CO1437" s="10"/>
    </row>
    <row r="1438" spans="1:94">
      <c r="A1438" s="10"/>
      <c r="B1438" s="10"/>
      <c r="C1438" s="13"/>
      <c r="D1438" s="10"/>
      <c r="E1438" s="62"/>
      <c r="F1438" s="10"/>
      <c r="G1438" s="11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  <c r="AY1438" s="10"/>
      <c r="AZ1438" s="10"/>
      <c r="BA1438" s="10"/>
      <c r="BB1438" s="10"/>
      <c r="BC1438" s="10"/>
      <c r="BD1438" s="10"/>
      <c r="BE1438" s="10"/>
      <c r="BF1438" s="10"/>
      <c r="BG1438" s="10"/>
      <c r="BH1438" s="10"/>
      <c r="BI1438" s="10"/>
      <c r="BJ1438" s="10"/>
      <c r="BK1438" s="10"/>
      <c r="BL1438" s="10"/>
      <c r="BM1438" s="10"/>
      <c r="BN1438" s="10"/>
      <c r="BO1438" s="10"/>
      <c r="BP1438" s="10"/>
      <c r="BQ1438" s="10"/>
      <c r="BR1438" s="10"/>
      <c r="BS1438" s="10"/>
      <c r="BT1438" s="10"/>
      <c r="BU1438" s="10"/>
      <c r="BV1438" s="10"/>
      <c r="BW1438" s="10"/>
      <c r="BX1438" s="10"/>
      <c r="BY1438" s="10"/>
      <c r="BZ1438" s="10"/>
      <c r="CA1438" s="10"/>
      <c r="CB1438" s="10"/>
      <c r="CC1438" s="10"/>
      <c r="CD1438" s="10"/>
      <c r="CE1438" s="10"/>
      <c r="CF1438" s="10"/>
      <c r="CG1438" s="10"/>
      <c r="CH1438" s="10"/>
      <c r="CI1438" s="10"/>
      <c r="CJ1438" s="10"/>
      <c r="CK1438" s="10"/>
      <c r="CL1438" s="10"/>
      <c r="CM1438" s="10"/>
      <c r="CN1438" s="10"/>
      <c r="CO1438" s="10"/>
    </row>
    <row r="1439" spans="1:94">
      <c r="A1439" s="10"/>
      <c r="B1439" s="10"/>
      <c r="C1439" s="16" t="s">
        <v>220</v>
      </c>
      <c r="D1439" s="10"/>
      <c r="E1439" s="62"/>
      <c r="F1439" s="10"/>
      <c r="G1439" s="11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  <c r="AY1439" s="10"/>
      <c r="AZ1439" s="10"/>
      <c r="BA1439" s="10"/>
      <c r="BB1439" s="10"/>
      <c r="BC1439" s="10"/>
      <c r="BD1439" s="10"/>
      <c r="BE1439" s="10"/>
      <c r="BF1439" s="10"/>
      <c r="BG1439" s="10"/>
      <c r="BH1439" s="10"/>
      <c r="BI1439" s="10"/>
      <c r="BJ1439" s="10"/>
      <c r="BK1439" s="10"/>
      <c r="BL1439" s="10"/>
      <c r="BM1439" s="10"/>
      <c r="BN1439" s="10"/>
      <c r="BO1439" s="10"/>
      <c r="BP1439" s="10"/>
      <c r="BQ1439" s="10"/>
      <c r="BR1439" s="10"/>
      <c r="BS1439" s="10"/>
      <c r="BT1439" s="10"/>
      <c r="BU1439" s="10"/>
      <c r="BV1439" s="10"/>
      <c r="BW1439" s="10"/>
      <c r="BX1439" s="10"/>
      <c r="BY1439" s="10"/>
      <c r="BZ1439" s="10"/>
      <c r="CA1439" s="10"/>
      <c r="CB1439" s="10"/>
      <c r="CC1439" s="10"/>
      <c r="CD1439" s="10"/>
      <c r="CE1439" s="10"/>
      <c r="CF1439" s="10"/>
      <c r="CG1439" s="10"/>
      <c r="CH1439" s="10"/>
      <c r="CI1439" s="10"/>
      <c r="CJ1439" s="10"/>
      <c r="CK1439" s="10"/>
      <c r="CL1439" s="10"/>
      <c r="CM1439" s="10"/>
      <c r="CN1439" s="10"/>
      <c r="CO1439" s="10"/>
    </row>
    <row r="1440" spans="1:94">
      <c r="A1440" s="10"/>
      <c r="B1440" s="10"/>
      <c r="C1440" s="17" t="s">
        <v>221</v>
      </c>
      <c r="D1440" s="10"/>
      <c r="E1440" s="62"/>
      <c r="F1440" s="10"/>
      <c r="G1440" s="134" t="str">
        <f>Monetary_Unit</f>
        <v>тыс. руб.</v>
      </c>
      <c r="H1440" s="10"/>
      <c r="I1440" s="10"/>
      <c r="J1440" s="10"/>
      <c r="K1440" s="10"/>
      <c r="L1440" s="52">
        <f t="shared" ref="L1440" ca="1" si="8693">K1440+L1425</f>
        <v>-31406.153379286916</v>
      </c>
      <c r="M1440" s="52">
        <f t="shared" ref="M1440" ca="1" si="8694">L1440+M1425</f>
        <v>-63258.113569794448</v>
      </c>
      <c r="N1440" s="52">
        <f t="shared" ref="N1440" ca="1" si="8695">M1440+N1425</f>
        <v>-95562.208749014768</v>
      </c>
      <c r="O1440" s="52">
        <f t="shared" ref="O1440" ca="1" si="8696">N1440+O1425</f>
        <v>-128324.85692220708</v>
      </c>
      <c r="P1440" s="52">
        <f t="shared" ref="P1440" ca="1" si="8697">O1440+P1425</f>
        <v>-403916.32273020223</v>
      </c>
      <c r="Q1440" s="52">
        <f t="shared" ref="Q1440" ca="1" si="8698">P1440+Q1425</f>
        <v>-682223.30329222977</v>
      </c>
      <c r="R1440" s="52">
        <f t="shared" ref="R1440" ca="1" si="8699">Q1440+R1425</f>
        <v>-963272.55567915109</v>
      </c>
      <c r="S1440" s="52">
        <f t="shared" ref="S1440" ca="1" si="8700">R1440+S1425</f>
        <v>-1154754.872889637</v>
      </c>
      <c r="T1440" s="52">
        <f t="shared" ref="T1440" ca="1" si="8701">S1440+T1425</f>
        <v>-1161335.527237284</v>
      </c>
      <c r="U1440" s="52">
        <f t="shared" ref="U1440" ca="1" si="8702">T1440+U1425</f>
        <v>-1171760.35587011</v>
      </c>
      <c r="V1440" s="52">
        <f t="shared" ref="V1440" ca="1" si="8703">U1440+V1425</f>
        <v>-1186149.8052114691</v>
      </c>
      <c r="W1440" s="52">
        <f t="shared" ref="W1440" ca="1" si="8704">V1440+W1425</f>
        <v>-1204427.2529325802</v>
      </c>
      <c r="X1440" s="52">
        <f t="shared" ref="X1440" ca="1" si="8705">W1440+X1425</f>
        <v>-1228568.1097713585</v>
      </c>
      <c r="Y1440" s="52">
        <f t="shared" ref="Y1440" ca="1" si="8706">X1440+Y1425</f>
        <v>-1260877.1156452452</v>
      </c>
      <c r="Z1440" s="52">
        <f t="shared" ref="Z1440" ca="1" si="8707">Y1440+Z1425</f>
        <v>-1301880.4429881186</v>
      </c>
      <c r="AA1440" s="52">
        <f t="shared" ref="AA1440" ca="1" si="8708">Z1440+AA1425</f>
        <v>-1351305.2180704102</v>
      </c>
      <c r="AB1440" s="52">
        <f t="shared" ref="AB1440" ca="1" si="8709">AA1440+AB1425</f>
        <v>-1409395.9556502984</v>
      </c>
      <c r="AC1440" s="52">
        <f t="shared" ref="AC1440" ca="1" si="8710">AB1440+AC1425</f>
        <v>-723293.54140300979</v>
      </c>
      <c r="AD1440" s="52">
        <f t="shared" ref="AD1440" ca="1" si="8711">AC1440+AD1425</f>
        <v>-584297.95592648652</v>
      </c>
      <c r="AE1440" s="52">
        <f t="shared" ref="AE1440" ca="1" si="8712">AD1440+AE1425</f>
        <v>-548150.00653923769</v>
      </c>
      <c r="AF1440" s="52">
        <f t="shared" ref="AF1440" ca="1" si="8713">AE1440+AF1425</f>
        <v>-569559.86324000789</v>
      </c>
      <c r="AG1440" s="52">
        <f t="shared" ref="AG1440" ca="1" si="8714">AF1440+AG1425</f>
        <v>-583229.81098023173</v>
      </c>
      <c r="AH1440" s="52">
        <f t="shared" ref="AH1440" ca="1" si="8715">AG1440+AH1425</f>
        <v>-526047.32467263611</v>
      </c>
      <c r="AI1440" s="52">
        <f t="shared" ref="AI1440" ca="1" si="8716">AH1440+AI1425</f>
        <v>-447874.13049349876</v>
      </c>
      <c r="AJ1440" s="52">
        <f t="shared" ref="AJ1440" ca="1" si="8717">AI1440+AJ1425</f>
        <v>-439147.3218717837</v>
      </c>
      <c r="AK1440" s="52">
        <f t="shared" ref="AK1440" ca="1" si="8718">AJ1440+AK1425</f>
        <v>-422136.73722563183</v>
      </c>
      <c r="AL1440" s="52">
        <f t="shared" ref="AL1440" ca="1" si="8719">AK1440+AL1425</f>
        <v>-322660.92940134619</v>
      </c>
      <c r="AM1440" s="52">
        <f t="shared" ref="AM1440" ca="1" si="8720">AL1440+AM1425</f>
        <v>-199457.96778394654</v>
      </c>
      <c r="AN1440" s="52">
        <f t="shared" ref="AN1440" ca="1" si="8721">AM1440+AN1425</f>
        <v>-156709.65785404266</v>
      </c>
      <c r="AO1440" s="52">
        <f t="shared" ref="AO1440" ca="1" si="8722">AN1440+AO1425</f>
        <v>-106772.57102292884</v>
      </c>
      <c r="AP1440" s="52">
        <f t="shared" ref="AP1440" ca="1" si="8723">AO1440+AP1425</f>
        <v>34957.318919870857</v>
      </c>
      <c r="AQ1440" s="52">
        <f t="shared" ref="AQ1440" ca="1" si="8724">AP1440+AQ1425</f>
        <v>195756.30140819258</v>
      </c>
      <c r="AR1440" s="52">
        <f t="shared" ref="AR1440" ca="1" si="8725">AQ1440+AR1425</f>
        <v>257353.76418845772</v>
      </c>
      <c r="AS1440" s="52">
        <f t="shared" ref="AS1440" ca="1" si="8726">AR1440+AS1425</f>
        <v>319288.60286467173</v>
      </c>
      <c r="AT1440" s="52">
        <f t="shared" ref="AT1440" ca="1" si="8727">AS1440+AT1425</f>
        <v>471985.51737938065</v>
      </c>
      <c r="AU1440" s="52">
        <f t="shared" ref="AU1440" ca="1" si="8728">AT1440+AU1425</f>
        <v>638782.65646758629</v>
      </c>
      <c r="AV1440" s="52">
        <f t="shared" ref="AV1440" ca="1" si="8729">AU1440+AV1425</f>
        <v>702839.37080386421</v>
      </c>
      <c r="AW1440" s="52">
        <f t="shared" ref="AW1440" ca="1" si="8730">AV1440+AW1425</f>
        <v>810812.73354671872</v>
      </c>
      <c r="AX1440" s="52">
        <f t="shared" ref="AX1440" ca="1" si="8731">AW1440+AX1425</f>
        <v>895663.935542566</v>
      </c>
      <c r="AY1440" s="52">
        <f t="shared" ref="AY1440" ca="1" si="8732">AX1440+AY1425</f>
        <v>906272.45644869527</v>
      </c>
      <c r="AZ1440" s="52">
        <f t="shared" ref="AZ1440" ca="1" si="8733">AY1440+AZ1425</f>
        <v>863382.18596477062</v>
      </c>
      <c r="BA1440" s="52">
        <f t="shared" ref="BA1440" ca="1" si="8734">AZ1440+BA1425</f>
        <v>862075.1454131552</v>
      </c>
      <c r="BB1440" s="52">
        <f t="shared" ref="BB1440" ca="1" si="8735">BA1440+BB1425</f>
        <v>924020.22276104102</v>
      </c>
      <c r="BC1440" s="52">
        <f t="shared" ref="BC1440" ca="1" si="8736">BB1440+BC1425</f>
        <v>941735.76941988303</v>
      </c>
      <c r="BD1440" s="52">
        <f t="shared" ref="BD1440" ca="1" si="8737">BC1440+BD1425</f>
        <v>905851.46341968887</v>
      </c>
      <c r="BE1440" s="52">
        <f t="shared" ref="BE1440" ca="1" si="8738">BD1440+BE1425</f>
        <v>908558.03065851168</v>
      </c>
      <c r="BF1440" s="52">
        <f t="shared" ref="BF1440" ca="1" si="8739">BE1440+BF1425</f>
        <v>977714.84470118082</v>
      </c>
      <c r="BG1440" s="52">
        <f t="shared" ref="BG1440" ca="1" si="8740">BF1440+BG1425</f>
        <v>1000902.3848778869</v>
      </c>
      <c r="BH1440" s="52">
        <f t="shared" ref="BH1440" ca="1" si="8741">BG1440+BH1425</f>
        <v>1150173.7706727074</v>
      </c>
      <c r="BI1440" s="52">
        <f t="shared" ref="BI1440" ca="1" si="8742">BH1440+BI1425</f>
        <v>1344640.7779520499</v>
      </c>
      <c r="BJ1440" s="52">
        <f t="shared" ref="BJ1440" ca="1" si="8743">BI1440+BJ1425</f>
        <v>1607784.0661480871</v>
      </c>
      <c r="BK1440" s="52">
        <f t="shared" ref="BK1440" ca="1" si="8744">BJ1440+BK1425</f>
        <v>1823387.827120997</v>
      </c>
      <c r="BL1440" s="52">
        <f t="shared" ref="BL1440" ca="1" si="8745">BK1440+BL1425</f>
        <v>1978684.4885133482</v>
      </c>
      <c r="BM1440" s="52">
        <f t="shared" ref="BM1440" ca="1" si="8746">BL1440+BM1425</f>
        <v>2180986.0346522266</v>
      </c>
      <c r="BN1440" s="52">
        <f t="shared" ref="BN1440" ca="1" si="8747">BM1440+BN1425</f>
        <v>2454712.3831290845</v>
      </c>
      <c r="BO1440" s="52">
        <f t="shared" ref="BO1440" ca="1" si="8748">BN1440+BO1425</f>
        <v>2666051.9436490033</v>
      </c>
      <c r="BP1440" s="52">
        <f t="shared" ref="BP1440" ca="1" si="8749">BO1440+BP1425</f>
        <v>2815465.7949423413</v>
      </c>
      <c r="BQ1440" s="52">
        <f t="shared" ref="BQ1440" ca="1" si="8750">BP1440+BQ1425</f>
        <v>3005940.2989011607</v>
      </c>
      <c r="BR1440" s="52">
        <f t="shared" ref="BR1440" ca="1" si="8751">BQ1440+BR1425</f>
        <v>3264925.1691983836</v>
      </c>
      <c r="BS1440" s="52">
        <f t="shared" ref="BS1440" ca="1" si="8752">BR1440+BS1425</f>
        <v>3484668.651556104</v>
      </c>
      <c r="BT1440" s="52">
        <f t="shared" ref="BT1440" ca="1" si="8753">BS1440+BT1425</f>
        <v>3642418.5688547161</v>
      </c>
      <c r="BU1440" s="52">
        <f t="shared" ref="BU1440" ca="1" si="8754">BT1440+BU1425</f>
        <v>3839736.1585814031</v>
      </c>
      <c r="BV1440" s="52">
        <f t="shared" ref="BV1440" ca="1" si="8755">BU1440+BV1425</f>
        <v>4109039.9694147119</v>
      </c>
      <c r="BW1440" s="52">
        <f t="shared" ref="BW1440" ca="1" si="8756">BV1440+BW1425</f>
        <v>4337532.7427080236</v>
      </c>
      <c r="BX1440" s="52">
        <f t="shared" ref="BX1440" ca="1" si="8757">BW1440+BX1425</f>
        <v>4499031.9708105233</v>
      </c>
      <c r="BY1440" s="52">
        <f t="shared" ref="BY1440" ca="1" si="8758">BX1440+BY1425</f>
        <v>4704945.1616447475</v>
      </c>
      <c r="BZ1440" s="52">
        <f t="shared" ref="BZ1440" ca="1" si="8759">BY1440+BZ1425</f>
        <v>4984961.8897689125</v>
      </c>
      <c r="CA1440" s="52">
        <f t="shared" ref="CA1440" ca="1" si="8760">BZ1440+CA1425</f>
        <v>5222535.1326977117</v>
      </c>
      <c r="CB1440" s="52">
        <f t="shared" ref="CB1440" ca="1" si="8761">CA1440+CB1425</f>
        <v>5390442.0348959425</v>
      </c>
      <c r="CC1440" s="52">
        <f t="shared" ref="CC1440" ca="1" si="8762">CB1440+CC1425</f>
        <v>5604540.7569676377</v>
      </c>
      <c r="CD1440" s="52">
        <f t="shared" ref="CD1440" ca="1" si="8763">CC1440+CD1425</f>
        <v>5895708.4936337741</v>
      </c>
      <c r="CE1440" s="52">
        <f t="shared" ref="CE1440" ca="1" si="8764">CD1440+CE1425</f>
        <v>6142735.0056967288</v>
      </c>
      <c r="CF1440" s="52">
        <f t="shared" ref="CF1440" ca="1" si="8765">CE1440+CF1425</f>
        <v>6317305.8517740872</v>
      </c>
      <c r="CG1440" s="52">
        <f t="shared" ref="CG1440" ca="1" si="8766">CF1440+CG1425</f>
        <v>6539917.5263327509</v>
      </c>
      <c r="CH1440" s="52">
        <f t="shared" ref="CH1440" ca="1" si="8767">CG1440+CH1425</f>
        <v>6842682.3118825369</v>
      </c>
      <c r="CI1440" s="52">
        <f t="shared" ref="CI1440" ca="1" si="8768">CH1440+CI1425</f>
        <v>7099540.2238450153</v>
      </c>
      <c r="CJ1440" s="52">
        <f t="shared" ref="CJ1440" ca="1" si="8769">CI1440+CJ1425</f>
        <v>7283867.3502057139</v>
      </c>
      <c r="CK1440" s="52">
        <f t="shared" ref="CK1440" ca="1" si="8770">CJ1440+CK1425</f>
        <v>7514483.0568556711</v>
      </c>
      <c r="CL1440" s="52">
        <f t="shared" ref="CL1440" ca="1" si="8771">CK1440+CL1425</f>
        <v>7829318.1174520859</v>
      </c>
      <c r="CM1440" s="52">
        <f t="shared" ref="CM1440" ca="1" si="8772">CL1440+CM1425</f>
        <v>8096410.0364398537</v>
      </c>
      <c r="CN1440" s="52">
        <f t="shared" ref="CN1440" ca="1" si="8773">CM1440+CN1425</f>
        <v>8285119.0640282342</v>
      </c>
      <c r="CO1440" s="52">
        <f t="shared" ref="CO1440" ca="1" si="8774">CN1440+CO1425</f>
        <v>8525791.81858325</v>
      </c>
    </row>
    <row r="1441" spans="1:93">
      <c r="A1441" s="10"/>
      <c r="B1441" s="10"/>
      <c r="C1441" s="17" t="s">
        <v>222</v>
      </c>
      <c r="D1441" s="10"/>
      <c r="E1441" s="10">
        <f ca="1">SUM(L1441:CO1441)</f>
        <v>1</v>
      </c>
      <c r="F1441" s="10"/>
      <c r="G1441" s="11"/>
      <c r="H1441" s="10"/>
      <c r="I1441" s="10"/>
      <c r="J1441" s="10"/>
      <c r="K1441" s="10"/>
      <c r="L1441" s="52">
        <f ca="1">1*(L1440&gt;0)*(K1440&lt;0)*(SUM($K1441:K1441)=0)</f>
        <v>0</v>
      </c>
      <c r="M1441" s="52">
        <f ca="1">1*(M1440&gt;0)*(L1440&lt;0)*(SUM($K1441:L1441)=0)</f>
        <v>0</v>
      </c>
      <c r="N1441" s="52">
        <f ca="1">1*(N1440&gt;0)*(M1440&lt;0)*(SUM($K1441:M1441)=0)</f>
        <v>0</v>
      </c>
      <c r="O1441" s="52">
        <f ca="1">1*(O1440&gt;0)*(N1440&lt;0)*(SUM($K1441:N1441)=0)</f>
        <v>0</v>
      </c>
      <c r="P1441" s="52">
        <f ca="1">1*(P1440&gt;0)*(O1440&lt;0)*(SUM($K1441:O1441)=0)</f>
        <v>0</v>
      </c>
      <c r="Q1441" s="52">
        <f ca="1">1*(Q1440&gt;0)*(P1440&lt;0)*(SUM($K1441:P1441)=0)</f>
        <v>0</v>
      </c>
      <c r="R1441" s="52">
        <f ca="1">1*(R1440&gt;0)*(Q1440&lt;0)*(SUM($K1441:Q1441)=0)</f>
        <v>0</v>
      </c>
      <c r="S1441" s="52">
        <f ca="1">1*(S1440&gt;0)*(R1440&lt;0)*(SUM($K1441:R1441)=0)</f>
        <v>0</v>
      </c>
      <c r="T1441" s="52">
        <f ca="1">1*(T1440&gt;0)*(S1440&lt;0)*(SUM($K1441:S1441)=0)</f>
        <v>0</v>
      </c>
      <c r="U1441" s="52">
        <f ca="1">1*(U1440&gt;0)*(T1440&lt;0)*(SUM($K1441:T1441)=0)</f>
        <v>0</v>
      </c>
      <c r="V1441" s="52">
        <f ca="1">1*(V1440&gt;0)*(U1440&lt;0)*(SUM($K1441:U1441)=0)</f>
        <v>0</v>
      </c>
      <c r="W1441" s="52">
        <f ca="1">1*(W1440&gt;0)*(V1440&lt;0)*(SUM($K1441:V1441)=0)</f>
        <v>0</v>
      </c>
      <c r="X1441" s="52">
        <f ca="1">1*(X1440&gt;0)*(W1440&lt;0)*(SUM($K1441:W1441)=0)</f>
        <v>0</v>
      </c>
      <c r="Y1441" s="52">
        <f ca="1">1*(Y1440&gt;0)*(X1440&lt;0)*(SUM($K1441:X1441)=0)</f>
        <v>0</v>
      </c>
      <c r="Z1441" s="52">
        <f ca="1">1*(Z1440&gt;0)*(Y1440&lt;0)*(SUM($K1441:Y1441)=0)</f>
        <v>0</v>
      </c>
      <c r="AA1441" s="52">
        <f ca="1">1*(AA1440&gt;0)*(Z1440&lt;0)*(SUM($K1441:Z1441)=0)</f>
        <v>0</v>
      </c>
      <c r="AB1441" s="52">
        <f ca="1">1*(AB1440&gt;0)*(AA1440&lt;0)*(SUM($K1441:AA1441)=0)</f>
        <v>0</v>
      </c>
      <c r="AC1441" s="52">
        <f ca="1">1*(AC1440&gt;0)*(AB1440&lt;0)*(SUM($K1441:AB1441)=0)</f>
        <v>0</v>
      </c>
      <c r="AD1441" s="52">
        <f ca="1">1*(AD1440&gt;0)*(AC1440&lt;0)*(SUM($K1441:AC1441)=0)</f>
        <v>0</v>
      </c>
      <c r="AE1441" s="52">
        <f ca="1">1*(AE1440&gt;0)*(AD1440&lt;0)*(SUM($K1441:AD1441)=0)</f>
        <v>0</v>
      </c>
      <c r="AF1441" s="52">
        <f ca="1">1*(AF1440&gt;0)*(AE1440&lt;0)*(SUM($K1441:AE1441)=0)</f>
        <v>0</v>
      </c>
      <c r="AG1441" s="52">
        <f ca="1">1*(AG1440&gt;0)*(AF1440&lt;0)*(SUM($K1441:AF1441)=0)</f>
        <v>0</v>
      </c>
      <c r="AH1441" s="52">
        <f ca="1">1*(AH1440&gt;0)*(AG1440&lt;0)*(SUM($K1441:AG1441)=0)</f>
        <v>0</v>
      </c>
      <c r="AI1441" s="52">
        <f ca="1">1*(AI1440&gt;0)*(AH1440&lt;0)*(SUM($K1441:AH1441)=0)</f>
        <v>0</v>
      </c>
      <c r="AJ1441" s="52">
        <f ca="1">1*(AJ1440&gt;0)*(AI1440&lt;0)*(SUM($K1441:AI1441)=0)</f>
        <v>0</v>
      </c>
      <c r="AK1441" s="52">
        <f ca="1">1*(AK1440&gt;0)*(AJ1440&lt;0)*(SUM($K1441:AJ1441)=0)</f>
        <v>0</v>
      </c>
      <c r="AL1441" s="52">
        <f ca="1">1*(AL1440&gt;0)*(AK1440&lt;0)*(SUM($K1441:AK1441)=0)</f>
        <v>0</v>
      </c>
      <c r="AM1441" s="52">
        <f ca="1">1*(AM1440&gt;0)*(AL1440&lt;0)*(SUM($K1441:AL1441)=0)</f>
        <v>0</v>
      </c>
      <c r="AN1441" s="52">
        <f ca="1">1*(AN1440&gt;0)*(AM1440&lt;0)*(SUM($K1441:AM1441)=0)</f>
        <v>0</v>
      </c>
      <c r="AO1441" s="52">
        <f ca="1">1*(AO1440&gt;0)*(AN1440&lt;0)*(SUM($K1441:AN1441)=0)</f>
        <v>0</v>
      </c>
      <c r="AP1441" s="52">
        <f ca="1">1*(AP1440&gt;0)*(AO1440&lt;0)*(SUM($K1441:AO1441)=0)</f>
        <v>1</v>
      </c>
      <c r="AQ1441" s="52">
        <f ca="1">1*(AQ1440&gt;0)*(AP1440&lt;0)*(SUM($K1441:AP1441)=0)</f>
        <v>0</v>
      </c>
      <c r="AR1441" s="52">
        <f ca="1">1*(AR1440&gt;0)*(AQ1440&lt;0)*(SUM($K1441:AQ1441)=0)</f>
        <v>0</v>
      </c>
      <c r="AS1441" s="52">
        <f ca="1">1*(AS1440&gt;0)*(AR1440&lt;0)*(SUM($K1441:AR1441)=0)</f>
        <v>0</v>
      </c>
      <c r="AT1441" s="52">
        <f ca="1">1*(AT1440&gt;0)*(AS1440&lt;0)*(SUM($K1441:AS1441)=0)</f>
        <v>0</v>
      </c>
      <c r="AU1441" s="52">
        <f ca="1">1*(AU1440&gt;0)*(AT1440&lt;0)*(SUM($K1441:AT1441)=0)</f>
        <v>0</v>
      </c>
      <c r="AV1441" s="52">
        <f ca="1">1*(AV1440&gt;0)*(AU1440&lt;0)*(SUM($K1441:AU1441)=0)</f>
        <v>0</v>
      </c>
      <c r="AW1441" s="52">
        <f ca="1">1*(AW1440&gt;0)*(AV1440&lt;0)*(SUM($K1441:AV1441)=0)</f>
        <v>0</v>
      </c>
      <c r="AX1441" s="52">
        <f ca="1">1*(AX1440&gt;0)*(AW1440&lt;0)*(SUM($K1441:AW1441)=0)</f>
        <v>0</v>
      </c>
      <c r="AY1441" s="52">
        <f ca="1">1*(AY1440&gt;0)*(AX1440&lt;0)*(SUM($K1441:AX1441)=0)</f>
        <v>0</v>
      </c>
      <c r="AZ1441" s="52">
        <f ca="1">1*(AZ1440&gt;0)*(AY1440&lt;0)*(SUM($K1441:AY1441)=0)</f>
        <v>0</v>
      </c>
      <c r="BA1441" s="52">
        <f ca="1">1*(BA1440&gt;0)*(AZ1440&lt;0)*(SUM($K1441:AZ1441)=0)</f>
        <v>0</v>
      </c>
      <c r="BB1441" s="52">
        <f ca="1">1*(BB1440&gt;0)*(BA1440&lt;0)*(SUM($K1441:BA1441)=0)</f>
        <v>0</v>
      </c>
      <c r="BC1441" s="52">
        <f ca="1">1*(BC1440&gt;0)*(BB1440&lt;0)*(SUM($K1441:BB1441)=0)</f>
        <v>0</v>
      </c>
      <c r="BD1441" s="52">
        <f ca="1">1*(BD1440&gt;0)*(BC1440&lt;0)*(SUM($K1441:BC1441)=0)</f>
        <v>0</v>
      </c>
      <c r="BE1441" s="52">
        <f ca="1">1*(BE1440&gt;0)*(BD1440&lt;0)*(SUM($K1441:BD1441)=0)</f>
        <v>0</v>
      </c>
      <c r="BF1441" s="52">
        <f ca="1">1*(BF1440&gt;0)*(BE1440&lt;0)*(SUM($K1441:BE1441)=0)</f>
        <v>0</v>
      </c>
      <c r="BG1441" s="52">
        <f ca="1">1*(BG1440&gt;0)*(BF1440&lt;0)*(SUM($K1441:BF1441)=0)</f>
        <v>0</v>
      </c>
      <c r="BH1441" s="52">
        <f ca="1">1*(BH1440&gt;0)*(BG1440&lt;0)*(SUM($K1441:BG1441)=0)</f>
        <v>0</v>
      </c>
      <c r="BI1441" s="52">
        <f ca="1">1*(BI1440&gt;0)*(BH1440&lt;0)*(SUM($K1441:BH1441)=0)</f>
        <v>0</v>
      </c>
      <c r="BJ1441" s="52">
        <f ca="1">1*(BJ1440&gt;0)*(BI1440&lt;0)*(SUM($K1441:BI1441)=0)</f>
        <v>0</v>
      </c>
      <c r="BK1441" s="52">
        <f ca="1">1*(BK1440&gt;0)*(BJ1440&lt;0)*(SUM($K1441:BJ1441)=0)</f>
        <v>0</v>
      </c>
      <c r="BL1441" s="52">
        <f ca="1">1*(BL1440&gt;0)*(BK1440&lt;0)*(SUM($K1441:BK1441)=0)</f>
        <v>0</v>
      </c>
      <c r="BM1441" s="52">
        <f ca="1">1*(BM1440&gt;0)*(BL1440&lt;0)*(SUM($K1441:BL1441)=0)</f>
        <v>0</v>
      </c>
      <c r="BN1441" s="52">
        <f ca="1">1*(BN1440&gt;0)*(BM1440&lt;0)*(SUM($K1441:BM1441)=0)</f>
        <v>0</v>
      </c>
      <c r="BO1441" s="52">
        <f ca="1">1*(BO1440&gt;0)*(BN1440&lt;0)*(SUM($K1441:BN1441)=0)</f>
        <v>0</v>
      </c>
      <c r="BP1441" s="52">
        <f ca="1">1*(BP1440&gt;0)*(BO1440&lt;0)*(SUM($K1441:BO1441)=0)</f>
        <v>0</v>
      </c>
      <c r="BQ1441" s="52">
        <f ca="1">1*(BQ1440&gt;0)*(BP1440&lt;0)*(SUM($K1441:BP1441)=0)</f>
        <v>0</v>
      </c>
      <c r="BR1441" s="52">
        <f ca="1">1*(BR1440&gt;0)*(BQ1440&lt;0)*(SUM($K1441:BQ1441)=0)</f>
        <v>0</v>
      </c>
      <c r="BS1441" s="52">
        <f ca="1">1*(BS1440&gt;0)*(BR1440&lt;0)*(SUM($K1441:BR1441)=0)</f>
        <v>0</v>
      </c>
      <c r="BT1441" s="52">
        <f ca="1">1*(BT1440&gt;0)*(BS1440&lt;0)*(SUM($K1441:BS1441)=0)</f>
        <v>0</v>
      </c>
      <c r="BU1441" s="52">
        <f ca="1">1*(BU1440&gt;0)*(BT1440&lt;0)*(SUM($K1441:BT1441)=0)</f>
        <v>0</v>
      </c>
      <c r="BV1441" s="52">
        <f ca="1">1*(BV1440&gt;0)*(BU1440&lt;0)*(SUM($K1441:BU1441)=0)</f>
        <v>0</v>
      </c>
      <c r="BW1441" s="52">
        <f ca="1">1*(BW1440&gt;0)*(BV1440&lt;0)*(SUM($K1441:BV1441)=0)</f>
        <v>0</v>
      </c>
      <c r="BX1441" s="52">
        <f ca="1">1*(BX1440&gt;0)*(BW1440&lt;0)*(SUM($K1441:BW1441)=0)</f>
        <v>0</v>
      </c>
      <c r="BY1441" s="52">
        <f ca="1">1*(BY1440&gt;0)*(BX1440&lt;0)*(SUM($K1441:BX1441)=0)</f>
        <v>0</v>
      </c>
      <c r="BZ1441" s="52">
        <f ca="1">1*(BZ1440&gt;0)*(BY1440&lt;0)*(SUM($K1441:BY1441)=0)</f>
        <v>0</v>
      </c>
      <c r="CA1441" s="52">
        <f ca="1">1*(CA1440&gt;0)*(BZ1440&lt;0)*(SUM($K1441:BZ1441)=0)</f>
        <v>0</v>
      </c>
      <c r="CB1441" s="52">
        <f ca="1">1*(CB1440&gt;0)*(CA1440&lt;0)*(SUM($K1441:CA1441)=0)</f>
        <v>0</v>
      </c>
      <c r="CC1441" s="52">
        <f ca="1">1*(CC1440&gt;0)*(CB1440&lt;0)*(SUM($K1441:CB1441)=0)</f>
        <v>0</v>
      </c>
      <c r="CD1441" s="52">
        <f ca="1">1*(CD1440&gt;0)*(CC1440&lt;0)*(SUM($K1441:CC1441)=0)</f>
        <v>0</v>
      </c>
      <c r="CE1441" s="52">
        <f ca="1">1*(CE1440&gt;0)*(CD1440&lt;0)*(SUM($K1441:CD1441)=0)</f>
        <v>0</v>
      </c>
      <c r="CF1441" s="52">
        <f ca="1">1*(CF1440&gt;0)*(CE1440&lt;0)*(SUM($K1441:CE1441)=0)</f>
        <v>0</v>
      </c>
      <c r="CG1441" s="52">
        <f ca="1">1*(CG1440&gt;0)*(CF1440&lt;0)*(SUM($K1441:CF1441)=0)</f>
        <v>0</v>
      </c>
      <c r="CH1441" s="52">
        <f ca="1">1*(CH1440&gt;0)*(CG1440&lt;0)*(SUM($K1441:CG1441)=0)</f>
        <v>0</v>
      </c>
      <c r="CI1441" s="52">
        <f ca="1">1*(CI1440&gt;0)*(CH1440&lt;0)*(SUM($K1441:CH1441)=0)</f>
        <v>0</v>
      </c>
      <c r="CJ1441" s="52">
        <f ca="1">1*(CJ1440&gt;0)*(CI1440&lt;0)*(SUM($K1441:CI1441)=0)</f>
        <v>0</v>
      </c>
      <c r="CK1441" s="52">
        <f ca="1">1*(CK1440&gt;0)*(CJ1440&lt;0)*(SUM($K1441:CJ1441)=0)</f>
        <v>0</v>
      </c>
      <c r="CL1441" s="52">
        <f ca="1">1*(CL1440&gt;0)*(CK1440&lt;0)*(SUM($K1441:CK1441)=0)</f>
        <v>0</v>
      </c>
      <c r="CM1441" s="52">
        <f ca="1">1*(CM1440&gt;0)*(CL1440&lt;0)*(SUM($K1441:CL1441)=0)</f>
        <v>0</v>
      </c>
      <c r="CN1441" s="52">
        <f ca="1">1*(CN1440&gt;0)*(CM1440&lt;0)*(SUM($K1441:CM1441)=0)</f>
        <v>0</v>
      </c>
      <c r="CO1441" s="52">
        <f ca="1">1*(CO1440&gt;0)*(CN1440&lt;0)*(SUM($K1441:CN1441)=0)</f>
        <v>0</v>
      </c>
    </row>
    <row r="1442" spans="1:93">
      <c r="A1442" s="10"/>
      <c r="B1442" s="10"/>
      <c r="C1442" s="17" t="s">
        <v>223</v>
      </c>
      <c r="D1442" s="10"/>
      <c r="E1442" s="10">
        <f ca="1">SUM(L1442:CO1442)</f>
        <v>69.308432667759192</v>
      </c>
      <c r="F1442" s="10"/>
      <c r="G1442" s="11"/>
      <c r="H1442" s="10"/>
      <c r="I1442" s="10"/>
      <c r="J1442" s="10"/>
      <c r="K1442" s="10"/>
      <c r="L1442" s="52">
        <f t="shared" ref="L1442" ca="1" si="8775">-IFERROR(K1440/L1425,0)*Days_In_Period*L1441</f>
        <v>0</v>
      </c>
      <c r="M1442" s="52">
        <f t="shared" ref="M1442" ca="1" si="8776">-IFERROR(L1440/M1425,0)*Days_In_Period*M1441</f>
        <v>0</v>
      </c>
      <c r="N1442" s="52">
        <f t="shared" ref="N1442" ca="1" si="8777">-IFERROR(M1440/N1425,0)*Days_In_Period*N1441</f>
        <v>0</v>
      </c>
      <c r="O1442" s="52">
        <f t="shared" ref="O1442" ca="1" si="8778">-IFERROR(N1440/O1425,0)*Days_In_Period*O1441</f>
        <v>0</v>
      </c>
      <c r="P1442" s="52">
        <f t="shared" ref="P1442" ca="1" si="8779">-IFERROR(O1440/P1425,0)*Days_In_Period*P1441</f>
        <v>0</v>
      </c>
      <c r="Q1442" s="52">
        <f t="shared" ref="Q1442" ca="1" si="8780">-IFERROR(P1440/Q1425,0)*Days_In_Period*Q1441</f>
        <v>0</v>
      </c>
      <c r="R1442" s="52">
        <f t="shared" ref="R1442" ca="1" si="8781">-IFERROR(Q1440/R1425,0)*Days_In_Period*R1441</f>
        <v>0</v>
      </c>
      <c r="S1442" s="52">
        <f t="shared" ref="S1442" ca="1" si="8782">-IFERROR(R1440/S1425,0)*Days_In_Period*S1441</f>
        <v>0</v>
      </c>
      <c r="T1442" s="52">
        <f t="shared" ref="T1442" ca="1" si="8783">-IFERROR(S1440/T1425,0)*Days_In_Period*T1441</f>
        <v>0</v>
      </c>
      <c r="U1442" s="52">
        <f t="shared" ref="U1442" ca="1" si="8784">-IFERROR(T1440/U1425,0)*Days_In_Period*U1441</f>
        <v>0</v>
      </c>
      <c r="V1442" s="52">
        <f t="shared" ref="V1442" ca="1" si="8785">-IFERROR(U1440/V1425,0)*Days_In_Period*V1441</f>
        <v>0</v>
      </c>
      <c r="W1442" s="52">
        <f t="shared" ref="W1442" ca="1" si="8786">-IFERROR(V1440/W1425,0)*Days_In_Period*W1441</f>
        <v>0</v>
      </c>
      <c r="X1442" s="52">
        <f t="shared" ref="X1442" ca="1" si="8787">-IFERROR(W1440/X1425,0)*Days_In_Period*X1441</f>
        <v>0</v>
      </c>
      <c r="Y1442" s="52">
        <f t="shared" ref="Y1442" ca="1" si="8788">-IFERROR(X1440/Y1425,0)*Days_In_Period*Y1441</f>
        <v>0</v>
      </c>
      <c r="Z1442" s="52">
        <f t="shared" ref="Z1442" ca="1" si="8789">-IFERROR(Y1440/Z1425,0)*Days_In_Period*Z1441</f>
        <v>0</v>
      </c>
      <c r="AA1442" s="52">
        <f t="shared" ref="AA1442" ca="1" si="8790">-IFERROR(Z1440/AA1425,0)*Days_In_Period*AA1441</f>
        <v>0</v>
      </c>
      <c r="AB1442" s="52">
        <f t="shared" ref="AB1442" ca="1" si="8791">-IFERROR(AA1440/AB1425,0)*Days_In_Period*AB1441</f>
        <v>0</v>
      </c>
      <c r="AC1442" s="52">
        <f t="shared" ref="AC1442" ca="1" si="8792">-IFERROR(AB1440/AC1425,0)*Days_In_Period*AC1441</f>
        <v>0</v>
      </c>
      <c r="AD1442" s="52">
        <f t="shared" ref="AD1442" ca="1" si="8793">-IFERROR(AC1440/AD1425,0)*Days_In_Period*AD1441</f>
        <v>0</v>
      </c>
      <c r="AE1442" s="52">
        <f t="shared" ref="AE1442" ca="1" si="8794">-IFERROR(AD1440/AE1425,0)*Days_In_Period*AE1441</f>
        <v>0</v>
      </c>
      <c r="AF1442" s="52">
        <f t="shared" ref="AF1442" ca="1" si="8795">-IFERROR(AE1440/AF1425,0)*Days_In_Period*AF1441</f>
        <v>0</v>
      </c>
      <c r="AG1442" s="52">
        <f t="shared" ref="AG1442" ca="1" si="8796">-IFERROR(AF1440/AG1425,0)*Days_In_Period*AG1441</f>
        <v>0</v>
      </c>
      <c r="AH1442" s="52">
        <f t="shared" ref="AH1442" ca="1" si="8797">-IFERROR(AG1440/AH1425,0)*Days_In_Period*AH1441</f>
        <v>0</v>
      </c>
      <c r="AI1442" s="52">
        <f t="shared" ref="AI1442" ca="1" si="8798">-IFERROR(AH1440/AI1425,0)*Days_In_Period*AI1441</f>
        <v>0</v>
      </c>
      <c r="AJ1442" s="52">
        <f t="shared" ref="AJ1442" ca="1" si="8799">-IFERROR(AI1440/AJ1425,0)*Days_In_Period*AJ1441</f>
        <v>0</v>
      </c>
      <c r="AK1442" s="52">
        <f t="shared" ref="AK1442" ca="1" si="8800">-IFERROR(AJ1440/AK1425,0)*Days_In_Period*AK1441</f>
        <v>0</v>
      </c>
      <c r="AL1442" s="52">
        <f t="shared" ref="AL1442" ca="1" si="8801">-IFERROR(AK1440/AL1425,0)*Days_In_Period*AL1441</f>
        <v>0</v>
      </c>
      <c r="AM1442" s="52">
        <f t="shared" ref="AM1442" ca="1" si="8802">-IFERROR(AL1440/AM1425,0)*Days_In_Period*AM1441</f>
        <v>0</v>
      </c>
      <c r="AN1442" s="52">
        <f t="shared" ref="AN1442" ca="1" si="8803">-IFERROR(AM1440/AN1425,0)*Days_In_Period*AN1441</f>
        <v>0</v>
      </c>
      <c r="AO1442" s="52">
        <f t="shared" ref="AO1442" ca="1" si="8804">-IFERROR(AN1440/AO1425,0)*Days_In_Period*AO1441</f>
        <v>0</v>
      </c>
      <c r="AP1442" s="52">
        <f t="shared" ref="AP1442" ca="1" si="8805">-IFERROR(AO1440/AP1425,0)*Days_In_Period*AP1441</f>
        <v>69.308432667759192</v>
      </c>
      <c r="AQ1442" s="52">
        <f t="shared" ref="AQ1442" ca="1" si="8806">-IFERROR(AP1440/AQ1425,0)*Days_In_Period*AQ1441</f>
        <v>0</v>
      </c>
      <c r="AR1442" s="52">
        <f t="shared" ref="AR1442" ca="1" si="8807">-IFERROR(AQ1440/AR1425,0)*Days_In_Period*AR1441</f>
        <v>0</v>
      </c>
      <c r="AS1442" s="52">
        <f t="shared" ref="AS1442" ca="1" si="8808">-IFERROR(AR1440/AS1425,0)*Days_In_Period*AS1441</f>
        <v>0</v>
      </c>
      <c r="AT1442" s="52">
        <f t="shared" ref="AT1442" ca="1" si="8809">-IFERROR(AS1440/AT1425,0)*Days_In_Period*AT1441</f>
        <v>0</v>
      </c>
      <c r="AU1442" s="52">
        <f t="shared" ref="AU1442" ca="1" si="8810">-IFERROR(AT1440/AU1425,0)*Days_In_Period*AU1441</f>
        <v>0</v>
      </c>
      <c r="AV1442" s="52">
        <f t="shared" ref="AV1442" ca="1" si="8811">-IFERROR(AU1440/AV1425,0)*Days_In_Period*AV1441</f>
        <v>0</v>
      </c>
      <c r="AW1442" s="52">
        <f t="shared" ref="AW1442" ca="1" si="8812">-IFERROR(AV1440/AW1425,0)*Days_In_Period*AW1441</f>
        <v>0</v>
      </c>
      <c r="AX1442" s="52">
        <f t="shared" ref="AX1442" ca="1" si="8813">-IFERROR(AW1440/AX1425,0)*Days_In_Period*AX1441</f>
        <v>0</v>
      </c>
      <c r="AY1442" s="52">
        <f t="shared" ref="AY1442" ca="1" si="8814">-IFERROR(AX1440/AY1425,0)*Days_In_Period*AY1441</f>
        <v>0</v>
      </c>
      <c r="AZ1442" s="52">
        <f t="shared" ref="AZ1442" ca="1" si="8815">-IFERROR(AY1440/AZ1425,0)*Days_In_Period*AZ1441</f>
        <v>0</v>
      </c>
      <c r="BA1442" s="52">
        <f t="shared" ref="BA1442" ca="1" si="8816">-IFERROR(AZ1440/BA1425,0)*Days_In_Period*BA1441</f>
        <v>0</v>
      </c>
      <c r="BB1442" s="52">
        <f t="shared" ref="BB1442" ca="1" si="8817">-IFERROR(BA1440/BB1425,0)*Days_In_Period*BB1441</f>
        <v>0</v>
      </c>
      <c r="BC1442" s="52">
        <f t="shared" ref="BC1442" ca="1" si="8818">-IFERROR(BB1440/BC1425,0)*Days_In_Period*BC1441</f>
        <v>0</v>
      </c>
      <c r="BD1442" s="52">
        <f t="shared" ref="BD1442" ca="1" si="8819">-IFERROR(BC1440/BD1425,0)*Days_In_Period*BD1441</f>
        <v>0</v>
      </c>
      <c r="BE1442" s="52">
        <f t="shared" ref="BE1442" ca="1" si="8820">-IFERROR(BD1440/BE1425,0)*Days_In_Period*BE1441</f>
        <v>0</v>
      </c>
      <c r="BF1442" s="52">
        <f t="shared" ref="BF1442" ca="1" si="8821">-IFERROR(BE1440/BF1425,0)*Days_In_Period*BF1441</f>
        <v>0</v>
      </c>
      <c r="BG1442" s="52">
        <f t="shared" ref="BG1442" ca="1" si="8822">-IFERROR(BF1440/BG1425,0)*Days_In_Period*BG1441</f>
        <v>0</v>
      </c>
      <c r="BH1442" s="52">
        <f t="shared" ref="BH1442" ca="1" si="8823">-IFERROR(BG1440/BH1425,0)*Days_In_Period*BH1441</f>
        <v>0</v>
      </c>
      <c r="BI1442" s="52">
        <f t="shared" ref="BI1442" ca="1" si="8824">-IFERROR(BH1440/BI1425,0)*Days_In_Period*BI1441</f>
        <v>0</v>
      </c>
      <c r="BJ1442" s="52">
        <f t="shared" ref="BJ1442" ca="1" si="8825">-IFERROR(BI1440/BJ1425,0)*Days_In_Period*BJ1441</f>
        <v>0</v>
      </c>
      <c r="BK1442" s="52">
        <f t="shared" ref="BK1442" ca="1" si="8826">-IFERROR(BJ1440/BK1425,0)*Days_In_Period*BK1441</f>
        <v>0</v>
      </c>
      <c r="BL1442" s="52">
        <f t="shared" ref="BL1442" ca="1" si="8827">-IFERROR(BK1440/BL1425,0)*Days_In_Period*BL1441</f>
        <v>0</v>
      </c>
      <c r="BM1442" s="52">
        <f t="shared" ref="BM1442" ca="1" si="8828">-IFERROR(BL1440/BM1425,0)*Days_In_Period*BM1441</f>
        <v>0</v>
      </c>
      <c r="BN1442" s="52">
        <f t="shared" ref="BN1442" ca="1" si="8829">-IFERROR(BM1440/BN1425,0)*Days_In_Period*BN1441</f>
        <v>0</v>
      </c>
      <c r="BO1442" s="52">
        <f t="shared" ref="BO1442" ca="1" si="8830">-IFERROR(BN1440/BO1425,0)*Days_In_Period*BO1441</f>
        <v>0</v>
      </c>
      <c r="BP1442" s="52">
        <f t="shared" ref="BP1442" ca="1" si="8831">-IFERROR(BO1440/BP1425,0)*Days_In_Period*BP1441</f>
        <v>0</v>
      </c>
      <c r="BQ1442" s="52">
        <f t="shared" ref="BQ1442" ca="1" si="8832">-IFERROR(BP1440/BQ1425,0)*Days_In_Period*BQ1441</f>
        <v>0</v>
      </c>
      <c r="BR1442" s="52">
        <f t="shared" ref="BR1442" ca="1" si="8833">-IFERROR(BQ1440/BR1425,0)*Days_In_Period*BR1441</f>
        <v>0</v>
      </c>
      <c r="BS1442" s="52">
        <f t="shared" ref="BS1442" ca="1" si="8834">-IFERROR(BR1440/BS1425,0)*Days_In_Period*BS1441</f>
        <v>0</v>
      </c>
      <c r="BT1442" s="52">
        <f t="shared" ref="BT1442" ca="1" si="8835">-IFERROR(BS1440/BT1425,0)*Days_In_Period*BT1441</f>
        <v>0</v>
      </c>
      <c r="BU1442" s="52">
        <f t="shared" ref="BU1442" ca="1" si="8836">-IFERROR(BT1440/BU1425,0)*Days_In_Period*BU1441</f>
        <v>0</v>
      </c>
      <c r="BV1442" s="52">
        <f t="shared" ref="BV1442" ca="1" si="8837">-IFERROR(BU1440/BV1425,0)*Days_In_Period*BV1441</f>
        <v>0</v>
      </c>
      <c r="BW1442" s="52">
        <f t="shared" ref="BW1442" ca="1" si="8838">-IFERROR(BV1440/BW1425,0)*Days_In_Period*BW1441</f>
        <v>0</v>
      </c>
      <c r="BX1442" s="52">
        <f t="shared" ref="BX1442" ca="1" si="8839">-IFERROR(BW1440/BX1425,0)*Days_In_Period*BX1441</f>
        <v>0</v>
      </c>
      <c r="BY1442" s="52">
        <f t="shared" ref="BY1442" ca="1" si="8840">-IFERROR(BX1440/BY1425,0)*Days_In_Period*BY1441</f>
        <v>0</v>
      </c>
      <c r="BZ1442" s="52">
        <f t="shared" ref="BZ1442" ca="1" si="8841">-IFERROR(BY1440/BZ1425,0)*Days_In_Period*BZ1441</f>
        <v>0</v>
      </c>
      <c r="CA1442" s="52">
        <f t="shared" ref="CA1442" ca="1" si="8842">-IFERROR(BZ1440/CA1425,0)*Days_In_Period*CA1441</f>
        <v>0</v>
      </c>
      <c r="CB1442" s="52">
        <f t="shared" ref="CB1442" ca="1" si="8843">-IFERROR(CA1440/CB1425,0)*Days_In_Period*CB1441</f>
        <v>0</v>
      </c>
      <c r="CC1442" s="52">
        <f t="shared" ref="CC1442" ca="1" si="8844">-IFERROR(CB1440/CC1425,0)*Days_In_Period*CC1441</f>
        <v>0</v>
      </c>
      <c r="CD1442" s="52">
        <f t="shared" ref="CD1442" ca="1" si="8845">-IFERROR(CC1440/CD1425,0)*Days_In_Period*CD1441</f>
        <v>0</v>
      </c>
      <c r="CE1442" s="52">
        <f t="shared" ref="CE1442" ca="1" si="8846">-IFERROR(CD1440/CE1425,0)*Days_In_Period*CE1441</f>
        <v>0</v>
      </c>
      <c r="CF1442" s="52">
        <f t="shared" ref="CF1442" ca="1" si="8847">-IFERROR(CE1440/CF1425,0)*Days_In_Period*CF1441</f>
        <v>0</v>
      </c>
      <c r="CG1442" s="52">
        <f t="shared" ref="CG1442" ca="1" si="8848">-IFERROR(CF1440/CG1425,0)*Days_In_Period*CG1441</f>
        <v>0</v>
      </c>
      <c r="CH1442" s="52">
        <f t="shared" ref="CH1442" ca="1" si="8849">-IFERROR(CG1440/CH1425,0)*Days_In_Period*CH1441</f>
        <v>0</v>
      </c>
      <c r="CI1442" s="52">
        <f t="shared" ref="CI1442" ca="1" si="8850">-IFERROR(CH1440/CI1425,0)*Days_In_Period*CI1441</f>
        <v>0</v>
      </c>
      <c r="CJ1442" s="52">
        <f t="shared" ref="CJ1442" ca="1" si="8851">-IFERROR(CI1440/CJ1425,0)*Days_In_Period*CJ1441</f>
        <v>0</v>
      </c>
      <c r="CK1442" s="52">
        <f t="shared" ref="CK1442" ca="1" si="8852">-IFERROR(CJ1440/CK1425,0)*Days_In_Period*CK1441</f>
        <v>0</v>
      </c>
      <c r="CL1442" s="52">
        <f t="shared" ref="CL1442" ca="1" si="8853">-IFERROR(CK1440/CL1425,0)*Days_In_Period*CL1441</f>
        <v>0</v>
      </c>
      <c r="CM1442" s="52">
        <f t="shared" ref="CM1442" ca="1" si="8854">-IFERROR(CL1440/CM1425,0)*Days_In_Period*CM1441</f>
        <v>0</v>
      </c>
      <c r="CN1442" s="52">
        <f t="shared" ref="CN1442" ca="1" si="8855">-IFERROR(CM1440/CN1425,0)*Days_In_Period*CN1441</f>
        <v>0</v>
      </c>
      <c r="CO1442" s="52">
        <f t="shared" ref="CO1442" ca="1" si="8856">-IFERROR(CN1440/CO1425,0)*Days_In_Period*CO1441</f>
        <v>0</v>
      </c>
    </row>
    <row r="1443" spans="1:93">
      <c r="A1443" s="10"/>
      <c r="B1443" s="10"/>
      <c r="C1443" s="17" t="s">
        <v>94</v>
      </c>
      <c r="D1443" s="10"/>
      <c r="E1443" s="194">
        <f ca="1">SUMPRODUCT(Beginning_of_period,L1441:CO1441)+E1442</f>
        <v>48465.308432667756</v>
      </c>
      <c r="F1443" s="10"/>
      <c r="G1443" s="11" t="s">
        <v>31</v>
      </c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  <c r="AY1443" s="10"/>
      <c r="AZ1443" s="10"/>
      <c r="BA1443" s="10"/>
      <c r="BB1443" s="10"/>
      <c r="BC1443" s="10"/>
      <c r="BD1443" s="10"/>
      <c r="BE1443" s="10"/>
      <c r="BF1443" s="10"/>
      <c r="BG1443" s="10"/>
      <c r="BH1443" s="10"/>
      <c r="BI1443" s="10"/>
      <c r="BJ1443" s="10"/>
      <c r="BK1443" s="10"/>
      <c r="BL1443" s="10"/>
      <c r="BM1443" s="10"/>
      <c r="BN1443" s="10"/>
      <c r="BO1443" s="10"/>
      <c r="BP1443" s="10"/>
      <c r="BQ1443" s="10"/>
      <c r="BR1443" s="10"/>
      <c r="BS1443" s="10"/>
      <c r="BT1443" s="10"/>
      <c r="BU1443" s="10"/>
      <c r="BV1443" s="10"/>
      <c r="BW1443" s="10"/>
      <c r="BX1443" s="10"/>
      <c r="BY1443" s="10"/>
      <c r="BZ1443" s="10"/>
      <c r="CA1443" s="10"/>
      <c r="CB1443" s="10"/>
      <c r="CC1443" s="10"/>
      <c r="CD1443" s="10"/>
      <c r="CE1443" s="10"/>
      <c r="CF1443" s="10"/>
      <c r="CG1443" s="10"/>
      <c r="CH1443" s="10"/>
      <c r="CI1443" s="10"/>
      <c r="CJ1443" s="10"/>
      <c r="CK1443" s="10"/>
      <c r="CL1443" s="10"/>
      <c r="CM1443" s="10"/>
      <c r="CN1443" s="10"/>
      <c r="CO1443" s="10"/>
    </row>
    <row r="1444" spans="1:93">
      <c r="A1444" s="10"/>
      <c r="B1444" s="10"/>
      <c r="C1444" s="17" t="s">
        <v>224</v>
      </c>
      <c r="D1444" s="10"/>
      <c r="E1444" s="193">
        <f ca="1">IF(E1443=0,"н.пр.",IFERROR((E1443-Date_Forecast_Start)/Предпосылки!$E$27,"н.пр."))</f>
        <v>7.6912559799116611</v>
      </c>
      <c r="F1444" s="51"/>
      <c r="G1444" s="11" t="s">
        <v>123</v>
      </c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  <c r="AY1444" s="10"/>
      <c r="AZ1444" s="10"/>
      <c r="BA1444" s="10"/>
      <c r="BB1444" s="10"/>
      <c r="BC1444" s="10"/>
      <c r="BD1444" s="10"/>
      <c r="BE1444" s="10"/>
      <c r="BF1444" s="10"/>
      <c r="BG1444" s="10"/>
      <c r="BH1444" s="10"/>
      <c r="BI1444" s="10"/>
      <c r="BJ1444" s="10"/>
      <c r="BK1444" s="10"/>
      <c r="BL1444" s="10"/>
      <c r="BM1444" s="10"/>
      <c r="BN1444" s="10"/>
      <c r="BO1444" s="10"/>
      <c r="BP1444" s="10"/>
      <c r="BQ1444" s="10"/>
      <c r="BR1444" s="10"/>
      <c r="BS1444" s="10"/>
      <c r="BT1444" s="10"/>
      <c r="BU1444" s="10"/>
      <c r="BV1444" s="10"/>
      <c r="BW1444" s="10"/>
      <c r="BX1444" s="10"/>
      <c r="BY1444" s="10"/>
      <c r="BZ1444" s="10"/>
      <c r="CA1444" s="10"/>
      <c r="CB1444" s="10"/>
      <c r="CC1444" s="10"/>
      <c r="CD1444" s="10"/>
      <c r="CE1444" s="10"/>
      <c r="CF1444" s="10"/>
      <c r="CG1444" s="10"/>
      <c r="CH1444" s="10"/>
      <c r="CI1444" s="10"/>
      <c r="CJ1444" s="10"/>
      <c r="CK1444" s="10"/>
      <c r="CL1444" s="10"/>
      <c r="CM1444" s="10"/>
      <c r="CN1444" s="10"/>
      <c r="CO1444" s="10"/>
    </row>
    <row r="1445" spans="1:93">
      <c r="A1445" s="10"/>
      <c r="B1445" s="10"/>
      <c r="C1445" s="10"/>
      <c r="D1445" s="10"/>
      <c r="E1445" s="62"/>
      <c r="F1445" s="10"/>
      <c r="G1445" s="11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  <c r="AY1445" s="10"/>
      <c r="AZ1445" s="10"/>
      <c r="BA1445" s="10"/>
      <c r="BB1445" s="10"/>
      <c r="BC1445" s="10"/>
      <c r="BD1445" s="10"/>
      <c r="BE1445" s="10"/>
      <c r="BF1445" s="10"/>
      <c r="BG1445" s="10"/>
      <c r="BH1445" s="10"/>
      <c r="BI1445" s="10"/>
      <c r="BJ1445" s="10"/>
      <c r="BK1445" s="10"/>
      <c r="BL1445" s="10"/>
      <c r="BM1445" s="10"/>
      <c r="BN1445" s="10"/>
      <c r="BO1445" s="10"/>
      <c r="BP1445" s="10"/>
      <c r="BQ1445" s="10"/>
      <c r="BR1445" s="10"/>
      <c r="BS1445" s="10"/>
      <c r="BT1445" s="10"/>
      <c r="BU1445" s="10"/>
      <c r="BV1445" s="10"/>
      <c r="BW1445" s="10"/>
      <c r="BX1445" s="10"/>
      <c r="BY1445" s="10"/>
      <c r="BZ1445" s="10"/>
      <c r="CA1445" s="10"/>
      <c r="CB1445" s="10"/>
      <c r="CC1445" s="10"/>
      <c r="CD1445" s="10"/>
      <c r="CE1445" s="10"/>
      <c r="CF1445" s="10"/>
      <c r="CG1445" s="10"/>
      <c r="CH1445" s="10"/>
      <c r="CI1445" s="10"/>
      <c r="CJ1445" s="10"/>
      <c r="CK1445" s="10"/>
      <c r="CL1445" s="10"/>
      <c r="CM1445" s="10"/>
      <c r="CN1445" s="10"/>
      <c r="CO1445" s="10"/>
    </row>
    <row r="1446" spans="1:93">
      <c r="A1446" s="10"/>
      <c r="B1446" s="10"/>
      <c r="C1446" s="16" t="s">
        <v>225</v>
      </c>
      <c r="D1446" s="10"/>
      <c r="E1446" s="192"/>
      <c r="F1446" s="10"/>
      <c r="G1446" s="11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  <c r="AY1446" s="10"/>
      <c r="AZ1446" s="10"/>
      <c r="BA1446" s="10"/>
      <c r="BB1446" s="10"/>
      <c r="BC1446" s="10"/>
      <c r="BD1446" s="10"/>
      <c r="BE1446" s="10"/>
      <c r="BF1446" s="10"/>
      <c r="BG1446" s="10"/>
      <c r="BH1446" s="10"/>
      <c r="BI1446" s="10"/>
      <c r="BJ1446" s="10"/>
      <c r="BK1446" s="10"/>
      <c r="BL1446" s="10"/>
      <c r="BM1446" s="10"/>
      <c r="BN1446" s="10"/>
      <c r="BO1446" s="10"/>
      <c r="BP1446" s="10"/>
      <c r="BQ1446" s="10"/>
      <c r="BR1446" s="10"/>
      <c r="BS1446" s="10"/>
      <c r="BT1446" s="10"/>
      <c r="BU1446" s="10"/>
      <c r="BV1446" s="10"/>
      <c r="BW1446" s="10"/>
      <c r="BX1446" s="10"/>
      <c r="BY1446" s="10"/>
      <c r="BZ1446" s="10"/>
      <c r="CA1446" s="10"/>
      <c r="CB1446" s="10"/>
      <c r="CC1446" s="10"/>
      <c r="CD1446" s="10"/>
      <c r="CE1446" s="10"/>
      <c r="CF1446" s="10"/>
      <c r="CG1446" s="10"/>
      <c r="CH1446" s="10"/>
      <c r="CI1446" s="10"/>
      <c r="CJ1446" s="10"/>
      <c r="CK1446" s="10"/>
      <c r="CL1446" s="10"/>
      <c r="CM1446" s="10"/>
      <c r="CN1446" s="10"/>
      <c r="CO1446" s="10"/>
    </row>
    <row r="1447" spans="1:93">
      <c r="A1447" s="10"/>
      <c r="B1447" s="10"/>
      <c r="C1447" s="17" t="s">
        <v>226</v>
      </c>
      <c r="D1447" s="10"/>
      <c r="E1447" s="62"/>
      <c r="F1447" s="10"/>
      <c r="G1447" s="11" t="s">
        <v>378</v>
      </c>
      <c r="H1447" s="10"/>
      <c r="I1447" s="10"/>
      <c r="J1447" s="10"/>
      <c r="K1447" s="10"/>
      <c r="L1447" s="455">
        <f t="shared" ref="L1447:AQ1447" si="8857">IF(End_of_period&gt;Date_Construction_Start,K1447+0.25,0)</f>
        <v>0.25</v>
      </c>
      <c r="M1447" s="455">
        <f t="shared" si="8857"/>
        <v>0.5</v>
      </c>
      <c r="N1447" s="455">
        <f t="shared" si="8857"/>
        <v>0.75</v>
      </c>
      <c r="O1447" s="455">
        <f t="shared" si="8857"/>
        <v>1</v>
      </c>
      <c r="P1447" s="455">
        <f t="shared" si="8857"/>
        <v>1.25</v>
      </c>
      <c r="Q1447" s="455">
        <f t="shared" si="8857"/>
        <v>1.5</v>
      </c>
      <c r="R1447" s="455">
        <f t="shared" si="8857"/>
        <v>1.75</v>
      </c>
      <c r="S1447" s="455">
        <f t="shared" si="8857"/>
        <v>2</v>
      </c>
      <c r="T1447" s="455">
        <f t="shared" si="8857"/>
        <v>2.25</v>
      </c>
      <c r="U1447" s="455">
        <f t="shared" si="8857"/>
        <v>2.5</v>
      </c>
      <c r="V1447" s="455">
        <f t="shared" si="8857"/>
        <v>2.75</v>
      </c>
      <c r="W1447" s="455">
        <f t="shared" si="8857"/>
        <v>3</v>
      </c>
      <c r="X1447" s="455">
        <f t="shared" si="8857"/>
        <v>3.25</v>
      </c>
      <c r="Y1447" s="455">
        <f t="shared" si="8857"/>
        <v>3.5</v>
      </c>
      <c r="Z1447" s="455">
        <f t="shared" si="8857"/>
        <v>3.75</v>
      </c>
      <c r="AA1447" s="455">
        <f t="shared" si="8857"/>
        <v>4</v>
      </c>
      <c r="AB1447" s="455">
        <f t="shared" si="8857"/>
        <v>4.25</v>
      </c>
      <c r="AC1447" s="455">
        <f t="shared" si="8857"/>
        <v>4.5</v>
      </c>
      <c r="AD1447" s="455">
        <f t="shared" si="8857"/>
        <v>4.75</v>
      </c>
      <c r="AE1447" s="455">
        <f t="shared" si="8857"/>
        <v>5</v>
      </c>
      <c r="AF1447" s="455">
        <f t="shared" si="8857"/>
        <v>5.25</v>
      </c>
      <c r="AG1447" s="455">
        <f t="shared" si="8857"/>
        <v>5.5</v>
      </c>
      <c r="AH1447" s="455">
        <f t="shared" si="8857"/>
        <v>5.75</v>
      </c>
      <c r="AI1447" s="455">
        <f t="shared" si="8857"/>
        <v>6</v>
      </c>
      <c r="AJ1447" s="455">
        <f t="shared" si="8857"/>
        <v>6.25</v>
      </c>
      <c r="AK1447" s="455">
        <f t="shared" si="8857"/>
        <v>6.5</v>
      </c>
      <c r="AL1447" s="455">
        <f t="shared" si="8857"/>
        <v>6.75</v>
      </c>
      <c r="AM1447" s="455">
        <f t="shared" si="8857"/>
        <v>7</v>
      </c>
      <c r="AN1447" s="455">
        <f t="shared" si="8857"/>
        <v>7.25</v>
      </c>
      <c r="AO1447" s="455">
        <f t="shared" si="8857"/>
        <v>7.5</v>
      </c>
      <c r="AP1447" s="455">
        <f t="shared" si="8857"/>
        <v>7.75</v>
      </c>
      <c r="AQ1447" s="455">
        <f t="shared" si="8857"/>
        <v>8</v>
      </c>
      <c r="AR1447" s="455">
        <f t="shared" ref="AR1447:BW1447" si="8858">IF(End_of_period&gt;Date_Construction_Start,AQ1447+0.25,0)</f>
        <v>8.25</v>
      </c>
      <c r="AS1447" s="455">
        <f t="shared" si="8858"/>
        <v>8.5</v>
      </c>
      <c r="AT1447" s="455">
        <f t="shared" si="8858"/>
        <v>8.75</v>
      </c>
      <c r="AU1447" s="455">
        <f t="shared" si="8858"/>
        <v>9</v>
      </c>
      <c r="AV1447" s="455">
        <f t="shared" si="8858"/>
        <v>9.25</v>
      </c>
      <c r="AW1447" s="455">
        <f t="shared" si="8858"/>
        <v>9.5</v>
      </c>
      <c r="AX1447" s="455">
        <f t="shared" si="8858"/>
        <v>9.75</v>
      </c>
      <c r="AY1447" s="455">
        <f t="shared" si="8858"/>
        <v>10</v>
      </c>
      <c r="AZ1447" s="455">
        <f t="shared" si="8858"/>
        <v>10.25</v>
      </c>
      <c r="BA1447" s="455">
        <f t="shared" si="8858"/>
        <v>10.5</v>
      </c>
      <c r="BB1447" s="455">
        <f t="shared" si="8858"/>
        <v>10.75</v>
      </c>
      <c r="BC1447" s="455">
        <f t="shared" si="8858"/>
        <v>11</v>
      </c>
      <c r="BD1447" s="455">
        <f t="shared" si="8858"/>
        <v>11.25</v>
      </c>
      <c r="BE1447" s="455">
        <f t="shared" si="8858"/>
        <v>11.5</v>
      </c>
      <c r="BF1447" s="455">
        <f t="shared" si="8858"/>
        <v>11.75</v>
      </c>
      <c r="BG1447" s="455">
        <f t="shared" si="8858"/>
        <v>12</v>
      </c>
      <c r="BH1447" s="455">
        <f t="shared" si="8858"/>
        <v>12.25</v>
      </c>
      <c r="BI1447" s="455">
        <f t="shared" si="8858"/>
        <v>12.5</v>
      </c>
      <c r="BJ1447" s="455">
        <f t="shared" si="8858"/>
        <v>12.75</v>
      </c>
      <c r="BK1447" s="455">
        <f t="shared" si="8858"/>
        <v>13</v>
      </c>
      <c r="BL1447" s="455">
        <f t="shared" si="8858"/>
        <v>13.25</v>
      </c>
      <c r="BM1447" s="455">
        <f t="shared" si="8858"/>
        <v>13.5</v>
      </c>
      <c r="BN1447" s="455">
        <f t="shared" si="8858"/>
        <v>13.75</v>
      </c>
      <c r="BO1447" s="455">
        <f t="shared" si="8858"/>
        <v>14</v>
      </c>
      <c r="BP1447" s="455">
        <f t="shared" si="8858"/>
        <v>14.25</v>
      </c>
      <c r="BQ1447" s="455">
        <f t="shared" si="8858"/>
        <v>14.5</v>
      </c>
      <c r="BR1447" s="455">
        <f t="shared" si="8858"/>
        <v>14.75</v>
      </c>
      <c r="BS1447" s="455">
        <f t="shared" si="8858"/>
        <v>15</v>
      </c>
      <c r="BT1447" s="455">
        <f t="shared" si="8858"/>
        <v>15.25</v>
      </c>
      <c r="BU1447" s="455">
        <f t="shared" si="8858"/>
        <v>15.5</v>
      </c>
      <c r="BV1447" s="455">
        <f t="shared" si="8858"/>
        <v>15.75</v>
      </c>
      <c r="BW1447" s="455">
        <f t="shared" si="8858"/>
        <v>16</v>
      </c>
      <c r="BX1447" s="455">
        <f t="shared" ref="BX1447:CO1447" si="8859">IF(End_of_period&gt;Date_Construction_Start,BW1447+0.25,0)</f>
        <v>16.25</v>
      </c>
      <c r="BY1447" s="455">
        <f t="shared" si="8859"/>
        <v>16.5</v>
      </c>
      <c r="BZ1447" s="455">
        <f t="shared" si="8859"/>
        <v>16.75</v>
      </c>
      <c r="CA1447" s="455">
        <f t="shared" si="8859"/>
        <v>17</v>
      </c>
      <c r="CB1447" s="455">
        <f t="shared" si="8859"/>
        <v>17.25</v>
      </c>
      <c r="CC1447" s="455">
        <f t="shared" si="8859"/>
        <v>17.5</v>
      </c>
      <c r="CD1447" s="455">
        <f t="shared" si="8859"/>
        <v>17.75</v>
      </c>
      <c r="CE1447" s="455">
        <f t="shared" si="8859"/>
        <v>18</v>
      </c>
      <c r="CF1447" s="455">
        <f t="shared" si="8859"/>
        <v>18.25</v>
      </c>
      <c r="CG1447" s="455">
        <f t="shared" si="8859"/>
        <v>18.5</v>
      </c>
      <c r="CH1447" s="455">
        <f t="shared" si="8859"/>
        <v>18.75</v>
      </c>
      <c r="CI1447" s="455">
        <f t="shared" si="8859"/>
        <v>19</v>
      </c>
      <c r="CJ1447" s="455">
        <f t="shared" si="8859"/>
        <v>19.25</v>
      </c>
      <c r="CK1447" s="455">
        <f t="shared" si="8859"/>
        <v>19.5</v>
      </c>
      <c r="CL1447" s="455">
        <f t="shared" si="8859"/>
        <v>19.75</v>
      </c>
      <c r="CM1447" s="455">
        <f t="shared" si="8859"/>
        <v>20</v>
      </c>
      <c r="CN1447" s="455">
        <f t="shared" si="8859"/>
        <v>20.25</v>
      </c>
      <c r="CO1447" s="455">
        <f t="shared" si="8859"/>
        <v>20.5</v>
      </c>
    </row>
    <row r="1448" spans="1:93">
      <c r="A1448" s="10"/>
      <c r="B1448" s="10"/>
      <c r="C1448" s="17" t="s">
        <v>227</v>
      </c>
      <c r="D1448" s="10"/>
      <c r="E1448" s="62"/>
      <c r="F1448" s="10"/>
      <c r="G1448" s="11" t="s">
        <v>378</v>
      </c>
      <c r="H1448" s="10"/>
      <c r="I1448" s="10"/>
      <c r="J1448" s="10"/>
      <c r="K1448" s="10"/>
      <c r="L1448" s="455">
        <f t="shared" ref="L1448:AQ1448" ca="1" si="8860">1/((1+Required_Rate_of_Return)^L1447)</f>
        <v>0.95240709038139182</v>
      </c>
      <c r="M1448" s="455">
        <f t="shared" ca="1" si="8860"/>
        <v>0.90707926580874854</v>
      </c>
      <c r="N1448" s="455">
        <f t="shared" ca="1" si="8860"/>
        <v>0.86390872429419918</v>
      </c>
      <c r="O1448" s="455">
        <f t="shared" ca="1" si="8860"/>
        <v>0.82279279446013831</v>
      </c>
      <c r="P1448" s="455">
        <f t="shared" ca="1" si="8860"/>
        <v>0.78363369135855476</v>
      </c>
      <c r="Q1448" s="455">
        <f t="shared" ca="1" si="8860"/>
        <v>0.74633828391163071</v>
      </c>
      <c r="R1448" s="455">
        <f t="shared" ca="1" si="8860"/>
        <v>0.71081787342051739</v>
      </c>
      <c r="S1448" s="455">
        <f t="shared" ca="1" si="8860"/>
        <v>0.6769879826155234</v>
      </c>
      <c r="T1448" s="455">
        <f t="shared" ca="1" si="8860"/>
        <v>0.6447681547460189</v>
      </c>
      <c r="U1448" s="455">
        <f t="shared" ca="1" si="8860"/>
        <v>0.61408176223223476</v>
      </c>
      <c r="V1448" s="455">
        <f t="shared" ca="1" si="8860"/>
        <v>0.58485582442388029</v>
      </c>
      <c r="W1448" s="455">
        <f t="shared" ca="1" si="8860"/>
        <v>0.55702083403215796</v>
      </c>
      <c r="X1448" s="455">
        <f t="shared" ca="1" si="8860"/>
        <v>0.53051059182238369</v>
      </c>
      <c r="Y1448" s="455">
        <f t="shared" ca="1" si="8860"/>
        <v>0.50526204917406659</v>
      </c>
      <c r="Z1448" s="455">
        <f t="shared" ca="1" si="8860"/>
        <v>0.4812151581340125</v>
      </c>
      <c r="AA1448" s="455">
        <f t="shared" ca="1" si="8860"/>
        <v>0.45831272860583616</v>
      </c>
      <c r="AB1448" s="455">
        <f t="shared" ca="1" si="8860"/>
        <v>0.43650029233624082</v>
      </c>
      <c r="AC1448" s="455">
        <f t="shared" ca="1" si="8860"/>
        <v>0.41572597337458606</v>
      </c>
      <c r="AD1448" s="455">
        <f t="shared" ca="1" si="8860"/>
        <v>0.39594036469766147</v>
      </c>
      <c r="AE1448" s="455">
        <f t="shared" ca="1" si="8860"/>
        <v>0.37709641070624689</v>
      </c>
      <c r="AF1448" s="455">
        <f t="shared" ca="1" si="8860"/>
        <v>0.35914929531400286</v>
      </c>
      <c r="AG1448" s="455">
        <f t="shared" ca="1" si="8860"/>
        <v>0.34205633536253671</v>
      </c>
      <c r="AH1448" s="455">
        <f t="shared" ca="1" si="8860"/>
        <v>0.32577687910915515</v>
      </c>
      <c r="AI1448" s="455">
        <f t="shared" ca="1" si="8860"/>
        <v>0.31027220954588092</v>
      </c>
      <c r="AJ1448" s="455">
        <f t="shared" ca="1" si="8860"/>
        <v>0.29550545231979786</v>
      </c>
      <c r="AK1448" s="455">
        <f t="shared" ca="1" si="8860"/>
        <v>0.28144148803573577</v>
      </c>
      <c r="AL1448" s="455">
        <f t="shared" ca="1" si="8860"/>
        <v>0.26804686873272443</v>
      </c>
      <c r="AM1448" s="455">
        <f t="shared" ca="1" si="8860"/>
        <v>0.25528973833557689</v>
      </c>
      <c r="AN1448" s="455">
        <f t="shared" ca="1" si="8860"/>
        <v>0.24313975689241363</v>
      </c>
      <c r="AO1448" s="455">
        <f t="shared" ca="1" si="8860"/>
        <v>0.23156802841794266</v>
      </c>
      <c r="AP1448" s="455">
        <f t="shared" ca="1" si="8860"/>
        <v>0.2205470321708882</v>
      </c>
      <c r="AQ1448" s="455">
        <f t="shared" ca="1" si="8860"/>
        <v>0.21005055720212684</v>
      </c>
      <c r="AR1448" s="455">
        <f t="shared" ref="AR1448:BW1448" ca="1" si="8861">1/((1+Required_Rate_of_Return)^AR1447)</f>
        <v>0.20005364001786766</v>
      </c>
      <c r="AS1448" s="455">
        <f t="shared" ca="1" si="8861"/>
        <v>0.19053250520962367</v>
      </c>
      <c r="AT1448" s="455">
        <f t="shared" ca="1" si="8861"/>
        <v>0.18146450890977509</v>
      </c>
      <c r="AU1448" s="455">
        <f t="shared" ca="1" si="8861"/>
        <v>0.17282808493824706</v>
      </c>
      <c r="AV1448" s="455">
        <f t="shared" ca="1" si="8861"/>
        <v>0.1646026935122239</v>
      </c>
      <c r="AW1448" s="455">
        <f t="shared" ca="1" si="8861"/>
        <v>0.15676877239691717</v>
      </c>
      <c r="AX1448" s="455">
        <f t="shared" ca="1" si="8861"/>
        <v>0.1493076903812105</v>
      </c>
      <c r="AY1448" s="455">
        <f t="shared" ca="1" si="8861"/>
        <v>0.14220170296753445</v>
      </c>
      <c r="AZ1448" s="455">
        <f t="shared" ca="1" si="8861"/>
        <v>0.13543391017058837</v>
      </c>
      <c r="BA1448" s="455">
        <f t="shared" ca="1" si="8861"/>
        <v>0.12898821632454482</v>
      </c>
      <c r="BB1448" s="455">
        <f t="shared" ca="1" si="8861"/>
        <v>0.12284929180314527</v>
      </c>
      <c r="BC1448" s="455">
        <f t="shared" ca="1" si="8861"/>
        <v>0.11700253656164819</v>
      </c>
      <c r="BD1448" s="455">
        <f t="shared" ca="1" si="8861"/>
        <v>0.11143404541392177</v>
      </c>
      <c r="BE1448" s="455">
        <f t="shared" ca="1" si="8861"/>
        <v>0.1061305749621011</v>
      </c>
      <c r="BF1448" s="455">
        <f t="shared" ca="1" si="8861"/>
        <v>0.10107951210015888</v>
      </c>
      <c r="BG1448" s="455">
        <f t="shared" ca="1" si="8861"/>
        <v>9.6268844016483016E-2</v>
      </c>
      <c r="BH1448" s="455">
        <f t="shared" ca="1" si="8861"/>
        <v>9.1687129624118624E-2</v>
      </c>
      <c r="BI1448" s="455">
        <f t="shared" ca="1" si="8861"/>
        <v>8.7323472350728321E-2</v>
      </c>
      <c r="BJ1448" s="455">
        <f t="shared" ca="1" si="8861"/>
        <v>8.316749422355707E-2</v>
      </c>
      <c r="BK1448" s="455">
        <f t="shared" ca="1" si="8861"/>
        <v>7.9209311187769221E-2</v>
      </c>
      <c r="BL1448" s="455">
        <f t="shared" ca="1" si="8861"/>
        <v>7.5439509599457499E-2</v>
      </c>
      <c r="BM1448" s="455">
        <f t="shared" ca="1" si="8861"/>
        <v>7.1849123837418399E-2</v>
      </c>
      <c r="BN1448" s="455">
        <f t="shared" ca="1" si="8861"/>
        <v>6.8429614980447945E-2</v>
      </c>
      <c r="BO1448" s="455">
        <f t="shared" ca="1" si="8861"/>
        <v>6.5172850499447335E-2</v>
      </c>
      <c r="BP1448" s="455">
        <f t="shared" ca="1" si="8861"/>
        <v>6.2071084916040062E-2</v>
      </c>
      <c r="BQ1448" s="455">
        <f t="shared" ca="1" si="8861"/>
        <v>5.9116941381701996E-2</v>
      </c>
      <c r="BR1448" s="455">
        <f t="shared" ca="1" si="8861"/>
        <v>5.6303394133594087E-2</v>
      </c>
      <c r="BS1448" s="455">
        <f t="shared" ca="1" si="8861"/>
        <v>5.3623751785373083E-2</v>
      </c>
      <c r="BT1448" s="455">
        <f t="shared" ca="1" si="8861"/>
        <v>5.1071641413241137E-2</v>
      </c>
      <c r="BU1448" s="455">
        <f t="shared" ca="1" si="8861"/>
        <v>4.8640993399386781E-2</v>
      </c>
      <c r="BV1448" s="455">
        <f t="shared" ca="1" si="8861"/>
        <v>4.6326026996770443E-2</v>
      </c>
      <c r="BW1448" s="455">
        <f t="shared" ca="1" si="8861"/>
        <v>4.4121236580923956E-2</v>
      </c>
      <c r="BX1448" s="455">
        <f t="shared" ref="BX1448:CO1448" ca="1" si="8862">1/((1+Required_Rate_of_Return)^BX1447)</f>
        <v>4.2021378556066795E-2</v>
      </c>
      <c r="BY1448" s="455">
        <f t="shared" ca="1" si="8862"/>
        <v>4.0021458884398585E-2</v>
      </c>
      <c r="BZ1448" s="455">
        <f t="shared" ca="1" si="8862"/>
        <v>3.8116721208908549E-2</v>
      </c>
      <c r="CA1448" s="455">
        <f t="shared" ca="1" si="8862"/>
        <v>3.6302635541455297E-2</v>
      </c>
      <c r="CB1448" s="455">
        <f t="shared" ca="1" si="8862"/>
        <v>3.4574887489213536E-2</v>
      </c>
      <c r="CC1448" s="455">
        <f t="shared" ca="1" si="8862"/>
        <v>3.2929367993865845E-2</v>
      </c>
      <c r="CD1448" s="455">
        <f t="shared" ca="1" si="8862"/>
        <v>3.1362163559135896E-2</v>
      </c>
      <c r="CE1448" s="455">
        <f t="shared" ca="1" si="8862"/>
        <v>2.9869546943421942E-2</v>
      </c>
      <c r="CF1448" s="455">
        <f t="shared" ca="1" si="8862"/>
        <v>2.8447968295394869E-2</v>
      </c>
      <c r="CG1448" s="455">
        <f t="shared" ca="1" si="8862"/>
        <v>2.7094046711479108E-2</v>
      </c>
      <c r="CH1448" s="455">
        <f t="shared" ca="1" si="8862"/>
        <v>2.5804562195137333E-2</v>
      </c>
      <c r="CI1448" s="455">
        <f t="shared" ca="1" si="8862"/>
        <v>2.4576447998836418E-2</v>
      </c>
      <c r="CJ1448" s="455">
        <f t="shared" ca="1" si="8862"/>
        <v>2.3406783330481368E-2</v>
      </c>
      <c r="CK1448" s="455">
        <f t="shared" ca="1" si="8862"/>
        <v>2.2292786406971424E-2</v>
      </c>
      <c r="CL1448" s="455">
        <f t="shared" ca="1" si="8862"/>
        <v>2.1231807838357493E-2</v>
      </c>
      <c r="CM1448" s="455">
        <f t="shared" ca="1" si="8862"/>
        <v>2.022132432686689E-2</v>
      </c>
      <c r="CN1448" s="455">
        <f t="shared" ca="1" si="8862"/>
        <v>1.9258932665809744E-2</v>
      </c>
      <c r="CO1448" s="455">
        <f t="shared" ca="1" si="8862"/>
        <v>1.8342344024094997E-2</v>
      </c>
    </row>
    <row r="1449" spans="1:93">
      <c r="A1449" s="10"/>
      <c r="B1449" s="10"/>
      <c r="C1449" s="17" t="s">
        <v>228</v>
      </c>
      <c r="D1449" s="10"/>
      <c r="E1449" s="62"/>
      <c r="F1449" s="10"/>
      <c r="G1449" s="134" t="str">
        <f>Monetary_Unit</f>
        <v>тыс. руб.</v>
      </c>
      <c r="H1449" s="10"/>
      <c r="I1449" s="10"/>
      <c r="J1449" s="10"/>
      <c r="K1449" s="10"/>
      <c r="L1449" s="52">
        <f t="shared" ref="L1449" ca="1" si="8863">L1425*L1448</f>
        <v>-29911.443160038369</v>
      </c>
      <c r="M1449" s="52">
        <f t="shared" ref="M1449:BX1449" ca="1" si="8864">M1425*M1448</f>
        <v>-28892.252664175059</v>
      </c>
      <c r="N1449" s="52">
        <f t="shared" ca="1" si="8864"/>
        <v>-27907.789655758621</v>
      </c>
      <c r="O1449" s="52">
        <f t="shared" ca="1" si="8864"/>
        <v>-26956.870844335244</v>
      </c>
      <c r="P1449" s="52">
        <f t="shared" ca="1" si="8864"/>
        <v>-215962.75765803418</v>
      </c>
      <c r="Q1449" s="52">
        <f t="shared" ca="1" si="8864"/>
        <v>-207711.15427329123</v>
      </c>
      <c r="R1449" s="52">
        <f t="shared" ca="1" si="8864"/>
        <v>-199774.83190809764</v>
      </c>
      <c r="S1449" s="52">
        <f t="shared" ca="1" si="8864"/>
        <v>-129631.2276348725</v>
      </c>
      <c r="T1449" s="52">
        <f t="shared" ca="1" si="8864"/>
        <v>-4242.9963607536738</v>
      </c>
      <c r="U1449" s="52">
        <f t="shared" ca="1" si="8864"/>
        <v>-6401.6971378147682</v>
      </c>
      <c r="V1449" s="52">
        <f t="shared" ca="1" si="8864"/>
        <v>-8415.7532575461937</v>
      </c>
      <c r="W1449" s="52">
        <f t="shared" ca="1" si="8864"/>
        <v>-10180.919173592514</v>
      </c>
      <c r="X1449" s="52">
        <f t="shared" ca="1" si="8864"/>
        <v>-12806.980248639746</v>
      </c>
      <c r="Y1449" s="52">
        <f t="shared" ca="1" si="8864"/>
        <v>-16324.514514616856</v>
      </c>
      <c r="Z1449" s="52">
        <f t="shared" ca="1" si="8864"/>
        <v>-19731.422651321463</v>
      </c>
      <c r="AA1449" s="52">
        <f t="shared" ca="1" si="8864"/>
        <v>-22652.003528694844</v>
      </c>
      <c r="AB1449" s="52">
        <f t="shared" ca="1" si="8864"/>
        <v>-25356.623935649</v>
      </c>
      <c r="AC1449" s="52">
        <f t="shared" ca="1" si="8864"/>
        <v>285230.59399760753</v>
      </c>
      <c r="AD1449" s="52">
        <f t="shared" ca="1" si="8864"/>
        <v>55033.962804939576</v>
      </c>
      <c r="AE1449" s="52">
        <f t="shared" ca="1" si="8864"/>
        <v>13631.261968322591</v>
      </c>
      <c r="AF1449" s="52">
        <f t="shared" ca="1" si="8864"/>
        <v>-7689.3349468554024</v>
      </c>
      <c r="AG1449" s="52">
        <f t="shared" ca="1" si="8864"/>
        <v>-4675.892228618377</v>
      </c>
      <c r="AH1449" s="52">
        <f t="shared" ca="1" si="8864"/>
        <v>18628.731928990495</v>
      </c>
      <c r="AI1449" s="52">
        <f t="shared" ca="1" si="8864"/>
        <v>24254.969685220145</v>
      </c>
      <c r="AJ1449" s="52">
        <f t="shared" ca="1" si="8864"/>
        <v>2578.8195290682279</v>
      </c>
      <c r="AK1449" s="52">
        <f t="shared" ca="1" si="8864"/>
        <v>4787.4842551708125</v>
      </c>
      <c r="AL1449" s="52">
        <f t="shared" ca="1" si="8864"/>
        <v>26664.178801958016</v>
      </c>
      <c r="AM1449" s="52">
        <f t="shared" ca="1" si="8864"/>
        <v>31452.451833474079</v>
      </c>
      <c r="AN1449" s="52">
        <f t="shared" ca="1" si="8864"/>
        <v>10393.813683918383</v>
      </c>
      <c r="AO1449" s="52">
        <f t="shared" ca="1" si="8864"/>
        <v>11563.832742416635</v>
      </c>
      <c r="AP1449" s="52">
        <f t="shared" ca="1" si="8864"/>
        <v>31258.106596791087</v>
      </c>
      <c r="AQ1449" s="52">
        <f t="shared" ca="1" si="8864"/>
        <v>33775.915869207012</v>
      </c>
      <c r="AR1449" s="52">
        <f t="shared" ca="1" si="8864"/>
        <v>12322.796645057164</v>
      </c>
      <c r="AS1449" s="52">
        <f t="shared" ca="1" si="8864"/>
        <v>11800.599972732944</v>
      </c>
      <c r="AT1449" s="52">
        <f t="shared" ca="1" si="8864"/>
        <v>27709.070604449567</v>
      </c>
      <c r="AU1449" s="52">
        <f t="shared" ca="1" si="8864"/>
        <v>28827.230121793022</v>
      </c>
      <c r="AV1449" s="52">
        <f t="shared" ca="1" si="8864"/>
        <v>10543.907717294433</v>
      </c>
      <c r="AW1449" s="52">
        <f t="shared" ca="1" si="8864"/>
        <v>16926.851528764335</v>
      </c>
      <c r="AX1449" s="52">
        <f t="shared" ca="1" si="8864"/>
        <v>12668.936996069511</v>
      </c>
      <c r="AY1449" s="52">
        <f t="shared" ca="1" si="8864"/>
        <v>1508.549738818278</v>
      </c>
      <c r="AZ1449" s="52">
        <f t="shared" ca="1" si="8864"/>
        <v>-5808.7970399120941</v>
      </c>
      <c r="BA1449" s="52">
        <f t="shared" ca="1" si="8864"/>
        <v>-168.59282941671756</v>
      </c>
      <c r="BB1449" s="52">
        <f t="shared" ca="1" si="8864"/>
        <v>7609.9088828788326</v>
      </c>
      <c r="BC1449" s="52">
        <f t="shared" ca="1" si="8864"/>
        <v>2072.7638956607466</v>
      </c>
      <c r="BD1449" s="52">
        <f t="shared" ca="1" si="8864"/>
        <v>-3998.733384472705</v>
      </c>
      <c r="BE1449" s="52">
        <f t="shared" ca="1" si="8864"/>
        <v>287.24953722984526</v>
      </c>
      <c r="BF1449" s="52">
        <f t="shared" ca="1" si="8864"/>
        <v>6990.3370218344153</v>
      </c>
      <c r="BG1449" s="52">
        <f t="shared" ca="1" si="8864"/>
        <v>2232.2376883972438</v>
      </c>
      <c r="BH1449" s="52">
        <f t="shared" ca="1" si="8864"/>
        <v>13686.264898541527</v>
      </c>
      <c r="BI1449" s="52">
        <f t="shared" ca="1" si="8864"/>
        <v>16981.534333286545</v>
      </c>
      <c r="BJ1449" s="52">
        <f t="shared" ca="1" si="8864"/>
        <v>21884.967901011743</v>
      </c>
      <c r="BK1449" s="52">
        <f t="shared" ca="1" si="8864"/>
        <v>17077.825396156626</v>
      </c>
      <c r="BL1449" s="52">
        <f t="shared" ca="1" si="8864"/>
        <v>11715.503977871975</v>
      </c>
      <c r="BM1449" s="52">
        <f t="shared" ca="1" si="8864"/>
        <v>14535.188841033498</v>
      </c>
      <c r="BN1449" s="52">
        <f t="shared" ca="1" si="8864"/>
        <v>18730.988636275299</v>
      </c>
      <c r="BO1449" s="52">
        <f t="shared" ca="1" si="8864"/>
        <v>13773.601582383566</v>
      </c>
      <c r="BP1449" s="52">
        <f t="shared" ca="1" si="8864"/>
        <v>9274.2798512613572</v>
      </c>
      <c r="BQ1449" s="52">
        <f t="shared" ca="1" si="8864"/>
        <v>11260.27008524228</v>
      </c>
      <c r="BR1449" s="52">
        <f t="shared" ca="1" si="8864"/>
        <v>14581.727226982297</v>
      </c>
      <c r="BS1449" s="52">
        <f t="shared" ca="1" si="8864"/>
        <v>11783.469954403896</v>
      </c>
      <c r="BT1449" s="52">
        <f t="shared" ca="1" si="8864"/>
        <v>8056.5472092431664</v>
      </c>
      <c r="BU1449" s="52">
        <f t="shared" ca="1" si="8864"/>
        <v>9597.7235794786939</v>
      </c>
      <c r="BV1449" s="52">
        <f t="shared" ca="1" si="8864"/>
        <v>12475.775610997038</v>
      </c>
      <c r="BW1449" s="52">
        <f t="shared" ca="1" si="8864"/>
        <v>10081.38370750564</v>
      </c>
      <c r="BX1449" s="52">
        <f t="shared" ca="1" si="8864"/>
        <v>6786.4202006077103</v>
      </c>
      <c r="BY1449" s="52">
        <f t="shared" ref="BY1449:CO1449" ca="1" si="8865">BY1425*BY1448</f>
        <v>8240.9463007272425</v>
      </c>
      <c r="BZ1449" s="52">
        <f t="shared" ca="1" si="8865"/>
        <v>10673.319559739548</v>
      </c>
      <c r="CA1449" s="52">
        <f t="shared" ca="1" si="8865"/>
        <v>8624.5348524458168</v>
      </c>
      <c r="CB1449" s="52">
        <f t="shared" ca="1" si="8865"/>
        <v>5805.3622521662246</v>
      </c>
      <c r="CC1449" s="52">
        <f t="shared" ca="1" si="8865"/>
        <v>7050.1356061152546</v>
      </c>
      <c r="CD1449" s="52">
        <f t="shared" ca="1" si="8865"/>
        <v>9131.650180466786</v>
      </c>
      <c r="CE1449" s="52">
        <f t="shared" ca="1" si="8865"/>
        <v>7378.5699983342247</v>
      </c>
      <c r="CF1449" s="52">
        <f t="shared" ca="1" si="8865"/>
        <v>4966.1858945089398</v>
      </c>
      <c r="CG1449" s="52">
        <f t="shared" ca="1" si="8865"/>
        <v>6031.4511090130163</v>
      </c>
      <c r="CH1449" s="52">
        <f t="shared" ca="1" si="8865"/>
        <v>7812.7127392168786</v>
      </c>
      <c r="CI1449" s="52">
        <f t="shared" ca="1" si="8865"/>
        <v>6312.6551164355578</v>
      </c>
      <c r="CJ1449" s="52">
        <f t="shared" ca="1" si="8865"/>
        <v>4314.5051086551339</v>
      </c>
      <c r="CK1449" s="52">
        <f t="shared" ca="1" si="8865"/>
        <v>5141.0666904402806</v>
      </c>
      <c r="CL1449" s="52">
        <f t="shared" ca="1" si="8865"/>
        <v>6684.5175073607143</v>
      </c>
      <c r="CM1449" s="52">
        <f t="shared" ca="1" si="8865"/>
        <v>5400.9523189369111</v>
      </c>
      <c r="CN1449" s="52">
        <f t="shared" ca="1" si="8865"/>
        <v>3634.3344557550613</v>
      </c>
      <c r="CO1449" s="52">
        <f t="shared" ca="1" si="8865"/>
        <v>4414.5024612746811</v>
      </c>
    </row>
    <row r="1450" spans="1:93">
      <c r="A1450" s="10"/>
      <c r="B1450" s="10"/>
      <c r="C1450" s="17" t="s">
        <v>229</v>
      </c>
      <c r="D1450" s="10"/>
      <c r="E1450" s="62"/>
      <c r="F1450" s="10"/>
      <c r="G1450" s="134" t="str">
        <f>Monetary_Unit</f>
        <v>тыс. руб.</v>
      </c>
      <c r="H1450" s="10"/>
      <c r="I1450" s="10"/>
      <c r="J1450" s="10"/>
      <c r="K1450" s="10"/>
      <c r="L1450" s="52">
        <f t="shared" ref="L1450" ca="1" si="8866">K1450+L1449</f>
        <v>-29911.443160038369</v>
      </c>
      <c r="M1450" s="52">
        <f t="shared" ref="M1450" ca="1" si="8867">L1450+M1449</f>
        <v>-58803.695824213428</v>
      </c>
      <c r="N1450" s="52">
        <f t="shared" ref="N1450" ca="1" si="8868">M1450+N1449</f>
        <v>-86711.485479972049</v>
      </c>
      <c r="O1450" s="52">
        <f t="shared" ref="O1450" ca="1" si="8869">N1450+O1449</f>
        <v>-113668.3563243073</v>
      </c>
      <c r="P1450" s="52">
        <f t="shared" ref="P1450" ca="1" si="8870">O1450+P1449</f>
        <v>-329631.11398234149</v>
      </c>
      <c r="Q1450" s="52">
        <f t="shared" ref="Q1450" ca="1" si="8871">P1450+Q1449</f>
        <v>-537342.26825563272</v>
      </c>
      <c r="R1450" s="52">
        <f t="shared" ref="R1450" ca="1" si="8872">Q1450+R1449</f>
        <v>-737117.10016373033</v>
      </c>
      <c r="S1450" s="52">
        <f t="shared" ref="S1450" ca="1" si="8873">R1450+S1449</f>
        <v>-866748.32779860287</v>
      </c>
      <c r="T1450" s="52">
        <f t="shared" ref="T1450" ca="1" si="8874">S1450+T1449</f>
        <v>-870991.32415935653</v>
      </c>
      <c r="U1450" s="52">
        <f t="shared" ref="U1450" ca="1" si="8875">T1450+U1449</f>
        <v>-877393.02129717125</v>
      </c>
      <c r="V1450" s="52">
        <f t="shared" ref="V1450" ca="1" si="8876">U1450+V1449</f>
        <v>-885808.77455471747</v>
      </c>
      <c r="W1450" s="52">
        <f t="shared" ref="W1450" ca="1" si="8877">V1450+W1449</f>
        <v>-895989.69372830994</v>
      </c>
      <c r="X1450" s="52">
        <f t="shared" ref="X1450" ca="1" si="8878">W1450+X1449</f>
        <v>-908796.67397694965</v>
      </c>
      <c r="Y1450" s="52">
        <f t="shared" ref="Y1450" ca="1" si="8879">X1450+Y1449</f>
        <v>-925121.18849156646</v>
      </c>
      <c r="Z1450" s="52">
        <f t="shared" ref="Z1450" ca="1" si="8880">Y1450+Z1449</f>
        <v>-944852.61114288797</v>
      </c>
      <c r="AA1450" s="52">
        <f t="shared" ref="AA1450" ca="1" si="8881">Z1450+AA1449</f>
        <v>-967504.61467158282</v>
      </c>
      <c r="AB1450" s="52">
        <f t="shared" ref="AB1450" ca="1" si="8882">AA1450+AB1449</f>
        <v>-992861.23860723188</v>
      </c>
      <c r="AC1450" s="52">
        <f t="shared" ref="AC1450" ca="1" si="8883">AB1450+AC1449</f>
        <v>-707630.64460962429</v>
      </c>
      <c r="AD1450" s="52">
        <f t="shared" ref="AD1450" ca="1" si="8884">AC1450+AD1449</f>
        <v>-652596.68180468469</v>
      </c>
      <c r="AE1450" s="52">
        <f t="shared" ref="AE1450" ca="1" si="8885">AD1450+AE1449</f>
        <v>-638965.41983636213</v>
      </c>
      <c r="AF1450" s="52">
        <f t="shared" ref="AF1450" ca="1" si="8886">AE1450+AF1449</f>
        <v>-646654.75478321756</v>
      </c>
      <c r="AG1450" s="52">
        <f t="shared" ref="AG1450" ca="1" si="8887">AF1450+AG1449</f>
        <v>-651330.64701183594</v>
      </c>
      <c r="AH1450" s="52">
        <f t="shared" ref="AH1450" ca="1" si="8888">AG1450+AH1449</f>
        <v>-632701.91508284549</v>
      </c>
      <c r="AI1450" s="52">
        <f t="shared" ref="AI1450" ca="1" si="8889">AH1450+AI1449</f>
        <v>-608446.94539762533</v>
      </c>
      <c r="AJ1450" s="52">
        <f t="shared" ref="AJ1450" ca="1" si="8890">AI1450+AJ1449</f>
        <v>-605868.12586855714</v>
      </c>
      <c r="AK1450" s="52">
        <f t="shared" ref="AK1450" ca="1" si="8891">AJ1450+AK1449</f>
        <v>-601080.64161338634</v>
      </c>
      <c r="AL1450" s="52">
        <f t="shared" ref="AL1450" ca="1" si="8892">AK1450+AL1449</f>
        <v>-574416.46281142836</v>
      </c>
      <c r="AM1450" s="52">
        <f t="shared" ref="AM1450" ca="1" si="8893">AL1450+AM1449</f>
        <v>-542964.01097795425</v>
      </c>
      <c r="AN1450" s="52">
        <f t="shared" ref="AN1450" ca="1" si="8894">AM1450+AN1449</f>
        <v>-532570.19729403593</v>
      </c>
      <c r="AO1450" s="52">
        <f t="shared" ref="AO1450" ca="1" si="8895">AN1450+AO1449</f>
        <v>-521006.36455161928</v>
      </c>
      <c r="AP1450" s="52">
        <f t="shared" ref="AP1450" ca="1" si="8896">AO1450+AP1449</f>
        <v>-489748.25795482821</v>
      </c>
      <c r="AQ1450" s="52">
        <f t="shared" ref="AQ1450" ca="1" si="8897">AP1450+AQ1449</f>
        <v>-455972.3420856212</v>
      </c>
      <c r="AR1450" s="52">
        <f t="shared" ref="AR1450" ca="1" si="8898">AQ1450+AR1449</f>
        <v>-443649.54544056405</v>
      </c>
      <c r="AS1450" s="52">
        <f t="shared" ref="AS1450" ca="1" si="8899">AR1450+AS1449</f>
        <v>-431848.9454678311</v>
      </c>
      <c r="AT1450" s="52">
        <f t="shared" ref="AT1450" ca="1" si="8900">AS1450+AT1449</f>
        <v>-404139.87486338156</v>
      </c>
      <c r="AU1450" s="52">
        <f t="shared" ref="AU1450" ca="1" si="8901">AT1450+AU1449</f>
        <v>-375312.6447415885</v>
      </c>
      <c r="AV1450" s="52">
        <f t="shared" ref="AV1450" ca="1" si="8902">AU1450+AV1449</f>
        <v>-364768.7370242941</v>
      </c>
      <c r="AW1450" s="52">
        <f t="shared" ref="AW1450" ca="1" si="8903">AV1450+AW1449</f>
        <v>-347841.88549552974</v>
      </c>
      <c r="AX1450" s="52">
        <f t="shared" ref="AX1450" ca="1" si="8904">AW1450+AX1449</f>
        <v>-335172.94849946024</v>
      </c>
      <c r="AY1450" s="52">
        <f t="shared" ref="AY1450" ca="1" si="8905">AX1450+AY1449</f>
        <v>-333664.39876064198</v>
      </c>
      <c r="AZ1450" s="52">
        <f t="shared" ref="AZ1450" ca="1" si="8906">AY1450+AZ1449</f>
        <v>-339473.19580055407</v>
      </c>
      <c r="BA1450" s="52">
        <f t="shared" ref="BA1450" ca="1" si="8907">AZ1450+BA1449</f>
        <v>-339641.7886299708</v>
      </c>
      <c r="BB1450" s="52">
        <f t="shared" ref="BB1450" ca="1" si="8908">BA1450+BB1449</f>
        <v>-332031.87974709197</v>
      </c>
      <c r="BC1450" s="52">
        <f t="shared" ref="BC1450" ca="1" si="8909">BB1450+BC1449</f>
        <v>-329959.11585143121</v>
      </c>
      <c r="BD1450" s="52">
        <f t="shared" ref="BD1450" ca="1" si="8910">BC1450+BD1449</f>
        <v>-333957.84923590394</v>
      </c>
      <c r="BE1450" s="52">
        <f t="shared" ref="BE1450" ca="1" si="8911">BD1450+BE1449</f>
        <v>-333670.59969867411</v>
      </c>
      <c r="BF1450" s="52">
        <f t="shared" ref="BF1450" ca="1" si="8912">BE1450+BF1449</f>
        <v>-326680.26267683972</v>
      </c>
      <c r="BG1450" s="52">
        <f t="shared" ref="BG1450" ca="1" si="8913">BF1450+BG1449</f>
        <v>-324448.02498844248</v>
      </c>
      <c r="BH1450" s="52">
        <f t="shared" ref="BH1450" ca="1" si="8914">BG1450+BH1449</f>
        <v>-310761.76008990098</v>
      </c>
      <c r="BI1450" s="52">
        <f t="shared" ref="BI1450" ca="1" si="8915">BH1450+BI1449</f>
        <v>-293780.22575661447</v>
      </c>
      <c r="BJ1450" s="52">
        <f t="shared" ref="BJ1450" ca="1" si="8916">BI1450+BJ1449</f>
        <v>-271895.25785560271</v>
      </c>
      <c r="BK1450" s="52">
        <f t="shared" ref="BK1450" ca="1" si="8917">BJ1450+BK1449</f>
        <v>-254817.43245944608</v>
      </c>
      <c r="BL1450" s="52">
        <f t="shared" ref="BL1450" ca="1" si="8918">BK1450+BL1449</f>
        <v>-243101.92848157411</v>
      </c>
      <c r="BM1450" s="52">
        <f t="shared" ref="BM1450" ca="1" si="8919">BL1450+BM1449</f>
        <v>-228566.73964054062</v>
      </c>
      <c r="BN1450" s="52">
        <f t="shared" ref="BN1450" ca="1" si="8920">BM1450+BN1449</f>
        <v>-209835.75100426533</v>
      </c>
      <c r="BO1450" s="52">
        <f t="shared" ref="BO1450" ca="1" si="8921">BN1450+BO1449</f>
        <v>-196062.14942188177</v>
      </c>
      <c r="BP1450" s="52">
        <f t="shared" ref="BP1450" ca="1" si="8922">BO1450+BP1449</f>
        <v>-186787.86957062042</v>
      </c>
      <c r="BQ1450" s="52">
        <f t="shared" ref="BQ1450" ca="1" si="8923">BP1450+BQ1449</f>
        <v>-175527.59948537813</v>
      </c>
      <c r="BR1450" s="52">
        <f t="shared" ref="BR1450" ca="1" si="8924">BQ1450+BR1449</f>
        <v>-160945.87225839583</v>
      </c>
      <c r="BS1450" s="52">
        <f t="shared" ref="BS1450" ca="1" si="8925">BR1450+BS1449</f>
        <v>-149162.40230399193</v>
      </c>
      <c r="BT1450" s="52">
        <f t="shared" ref="BT1450" ca="1" si="8926">BS1450+BT1449</f>
        <v>-141105.85509474875</v>
      </c>
      <c r="BU1450" s="52">
        <f t="shared" ref="BU1450" ca="1" si="8927">BT1450+BU1449</f>
        <v>-131508.13151527007</v>
      </c>
      <c r="BV1450" s="52">
        <f t="shared" ref="BV1450" ca="1" si="8928">BU1450+BV1449</f>
        <v>-119032.35590427303</v>
      </c>
      <c r="BW1450" s="52">
        <f t="shared" ref="BW1450" ca="1" si="8929">BV1450+BW1449</f>
        <v>-108950.9721967674</v>
      </c>
      <c r="BX1450" s="52">
        <f t="shared" ref="BX1450" ca="1" si="8930">BW1450+BX1449</f>
        <v>-102164.55199615969</v>
      </c>
      <c r="BY1450" s="52">
        <f t="shared" ref="BY1450" ca="1" si="8931">BX1450+BY1449</f>
        <v>-93923.605695432445</v>
      </c>
      <c r="BZ1450" s="52">
        <f t="shared" ref="BZ1450" ca="1" si="8932">BY1450+BZ1449</f>
        <v>-83250.286135692892</v>
      </c>
      <c r="CA1450" s="52">
        <f t="shared" ref="CA1450" ca="1" si="8933">BZ1450+CA1449</f>
        <v>-74625.751283247082</v>
      </c>
      <c r="CB1450" s="52">
        <f t="shared" ref="CB1450" ca="1" si="8934">CA1450+CB1449</f>
        <v>-68820.389031080864</v>
      </c>
      <c r="CC1450" s="52">
        <f t="shared" ref="CC1450" ca="1" si="8935">CB1450+CC1449</f>
        <v>-61770.253424965609</v>
      </c>
      <c r="CD1450" s="52">
        <f t="shared" ref="CD1450" ca="1" si="8936">CC1450+CD1449</f>
        <v>-52638.603244498823</v>
      </c>
      <c r="CE1450" s="52">
        <f t="shared" ref="CE1450" ca="1" si="8937">CD1450+CE1449</f>
        <v>-45260.033246164596</v>
      </c>
      <c r="CF1450" s="52">
        <f t="shared" ref="CF1450" ca="1" si="8938">CE1450+CF1449</f>
        <v>-40293.847351655655</v>
      </c>
      <c r="CG1450" s="52">
        <f t="shared" ref="CG1450" ca="1" si="8939">CF1450+CG1449</f>
        <v>-34262.396242642637</v>
      </c>
      <c r="CH1450" s="52">
        <f t="shared" ref="CH1450" ca="1" si="8940">CG1450+CH1449</f>
        <v>-26449.68350342576</v>
      </c>
      <c r="CI1450" s="52">
        <f t="shared" ref="CI1450" ca="1" si="8941">CH1450+CI1449</f>
        <v>-20137.028386990201</v>
      </c>
      <c r="CJ1450" s="52">
        <f t="shared" ref="CJ1450" ca="1" si="8942">CI1450+CJ1449</f>
        <v>-15822.523278335068</v>
      </c>
      <c r="CK1450" s="52">
        <f t="shared" ref="CK1450" ca="1" si="8943">CJ1450+CK1449</f>
        <v>-10681.456587894787</v>
      </c>
      <c r="CL1450" s="52">
        <f t="shared" ref="CL1450" ca="1" si="8944">CK1450+CL1449</f>
        <v>-3996.9390805340727</v>
      </c>
      <c r="CM1450" s="52">
        <f t="shared" ref="CM1450" ca="1" si="8945">CL1450+CM1449</f>
        <v>1404.0132384028384</v>
      </c>
      <c r="CN1450" s="52">
        <f t="shared" ref="CN1450" ca="1" si="8946">CM1450+CN1449</f>
        <v>5038.3476941578992</v>
      </c>
      <c r="CO1450" s="52">
        <f t="shared" ref="CO1450" ca="1" si="8947">CN1450+CO1449</f>
        <v>9452.8501554325812</v>
      </c>
    </row>
    <row r="1451" spans="1:93">
      <c r="A1451" s="10"/>
      <c r="B1451" s="10"/>
      <c r="C1451" s="17" t="s">
        <v>222</v>
      </c>
      <c r="D1451" s="10"/>
      <c r="E1451" s="10">
        <f ca="1">SUM(R1451:CO1451)</f>
        <v>1</v>
      </c>
      <c r="F1451" s="10"/>
      <c r="G1451" s="11"/>
      <c r="H1451" s="10"/>
      <c r="I1451" s="10"/>
      <c r="J1451" s="10"/>
      <c r="K1451" s="10"/>
      <c r="L1451" s="52">
        <f ca="1">1*(L1450&gt;0)*(K1450&lt;0)*(SUM($K1451:K1451)=0)</f>
        <v>0</v>
      </c>
      <c r="M1451" s="52">
        <f ca="1">1*(M1450&gt;0)*(L1450&lt;0)*(SUM($K1451:L1451)=0)</f>
        <v>0</v>
      </c>
      <c r="N1451" s="52">
        <f ca="1">1*(N1450&gt;0)*(M1450&lt;0)*(SUM($K1451:M1451)=0)</f>
        <v>0</v>
      </c>
      <c r="O1451" s="52">
        <f ca="1">1*(O1450&gt;0)*(N1450&lt;0)*(SUM($K1451:N1451)=0)</f>
        <v>0</v>
      </c>
      <c r="P1451" s="52">
        <f ca="1">1*(P1450&gt;0)*(O1450&lt;0)*(SUM($K1451:O1451)=0)</f>
        <v>0</v>
      </c>
      <c r="Q1451" s="52">
        <f ca="1">1*(Q1450&gt;0)*(P1450&lt;0)*(SUM($K1451:P1451)=0)</f>
        <v>0</v>
      </c>
      <c r="R1451" s="52">
        <f ca="1">1*(R1450&gt;0)*(Q1450&lt;0)*(SUM($K1451:Q1451)=0)</f>
        <v>0</v>
      </c>
      <c r="S1451" s="52">
        <f ca="1">1*(S1450&gt;0)*(R1450&lt;0)*(SUM($K1451:R1451)=0)</f>
        <v>0</v>
      </c>
      <c r="T1451" s="52">
        <f ca="1">1*(T1450&gt;0)*(S1450&lt;0)*(SUM($K1451:S1451)=0)</f>
        <v>0</v>
      </c>
      <c r="U1451" s="52">
        <f ca="1">1*(U1450&gt;0)*(T1450&lt;0)*(SUM($K1451:T1451)=0)</f>
        <v>0</v>
      </c>
      <c r="V1451" s="52">
        <f ca="1">1*(V1450&gt;0)*(U1450&lt;0)*(SUM($K1451:U1451)=0)</f>
        <v>0</v>
      </c>
      <c r="W1451" s="52">
        <f ca="1">1*(W1450&gt;0)*(V1450&lt;0)*(SUM($K1451:V1451)=0)</f>
        <v>0</v>
      </c>
      <c r="X1451" s="52">
        <f ca="1">1*(X1450&gt;0)*(W1450&lt;0)*(SUM($K1451:W1451)=0)</f>
        <v>0</v>
      </c>
      <c r="Y1451" s="52">
        <f ca="1">1*(Y1450&gt;0)*(X1450&lt;0)*(SUM($K1451:X1451)=0)</f>
        <v>0</v>
      </c>
      <c r="Z1451" s="52">
        <f ca="1">1*(Z1450&gt;0)*(Y1450&lt;0)*(SUM($K1451:Y1451)=0)</f>
        <v>0</v>
      </c>
      <c r="AA1451" s="52">
        <f ca="1">1*(AA1450&gt;0)*(Z1450&lt;0)*(SUM($K1451:Z1451)=0)</f>
        <v>0</v>
      </c>
      <c r="AB1451" s="52">
        <f ca="1">1*(AB1450&gt;0)*(AA1450&lt;0)*(SUM($K1451:AA1451)=0)</f>
        <v>0</v>
      </c>
      <c r="AC1451" s="52">
        <f ca="1">1*(AC1450&gt;0)*(AB1450&lt;0)*(SUM($K1451:AB1451)=0)</f>
        <v>0</v>
      </c>
      <c r="AD1451" s="52">
        <f ca="1">1*(AD1450&gt;0)*(AC1450&lt;0)*(SUM($K1451:AC1451)=0)</f>
        <v>0</v>
      </c>
      <c r="AE1451" s="52">
        <f ca="1">1*(AE1450&gt;0)*(AD1450&lt;0)*(SUM($K1451:AD1451)=0)</f>
        <v>0</v>
      </c>
      <c r="AF1451" s="52">
        <f ca="1">1*(AF1450&gt;0)*(AE1450&lt;0)*(SUM($K1451:AE1451)=0)</f>
        <v>0</v>
      </c>
      <c r="AG1451" s="52">
        <f ca="1">1*(AG1450&gt;0)*(AF1450&lt;0)*(SUM($K1451:AF1451)=0)</f>
        <v>0</v>
      </c>
      <c r="AH1451" s="52">
        <f ca="1">1*(AH1450&gt;0)*(AG1450&lt;0)*(SUM($K1451:AG1451)=0)</f>
        <v>0</v>
      </c>
      <c r="AI1451" s="52">
        <f ca="1">1*(AI1450&gt;0)*(AH1450&lt;0)*(SUM($K1451:AH1451)=0)</f>
        <v>0</v>
      </c>
      <c r="AJ1451" s="52">
        <f ca="1">1*(AJ1450&gt;0)*(AI1450&lt;0)*(SUM($K1451:AI1451)=0)</f>
        <v>0</v>
      </c>
      <c r="AK1451" s="52">
        <f ca="1">1*(AK1450&gt;0)*(AJ1450&lt;0)*(SUM($K1451:AJ1451)=0)</f>
        <v>0</v>
      </c>
      <c r="AL1451" s="52">
        <f ca="1">1*(AL1450&gt;0)*(AK1450&lt;0)*(SUM($K1451:AK1451)=0)</f>
        <v>0</v>
      </c>
      <c r="AM1451" s="52">
        <f ca="1">1*(AM1450&gt;0)*(AL1450&lt;0)*(SUM($K1451:AL1451)=0)</f>
        <v>0</v>
      </c>
      <c r="AN1451" s="52">
        <f ca="1">1*(AN1450&gt;0)*(AM1450&lt;0)*(SUM($K1451:AM1451)=0)</f>
        <v>0</v>
      </c>
      <c r="AO1451" s="52">
        <f ca="1">1*(AO1450&gt;0)*(AN1450&lt;0)*(SUM($K1451:AN1451)=0)</f>
        <v>0</v>
      </c>
      <c r="AP1451" s="52">
        <f ca="1">1*(AP1450&gt;0)*(AO1450&lt;0)*(SUM($K1451:AO1451)=0)</f>
        <v>0</v>
      </c>
      <c r="AQ1451" s="52">
        <f ca="1">1*(AQ1450&gt;0)*(AP1450&lt;0)*(SUM($K1451:AP1451)=0)</f>
        <v>0</v>
      </c>
      <c r="AR1451" s="52">
        <f ca="1">1*(AR1450&gt;0)*(AQ1450&lt;0)*(SUM($K1451:AQ1451)=0)</f>
        <v>0</v>
      </c>
      <c r="AS1451" s="52">
        <f ca="1">1*(AS1450&gt;0)*(AR1450&lt;0)*(SUM($K1451:AR1451)=0)</f>
        <v>0</v>
      </c>
      <c r="AT1451" s="52">
        <f ca="1">1*(AT1450&gt;0)*(AS1450&lt;0)*(SUM($K1451:AS1451)=0)</f>
        <v>0</v>
      </c>
      <c r="AU1451" s="52">
        <f ca="1">1*(AU1450&gt;0)*(AT1450&lt;0)*(SUM($K1451:AT1451)=0)</f>
        <v>0</v>
      </c>
      <c r="AV1451" s="52">
        <f ca="1">1*(AV1450&gt;0)*(AU1450&lt;0)*(SUM($K1451:AU1451)=0)</f>
        <v>0</v>
      </c>
      <c r="AW1451" s="52">
        <f ca="1">1*(AW1450&gt;0)*(AV1450&lt;0)*(SUM($K1451:AV1451)=0)</f>
        <v>0</v>
      </c>
      <c r="AX1451" s="52">
        <f ca="1">1*(AX1450&gt;0)*(AW1450&lt;0)*(SUM($K1451:AW1451)=0)</f>
        <v>0</v>
      </c>
      <c r="AY1451" s="52">
        <f ca="1">1*(AY1450&gt;0)*(AX1450&lt;0)*(SUM($K1451:AX1451)=0)</f>
        <v>0</v>
      </c>
      <c r="AZ1451" s="52">
        <f ca="1">1*(AZ1450&gt;0)*(AY1450&lt;0)*(SUM($K1451:AY1451)=0)</f>
        <v>0</v>
      </c>
      <c r="BA1451" s="52">
        <f ca="1">1*(BA1450&gt;0)*(AZ1450&lt;0)*(SUM($K1451:AZ1451)=0)</f>
        <v>0</v>
      </c>
      <c r="BB1451" s="52">
        <f ca="1">1*(BB1450&gt;0)*(BA1450&lt;0)*(SUM($K1451:BA1451)=0)</f>
        <v>0</v>
      </c>
      <c r="BC1451" s="52">
        <f ca="1">1*(BC1450&gt;0)*(BB1450&lt;0)*(SUM($K1451:BB1451)=0)</f>
        <v>0</v>
      </c>
      <c r="BD1451" s="52">
        <f ca="1">1*(BD1450&gt;0)*(BC1450&lt;0)*(SUM($K1451:BC1451)=0)</f>
        <v>0</v>
      </c>
      <c r="BE1451" s="52">
        <f ca="1">1*(BE1450&gt;0)*(BD1450&lt;0)*(SUM($K1451:BD1451)=0)</f>
        <v>0</v>
      </c>
      <c r="BF1451" s="52">
        <f ca="1">1*(BF1450&gt;0)*(BE1450&lt;0)*(SUM($K1451:BE1451)=0)</f>
        <v>0</v>
      </c>
      <c r="BG1451" s="52">
        <f ca="1">1*(BG1450&gt;0)*(BF1450&lt;0)*(SUM($K1451:BF1451)=0)</f>
        <v>0</v>
      </c>
      <c r="BH1451" s="52">
        <f ca="1">1*(BH1450&gt;0)*(BG1450&lt;0)*(SUM($K1451:BG1451)=0)</f>
        <v>0</v>
      </c>
      <c r="BI1451" s="52">
        <f ca="1">1*(BI1450&gt;0)*(BH1450&lt;0)*(SUM($K1451:BH1451)=0)</f>
        <v>0</v>
      </c>
      <c r="BJ1451" s="52">
        <f ca="1">1*(BJ1450&gt;0)*(BI1450&lt;0)*(SUM($K1451:BI1451)=0)</f>
        <v>0</v>
      </c>
      <c r="BK1451" s="52">
        <f ca="1">1*(BK1450&gt;0)*(BJ1450&lt;0)*(SUM($K1451:BJ1451)=0)</f>
        <v>0</v>
      </c>
      <c r="BL1451" s="52">
        <f ca="1">1*(BL1450&gt;0)*(BK1450&lt;0)*(SUM($K1451:BK1451)=0)</f>
        <v>0</v>
      </c>
      <c r="BM1451" s="52">
        <f ca="1">1*(BM1450&gt;0)*(BL1450&lt;0)*(SUM($K1451:BL1451)=0)</f>
        <v>0</v>
      </c>
      <c r="BN1451" s="52">
        <f ca="1">1*(BN1450&gt;0)*(BM1450&lt;0)*(SUM($K1451:BM1451)=0)</f>
        <v>0</v>
      </c>
      <c r="BO1451" s="52">
        <f ca="1">1*(BO1450&gt;0)*(BN1450&lt;0)*(SUM($K1451:BN1451)=0)</f>
        <v>0</v>
      </c>
      <c r="BP1451" s="52">
        <f ca="1">1*(BP1450&gt;0)*(BO1450&lt;0)*(SUM($K1451:BO1451)=0)</f>
        <v>0</v>
      </c>
      <c r="BQ1451" s="52">
        <f ca="1">1*(BQ1450&gt;0)*(BP1450&lt;0)*(SUM($K1451:BP1451)=0)</f>
        <v>0</v>
      </c>
      <c r="BR1451" s="52">
        <f ca="1">1*(BR1450&gt;0)*(BQ1450&lt;0)*(SUM($K1451:BQ1451)=0)</f>
        <v>0</v>
      </c>
      <c r="BS1451" s="52">
        <f ca="1">1*(BS1450&gt;0)*(BR1450&lt;0)*(SUM($K1451:BR1451)=0)</f>
        <v>0</v>
      </c>
      <c r="BT1451" s="52">
        <f ca="1">1*(BT1450&gt;0)*(BS1450&lt;0)*(SUM($K1451:BS1451)=0)</f>
        <v>0</v>
      </c>
      <c r="BU1451" s="52">
        <f ca="1">1*(BU1450&gt;0)*(BT1450&lt;0)*(SUM($K1451:BT1451)=0)</f>
        <v>0</v>
      </c>
      <c r="BV1451" s="52">
        <f ca="1">1*(BV1450&gt;0)*(BU1450&lt;0)*(SUM($K1451:BU1451)=0)</f>
        <v>0</v>
      </c>
      <c r="BW1451" s="52">
        <f ca="1">1*(BW1450&gt;0)*(BV1450&lt;0)*(SUM($K1451:BV1451)=0)</f>
        <v>0</v>
      </c>
      <c r="BX1451" s="52">
        <f ca="1">1*(BX1450&gt;0)*(BW1450&lt;0)*(SUM($K1451:BW1451)=0)</f>
        <v>0</v>
      </c>
      <c r="BY1451" s="52">
        <f ca="1">1*(BY1450&gt;0)*(BX1450&lt;0)*(SUM($K1451:BX1451)=0)</f>
        <v>0</v>
      </c>
      <c r="BZ1451" s="52">
        <f ca="1">1*(BZ1450&gt;0)*(BY1450&lt;0)*(SUM($K1451:BY1451)=0)</f>
        <v>0</v>
      </c>
      <c r="CA1451" s="52">
        <f ca="1">1*(CA1450&gt;0)*(BZ1450&lt;0)*(SUM($K1451:BZ1451)=0)</f>
        <v>0</v>
      </c>
      <c r="CB1451" s="52">
        <f ca="1">1*(CB1450&gt;0)*(CA1450&lt;0)*(SUM($K1451:CA1451)=0)</f>
        <v>0</v>
      </c>
      <c r="CC1451" s="52">
        <f ca="1">1*(CC1450&gt;0)*(CB1450&lt;0)*(SUM($K1451:CB1451)=0)</f>
        <v>0</v>
      </c>
      <c r="CD1451" s="52">
        <f ca="1">1*(CD1450&gt;0)*(CC1450&lt;0)*(SUM($K1451:CC1451)=0)</f>
        <v>0</v>
      </c>
      <c r="CE1451" s="52">
        <f ca="1">1*(CE1450&gt;0)*(CD1450&lt;0)*(SUM($K1451:CD1451)=0)</f>
        <v>0</v>
      </c>
      <c r="CF1451" s="52">
        <f ca="1">1*(CF1450&gt;0)*(CE1450&lt;0)*(SUM($K1451:CE1451)=0)</f>
        <v>0</v>
      </c>
      <c r="CG1451" s="52">
        <f ca="1">1*(CG1450&gt;0)*(CF1450&lt;0)*(SUM($K1451:CF1451)=0)</f>
        <v>0</v>
      </c>
      <c r="CH1451" s="52">
        <f ca="1">1*(CH1450&gt;0)*(CG1450&lt;0)*(SUM($K1451:CG1451)=0)</f>
        <v>0</v>
      </c>
      <c r="CI1451" s="52">
        <f ca="1">1*(CI1450&gt;0)*(CH1450&lt;0)*(SUM($K1451:CH1451)=0)</f>
        <v>0</v>
      </c>
      <c r="CJ1451" s="52">
        <f ca="1">1*(CJ1450&gt;0)*(CI1450&lt;0)*(SUM($K1451:CI1451)=0)</f>
        <v>0</v>
      </c>
      <c r="CK1451" s="52">
        <f ca="1">1*(CK1450&gt;0)*(CJ1450&lt;0)*(SUM($K1451:CJ1451)=0)</f>
        <v>0</v>
      </c>
      <c r="CL1451" s="52">
        <f ca="1">1*(CL1450&gt;0)*(CK1450&lt;0)*(SUM($K1451:CK1451)=0)</f>
        <v>0</v>
      </c>
      <c r="CM1451" s="52">
        <f ca="1">1*(CM1450&gt;0)*(CL1450&lt;0)*(SUM($K1451:CL1451)=0)</f>
        <v>1</v>
      </c>
      <c r="CN1451" s="52">
        <f ca="1">1*(CN1450&gt;0)*(CM1450&lt;0)*(SUM($K1451:CM1451)=0)</f>
        <v>0</v>
      </c>
      <c r="CO1451" s="52">
        <f ca="1">1*(CO1450&gt;0)*(CN1450&lt;0)*(SUM($K1451:CN1451)=0)</f>
        <v>0</v>
      </c>
    </row>
    <row r="1452" spans="1:93">
      <c r="A1452" s="10"/>
      <c r="B1452" s="10"/>
      <c r="C1452" s="17" t="s">
        <v>223</v>
      </c>
      <c r="D1452" s="10"/>
      <c r="E1452" s="10">
        <f ca="1">SUM(R1452:CO1452)</f>
        <v>68.083992172979237</v>
      </c>
      <c r="F1452" s="10"/>
      <c r="G1452" s="11"/>
      <c r="H1452" s="10"/>
      <c r="I1452" s="10"/>
      <c r="J1452" s="10"/>
      <c r="K1452" s="10"/>
      <c r="L1452" s="52">
        <f t="shared" ref="L1452" ca="1" si="8948">-IFERROR(K1450/L1449,0)*Days_In_Period*L1451</f>
        <v>0</v>
      </c>
      <c r="M1452" s="52">
        <f t="shared" ref="M1452" ca="1" si="8949">-IFERROR(L1450/M1449,0)*Days_In_Period*M1451</f>
        <v>0</v>
      </c>
      <c r="N1452" s="52">
        <f t="shared" ref="N1452" ca="1" si="8950">-IFERROR(M1450/N1449,0)*Days_In_Period*N1451</f>
        <v>0</v>
      </c>
      <c r="O1452" s="52">
        <f t="shared" ref="O1452" ca="1" si="8951">-IFERROR(N1450/O1449,0)*Days_In_Period*O1451</f>
        <v>0</v>
      </c>
      <c r="P1452" s="52">
        <f t="shared" ref="P1452" ca="1" si="8952">-IFERROR(O1450/P1449,0)*Days_In_Period*P1451</f>
        <v>0</v>
      </c>
      <c r="Q1452" s="52">
        <f t="shared" ref="Q1452" ca="1" si="8953">-IFERROR(P1450/Q1449,0)*Days_In_Period*Q1451</f>
        <v>0</v>
      </c>
      <c r="R1452" s="52">
        <f t="shared" ref="R1452" ca="1" si="8954">-IFERROR(Q1450/R1449,0)*Days_In_Period*R1451</f>
        <v>0</v>
      </c>
      <c r="S1452" s="52">
        <f t="shared" ref="S1452" ca="1" si="8955">-IFERROR(R1450/S1449,0)*Days_In_Period*S1451</f>
        <v>0</v>
      </c>
      <c r="T1452" s="52">
        <f t="shared" ref="T1452" ca="1" si="8956">-IFERROR(S1450/T1449,0)*Days_In_Period*T1451</f>
        <v>0</v>
      </c>
      <c r="U1452" s="52">
        <f t="shared" ref="U1452" ca="1" si="8957">-IFERROR(T1450/U1449,0)*Days_In_Period*U1451</f>
        <v>0</v>
      </c>
      <c r="V1452" s="52">
        <f t="shared" ref="V1452" ca="1" si="8958">-IFERROR(U1450/V1449,0)*Days_In_Period*V1451</f>
        <v>0</v>
      </c>
      <c r="W1452" s="52">
        <f t="shared" ref="W1452" ca="1" si="8959">-IFERROR(V1450/W1449,0)*Days_In_Period*W1451</f>
        <v>0</v>
      </c>
      <c r="X1452" s="52">
        <f t="shared" ref="X1452" ca="1" si="8960">-IFERROR(W1450/X1449,0)*Days_In_Period*X1451</f>
        <v>0</v>
      </c>
      <c r="Y1452" s="52">
        <f t="shared" ref="Y1452" ca="1" si="8961">-IFERROR(X1450/Y1449,0)*Days_In_Period*Y1451</f>
        <v>0</v>
      </c>
      <c r="Z1452" s="52">
        <f t="shared" ref="Z1452" ca="1" si="8962">-IFERROR(Y1450/Z1449,0)*Days_In_Period*Z1451</f>
        <v>0</v>
      </c>
      <c r="AA1452" s="52">
        <f t="shared" ref="AA1452" ca="1" si="8963">-IFERROR(Z1450/AA1449,0)*Days_In_Period*AA1451</f>
        <v>0</v>
      </c>
      <c r="AB1452" s="52">
        <f t="shared" ref="AB1452" ca="1" si="8964">-IFERROR(AA1450/AB1449,0)*Days_In_Period*AB1451</f>
        <v>0</v>
      </c>
      <c r="AC1452" s="52">
        <f t="shared" ref="AC1452" ca="1" si="8965">-IFERROR(AB1450/AC1449,0)*Days_In_Period*AC1451</f>
        <v>0</v>
      </c>
      <c r="AD1452" s="52">
        <f t="shared" ref="AD1452" ca="1" si="8966">-IFERROR(AC1450/AD1449,0)*Days_In_Period*AD1451</f>
        <v>0</v>
      </c>
      <c r="AE1452" s="52">
        <f t="shared" ref="AE1452" ca="1" si="8967">-IFERROR(AD1450/AE1449,0)*Days_In_Period*AE1451</f>
        <v>0</v>
      </c>
      <c r="AF1452" s="52">
        <f t="shared" ref="AF1452" ca="1" si="8968">-IFERROR(AE1450/AF1449,0)*Days_In_Period*AF1451</f>
        <v>0</v>
      </c>
      <c r="AG1452" s="52">
        <f t="shared" ref="AG1452" ca="1" si="8969">-IFERROR(AF1450/AG1449,0)*Days_In_Period*AG1451</f>
        <v>0</v>
      </c>
      <c r="AH1452" s="52">
        <f t="shared" ref="AH1452" ca="1" si="8970">-IFERROR(AG1450/AH1449,0)*Days_In_Period*AH1451</f>
        <v>0</v>
      </c>
      <c r="AI1452" s="52">
        <f t="shared" ref="AI1452" ca="1" si="8971">-IFERROR(AH1450/AI1449,0)*Days_In_Period*AI1451</f>
        <v>0</v>
      </c>
      <c r="AJ1452" s="52">
        <f t="shared" ref="AJ1452" ca="1" si="8972">-IFERROR(AI1450/AJ1449,0)*Days_In_Period*AJ1451</f>
        <v>0</v>
      </c>
      <c r="AK1452" s="52">
        <f t="shared" ref="AK1452" ca="1" si="8973">-IFERROR(AJ1450/AK1449,0)*Days_In_Period*AK1451</f>
        <v>0</v>
      </c>
      <c r="AL1452" s="52">
        <f t="shared" ref="AL1452" ca="1" si="8974">-IFERROR(AK1450/AL1449,0)*Days_In_Period*AL1451</f>
        <v>0</v>
      </c>
      <c r="AM1452" s="52">
        <f t="shared" ref="AM1452" ca="1" si="8975">-IFERROR(AL1450/AM1449,0)*Days_In_Period*AM1451</f>
        <v>0</v>
      </c>
      <c r="AN1452" s="52">
        <f t="shared" ref="AN1452" ca="1" si="8976">-IFERROR(AM1450/AN1449,0)*Days_In_Period*AN1451</f>
        <v>0</v>
      </c>
      <c r="AO1452" s="52">
        <f t="shared" ref="AO1452" ca="1" si="8977">-IFERROR(AN1450/AO1449,0)*Days_In_Period*AO1451</f>
        <v>0</v>
      </c>
      <c r="AP1452" s="52">
        <f t="shared" ref="AP1452" ca="1" si="8978">-IFERROR(AO1450/AP1449,0)*Days_In_Period*AP1451</f>
        <v>0</v>
      </c>
      <c r="AQ1452" s="52">
        <f t="shared" ref="AQ1452" ca="1" si="8979">-IFERROR(AP1450/AQ1449,0)*Days_In_Period*AQ1451</f>
        <v>0</v>
      </c>
      <c r="AR1452" s="52">
        <f t="shared" ref="AR1452" ca="1" si="8980">-IFERROR(AQ1450/AR1449,0)*Days_In_Period*AR1451</f>
        <v>0</v>
      </c>
      <c r="AS1452" s="52">
        <f t="shared" ref="AS1452" ca="1" si="8981">-IFERROR(AR1450/AS1449,0)*Days_In_Period*AS1451</f>
        <v>0</v>
      </c>
      <c r="AT1452" s="52">
        <f t="shared" ref="AT1452" ca="1" si="8982">-IFERROR(AS1450/AT1449,0)*Days_In_Period*AT1451</f>
        <v>0</v>
      </c>
      <c r="AU1452" s="52">
        <f t="shared" ref="AU1452" ca="1" si="8983">-IFERROR(AT1450/AU1449,0)*Days_In_Period*AU1451</f>
        <v>0</v>
      </c>
      <c r="AV1452" s="52">
        <f t="shared" ref="AV1452" ca="1" si="8984">-IFERROR(AU1450/AV1449,0)*Days_In_Period*AV1451</f>
        <v>0</v>
      </c>
      <c r="AW1452" s="52">
        <f t="shared" ref="AW1452" ca="1" si="8985">-IFERROR(AV1450/AW1449,0)*Days_In_Period*AW1451</f>
        <v>0</v>
      </c>
      <c r="AX1452" s="52">
        <f t="shared" ref="AX1452" ca="1" si="8986">-IFERROR(AW1450/AX1449,0)*Days_In_Period*AX1451</f>
        <v>0</v>
      </c>
      <c r="AY1452" s="52">
        <f t="shared" ref="AY1452" ca="1" si="8987">-IFERROR(AX1450/AY1449,0)*Days_In_Period*AY1451</f>
        <v>0</v>
      </c>
      <c r="AZ1452" s="52">
        <f t="shared" ref="AZ1452" ca="1" si="8988">-IFERROR(AY1450/AZ1449,0)*Days_In_Period*AZ1451</f>
        <v>0</v>
      </c>
      <c r="BA1452" s="52">
        <f t="shared" ref="BA1452" ca="1" si="8989">-IFERROR(AZ1450/BA1449,0)*Days_In_Period*BA1451</f>
        <v>0</v>
      </c>
      <c r="BB1452" s="52">
        <f t="shared" ref="BB1452" ca="1" si="8990">-IFERROR(BA1450/BB1449,0)*Days_In_Period*BB1451</f>
        <v>0</v>
      </c>
      <c r="BC1452" s="52">
        <f t="shared" ref="BC1452" ca="1" si="8991">-IFERROR(BB1450/BC1449,0)*Days_In_Period*BC1451</f>
        <v>0</v>
      </c>
      <c r="BD1452" s="52">
        <f t="shared" ref="BD1452" ca="1" si="8992">-IFERROR(BC1450/BD1449,0)*Days_In_Period*BD1451</f>
        <v>0</v>
      </c>
      <c r="BE1452" s="52">
        <f t="shared" ref="BE1452" ca="1" si="8993">-IFERROR(BD1450/BE1449,0)*Days_In_Period*BE1451</f>
        <v>0</v>
      </c>
      <c r="BF1452" s="52">
        <f t="shared" ref="BF1452" ca="1" si="8994">-IFERROR(BE1450/BF1449,0)*Days_In_Period*BF1451</f>
        <v>0</v>
      </c>
      <c r="BG1452" s="52">
        <f t="shared" ref="BG1452" ca="1" si="8995">-IFERROR(BF1450/BG1449,0)*Days_In_Period*BG1451</f>
        <v>0</v>
      </c>
      <c r="BH1452" s="52">
        <f t="shared" ref="BH1452" ca="1" si="8996">-IFERROR(BG1450/BH1449,0)*Days_In_Period*BH1451</f>
        <v>0</v>
      </c>
      <c r="BI1452" s="52">
        <f t="shared" ref="BI1452" ca="1" si="8997">-IFERROR(BH1450/BI1449,0)*Days_In_Period*BI1451</f>
        <v>0</v>
      </c>
      <c r="BJ1452" s="52">
        <f t="shared" ref="BJ1452" ca="1" si="8998">-IFERROR(BI1450/BJ1449,0)*Days_In_Period*BJ1451</f>
        <v>0</v>
      </c>
      <c r="BK1452" s="52">
        <f t="shared" ref="BK1452" ca="1" si="8999">-IFERROR(BJ1450/BK1449,0)*Days_In_Period*BK1451</f>
        <v>0</v>
      </c>
      <c r="BL1452" s="52">
        <f t="shared" ref="BL1452" ca="1" si="9000">-IFERROR(BK1450/BL1449,0)*Days_In_Period*BL1451</f>
        <v>0</v>
      </c>
      <c r="BM1452" s="52">
        <f t="shared" ref="BM1452" ca="1" si="9001">-IFERROR(BL1450/BM1449,0)*Days_In_Period*BM1451</f>
        <v>0</v>
      </c>
      <c r="BN1452" s="52">
        <f t="shared" ref="BN1452" ca="1" si="9002">-IFERROR(BM1450/BN1449,0)*Days_In_Period*BN1451</f>
        <v>0</v>
      </c>
      <c r="BO1452" s="52">
        <f t="shared" ref="BO1452" ca="1" si="9003">-IFERROR(BN1450/BO1449,0)*Days_In_Period*BO1451</f>
        <v>0</v>
      </c>
      <c r="BP1452" s="52">
        <f t="shared" ref="BP1452" ca="1" si="9004">-IFERROR(BO1450/BP1449,0)*Days_In_Period*BP1451</f>
        <v>0</v>
      </c>
      <c r="BQ1452" s="52">
        <f t="shared" ref="BQ1452" ca="1" si="9005">-IFERROR(BP1450/BQ1449,0)*Days_In_Period*BQ1451</f>
        <v>0</v>
      </c>
      <c r="BR1452" s="52">
        <f t="shared" ref="BR1452" ca="1" si="9006">-IFERROR(BQ1450/BR1449,0)*Days_In_Period*BR1451</f>
        <v>0</v>
      </c>
      <c r="BS1452" s="52">
        <f t="shared" ref="BS1452" ca="1" si="9007">-IFERROR(BR1450/BS1449,0)*Days_In_Period*BS1451</f>
        <v>0</v>
      </c>
      <c r="BT1452" s="52">
        <f t="shared" ref="BT1452" ca="1" si="9008">-IFERROR(BS1450/BT1449,0)*Days_In_Period*BT1451</f>
        <v>0</v>
      </c>
      <c r="BU1452" s="52">
        <f t="shared" ref="BU1452" ca="1" si="9009">-IFERROR(BT1450/BU1449,0)*Days_In_Period*BU1451</f>
        <v>0</v>
      </c>
      <c r="BV1452" s="52">
        <f t="shared" ref="BV1452" ca="1" si="9010">-IFERROR(BU1450/BV1449,0)*Days_In_Period*BV1451</f>
        <v>0</v>
      </c>
      <c r="BW1452" s="52">
        <f t="shared" ref="BW1452" ca="1" si="9011">-IFERROR(BV1450/BW1449,0)*Days_In_Period*BW1451</f>
        <v>0</v>
      </c>
      <c r="BX1452" s="52">
        <f t="shared" ref="BX1452" ca="1" si="9012">-IFERROR(BW1450/BX1449,0)*Days_In_Period*BX1451</f>
        <v>0</v>
      </c>
      <c r="BY1452" s="52">
        <f t="shared" ref="BY1452" ca="1" si="9013">-IFERROR(BX1450/BY1449,0)*Days_In_Period*BY1451</f>
        <v>0</v>
      </c>
      <c r="BZ1452" s="52">
        <f t="shared" ref="BZ1452" ca="1" si="9014">-IFERROR(BY1450/BZ1449,0)*Days_In_Period*BZ1451</f>
        <v>0</v>
      </c>
      <c r="CA1452" s="52">
        <f t="shared" ref="CA1452" ca="1" si="9015">-IFERROR(BZ1450/CA1449,0)*Days_In_Period*CA1451</f>
        <v>0</v>
      </c>
      <c r="CB1452" s="52">
        <f t="shared" ref="CB1452" ca="1" si="9016">-IFERROR(CA1450/CB1449,0)*Days_In_Period*CB1451</f>
        <v>0</v>
      </c>
      <c r="CC1452" s="52">
        <f t="shared" ref="CC1452" ca="1" si="9017">-IFERROR(CB1450/CC1449,0)*Days_In_Period*CC1451</f>
        <v>0</v>
      </c>
      <c r="CD1452" s="52">
        <f t="shared" ref="CD1452" ca="1" si="9018">-IFERROR(CC1450/CD1449,0)*Days_In_Period*CD1451</f>
        <v>0</v>
      </c>
      <c r="CE1452" s="52">
        <f t="shared" ref="CE1452" ca="1" si="9019">-IFERROR(CD1450/CE1449,0)*Days_In_Period*CE1451</f>
        <v>0</v>
      </c>
      <c r="CF1452" s="52">
        <f t="shared" ref="CF1452" ca="1" si="9020">-IFERROR(CE1450/CF1449,0)*Days_In_Period*CF1451</f>
        <v>0</v>
      </c>
      <c r="CG1452" s="52">
        <f t="shared" ref="CG1452" ca="1" si="9021">-IFERROR(CF1450/CG1449,0)*Days_In_Period*CG1451</f>
        <v>0</v>
      </c>
      <c r="CH1452" s="52">
        <f t="shared" ref="CH1452" ca="1" si="9022">-IFERROR(CG1450/CH1449,0)*Days_In_Period*CH1451</f>
        <v>0</v>
      </c>
      <c r="CI1452" s="52">
        <f t="shared" ref="CI1452" ca="1" si="9023">-IFERROR(CH1450/CI1449,0)*Days_In_Period*CI1451</f>
        <v>0</v>
      </c>
      <c r="CJ1452" s="52">
        <f t="shared" ref="CJ1452" ca="1" si="9024">-IFERROR(CI1450/CJ1449,0)*Days_In_Period*CJ1451</f>
        <v>0</v>
      </c>
      <c r="CK1452" s="52">
        <f t="shared" ref="CK1452" ca="1" si="9025">-IFERROR(CJ1450/CK1449,0)*Days_In_Period*CK1451</f>
        <v>0</v>
      </c>
      <c r="CL1452" s="52">
        <f t="shared" ref="CL1452" ca="1" si="9026">-IFERROR(CK1450/CL1449,0)*Days_In_Period*CL1451</f>
        <v>0</v>
      </c>
      <c r="CM1452" s="52">
        <f t="shared" ref="CM1452" ca="1" si="9027">-IFERROR(CL1450/CM1449,0)*Days_In_Period*CM1451</f>
        <v>68.083992172979237</v>
      </c>
      <c r="CN1452" s="52">
        <f t="shared" ref="CN1452" ca="1" si="9028">-IFERROR(CM1450/CN1449,0)*Days_In_Period*CN1451</f>
        <v>0</v>
      </c>
      <c r="CO1452" s="52">
        <f t="shared" ref="CO1452" ca="1" si="9029">-IFERROR(CN1450/CO1449,0)*Days_In_Period*CO1451</f>
        <v>0</v>
      </c>
    </row>
    <row r="1453" spans="1:93">
      <c r="A1453" s="10"/>
      <c r="B1453" s="10"/>
      <c r="C1453" s="17" t="s">
        <v>94</v>
      </c>
      <c r="D1453" s="10"/>
      <c r="E1453" s="194">
        <f ca="1">SUMPRODUCT(Beginning_of_period,L1451:CO1451)+E1452</f>
        <v>52939.083992172978</v>
      </c>
      <c r="F1453" s="10"/>
      <c r="G1453" s="11" t="s">
        <v>31</v>
      </c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  <c r="AY1453" s="10"/>
      <c r="AZ1453" s="10"/>
      <c r="BA1453" s="10"/>
      <c r="BB1453" s="10"/>
      <c r="BC1453" s="10"/>
      <c r="BD1453" s="10"/>
      <c r="BE1453" s="10"/>
      <c r="BF1453" s="10"/>
      <c r="BG1453" s="10"/>
      <c r="BH1453" s="10"/>
      <c r="BI1453" s="10"/>
      <c r="BJ1453" s="10"/>
      <c r="BK1453" s="10"/>
      <c r="BL1453" s="10"/>
      <c r="BM1453" s="10"/>
      <c r="BN1453" s="10"/>
      <c r="BO1453" s="10"/>
      <c r="BP1453" s="10"/>
      <c r="BQ1453" s="10"/>
      <c r="BR1453" s="10"/>
      <c r="BS1453" s="10"/>
      <c r="BT1453" s="10"/>
      <c r="BU1453" s="10"/>
      <c r="BV1453" s="10"/>
      <c r="BW1453" s="10"/>
      <c r="BX1453" s="10"/>
      <c r="BY1453" s="10"/>
      <c r="BZ1453" s="10"/>
      <c r="CA1453" s="10"/>
      <c r="CB1453" s="10"/>
      <c r="CC1453" s="10"/>
      <c r="CD1453" s="10"/>
      <c r="CE1453" s="10"/>
      <c r="CF1453" s="10"/>
      <c r="CG1453" s="10"/>
      <c r="CH1453" s="10"/>
      <c r="CI1453" s="10"/>
      <c r="CJ1453" s="10"/>
      <c r="CK1453" s="10"/>
      <c r="CL1453" s="10"/>
      <c r="CM1453" s="10"/>
      <c r="CN1453" s="10"/>
      <c r="CO1453" s="10"/>
    </row>
    <row r="1454" spans="1:93">
      <c r="A1454" s="10"/>
      <c r="B1454" s="10"/>
      <c r="C1454" s="17" t="s">
        <v>224</v>
      </c>
      <c r="D1454" s="10"/>
      <c r="E1454" s="193">
        <f ca="1">IF(E1453=0,"н.пр.",IFERROR((E1453-Date_Forecast_Start)/Предпосылки!$E$27,"н.пр."))</f>
        <v>19.948175321021857</v>
      </c>
      <c r="F1454" s="10"/>
      <c r="G1454" s="11" t="s">
        <v>123</v>
      </c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  <c r="AY1454" s="10"/>
      <c r="AZ1454" s="10"/>
      <c r="BA1454" s="10"/>
      <c r="BB1454" s="10"/>
      <c r="BC1454" s="10"/>
      <c r="BD1454" s="10"/>
      <c r="BE1454" s="10"/>
      <c r="BF1454" s="10"/>
      <c r="BG1454" s="10"/>
      <c r="BH1454" s="10"/>
      <c r="BI1454" s="10"/>
      <c r="BJ1454" s="10"/>
      <c r="BK1454" s="10"/>
      <c r="BL1454" s="10"/>
      <c r="BM1454" s="10"/>
      <c r="BN1454" s="10"/>
      <c r="BO1454" s="10"/>
      <c r="BP1454" s="10"/>
      <c r="BQ1454" s="10"/>
      <c r="BR1454" s="10"/>
      <c r="BS1454" s="10"/>
      <c r="BT1454" s="10"/>
      <c r="BU1454" s="10"/>
      <c r="BV1454" s="10"/>
      <c r="BW1454" s="10"/>
      <c r="BX1454" s="10"/>
      <c r="BY1454" s="10"/>
      <c r="BZ1454" s="10"/>
      <c r="CA1454" s="10"/>
      <c r="CB1454" s="10"/>
      <c r="CC1454" s="10"/>
      <c r="CD1454" s="10"/>
      <c r="CE1454" s="10"/>
      <c r="CF1454" s="10"/>
      <c r="CG1454" s="10"/>
      <c r="CH1454" s="10"/>
      <c r="CI1454" s="10"/>
      <c r="CJ1454" s="10"/>
      <c r="CK1454" s="10"/>
      <c r="CL1454" s="10"/>
      <c r="CM1454" s="10"/>
      <c r="CN1454" s="10"/>
      <c r="CO1454" s="10"/>
    </row>
    <row r="1455" spans="1:93"/>
    <row r="1456" spans="1:93" ht="22.5" customHeight="1">
      <c r="A1456" s="10"/>
      <c r="B1456" s="5" t="s">
        <v>230</v>
      </c>
      <c r="C1456" s="5"/>
      <c r="D1456" s="15"/>
      <c r="E1456" s="5"/>
      <c r="F1456" s="5"/>
      <c r="G1456" s="6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5"/>
      <c r="BP1456" s="5"/>
      <c r="BQ1456" s="5"/>
      <c r="BR1456" s="5"/>
      <c r="BS1456" s="5"/>
      <c r="BT1456" s="5"/>
      <c r="BU1456" s="5"/>
      <c r="BV1456" s="5"/>
      <c r="BW1456" s="5"/>
      <c r="BX1456" s="5"/>
      <c r="BY1456" s="5"/>
      <c r="BZ1456" s="5"/>
      <c r="CA1456" s="5"/>
      <c r="CB1456" s="5"/>
      <c r="CC1456" s="5"/>
      <c r="CD1456" s="5"/>
      <c r="CE1456" s="5"/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</row>
    <row r="1457" spans="1:93">
      <c r="A1457" s="10"/>
      <c r="B1457" s="10"/>
      <c r="C1457" s="10"/>
      <c r="D1457" s="10"/>
      <c r="E1457" s="10"/>
      <c r="F1457" s="10"/>
      <c r="G1457" s="11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  <c r="AY1457" s="10"/>
      <c r="AZ1457" s="10"/>
      <c r="BA1457" s="10"/>
      <c r="BB1457" s="10"/>
      <c r="BC1457" s="10"/>
      <c r="BD1457" s="10"/>
      <c r="BE1457" s="10"/>
      <c r="BF1457" s="10"/>
      <c r="BG1457" s="10"/>
      <c r="BH1457" s="10"/>
      <c r="BI1457" s="10"/>
      <c r="BJ1457" s="10"/>
      <c r="BK1457" s="10"/>
      <c r="BL1457" s="10"/>
      <c r="BM1457" s="10"/>
      <c r="BN1457" s="10"/>
      <c r="BO1457" s="10"/>
      <c r="BP1457" s="10"/>
      <c r="BQ1457" s="10"/>
      <c r="BR1457" s="10"/>
      <c r="BS1457" s="10"/>
      <c r="BT1457" s="10"/>
      <c r="BU1457" s="10"/>
      <c r="BV1457" s="10"/>
      <c r="BW1457" s="10"/>
      <c r="BX1457" s="10"/>
      <c r="BY1457" s="10"/>
      <c r="BZ1457" s="10"/>
      <c r="CA1457" s="10"/>
      <c r="CB1457" s="10"/>
      <c r="CC1457" s="10"/>
      <c r="CD1457" s="10"/>
      <c r="CE1457" s="10"/>
      <c r="CF1457" s="10"/>
      <c r="CG1457" s="10"/>
      <c r="CH1457" s="10"/>
      <c r="CI1457" s="10"/>
      <c r="CJ1457" s="10"/>
      <c r="CK1457" s="10"/>
      <c r="CL1457" s="10"/>
      <c r="CM1457" s="10"/>
      <c r="CN1457" s="10"/>
      <c r="CO1457" s="10"/>
    </row>
    <row r="1458" spans="1:93" ht="16" thickBot="1">
      <c r="A1458" s="10"/>
      <c r="B1458" s="10"/>
      <c r="C1458" s="12" t="s">
        <v>231</v>
      </c>
      <c r="D1458" s="10"/>
      <c r="E1458" s="62"/>
      <c r="F1458" s="10"/>
      <c r="G1458" s="11"/>
      <c r="H1458" s="11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  <c r="AY1458" s="10"/>
      <c r="AZ1458" s="10"/>
      <c r="BA1458" s="10"/>
      <c r="BB1458" s="10"/>
      <c r="BC1458" s="10"/>
      <c r="BD1458" s="10"/>
      <c r="BE1458" s="10"/>
      <c r="BF1458" s="10"/>
      <c r="BG1458" s="10"/>
      <c r="BH1458" s="10"/>
      <c r="BI1458" s="10"/>
      <c r="BJ1458" s="10"/>
      <c r="BK1458" s="10"/>
      <c r="BL1458" s="10"/>
      <c r="BM1458" s="10"/>
      <c r="BN1458" s="10"/>
      <c r="BO1458" s="10"/>
      <c r="BP1458" s="10"/>
      <c r="BQ1458" s="10"/>
      <c r="BR1458" s="10"/>
      <c r="BS1458" s="10"/>
      <c r="BT1458" s="10"/>
      <c r="BU1458" s="10"/>
      <c r="BV1458" s="10"/>
      <c r="BW1458" s="10"/>
      <c r="BX1458" s="10"/>
      <c r="BY1458" s="10"/>
      <c r="BZ1458" s="10"/>
      <c r="CA1458" s="10"/>
      <c r="CB1458" s="10"/>
      <c r="CC1458" s="10"/>
      <c r="CD1458" s="10"/>
      <c r="CE1458" s="10"/>
      <c r="CF1458" s="10"/>
      <c r="CG1458" s="10"/>
      <c r="CH1458" s="10"/>
      <c r="CI1458" s="10"/>
      <c r="CJ1458" s="10"/>
      <c r="CK1458" s="10"/>
      <c r="CL1458" s="10"/>
      <c r="CM1458" s="10"/>
      <c r="CN1458" s="10"/>
      <c r="CO1458" s="10"/>
    </row>
    <row r="1459" spans="1:93">
      <c r="A1459" s="10"/>
      <c r="B1459" s="10"/>
      <c r="C1459" s="10"/>
      <c r="D1459" s="10"/>
      <c r="E1459" s="62"/>
      <c r="F1459" s="10"/>
      <c r="G1459" s="11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  <c r="AY1459" s="10"/>
      <c r="AZ1459" s="10"/>
      <c r="BA1459" s="10"/>
      <c r="BB1459" s="10"/>
      <c r="BC1459" s="10"/>
      <c r="BD1459" s="10"/>
      <c r="BE1459" s="10"/>
      <c r="BF1459" s="10"/>
      <c r="BG1459" s="10"/>
      <c r="BH1459" s="10"/>
      <c r="BI1459" s="10"/>
      <c r="BJ1459" s="10"/>
      <c r="BK1459" s="10"/>
      <c r="BL1459" s="10"/>
      <c r="BM1459" s="10"/>
      <c r="BN1459" s="10"/>
      <c r="BO1459" s="10"/>
      <c r="BP1459" s="10"/>
      <c r="BQ1459" s="10"/>
      <c r="BR1459" s="10"/>
      <c r="BS1459" s="10"/>
      <c r="BT1459" s="10"/>
      <c r="BU1459" s="10"/>
      <c r="BV1459" s="10"/>
      <c r="BW1459" s="10"/>
      <c r="BX1459" s="10"/>
      <c r="BY1459" s="10"/>
      <c r="BZ1459" s="10"/>
      <c r="CA1459" s="10"/>
      <c r="CB1459" s="10"/>
      <c r="CC1459" s="10"/>
      <c r="CD1459" s="10"/>
      <c r="CE1459" s="10"/>
      <c r="CF1459" s="10"/>
      <c r="CG1459" s="10"/>
      <c r="CH1459" s="10"/>
      <c r="CI1459" s="10"/>
      <c r="CJ1459" s="10"/>
      <c r="CK1459" s="10"/>
      <c r="CL1459" s="10"/>
      <c r="CM1459" s="10"/>
      <c r="CN1459" s="10"/>
      <c r="CO1459" s="10"/>
    </row>
    <row r="1460" spans="1:93">
      <c r="A1460" s="10"/>
      <c r="B1460" s="10"/>
      <c r="C1460" s="50" t="s">
        <v>232</v>
      </c>
      <c r="D1460" s="10"/>
      <c r="E1460" s="62"/>
      <c r="F1460" s="10"/>
      <c r="G1460" s="11" t="s">
        <v>378</v>
      </c>
      <c r="H1460" s="10"/>
      <c r="I1460" s="10"/>
      <c r="J1460" s="10"/>
      <c r="K1460" s="10"/>
      <c r="L1460" s="27">
        <f t="shared" ref="L1460" ca="1" si="9030">IFERROR(L1463/L1464,0)*Flag_Forecast</f>
        <v>0</v>
      </c>
      <c r="M1460" s="27">
        <f t="shared" ref="M1460:BX1460" ca="1" si="9031">IFERROR(M1463/M1464,0)*Flag_Forecast</f>
        <v>0</v>
      </c>
      <c r="N1460" s="27">
        <f t="shared" ca="1" si="9031"/>
        <v>0</v>
      </c>
      <c r="O1460" s="27">
        <f t="shared" ca="1" si="9031"/>
        <v>0</v>
      </c>
      <c r="P1460" s="27">
        <f t="shared" ca="1" si="9031"/>
        <v>0</v>
      </c>
      <c r="Q1460" s="27">
        <f t="shared" ca="1" si="9031"/>
        <v>0</v>
      </c>
      <c r="R1460" s="27">
        <f t="shared" ca="1" si="9031"/>
        <v>0</v>
      </c>
      <c r="S1460" s="27">
        <f t="shared" ca="1" si="9031"/>
        <v>0</v>
      </c>
      <c r="T1460" s="27">
        <f t="shared" ca="1" si="9031"/>
        <v>0</v>
      </c>
      <c r="U1460" s="27">
        <f t="shared" ca="1" si="9031"/>
        <v>0</v>
      </c>
      <c r="V1460" s="27">
        <f t="shared" ca="1" si="9031"/>
        <v>0</v>
      </c>
      <c r="W1460" s="27">
        <f t="shared" ca="1" si="9031"/>
        <v>0</v>
      </c>
      <c r="X1460" s="27">
        <f t="shared" ca="1" si="9031"/>
        <v>0</v>
      </c>
      <c r="Y1460" s="27">
        <f t="shared" ca="1" si="9031"/>
        <v>0</v>
      </c>
      <c r="Z1460" s="27">
        <f t="shared" ca="1" si="9031"/>
        <v>0</v>
      </c>
      <c r="AA1460" s="27">
        <f t="shared" ca="1" si="9031"/>
        <v>0</v>
      </c>
      <c r="AB1460" s="27">
        <f t="shared" ca="1" si="9031"/>
        <v>0</v>
      </c>
      <c r="AC1460" s="27">
        <f t="shared" ca="1" si="9031"/>
        <v>6.4700603938077963</v>
      </c>
      <c r="AD1460" s="27">
        <f t="shared" ca="1" si="9031"/>
        <v>5.0285575953469444</v>
      </c>
      <c r="AE1460" s="27">
        <f t="shared" ca="1" si="9031"/>
        <v>7.4097380227840146</v>
      </c>
      <c r="AF1460" s="27">
        <f t="shared" ca="1" si="9031"/>
        <v>6.9851863555752578</v>
      </c>
      <c r="AG1460" s="27">
        <f t="shared" ca="1" si="9031"/>
        <v>4.568968665765337</v>
      </c>
      <c r="AH1460" s="27">
        <f t="shared" ca="1" si="9031"/>
        <v>3.5722392545641064</v>
      </c>
      <c r="AI1460" s="27">
        <f t="shared" ca="1" si="9031"/>
        <v>4.9849801428567657</v>
      </c>
      <c r="AJ1460" s="27">
        <f t="shared" ca="1" si="9031"/>
        <v>4.5986339108652343</v>
      </c>
      <c r="AK1460" s="27">
        <f t="shared" ca="1" si="9031"/>
        <v>3.0572025175589808</v>
      </c>
      <c r="AL1460" s="27">
        <f t="shared" ca="1" si="9031"/>
        <v>2.4044521199242661</v>
      </c>
      <c r="AM1460" s="27">
        <f t="shared" ca="1" si="9031"/>
        <v>3.0251474042827651</v>
      </c>
      <c r="AN1460" s="27">
        <f t="shared" ca="1" si="9031"/>
        <v>2.6563154193036635</v>
      </c>
      <c r="AO1460" s="27">
        <f t="shared" ca="1" si="9031"/>
        <v>2.0002138024081981</v>
      </c>
      <c r="AP1460" s="27">
        <f t="shared" ca="1" si="9031"/>
        <v>2.0286070353596526</v>
      </c>
      <c r="AQ1460" s="27">
        <f t="shared" ca="1" si="9031"/>
        <v>2.1871700482977441</v>
      </c>
      <c r="AR1460" s="27">
        <f t="shared" ca="1" si="9031"/>
        <v>2.063888452604743</v>
      </c>
      <c r="AS1460" s="27">
        <f t="shared" ca="1" si="9031"/>
        <v>2.0018120819653369</v>
      </c>
      <c r="AT1460" s="27">
        <f t="shared" ca="1" si="9031"/>
        <v>2.0286064745534063</v>
      </c>
      <c r="AU1460" s="27">
        <f t="shared" ca="1" si="9031"/>
        <v>2.1871687823360784</v>
      </c>
      <c r="AV1460" s="27">
        <f t="shared" ca="1" si="9031"/>
        <v>2.0638892079094426</v>
      </c>
      <c r="AW1460" s="27">
        <f t="shared" ca="1" si="9031"/>
        <v>1.3577764035915698</v>
      </c>
      <c r="AX1460" s="27">
        <f t="shared" ca="1" si="9031"/>
        <v>1.2379970872554154</v>
      </c>
      <c r="AY1460" s="27">
        <f t="shared" ca="1" si="9031"/>
        <v>1.2379824015483389</v>
      </c>
      <c r="AZ1460" s="27">
        <f t="shared" ca="1" si="9031"/>
        <v>1.243861896834106</v>
      </c>
      <c r="BA1460" s="27">
        <f t="shared" ca="1" si="9031"/>
        <v>1.2409275062815051</v>
      </c>
      <c r="BB1460" s="27">
        <f t="shared" ca="1" si="9031"/>
        <v>1.2379970872554154</v>
      </c>
      <c r="BC1460" s="27">
        <f t="shared" ca="1" si="9031"/>
        <v>1.2379824015483387</v>
      </c>
      <c r="BD1460" s="27">
        <f t="shared" ca="1" si="9031"/>
        <v>1.2409145881825481</v>
      </c>
      <c r="BE1460" s="27">
        <f t="shared" ca="1" si="9031"/>
        <v>1.240927578050713</v>
      </c>
      <c r="BF1460" s="27">
        <f t="shared" ca="1" si="9031"/>
        <v>1.237997139680892</v>
      </c>
      <c r="BG1460" s="27">
        <f t="shared" ca="1" si="9031"/>
        <v>1.2379824940794273</v>
      </c>
      <c r="BH1460" s="27">
        <f t="shared" ca="1" si="9031"/>
        <v>1.2438618968341062</v>
      </c>
      <c r="BI1460" s="27">
        <f t="shared" ca="1" si="9031"/>
        <v>1.2409275062815044</v>
      </c>
      <c r="BJ1460" s="27">
        <f t="shared" ca="1" si="9031"/>
        <v>1.2379970872554154</v>
      </c>
      <c r="BK1460" s="27">
        <f t="shared" ca="1" si="9031"/>
        <v>1.2379824015483383</v>
      </c>
      <c r="BL1460" s="27">
        <f t="shared" ca="1" si="9031"/>
        <v>1.2438618968341062</v>
      </c>
      <c r="BM1460" s="27">
        <f t="shared" ca="1" si="9031"/>
        <v>1.2409275062815053</v>
      </c>
      <c r="BN1460" s="27">
        <f t="shared" ca="1" si="9031"/>
        <v>1.2379970872554149</v>
      </c>
      <c r="BO1460" s="27">
        <f t="shared" ca="1" si="9031"/>
        <v>1.2379824015483392</v>
      </c>
      <c r="BP1460" s="27">
        <f t="shared" ca="1" si="9031"/>
        <v>1.2438618968341064</v>
      </c>
      <c r="BQ1460" s="27">
        <f t="shared" ca="1" si="9031"/>
        <v>1.2409275062815048</v>
      </c>
      <c r="BR1460" s="27">
        <f t="shared" ca="1" si="9031"/>
        <v>1.2379970872554151</v>
      </c>
      <c r="BS1460" s="27">
        <f t="shared" ca="1" si="9031"/>
        <v>1.2379824015483385</v>
      </c>
      <c r="BT1460" s="27">
        <f t="shared" ca="1" si="9031"/>
        <v>1.2409145881825476</v>
      </c>
      <c r="BU1460" s="27">
        <f t="shared" ca="1" si="9031"/>
        <v>1.2409275780507123</v>
      </c>
      <c r="BV1460" s="27">
        <f t="shared" ca="1" si="9031"/>
        <v>1.2379971396808913</v>
      </c>
      <c r="BW1460" s="27">
        <f t="shared" ca="1" si="9031"/>
        <v>1.2379824940794273</v>
      </c>
      <c r="BX1460" s="27">
        <f t="shared" ca="1" si="9031"/>
        <v>1.2438618968341058</v>
      </c>
      <c r="BY1460" s="27">
        <f t="shared" ref="BY1460:CO1460" ca="1" si="9032">IFERROR(BY1463/BY1464,0)*Flag_Forecast</f>
        <v>1.2409275062815046</v>
      </c>
      <c r="BZ1460" s="27">
        <f t="shared" ca="1" si="9032"/>
        <v>1.2379970872554151</v>
      </c>
      <c r="CA1460" s="27">
        <f t="shared" ca="1" si="9032"/>
        <v>1.2379824015483385</v>
      </c>
      <c r="CB1460" s="27">
        <f t="shared" ca="1" si="9032"/>
        <v>1.2438618968341064</v>
      </c>
      <c r="CC1460" s="27">
        <f t="shared" ca="1" si="9032"/>
        <v>1.2409275062815042</v>
      </c>
      <c r="CD1460" s="27">
        <f t="shared" ca="1" si="9032"/>
        <v>1.2379970872554145</v>
      </c>
      <c r="CE1460" s="27">
        <f t="shared" ca="1" si="9032"/>
        <v>1.2379824015483389</v>
      </c>
      <c r="CF1460" s="27">
        <f t="shared" ca="1" si="9032"/>
        <v>1.243861896834106</v>
      </c>
      <c r="CG1460" s="27">
        <f t="shared" ca="1" si="9032"/>
        <v>1.2409275062815048</v>
      </c>
      <c r="CH1460" s="27">
        <f t="shared" ca="1" si="9032"/>
        <v>1.2379970872554156</v>
      </c>
      <c r="CI1460" s="27">
        <f t="shared" ca="1" si="9032"/>
        <v>1.2379824015483385</v>
      </c>
      <c r="CJ1460" s="27">
        <f t="shared" ca="1" si="9032"/>
        <v>1.2409145881825476</v>
      </c>
      <c r="CK1460" s="27">
        <f t="shared" ca="1" si="9032"/>
        <v>1.2409275780507127</v>
      </c>
      <c r="CL1460" s="27">
        <f t="shared" ca="1" si="9032"/>
        <v>1.2379971396808915</v>
      </c>
      <c r="CM1460" s="27">
        <f t="shared" ca="1" si="9032"/>
        <v>1.2379824940794277</v>
      </c>
      <c r="CN1460" s="27">
        <f t="shared" ca="1" si="9032"/>
        <v>1.2438618968341064</v>
      </c>
      <c r="CO1460" s="27">
        <f t="shared" ca="1" si="9032"/>
        <v>1.2409275062815055</v>
      </c>
    </row>
    <row r="1461" spans="1:93">
      <c r="A1461" s="10"/>
      <c r="B1461" s="10"/>
      <c r="C1461" s="50" t="s">
        <v>233</v>
      </c>
      <c r="D1461" s="10"/>
      <c r="E1461" s="62"/>
      <c r="F1461" s="10"/>
      <c r="G1461" s="11" t="s">
        <v>378</v>
      </c>
      <c r="H1461" s="10"/>
      <c r="I1461" s="10"/>
      <c r="J1461" s="10"/>
      <c r="K1461" s="10"/>
      <c r="L1461" s="27">
        <f t="shared" ref="L1461" ca="1" si="9033">IFERROR(L1462/L1464,0)*Flag_Forecast</f>
        <v>0</v>
      </c>
      <c r="M1461" s="27">
        <f t="shared" ref="M1461:BX1461" ca="1" si="9034">IFERROR(M1462/M1464,0)*Flag_Forecast</f>
        <v>0</v>
      </c>
      <c r="N1461" s="27">
        <f t="shared" ca="1" si="9034"/>
        <v>0</v>
      </c>
      <c r="O1461" s="27">
        <f t="shared" ca="1" si="9034"/>
        <v>0</v>
      </c>
      <c r="P1461" s="27">
        <f t="shared" ca="1" si="9034"/>
        <v>0</v>
      </c>
      <c r="Q1461" s="27">
        <f t="shared" ca="1" si="9034"/>
        <v>0</v>
      </c>
      <c r="R1461" s="27">
        <f t="shared" ca="1" si="9034"/>
        <v>0</v>
      </c>
      <c r="S1461" s="27">
        <f t="shared" ca="1" si="9034"/>
        <v>0</v>
      </c>
      <c r="T1461" s="27">
        <f t="shared" ca="1" si="9034"/>
        <v>0</v>
      </c>
      <c r="U1461" s="27">
        <f t="shared" ca="1" si="9034"/>
        <v>0</v>
      </c>
      <c r="V1461" s="27">
        <f t="shared" ca="1" si="9034"/>
        <v>0</v>
      </c>
      <c r="W1461" s="27">
        <f t="shared" ca="1" si="9034"/>
        <v>0</v>
      </c>
      <c r="X1461" s="27">
        <f t="shared" ca="1" si="9034"/>
        <v>0</v>
      </c>
      <c r="Y1461" s="27">
        <f t="shared" ca="1" si="9034"/>
        <v>0</v>
      </c>
      <c r="Z1461" s="27">
        <f t="shared" ca="1" si="9034"/>
        <v>0</v>
      </c>
      <c r="AA1461" s="27">
        <f t="shared" ca="1" si="9034"/>
        <v>0</v>
      </c>
      <c r="AB1461" s="27">
        <f t="shared" ca="1" si="9034"/>
        <v>0</v>
      </c>
      <c r="AC1461" s="27">
        <f t="shared" ca="1" si="9034"/>
        <v>4.8089875210481123</v>
      </c>
      <c r="AD1461" s="27">
        <f t="shared" ca="1" si="9034"/>
        <v>4.0663697558957788</v>
      </c>
      <c r="AE1461" s="27">
        <f t="shared" ca="1" si="9034"/>
        <v>6.2939864758286603</v>
      </c>
      <c r="AF1461" s="27">
        <f t="shared" ca="1" si="9034"/>
        <v>5.9883476889739082</v>
      </c>
      <c r="AG1461" s="27">
        <f t="shared" ca="1" si="9034"/>
        <v>3.6322331598447377</v>
      </c>
      <c r="AH1461" s="27">
        <f t="shared" ca="1" si="9034"/>
        <v>2.6094909236062587</v>
      </c>
      <c r="AI1461" s="27">
        <f t="shared" ca="1" si="9034"/>
        <v>3.8680485560417113</v>
      </c>
      <c r="AJ1461" s="27">
        <f t="shared" ca="1" si="9034"/>
        <v>3.6011701790762518</v>
      </c>
      <c r="AK1461" s="27">
        <f t="shared" ca="1" si="9034"/>
        <v>2.1201034558268987</v>
      </c>
      <c r="AL1461" s="27">
        <f t="shared" ca="1" si="9034"/>
        <v>1.4412678010062878</v>
      </c>
      <c r="AM1461" s="27">
        <f t="shared" ca="1" si="9034"/>
        <v>1.9072907450463137</v>
      </c>
      <c r="AN1461" s="27">
        <f t="shared" ca="1" si="9034"/>
        <v>1.6565417109055329</v>
      </c>
      <c r="AO1461" s="27">
        <f t="shared" ca="1" si="9034"/>
        <v>1.0616544586047267</v>
      </c>
      <c r="AP1461" s="27">
        <f t="shared" ca="1" si="9034"/>
        <v>1.06174453229119</v>
      </c>
      <c r="AQ1461" s="27">
        <f t="shared" ca="1" si="9034"/>
        <v>1.0614435379370433</v>
      </c>
      <c r="AR1461" s="27">
        <f t="shared" ca="1" si="9034"/>
        <v>1.0614128377737311</v>
      </c>
      <c r="AS1461" s="27">
        <f t="shared" ca="1" si="9034"/>
        <v>1.0616531344290709</v>
      </c>
      <c r="AT1461" s="27">
        <f t="shared" ca="1" si="9034"/>
        <v>1.0617434546884348</v>
      </c>
      <c r="AU1461" s="27">
        <f t="shared" ca="1" si="9034"/>
        <v>1.0614416365392068</v>
      </c>
      <c r="AV1461" s="27">
        <f t="shared" ca="1" si="9034"/>
        <v>1.0614128377737329</v>
      </c>
      <c r="AW1461" s="27">
        <f t="shared" ca="1" si="9034"/>
        <v>0.78569471563307125</v>
      </c>
      <c r="AX1461" s="27">
        <f t="shared" ca="1" si="9034"/>
        <v>0.71640890952211556</v>
      </c>
      <c r="AY1461" s="27">
        <f t="shared" ca="1" si="9034"/>
        <v>0.7163134184488289</v>
      </c>
      <c r="AZ1461" s="27">
        <f t="shared" ca="1" si="9034"/>
        <v>0.71970703266861147</v>
      </c>
      <c r="BA1461" s="27">
        <f t="shared" ca="1" si="9034"/>
        <v>0.71807860380403843</v>
      </c>
      <c r="BB1461" s="27">
        <f t="shared" ca="1" si="9034"/>
        <v>0.71640890952211533</v>
      </c>
      <c r="BC1461" s="27">
        <f t="shared" ca="1" si="9034"/>
        <v>0.71631341844882856</v>
      </c>
      <c r="BD1461" s="27">
        <f t="shared" ca="1" si="9034"/>
        <v>0.71800227179819431</v>
      </c>
      <c r="BE1461" s="27">
        <f t="shared" ca="1" si="9034"/>
        <v>0.71807902788250577</v>
      </c>
      <c r="BF1461" s="27">
        <f t="shared" ca="1" si="9034"/>
        <v>0.71640925040900671</v>
      </c>
      <c r="BG1461" s="27">
        <f t="shared" ca="1" si="9034"/>
        <v>0.71631402011498968</v>
      </c>
      <c r="BH1461" s="27">
        <f t="shared" ca="1" si="9034"/>
        <v>0.71970703266861158</v>
      </c>
      <c r="BI1461" s="27">
        <f t="shared" ca="1" si="9034"/>
        <v>0.71807860380403821</v>
      </c>
      <c r="BJ1461" s="27">
        <f t="shared" ca="1" si="9034"/>
        <v>0.71640890952211544</v>
      </c>
      <c r="BK1461" s="27">
        <f t="shared" ca="1" si="9034"/>
        <v>0.71631341844882823</v>
      </c>
      <c r="BL1461" s="27">
        <f t="shared" ca="1" si="9034"/>
        <v>0.71970703266861136</v>
      </c>
      <c r="BM1461" s="27">
        <f t="shared" ca="1" si="9034"/>
        <v>0.71807860380403865</v>
      </c>
      <c r="BN1461" s="27">
        <f t="shared" ca="1" si="9034"/>
        <v>0.71640890952211533</v>
      </c>
      <c r="BO1461" s="27">
        <f t="shared" ca="1" si="9034"/>
        <v>0.71631341844882912</v>
      </c>
      <c r="BP1461" s="27">
        <f t="shared" ca="1" si="9034"/>
        <v>0.7197070326686118</v>
      </c>
      <c r="BQ1461" s="27">
        <f t="shared" ca="1" si="9034"/>
        <v>0.71807860380403832</v>
      </c>
      <c r="BR1461" s="27">
        <f t="shared" ca="1" si="9034"/>
        <v>0.71640890952211522</v>
      </c>
      <c r="BS1461" s="27">
        <f t="shared" ca="1" si="9034"/>
        <v>0.71631341844882868</v>
      </c>
      <c r="BT1461" s="27">
        <f t="shared" ca="1" si="9034"/>
        <v>0.71800227179819409</v>
      </c>
      <c r="BU1461" s="27">
        <f t="shared" ca="1" si="9034"/>
        <v>0.71807902788250544</v>
      </c>
      <c r="BV1461" s="27">
        <f t="shared" ca="1" si="9034"/>
        <v>0.71640925040900627</v>
      </c>
      <c r="BW1461" s="27">
        <f t="shared" ca="1" si="9034"/>
        <v>0.71631402011498968</v>
      </c>
      <c r="BX1461" s="27">
        <f t="shared" ca="1" si="9034"/>
        <v>0.71970703266861114</v>
      </c>
      <c r="BY1461" s="27">
        <f t="shared" ref="BY1461:CO1461" ca="1" si="9035">IFERROR(BY1462/BY1464,0)*Flag_Forecast</f>
        <v>0.7180786038040381</v>
      </c>
      <c r="BZ1461" s="27">
        <f t="shared" ca="1" si="9035"/>
        <v>0.71640890952211533</v>
      </c>
      <c r="CA1461" s="27">
        <f t="shared" ca="1" si="9035"/>
        <v>0.71631341844882856</v>
      </c>
      <c r="CB1461" s="27">
        <f t="shared" ca="1" si="9035"/>
        <v>0.7197070326686118</v>
      </c>
      <c r="CC1461" s="27">
        <f t="shared" ca="1" si="9035"/>
        <v>0.7180786038040381</v>
      </c>
      <c r="CD1461" s="27">
        <f t="shared" ca="1" si="9035"/>
        <v>0.71640890952211489</v>
      </c>
      <c r="CE1461" s="27">
        <f t="shared" ca="1" si="9035"/>
        <v>0.71631341844882912</v>
      </c>
      <c r="CF1461" s="27">
        <f t="shared" ca="1" si="9035"/>
        <v>0.71970703266861147</v>
      </c>
      <c r="CG1461" s="27">
        <f t="shared" ca="1" si="9035"/>
        <v>0.71807860380403854</v>
      </c>
      <c r="CH1461" s="27">
        <f t="shared" ca="1" si="9035"/>
        <v>0.71640890952211556</v>
      </c>
      <c r="CI1461" s="27">
        <f t="shared" ca="1" si="9035"/>
        <v>0.71631341844882868</v>
      </c>
      <c r="CJ1461" s="27">
        <f t="shared" ca="1" si="9035"/>
        <v>0.7180022717981942</v>
      </c>
      <c r="CK1461" s="27">
        <f t="shared" ca="1" si="9035"/>
        <v>0.71807902788250577</v>
      </c>
      <c r="CL1461" s="27">
        <f t="shared" ca="1" si="9035"/>
        <v>0.71640925040900616</v>
      </c>
      <c r="CM1461" s="27">
        <f t="shared" ca="1" si="9035"/>
        <v>0.71631402011498979</v>
      </c>
      <c r="CN1461" s="27">
        <f t="shared" ca="1" si="9035"/>
        <v>0.71970703266861158</v>
      </c>
      <c r="CO1461" s="27">
        <f t="shared" ca="1" si="9035"/>
        <v>0.71807860380403876</v>
      </c>
    </row>
    <row r="1462" spans="1:93">
      <c r="A1462" s="10"/>
      <c r="B1462" s="10"/>
      <c r="C1462" s="21" t="s">
        <v>234</v>
      </c>
      <c r="D1462" s="10"/>
      <c r="E1462" s="62"/>
      <c r="F1462" s="10"/>
      <c r="G1462" s="134" t="str">
        <f>Monetary_Unit</f>
        <v>тыс. руб.</v>
      </c>
      <c r="H1462" s="10"/>
      <c r="I1462" s="10"/>
      <c r="J1462" s="10"/>
      <c r="K1462" s="10"/>
      <c r="L1462" s="52">
        <f t="shared" ref="L1462:BW1462" ca="1" si="9036">(Cash_EoP+Accounts_Receivable_EoP)*Flag_Forecast</f>
        <v>0</v>
      </c>
      <c r="M1462" s="52">
        <f t="shared" ca="1" si="9036"/>
        <v>0</v>
      </c>
      <c r="N1462" s="52">
        <f t="shared" ca="1" si="9036"/>
        <v>0</v>
      </c>
      <c r="O1462" s="52">
        <f t="shared" ca="1" si="9036"/>
        <v>0</v>
      </c>
      <c r="P1462" s="52">
        <f t="shared" ca="1" si="9036"/>
        <v>0</v>
      </c>
      <c r="Q1462" s="52">
        <f t="shared" ca="1" si="9036"/>
        <v>0</v>
      </c>
      <c r="R1462" s="52">
        <f t="shared" ca="1" si="9036"/>
        <v>0</v>
      </c>
      <c r="S1462" s="52">
        <f t="shared" ca="1" si="9036"/>
        <v>0</v>
      </c>
      <c r="T1462" s="52">
        <f t="shared" ca="1" si="9036"/>
        <v>0</v>
      </c>
      <c r="U1462" s="52">
        <f t="shared" ca="1" si="9036"/>
        <v>0</v>
      </c>
      <c r="V1462" s="52">
        <f t="shared" ca="1" si="9036"/>
        <v>0</v>
      </c>
      <c r="W1462" s="52">
        <f t="shared" ca="1" si="9036"/>
        <v>0</v>
      </c>
      <c r="X1462" s="52">
        <f t="shared" ca="1" si="9036"/>
        <v>0</v>
      </c>
      <c r="Y1462" s="52">
        <f t="shared" ca="1" si="9036"/>
        <v>0</v>
      </c>
      <c r="Z1462" s="52">
        <f t="shared" ca="1" si="9036"/>
        <v>0</v>
      </c>
      <c r="AA1462" s="52">
        <f t="shared" ca="1" si="9036"/>
        <v>0</v>
      </c>
      <c r="AB1462" s="52">
        <f t="shared" ca="1" si="9036"/>
        <v>0</v>
      </c>
      <c r="AC1462" s="52">
        <f t="shared" ca="1" si="9036"/>
        <v>804655.18374052551</v>
      </c>
      <c r="AD1462" s="52">
        <f t="shared" ca="1" si="9036"/>
        <v>875617.94038901292</v>
      </c>
      <c r="AE1462" s="52">
        <f t="shared" ca="1" si="9036"/>
        <v>803210.27103214303</v>
      </c>
      <c r="AF1462" s="52">
        <f t="shared" ca="1" si="9036"/>
        <v>766626.2842398776</v>
      </c>
      <c r="AG1462" s="52">
        <f t="shared" ca="1" si="9036"/>
        <v>725644.99822671455</v>
      </c>
      <c r="AH1462" s="52">
        <f t="shared" ca="1" si="9036"/>
        <v>667822.0842730375</v>
      </c>
      <c r="AI1462" s="52">
        <f t="shared" ca="1" si="9036"/>
        <v>584114.83980805858</v>
      </c>
      <c r="AJ1462" s="52">
        <f t="shared" ca="1" si="9036"/>
        <v>543332.89865476312</v>
      </c>
      <c r="AK1462" s="52">
        <f t="shared" ca="1" si="9036"/>
        <v>497300.30802605615</v>
      </c>
      <c r="AL1462" s="52">
        <f t="shared" ca="1" si="9036"/>
        <v>431532.67667196773</v>
      </c>
      <c r="AM1462" s="52">
        <f t="shared" ca="1" si="9036"/>
        <v>335821.09350645752</v>
      </c>
      <c r="AN1462" s="52">
        <f t="shared" ca="1" si="9036"/>
        <v>290486.61157170334</v>
      </c>
      <c r="AO1462" s="52">
        <f t="shared" ca="1" si="9036"/>
        <v>288570.25634463725</v>
      </c>
      <c r="AP1462" s="52">
        <f t="shared" ca="1" si="9036"/>
        <v>358154.6525349227</v>
      </c>
      <c r="AQ1462" s="52">
        <f t="shared" ca="1" si="9036"/>
        <v>204865.11928350991</v>
      </c>
      <c r="AR1462" s="52">
        <f t="shared" ca="1" si="9036"/>
        <v>198662.30011979851</v>
      </c>
      <c r="AS1462" s="52">
        <f t="shared" ca="1" si="9036"/>
        <v>300113.06659842259</v>
      </c>
      <c r="AT1462" s="52">
        <f t="shared" ca="1" si="9036"/>
        <v>372480.83863631962</v>
      </c>
      <c r="AU1462" s="52">
        <f t="shared" ca="1" si="9036"/>
        <v>213059.72405485041</v>
      </c>
      <c r="AV1462" s="52">
        <f t="shared" ca="1" si="9036"/>
        <v>206608.7921245906</v>
      </c>
      <c r="AW1462" s="52">
        <f t="shared" ca="1" si="9036"/>
        <v>265532.87444708205</v>
      </c>
      <c r="AX1462" s="52">
        <f t="shared" ca="1" si="9036"/>
        <v>329562.15096061223</v>
      </c>
      <c r="AY1462" s="52">
        <f t="shared" ca="1" si="9036"/>
        <v>188510.1558503214</v>
      </c>
      <c r="AZ1462" s="52">
        <f t="shared" ca="1" si="9036"/>
        <v>182802.52533053316</v>
      </c>
      <c r="BA1462" s="52">
        <f t="shared" ca="1" si="9036"/>
        <v>276154.18942496518</v>
      </c>
      <c r="BB1462" s="52">
        <f t="shared" ca="1" si="9036"/>
        <v>342744.63699903665</v>
      </c>
      <c r="BC1462" s="52">
        <f t="shared" ca="1" si="9036"/>
        <v>196050.5620843342</v>
      </c>
      <c r="BD1462" s="52">
        <f t="shared" ca="1" si="9036"/>
        <v>190114.62634375447</v>
      </c>
      <c r="BE1462" s="52">
        <f t="shared" ca="1" si="9036"/>
        <v>287200.35700196377</v>
      </c>
      <c r="BF1462" s="52">
        <f t="shared" ca="1" si="9036"/>
        <v>356454.42247899808</v>
      </c>
      <c r="BG1462" s="52">
        <f t="shared" ca="1" si="9036"/>
        <v>203892.5845677075</v>
      </c>
      <c r="BH1462" s="52">
        <f t="shared" ca="1" si="9036"/>
        <v>197719.21139750455</v>
      </c>
      <c r="BI1462" s="52">
        <f t="shared" ca="1" si="9036"/>
        <v>298688.37128204224</v>
      </c>
      <c r="BJ1462" s="52">
        <f t="shared" ca="1" si="9036"/>
        <v>370712.59937815787</v>
      </c>
      <c r="BK1462" s="52">
        <f t="shared" ca="1" si="9036"/>
        <v>212048.28795041575</v>
      </c>
      <c r="BL1462" s="52">
        <f t="shared" ca="1" si="9036"/>
        <v>205627.9798534048</v>
      </c>
      <c r="BM1462" s="52">
        <f t="shared" ca="1" si="9036"/>
        <v>310635.90613332402</v>
      </c>
      <c r="BN1462" s="52">
        <f t="shared" ca="1" si="9036"/>
        <v>385541.1033532843</v>
      </c>
      <c r="BO1462" s="52">
        <f t="shared" ca="1" si="9036"/>
        <v>220530.21946843248</v>
      </c>
      <c r="BP1462" s="52">
        <f t="shared" ca="1" si="9036"/>
        <v>213853.09904754104</v>
      </c>
      <c r="BQ1462" s="52">
        <f t="shared" ca="1" si="9036"/>
        <v>323061.34237865673</v>
      </c>
      <c r="BR1462" s="52">
        <f t="shared" ca="1" si="9036"/>
        <v>400962.74748741533</v>
      </c>
      <c r="BS1462" s="52">
        <f t="shared" ca="1" si="9036"/>
        <v>229351.42824716959</v>
      </c>
      <c r="BT1462" s="52">
        <f t="shared" ca="1" si="9036"/>
        <v>222407.22300944256</v>
      </c>
      <c r="BU1462" s="52">
        <f t="shared" ca="1" si="9036"/>
        <v>335983.79607380298</v>
      </c>
      <c r="BV1462" s="52">
        <f t="shared" ca="1" si="9036"/>
        <v>417001.25738691189</v>
      </c>
      <c r="BW1462" s="52">
        <f t="shared" ca="1" si="9036"/>
        <v>238525.48537705629</v>
      </c>
      <c r="BX1462" s="52">
        <f t="shared" ref="BX1462:CO1462" ca="1" si="9037">(Cash_EoP+Accounts_Receivable_EoP)*Flag_Forecast</f>
        <v>231303.51192982018</v>
      </c>
      <c r="BY1462" s="52">
        <f t="shared" ca="1" si="9037"/>
        <v>349423.14791675494</v>
      </c>
      <c r="BZ1462" s="52">
        <f t="shared" ca="1" si="9037"/>
        <v>433681.30768238846</v>
      </c>
      <c r="CA1462" s="52">
        <f t="shared" ca="1" si="9037"/>
        <v>248066.50479213858</v>
      </c>
      <c r="CB1462" s="52">
        <f t="shared" ca="1" si="9037"/>
        <v>240555.652407013</v>
      </c>
      <c r="CC1462" s="52">
        <f t="shared" ca="1" si="9037"/>
        <v>363400.07383342518</v>
      </c>
      <c r="CD1462" s="52">
        <f t="shared" ca="1" si="9037"/>
        <v>451028.5599896838</v>
      </c>
      <c r="CE1462" s="52">
        <f t="shared" ca="1" si="9037"/>
        <v>257989.16498382424</v>
      </c>
      <c r="CF1462" s="52">
        <f t="shared" ca="1" si="9037"/>
        <v>250177.8785032935</v>
      </c>
      <c r="CG1462" s="52">
        <f t="shared" ca="1" si="9037"/>
        <v>377936.07678676234</v>
      </c>
      <c r="CH1462" s="52">
        <f t="shared" ca="1" si="9037"/>
        <v>469069.70238927123</v>
      </c>
      <c r="CI1462" s="52">
        <f t="shared" ca="1" si="9037"/>
        <v>268308.73158317711</v>
      </c>
      <c r="CJ1462" s="52">
        <f t="shared" ca="1" si="9037"/>
        <v>260184.99364342517</v>
      </c>
      <c r="CK1462" s="52">
        <f t="shared" ca="1" si="9037"/>
        <v>393053.51985823293</v>
      </c>
      <c r="CL1462" s="52">
        <f t="shared" ca="1" si="9037"/>
        <v>487832.49048484187</v>
      </c>
      <c r="CM1462" s="52">
        <f t="shared" ca="1" si="9037"/>
        <v>279041.08084650408</v>
      </c>
      <c r="CN1462" s="52">
        <f t="shared" ca="1" si="9037"/>
        <v>270592.39338916226</v>
      </c>
      <c r="CO1462" s="52">
        <f t="shared" ca="1" si="9037"/>
        <v>408775.66065256204</v>
      </c>
    </row>
    <row r="1463" spans="1:93">
      <c r="A1463" s="10"/>
      <c r="B1463" s="10"/>
      <c r="C1463" s="21" t="s">
        <v>235</v>
      </c>
      <c r="D1463" s="10"/>
      <c r="E1463" s="62"/>
      <c r="F1463" s="10"/>
      <c r="G1463" s="134" t="str">
        <f>Monetary_Unit</f>
        <v>тыс. руб.</v>
      </c>
      <c r="H1463" s="10"/>
      <c r="I1463" s="10"/>
      <c r="J1463" s="10"/>
      <c r="K1463" s="10"/>
      <c r="L1463" s="52">
        <f ca="1">Отчетность!L17</f>
        <v>5234.3588965478193</v>
      </c>
      <c r="M1463" s="52">
        <f ca="1">Отчетность!M17</f>
        <v>10543.018928299076</v>
      </c>
      <c r="N1463" s="52">
        <f ca="1">Отчетность!N17</f>
        <v>15927.034791502465</v>
      </c>
      <c r="O1463" s="52">
        <f ca="1">Отчетность!O17</f>
        <v>21387.476153701184</v>
      </c>
      <c r="P1463" s="52">
        <f ca="1">Отчетность!P17</f>
        <v>67319.387121700376</v>
      </c>
      <c r="Q1463" s="52">
        <f ca="1">Отчетность!Q17</f>
        <v>113703.88388203831</v>
      </c>
      <c r="R1463" s="52">
        <f ca="1">Отчетность!R17</f>
        <v>160545.42594652518</v>
      </c>
      <c r="S1463" s="52">
        <f ca="1">Отчетность!S17</f>
        <v>207848.51676835405</v>
      </c>
      <c r="T1463" s="52">
        <f ca="1">Отчетность!T17</f>
        <v>255617.70417507322</v>
      </c>
      <c r="U1463" s="52">
        <f ca="1">Отчетность!U17</f>
        <v>303857.58080582466</v>
      </c>
      <c r="V1463" s="52">
        <f ca="1">Отчетность!V17</f>
        <v>352572.78455289098</v>
      </c>
      <c r="W1463" s="52">
        <f ca="1">Отчетность!W17</f>
        <v>401767.99900759303</v>
      </c>
      <c r="X1463" s="52">
        <f ca="1">Отчетность!X17</f>
        <v>505520.06589259498</v>
      </c>
      <c r="Y1463" s="52">
        <f ca="1">Отчетность!Y17</f>
        <v>610294.4440729107</v>
      </c>
      <c r="Z1463" s="52">
        <f ca="1">Отчетность!Z17</f>
        <v>716101.20679735241</v>
      </c>
      <c r="AA1463" s="52">
        <f ca="1">Отчетность!AA17</f>
        <v>822950.5265705483</v>
      </c>
      <c r="AB1463" s="52">
        <f ca="1">Отчетность!AB17</f>
        <v>961679.90095596761</v>
      </c>
      <c r="AC1463" s="52">
        <f ca="1">Отчетность!AC17</f>
        <v>1082591.2132658295</v>
      </c>
      <c r="AD1463" s="52">
        <f ca="1">Отчетность!AD17</f>
        <v>1082807.3955599405</v>
      </c>
      <c r="AE1463" s="52">
        <f ca="1">Отчетность!AE17</f>
        <v>945597.46965041663</v>
      </c>
      <c r="AF1463" s="52">
        <f ca="1">Отчетность!AF17</f>
        <v>894241.23959230667</v>
      </c>
      <c r="AG1463" s="52">
        <f ca="1">Отчетность!AG17</f>
        <v>912785.36191463098</v>
      </c>
      <c r="AH1463" s="52">
        <f ca="1">Отчетность!AH17</f>
        <v>914209.06772424758</v>
      </c>
      <c r="AI1463" s="52">
        <f ca="1">Отчетность!AI17</f>
        <v>752782.9176402234</v>
      </c>
      <c r="AJ1463" s="52">
        <f ca="1">Отчетность!AJ17</f>
        <v>693826.99744654074</v>
      </c>
      <c r="AK1463" s="52">
        <f ca="1">Отчетность!AK17</f>
        <v>717110.17191240692</v>
      </c>
      <c r="AL1463" s="52">
        <f ca="1">Отчетность!AL17</f>
        <v>719921.4875376093</v>
      </c>
      <c r="AM1463" s="52">
        <f ca="1">Отчетность!AM17</f>
        <v>532644.70137183566</v>
      </c>
      <c r="AN1463" s="52">
        <f ca="1">Отчетность!AN17</f>
        <v>465804.18732552684</v>
      </c>
      <c r="AO1463" s="52">
        <f ca="1">Отчетность!AO17</f>
        <v>543681.80251755356</v>
      </c>
      <c r="AP1463" s="52">
        <f ca="1">Отчетность!AP17</f>
        <v>684303.07459296973</v>
      </c>
      <c r="AQ1463" s="52">
        <f ca="1">Отчетность!AQ17</f>
        <v>422137.24689368624</v>
      </c>
      <c r="AR1463" s="52">
        <f ca="1">Отчетность!AR17</f>
        <v>386293.450195254</v>
      </c>
      <c r="AS1463" s="52">
        <f ca="1">Отчетность!AS17</f>
        <v>565881.58899513667</v>
      </c>
      <c r="AT1463" s="52">
        <f ca="1">Отчетность!AT17</f>
        <v>711675.72314015718</v>
      </c>
      <c r="AU1463" s="52">
        <f ca="1">Отчетность!AU17</f>
        <v>439023.26909398125</v>
      </c>
      <c r="AV1463" s="52">
        <f ca="1">Отчетность!AV17</f>
        <v>401745.33522652736</v>
      </c>
      <c r="AW1463" s="52">
        <f ca="1">Отчетность!AW17</f>
        <v>458873.22916712181</v>
      </c>
      <c r="AX1463" s="52">
        <f ca="1">Отчетность!AX17</f>
        <v>569502.94382997556</v>
      </c>
      <c r="AY1463" s="52">
        <f ca="1">Отчетность!AY17</f>
        <v>325796.29174223531</v>
      </c>
      <c r="AZ1463" s="52">
        <f ca="1">Отчетность!AZ17</f>
        <v>315935.63155912515</v>
      </c>
      <c r="BA1463" s="52">
        <f ca="1">Отчетность!BA17</f>
        <v>477228.15833380655</v>
      </c>
      <c r="BB1463" s="52">
        <f ca="1">Отчетность!BB17</f>
        <v>592283.06158317463</v>
      </c>
      <c r="BC1463" s="52">
        <f ca="1">Отчетность!BC17</f>
        <v>338828.14341192471</v>
      </c>
      <c r="BD1463" s="52">
        <f ca="1">Отчетность!BD17</f>
        <v>328572.7949940901</v>
      </c>
      <c r="BE1463" s="52">
        <f ca="1">Отчетность!BE17</f>
        <v>496317.02025986672</v>
      </c>
      <c r="BF1463" s="52">
        <f ca="1">Отчетность!BF17</f>
        <v>615974.11703389697</v>
      </c>
      <c r="BG1463" s="52">
        <f ca="1">Отчетность!BG17</f>
        <v>352380.99950481334</v>
      </c>
      <c r="BH1463" s="52">
        <f ca="1">Отчетность!BH17</f>
        <v>341715.9790943496</v>
      </c>
      <c r="BI1463" s="52">
        <f ca="1">Отчетность!BI17</f>
        <v>516169.9760538449</v>
      </c>
      <c r="BJ1463" s="52">
        <f ca="1">Отчетность!BJ17</f>
        <v>640613.35940836126</v>
      </c>
      <c r="BK1463" s="52">
        <f ca="1">Отчетность!BK17</f>
        <v>366476.51991433755</v>
      </c>
      <c r="BL1463" s="52">
        <f ca="1">Отчетность!BL17</f>
        <v>355384.61825812375</v>
      </c>
      <c r="BM1463" s="52">
        <f ca="1">Отчетность!BM17</f>
        <v>536816.77509599889</v>
      </c>
      <c r="BN1463" s="52">
        <f ca="1">Отчетность!BN17</f>
        <v>666237.89378469577</v>
      </c>
      <c r="BO1463" s="52">
        <f ca="1">Отчетность!BO17</f>
        <v>381135.58071091108</v>
      </c>
      <c r="BP1463" s="52">
        <f ca="1">Отчетность!BP17</f>
        <v>369600.00298844866</v>
      </c>
      <c r="BQ1463" s="52">
        <f ca="1">Отчетность!BQ17</f>
        <v>558289.44609983847</v>
      </c>
      <c r="BR1463" s="52">
        <f ca="1">Отчетность!BR17</f>
        <v>692887.40953608323</v>
      </c>
      <c r="BS1463" s="52">
        <f ca="1">Отчетность!BS17</f>
        <v>396381.00393934723</v>
      </c>
      <c r="BT1463" s="52">
        <f ca="1">Отчетность!BT17</f>
        <v>384383.69680696126</v>
      </c>
      <c r="BU1463" s="52">
        <f ca="1">Отчетность!BU17</f>
        <v>580620.71462469804</v>
      </c>
      <c r="BV1463" s="52">
        <f ca="1">Отчетность!BV17</f>
        <v>720602.5935505454</v>
      </c>
      <c r="BW1463" s="52">
        <f ca="1">Отчетность!BW17</f>
        <v>412235.92865206127</v>
      </c>
      <c r="BX1463" s="52">
        <f ca="1">Отчетность!BX17</f>
        <v>399759.36323230586</v>
      </c>
      <c r="BY1463" s="52">
        <f ca="1">Отчетность!BY17</f>
        <v>603845.86490158504</v>
      </c>
      <c r="BZ1463" s="52">
        <f ca="1">Отчетность!BZ17</f>
        <v>749427.0221542276</v>
      </c>
      <c r="CA1463" s="52">
        <f ca="1">Отчетность!CA17</f>
        <v>428725.69386079803</v>
      </c>
      <c r="CB1463" s="52">
        <f ca="1">Отчетность!CB17</f>
        <v>415749.73776159796</v>
      </c>
      <c r="CC1463" s="52">
        <f ca="1">Отчетность!CC17</f>
        <v>627999.6994976484</v>
      </c>
      <c r="CD1463" s="52">
        <f ca="1">Отчетность!CD17</f>
        <v>779404.10304039647</v>
      </c>
      <c r="CE1463" s="52">
        <f ca="1">Отчетность!CE17</f>
        <v>445874.72161522997</v>
      </c>
      <c r="CF1463" s="52">
        <f ca="1">Отчетность!CF17</f>
        <v>432379.72727206186</v>
      </c>
      <c r="CG1463" s="52">
        <f ca="1">Отчетность!CG17</f>
        <v>653119.68747755443</v>
      </c>
      <c r="CH1463" s="52">
        <f ca="1">Отчетность!CH17</f>
        <v>810580.2671620124</v>
      </c>
      <c r="CI1463" s="52">
        <f ca="1">Отчетность!CI17</f>
        <v>463709.71047983901</v>
      </c>
      <c r="CJ1463" s="52">
        <f ca="1">Отчетность!CJ17</f>
        <v>449674.55803406797</v>
      </c>
      <c r="CK1463" s="52">
        <f ca="1">Отчетность!CK17</f>
        <v>679244.11311702023</v>
      </c>
      <c r="CL1463" s="52">
        <f ca="1">Отчетность!CL17</f>
        <v>843003.11242330621</v>
      </c>
      <c r="CM1463" s="52">
        <f ca="1">Отчетность!CM17</f>
        <v>482257.72987316316</v>
      </c>
      <c r="CN1463" s="52">
        <f ca="1">Отчетность!CN17</f>
        <v>467661.91301746224</v>
      </c>
      <c r="CO1463" s="52">
        <f ca="1">Отчетность!CO17</f>
        <v>706414.25397572294</v>
      </c>
    </row>
    <row r="1464" spans="1:93">
      <c r="A1464" s="10"/>
      <c r="B1464" s="10"/>
      <c r="C1464" s="21" t="s">
        <v>236</v>
      </c>
      <c r="D1464" s="10"/>
      <c r="E1464" s="62"/>
      <c r="F1464" s="10"/>
      <c r="G1464" s="134" t="str">
        <f>Monetary_Unit</f>
        <v>тыс. руб.</v>
      </c>
      <c r="H1464" s="10"/>
      <c r="I1464" s="10"/>
      <c r="J1464" s="10"/>
      <c r="K1464" s="10"/>
      <c r="L1464" s="52">
        <f ca="1">Отчетность!L33</f>
        <v>0</v>
      </c>
      <c r="M1464" s="52">
        <f ca="1">Отчетность!M33</f>
        <v>0</v>
      </c>
      <c r="N1464" s="52">
        <f ca="1">Отчетность!N33</f>
        <v>0</v>
      </c>
      <c r="O1464" s="52">
        <f ca="1">Отчетность!O33</f>
        <v>0</v>
      </c>
      <c r="P1464" s="52">
        <f ca="1">Отчетность!P33</f>
        <v>0</v>
      </c>
      <c r="Q1464" s="52">
        <f ca="1">Отчетность!Q33</f>
        <v>0</v>
      </c>
      <c r="R1464" s="52">
        <f ca="1">Отчетность!R33</f>
        <v>0</v>
      </c>
      <c r="S1464" s="52">
        <f ca="1">Отчетность!S33</f>
        <v>0</v>
      </c>
      <c r="T1464" s="52">
        <f ca="1">Отчетность!T33</f>
        <v>0</v>
      </c>
      <c r="U1464" s="52">
        <f ca="1">Отчетность!U33</f>
        <v>0</v>
      </c>
      <c r="V1464" s="52">
        <f ca="1">Отчетность!V33</f>
        <v>0</v>
      </c>
      <c r="W1464" s="52">
        <f ca="1">Отчетность!W33</f>
        <v>0</v>
      </c>
      <c r="X1464" s="52">
        <f ca="1">Отчетность!X33</f>
        <v>0</v>
      </c>
      <c r="Y1464" s="52">
        <f ca="1">Отчетность!Y33</f>
        <v>0</v>
      </c>
      <c r="Z1464" s="52">
        <f ca="1">Отчетность!Z33</f>
        <v>0</v>
      </c>
      <c r="AA1464" s="52">
        <f ca="1">Отчетность!AA33</f>
        <v>0</v>
      </c>
      <c r="AB1464" s="52">
        <f ca="1">Отчетность!AB33</f>
        <v>0</v>
      </c>
      <c r="AC1464" s="52">
        <f ca="1">Отчетность!AC33</f>
        <v>167323.20061524137</v>
      </c>
      <c r="AD1464" s="52">
        <f ca="1">Отчетность!AD33</f>
        <v>215331.60852366302</v>
      </c>
      <c r="AE1464" s="52">
        <f ca="1">Отчетность!AE33</f>
        <v>127615.50634352025</v>
      </c>
      <c r="AF1464" s="52">
        <f ca="1">Отчетность!AF33</f>
        <v>128019.6682052103</v>
      </c>
      <c r="AG1464" s="52">
        <f ca="1">Отчетность!AG33</f>
        <v>199779.30003197613</v>
      </c>
      <c r="AH1464" s="52">
        <f ca="1">Отчетность!AH33</f>
        <v>255920.44725341379</v>
      </c>
      <c r="AI1464" s="52">
        <f ca="1">Отчетность!AI33</f>
        <v>151010.21389602218</v>
      </c>
      <c r="AJ1464" s="52">
        <f ca="1">Отчетность!AJ33</f>
        <v>150876.76272886811</v>
      </c>
      <c r="AK1464" s="52">
        <f ca="1">Отчетность!AK33</f>
        <v>234564.17028106551</v>
      </c>
      <c r="AL1464" s="52">
        <f ca="1">Отчетность!AL33</f>
        <v>299411.86250790674</v>
      </c>
      <c r="AM1464" s="52">
        <f ca="1">Отчетность!AM33</f>
        <v>176072.31324257434</v>
      </c>
      <c r="AN1464" s="52">
        <f ca="1">Отчетность!AN33</f>
        <v>175357.25762855168</v>
      </c>
      <c r="AO1464" s="52">
        <f ca="1">Отчетность!AO33</f>
        <v>271811.84424533858</v>
      </c>
      <c r="AP1464" s="52">
        <f ca="1">Отчетность!AP33</f>
        <v>337326.5805871808</v>
      </c>
      <c r="AQ1464" s="52">
        <f ca="1">Отчетность!AQ33</f>
        <v>193006.13924474327</v>
      </c>
      <c r="AR1464" s="52">
        <f ca="1">Отчетность!AR33</f>
        <v>187167.79470699106</v>
      </c>
      <c r="AS1464" s="52">
        <f ca="1">Отчетность!AS33</f>
        <v>282684.67060083186</v>
      </c>
      <c r="AT1464" s="52">
        <f ca="1">Отчетность!AT33</f>
        <v>350819.99987051764</v>
      </c>
      <c r="AU1464" s="52">
        <f ca="1">Отчетность!AU33</f>
        <v>200726.74438278505</v>
      </c>
      <c r="AV1464" s="52">
        <f ca="1">Отчетность!AV33</f>
        <v>194654.50649527053</v>
      </c>
      <c r="AW1464" s="52">
        <f ca="1">Отчетность!AW33</f>
        <v>337959.348795072</v>
      </c>
      <c r="AX1464" s="52">
        <f ca="1">Отчетность!AX33</f>
        <v>460019.61530663882</v>
      </c>
      <c r="AY1464" s="52">
        <f ca="1">Отчетность!AY33</f>
        <v>263167.14303431404</v>
      </c>
      <c r="AZ1464" s="52">
        <f ca="1">Отчетность!AZ33</f>
        <v>253995.74692596402</v>
      </c>
      <c r="BA1464" s="52">
        <f ca="1">Отчетность!BA33</f>
        <v>384573.76109249296</v>
      </c>
      <c r="BB1464" s="52">
        <f ca="1">Отчетность!BB33</f>
        <v>478420.39991890441</v>
      </c>
      <c r="BC1464" s="52">
        <f ca="1">Отчетность!BC33</f>
        <v>273693.82875568664</v>
      </c>
      <c r="BD1464" s="52">
        <f ca="1">Отчетность!BD33</f>
        <v>264782.76436037396</v>
      </c>
      <c r="BE1464" s="52">
        <f ca="1">Отчетность!BE33</f>
        <v>399956.47533234512</v>
      </c>
      <c r="BF1464" s="52">
        <f ca="1">Отчетность!BF33</f>
        <v>497556.97916448448</v>
      </c>
      <c r="BG1464" s="52">
        <f ca="1">Отчетность!BG33</f>
        <v>284641.34282193257</v>
      </c>
      <c r="BH1464" s="52">
        <f ca="1">Отчетность!BH33</f>
        <v>274721.79987512249</v>
      </c>
      <c r="BI1464" s="52">
        <f ca="1">Отчетность!BI33</f>
        <v>415954.97999764036</v>
      </c>
      <c r="BJ1464" s="52">
        <f ca="1">Отчетность!BJ33</f>
        <v>517459.5045522867</v>
      </c>
      <c r="BK1464" s="52">
        <f ca="1">Отчетность!BK33</f>
        <v>296027.24518215063</v>
      </c>
      <c r="BL1464" s="52">
        <f ca="1">Отчетность!BL33</f>
        <v>285710.67187012755</v>
      </c>
      <c r="BM1464" s="52">
        <f ca="1">Отчетность!BM33</f>
        <v>432593.17919754586</v>
      </c>
      <c r="BN1464" s="52">
        <f ca="1">Отчетность!BN33</f>
        <v>538157.88473437843</v>
      </c>
      <c r="BO1464" s="52">
        <f ca="1">Отчетность!BO33</f>
        <v>307868.33498943644</v>
      </c>
      <c r="BP1464" s="52">
        <f ca="1">Отчетность!BP33</f>
        <v>297139.09874493256</v>
      </c>
      <c r="BQ1464" s="52">
        <f ca="1">Отчетность!BQ33</f>
        <v>449896.90636544756</v>
      </c>
      <c r="BR1464" s="52">
        <f ca="1">Отчетность!BR33</f>
        <v>559684.20012375317</v>
      </c>
      <c r="BS1464" s="52">
        <f ca="1">Отчетность!BS33</f>
        <v>320183.06838901382</v>
      </c>
      <c r="BT1464" s="52">
        <f ca="1">Отчетность!BT33</f>
        <v>309758.38342744636</v>
      </c>
      <c r="BU1464" s="52">
        <f ca="1">Отчетность!BU33</f>
        <v>467892.50629497261</v>
      </c>
      <c r="BV1464" s="52">
        <f ca="1">Отчетность!BV33</f>
        <v>582071.29116331355</v>
      </c>
      <c r="BW1464" s="52">
        <f ca="1">Отчетность!BW33</f>
        <v>332990.11143013206</v>
      </c>
      <c r="BX1464" s="52">
        <f ca="1">Отчетность!BX33</f>
        <v>321385.64920251904</v>
      </c>
      <c r="BY1464" s="52">
        <f ca="1">Отчетность!BY33</f>
        <v>486608.49392486794</v>
      </c>
      <c r="BZ1464" s="52">
        <f ca="1">Отчетность!BZ33</f>
        <v>605354.43085385137</v>
      </c>
      <c r="CA1464" s="52">
        <f ca="1">Отчетность!CA33</f>
        <v>346310.00676955737</v>
      </c>
      <c r="CB1464" s="52">
        <f ca="1">Отчетность!CB33</f>
        <v>334241.07517061953</v>
      </c>
      <c r="CC1464" s="52">
        <f ca="1">Отчетность!CC33</f>
        <v>506072.83368186274</v>
      </c>
      <c r="CD1464" s="52">
        <f ca="1">Отчетность!CD33</f>
        <v>629568.60808800557</v>
      </c>
      <c r="CE1464" s="52">
        <f ca="1">Отчетность!CE33</f>
        <v>360162.40704033955</v>
      </c>
      <c r="CF1464" s="52">
        <f ca="1">Отчетность!CF33</f>
        <v>347610.71817744442</v>
      </c>
      <c r="CG1464" s="52">
        <f ca="1">Отчетность!CG33</f>
        <v>526315.7470291371</v>
      </c>
      <c r="CH1464" s="52">
        <f ca="1">Отчетность!CH33</f>
        <v>654751.35241152532</v>
      </c>
      <c r="CI1464" s="52">
        <f ca="1">Отчетность!CI33</f>
        <v>374568.9033219532</v>
      </c>
      <c r="CJ1464" s="52">
        <f ca="1">Отчетность!CJ33</f>
        <v>362373.49638435995</v>
      </c>
      <c r="CK1464" s="52">
        <f ca="1">Отчетность!CK33</f>
        <v>547368.05364902748</v>
      </c>
      <c r="CL1464" s="52">
        <f ca="1">Отчетность!CL33</f>
        <v>680941.08249765448</v>
      </c>
      <c r="CM1464" s="52">
        <f ca="1">Отчетность!CM33</f>
        <v>389551.33225189371</v>
      </c>
      <c r="CN1464" s="52">
        <f ca="1">Отчетность!CN33</f>
        <v>375975.75278072385</v>
      </c>
      <c r="CO1464" s="52">
        <f ca="1">Отчетность!CO33</f>
        <v>569263.11198671442</v>
      </c>
    </row>
    <row r="1465" spans="1:93">
      <c r="A1465" s="10"/>
      <c r="B1465" s="10"/>
      <c r="C1465" s="10"/>
      <c r="D1465" s="10"/>
      <c r="E1465" s="62"/>
      <c r="F1465" s="10"/>
      <c r="G1465" s="11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  <c r="AY1465" s="10"/>
      <c r="AZ1465" s="10"/>
      <c r="BA1465" s="10"/>
      <c r="BB1465" s="10"/>
      <c r="BC1465" s="10"/>
      <c r="BD1465" s="10"/>
      <c r="BE1465" s="10"/>
      <c r="BF1465" s="10"/>
      <c r="BG1465" s="10"/>
      <c r="BH1465" s="10"/>
      <c r="BI1465" s="10"/>
      <c r="BJ1465" s="10"/>
      <c r="BK1465" s="10"/>
      <c r="BL1465" s="10"/>
      <c r="BM1465" s="10"/>
      <c r="BN1465" s="10"/>
      <c r="BO1465" s="10"/>
      <c r="BP1465" s="10"/>
      <c r="BQ1465" s="10"/>
      <c r="BR1465" s="10"/>
      <c r="BS1465" s="10"/>
      <c r="BT1465" s="10"/>
      <c r="BU1465" s="10"/>
      <c r="BV1465" s="10"/>
      <c r="BW1465" s="10"/>
      <c r="BX1465" s="10"/>
      <c r="BY1465" s="10"/>
      <c r="BZ1465" s="10"/>
      <c r="CA1465" s="10"/>
      <c r="CB1465" s="10"/>
      <c r="CC1465" s="10"/>
      <c r="CD1465" s="10"/>
      <c r="CE1465" s="10"/>
      <c r="CF1465" s="10"/>
      <c r="CG1465" s="10"/>
      <c r="CH1465" s="10"/>
      <c r="CI1465" s="10"/>
      <c r="CJ1465" s="10"/>
      <c r="CK1465" s="10"/>
      <c r="CL1465" s="10"/>
      <c r="CM1465" s="10"/>
      <c r="CN1465" s="10"/>
      <c r="CO1465" s="10"/>
    </row>
    <row r="1466" spans="1:93" ht="16" thickBot="1">
      <c r="A1466" s="10"/>
      <c r="B1466" s="10"/>
      <c r="C1466" s="12" t="s">
        <v>237</v>
      </c>
      <c r="D1466" s="10"/>
      <c r="E1466" s="10"/>
      <c r="F1466" s="10"/>
      <c r="G1466" s="11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  <c r="AY1466" s="10"/>
      <c r="AZ1466" s="10"/>
      <c r="BA1466" s="10"/>
      <c r="BB1466" s="10"/>
      <c r="BC1466" s="10"/>
      <c r="BD1466" s="10"/>
      <c r="BE1466" s="10"/>
      <c r="BF1466" s="10"/>
      <c r="BG1466" s="10"/>
      <c r="BH1466" s="10"/>
      <c r="BI1466" s="10"/>
      <c r="BJ1466" s="10"/>
      <c r="BK1466" s="10"/>
      <c r="BL1466" s="10"/>
      <c r="BM1466" s="10"/>
      <c r="BN1466" s="10"/>
      <c r="BO1466" s="10"/>
      <c r="BP1466" s="10"/>
      <c r="BQ1466" s="10"/>
      <c r="BR1466" s="10"/>
      <c r="BS1466" s="10"/>
      <c r="BT1466" s="10"/>
      <c r="BU1466" s="10"/>
      <c r="BV1466" s="10"/>
      <c r="BW1466" s="10"/>
      <c r="BX1466" s="10"/>
      <c r="BY1466" s="10"/>
      <c r="BZ1466" s="10"/>
      <c r="CA1466" s="10"/>
      <c r="CB1466" s="10"/>
      <c r="CC1466" s="10"/>
      <c r="CD1466" s="10"/>
      <c r="CE1466" s="10"/>
      <c r="CF1466" s="10"/>
      <c r="CG1466" s="10"/>
      <c r="CH1466" s="10"/>
      <c r="CI1466" s="10"/>
      <c r="CJ1466" s="10"/>
      <c r="CK1466" s="10"/>
      <c r="CL1466" s="10"/>
      <c r="CM1466" s="10"/>
      <c r="CN1466" s="10"/>
      <c r="CO1466" s="10"/>
    </row>
    <row r="1467" spans="1:93">
      <c r="A1467" s="10"/>
      <c r="B1467" s="10"/>
      <c r="C1467" s="10"/>
      <c r="D1467" s="10"/>
      <c r="E1467" s="10"/>
      <c r="F1467" s="10"/>
      <c r="G1467" s="11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  <c r="AY1467" s="10"/>
      <c r="AZ1467" s="10"/>
      <c r="BA1467" s="10"/>
      <c r="BB1467" s="10"/>
      <c r="BC1467" s="10"/>
      <c r="BD1467" s="10"/>
      <c r="BE1467" s="10"/>
      <c r="BF1467" s="10"/>
      <c r="BG1467" s="10"/>
      <c r="BH1467" s="10"/>
      <c r="BI1467" s="10"/>
      <c r="BJ1467" s="10"/>
      <c r="BK1467" s="10"/>
      <c r="BL1467" s="10"/>
      <c r="BM1467" s="10"/>
      <c r="BN1467" s="10"/>
      <c r="BO1467" s="10"/>
      <c r="BP1467" s="10"/>
      <c r="BQ1467" s="10"/>
      <c r="BR1467" s="10"/>
      <c r="BS1467" s="10"/>
      <c r="BT1467" s="10"/>
      <c r="BU1467" s="10"/>
      <c r="BV1467" s="10"/>
      <c r="BW1467" s="10"/>
      <c r="BX1467" s="10"/>
      <c r="BY1467" s="10"/>
      <c r="BZ1467" s="10"/>
      <c r="CA1467" s="10"/>
      <c r="CB1467" s="10"/>
      <c r="CC1467" s="10"/>
      <c r="CD1467" s="10"/>
      <c r="CE1467" s="10"/>
      <c r="CF1467" s="10"/>
      <c r="CG1467" s="10"/>
      <c r="CH1467" s="10"/>
      <c r="CI1467" s="10"/>
      <c r="CJ1467" s="10"/>
      <c r="CK1467" s="10"/>
      <c r="CL1467" s="10"/>
      <c r="CM1467" s="10"/>
      <c r="CN1467" s="10"/>
      <c r="CO1467" s="10"/>
    </row>
    <row r="1468" spans="1:93">
      <c r="A1468" s="10"/>
      <c r="B1468" s="10"/>
      <c r="C1468" s="50" t="s">
        <v>238</v>
      </c>
      <c r="D1468" s="10"/>
      <c r="E1468" s="10"/>
      <c r="F1468" s="10"/>
      <c r="G1468" s="11" t="s">
        <v>28</v>
      </c>
      <c r="H1468" s="10"/>
      <c r="I1468" s="10"/>
      <c r="J1468" s="10"/>
      <c r="K1468" s="10"/>
      <c r="L1468" s="58">
        <f t="shared" ref="L1468" ca="1" si="9038">IFERROR(L1471/L1473,0)</f>
        <v>0</v>
      </c>
      <c r="M1468" s="58">
        <f t="shared" ref="M1468:BX1468" ca="1" si="9039">IFERROR(M1471/M1473,0)</f>
        <v>0</v>
      </c>
      <c r="N1468" s="58">
        <f t="shared" ca="1" si="9039"/>
        <v>0</v>
      </c>
      <c r="O1468" s="58">
        <f t="shared" ca="1" si="9039"/>
        <v>0</v>
      </c>
      <c r="P1468" s="58">
        <f t="shared" ca="1" si="9039"/>
        <v>0</v>
      </c>
      <c r="Q1468" s="58">
        <f t="shared" ca="1" si="9039"/>
        <v>0</v>
      </c>
      <c r="R1468" s="58">
        <f t="shared" ca="1" si="9039"/>
        <v>0</v>
      </c>
      <c r="S1468" s="58">
        <f t="shared" ca="1" si="9039"/>
        <v>0</v>
      </c>
      <c r="T1468" s="58">
        <f t="shared" ca="1" si="9039"/>
        <v>0</v>
      </c>
      <c r="U1468" s="58">
        <f t="shared" ca="1" si="9039"/>
        <v>0</v>
      </c>
      <c r="V1468" s="58">
        <f t="shared" ca="1" si="9039"/>
        <v>0</v>
      </c>
      <c r="W1468" s="58">
        <f t="shared" ca="1" si="9039"/>
        <v>0</v>
      </c>
      <c r="X1468" s="58">
        <f t="shared" ca="1" si="9039"/>
        <v>0</v>
      </c>
      <c r="Y1468" s="58">
        <f t="shared" ca="1" si="9039"/>
        <v>0</v>
      </c>
      <c r="Z1468" s="58">
        <f t="shared" ca="1" si="9039"/>
        <v>0</v>
      </c>
      <c r="AA1468" s="58">
        <f t="shared" ca="1" si="9039"/>
        <v>0</v>
      </c>
      <c r="AB1468" s="58">
        <f t="shared" ca="1" si="9039"/>
        <v>0</v>
      </c>
      <c r="AC1468" s="58">
        <f t="shared" ca="1" si="9039"/>
        <v>9.7620221857680593E-3</v>
      </c>
      <c r="AD1468" s="58">
        <f t="shared" ca="1" si="9039"/>
        <v>1.971983774973202E-2</v>
      </c>
      <c r="AE1468" s="58">
        <f t="shared" ca="1" si="9039"/>
        <v>2.611044787603206E-3</v>
      </c>
      <c r="AF1468" s="58">
        <f t="shared" ca="1" si="9039"/>
        <v>2.7251662947464553E-3</v>
      </c>
      <c r="AG1468" s="58">
        <f t="shared" ca="1" si="9039"/>
        <v>1.8372495990411797E-2</v>
      </c>
      <c r="AH1468" s="58">
        <f t="shared" ca="1" si="9039"/>
        <v>3.1346241442277281E-2</v>
      </c>
      <c r="AI1468" s="58">
        <f t="shared" ca="1" si="9039"/>
        <v>9.3128088831060645E-3</v>
      </c>
      <c r="AJ1468" s="58">
        <f t="shared" ca="1" si="9039"/>
        <v>9.4331167640561032E-3</v>
      </c>
      <c r="AK1468" s="58">
        <f t="shared" ca="1" si="9039"/>
        <v>2.9549304057380456E-2</v>
      </c>
      <c r="AL1468" s="58">
        <f t="shared" ca="1" si="9039"/>
        <v>4.6079587471225675E-2</v>
      </c>
      <c r="AM1468" s="58">
        <f t="shared" ca="1" si="9039"/>
        <v>1.7887147916561021E-2</v>
      </c>
      <c r="AN1468" s="58">
        <f t="shared" ca="1" si="9039"/>
        <v>1.8524923237228267E-2</v>
      </c>
      <c r="AO1468" s="58">
        <f t="shared" ca="1" si="9039"/>
        <v>4.3866611577775695E-2</v>
      </c>
      <c r="AP1468" s="58">
        <f t="shared" ca="1" si="9039"/>
        <v>6.1241111256219921E-2</v>
      </c>
      <c r="AQ1468" s="58">
        <f t="shared" ca="1" si="9039"/>
        <v>2.524775016439423E-2</v>
      </c>
      <c r="AR1468" s="58">
        <f t="shared" ca="1" si="9039"/>
        <v>2.4461167266862042E-2</v>
      </c>
      <c r="AS1468" s="58">
        <f t="shared" ca="1" si="9039"/>
        <v>5.1379370674679174E-2</v>
      </c>
      <c r="AT1468" s="58">
        <f t="shared" ca="1" si="9039"/>
        <v>6.9905587356998117E-2</v>
      </c>
      <c r="AU1468" s="58">
        <f t="shared" ca="1" si="9039"/>
        <v>2.9091466855959196E-2</v>
      </c>
      <c r="AV1468" s="58">
        <f t="shared" ca="1" si="9039"/>
        <v>2.8519783393273195E-2</v>
      </c>
      <c r="AW1468" s="58">
        <f t="shared" ca="1" si="9039"/>
        <v>2.6707277396951619E-2</v>
      </c>
      <c r="AX1468" s="58">
        <f t="shared" ca="1" si="9039"/>
        <v>4.009888387449851E-2</v>
      </c>
      <c r="AY1468" s="58">
        <f t="shared" ca="1" si="9039"/>
        <v>1.3658521703715553E-2</v>
      </c>
      <c r="AZ1468" s="58">
        <f t="shared" ca="1" si="9039"/>
        <v>1.2876195059284945E-2</v>
      </c>
      <c r="BA1468" s="58">
        <f t="shared" ca="1" si="9039"/>
        <v>3.3245237735108929E-2</v>
      </c>
      <c r="BB1468" s="58">
        <f t="shared" ca="1" si="9039"/>
        <v>4.7716743120712897E-2</v>
      </c>
      <c r="BC1468" s="58">
        <f t="shared" ca="1" si="9039"/>
        <v>1.8775734998121504E-2</v>
      </c>
      <c r="BD1468" s="58">
        <f t="shared" ca="1" si="9039"/>
        <v>1.8626890495898357E-2</v>
      </c>
      <c r="BE1468" s="58">
        <f t="shared" ca="1" si="9039"/>
        <v>5.2555079989990296E-2</v>
      </c>
      <c r="BF1468" s="58">
        <f t="shared" ca="1" si="9039"/>
        <v>6.7557267275589278E-2</v>
      </c>
      <c r="BG1468" s="58">
        <f t="shared" ca="1" si="9039"/>
        <v>3.5795717140885031E-2</v>
      </c>
      <c r="BH1468" s="58">
        <f t="shared" ca="1" si="9039"/>
        <v>3.5910068495746211E-2</v>
      </c>
      <c r="BI1468" s="58">
        <f t="shared" ca="1" si="9039"/>
        <v>5.9515576069939589E-2</v>
      </c>
      <c r="BJ1468" s="58">
        <f t="shared" ca="1" si="9039"/>
        <v>7.4664997034431413E-2</v>
      </c>
      <c r="BK1468" s="58">
        <f t="shared" ca="1" si="9039"/>
        <v>3.9639381905204475E-2</v>
      </c>
      <c r="BL1468" s="58">
        <f t="shared" ca="1" si="9039"/>
        <v>3.9178767181090167E-2</v>
      </c>
      <c r="BM1468" s="58">
        <f t="shared" ca="1" si="9039"/>
        <v>6.4537087873813709E-2</v>
      </c>
      <c r="BN1468" s="58">
        <f t="shared" ca="1" si="9039"/>
        <v>8.0595037823917789E-2</v>
      </c>
      <c r="BO1468" s="58">
        <f t="shared" ca="1" si="9039"/>
        <v>3.9007771065286412E-2</v>
      </c>
      <c r="BP1468" s="58">
        <f t="shared" ca="1" si="9039"/>
        <v>3.8719693121287979E-2</v>
      </c>
      <c r="BQ1468" s="58">
        <f t="shared" ca="1" si="9039"/>
        <v>6.3492294467186405E-2</v>
      </c>
      <c r="BR1468" s="58">
        <f t="shared" ca="1" si="9039"/>
        <v>7.8952164376337772E-2</v>
      </c>
      <c r="BS1468" s="58">
        <f t="shared" ca="1" si="9039"/>
        <v>4.2421678428379885E-2</v>
      </c>
      <c r="BT1468" s="58">
        <f t="shared" ca="1" si="9039"/>
        <v>4.2895088013561601E-2</v>
      </c>
      <c r="BU1468" s="58">
        <f t="shared" ca="1" si="9039"/>
        <v>6.8968496851266423E-2</v>
      </c>
      <c r="BV1468" s="58">
        <f t="shared" ca="1" si="9039"/>
        <v>8.5329062062267619E-2</v>
      </c>
      <c r="BW1468" s="58">
        <f t="shared" ca="1" si="9039"/>
        <v>4.6161823821434002E-2</v>
      </c>
      <c r="BX1468" s="58">
        <f t="shared" ca="1" si="9039"/>
        <v>4.6280546183291076E-2</v>
      </c>
      <c r="BY1468" s="58">
        <f t="shared" ref="BY1468:CO1468" ca="1" si="9040">IFERROR(BY1471/BY1473,0)</f>
        <v>7.4978276165983779E-2</v>
      </c>
      <c r="BZ1468" s="58">
        <f t="shared" ca="1" si="9040"/>
        <v>9.2272496229442294E-2</v>
      </c>
      <c r="CA1468" s="58">
        <f t="shared" ca="1" si="9040"/>
        <v>5.0255322639718554E-2</v>
      </c>
      <c r="CB1468" s="58">
        <f t="shared" ca="1" si="9040"/>
        <v>5.0671714150713545E-2</v>
      </c>
      <c r="CC1468" s="58">
        <f t="shared" ca="1" si="9040"/>
        <v>8.159647580781608E-2</v>
      </c>
      <c r="CD1468" s="58">
        <f t="shared" ca="1" si="9040"/>
        <v>9.9851506047617444E-2</v>
      </c>
      <c r="CE1468" s="58">
        <f t="shared" ca="1" si="9040"/>
        <v>5.4752973053640491E-2</v>
      </c>
      <c r="CF1468" s="58">
        <f t="shared" ca="1" si="9040"/>
        <v>5.5543481986488126E-2</v>
      </c>
      <c r="CG1468" s="58">
        <f t="shared" ca="1" si="9040"/>
        <v>8.8895462280952076E-2</v>
      </c>
      <c r="CH1468" s="58">
        <f t="shared" ca="1" si="9040"/>
        <v>0.10813048106630632</v>
      </c>
      <c r="CI1468" s="58">
        <f t="shared" ca="1" si="9040"/>
        <v>5.9698905670830027E-2</v>
      </c>
      <c r="CJ1468" s="58">
        <f t="shared" ca="1" si="9040"/>
        <v>6.177335283202768E-2</v>
      </c>
      <c r="CK1468" s="58">
        <f t="shared" ca="1" si="9040"/>
        <v>9.6966186050144287E-2</v>
      </c>
      <c r="CL1468" s="58">
        <f t="shared" ca="1" si="9040"/>
        <v>0.11718871538847415</v>
      </c>
      <c r="CM1468" s="58">
        <f t="shared" ca="1" si="9040"/>
        <v>6.5150845997657969E-2</v>
      </c>
      <c r="CN1468" s="58">
        <f t="shared" ca="1" si="9040"/>
        <v>6.7008818222673849E-2</v>
      </c>
      <c r="CO1468" s="58">
        <f t="shared" ca="1" si="9040"/>
        <v>0.1058988499535638</v>
      </c>
    </row>
    <row r="1469" spans="1:93">
      <c r="A1469" s="10"/>
      <c r="B1469" s="10"/>
      <c r="C1469" s="50" t="s">
        <v>239</v>
      </c>
      <c r="D1469" s="10"/>
      <c r="E1469" s="10"/>
      <c r="F1469" s="10"/>
      <c r="G1469" s="11" t="s">
        <v>28</v>
      </c>
      <c r="H1469" s="10"/>
      <c r="I1469" s="10"/>
      <c r="J1469" s="10"/>
      <c r="K1469" s="10"/>
      <c r="L1469" s="58">
        <f t="shared" ref="L1469" ca="1" si="9041">IFERROR(L1471/L1474,0)</f>
        <v>0</v>
      </c>
      <c r="M1469" s="58">
        <f t="shared" ref="M1469:BX1469" ca="1" si="9042">IFERROR(M1471/M1474,0)</f>
        <v>0</v>
      </c>
      <c r="N1469" s="58">
        <f t="shared" ca="1" si="9042"/>
        <v>0</v>
      </c>
      <c r="O1469" s="58">
        <f t="shared" ca="1" si="9042"/>
        <v>0</v>
      </c>
      <c r="P1469" s="58">
        <f t="shared" ca="1" si="9042"/>
        <v>0</v>
      </c>
      <c r="Q1469" s="58">
        <f t="shared" ca="1" si="9042"/>
        <v>0</v>
      </c>
      <c r="R1469" s="58">
        <f t="shared" ca="1" si="9042"/>
        <v>0</v>
      </c>
      <c r="S1469" s="58">
        <f t="shared" ca="1" si="9042"/>
        <v>0</v>
      </c>
      <c r="T1469" s="58">
        <f t="shared" ca="1" si="9042"/>
        <v>0</v>
      </c>
      <c r="U1469" s="58">
        <f t="shared" ca="1" si="9042"/>
        <v>0</v>
      </c>
      <c r="V1469" s="58">
        <f t="shared" ca="1" si="9042"/>
        <v>0</v>
      </c>
      <c r="W1469" s="58">
        <f t="shared" ca="1" si="9042"/>
        <v>0</v>
      </c>
      <c r="X1469" s="58">
        <f t="shared" ca="1" si="9042"/>
        <v>0</v>
      </c>
      <c r="Y1469" s="58">
        <f t="shared" ca="1" si="9042"/>
        <v>0</v>
      </c>
      <c r="Z1469" s="58">
        <f t="shared" ca="1" si="9042"/>
        <v>0</v>
      </c>
      <c r="AA1469" s="58">
        <f t="shared" ca="1" si="9042"/>
        <v>0</v>
      </c>
      <c r="AB1469" s="58">
        <f t="shared" ca="1" si="9042"/>
        <v>0</v>
      </c>
      <c r="AC1469" s="58">
        <f t="shared" ca="1" si="9042"/>
        <v>4.1897661812793689E-2</v>
      </c>
      <c r="AD1469" s="58">
        <f t="shared" ca="1" si="9042"/>
        <v>8.444981317586954E-2</v>
      </c>
      <c r="AE1469" s="58">
        <f t="shared" ca="1" si="9042"/>
        <v>1.0918043804361741E-2</v>
      </c>
      <c r="AF1469" s="58">
        <f t="shared" ca="1" si="9042"/>
        <v>1.1070152348385988E-2</v>
      </c>
      <c r="AG1469" s="58">
        <f t="shared" ca="1" si="9042"/>
        <v>7.3456133992519046E-2</v>
      </c>
      <c r="AH1469" s="58">
        <f t="shared" ca="1" si="9042"/>
        <v>0.12390686907167116</v>
      </c>
      <c r="AI1469" s="58">
        <f t="shared" ca="1" si="9042"/>
        <v>3.5795532534773612E-2</v>
      </c>
      <c r="AJ1469" s="58">
        <f t="shared" ca="1" si="9042"/>
        <v>3.5026196896135703E-2</v>
      </c>
      <c r="AK1469" s="58">
        <f t="shared" ca="1" si="9042"/>
        <v>0.10779760604125159</v>
      </c>
      <c r="AL1469" s="58">
        <f t="shared" ca="1" si="9042"/>
        <v>0.16611327750516311</v>
      </c>
      <c r="AM1469" s="58">
        <f t="shared" ca="1" si="9042"/>
        <v>6.2373996526713833E-2</v>
      </c>
      <c r="AN1469" s="58">
        <f t="shared" ca="1" si="9042"/>
        <v>6.1957311717256394E-2</v>
      </c>
      <c r="AO1469" s="58">
        <f t="shared" ca="1" si="9042"/>
        <v>0.13968302745928868</v>
      </c>
      <c r="AP1469" s="58">
        <f t="shared" ca="1" si="9042"/>
        <v>0.17873770181210291</v>
      </c>
      <c r="AQ1469" s="58">
        <f t="shared" ca="1" si="9042"/>
        <v>7.3682757792361664E-2</v>
      </c>
      <c r="AR1469" s="58">
        <f t="shared" ca="1" si="9042"/>
        <v>6.6016554496773461E-2</v>
      </c>
      <c r="AS1469" s="58">
        <f t="shared" ca="1" si="9042"/>
        <v>0.12600791723215582</v>
      </c>
      <c r="AT1469" s="58">
        <f t="shared" ca="1" si="9042"/>
        <v>0.16077067628326511</v>
      </c>
      <c r="AU1469" s="58">
        <f t="shared" ca="1" si="9042"/>
        <v>6.629164188240394E-2</v>
      </c>
      <c r="AV1469" s="58">
        <f t="shared" ca="1" si="9042"/>
        <v>5.9871482213421215E-2</v>
      </c>
      <c r="AW1469" s="58">
        <f t="shared" ca="1" si="9042"/>
        <v>5.5228262127049572E-2</v>
      </c>
      <c r="AX1469" s="58">
        <f t="shared" ca="1" si="9042"/>
        <v>8.0005995882714717E-2</v>
      </c>
      <c r="AY1469" s="58">
        <f t="shared" ca="1" si="9042"/>
        <v>2.5752465772238418E-2</v>
      </c>
      <c r="AZ1469" s="58">
        <f t="shared" ca="1" si="9042"/>
        <v>2.2034650046655394E-2</v>
      </c>
      <c r="BA1469" s="58">
        <f t="shared" ca="1" si="9042"/>
        <v>5.3788514831113729E-2</v>
      </c>
      <c r="BB1469" s="58">
        <f t="shared" ca="1" si="9042"/>
        <v>7.469260223659277E-2</v>
      </c>
      <c r="BC1469" s="58">
        <f t="shared" ca="1" si="9042"/>
        <v>2.7683084475207453E-2</v>
      </c>
      <c r="BD1469" s="58">
        <f t="shared" ca="1" si="9042"/>
        <v>2.4864299817099669E-2</v>
      </c>
      <c r="BE1469" s="58">
        <f t="shared" ca="1" si="9042"/>
        <v>6.6055469253350901E-2</v>
      </c>
      <c r="BF1469" s="58">
        <f t="shared" ca="1" si="9042"/>
        <v>8.2534038743575455E-2</v>
      </c>
      <c r="BG1469" s="58">
        <f t="shared" ca="1" si="9042"/>
        <v>4.1017843777765788E-2</v>
      </c>
      <c r="BH1469" s="58">
        <f t="shared" ca="1" si="9042"/>
        <v>3.9538479751678617E-2</v>
      </c>
      <c r="BI1469" s="58">
        <f t="shared" ca="1" si="9042"/>
        <v>6.651528210714254E-2</v>
      </c>
      <c r="BJ1469" s="58">
        <f t="shared" ca="1" si="9042"/>
        <v>8.6705993282971641E-2</v>
      </c>
      <c r="BK1469" s="58">
        <f t="shared" ca="1" si="9042"/>
        <v>4.5914733062244466E-2</v>
      </c>
      <c r="BL1469" s="58">
        <f t="shared" ca="1" si="9042"/>
        <v>4.3473945492309922E-2</v>
      </c>
      <c r="BM1469" s="58">
        <f t="shared" ca="1" si="9042"/>
        <v>7.2771061032757378E-2</v>
      </c>
      <c r="BN1469" s="58">
        <f t="shared" ca="1" si="9042"/>
        <v>9.4698889922480781E-2</v>
      </c>
      <c r="BO1469" s="58">
        <f t="shared" ca="1" si="9042"/>
        <v>4.572267766950449E-2</v>
      </c>
      <c r="BP1469" s="58">
        <f t="shared" ca="1" si="9042"/>
        <v>4.3335079135312177E-2</v>
      </c>
      <c r="BQ1469" s="58">
        <f t="shared" ca="1" si="9042"/>
        <v>7.2297784461170717E-2</v>
      </c>
      <c r="BR1469" s="58">
        <f t="shared" ca="1" si="9042"/>
        <v>9.397455713307383E-2</v>
      </c>
      <c r="BS1469" s="58">
        <f t="shared" ca="1" si="9042"/>
        <v>5.0379943755870224E-2</v>
      </c>
      <c r="BT1469" s="58">
        <f t="shared" ca="1" si="9042"/>
        <v>4.8481265902878511E-2</v>
      </c>
      <c r="BU1469" s="58">
        <f t="shared" ca="1" si="9042"/>
        <v>7.9388735515275158E-2</v>
      </c>
      <c r="BV1469" s="58">
        <f t="shared" ca="1" si="9042"/>
        <v>0.10302020162597032</v>
      </c>
      <c r="BW1469" s="58">
        <f t="shared" ca="1" si="9042"/>
        <v>5.5622306659924917E-2</v>
      </c>
      <c r="BX1469" s="58">
        <f t="shared" ca="1" si="9042"/>
        <v>5.2848945508415533E-2</v>
      </c>
      <c r="BY1469" s="58">
        <f t="shared" ref="BY1469:CO1469" ca="1" si="9043">IFERROR(BY1471/BY1474,0)</f>
        <v>8.7349390285280784E-2</v>
      </c>
      <c r="BZ1469" s="58">
        <f t="shared" ca="1" si="9043"/>
        <v>0.11316749424572919</v>
      </c>
      <c r="CA1469" s="58">
        <f t="shared" ca="1" si="9043"/>
        <v>6.1537061280826033E-2</v>
      </c>
      <c r="CB1469" s="58">
        <f t="shared" ca="1" si="9043"/>
        <v>5.8550747162451663E-2</v>
      </c>
      <c r="CC1469" s="58">
        <f t="shared" ca="1" si="9043"/>
        <v>9.6338168818974737E-2</v>
      </c>
      <c r="CD1469" s="58">
        <f t="shared" ca="1" si="9043"/>
        <v>0.12461228347068944</v>
      </c>
      <c r="CE1469" s="58">
        <f t="shared" ca="1" si="9043"/>
        <v>6.8256763558286235E-2</v>
      </c>
      <c r="CF1469" s="58">
        <f t="shared" ca="1" si="9043"/>
        <v>6.5034756498718121E-2</v>
      </c>
      <c r="CG1469" s="58">
        <f t="shared" ca="1" si="9043"/>
        <v>0.10653308319555344</v>
      </c>
      <c r="CH1469" s="58">
        <f t="shared" ca="1" si="9043"/>
        <v>0.13757779596325648</v>
      </c>
      <c r="CI1469" s="58">
        <f t="shared" ca="1" si="9043"/>
        <v>7.5928389973409491E-2</v>
      </c>
      <c r="CJ1469" s="58">
        <f t="shared" ca="1" si="9043"/>
        <v>7.3444638929000397E-2</v>
      </c>
      <c r="CK1469" s="58">
        <f t="shared" ca="1" si="9043"/>
        <v>0.11816384071241408</v>
      </c>
      <c r="CL1469" s="58">
        <f t="shared" ca="1" si="9043"/>
        <v>0.15234945826655449</v>
      </c>
      <c r="CM1469" s="58">
        <f t="shared" ca="1" si="9043"/>
        <v>8.4746621260416724E-2</v>
      </c>
      <c r="CN1469" s="58">
        <f t="shared" ca="1" si="9043"/>
        <v>8.0987032938995396E-2</v>
      </c>
      <c r="CO1469" s="58">
        <f t="shared" ca="1" si="9043"/>
        <v>0.13150012498470423</v>
      </c>
    </row>
    <row r="1470" spans="1:93">
      <c r="A1470" s="10"/>
      <c r="B1470" s="10"/>
      <c r="C1470" s="50" t="s">
        <v>240</v>
      </c>
      <c r="D1470" s="10"/>
      <c r="E1470" s="10"/>
      <c r="F1470" s="10"/>
      <c r="G1470" s="11" t="s">
        <v>28</v>
      </c>
      <c r="H1470" s="10"/>
      <c r="I1470" s="10"/>
      <c r="J1470" s="10"/>
      <c r="K1470" s="10"/>
      <c r="L1470" s="58">
        <f t="shared" ref="L1470" ca="1" si="9044">IFERROR(L1472/L1475*(L1475&gt;0),0)</f>
        <v>0</v>
      </c>
      <c r="M1470" s="58">
        <f t="shared" ref="M1470:BX1470" ca="1" si="9045">IFERROR(M1472/M1475*(M1475&gt;0),0)</f>
        <v>0</v>
      </c>
      <c r="N1470" s="58">
        <f t="shared" ca="1" si="9045"/>
        <v>0</v>
      </c>
      <c r="O1470" s="58">
        <f t="shared" ca="1" si="9045"/>
        <v>0</v>
      </c>
      <c r="P1470" s="58">
        <f t="shared" ca="1" si="9045"/>
        <v>0</v>
      </c>
      <c r="Q1470" s="58">
        <f t="shared" ca="1" si="9045"/>
        <v>0</v>
      </c>
      <c r="R1470" s="58">
        <f t="shared" ca="1" si="9045"/>
        <v>0</v>
      </c>
      <c r="S1470" s="58">
        <f t="shared" ca="1" si="9045"/>
        <v>0</v>
      </c>
      <c r="T1470" s="58">
        <f t="shared" ca="1" si="9045"/>
        <v>0</v>
      </c>
      <c r="U1470" s="58">
        <f t="shared" ca="1" si="9045"/>
        <v>0</v>
      </c>
      <c r="V1470" s="58">
        <f t="shared" ca="1" si="9045"/>
        <v>0</v>
      </c>
      <c r="W1470" s="58">
        <f t="shared" ca="1" si="9045"/>
        <v>0</v>
      </c>
      <c r="X1470" s="58">
        <f t="shared" ca="1" si="9045"/>
        <v>0</v>
      </c>
      <c r="Y1470" s="58">
        <f t="shared" ca="1" si="9045"/>
        <v>0</v>
      </c>
      <c r="Z1470" s="58">
        <f t="shared" ca="1" si="9045"/>
        <v>0</v>
      </c>
      <c r="AA1470" s="58">
        <f t="shared" ca="1" si="9045"/>
        <v>0</v>
      </c>
      <c r="AB1470" s="58">
        <f t="shared" ca="1" si="9045"/>
        <v>0</v>
      </c>
      <c r="AC1470" s="58">
        <f t="shared" ca="1" si="9045"/>
        <v>2.0816020302826279E-2</v>
      </c>
      <c r="AD1470" s="58">
        <f t="shared" ca="1" si="9045"/>
        <v>3.1694147966845214E-2</v>
      </c>
      <c r="AE1470" s="58">
        <f t="shared" ca="1" si="9045"/>
        <v>1.3589803474513589E-2</v>
      </c>
      <c r="AF1470" s="58">
        <f t="shared" ca="1" si="9045"/>
        <v>1.3392028000967433E-2</v>
      </c>
      <c r="AG1470" s="58">
        <f t="shared" ca="1" si="9045"/>
        <v>2.9929006479422326E-2</v>
      </c>
      <c r="AH1470" s="58">
        <f t="shared" ca="1" si="9045"/>
        <v>4.4045494509534627E-2</v>
      </c>
      <c r="AI1470" s="58">
        <f t="shared" ca="1" si="9045"/>
        <v>2.044801019554272E-2</v>
      </c>
      <c r="AJ1470" s="58">
        <f t="shared" ca="1" si="9045"/>
        <v>2.018022000204079E-2</v>
      </c>
      <c r="AK1470" s="58">
        <f t="shared" ca="1" si="9045"/>
        <v>4.1697614547299547E-2</v>
      </c>
      <c r="AL1470" s="58">
        <f t="shared" ca="1" si="9045"/>
        <v>6.0104586913788914E-2</v>
      </c>
      <c r="AM1470" s="58">
        <f t="shared" ca="1" si="9045"/>
        <v>2.9439534729481277E-2</v>
      </c>
      <c r="AN1470" s="58">
        <f t="shared" ca="1" si="9045"/>
        <v>2.9661716476214968E-2</v>
      </c>
      <c r="AO1470" s="58">
        <f t="shared" ca="1" si="9045"/>
        <v>5.6730590003746431E-2</v>
      </c>
      <c r="AP1470" s="58">
        <f t="shared" ca="1" si="9045"/>
        <v>7.5675153083966148E-2</v>
      </c>
      <c r="AQ1470" s="58">
        <f t="shared" ca="1" si="9045"/>
        <v>3.7319621020848119E-2</v>
      </c>
      <c r="AR1470" s="58">
        <f t="shared" ca="1" si="9045"/>
        <v>3.5343177666558118E-2</v>
      </c>
      <c r="AS1470" s="58">
        <f t="shared" ca="1" si="9045"/>
        <v>6.3850239583475438E-2</v>
      </c>
      <c r="AT1470" s="58">
        <f t="shared" ca="1" si="9045"/>
        <v>8.4865908605403856E-2</v>
      </c>
      <c r="AU1470" s="58">
        <f t="shared" ca="1" si="9045"/>
        <v>4.2453580408149942E-2</v>
      </c>
      <c r="AV1470" s="58">
        <f t="shared" ca="1" si="9045"/>
        <v>4.0357541965680567E-2</v>
      </c>
      <c r="AW1470" s="58">
        <f t="shared" ca="1" si="9045"/>
        <v>3.8950038958824908E-2</v>
      </c>
      <c r="AX1470" s="58">
        <f t="shared" ca="1" si="9045"/>
        <v>5.5614602691058654E-2</v>
      </c>
      <c r="AY1470" s="58">
        <f t="shared" ca="1" si="9045"/>
        <v>2.3222387151690057E-2</v>
      </c>
      <c r="AZ1470" s="58">
        <f t="shared" ca="1" si="9045"/>
        <v>2.1353009377606313E-2</v>
      </c>
      <c r="BA1470" s="58">
        <f t="shared" ca="1" si="9045"/>
        <v>4.5404221118261784E-2</v>
      </c>
      <c r="BB1470" s="58">
        <f t="shared" ca="1" si="9045"/>
        <v>6.3957301179204284E-2</v>
      </c>
      <c r="BC1470" s="58">
        <f t="shared" ca="1" si="9045"/>
        <v>2.7396062491961175E-2</v>
      </c>
      <c r="BD1470" s="58">
        <f t="shared" ca="1" si="9045"/>
        <v>2.5902557168460492E-2</v>
      </c>
      <c r="BE1470" s="58">
        <f t="shared" ca="1" si="9045"/>
        <v>6.5590802838294354E-2</v>
      </c>
      <c r="BF1470" s="58">
        <f t="shared" ca="1" si="9045"/>
        <v>8.561535669775179E-2</v>
      </c>
      <c r="BG1470" s="58">
        <f t="shared" ca="1" si="9045"/>
        <v>4.5080057123733613E-2</v>
      </c>
      <c r="BH1470" s="58">
        <f t="shared" ca="1" si="9045"/>
        <v>4.263600930659029E-2</v>
      </c>
      <c r="BI1470" s="58">
        <f t="shared" ca="1" si="9045"/>
        <v>7.164329653496182E-2</v>
      </c>
      <c r="BJ1470" s="58">
        <f t="shared" ca="1" si="9045"/>
        <v>9.3354138708180545E-2</v>
      </c>
      <c r="BK1470" s="58">
        <f t="shared" ca="1" si="9045"/>
        <v>4.9496230085858732E-2</v>
      </c>
      <c r="BL1470" s="58">
        <f t="shared" ca="1" si="9045"/>
        <v>4.6873219507007957E-2</v>
      </c>
      <c r="BM1470" s="58">
        <f t="shared" ca="1" si="9045"/>
        <v>7.8375404540664162E-2</v>
      </c>
      <c r="BN1470" s="58">
        <f t="shared" ca="1" si="9045"/>
        <v>0.10195411029487945</v>
      </c>
      <c r="BO1470" s="58">
        <f t="shared" ca="1" si="9045"/>
        <v>5.443002771503231E-2</v>
      </c>
      <c r="BP1470" s="58">
        <f t="shared" ca="1" si="9045"/>
        <v>5.1608459722230861E-2</v>
      </c>
      <c r="BQ1470" s="58">
        <f t="shared" ca="1" si="9045"/>
        <v>8.5883443568844739E-2</v>
      </c>
      <c r="BR1470" s="58">
        <f t="shared" ca="1" si="9045"/>
        <v>0.11153736878110182</v>
      </c>
      <c r="BS1470" s="58">
        <f t="shared" ca="1" si="9045"/>
        <v>5.9957372574826688E-2</v>
      </c>
      <c r="BT1470" s="58">
        <f t="shared" ca="1" si="9045"/>
        <v>5.7714917281316329E-2</v>
      </c>
      <c r="BU1470" s="58">
        <f t="shared" ca="1" si="9045"/>
        <v>9.4291066383186906E-2</v>
      </c>
      <c r="BV1470" s="58">
        <f t="shared" ca="1" si="9045"/>
        <v>0.12225820048774592</v>
      </c>
      <c r="BW1470" s="58">
        <f t="shared" ca="1" si="9045"/>
        <v>6.6178759721619393E-2</v>
      </c>
      <c r="BX1470" s="58">
        <f t="shared" ca="1" si="9045"/>
        <v>6.2901554225603673E-2</v>
      </c>
      <c r="BY1470" s="58">
        <f t="shared" ref="BY1470:CO1470" ca="1" si="9046">IFERROR(BY1472/BY1475*(BY1475&gt;0),0)</f>
        <v>0.10372955393996502</v>
      </c>
      <c r="BZ1470" s="58">
        <f t="shared" ca="1" si="9046"/>
        <v>0.13428436843842542</v>
      </c>
      <c r="CA1470" s="58">
        <f t="shared" ca="1" si="9046"/>
        <v>7.3197758425204762E-2</v>
      </c>
      <c r="CB1470" s="58">
        <f t="shared" ca="1" si="9046"/>
        <v>6.9669094316309091E-2</v>
      </c>
      <c r="CC1470" s="58">
        <f t="shared" ca="1" si="9046"/>
        <v>0.1143866473042108</v>
      </c>
      <c r="CD1470" s="58">
        <f t="shared" ca="1" si="9046"/>
        <v>0.14784790174453852</v>
      </c>
      <c r="CE1470" s="58">
        <f t="shared" ca="1" si="9046"/>
        <v>8.1171561600944478E-2</v>
      </c>
      <c r="CF1470" s="58">
        <f t="shared" ca="1" si="9046"/>
        <v>7.7364627432032304E-2</v>
      </c>
      <c r="CG1470" s="58">
        <f t="shared" ca="1" si="9046"/>
        <v>0.12647333294894411</v>
      </c>
      <c r="CH1470" s="58">
        <f t="shared" ca="1" si="9046"/>
        <v>0.16321328708395536</v>
      </c>
      <c r="CI1470" s="58">
        <f t="shared" ca="1" si="9046"/>
        <v>9.0274504986945101E-2</v>
      </c>
      <c r="CJ1470" s="58">
        <f t="shared" ca="1" si="9046"/>
        <v>8.7342207190588703E-2</v>
      </c>
      <c r="CK1470" s="58">
        <f t="shared" ca="1" si="9046"/>
        <v>0.14026185122539178</v>
      </c>
      <c r="CL1470" s="58">
        <f t="shared" ca="1" si="9046"/>
        <v>0.18071869422003733</v>
      </c>
      <c r="CM1470" s="58">
        <f t="shared" ca="1" si="9046"/>
        <v>0.10073748251521304</v>
      </c>
      <c r="CN1470" s="58">
        <f t="shared" ca="1" si="9046"/>
        <v>9.6296079678044225E-2</v>
      </c>
      <c r="CO1470" s="58">
        <f t="shared" ca="1" si="9046"/>
        <v>0.15607185364711418</v>
      </c>
    </row>
    <row r="1471" spans="1:93">
      <c r="A1471" s="10"/>
      <c r="B1471" s="10"/>
      <c r="C1471" s="21" t="s">
        <v>241</v>
      </c>
      <c r="D1471" s="10"/>
      <c r="E1471" s="10"/>
      <c r="F1471" s="10"/>
      <c r="G1471" s="134" t="str">
        <f>Monetary_Unit</f>
        <v>тыс. руб.</v>
      </c>
      <c r="H1471" s="10"/>
      <c r="I1471" s="10"/>
      <c r="J1471" s="10"/>
      <c r="K1471" s="10"/>
      <c r="L1471" s="52">
        <f t="shared" ref="L1471:BW1471" ca="1" si="9047">Net_Profit</f>
        <v>0</v>
      </c>
      <c r="M1471" s="52">
        <f t="shared" ca="1" si="9047"/>
        <v>0</v>
      </c>
      <c r="N1471" s="52">
        <f t="shared" ca="1" si="9047"/>
        <v>0</v>
      </c>
      <c r="O1471" s="52">
        <f t="shared" ca="1" si="9047"/>
        <v>0</v>
      </c>
      <c r="P1471" s="52">
        <f t="shared" ca="1" si="9047"/>
        <v>0</v>
      </c>
      <c r="Q1471" s="52">
        <f t="shared" ca="1" si="9047"/>
        <v>0</v>
      </c>
      <c r="R1471" s="52">
        <f t="shared" ca="1" si="9047"/>
        <v>0</v>
      </c>
      <c r="S1471" s="52">
        <f t="shared" ca="1" si="9047"/>
        <v>0</v>
      </c>
      <c r="T1471" s="52">
        <f t="shared" ca="1" si="9047"/>
        <v>0</v>
      </c>
      <c r="U1471" s="52">
        <f t="shared" ca="1" si="9047"/>
        <v>0</v>
      </c>
      <c r="V1471" s="52">
        <f t="shared" ca="1" si="9047"/>
        <v>0</v>
      </c>
      <c r="W1471" s="52">
        <f t="shared" ca="1" si="9047"/>
        <v>0</v>
      </c>
      <c r="X1471" s="52">
        <f t="shared" ca="1" si="9047"/>
        <v>0</v>
      </c>
      <c r="Y1471" s="52">
        <f t="shared" ca="1" si="9047"/>
        <v>0</v>
      </c>
      <c r="Z1471" s="52">
        <f t="shared" ca="1" si="9047"/>
        <v>0</v>
      </c>
      <c r="AA1471" s="52">
        <f t="shared" ca="1" si="9047"/>
        <v>0</v>
      </c>
      <c r="AB1471" s="52">
        <f t="shared" ca="1" si="9047"/>
        <v>0</v>
      </c>
      <c r="AC1471" s="52">
        <f t="shared" ca="1" si="9047"/>
        <v>59050.396968304172</v>
      </c>
      <c r="AD1471" s="52">
        <f t="shared" ca="1" si="9047"/>
        <v>119023.22889081783</v>
      </c>
      <c r="AE1471" s="52">
        <f t="shared" ca="1" si="9047"/>
        <v>15387.84726569222</v>
      </c>
      <c r="AF1471" s="52">
        <f t="shared" ca="1" si="9047"/>
        <v>15602.228439205819</v>
      </c>
      <c r="AG1471" s="52">
        <f t="shared" ca="1" si="9047"/>
        <v>103528.78142452038</v>
      </c>
      <c r="AH1471" s="52">
        <f t="shared" ca="1" si="9047"/>
        <v>174633.84564213705</v>
      </c>
      <c r="AI1471" s="52">
        <f t="shared" ca="1" si="9047"/>
        <v>50450.080372379787</v>
      </c>
      <c r="AJ1471" s="52">
        <f t="shared" ca="1" si="9047"/>
        <v>49365.781800626079</v>
      </c>
      <c r="AK1471" s="52">
        <f t="shared" ca="1" si="9047"/>
        <v>151929.51476411583</v>
      </c>
      <c r="AL1471" s="52">
        <f t="shared" ca="1" si="9047"/>
        <v>234119.38886266688</v>
      </c>
      <c r="AM1471" s="52">
        <f t="shared" ca="1" si="9047"/>
        <v>87909.661208764373</v>
      </c>
      <c r="AN1471" s="52">
        <f t="shared" ca="1" si="9047"/>
        <v>87322.38730505429</v>
      </c>
      <c r="AO1471" s="52">
        <f t="shared" ca="1" si="9047"/>
        <v>203780.21636769723</v>
      </c>
      <c r="AP1471" s="52">
        <f t="shared" ca="1" si="9047"/>
        <v>286660.77733016334</v>
      </c>
      <c r="AQ1471" s="52">
        <f t="shared" ca="1" si="9047"/>
        <v>114782.26326136307</v>
      </c>
      <c r="AR1471" s="52">
        <f t="shared" ca="1" si="9047"/>
        <v>105755.08744299725</v>
      </c>
      <c r="AS1471" s="52">
        <f t="shared" ca="1" si="9047"/>
        <v>222031.49451141676</v>
      </c>
      <c r="AT1471" s="52">
        <f t="shared" ca="1" si="9047"/>
        <v>308301.72660392703</v>
      </c>
      <c r="AU1471" s="52">
        <f t="shared" ca="1" si="9047"/>
        <v>124307.3689005667</v>
      </c>
      <c r="AV1471" s="52">
        <f t="shared" ca="1" si="9047"/>
        <v>115338.93793818759</v>
      </c>
      <c r="AW1471" s="52">
        <f t="shared" ca="1" si="9047"/>
        <v>106301.70209428121</v>
      </c>
      <c r="AX1471" s="52">
        <f t="shared" ca="1" si="9047"/>
        <v>160005.99131573824</v>
      </c>
      <c r="AY1471" s="52">
        <f t="shared" ca="1" si="9047"/>
        <v>52583.959860333627</v>
      </c>
      <c r="AZ1471" s="52">
        <f t="shared" ca="1" si="9047"/>
        <v>46988.736981942304</v>
      </c>
      <c r="BA1471" s="52">
        <f t="shared" ca="1" si="9047"/>
        <v>121383.08912947391</v>
      </c>
      <c r="BB1471" s="52">
        <f t="shared" ca="1" si="9047"/>
        <v>177290.13659096989</v>
      </c>
      <c r="BC1471" s="52">
        <f t="shared" ca="1" si="9047"/>
        <v>67074.89562771075</v>
      </c>
      <c r="BD1471" s="52">
        <f t="shared" ca="1" si="9047"/>
        <v>62711.5932408972</v>
      </c>
      <c r="BE1471" s="52">
        <f t="shared" ca="1" si="9047"/>
        <v>178280.60690773916</v>
      </c>
      <c r="BF1471" s="52">
        <f t="shared" ca="1" si="9047"/>
        <v>236679.89167955655</v>
      </c>
      <c r="BG1471" s="52">
        <f t="shared" ca="1" si="9047"/>
        <v>121664.70816082599</v>
      </c>
      <c r="BH1471" s="52">
        <f t="shared" ca="1" si="9047"/>
        <v>115959.60003163585</v>
      </c>
      <c r="BI1471" s="52">
        <f t="shared" ca="1" si="9047"/>
        <v>195121.51581678892</v>
      </c>
      <c r="BJ1471" s="52">
        <f t="shared" ca="1" si="9047"/>
        <v>253515.83869637633</v>
      </c>
      <c r="BK1471" s="52">
        <f t="shared" ca="1" si="9047"/>
        <v>130332.87254949121</v>
      </c>
      <c r="BL1471" s="52">
        <f t="shared" ca="1" si="9047"/>
        <v>121955.02474862945</v>
      </c>
      <c r="BM1471" s="52">
        <f t="shared" ca="1" si="9047"/>
        <v>204284.8873498044</v>
      </c>
      <c r="BN1471" s="52">
        <f t="shared" ca="1" si="9047"/>
        <v>265016.45332919114</v>
      </c>
      <c r="BO1471" s="52">
        <f t="shared" ca="1" si="9047"/>
        <v>123960.48889154507</v>
      </c>
      <c r="BP1471" s="52">
        <f t="shared" ca="1" si="9047"/>
        <v>116041.20151584834</v>
      </c>
      <c r="BQ1471" s="52">
        <f t="shared" ca="1" si="9047"/>
        <v>193839.83115016311</v>
      </c>
      <c r="BR1471" s="52">
        <f t="shared" ca="1" si="9047"/>
        <v>251229.23167563125</v>
      </c>
      <c r="BS1471" s="52">
        <f t="shared" ca="1" si="9047"/>
        <v>130171.90019619251</v>
      </c>
      <c r="BT1471" s="52">
        <f t="shared" ca="1" si="9047"/>
        <v>123610.98682826274</v>
      </c>
      <c r="BU1471" s="52">
        <f t="shared" ca="1" si="9047"/>
        <v>202854.17637736659</v>
      </c>
      <c r="BV1471" s="52">
        <f t="shared" ca="1" si="9047"/>
        <v>262540.59659128456</v>
      </c>
      <c r="BW1471" s="52">
        <f t="shared" ca="1" si="9047"/>
        <v>136640.9798284783</v>
      </c>
      <c r="BX1471" s="52">
        <f t="shared" ref="BX1471:CO1471" ca="1" si="9048">Net_Profit</f>
        <v>128060.81661082608</v>
      </c>
      <c r="BY1471" s="52">
        <f t="shared" ca="1" si="9048"/>
        <v>212210.53948162397</v>
      </c>
      <c r="BZ1471" s="52">
        <f t="shared" ca="1" si="9048"/>
        <v>274285.64014829329</v>
      </c>
      <c r="CA1471" s="52">
        <f t="shared" ca="1" si="9048"/>
        <v>143350.03042013271</v>
      </c>
      <c r="CB1471" s="52">
        <f t="shared" ca="1" si="9048"/>
        <v>134433.56939843795</v>
      </c>
      <c r="CC1471" s="52">
        <f t="shared" ca="1" si="9048"/>
        <v>221950.61699697134</v>
      </c>
      <c r="CD1471" s="52">
        <f t="shared" ca="1" si="9048"/>
        <v>286510.05750321079</v>
      </c>
      <c r="CE1471" s="52">
        <f t="shared" ca="1" si="9048"/>
        <v>150337.02338592371</v>
      </c>
      <c r="CF1471" s="52">
        <f t="shared" ca="1" si="9048"/>
        <v>141061.23229755409</v>
      </c>
      <c r="CG1471" s="52">
        <f t="shared" ca="1" si="9048"/>
        <v>232080.29761293245</v>
      </c>
      <c r="CH1471" s="52">
        <f t="shared" ca="1" si="9048"/>
        <v>299223.45155232504</v>
      </c>
      <c r="CI1471" s="52">
        <f t="shared" ca="1" si="9048"/>
        <v>157603.49607034645</v>
      </c>
      <c r="CJ1471" s="52">
        <f t="shared" ca="1" si="9048"/>
        <v>149921.07255298994</v>
      </c>
      <c r="CK1471" s="52">
        <f t="shared" ca="1" si="9048"/>
        <v>242624.39616871128</v>
      </c>
      <c r="CL1471" s="52">
        <f t="shared" ca="1" si="9048"/>
        <v>312454.72275454272</v>
      </c>
      <c r="CM1471" s="52">
        <f t="shared" ca="1" si="9048"/>
        <v>165169.97838385456</v>
      </c>
      <c r="CN1471" s="52">
        <f t="shared" ca="1" si="9048"/>
        <v>155122.48190431885</v>
      </c>
      <c r="CO1471" s="52">
        <f t="shared" ca="1" si="9048"/>
        <v>253571.4280077552</v>
      </c>
    </row>
    <row r="1472" spans="1:93">
      <c r="A1472" s="10"/>
      <c r="B1472" s="10"/>
      <c r="C1472" s="21" t="s">
        <v>82</v>
      </c>
      <c r="D1472" s="10"/>
      <c r="E1472" s="10"/>
      <c r="F1472" s="10"/>
      <c r="G1472" s="134" t="str">
        <f>Monetary_Unit</f>
        <v>тыс. руб.</v>
      </c>
      <c r="H1472" s="10"/>
      <c r="I1472" s="10"/>
      <c r="J1472" s="10"/>
      <c r="K1472" s="10"/>
      <c r="L1472" s="52">
        <f t="shared" ref="L1472:BW1472" ca="1" si="9049">EBIT</f>
        <v>0</v>
      </c>
      <c r="M1472" s="52">
        <f t="shared" ca="1" si="9049"/>
        <v>0</v>
      </c>
      <c r="N1472" s="52">
        <f t="shared" ca="1" si="9049"/>
        <v>0</v>
      </c>
      <c r="O1472" s="52">
        <f t="shared" ca="1" si="9049"/>
        <v>0</v>
      </c>
      <c r="P1472" s="52">
        <f t="shared" ca="1" si="9049"/>
        <v>0</v>
      </c>
      <c r="Q1472" s="52">
        <f t="shared" ca="1" si="9049"/>
        <v>0</v>
      </c>
      <c r="R1472" s="52">
        <f t="shared" ca="1" si="9049"/>
        <v>0</v>
      </c>
      <c r="S1472" s="52">
        <f t="shared" ca="1" si="9049"/>
        <v>0</v>
      </c>
      <c r="T1472" s="52">
        <f t="shared" ca="1" si="9049"/>
        <v>0</v>
      </c>
      <c r="U1472" s="52">
        <f t="shared" ca="1" si="9049"/>
        <v>0</v>
      </c>
      <c r="V1472" s="52">
        <f t="shared" ca="1" si="9049"/>
        <v>0</v>
      </c>
      <c r="W1472" s="52">
        <f t="shared" ca="1" si="9049"/>
        <v>0</v>
      </c>
      <c r="X1472" s="52">
        <f t="shared" ca="1" si="9049"/>
        <v>0</v>
      </c>
      <c r="Y1472" s="52">
        <f t="shared" ca="1" si="9049"/>
        <v>0</v>
      </c>
      <c r="Z1472" s="52">
        <f t="shared" ca="1" si="9049"/>
        <v>0</v>
      </c>
      <c r="AA1472" s="52">
        <f t="shared" ca="1" si="9049"/>
        <v>0</v>
      </c>
      <c r="AB1472" s="52">
        <f t="shared" ca="1" si="9049"/>
        <v>0</v>
      </c>
      <c r="AC1472" s="52">
        <f t="shared" ca="1" si="9049"/>
        <v>122922.80472429034</v>
      </c>
      <c r="AD1472" s="52">
        <f t="shared" ca="1" si="9049"/>
        <v>183305.13319171919</v>
      </c>
      <c r="AE1472" s="52">
        <f t="shared" ca="1" si="9049"/>
        <v>76921.33178172521</v>
      </c>
      <c r="AF1472" s="52">
        <f t="shared" ca="1" si="9049"/>
        <v>74119.759230658368</v>
      </c>
      <c r="AG1472" s="52">
        <f t="shared" ca="1" si="9049"/>
        <v>161842.80849084555</v>
      </c>
      <c r="AH1472" s="52">
        <f t="shared" ca="1" si="9049"/>
        <v>232515.90124286624</v>
      </c>
      <c r="AI1472" s="52">
        <f t="shared" ca="1" si="9049"/>
        <v>105279.27962909751</v>
      </c>
      <c r="AJ1472" s="52">
        <f t="shared" ca="1" si="9049"/>
        <v>101223.25704231653</v>
      </c>
      <c r="AK1472" s="52">
        <f t="shared" ca="1" si="9049"/>
        <v>203555.82870215585</v>
      </c>
      <c r="AL1472" s="52">
        <f t="shared" ca="1" si="9049"/>
        <v>285246.27192224067</v>
      </c>
      <c r="AM1472" s="52">
        <f t="shared" ca="1" si="9049"/>
        <v>135658.81857065146</v>
      </c>
      <c r="AN1472" s="52">
        <f t="shared" ca="1" si="9049"/>
        <v>132530.86282961362</v>
      </c>
      <c r="AO1472" s="52">
        <f t="shared" ca="1" si="9049"/>
        <v>248233.54653343308</v>
      </c>
      <c r="AP1472" s="52">
        <f t="shared" ca="1" si="9049"/>
        <v>331223.78833566076</v>
      </c>
      <c r="AQ1472" s="52">
        <f t="shared" ca="1" si="9049"/>
        <v>156191.01088697906</v>
      </c>
      <c r="AR1472" s="52">
        <f t="shared" ca="1" si="9049"/>
        <v>144248.72640567098</v>
      </c>
      <c r="AS1472" s="52">
        <f t="shared" ca="1" si="9049"/>
        <v>261249.64027974813</v>
      </c>
      <c r="AT1472" s="52">
        <f t="shared" ca="1" si="9049"/>
        <v>347560.94535938284</v>
      </c>
      <c r="AU1472" s="52">
        <f t="shared" ca="1" si="9049"/>
        <v>165526.84964001988</v>
      </c>
      <c r="AV1472" s="52">
        <f t="shared" ca="1" si="9049"/>
        <v>153114.77884348755</v>
      </c>
      <c r="AW1472" s="52">
        <f t="shared" ca="1" si="9049"/>
        <v>141541.87087379844</v>
      </c>
      <c r="AX1472" s="52">
        <f t="shared" ca="1" si="9049"/>
        <v>197357.20475644682</v>
      </c>
      <c r="AY1472" s="52">
        <f t="shared" ca="1" si="9049"/>
        <v>79605.367815733145</v>
      </c>
      <c r="AZ1472" s="52">
        <f t="shared" ca="1" si="9049"/>
        <v>71605.672766080694</v>
      </c>
      <c r="BA1472" s="52">
        <f t="shared" ca="1" si="9049"/>
        <v>150301.22993401304</v>
      </c>
      <c r="BB1472" s="52">
        <f t="shared" ca="1" si="9049"/>
        <v>208350.75801563956</v>
      </c>
      <c r="BC1472" s="52">
        <f t="shared" ca="1" si="9049"/>
        <v>85888.847597297645</v>
      </c>
      <c r="BD1472" s="52">
        <f t="shared" ca="1" si="9049"/>
        <v>79258.975654200578</v>
      </c>
      <c r="BE1472" s="52">
        <f t="shared" ca="1" si="9049"/>
        <v>200700.9696508827</v>
      </c>
      <c r="BF1472" s="52">
        <f t="shared" ca="1" si="9049"/>
        <v>261074.18448377386</v>
      </c>
      <c r="BG1472" s="52">
        <f t="shared" ca="1" si="9049"/>
        <v>133713.80571704835</v>
      </c>
      <c r="BH1472" s="52">
        <f t="shared" ca="1" si="9049"/>
        <v>125044.1245386379</v>
      </c>
      <c r="BI1472" s="52">
        <f t="shared" ca="1" si="9049"/>
        <v>210164.46409256593</v>
      </c>
      <c r="BJ1472" s="52">
        <f t="shared" ca="1" si="9049"/>
        <v>272954.05858674593</v>
      </c>
      <c r="BK1472" s="52">
        <f t="shared" ca="1" si="9049"/>
        <v>140499.2562782673</v>
      </c>
      <c r="BL1472" s="52">
        <f t="shared" ca="1" si="9049"/>
        <v>131490.81778271703</v>
      </c>
      <c r="BM1472" s="52">
        <f t="shared" ca="1" si="9049"/>
        <v>220017.55176247505</v>
      </c>
      <c r="BN1472" s="52">
        <f t="shared" ca="1" si="9049"/>
        <v>285320.31088009517</v>
      </c>
      <c r="BO1472" s="52">
        <f t="shared" ca="1" si="9049"/>
        <v>147567.31647927727</v>
      </c>
      <c r="BP1472" s="52">
        <f t="shared" ca="1" si="9049"/>
        <v>138195.37875655925</v>
      </c>
      <c r="BQ1472" s="52">
        <f t="shared" ca="1" si="9049"/>
        <v>230264.76293918028</v>
      </c>
      <c r="BR1472" s="52">
        <f t="shared" ca="1" si="9049"/>
        <v>298181.21326517808</v>
      </c>
      <c r="BS1472" s="52">
        <f t="shared" ca="1" si="9049"/>
        <v>154918.09908832749</v>
      </c>
      <c r="BT1472" s="52">
        <f t="shared" ca="1" si="9049"/>
        <v>147153.70457006741</v>
      </c>
      <c r="BU1472" s="52">
        <f t="shared" ca="1" si="9049"/>
        <v>240932.62711338556</v>
      </c>
      <c r="BV1472" s="52">
        <f t="shared" ca="1" si="9049"/>
        <v>311567.44393459026</v>
      </c>
      <c r="BW1472" s="52">
        <f t="shared" ca="1" si="9049"/>
        <v>162573.8146294941</v>
      </c>
      <c r="BX1472" s="52">
        <f t="shared" ref="BX1472:CO1472" ca="1" si="9050">EBIT</f>
        <v>152419.77531866307</v>
      </c>
      <c r="BY1472" s="52">
        <f t="shared" ca="1" si="9050"/>
        <v>252005.24617167833</v>
      </c>
      <c r="BZ1472" s="52">
        <f t="shared" ca="1" si="9050"/>
        <v>325466.90376536985</v>
      </c>
      <c r="CA1472" s="52">
        <f t="shared" ca="1" si="9050"/>
        <v>170513.51947168866</v>
      </c>
      <c r="CB1472" s="52">
        <f t="shared" ca="1" si="9050"/>
        <v>159961.49459394338</v>
      </c>
      <c r="CC1472" s="52">
        <f t="shared" ca="1" si="9050"/>
        <v>263531.96512475214</v>
      </c>
      <c r="CD1472" s="52">
        <f t="shared" ca="1" si="9050"/>
        <v>339933.66986586392</v>
      </c>
      <c r="CE1472" s="52">
        <f t="shared" ca="1" si="9050"/>
        <v>178782.15020043543</v>
      </c>
      <c r="CF1472" s="52">
        <f t="shared" ca="1" si="9050"/>
        <v>167804.88264023469</v>
      </c>
      <c r="CG1472" s="52">
        <f t="shared" ca="1" si="9050"/>
        <v>275519.75283594872</v>
      </c>
      <c r="CH1472" s="52">
        <f t="shared" ca="1" si="9050"/>
        <v>354979.10661037784</v>
      </c>
      <c r="CI1472" s="52">
        <f t="shared" ca="1" si="9050"/>
        <v>187381.52615833213</v>
      </c>
      <c r="CJ1472" s="52">
        <f t="shared" ca="1" si="9050"/>
        <v>178289.9006940049</v>
      </c>
      <c r="CK1472" s="52">
        <f t="shared" ca="1" si="9050"/>
        <v>287997.97597888223</v>
      </c>
      <c r="CL1472" s="52">
        <f t="shared" ca="1" si="9050"/>
        <v>370637.41572542832</v>
      </c>
      <c r="CM1472" s="52">
        <f t="shared" ca="1" si="9050"/>
        <v>196335.94309739501</v>
      </c>
      <c r="CN1472" s="52">
        <f t="shared" ca="1" si="9050"/>
        <v>184445.41471924624</v>
      </c>
      <c r="CO1472" s="52">
        <f t="shared" ca="1" si="9050"/>
        <v>300953.04324402299</v>
      </c>
    </row>
    <row r="1473" spans="1:93">
      <c r="A1473" s="10"/>
      <c r="B1473" s="10"/>
      <c r="C1473" s="21" t="s">
        <v>242</v>
      </c>
      <c r="D1473" s="10"/>
      <c r="E1473" s="62"/>
      <c r="F1473" s="10"/>
      <c r="G1473" s="134" t="str">
        <f>Monetary_Unit</f>
        <v>тыс. руб.</v>
      </c>
      <c r="H1473" s="10"/>
      <c r="I1473" s="10"/>
      <c r="J1473" s="10"/>
      <c r="K1473" s="10"/>
      <c r="L1473" s="52">
        <f ca="1">SUM(Отчетность!K23:L23)/2*Flag_Forecast</f>
        <v>15703.076689643458</v>
      </c>
      <c r="M1473" s="52">
        <f ca="1">SUM(Отчетность!L23:M23)/2*Flag_Forecast</f>
        <v>47332.133474540678</v>
      </c>
      <c r="N1473" s="52">
        <f ca="1">SUM(Отчетность!M23:N23)/2*Flag_Forecast</f>
        <v>79410.161159404612</v>
      </c>
      <c r="O1473" s="52">
        <f ca="1">SUM(Отчетность!N23:O23)/2*Flag_Forecast</f>
        <v>111943.53283561094</v>
      </c>
      <c r="P1473" s="52">
        <f ca="1">SUM(Отчетность!O23:P23)/2*Flag_Forecast</f>
        <v>266120.5898262047</v>
      </c>
      <c r="Q1473" s="52">
        <f ca="1">SUM(Отчетность!P23:Q23)/2*Flag_Forecast</f>
        <v>543069.81301121612</v>
      </c>
      <c r="R1473" s="52">
        <f ca="1">SUM(Отчетность!Q23:R23)/2*Flag_Forecast</f>
        <v>822747.92948569055</v>
      </c>
      <c r="S1473" s="52">
        <f ca="1">SUM(Отчетность!R23:S23)/2*Flag_Forecast</f>
        <v>1105551.3240158756</v>
      </c>
      <c r="T1473" s="52">
        <f ca="1">SUM(Отчетность!S23:T23)/2*Flag_Forecast</f>
        <v>1394427.9817465809</v>
      </c>
      <c r="U1473" s="52">
        <f ca="1">SUM(Отчетность!T23:U23)/2*Flag_Forecast</f>
        <v>1690957.9153492292</v>
      </c>
      <c r="V1473" s="52">
        <f ca="1">SUM(Отчетность!U23:V23)/2*Flag_Forecast</f>
        <v>1994230.2954697753</v>
      </c>
      <c r="W1473" s="52">
        <f ca="1">SUM(Отчетность!V23:W23)/2*Flag_Forecast</f>
        <v>2304294.9986063153</v>
      </c>
      <c r="X1473" s="52">
        <f ca="1">SUM(Отчетность!W23:X23)/2*Flag_Forecast</f>
        <v>2784345.9949053722</v>
      </c>
      <c r="Y1473" s="52">
        <f ca="1">SUM(Отчетность!X23:Y23)/2*Flag_Forecast</f>
        <v>3438150.2614576574</v>
      </c>
      <c r="Z1473" s="52">
        <f ca="1">SUM(Отчетность!Y23:Z23)/2*Flag_Forecast</f>
        <v>4106549.8507803101</v>
      </c>
      <c r="AA1473" s="52">
        <f ca="1">SUM(Отчетность!Z23:AA23)/2*Flag_Forecast</f>
        <v>4789732.149485806</v>
      </c>
      <c r="AB1473" s="52">
        <f ca="1">SUM(Отчетность!AA23:AB23)/2*Flag_Forecast</f>
        <v>5580225.9882927407</v>
      </c>
      <c r="AC1473" s="52">
        <f ca="1">SUM(Отчетность!AB23:AC23)/2*Flag_Forecast</f>
        <v>6048992.2932559066</v>
      </c>
      <c r="AD1473" s="52">
        <f ca="1">SUM(Отчетность!AC23:AD23)/2*Flag_Forecast</f>
        <v>6035710.3542819601</v>
      </c>
      <c r="AE1473" s="52">
        <f ca="1">SUM(Отчетность!AD23:AE23)/2*Flag_Forecast</f>
        <v>5893367.7961983215</v>
      </c>
      <c r="AF1473" s="52">
        <f ca="1">SUM(Отчетность!AE23:AF23)/2*Flag_Forecast</f>
        <v>5725239.0319385715</v>
      </c>
      <c r="AG1473" s="52">
        <f ca="1">SUM(Отчетность!AF23:AG23)/2*Flag_Forecast</f>
        <v>5634987.2917947453</v>
      </c>
      <c r="AH1473" s="52">
        <f ca="1">SUM(Отчетность!AG23:AH23)/2*Flag_Forecast</f>
        <v>5571125.5195847824</v>
      </c>
      <c r="AI1473" s="52">
        <f ca="1">SUM(Отчетность!AH23:AI23)/2*Flag_Forecast</f>
        <v>5417278.611171646</v>
      </c>
      <c r="AJ1473" s="52">
        <f ca="1">SUM(Отчетность!AI23:AJ23)/2*Flag_Forecast</f>
        <v>5233241.8897568602</v>
      </c>
      <c r="AK1473" s="52">
        <f ca="1">SUM(Отчетность!AJ23:AK23)/2*Flag_Forecast</f>
        <v>5141559.830617018</v>
      </c>
      <c r="AL1473" s="52">
        <f ca="1">SUM(Отчетность!AK23:AL23)/2*Flag_Forecast</f>
        <v>5080761.3893866204</v>
      </c>
      <c r="AM1473" s="52">
        <f ca="1">SUM(Отчетность!AL23:AM23)/2*Flag_Forecast</f>
        <v>4914682.9678404015</v>
      </c>
      <c r="AN1473" s="52">
        <f ca="1">SUM(Отчетность!AM23:AN23)/2*Flag_Forecast</f>
        <v>4713778.6314584278</v>
      </c>
      <c r="AO1473" s="52">
        <f ca="1">SUM(Отчетность!AN23:AO23)/2*Flag_Forecast</f>
        <v>4645451.4957553539</v>
      </c>
      <c r="AP1473" s="52">
        <f ca="1">SUM(Отчетность!AO23:AP23)/2*Flag_Forecast</f>
        <v>4680855.2531131413</v>
      </c>
      <c r="AQ1473" s="52">
        <f ca="1">SUM(Отчетность!AP23:AQ23)/2*Flag_Forecast</f>
        <v>4546237.289025275</v>
      </c>
      <c r="AR1473" s="52">
        <f ca="1">SUM(Отчетность!AQ23:AR23)/2*Flag_Forecast</f>
        <v>4323386.7905504843</v>
      </c>
      <c r="AS1473" s="52">
        <f ca="1">SUM(Отчетность!AR23:AS23)/2*Flag_Forecast</f>
        <v>4321413.275325276</v>
      </c>
      <c r="AT1473" s="52">
        <f ca="1">SUM(Отчетность!AS23:AT23)/2*Flag_Forecast</f>
        <v>4410258.7255217955</v>
      </c>
      <c r="AU1473" s="52">
        <f ca="1">SUM(Отчетность!AT23:AU23)/2*Flag_Forecast</f>
        <v>4272983.8792952839</v>
      </c>
      <c r="AV1473" s="52">
        <f ca="1">SUM(Отчетность!AU23:AV23)/2*Flag_Forecast</f>
        <v>4044172.9990625367</v>
      </c>
      <c r="AW1473" s="52">
        <f ca="1">SUM(Отчетность!AV23:AW23)/2*Flag_Forecast</f>
        <v>3980252.292823174</v>
      </c>
      <c r="AX1473" s="52">
        <f ca="1">SUM(Отчетность!AW23:AX23)/2*Flag_Forecast</f>
        <v>3990285.4108489654</v>
      </c>
      <c r="AY1473" s="52">
        <f ca="1">SUM(Отчетность!AX23:AY23)/2*Flag_Forecast</f>
        <v>3849901.2558605894</v>
      </c>
      <c r="AZ1473" s="52">
        <f ca="1">SUM(Отчетность!AY23:AZ23)/2*Flag_Forecast</f>
        <v>3649271.9134492311</v>
      </c>
      <c r="BA1473" s="52">
        <f ca="1">SUM(Отчетность!AZ23:BA23)/2*Flag_Forecast</f>
        <v>3651142.1604690836</v>
      </c>
      <c r="BB1473" s="52">
        <f ca="1">SUM(Отчетность!BA23:BB23)/2*Flag_Forecast</f>
        <v>3715470.1892051753</v>
      </c>
      <c r="BC1473" s="52">
        <f ca="1">SUM(Отчетность!BB23:BC23)/2*Flag_Forecast</f>
        <v>3572424.4954683017</v>
      </c>
      <c r="BD1473" s="52">
        <f ca="1">SUM(Отчетность!BC23:BD23)/2*Flag_Forecast</f>
        <v>3366723.6758978264</v>
      </c>
      <c r="BE1473" s="52">
        <f ca="1">SUM(Отчетность!BD23:BE23)/2*Flag_Forecast</f>
        <v>3392262.117034066</v>
      </c>
      <c r="BF1473" s="52">
        <f ca="1">SUM(Отчетность!BE23:BF23)/2*Flag_Forecast</f>
        <v>3503396.4697544388</v>
      </c>
      <c r="BG1473" s="52">
        <f ca="1">SUM(Отчетность!BF23:BG23)/2*Flag_Forecast</f>
        <v>3398862.1510773813</v>
      </c>
      <c r="BH1473" s="52">
        <f ca="1">SUM(Отчетность!BG23:BH23)/2*Flag_Forecast</f>
        <v>3229166.773808077</v>
      </c>
      <c r="BI1473" s="52">
        <f ca="1">SUM(Отчетность!BH23:BI23)/2*Flag_Forecast</f>
        <v>3278494.9537830623</v>
      </c>
      <c r="BJ1473" s="52">
        <f ca="1">SUM(Отчетность!BI23:BJ23)/2*Flag_Forecast</f>
        <v>3395377.3356405371</v>
      </c>
      <c r="BK1473" s="52">
        <f ca="1">SUM(Отчетность!BJ23:BK23)/2*Flag_Forecast</f>
        <v>3287964.2992712525</v>
      </c>
      <c r="BL1473" s="52">
        <f ca="1">SUM(Отчетность!BK23:BL23)/2*Flag_Forecast</f>
        <v>3112783.6203966029</v>
      </c>
      <c r="BM1473" s="52">
        <f ca="1">SUM(Отчетность!BL23:BM23)/2*Flag_Forecast</f>
        <v>3165387.439687903</v>
      </c>
      <c r="BN1473" s="52">
        <f ca="1">SUM(Отчетность!BM23:BN23)/2*Flag_Forecast</f>
        <v>3288247.7691516578</v>
      </c>
      <c r="BO1473" s="52">
        <f ca="1">SUM(Отчетность!BN23:BO23)/2*Flag_Forecast</f>
        <v>3177840.8636595835</v>
      </c>
      <c r="BP1473" s="52">
        <f ca="1">SUM(Отчетность!BO23:BP23)/2*Flag_Forecast</f>
        <v>2996955.6099619293</v>
      </c>
      <c r="BQ1473" s="52">
        <f ca="1">SUM(Отчетность!BP23:BQ23)/2*Flag_Forecast</f>
        <v>3052966.234356862</v>
      </c>
      <c r="BR1473" s="52">
        <f ca="1">SUM(Отчетность!BQ23:BR23)/2*Flag_Forecast</f>
        <v>3182043.6293311482</v>
      </c>
      <c r="BS1473" s="52">
        <f ca="1">SUM(Отчетность!BR23:BS23)/2*Flag_Forecast</f>
        <v>3068523.0999513725</v>
      </c>
      <c r="BT1473" s="52">
        <f ca="1">SUM(Отчетность!BS23:BT23)/2*Flag_Forecast</f>
        <v>2881704.9352872805</v>
      </c>
      <c r="BU1473" s="52">
        <f ca="1">SUM(Отчетность!BT23:BU23)/2*Flag_Forecast</f>
        <v>2941258.4823304252</v>
      </c>
      <c r="BV1473" s="52">
        <f ca="1">SUM(Отчетность!BU23:BV23)/2*Flag_Forecast</f>
        <v>3076801.6224026866</v>
      </c>
      <c r="BW1473" s="52">
        <f ca="1">SUM(Отчетность!BV23:BW23)/2*Flag_Forecast</f>
        <v>2960042.9211168373</v>
      </c>
      <c r="BX1473" s="52">
        <f ca="1">SUM(Отчетность!BW23:BX23)/2*Flag_Forecast</f>
        <v>2767054.9976581866</v>
      </c>
      <c r="BY1473" s="52">
        <f ca="1">SUM(Отчетность!BX23:BY23)/2*Flag_Forecast</f>
        <v>2830293.6574834175</v>
      </c>
      <c r="BZ1473" s="52">
        <f ca="1">SUM(Отчетность!BY23:BZ23)/2*Flag_Forecast</f>
        <v>2972561.1786448481</v>
      </c>
      <c r="CA1473" s="52">
        <f ca="1">SUM(Отчетность!BZ23:CA23)/2*Flag_Forecast</f>
        <v>2852434.7848249236</v>
      </c>
      <c r="CB1473" s="52">
        <f ca="1">SUM(Отчетность!CA23:CB23)/2*Flag_Forecast</f>
        <v>2653029.834329078</v>
      </c>
      <c r="CC1473" s="52">
        <f ca="1">SUM(Отчетность!CB23:CC23)/2*Flag_Forecast</f>
        <v>2720100.5288479729</v>
      </c>
      <c r="CD1473" s="52">
        <f ca="1">SUM(Отчетность!CC23:CD23)/2*Flag_Forecast</f>
        <v>2869361.4031878412</v>
      </c>
      <c r="CE1473" s="52">
        <f ca="1">SUM(Отчетность!CD23:CE23)/2*Flag_Forecast</f>
        <v>2745732.605947101</v>
      </c>
      <c r="CF1473" s="52">
        <f ca="1">SUM(Отчетность!CE23:CF23)/2*Flag_Forecast</f>
        <v>2539654.1097634025</v>
      </c>
      <c r="CG1473" s="52">
        <f ca="1">SUM(Отчетность!CF23:CG23)/2*Flag_Forecast</f>
        <v>2610710.2843950344</v>
      </c>
      <c r="CH1473" s="52">
        <f ca="1">SUM(Отчетность!CG23:CH23)/2*Flag_Forecast</f>
        <v>2767244.2460404783</v>
      </c>
      <c r="CI1473" s="52">
        <f ca="1">SUM(Отчетность!CH23:CI23)/2*Flag_Forecast</f>
        <v>2639972.9492420894</v>
      </c>
      <c r="CJ1473" s="52">
        <f ca="1">SUM(Отчетность!CI23:CJ23)/2*Flag_Forecast</f>
        <v>2426953.7863785862</v>
      </c>
      <c r="CK1473" s="52">
        <f ca="1">SUM(Отчетность!CJ23:CK23)/2*Flag_Forecast</f>
        <v>2502154.6793976459</v>
      </c>
      <c r="CL1473" s="52">
        <f ca="1">SUM(Отчетность!CK23:CL23)/2*Flag_Forecast</f>
        <v>2666252.6482927343</v>
      </c>
      <c r="CM1473" s="52">
        <f ca="1">SUM(Отчетность!CL23:CM23)/2*Flag_Forecast</f>
        <v>2535193.1483712746</v>
      </c>
      <c r="CN1473" s="52">
        <f ca="1">SUM(Отчетность!CM23:CN23)/2*Flag_Forecast</f>
        <v>2314956.2403688217</v>
      </c>
      <c r="CO1473" s="52">
        <f ca="1">SUM(Отчетность!CN23:CO23)/2*Flag_Forecast</f>
        <v>2394468.1941205706</v>
      </c>
    </row>
    <row r="1474" spans="1:93">
      <c r="A1474" s="10"/>
      <c r="B1474" s="10"/>
      <c r="C1474" s="21" t="s">
        <v>243</v>
      </c>
      <c r="D1474" s="10"/>
      <c r="E1474" s="62"/>
      <c r="F1474" s="10"/>
      <c r="G1474" s="134" t="str">
        <f>Monetary_Unit</f>
        <v>тыс. руб.</v>
      </c>
      <c r="H1474" s="10"/>
      <c r="I1474" s="10"/>
      <c r="J1474" s="10"/>
      <c r="K1474" s="10"/>
      <c r="L1474" s="52">
        <f ca="1">ROUND(Отчетность!L25,0)*Flag_Forecast</f>
        <v>31406</v>
      </c>
      <c r="M1474" s="52">
        <f ca="1">ROUND(Отчетность!M25,0)*Flag_Forecast</f>
        <v>63258</v>
      </c>
      <c r="N1474" s="52">
        <f ca="1">ROUND(Отчетность!N25,0)*Flag_Forecast</f>
        <v>95562</v>
      </c>
      <c r="O1474" s="52">
        <f ca="1">ROUND(Отчетность!O25,0)*Flag_Forecast</f>
        <v>128325</v>
      </c>
      <c r="P1474" s="52">
        <f ca="1">ROUND(Отчетность!P25,0)*Flag_Forecast</f>
        <v>403916</v>
      </c>
      <c r="Q1474" s="52">
        <f ca="1">ROUND(Отчетность!Q25,0)*Flag_Forecast</f>
        <v>682223</v>
      </c>
      <c r="R1474" s="52">
        <f ca="1">ROUND(Отчетность!R25,0)*Flag_Forecast</f>
        <v>963273</v>
      </c>
      <c r="S1474" s="52">
        <f ca="1">ROUND(Отчетность!S25,0)*Flag_Forecast</f>
        <v>1154755</v>
      </c>
      <c r="T1474" s="52">
        <f ca="1">ROUND(Отчетность!T25,0)*Flag_Forecast</f>
        <v>1161336</v>
      </c>
      <c r="U1474" s="52">
        <f ca="1">ROUND(Отчетность!U25,0)*Flag_Forecast</f>
        <v>1171760</v>
      </c>
      <c r="V1474" s="52">
        <f ca="1">ROUND(Отчетность!V25,0)*Flag_Forecast</f>
        <v>1186150</v>
      </c>
      <c r="W1474" s="52">
        <f ca="1">ROUND(Отчетность!W25,0)*Flag_Forecast</f>
        <v>1204427</v>
      </c>
      <c r="X1474" s="52">
        <f ca="1">ROUND(Отчетность!X25,0)*Flag_Forecast</f>
        <v>1228568</v>
      </c>
      <c r="Y1474" s="52">
        <f ca="1">ROUND(Отчетность!Y25,0)*Flag_Forecast</f>
        <v>1260877</v>
      </c>
      <c r="Z1474" s="52">
        <f ca="1">ROUND(Отчетность!Z25,0)*Flag_Forecast</f>
        <v>1301880</v>
      </c>
      <c r="AA1474" s="52">
        <f ca="1">ROUND(Отчетность!AA25,0)*Flag_Forecast</f>
        <v>1351305</v>
      </c>
      <c r="AB1474" s="52">
        <f ca="1">ROUND(Отчетность!AB25,0)*Flag_Forecast</f>
        <v>1409396</v>
      </c>
      <c r="AC1474" s="52">
        <f ca="1">ROUND(Отчетность!AC25,0)*Flag_Forecast</f>
        <v>1409396</v>
      </c>
      <c r="AD1474" s="52">
        <f ca="1">ROUND(Отчетность!AD25,0)*Flag_Forecast</f>
        <v>1409396</v>
      </c>
      <c r="AE1474" s="52">
        <f ca="1">ROUND(Отчетность!AE25,0)*Flag_Forecast</f>
        <v>1409396</v>
      </c>
      <c r="AF1474" s="52">
        <f ca="1">ROUND(Отчетность!AF25,0)*Flag_Forecast</f>
        <v>1409396</v>
      </c>
      <c r="AG1474" s="52">
        <f ca="1">ROUND(Отчетность!AG25,0)*Flag_Forecast</f>
        <v>1409396</v>
      </c>
      <c r="AH1474" s="52">
        <f ca="1">ROUND(Отчетность!AH25,0)*Flag_Forecast</f>
        <v>1409396</v>
      </c>
      <c r="AI1474" s="52">
        <f ca="1">ROUND(Отчетность!AI25,0)*Flag_Forecast</f>
        <v>1409396</v>
      </c>
      <c r="AJ1474" s="52">
        <f ca="1">ROUND(Отчетность!AJ25,0)*Flag_Forecast</f>
        <v>1409396</v>
      </c>
      <c r="AK1474" s="52">
        <f ca="1">ROUND(Отчетность!AK25,0)*Flag_Forecast</f>
        <v>1409396</v>
      </c>
      <c r="AL1474" s="52">
        <f ca="1">ROUND(Отчетность!AL25,0)*Flag_Forecast</f>
        <v>1409396</v>
      </c>
      <c r="AM1474" s="52">
        <f ca="1">ROUND(Отчетность!AM25,0)*Flag_Forecast</f>
        <v>1409396</v>
      </c>
      <c r="AN1474" s="52">
        <f ca="1">ROUND(Отчетность!AN25,0)*Flag_Forecast</f>
        <v>1409396</v>
      </c>
      <c r="AO1474" s="52">
        <f ca="1">ROUND(Отчетность!AO25,0)*Flag_Forecast</f>
        <v>1458876</v>
      </c>
      <c r="AP1474" s="52">
        <f ca="1">ROUND(Отчетность!AP25,0)*Flag_Forecast</f>
        <v>1603807</v>
      </c>
      <c r="AQ1474" s="52">
        <f ca="1">ROUND(Отчетность!AQ25,0)*Flag_Forecast</f>
        <v>1557790</v>
      </c>
      <c r="AR1474" s="52">
        <f ca="1">ROUND(Отчетность!AR25,0)*Flag_Forecast</f>
        <v>1601948</v>
      </c>
      <c r="AS1474" s="52">
        <f ca="1">ROUND(Отчетность!AS25,0)*Flag_Forecast</f>
        <v>1762044</v>
      </c>
      <c r="AT1474" s="52">
        <f ca="1">ROUND(Отчетность!AT25,0)*Flag_Forecast</f>
        <v>1917649</v>
      </c>
      <c r="AU1474" s="52">
        <f ca="1">ROUND(Отчетность!AU25,0)*Flag_Forecast</f>
        <v>1875159</v>
      </c>
      <c r="AV1474" s="52">
        <f ca="1">ROUND(Отчетность!AV25,0)*Flag_Forecast</f>
        <v>1926442</v>
      </c>
      <c r="AW1474" s="52">
        <f ca="1">ROUND(Отчетность!AW25,0)*Flag_Forecast</f>
        <v>1924770</v>
      </c>
      <c r="AX1474" s="52">
        <f ca="1">ROUND(Отчетность!AX25,0)*Flag_Forecast</f>
        <v>1999925</v>
      </c>
      <c r="AY1474" s="52">
        <f ca="1">ROUND(Отчетность!AY25,0)*Flag_Forecast</f>
        <v>2041900</v>
      </c>
      <c r="AZ1474" s="52">
        <f ca="1">ROUND(Отчетность!AZ25,0)*Flag_Forecast</f>
        <v>2132493</v>
      </c>
      <c r="BA1474" s="52">
        <f ca="1">ROUND(Отчетность!BA25,0)*Flag_Forecast</f>
        <v>2256673</v>
      </c>
      <c r="BB1474" s="52">
        <f ca="1">ROUND(Отчетность!BB25,0)*Flag_Forecast</f>
        <v>2373597</v>
      </c>
      <c r="BC1474" s="52">
        <f ca="1">ROUND(Отчетность!BC25,0)*Flag_Forecast</f>
        <v>2422956</v>
      </c>
      <c r="BD1474" s="52">
        <f ca="1">ROUND(Отчетность!BD25,0)*Flag_Forecast</f>
        <v>2522154</v>
      </c>
      <c r="BE1474" s="52">
        <f ca="1">ROUND(Отчетность!BE25,0)*Flag_Forecast</f>
        <v>2698953</v>
      </c>
      <c r="BF1474" s="52">
        <f ca="1">ROUND(Отчетность!BF25,0)*Flag_Forecast</f>
        <v>2867664</v>
      </c>
      <c r="BG1474" s="52">
        <f ca="1">ROUND(Отчетность!BG25,0)*Flag_Forecast</f>
        <v>2966141</v>
      </c>
      <c r="BH1474" s="52">
        <f ca="1">ROUND(Отчетность!BH25,0)*Flag_Forecast</f>
        <v>2932829</v>
      </c>
      <c r="BI1474" s="52">
        <f ca="1">ROUND(Отчетность!BI25,0)*Flag_Forecast</f>
        <v>2933484</v>
      </c>
      <c r="BJ1474" s="52">
        <f ca="1">ROUND(Отчетность!BJ25,0)*Flag_Forecast</f>
        <v>2923856</v>
      </c>
      <c r="BK1474" s="52">
        <f ca="1">ROUND(Отчетность!BK25,0)*Flag_Forecast</f>
        <v>2838585</v>
      </c>
      <c r="BL1474" s="52">
        <f ca="1">ROUND(Отчетность!BL25,0)*Flag_Forecast</f>
        <v>2805244</v>
      </c>
      <c r="BM1474" s="52">
        <f ca="1">ROUND(Отчетность!BM25,0)*Flag_Forecast</f>
        <v>2807227</v>
      </c>
      <c r="BN1474" s="52">
        <f ca="1">ROUND(Отчетность!BN25,0)*Flag_Forecast</f>
        <v>2798517</v>
      </c>
      <c r="BO1474" s="52">
        <f ca="1">ROUND(Отчетность!BO25,0)*Flag_Forecast</f>
        <v>2711138</v>
      </c>
      <c r="BP1474" s="52">
        <f ca="1">ROUND(Отчетность!BP25,0)*Flag_Forecast</f>
        <v>2677766</v>
      </c>
      <c r="BQ1474" s="52">
        <f ca="1">ROUND(Отчетность!BQ25,0)*Flag_Forecast</f>
        <v>2681131</v>
      </c>
      <c r="BR1474" s="52">
        <f ca="1">ROUND(Отчетность!BR25,0)*Flag_Forecast</f>
        <v>2673375</v>
      </c>
      <c r="BS1474" s="52">
        <f ca="1">ROUND(Отчетность!BS25,0)*Flag_Forecast</f>
        <v>2583804</v>
      </c>
      <c r="BT1474" s="52">
        <f ca="1">ROUND(Отчетность!BT25,0)*Flag_Forecast</f>
        <v>2549665</v>
      </c>
      <c r="BU1474" s="52">
        <f ca="1">ROUND(Отчетность!BU25,0)*Flag_Forecast</f>
        <v>2555201</v>
      </c>
      <c r="BV1474" s="52">
        <f ca="1">ROUND(Отчетность!BV25,0)*Flag_Forecast</f>
        <v>2548438</v>
      </c>
      <c r="BW1474" s="52">
        <f ca="1">ROUND(Отчетность!BW25,0)*Flag_Forecast</f>
        <v>2456586</v>
      </c>
      <c r="BX1474" s="52">
        <f ca="1">ROUND(Отчетность!BX25,0)*Flag_Forecast</f>
        <v>2423148</v>
      </c>
      <c r="BY1474" s="52">
        <f ca="1">ROUND(Отчетность!BY25,0)*Flag_Forecast</f>
        <v>2429445</v>
      </c>
      <c r="BZ1474" s="52">
        <f ca="1">ROUND(Отчетность!BZ25,0)*Flag_Forecast</f>
        <v>2423714</v>
      </c>
      <c r="CA1474" s="52">
        <f ca="1">ROUND(Отчетность!CA25,0)*Flag_Forecast</f>
        <v>2329491</v>
      </c>
      <c r="CB1474" s="52">
        <f ca="1">ROUND(Отчетность!CB25,0)*Flag_Forecast</f>
        <v>2296018</v>
      </c>
      <c r="CC1474" s="52">
        <f ca="1">ROUND(Отчетность!CC25,0)*Flag_Forecast</f>
        <v>2303870</v>
      </c>
      <c r="CD1474" s="52">
        <f ca="1">ROUND(Отчетность!CD25,0)*Flag_Forecast</f>
        <v>2299212</v>
      </c>
      <c r="CE1474" s="52">
        <f ca="1">ROUND(Отчетность!CE25,0)*Flag_Forecast</f>
        <v>2202522</v>
      </c>
      <c r="CF1474" s="52">
        <f ca="1">ROUND(Отчетность!CF25,0)*Flag_Forecast</f>
        <v>2169013</v>
      </c>
      <c r="CG1474" s="52">
        <f ca="1">ROUND(Отчетность!CG25,0)*Flag_Forecast</f>
        <v>2178481</v>
      </c>
      <c r="CH1474" s="52">
        <f ca="1">ROUND(Отчетность!CH25,0)*Flag_Forecast</f>
        <v>2174940</v>
      </c>
      <c r="CI1474" s="52">
        <f ca="1">ROUND(Отчетность!CI25,0)*Flag_Forecast</f>
        <v>2075686</v>
      </c>
      <c r="CJ1474" s="52">
        <f ca="1">ROUND(Отчетность!CJ25,0)*Flag_Forecast</f>
        <v>2041280</v>
      </c>
      <c r="CK1474" s="52">
        <f ca="1">ROUND(Отчетность!CK25,0)*Flag_Forecast</f>
        <v>2053288</v>
      </c>
      <c r="CL1474" s="52">
        <f ca="1">ROUND(Отчетность!CL25,0)*Flag_Forecast</f>
        <v>2050908</v>
      </c>
      <c r="CM1474" s="52">
        <f ca="1">ROUND(Отчетность!CM25,0)*Flag_Forecast</f>
        <v>1948986</v>
      </c>
      <c r="CN1474" s="52">
        <f ca="1">ROUND(Отчетность!CN25,0)*Flag_Forecast</f>
        <v>1915399</v>
      </c>
      <c r="CO1474" s="52">
        <f ca="1">ROUND(Отчетность!CO25,0)*Flag_Forecast</f>
        <v>1928298</v>
      </c>
    </row>
    <row r="1475" spans="1:93">
      <c r="A1475" s="10"/>
      <c r="B1475" s="10"/>
      <c r="C1475" s="21" t="s">
        <v>244</v>
      </c>
      <c r="D1475" s="10"/>
      <c r="E1475" s="62"/>
      <c r="F1475" s="10"/>
      <c r="G1475" s="134" t="str">
        <f>Monetary_Unit</f>
        <v>тыс. руб.</v>
      </c>
      <c r="H1475" s="10"/>
      <c r="I1475" s="10"/>
      <c r="J1475" s="10"/>
      <c r="K1475" s="10"/>
      <c r="L1475" s="52">
        <f ca="1">ROUND(Отчетность!L25+Отчетность!L30,0)*Flag_Forecast</f>
        <v>31406</v>
      </c>
      <c r="M1475" s="52">
        <f ca="1">ROUND(Отчетность!M25+Отчетность!M30,0)*Flag_Forecast</f>
        <v>63258</v>
      </c>
      <c r="N1475" s="52">
        <f ca="1">ROUND(Отчетность!N25+Отчетность!N30,0)*Flag_Forecast</f>
        <v>95562</v>
      </c>
      <c r="O1475" s="52">
        <f ca="1">ROUND(Отчетность!O25+Отчетность!O30,0)*Flag_Forecast</f>
        <v>128325</v>
      </c>
      <c r="P1475" s="52">
        <f ca="1">ROUND(Отчетность!P25+Отчетность!P30,0)*Flag_Forecast</f>
        <v>403916</v>
      </c>
      <c r="Q1475" s="52">
        <f ca="1">ROUND(Отчетность!Q25+Отчетность!Q30,0)*Flag_Forecast</f>
        <v>682223</v>
      </c>
      <c r="R1475" s="52">
        <f ca="1">ROUND(Отчетность!R25+Отчетность!R30,0)*Flag_Forecast</f>
        <v>963273</v>
      </c>
      <c r="S1475" s="52">
        <f ca="1">ROUND(Отчетность!S25+Отчетность!S30,0)*Flag_Forecast</f>
        <v>1247830</v>
      </c>
      <c r="T1475" s="52">
        <f ca="1">ROUND(Отчетность!T25+Отчетность!T30,0)*Flag_Forecast</f>
        <v>1541026</v>
      </c>
      <c r="U1475" s="52">
        <f ca="1">ROUND(Отчетность!U25+Отчетность!U30,0)*Flag_Forecast</f>
        <v>1840890</v>
      </c>
      <c r="V1475" s="52">
        <f ca="1">ROUND(Отчетность!V25+Отчетность!V30,0)*Flag_Forecast</f>
        <v>2147571</v>
      </c>
      <c r="W1475" s="52">
        <f ca="1">ROUND(Отчетность!W25+Отчетность!W30,0)*Flag_Forecast</f>
        <v>2461019</v>
      </c>
      <c r="X1475" s="52">
        <f ca="1">ROUND(Отчетность!X25+Отчетность!X30,0)*Flag_Forecast</f>
        <v>3107673</v>
      </c>
      <c r="Y1475" s="52">
        <f ca="1">ROUND(Отчетность!Y25+Отчетность!Y30,0)*Flag_Forecast</f>
        <v>3768628</v>
      </c>
      <c r="Z1475" s="52">
        <f ca="1">ROUND(Отчетность!Z25+Отчетность!Z30,0)*Flag_Forecast</f>
        <v>4444472</v>
      </c>
      <c r="AA1475" s="52">
        <f ca="1">ROUND(Отчетность!AA25+Отчетность!AA30,0)*Flag_Forecast</f>
        <v>5134992</v>
      </c>
      <c r="AB1475" s="52">
        <f ca="1">ROUND(Отчетность!AB25+Отчетность!AB30,0)*Flag_Forecast</f>
        <v>6025459</v>
      </c>
      <c r="AC1475" s="52">
        <f ca="1">ROUND(Отчетность!AC25+Отчетность!AC30,0)*Flag_Forecast</f>
        <v>5905202</v>
      </c>
      <c r="AD1475" s="52">
        <f ca="1">ROUND(Отчетность!AD25+Отчетность!AD30,0)*Flag_Forecast</f>
        <v>5783564</v>
      </c>
      <c r="AE1475" s="52">
        <f ca="1">ROUND(Отчетность!AE25+Отчетность!AE30,0)*Flag_Forecast</f>
        <v>5660224</v>
      </c>
      <c r="AF1475" s="52">
        <f ca="1">ROUND(Отчетность!AF25+Отчетность!AF30,0)*Flag_Forecast</f>
        <v>5534618</v>
      </c>
      <c r="AG1475" s="52">
        <f ca="1">ROUND(Отчетность!AG25+Отчетность!AG30,0)*Flag_Forecast</f>
        <v>5407557</v>
      </c>
      <c r="AH1475" s="52">
        <f ca="1">ROUND(Отчетность!AH25+Отчетность!AH30,0)*Flag_Forecast</f>
        <v>5278994</v>
      </c>
      <c r="AI1475" s="52">
        <f ca="1">ROUND(Отчетность!AI25+Отчетность!AI30,0)*Flag_Forecast</f>
        <v>5148632</v>
      </c>
      <c r="AJ1475" s="52">
        <f ca="1">ROUND(Отчетность!AJ25+Отчетность!AJ30,0)*Flag_Forecast</f>
        <v>5015964</v>
      </c>
      <c r="AK1475" s="52">
        <f ca="1">ROUND(Отчетность!AK25+Отчетность!AK30,0)*Flag_Forecast</f>
        <v>4881714</v>
      </c>
      <c r="AL1475" s="52">
        <f ca="1">ROUND(Отчетность!AL25+Отчетность!AL30,0)*Flag_Forecast</f>
        <v>4745832</v>
      </c>
      <c r="AM1475" s="52">
        <f ca="1">ROUND(Отчетность!AM25+Отчетность!AM30,0)*Flag_Forecast</f>
        <v>4608049</v>
      </c>
      <c r="AN1475" s="52">
        <f ca="1">ROUND(Отчетность!AN25+Отчетность!AN30,0)*Flag_Forecast</f>
        <v>4468078</v>
      </c>
      <c r="AO1475" s="52">
        <f ca="1">ROUND(Отчетность!AO25+Отчетность!AO30,0)*Flag_Forecast</f>
        <v>4375656</v>
      </c>
      <c r="AP1475" s="52">
        <f ca="1">ROUND(Отчетность!AP25+Отчетность!AP30,0)*Flag_Forecast</f>
        <v>4376916</v>
      </c>
      <c r="AQ1475" s="52">
        <f ca="1">ROUND(Отчетность!AQ25+Отчетность!AQ30,0)*Flag_Forecast</f>
        <v>4185225</v>
      </c>
      <c r="AR1475" s="52">
        <f ca="1">ROUND(Отчетность!AR25+Отчетность!AR30,0)*Flag_Forecast</f>
        <v>4081374</v>
      </c>
      <c r="AS1475" s="52">
        <f ca="1">ROUND(Отчетность!AS25+Отчетность!AS30,0)*Flag_Forecast</f>
        <v>4091600</v>
      </c>
      <c r="AT1475" s="52">
        <f ca="1">ROUND(Отчетность!AT25+Отчетность!AT30,0)*Flag_Forecast</f>
        <v>4095413</v>
      </c>
      <c r="AU1475" s="52">
        <f ca="1">ROUND(Отчетность!AU25+Отчетность!AU30,0)*Flag_Forecast</f>
        <v>3899008</v>
      </c>
      <c r="AV1475" s="52">
        <f ca="1">ROUND(Отчетность!AV25+Отчетность!AV30,0)*Flag_Forecast</f>
        <v>3793957</v>
      </c>
      <c r="AW1475" s="52">
        <f ca="1">ROUND(Отчетность!AW25+Отчетность!AW30,0)*Flag_Forecast</f>
        <v>3633934</v>
      </c>
      <c r="AX1475" s="52">
        <f ca="1">ROUND(Отчетность!AX25+Отчетность!AX30,0)*Flag_Forecast</f>
        <v>3548658</v>
      </c>
      <c r="AY1475" s="52">
        <f ca="1">ROUND(Отчетность!AY25+Отчетность!AY30,0)*Flag_Forecast</f>
        <v>3427958</v>
      </c>
      <c r="AZ1475" s="52">
        <f ca="1">ROUND(Отчетность!AZ25+Отчетность!AZ30,0)*Flag_Forecast</f>
        <v>3353423</v>
      </c>
      <c r="BA1475" s="52">
        <f ca="1">ROUND(Отчетность!BA25+Отчетность!BA30,0)*Flag_Forecast</f>
        <v>3310292</v>
      </c>
      <c r="BB1475" s="52">
        <f ca="1">ROUND(Отчетность!BB25+Отчетность!BB30,0)*Flag_Forecast</f>
        <v>3257654</v>
      </c>
      <c r="BC1475" s="52">
        <f ca="1">ROUND(Отчетность!BC25+Отчетность!BC30,0)*Flag_Forecast</f>
        <v>3135080</v>
      </c>
      <c r="BD1475" s="52">
        <f ca="1">ROUND(Отчетность!BD25+Отчетность!BD30,0)*Flag_Forecast</f>
        <v>3059890</v>
      </c>
      <c r="BE1475" s="52">
        <f ca="1">ROUND(Отчетность!BE25+Отчетность!BE30,0)*Flag_Forecast</f>
        <v>3059895</v>
      </c>
      <c r="BF1475" s="52">
        <f ca="1">ROUND(Отчетность!BF25+Отчетность!BF30,0)*Flag_Forecast</f>
        <v>3049385</v>
      </c>
      <c r="BG1475" s="52">
        <f ca="1">ROUND(Отчетность!BG25+Отчетность!BG30,0)*Flag_Forecast</f>
        <v>2966141</v>
      </c>
      <c r="BH1475" s="52">
        <f ca="1">ROUND(Отчетность!BH25+Отчетность!BH30,0)*Flag_Forecast</f>
        <v>2932829</v>
      </c>
      <c r="BI1475" s="52">
        <f ca="1">ROUND(Отчетность!BI25+Отчетность!BI30,0)*Flag_Forecast</f>
        <v>2933484</v>
      </c>
      <c r="BJ1475" s="52">
        <f ca="1">ROUND(Отчетность!BJ25+Отчетность!BJ30,0)*Flag_Forecast</f>
        <v>2923856</v>
      </c>
      <c r="BK1475" s="52">
        <f ca="1">ROUND(Отчетность!BK25+Отчетность!BK30,0)*Flag_Forecast</f>
        <v>2838585</v>
      </c>
      <c r="BL1475" s="52">
        <f ca="1">ROUND(Отчетность!BL25+Отчетность!BL30,0)*Flag_Forecast</f>
        <v>2805244</v>
      </c>
      <c r="BM1475" s="52">
        <f ca="1">ROUND(Отчетность!BM25+Отчетность!BM30,0)*Flag_Forecast</f>
        <v>2807227</v>
      </c>
      <c r="BN1475" s="52">
        <f ca="1">ROUND(Отчетность!BN25+Отчетность!BN30,0)*Flag_Forecast</f>
        <v>2798517</v>
      </c>
      <c r="BO1475" s="52">
        <f ca="1">ROUND(Отчетность!BO25+Отчетность!BO30,0)*Flag_Forecast</f>
        <v>2711138</v>
      </c>
      <c r="BP1475" s="52">
        <f ca="1">ROUND(Отчетность!BP25+Отчетность!BP30,0)*Flag_Forecast</f>
        <v>2677766</v>
      </c>
      <c r="BQ1475" s="52">
        <f ca="1">ROUND(Отчетность!BQ25+Отчетность!BQ30,0)*Flag_Forecast</f>
        <v>2681131</v>
      </c>
      <c r="BR1475" s="52">
        <f ca="1">ROUND(Отчетность!BR25+Отчетность!BR30,0)*Flag_Forecast</f>
        <v>2673375</v>
      </c>
      <c r="BS1475" s="52">
        <f ca="1">ROUND(Отчетность!BS25+Отчетность!BS30,0)*Flag_Forecast</f>
        <v>2583804</v>
      </c>
      <c r="BT1475" s="52">
        <f ca="1">ROUND(Отчетность!BT25+Отчетность!BT30,0)*Flag_Forecast</f>
        <v>2549665</v>
      </c>
      <c r="BU1475" s="52">
        <f ca="1">ROUND(Отчетность!BU25+Отчетность!BU30,0)*Flag_Forecast</f>
        <v>2555201</v>
      </c>
      <c r="BV1475" s="52">
        <f ca="1">ROUND(Отчетность!BV25+Отчетность!BV30,0)*Flag_Forecast</f>
        <v>2548438</v>
      </c>
      <c r="BW1475" s="52">
        <f ca="1">ROUND(Отчетность!BW25+Отчетность!BW30,0)*Flag_Forecast</f>
        <v>2456586</v>
      </c>
      <c r="BX1475" s="52">
        <f ca="1">ROUND(Отчетность!BX25+Отчетность!BX30,0)*Flag_Forecast</f>
        <v>2423148</v>
      </c>
      <c r="BY1475" s="52">
        <f ca="1">ROUND(Отчетность!BY25+Отчетность!BY30,0)*Flag_Forecast</f>
        <v>2429445</v>
      </c>
      <c r="BZ1475" s="52">
        <f ca="1">ROUND(Отчетность!BZ25+Отчетность!BZ30,0)*Flag_Forecast</f>
        <v>2423714</v>
      </c>
      <c r="CA1475" s="52">
        <f ca="1">ROUND(Отчетность!CA25+Отчетность!CA30,0)*Flag_Forecast</f>
        <v>2329491</v>
      </c>
      <c r="CB1475" s="52">
        <f ca="1">ROUND(Отчетность!CB25+Отчетность!CB30,0)*Flag_Forecast</f>
        <v>2296018</v>
      </c>
      <c r="CC1475" s="52">
        <f ca="1">ROUND(Отчетность!CC25+Отчетность!CC30,0)*Flag_Forecast</f>
        <v>2303870</v>
      </c>
      <c r="CD1475" s="52">
        <f ca="1">ROUND(Отчетность!CD25+Отчетность!CD30,0)*Flag_Forecast</f>
        <v>2299212</v>
      </c>
      <c r="CE1475" s="52">
        <f ca="1">ROUND(Отчетность!CE25+Отчетность!CE30,0)*Flag_Forecast</f>
        <v>2202522</v>
      </c>
      <c r="CF1475" s="52">
        <f ca="1">ROUND(Отчетность!CF25+Отчетность!CF30,0)*Flag_Forecast</f>
        <v>2169013</v>
      </c>
      <c r="CG1475" s="52">
        <f ca="1">ROUND(Отчетность!CG25+Отчетность!CG30,0)*Flag_Forecast</f>
        <v>2178481</v>
      </c>
      <c r="CH1475" s="52">
        <f ca="1">ROUND(Отчетность!CH25+Отчетность!CH30,0)*Flag_Forecast</f>
        <v>2174940</v>
      </c>
      <c r="CI1475" s="52">
        <f ca="1">ROUND(Отчетность!CI25+Отчетность!CI30,0)*Flag_Forecast</f>
        <v>2075686</v>
      </c>
      <c r="CJ1475" s="52">
        <f ca="1">ROUND(Отчетность!CJ25+Отчетность!CJ30,0)*Flag_Forecast</f>
        <v>2041280</v>
      </c>
      <c r="CK1475" s="52">
        <f ca="1">ROUND(Отчетность!CK25+Отчетность!CK30,0)*Flag_Forecast</f>
        <v>2053288</v>
      </c>
      <c r="CL1475" s="52">
        <f ca="1">ROUND(Отчетность!CL25+Отчетность!CL30,0)*Flag_Forecast</f>
        <v>2050908</v>
      </c>
      <c r="CM1475" s="52">
        <f ca="1">ROUND(Отчетность!CM25+Отчетность!CM30,0)*Flag_Forecast</f>
        <v>1948986</v>
      </c>
      <c r="CN1475" s="52">
        <f ca="1">ROUND(Отчетность!CN25+Отчетность!CN30,0)*Flag_Forecast</f>
        <v>1915399</v>
      </c>
      <c r="CO1475" s="52">
        <f ca="1">ROUND(Отчетность!CO25+Отчетность!CO30,0)*Flag_Forecast</f>
        <v>1928298</v>
      </c>
    </row>
    <row r="1476" spans="1:93">
      <c r="A1476" s="10"/>
      <c r="B1476" s="10"/>
      <c r="C1476" s="22"/>
      <c r="D1476" s="10"/>
      <c r="E1476" s="62"/>
      <c r="F1476" s="10"/>
      <c r="G1476" s="11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  <c r="AY1476" s="10"/>
      <c r="AZ1476" s="10"/>
      <c r="BA1476" s="10"/>
      <c r="BB1476" s="10"/>
      <c r="BC1476" s="10"/>
      <c r="BD1476" s="10"/>
      <c r="BE1476" s="10"/>
      <c r="BF1476" s="10"/>
      <c r="BG1476" s="10"/>
      <c r="BH1476" s="10"/>
      <c r="BI1476" s="10"/>
      <c r="BJ1476" s="10"/>
      <c r="BK1476" s="10"/>
      <c r="BL1476" s="10"/>
      <c r="BM1476" s="10"/>
      <c r="BN1476" s="10"/>
      <c r="BO1476" s="10"/>
      <c r="BP1476" s="10"/>
      <c r="BQ1476" s="10"/>
      <c r="BR1476" s="10"/>
      <c r="BS1476" s="10"/>
      <c r="BT1476" s="10"/>
      <c r="BU1476" s="10"/>
      <c r="BV1476" s="10"/>
      <c r="BW1476" s="10"/>
      <c r="BX1476" s="10"/>
      <c r="BY1476" s="10"/>
      <c r="BZ1476" s="10"/>
      <c r="CA1476" s="10"/>
      <c r="CB1476" s="10"/>
      <c r="CC1476" s="10"/>
      <c r="CD1476" s="10"/>
      <c r="CE1476" s="10"/>
      <c r="CF1476" s="10"/>
      <c r="CG1476" s="10"/>
      <c r="CH1476" s="10"/>
      <c r="CI1476" s="10"/>
      <c r="CJ1476" s="10"/>
      <c r="CK1476" s="10"/>
      <c r="CL1476" s="10"/>
      <c r="CM1476" s="10"/>
      <c r="CN1476" s="10"/>
      <c r="CO1476" s="10"/>
    </row>
    <row r="1477" spans="1:93" ht="22.5" customHeight="1">
      <c r="A1477" s="10"/>
      <c r="B1477" s="5" t="s">
        <v>559</v>
      </c>
      <c r="C1477" s="5"/>
      <c r="D1477" s="15"/>
      <c r="E1477" s="5"/>
      <c r="F1477" s="5"/>
      <c r="G1477" s="6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5"/>
      <c r="BP1477" s="5"/>
      <c r="BQ1477" s="5"/>
      <c r="BR1477" s="5"/>
      <c r="BS1477" s="5"/>
      <c r="BT1477" s="5"/>
      <c r="BU1477" s="5"/>
      <c r="BV1477" s="5"/>
      <c r="BW1477" s="5"/>
      <c r="BX1477" s="5"/>
      <c r="BY1477" s="5"/>
      <c r="BZ1477" s="5"/>
      <c r="CA1477" s="5"/>
      <c r="CB1477" s="5"/>
      <c r="CC1477" s="5"/>
      <c r="CD1477" s="5"/>
      <c r="CE1477" s="5"/>
      <c r="CF1477" s="5"/>
      <c r="CG1477" s="5"/>
      <c r="CH1477" s="5"/>
      <c r="CI1477" s="5"/>
      <c r="CJ1477" s="5"/>
      <c r="CK1477" s="5"/>
      <c r="CL1477" s="5"/>
      <c r="CM1477" s="5"/>
      <c r="CN1477" s="5"/>
      <c r="CO1477" s="5"/>
    </row>
    <row r="1478" spans="1:93">
      <c r="A1478" s="10"/>
      <c r="B1478" s="10"/>
      <c r="C1478" s="10"/>
      <c r="D1478" s="10"/>
      <c r="E1478" s="10"/>
      <c r="F1478" s="10"/>
      <c r="G1478" s="11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  <c r="AY1478" s="10"/>
      <c r="AZ1478" s="10"/>
      <c r="BA1478" s="10"/>
      <c r="BB1478" s="10"/>
      <c r="BC1478" s="10"/>
      <c r="BD1478" s="10"/>
      <c r="BE1478" s="10"/>
      <c r="BF1478" s="10"/>
      <c r="BG1478" s="10"/>
      <c r="BH1478" s="10"/>
      <c r="BI1478" s="10"/>
      <c r="BJ1478" s="10"/>
      <c r="BK1478" s="10"/>
      <c r="BL1478" s="10"/>
      <c r="BM1478" s="10"/>
      <c r="BN1478" s="10"/>
      <c r="BO1478" s="10"/>
      <c r="BP1478" s="10"/>
      <c r="BQ1478" s="10"/>
      <c r="BR1478" s="10"/>
      <c r="BS1478" s="10"/>
      <c r="BT1478" s="10"/>
      <c r="BU1478" s="10"/>
      <c r="BV1478" s="10"/>
      <c r="BW1478" s="10"/>
      <c r="BX1478" s="10"/>
      <c r="BY1478" s="10"/>
      <c r="BZ1478" s="10"/>
      <c r="CA1478" s="10"/>
      <c r="CB1478" s="10"/>
      <c r="CC1478" s="10"/>
      <c r="CD1478" s="10"/>
      <c r="CE1478" s="10"/>
      <c r="CF1478" s="10"/>
      <c r="CG1478" s="10"/>
      <c r="CH1478" s="10"/>
      <c r="CI1478" s="10"/>
      <c r="CJ1478" s="10"/>
      <c r="CK1478" s="10"/>
      <c r="CL1478" s="10"/>
      <c r="CM1478" s="10"/>
      <c r="CN1478" s="10"/>
      <c r="CO1478" s="10"/>
    </row>
    <row r="1479" spans="1:93">
      <c r="A1479" s="10"/>
      <c r="B1479" s="10"/>
      <c r="C1479" s="198" t="s">
        <v>245</v>
      </c>
      <c r="D1479" s="10"/>
      <c r="E1479" s="10"/>
      <c r="F1479" s="10"/>
      <c r="G1479" s="11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  <c r="AY1479" s="10"/>
      <c r="AZ1479" s="10"/>
      <c r="BA1479" s="10"/>
      <c r="BB1479" s="10"/>
      <c r="BC1479" s="10"/>
      <c r="BD1479" s="10"/>
      <c r="BE1479" s="10"/>
      <c r="BF1479" s="10"/>
      <c r="BG1479" s="10"/>
      <c r="BH1479" s="10"/>
      <c r="BI1479" s="10"/>
      <c r="BJ1479" s="10"/>
      <c r="BK1479" s="10"/>
      <c r="BL1479" s="10"/>
      <c r="BM1479" s="10"/>
      <c r="BN1479" s="10"/>
      <c r="BO1479" s="10"/>
      <c r="BP1479" s="10"/>
      <c r="BQ1479" s="10"/>
      <c r="BR1479" s="10"/>
      <c r="BS1479" s="10"/>
      <c r="BT1479" s="10"/>
      <c r="BU1479" s="10"/>
      <c r="BV1479" s="10"/>
      <c r="BW1479" s="10"/>
      <c r="BX1479" s="10"/>
      <c r="BY1479" s="10"/>
      <c r="BZ1479" s="10"/>
      <c r="CA1479" s="10"/>
      <c r="CB1479" s="10"/>
      <c r="CC1479" s="10"/>
      <c r="CD1479" s="10"/>
      <c r="CE1479" s="10"/>
      <c r="CF1479" s="10"/>
      <c r="CG1479" s="10"/>
      <c r="CH1479" s="10"/>
      <c r="CI1479" s="10"/>
      <c r="CJ1479" s="10"/>
      <c r="CK1479" s="10"/>
      <c r="CL1479" s="10"/>
      <c r="CM1479" s="10"/>
      <c r="CN1479" s="10"/>
      <c r="CO1479" s="10"/>
    </row>
    <row r="1480" spans="1:93">
      <c r="A1480" s="10"/>
      <c r="B1480" s="10"/>
      <c r="C1480" s="17" t="s">
        <v>185</v>
      </c>
      <c r="D1480" s="10"/>
      <c r="E1480" s="10"/>
      <c r="F1480" s="10"/>
      <c r="G1480" s="11" t="str">
        <f>Monetary_Unit</f>
        <v>тыс. руб.</v>
      </c>
      <c r="H1480" s="10"/>
      <c r="I1480" s="10"/>
      <c r="J1480" s="10"/>
      <c r="K1480" s="10"/>
      <c r="L1480" s="452">
        <f t="shared" ref="L1480:AQ1480" ca="1" si="9051">(CFADS+Subord_Drawdown+IF($E$1194="да",Cash_BoP,0))*Flag_Operations</f>
        <v>0</v>
      </c>
      <c r="M1480" s="452">
        <f t="shared" ca="1" si="9051"/>
        <v>0</v>
      </c>
      <c r="N1480" s="452">
        <f t="shared" ca="1" si="9051"/>
        <v>0</v>
      </c>
      <c r="O1480" s="452">
        <f t="shared" ca="1" si="9051"/>
        <v>0</v>
      </c>
      <c r="P1480" s="452">
        <f t="shared" ca="1" si="9051"/>
        <v>0</v>
      </c>
      <c r="Q1480" s="452">
        <f t="shared" ca="1" si="9051"/>
        <v>0</v>
      </c>
      <c r="R1480" s="452">
        <f t="shared" ca="1" si="9051"/>
        <v>0</v>
      </c>
      <c r="S1480" s="452">
        <f t="shared" ca="1" si="9051"/>
        <v>0</v>
      </c>
      <c r="T1480" s="452">
        <f t="shared" ca="1" si="9051"/>
        <v>0</v>
      </c>
      <c r="U1480" s="452">
        <f t="shared" ca="1" si="9051"/>
        <v>0</v>
      </c>
      <c r="V1480" s="452">
        <f t="shared" ca="1" si="9051"/>
        <v>0</v>
      </c>
      <c r="W1480" s="452">
        <f t="shared" ca="1" si="9051"/>
        <v>0</v>
      </c>
      <c r="X1480" s="452">
        <f t="shared" ca="1" si="9051"/>
        <v>0</v>
      </c>
      <c r="Y1480" s="452">
        <f t="shared" ca="1" si="9051"/>
        <v>0</v>
      </c>
      <c r="Z1480" s="452">
        <f t="shared" ca="1" si="9051"/>
        <v>0</v>
      </c>
      <c r="AA1480" s="452">
        <f t="shared" ca="1" si="9051"/>
        <v>0</v>
      </c>
      <c r="AB1480" s="452">
        <f t="shared" ca="1" si="9051"/>
        <v>0</v>
      </c>
      <c r="AC1480" s="452">
        <f t="shared" ca="1" si="9051"/>
        <v>870232.3965845874</v>
      </c>
      <c r="AD1480" s="452">
        <f t="shared" ca="1" si="9051"/>
        <v>950577.52883955278</v>
      </c>
      <c r="AE1480" s="452">
        <f t="shared" ca="1" si="9051"/>
        <v>867702.24970280298</v>
      </c>
      <c r="AF1480" s="452">
        <f t="shared" ca="1" si="9051"/>
        <v>830152.99473578006</v>
      </c>
      <c r="AG1480" s="452">
        <f t="shared" ca="1" si="9051"/>
        <v>801244.28541601275</v>
      </c>
      <c r="AH1480" s="452">
        <f t="shared" ca="1" si="9051"/>
        <v>755249.7177689767</v>
      </c>
      <c r="AI1480" s="452">
        <f t="shared" ca="1" si="9051"/>
        <v>658789.06674414803</v>
      </c>
      <c r="AJ1480" s="452">
        <f t="shared" ca="1" si="9051"/>
        <v>616411.57578917791</v>
      </c>
      <c r="AK1480" s="452">
        <f t="shared" ca="1" si="9051"/>
        <v>584370.98408819432</v>
      </c>
      <c r="AL1480" s="452">
        <f t="shared" ca="1" si="9051"/>
        <v>532219.78903673554</v>
      </c>
      <c r="AM1480" s="452">
        <f t="shared" ca="1" si="9051"/>
        <v>421303.36232848174</v>
      </c>
      <c r="AN1480" s="452">
        <f t="shared" ca="1" si="9051"/>
        <v>375795.48280377197</v>
      </c>
      <c r="AO1480" s="452">
        <f t="shared" ca="1" si="9051"/>
        <v>338410.18294039101</v>
      </c>
      <c r="AP1480" s="452">
        <f t="shared" ca="1" si="9051"/>
        <v>326091.39529012598</v>
      </c>
      <c r="AQ1480" s="452">
        <f t="shared" ca="1" si="9051"/>
        <v>345160.48852029972</v>
      </c>
      <c r="AR1480" s="452">
        <f t="shared" ref="AR1480:BW1480" ca="1" si="9052">(CFADS+Subord_Drawdown+IF($E$1194="да",Cash_BoP,0))*Flag_Operations</f>
        <v>245562.49792075154</v>
      </c>
      <c r="AS1480" s="452">
        <f t="shared" ca="1" si="9052"/>
        <v>246113.70882875129</v>
      </c>
      <c r="AT1480" s="452">
        <f t="shared" ca="1" si="9052"/>
        <v>337076.85495761334</v>
      </c>
      <c r="AU1480" s="452">
        <f t="shared" ca="1" si="9052"/>
        <v>351177.08044978726</v>
      </c>
      <c r="AV1480" s="452">
        <f t="shared" ca="1" si="9052"/>
        <v>248086.55026546764</v>
      </c>
      <c r="AW1480" s="452">
        <f t="shared" ca="1" si="9052"/>
        <v>292165.11672781332</v>
      </c>
      <c r="AX1480" s="452">
        <f t="shared" ca="1" si="9052"/>
        <v>269191.79577147099</v>
      </c>
      <c r="AY1480" s="452">
        <f t="shared" ca="1" si="9052"/>
        <v>194949.11604679129</v>
      </c>
      <c r="AZ1480" s="452">
        <f t="shared" ca="1" si="9052"/>
        <v>184095.9215484591</v>
      </c>
      <c r="BA1480" s="452">
        <f t="shared" ca="1" si="9052"/>
        <v>184204.8972083446</v>
      </c>
      <c r="BB1480" s="452">
        <f t="shared" ca="1" si="9052"/>
        <v>246245.57558774002</v>
      </c>
      <c r="BC1480" s="452">
        <f t="shared" ca="1" si="9052"/>
        <v>202016.04742557846</v>
      </c>
      <c r="BD1480" s="452">
        <f t="shared" ca="1" si="9052"/>
        <v>184214.83910692509</v>
      </c>
      <c r="BE1480" s="452">
        <f t="shared" ca="1" si="9052"/>
        <v>186921.41067506073</v>
      </c>
      <c r="BF1480" s="452">
        <f t="shared" ca="1" si="9052"/>
        <v>253412.90176951466</v>
      </c>
      <c r="BG1480" s="452">
        <f t="shared" ca="1" si="9052"/>
        <v>207443.65395520223</v>
      </c>
      <c r="BH1480" s="452">
        <f t="shared" ca="1" si="9052"/>
        <v>149271.3857948205</v>
      </c>
      <c r="BI1480" s="452">
        <f t="shared" ca="1" si="9052"/>
        <v>194467.00727934242</v>
      </c>
      <c r="BJ1480" s="452">
        <f t="shared" ca="1" si="9052"/>
        <v>263143.28819603729</v>
      </c>
      <c r="BK1480" s="452">
        <f t="shared" ca="1" si="9052"/>
        <v>215603.7609729098</v>
      </c>
      <c r="BL1480" s="452">
        <f t="shared" ca="1" si="9052"/>
        <v>155296.66139235115</v>
      </c>
      <c r="BM1480" s="452">
        <f t="shared" ca="1" si="9052"/>
        <v>202301.54613887856</v>
      </c>
      <c r="BN1480" s="452">
        <f t="shared" ca="1" si="9052"/>
        <v>273726.34847685776</v>
      </c>
      <c r="BO1480" s="452">
        <f t="shared" ca="1" si="9052"/>
        <v>211339.56051991874</v>
      </c>
      <c r="BP1480" s="452">
        <f t="shared" ca="1" si="9052"/>
        <v>149413.85129333788</v>
      </c>
      <c r="BQ1480" s="452">
        <f t="shared" ca="1" si="9052"/>
        <v>190474.5039588192</v>
      </c>
      <c r="BR1480" s="452">
        <f t="shared" ca="1" si="9052"/>
        <v>258984.87029722304</v>
      </c>
      <c r="BS1480" s="452">
        <f t="shared" ca="1" si="9052"/>
        <v>219743.48235772018</v>
      </c>
      <c r="BT1480" s="452">
        <f t="shared" ca="1" si="9052"/>
        <v>157749.91729861218</v>
      </c>
      <c r="BU1480" s="452">
        <f t="shared" ca="1" si="9052"/>
        <v>197317.58972668709</v>
      </c>
      <c r="BV1480" s="452">
        <f t="shared" ca="1" si="9052"/>
        <v>269303.81083330908</v>
      </c>
      <c r="BW1480" s="452">
        <f t="shared" ca="1" si="9052"/>
        <v>228492.77329331194</v>
      </c>
      <c r="BX1480" s="452">
        <f t="shared" ref="BX1480:CO1480" ca="1" si="9053">(CFADS+Subord_Drawdown+IF($E$1194="да",Cash_BoP,0))*Flag_Operations</f>
        <v>161499.22810249944</v>
      </c>
      <c r="BY1480" s="452">
        <f t="shared" ca="1" si="9053"/>
        <v>205913.19083422472</v>
      </c>
      <c r="BZ1480" s="452">
        <f t="shared" ca="1" si="9053"/>
        <v>280016.72812416521</v>
      </c>
      <c r="CA1480" s="452">
        <f t="shared" ca="1" si="9053"/>
        <v>237573.24292879915</v>
      </c>
      <c r="CB1480" s="452">
        <f t="shared" ca="1" si="9053"/>
        <v>167906.9021982312</v>
      </c>
      <c r="CC1480" s="452">
        <f t="shared" ca="1" si="9053"/>
        <v>214098.72207169505</v>
      </c>
      <c r="CD1480" s="452">
        <f t="shared" ca="1" si="9053"/>
        <v>291167.7366661366</v>
      </c>
      <c r="CE1480" s="452">
        <f t="shared" ca="1" si="9053"/>
        <v>247026.51206295507</v>
      </c>
      <c r="CF1480" s="452">
        <f t="shared" ca="1" si="9053"/>
        <v>174570.84607735806</v>
      </c>
      <c r="CG1480" s="452">
        <f t="shared" ca="1" si="9053"/>
        <v>222611.67455866357</v>
      </c>
      <c r="CH1480" s="452">
        <f t="shared" ca="1" si="9053"/>
        <v>302764.78554978635</v>
      </c>
      <c r="CI1480" s="452">
        <f t="shared" ca="1" si="9053"/>
        <v>256857.91196247865</v>
      </c>
      <c r="CJ1480" s="452">
        <f t="shared" ca="1" si="9053"/>
        <v>184327.12636069866</v>
      </c>
      <c r="CK1480" s="452">
        <f t="shared" ca="1" si="9053"/>
        <v>230615.70664995754</v>
      </c>
      <c r="CL1480" s="452">
        <f t="shared" ca="1" si="9053"/>
        <v>314835.06059641473</v>
      </c>
      <c r="CM1480" s="452">
        <f t="shared" ca="1" si="9053"/>
        <v>267091.91898776783</v>
      </c>
      <c r="CN1480" s="452">
        <f t="shared" ca="1" si="9053"/>
        <v>188709.02758838091</v>
      </c>
      <c r="CO1480" s="452">
        <f t="shared" ca="1" si="9053"/>
        <v>240672.75455501606</v>
      </c>
    </row>
    <row r="1481" spans="1:93">
      <c r="A1481" s="10"/>
      <c r="B1481" s="10"/>
      <c r="C1481" s="17" t="s">
        <v>246</v>
      </c>
      <c r="D1481" s="10"/>
      <c r="E1481" s="10"/>
      <c r="F1481" s="10"/>
      <c r="G1481" s="11" t="str">
        <f>Monetary_Unit</f>
        <v>тыс. руб.</v>
      </c>
      <c r="H1481" s="10"/>
      <c r="I1481" s="10"/>
      <c r="J1481" s="10"/>
      <c r="K1481" s="10"/>
      <c r="L1481" s="52">
        <f t="shared" ref="L1481:BW1481" si="9054">-(Debt_Repaiment+Debt_Interest_Paid)*(ABS(Debt_Repaiment+Debt_Interest_Paid)&gt;Accuracy)*Flag_Operations</f>
        <v>0</v>
      </c>
      <c r="M1481" s="52">
        <f t="shared" si="9054"/>
        <v>0</v>
      </c>
      <c r="N1481" s="52">
        <f t="shared" si="9054"/>
        <v>0</v>
      </c>
      <c r="O1481" s="52">
        <f t="shared" si="9054"/>
        <v>0</v>
      </c>
      <c r="P1481" s="52">
        <f t="shared" si="9054"/>
        <v>0</v>
      </c>
      <c r="Q1481" s="52">
        <f t="shared" si="9054"/>
        <v>0</v>
      </c>
      <c r="R1481" s="52">
        <f t="shared" si="9054"/>
        <v>0</v>
      </c>
      <c r="S1481" s="52">
        <f t="shared" si="9054"/>
        <v>0</v>
      </c>
      <c r="T1481" s="52">
        <f t="shared" si="9054"/>
        <v>0</v>
      </c>
      <c r="U1481" s="52">
        <f t="shared" si="9054"/>
        <v>0</v>
      </c>
      <c r="V1481" s="52">
        <f t="shared" si="9054"/>
        <v>0</v>
      </c>
      <c r="W1481" s="52">
        <f t="shared" si="9054"/>
        <v>0</v>
      </c>
      <c r="X1481" s="52">
        <f t="shared" si="9054"/>
        <v>0</v>
      </c>
      <c r="Y1481" s="52">
        <f t="shared" si="9054"/>
        <v>0</v>
      </c>
      <c r="Z1481" s="52">
        <f t="shared" si="9054"/>
        <v>0</v>
      </c>
      <c r="AA1481" s="52">
        <f t="shared" si="9054"/>
        <v>0</v>
      </c>
      <c r="AB1481" s="52">
        <f t="shared" si="9054"/>
        <v>0</v>
      </c>
      <c r="AC1481" s="52">
        <f t="shared" si="9054"/>
        <v>184129.98233729877</v>
      </c>
      <c r="AD1481" s="52">
        <f t="shared" si="9054"/>
        <v>184529.92608404497</v>
      </c>
      <c r="AE1481" s="52">
        <f t="shared" si="9054"/>
        <v>184529.92645086435</v>
      </c>
      <c r="AF1481" s="52">
        <f t="shared" si="9054"/>
        <v>183778.37545030384</v>
      </c>
      <c r="AG1481" s="52">
        <f t="shared" si="9054"/>
        <v>184141.84230996619</v>
      </c>
      <c r="AH1481" s="52">
        <f t="shared" si="9054"/>
        <v>184493.56977985476</v>
      </c>
      <c r="AI1481" s="52">
        <f t="shared" si="9054"/>
        <v>184493.570218026</v>
      </c>
      <c r="AJ1481" s="52">
        <f t="shared" si="9054"/>
        <v>183839.35101372047</v>
      </c>
      <c r="AK1481" s="52">
        <f t="shared" si="9054"/>
        <v>184153.95646721125</v>
      </c>
      <c r="AL1481" s="52">
        <f t="shared" si="9054"/>
        <v>184456.4683555825</v>
      </c>
      <c r="AM1481" s="52">
        <f t="shared" si="9054"/>
        <v>184456.46889259617</v>
      </c>
      <c r="AN1481" s="52">
        <f t="shared" si="9054"/>
        <v>184109.94064674672</v>
      </c>
      <c r="AO1481" s="52">
        <f t="shared" si="9054"/>
        <v>184109.94125730632</v>
      </c>
      <c r="AP1481" s="52">
        <f t="shared" si="9054"/>
        <v>184361.50534732631</v>
      </c>
      <c r="AQ1481" s="52">
        <f t="shared" si="9054"/>
        <v>184361.50603197794</v>
      </c>
      <c r="AR1481" s="52">
        <f t="shared" si="9054"/>
        <v>183965.03514048643</v>
      </c>
      <c r="AS1481" s="52">
        <f t="shared" si="9054"/>
        <v>184178.8701525373</v>
      </c>
      <c r="AT1481" s="52">
        <f t="shared" si="9054"/>
        <v>184379.94044290439</v>
      </c>
      <c r="AU1481" s="52">
        <f t="shared" si="9054"/>
        <v>184379.94136158164</v>
      </c>
      <c r="AV1481" s="52">
        <f t="shared" si="9054"/>
        <v>184029.83592918972</v>
      </c>
      <c r="AW1481" s="52">
        <f t="shared" si="9054"/>
        <v>184191.75398495881</v>
      </c>
      <c r="AX1481" s="52">
        <f t="shared" si="9054"/>
        <v>184340.59377562374</v>
      </c>
      <c r="AY1481" s="52">
        <f t="shared" si="9054"/>
        <v>184340.59514066196</v>
      </c>
      <c r="AZ1481" s="52">
        <f t="shared" si="9054"/>
        <v>184095.9215484591</v>
      </c>
      <c r="BA1481" s="52">
        <f t="shared" si="9054"/>
        <v>184204.8972083446</v>
      </c>
      <c r="BB1481" s="52">
        <f t="shared" si="9054"/>
        <v>184300.49823985421</v>
      </c>
      <c r="BC1481" s="52">
        <f t="shared" si="9054"/>
        <v>184300.50076673643</v>
      </c>
      <c r="BD1481" s="52">
        <f t="shared" si="9054"/>
        <v>184214.83910692509</v>
      </c>
      <c r="BE1481" s="52">
        <f t="shared" si="9054"/>
        <v>184214.84343623795</v>
      </c>
      <c r="BF1481" s="52">
        <f t="shared" si="9054"/>
        <v>184256.08772684549</v>
      </c>
      <c r="BG1481" s="52">
        <f t="shared" si="9054"/>
        <v>184256.11377849619</v>
      </c>
      <c r="BH1481" s="52">
        <f t="shared" si="9054"/>
        <v>0</v>
      </c>
      <c r="BI1481" s="52">
        <f t="shared" si="9054"/>
        <v>0</v>
      </c>
      <c r="BJ1481" s="52">
        <f t="shared" si="9054"/>
        <v>0</v>
      </c>
      <c r="BK1481" s="52">
        <f t="shared" si="9054"/>
        <v>0</v>
      </c>
      <c r="BL1481" s="52">
        <f t="shared" si="9054"/>
        <v>0</v>
      </c>
      <c r="BM1481" s="52">
        <f t="shared" si="9054"/>
        <v>0</v>
      </c>
      <c r="BN1481" s="52">
        <f t="shared" si="9054"/>
        <v>0</v>
      </c>
      <c r="BO1481" s="52">
        <f t="shared" si="9054"/>
        <v>0</v>
      </c>
      <c r="BP1481" s="52">
        <f t="shared" si="9054"/>
        <v>0</v>
      </c>
      <c r="BQ1481" s="52">
        <f t="shared" si="9054"/>
        <v>0</v>
      </c>
      <c r="BR1481" s="52">
        <f t="shared" si="9054"/>
        <v>0</v>
      </c>
      <c r="BS1481" s="52">
        <f t="shared" si="9054"/>
        <v>0</v>
      </c>
      <c r="BT1481" s="52">
        <f t="shared" si="9054"/>
        <v>0</v>
      </c>
      <c r="BU1481" s="52">
        <f t="shared" si="9054"/>
        <v>0</v>
      </c>
      <c r="BV1481" s="52">
        <f t="shared" si="9054"/>
        <v>0</v>
      </c>
      <c r="BW1481" s="52">
        <f t="shared" si="9054"/>
        <v>0</v>
      </c>
      <c r="BX1481" s="52">
        <f t="shared" ref="BX1481:CO1481" si="9055">-(Debt_Repaiment+Debt_Interest_Paid)*(ABS(Debt_Repaiment+Debt_Interest_Paid)&gt;Accuracy)*Flag_Operations</f>
        <v>0</v>
      </c>
      <c r="BY1481" s="52">
        <f t="shared" si="9055"/>
        <v>0</v>
      </c>
      <c r="BZ1481" s="52">
        <f t="shared" si="9055"/>
        <v>0</v>
      </c>
      <c r="CA1481" s="52">
        <f t="shared" si="9055"/>
        <v>0</v>
      </c>
      <c r="CB1481" s="52">
        <f t="shared" si="9055"/>
        <v>0</v>
      </c>
      <c r="CC1481" s="52">
        <f t="shared" si="9055"/>
        <v>0</v>
      </c>
      <c r="CD1481" s="52">
        <f t="shared" si="9055"/>
        <v>0</v>
      </c>
      <c r="CE1481" s="52">
        <f t="shared" si="9055"/>
        <v>0</v>
      </c>
      <c r="CF1481" s="52">
        <f t="shared" si="9055"/>
        <v>0</v>
      </c>
      <c r="CG1481" s="52">
        <f t="shared" si="9055"/>
        <v>0</v>
      </c>
      <c r="CH1481" s="52">
        <f t="shared" si="9055"/>
        <v>0</v>
      </c>
      <c r="CI1481" s="52">
        <f t="shared" si="9055"/>
        <v>0</v>
      </c>
      <c r="CJ1481" s="52">
        <f t="shared" si="9055"/>
        <v>0</v>
      </c>
      <c r="CK1481" s="52">
        <f t="shared" si="9055"/>
        <v>0</v>
      </c>
      <c r="CL1481" s="52">
        <f t="shared" si="9055"/>
        <v>0</v>
      </c>
      <c r="CM1481" s="52">
        <f t="shared" si="9055"/>
        <v>0</v>
      </c>
      <c r="CN1481" s="52">
        <f t="shared" si="9055"/>
        <v>0</v>
      </c>
      <c r="CO1481" s="52">
        <f t="shared" si="9055"/>
        <v>0</v>
      </c>
    </row>
    <row r="1482" spans="1:93">
      <c r="A1482" s="10"/>
      <c r="B1482" s="10"/>
      <c r="C1482" s="17"/>
      <c r="D1482" s="10"/>
      <c r="E1482" s="10"/>
      <c r="F1482" s="10"/>
      <c r="G1482" s="11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  <c r="AY1482" s="10"/>
      <c r="AZ1482" s="10"/>
      <c r="BA1482" s="10"/>
      <c r="BB1482" s="10"/>
      <c r="BC1482" s="10"/>
      <c r="BD1482" s="10"/>
      <c r="BE1482" s="10"/>
      <c r="BF1482" s="10"/>
      <c r="BG1482" s="10"/>
      <c r="BH1482" s="10"/>
      <c r="BI1482" s="10"/>
      <c r="BJ1482" s="10"/>
      <c r="BK1482" s="10"/>
      <c r="BL1482" s="10"/>
      <c r="BM1482" s="10"/>
      <c r="BN1482" s="10"/>
      <c r="BO1482" s="10"/>
      <c r="BP1482" s="10"/>
      <c r="BQ1482" s="10"/>
      <c r="BR1482" s="10"/>
      <c r="BS1482" s="10"/>
      <c r="BT1482" s="10"/>
      <c r="BU1482" s="10"/>
      <c r="BV1482" s="10"/>
      <c r="BW1482" s="10"/>
      <c r="BX1482" s="10"/>
      <c r="BY1482" s="10"/>
      <c r="BZ1482" s="10"/>
      <c r="CA1482" s="10"/>
      <c r="CB1482" s="10"/>
      <c r="CC1482" s="10"/>
      <c r="CD1482" s="10"/>
      <c r="CE1482" s="10"/>
      <c r="CF1482" s="10"/>
      <c r="CG1482" s="10"/>
      <c r="CH1482" s="10"/>
      <c r="CI1482" s="10"/>
      <c r="CJ1482" s="10"/>
      <c r="CK1482" s="10"/>
      <c r="CL1482" s="10"/>
      <c r="CM1482" s="10"/>
      <c r="CN1482" s="10"/>
      <c r="CO1482" s="10"/>
    </row>
    <row r="1483" spans="1:93">
      <c r="A1483" s="10"/>
      <c r="B1483" s="10"/>
      <c r="C1483" s="17" t="s">
        <v>247</v>
      </c>
      <c r="D1483" s="10"/>
      <c r="E1483" s="10"/>
      <c r="F1483" s="10"/>
      <c r="G1483" s="11" t="s">
        <v>378</v>
      </c>
      <c r="H1483" s="10"/>
      <c r="I1483" s="10"/>
      <c r="J1483" s="10"/>
      <c r="K1483" s="10"/>
      <c r="L1483" s="27">
        <f t="shared" ref="L1483" si="9056">MAX(IF(L1481=0,0,L1480/L1481),0)*Flag_Operations</f>
        <v>0</v>
      </c>
      <c r="M1483" s="27">
        <f t="shared" ref="M1483:BX1483" si="9057">MAX(IF(M1481=0,0,M1480/M1481),0)*Flag_Operations</f>
        <v>0</v>
      </c>
      <c r="N1483" s="27">
        <f t="shared" si="9057"/>
        <v>0</v>
      </c>
      <c r="O1483" s="27">
        <f t="shared" si="9057"/>
        <v>0</v>
      </c>
      <c r="P1483" s="27">
        <f t="shared" si="9057"/>
        <v>0</v>
      </c>
      <c r="Q1483" s="27">
        <f t="shared" si="9057"/>
        <v>0</v>
      </c>
      <c r="R1483" s="27">
        <f t="shared" si="9057"/>
        <v>0</v>
      </c>
      <c r="S1483" s="27">
        <f t="shared" si="9057"/>
        <v>0</v>
      </c>
      <c r="T1483" s="27">
        <f t="shared" si="9057"/>
        <v>0</v>
      </c>
      <c r="U1483" s="27">
        <f t="shared" si="9057"/>
        <v>0</v>
      </c>
      <c r="V1483" s="27">
        <f t="shared" si="9057"/>
        <v>0</v>
      </c>
      <c r="W1483" s="27">
        <f t="shared" si="9057"/>
        <v>0</v>
      </c>
      <c r="X1483" s="27">
        <f t="shared" si="9057"/>
        <v>0</v>
      </c>
      <c r="Y1483" s="27">
        <f t="shared" si="9057"/>
        <v>0</v>
      </c>
      <c r="Z1483" s="27">
        <f t="shared" si="9057"/>
        <v>0</v>
      </c>
      <c r="AA1483" s="27">
        <f t="shared" si="9057"/>
        <v>0</v>
      </c>
      <c r="AB1483" s="27">
        <f t="shared" si="9057"/>
        <v>0</v>
      </c>
      <c r="AC1483" s="27">
        <f t="shared" ca="1" si="9057"/>
        <v>4.7261851955780401</v>
      </c>
      <c r="AD1483" s="27">
        <f t="shared" ca="1" si="9057"/>
        <v>5.1513461746394889</v>
      </c>
      <c r="AE1483" s="27">
        <f t="shared" ca="1" si="9057"/>
        <v>4.7022305074935913</v>
      </c>
      <c r="AF1483" s="27">
        <f t="shared" ca="1" si="9057"/>
        <v>4.5171418710264133</v>
      </c>
      <c r="AG1483" s="27">
        <f t="shared" ca="1" si="9057"/>
        <v>4.3512342190390232</v>
      </c>
      <c r="AH1483" s="27">
        <f t="shared" ca="1" si="9057"/>
        <v>4.0936370772714268</v>
      </c>
      <c r="AI1483" s="27">
        <f t="shared" ca="1" si="9057"/>
        <v>3.5707968899166591</v>
      </c>
      <c r="AJ1483" s="27">
        <f t="shared" ca="1" si="9057"/>
        <v>3.3529903820383553</v>
      </c>
      <c r="AK1483" s="27">
        <f t="shared" ca="1" si="9057"/>
        <v>3.1732741196480458</v>
      </c>
      <c r="AL1483" s="27">
        <f t="shared" ca="1" si="9057"/>
        <v>2.8853408816803259</v>
      </c>
      <c r="AM1483" s="27">
        <f t="shared" ca="1" si="9057"/>
        <v>2.2840259539707164</v>
      </c>
      <c r="AN1483" s="27">
        <f t="shared" ca="1" si="9057"/>
        <v>2.0411471617646866</v>
      </c>
      <c r="AO1483" s="27">
        <f t="shared" ca="1" si="9057"/>
        <v>1.8380875070045213</v>
      </c>
      <c r="AP1483" s="27">
        <f t="shared" ca="1" si="9057"/>
        <v>1.7687607544524484</v>
      </c>
      <c r="AQ1483" s="27">
        <f t="shared" ca="1" si="9057"/>
        <v>1.8721939083120249</v>
      </c>
      <c r="AR1483" s="27">
        <f t="shared" ca="1" si="9057"/>
        <v>1.3348324464658499</v>
      </c>
      <c r="AS1483" s="27">
        <f t="shared" ca="1" si="9057"/>
        <v>1.3362754838539266</v>
      </c>
      <c r="AT1483" s="27">
        <f t="shared" ca="1" si="9057"/>
        <v>1.8281644638126646</v>
      </c>
      <c r="AU1483" s="27">
        <f t="shared" ca="1" si="9057"/>
        <v>1.9046382044406069</v>
      </c>
      <c r="AV1483" s="27">
        <f t="shared" ca="1" si="9057"/>
        <v>1.3480778755947238</v>
      </c>
      <c r="AW1483" s="27">
        <f t="shared" ca="1" si="9057"/>
        <v>1.5862008499667779</v>
      </c>
      <c r="AX1483" s="27">
        <f t="shared" ca="1" si="9057"/>
        <v>1.4602958049442256</v>
      </c>
      <c r="AY1483" s="27">
        <f t="shared" ca="1" si="9057"/>
        <v>1.057548479205215</v>
      </c>
      <c r="AZ1483" s="27">
        <f t="shared" ca="1" si="9057"/>
        <v>1</v>
      </c>
      <c r="BA1483" s="27">
        <f t="shared" ca="1" si="9057"/>
        <v>1</v>
      </c>
      <c r="BB1483" s="27">
        <f t="shared" ca="1" si="9057"/>
        <v>1.3361091149480704</v>
      </c>
      <c r="BC1483" s="27">
        <f t="shared" ca="1" si="9057"/>
        <v>1.0961231607355428</v>
      </c>
      <c r="BD1483" s="27">
        <f t="shared" ca="1" si="9057"/>
        <v>1</v>
      </c>
      <c r="BE1483" s="27">
        <f t="shared" ca="1" si="9057"/>
        <v>1.0146924492529268</v>
      </c>
      <c r="BF1483" s="27">
        <f t="shared" ca="1" si="9057"/>
        <v>1.3753298731990458</v>
      </c>
      <c r="BG1483" s="27">
        <f t="shared" ca="1" si="9057"/>
        <v>1.1258440748651684</v>
      </c>
      <c r="BH1483" s="27">
        <f t="shared" si="9057"/>
        <v>0</v>
      </c>
      <c r="BI1483" s="27">
        <f t="shared" si="9057"/>
        <v>0</v>
      </c>
      <c r="BJ1483" s="27">
        <f t="shared" si="9057"/>
        <v>0</v>
      </c>
      <c r="BK1483" s="27">
        <f t="shared" si="9057"/>
        <v>0</v>
      </c>
      <c r="BL1483" s="27">
        <f t="shared" si="9057"/>
        <v>0</v>
      </c>
      <c r="BM1483" s="27">
        <f t="shared" si="9057"/>
        <v>0</v>
      </c>
      <c r="BN1483" s="27">
        <f t="shared" si="9057"/>
        <v>0</v>
      </c>
      <c r="BO1483" s="27">
        <f t="shared" si="9057"/>
        <v>0</v>
      </c>
      <c r="BP1483" s="27">
        <f t="shared" si="9057"/>
        <v>0</v>
      </c>
      <c r="BQ1483" s="27">
        <f t="shared" si="9057"/>
        <v>0</v>
      </c>
      <c r="BR1483" s="27">
        <f t="shared" si="9057"/>
        <v>0</v>
      </c>
      <c r="BS1483" s="27">
        <f t="shared" si="9057"/>
        <v>0</v>
      </c>
      <c r="BT1483" s="27">
        <f t="shared" si="9057"/>
        <v>0</v>
      </c>
      <c r="BU1483" s="27">
        <f t="shared" si="9057"/>
        <v>0</v>
      </c>
      <c r="BV1483" s="27">
        <f t="shared" si="9057"/>
        <v>0</v>
      </c>
      <c r="BW1483" s="27">
        <f t="shared" si="9057"/>
        <v>0</v>
      </c>
      <c r="BX1483" s="27">
        <f t="shared" si="9057"/>
        <v>0</v>
      </c>
      <c r="BY1483" s="27">
        <f t="shared" ref="BY1483:CO1483" si="9058">MAX(IF(BY1481=0,0,BY1480/BY1481),0)*Flag_Operations</f>
        <v>0</v>
      </c>
      <c r="BZ1483" s="27">
        <f t="shared" si="9058"/>
        <v>0</v>
      </c>
      <c r="CA1483" s="27">
        <f t="shared" si="9058"/>
        <v>0</v>
      </c>
      <c r="CB1483" s="27">
        <f t="shared" si="9058"/>
        <v>0</v>
      </c>
      <c r="CC1483" s="27">
        <f t="shared" si="9058"/>
        <v>0</v>
      </c>
      <c r="CD1483" s="27">
        <f t="shared" si="9058"/>
        <v>0</v>
      </c>
      <c r="CE1483" s="27">
        <f t="shared" si="9058"/>
        <v>0</v>
      </c>
      <c r="CF1483" s="27">
        <f t="shared" si="9058"/>
        <v>0</v>
      </c>
      <c r="CG1483" s="27">
        <f t="shared" si="9058"/>
        <v>0</v>
      </c>
      <c r="CH1483" s="27">
        <f t="shared" si="9058"/>
        <v>0</v>
      </c>
      <c r="CI1483" s="27">
        <f t="shared" si="9058"/>
        <v>0</v>
      </c>
      <c r="CJ1483" s="27">
        <f t="shared" si="9058"/>
        <v>0</v>
      </c>
      <c r="CK1483" s="27">
        <f t="shared" si="9058"/>
        <v>0</v>
      </c>
      <c r="CL1483" s="27">
        <f t="shared" si="9058"/>
        <v>0</v>
      </c>
      <c r="CM1483" s="27">
        <f t="shared" si="9058"/>
        <v>0</v>
      </c>
      <c r="CN1483" s="27">
        <f t="shared" si="9058"/>
        <v>0</v>
      </c>
      <c r="CO1483" s="27">
        <f t="shared" si="9058"/>
        <v>0</v>
      </c>
    </row>
    <row r="1484" spans="1:93">
      <c r="A1484" s="10"/>
      <c r="B1484" s="10"/>
      <c r="C1484" s="17" t="s">
        <v>150</v>
      </c>
      <c r="D1484" s="10"/>
      <c r="E1484" s="10"/>
      <c r="F1484" s="10"/>
      <c r="G1484" s="11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  <c r="AY1484" s="10"/>
      <c r="AZ1484" s="10"/>
      <c r="BA1484" s="10"/>
      <c r="BB1484" s="10"/>
      <c r="BC1484" s="10"/>
      <c r="BD1484" s="10"/>
      <c r="BE1484" s="10"/>
      <c r="BF1484" s="10"/>
      <c r="BG1484" s="10"/>
      <c r="BH1484" s="10"/>
      <c r="BI1484" s="10"/>
      <c r="BJ1484" s="10"/>
      <c r="BK1484" s="10"/>
      <c r="BL1484" s="10"/>
      <c r="BM1484" s="10"/>
      <c r="BN1484" s="10"/>
      <c r="BO1484" s="10"/>
      <c r="BP1484" s="10"/>
      <c r="BQ1484" s="10"/>
      <c r="BR1484" s="10"/>
      <c r="BS1484" s="10"/>
      <c r="BT1484" s="10"/>
      <c r="BU1484" s="10"/>
      <c r="BV1484" s="10"/>
      <c r="BW1484" s="10"/>
      <c r="BX1484" s="10"/>
      <c r="BY1484" s="10"/>
      <c r="BZ1484" s="10"/>
      <c r="CA1484" s="10"/>
      <c r="CB1484" s="10"/>
      <c r="CC1484" s="10"/>
      <c r="CD1484" s="10"/>
      <c r="CE1484" s="10"/>
      <c r="CF1484" s="10"/>
      <c r="CG1484" s="10"/>
      <c r="CH1484" s="10"/>
      <c r="CI1484" s="10"/>
      <c r="CJ1484" s="10"/>
      <c r="CK1484" s="10"/>
      <c r="CL1484" s="10"/>
      <c r="CM1484" s="10"/>
      <c r="CN1484" s="10"/>
      <c r="CO1484" s="10"/>
    </row>
    <row r="1485" spans="1:93">
      <c r="A1485" s="10"/>
      <c r="B1485" s="10"/>
      <c r="C1485" s="17" t="s">
        <v>248</v>
      </c>
      <c r="D1485" s="10"/>
      <c r="E1485" s="195">
        <f t="array" aca="1" ref="E1485" ca="1">AVERAGE(IF(L1483:CO1483&lt;&gt;0,L1483:CO1483))</f>
        <v>2.2945975769393723</v>
      </c>
      <c r="F1485" s="10"/>
      <c r="G1485" s="11" t="s">
        <v>378</v>
      </c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  <c r="AY1485" s="10"/>
      <c r="AZ1485" s="10"/>
      <c r="BA1485" s="10"/>
      <c r="BB1485" s="10"/>
      <c r="BC1485" s="10"/>
      <c r="BD1485" s="10"/>
      <c r="BE1485" s="10"/>
      <c r="BF1485" s="10"/>
      <c r="BG1485" s="10"/>
      <c r="BH1485" s="10"/>
      <c r="BI1485" s="10"/>
      <c r="BJ1485" s="10"/>
      <c r="BK1485" s="10"/>
      <c r="BL1485" s="10"/>
      <c r="BM1485" s="10"/>
      <c r="BN1485" s="10"/>
      <c r="BO1485" s="10"/>
      <c r="BP1485" s="10"/>
      <c r="BQ1485" s="10"/>
      <c r="BR1485" s="10"/>
      <c r="BS1485" s="10"/>
      <c r="BT1485" s="10"/>
      <c r="BU1485" s="10"/>
      <c r="BV1485" s="10"/>
      <c r="BW1485" s="10"/>
      <c r="BX1485" s="10"/>
      <c r="BY1485" s="10"/>
      <c r="BZ1485" s="10"/>
      <c r="CA1485" s="10"/>
      <c r="CB1485" s="10"/>
      <c r="CC1485" s="10"/>
      <c r="CD1485" s="10"/>
      <c r="CE1485" s="10"/>
      <c r="CF1485" s="10"/>
      <c r="CG1485" s="10"/>
      <c r="CH1485" s="10"/>
      <c r="CI1485" s="10"/>
      <c r="CJ1485" s="10"/>
      <c r="CK1485" s="10"/>
      <c r="CL1485" s="10"/>
      <c r="CM1485" s="10"/>
      <c r="CN1485" s="10"/>
      <c r="CO1485" s="10"/>
    </row>
    <row r="1486" spans="1:93">
      <c r="A1486" s="10"/>
      <c r="B1486" s="10"/>
      <c r="C1486" s="17" t="s">
        <v>249</v>
      </c>
      <c r="D1486" s="10"/>
      <c r="E1486" s="195">
        <f t="array" aca="1" ref="E1486" ca="1">MIN(IF(L1483:CO1483&lt;&gt;0,L1483:CO1483))</f>
        <v>1</v>
      </c>
      <c r="F1486" s="10"/>
      <c r="G1486" s="11" t="s">
        <v>378</v>
      </c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  <c r="AY1486" s="10"/>
      <c r="AZ1486" s="10"/>
      <c r="BA1486" s="10"/>
      <c r="BB1486" s="10"/>
      <c r="BC1486" s="10"/>
      <c r="BD1486" s="10"/>
      <c r="BE1486" s="10"/>
      <c r="BF1486" s="10"/>
      <c r="BG1486" s="10"/>
      <c r="BH1486" s="10"/>
      <c r="BI1486" s="10"/>
      <c r="BJ1486" s="10"/>
      <c r="BK1486" s="10"/>
      <c r="BL1486" s="10"/>
      <c r="BM1486" s="10"/>
      <c r="BN1486" s="10"/>
      <c r="BO1486" s="10"/>
      <c r="BP1486" s="10"/>
      <c r="BQ1486" s="10"/>
      <c r="BR1486" s="10"/>
      <c r="BS1486" s="10"/>
      <c r="BT1486" s="10"/>
      <c r="BU1486" s="10"/>
      <c r="BV1486" s="10"/>
      <c r="BW1486" s="10"/>
      <c r="BX1486" s="10"/>
      <c r="BY1486" s="10"/>
      <c r="BZ1486" s="10"/>
      <c r="CA1486" s="10"/>
      <c r="CB1486" s="10"/>
      <c r="CC1486" s="10"/>
      <c r="CD1486" s="10"/>
      <c r="CE1486" s="10"/>
      <c r="CF1486" s="10"/>
      <c r="CG1486" s="10"/>
      <c r="CH1486" s="10"/>
      <c r="CI1486" s="10"/>
      <c r="CJ1486" s="10"/>
      <c r="CK1486" s="10"/>
      <c r="CL1486" s="10"/>
      <c r="CM1486" s="10"/>
      <c r="CN1486" s="10"/>
      <c r="CO1486" s="10"/>
    </row>
    <row r="1487" spans="1:93">
      <c r="A1487" s="10"/>
      <c r="B1487" s="10"/>
      <c r="C1487" s="17" t="s">
        <v>150</v>
      </c>
      <c r="D1487" s="10"/>
      <c r="E1487" s="10"/>
      <c r="F1487" s="10"/>
      <c r="G1487" s="11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  <c r="AY1487" s="10"/>
      <c r="AZ1487" s="10"/>
      <c r="BA1487" s="10"/>
      <c r="BB1487" s="10"/>
      <c r="BC1487" s="10"/>
      <c r="BD1487" s="10"/>
      <c r="BE1487" s="10"/>
      <c r="BF1487" s="10"/>
      <c r="BG1487" s="10"/>
      <c r="BH1487" s="10"/>
      <c r="BI1487" s="10"/>
      <c r="BJ1487" s="10"/>
      <c r="BK1487" s="10"/>
      <c r="BL1487" s="10"/>
      <c r="BM1487" s="10"/>
      <c r="BN1487" s="10"/>
      <c r="BO1487" s="10"/>
      <c r="BP1487" s="10"/>
      <c r="BQ1487" s="10"/>
      <c r="BR1487" s="10"/>
      <c r="BS1487" s="10"/>
      <c r="BT1487" s="10"/>
      <c r="BU1487" s="10"/>
      <c r="BV1487" s="10"/>
      <c r="BW1487" s="10"/>
      <c r="BX1487" s="10"/>
      <c r="BY1487" s="10"/>
      <c r="BZ1487" s="10"/>
      <c r="CA1487" s="10"/>
      <c r="CB1487" s="10"/>
      <c r="CC1487" s="10"/>
      <c r="CD1487" s="10"/>
      <c r="CE1487" s="10"/>
      <c r="CF1487" s="10"/>
      <c r="CG1487" s="10"/>
      <c r="CH1487" s="10"/>
      <c r="CI1487" s="10"/>
      <c r="CJ1487" s="10"/>
      <c r="CK1487" s="10"/>
      <c r="CL1487" s="10"/>
      <c r="CM1487" s="10"/>
      <c r="CN1487" s="10"/>
      <c r="CO1487" s="10"/>
    </row>
    <row r="1488" spans="1:93">
      <c r="A1488" s="10"/>
      <c r="B1488" s="10"/>
      <c r="C1488" s="198" t="s">
        <v>433</v>
      </c>
      <c r="D1488" s="10"/>
      <c r="E1488" s="10"/>
      <c r="F1488" s="10"/>
      <c r="G1488" s="11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  <c r="AY1488" s="10"/>
      <c r="AZ1488" s="10"/>
      <c r="BA1488" s="10"/>
      <c r="BB1488" s="10"/>
      <c r="BC1488" s="10"/>
      <c r="BD1488" s="10"/>
      <c r="BE1488" s="10"/>
      <c r="BF1488" s="10"/>
      <c r="BG1488" s="10"/>
      <c r="BH1488" s="10"/>
      <c r="BI1488" s="10"/>
      <c r="BJ1488" s="10"/>
      <c r="BK1488" s="10"/>
      <c r="BL1488" s="10"/>
      <c r="BM1488" s="10"/>
      <c r="BN1488" s="10"/>
      <c r="BO1488" s="10"/>
      <c r="BP1488" s="10"/>
      <c r="BQ1488" s="10"/>
      <c r="BR1488" s="10"/>
      <c r="BS1488" s="10"/>
      <c r="BT1488" s="10"/>
      <c r="BU1488" s="10"/>
      <c r="BV1488" s="10"/>
      <c r="BW1488" s="10"/>
      <c r="BX1488" s="10"/>
      <c r="BY1488" s="10"/>
      <c r="BZ1488" s="10"/>
      <c r="CA1488" s="10"/>
      <c r="CB1488" s="10"/>
      <c r="CC1488" s="10"/>
      <c r="CD1488" s="10"/>
      <c r="CE1488" s="10"/>
      <c r="CF1488" s="10"/>
      <c r="CG1488" s="10"/>
      <c r="CH1488" s="10"/>
      <c r="CI1488" s="10"/>
      <c r="CJ1488" s="10"/>
      <c r="CK1488" s="10"/>
      <c r="CL1488" s="10"/>
      <c r="CM1488" s="10"/>
      <c r="CN1488" s="10"/>
      <c r="CO1488" s="10"/>
    </row>
    <row r="1489" spans="1:93">
      <c r="A1489" s="10"/>
      <c r="B1489" s="10"/>
      <c r="C1489" s="17" t="s">
        <v>1068</v>
      </c>
      <c r="D1489" s="10"/>
      <c r="E1489" s="10"/>
      <c r="F1489" s="10"/>
      <c r="G1489" s="11" t="str">
        <f>MIN(L1489:DM1489) &amp; ".." &amp; MAX(L1489:DM1489)</f>
        <v>0..1</v>
      </c>
      <c r="H1489" s="10"/>
      <c r="I1489" s="10"/>
      <c r="J1489" s="10"/>
      <c r="K1489" s="10"/>
      <c r="L1489" s="452">
        <f t="shared" ref="L1489:AQ1489" si="9059">1*((Debt_EoP + Debt_BoP) &gt; Very_Small_Number)</f>
        <v>0</v>
      </c>
      <c r="M1489" s="452">
        <f t="shared" si="9059"/>
        <v>0</v>
      </c>
      <c r="N1489" s="452">
        <f t="shared" si="9059"/>
        <v>0</v>
      </c>
      <c r="O1489" s="452">
        <f t="shared" si="9059"/>
        <v>0</v>
      </c>
      <c r="P1489" s="452">
        <f t="shared" si="9059"/>
        <v>0</v>
      </c>
      <c r="Q1489" s="452">
        <f t="shared" si="9059"/>
        <v>0</v>
      </c>
      <c r="R1489" s="452">
        <f t="shared" si="9059"/>
        <v>0</v>
      </c>
      <c r="S1489" s="452">
        <f t="shared" si="9059"/>
        <v>1</v>
      </c>
      <c r="T1489" s="452">
        <f t="shared" si="9059"/>
        <v>1</v>
      </c>
      <c r="U1489" s="452">
        <f t="shared" si="9059"/>
        <v>1</v>
      </c>
      <c r="V1489" s="452">
        <f t="shared" si="9059"/>
        <v>1</v>
      </c>
      <c r="W1489" s="452">
        <f t="shared" si="9059"/>
        <v>1</v>
      </c>
      <c r="X1489" s="452">
        <f t="shared" si="9059"/>
        <v>1</v>
      </c>
      <c r="Y1489" s="452">
        <f t="shared" si="9059"/>
        <v>1</v>
      </c>
      <c r="Z1489" s="452">
        <f t="shared" si="9059"/>
        <v>1</v>
      </c>
      <c r="AA1489" s="452">
        <f t="shared" si="9059"/>
        <v>1</v>
      </c>
      <c r="AB1489" s="452">
        <f t="shared" si="9059"/>
        <v>1</v>
      </c>
      <c r="AC1489" s="452">
        <f t="shared" si="9059"/>
        <v>1</v>
      </c>
      <c r="AD1489" s="452">
        <f t="shared" si="9059"/>
        <v>1</v>
      </c>
      <c r="AE1489" s="452">
        <f t="shared" si="9059"/>
        <v>1</v>
      </c>
      <c r="AF1489" s="452">
        <f t="shared" si="9059"/>
        <v>1</v>
      </c>
      <c r="AG1489" s="452">
        <f t="shared" si="9059"/>
        <v>1</v>
      </c>
      <c r="AH1489" s="452">
        <f t="shared" si="9059"/>
        <v>1</v>
      </c>
      <c r="AI1489" s="452">
        <f t="shared" si="9059"/>
        <v>1</v>
      </c>
      <c r="AJ1489" s="452">
        <f t="shared" si="9059"/>
        <v>1</v>
      </c>
      <c r="AK1489" s="452">
        <f t="shared" si="9059"/>
        <v>1</v>
      </c>
      <c r="AL1489" s="452">
        <f t="shared" si="9059"/>
        <v>1</v>
      </c>
      <c r="AM1489" s="452">
        <f t="shared" si="9059"/>
        <v>1</v>
      </c>
      <c r="AN1489" s="452">
        <f t="shared" si="9059"/>
        <v>1</v>
      </c>
      <c r="AO1489" s="452">
        <f t="shared" si="9059"/>
        <v>1</v>
      </c>
      <c r="AP1489" s="452">
        <f t="shared" si="9059"/>
        <v>1</v>
      </c>
      <c r="AQ1489" s="452">
        <f t="shared" si="9059"/>
        <v>1</v>
      </c>
      <c r="AR1489" s="452">
        <f t="shared" ref="AR1489:BW1489" si="9060">1*((Debt_EoP + Debt_BoP) &gt; Very_Small_Number)</f>
        <v>1</v>
      </c>
      <c r="AS1489" s="452">
        <f t="shared" si="9060"/>
        <v>1</v>
      </c>
      <c r="AT1489" s="452">
        <f t="shared" si="9060"/>
        <v>1</v>
      </c>
      <c r="AU1489" s="452">
        <f t="shared" si="9060"/>
        <v>1</v>
      </c>
      <c r="AV1489" s="452">
        <f t="shared" si="9060"/>
        <v>1</v>
      </c>
      <c r="AW1489" s="452">
        <f t="shared" si="9060"/>
        <v>1</v>
      </c>
      <c r="AX1489" s="452">
        <f t="shared" si="9060"/>
        <v>1</v>
      </c>
      <c r="AY1489" s="452">
        <f t="shared" si="9060"/>
        <v>1</v>
      </c>
      <c r="AZ1489" s="452">
        <f t="shared" si="9060"/>
        <v>1</v>
      </c>
      <c r="BA1489" s="452">
        <f t="shared" si="9060"/>
        <v>1</v>
      </c>
      <c r="BB1489" s="452">
        <f t="shared" si="9060"/>
        <v>1</v>
      </c>
      <c r="BC1489" s="452">
        <f t="shared" si="9060"/>
        <v>1</v>
      </c>
      <c r="BD1489" s="452">
        <f t="shared" si="9060"/>
        <v>1</v>
      </c>
      <c r="BE1489" s="452">
        <f t="shared" si="9060"/>
        <v>1</v>
      </c>
      <c r="BF1489" s="452">
        <f t="shared" si="9060"/>
        <v>1</v>
      </c>
      <c r="BG1489" s="452">
        <f t="shared" si="9060"/>
        <v>1</v>
      </c>
      <c r="BH1489" s="452">
        <f t="shared" si="9060"/>
        <v>0</v>
      </c>
      <c r="BI1489" s="452">
        <f t="shared" si="9060"/>
        <v>0</v>
      </c>
      <c r="BJ1489" s="452">
        <f t="shared" si="9060"/>
        <v>0</v>
      </c>
      <c r="BK1489" s="452">
        <f t="shared" si="9060"/>
        <v>0</v>
      </c>
      <c r="BL1489" s="452">
        <f t="shared" si="9060"/>
        <v>0</v>
      </c>
      <c r="BM1489" s="452">
        <f t="shared" si="9060"/>
        <v>0</v>
      </c>
      <c r="BN1489" s="452">
        <f t="shared" si="9060"/>
        <v>0</v>
      </c>
      <c r="BO1489" s="452">
        <f t="shared" si="9060"/>
        <v>0</v>
      </c>
      <c r="BP1489" s="452">
        <f t="shared" si="9060"/>
        <v>0</v>
      </c>
      <c r="BQ1489" s="452">
        <f t="shared" si="9060"/>
        <v>0</v>
      </c>
      <c r="BR1489" s="452">
        <f t="shared" si="9060"/>
        <v>0</v>
      </c>
      <c r="BS1489" s="452">
        <f t="shared" si="9060"/>
        <v>0</v>
      </c>
      <c r="BT1489" s="452">
        <f t="shared" si="9060"/>
        <v>0</v>
      </c>
      <c r="BU1489" s="452">
        <f t="shared" si="9060"/>
        <v>0</v>
      </c>
      <c r="BV1489" s="452">
        <f t="shared" si="9060"/>
        <v>0</v>
      </c>
      <c r="BW1489" s="452">
        <f t="shared" si="9060"/>
        <v>0</v>
      </c>
      <c r="BX1489" s="452">
        <f t="shared" ref="BX1489:CO1489" si="9061">1*((Debt_EoP + Debt_BoP) &gt; Very_Small_Number)</f>
        <v>0</v>
      </c>
      <c r="BY1489" s="452">
        <f t="shared" si="9061"/>
        <v>0</v>
      </c>
      <c r="BZ1489" s="452">
        <f t="shared" si="9061"/>
        <v>0</v>
      </c>
      <c r="CA1489" s="452">
        <f t="shared" si="9061"/>
        <v>0</v>
      </c>
      <c r="CB1489" s="452">
        <f t="shared" si="9061"/>
        <v>0</v>
      </c>
      <c r="CC1489" s="452">
        <f t="shared" si="9061"/>
        <v>0</v>
      </c>
      <c r="CD1489" s="452">
        <f t="shared" si="9061"/>
        <v>0</v>
      </c>
      <c r="CE1489" s="452">
        <f t="shared" si="9061"/>
        <v>0</v>
      </c>
      <c r="CF1489" s="452">
        <f t="shared" si="9061"/>
        <v>0</v>
      </c>
      <c r="CG1489" s="452">
        <f t="shared" si="9061"/>
        <v>0</v>
      </c>
      <c r="CH1489" s="452">
        <f t="shared" si="9061"/>
        <v>0</v>
      </c>
      <c r="CI1489" s="452">
        <f t="shared" si="9061"/>
        <v>0</v>
      </c>
      <c r="CJ1489" s="452">
        <f t="shared" si="9061"/>
        <v>0</v>
      </c>
      <c r="CK1489" s="452">
        <f t="shared" si="9061"/>
        <v>0</v>
      </c>
      <c r="CL1489" s="452">
        <f t="shared" si="9061"/>
        <v>0</v>
      </c>
      <c r="CM1489" s="452">
        <f t="shared" si="9061"/>
        <v>0</v>
      </c>
      <c r="CN1489" s="452">
        <f t="shared" si="9061"/>
        <v>0</v>
      </c>
      <c r="CO1489" s="452">
        <f t="shared" si="9061"/>
        <v>0</v>
      </c>
    </row>
    <row r="1490" spans="1:93">
      <c r="A1490" s="10"/>
      <c r="B1490" s="10"/>
      <c r="C1490" s="17" t="s">
        <v>1069</v>
      </c>
      <c r="D1490" s="10"/>
      <c r="E1490" s="10"/>
      <c r="F1490" s="10"/>
      <c r="G1490" s="11" t="str">
        <f>MIN(L1490:DM1490) &amp; ".." &amp; MAX(L1490:DM1490)</f>
        <v>0..1</v>
      </c>
      <c r="H1490" s="10"/>
      <c r="I1490" s="10"/>
      <c r="J1490" s="10"/>
      <c r="K1490" s="10"/>
      <c r="L1490" s="452">
        <f t="shared" ref="L1490:AQ1490" si="9062">L1158 * Flag_Forecast * L1489</f>
        <v>0</v>
      </c>
      <c r="M1490" s="452">
        <f t="shared" si="9062"/>
        <v>0</v>
      </c>
      <c r="N1490" s="452">
        <f t="shared" si="9062"/>
        <v>0</v>
      </c>
      <c r="O1490" s="452">
        <f t="shared" si="9062"/>
        <v>0</v>
      </c>
      <c r="P1490" s="452">
        <f t="shared" si="9062"/>
        <v>0</v>
      </c>
      <c r="Q1490" s="452">
        <f t="shared" si="9062"/>
        <v>0</v>
      </c>
      <c r="R1490" s="452">
        <f t="shared" si="9062"/>
        <v>0</v>
      </c>
      <c r="S1490" s="452">
        <f t="shared" si="9062"/>
        <v>0</v>
      </c>
      <c r="T1490" s="452">
        <f t="shared" si="9062"/>
        <v>0</v>
      </c>
      <c r="U1490" s="452">
        <f t="shared" si="9062"/>
        <v>0</v>
      </c>
      <c r="V1490" s="452">
        <f t="shared" si="9062"/>
        <v>0</v>
      </c>
      <c r="W1490" s="452">
        <f t="shared" si="9062"/>
        <v>0</v>
      </c>
      <c r="X1490" s="452">
        <f t="shared" si="9062"/>
        <v>0</v>
      </c>
      <c r="Y1490" s="452">
        <f t="shared" si="9062"/>
        <v>0</v>
      </c>
      <c r="Z1490" s="452">
        <f t="shared" si="9062"/>
        <v>0</v>
      </c>
      <c r="AA1490" s="452">
        <f t="shared" si="9062"/>
        <v>0</v>
      </c>
      <c r="AB1490" s="452">
        <f t="shared" si="9062"/>
        <v>0</v>
      </c>
      <c r="AC1490" s="452">
        <f t="shared" si="9062"/>
        <v>1</v>
      </c>
      <c r="AD1490" s="452">
        <f t="shared" si="9062"/>
        <v>1</v>
      </c>
      <c r="AE1490" s="452">
        <f t="shared" si="9062"/>
        <v>1</v>
      </c>
      <c r="AF1490" s="452">
        <f t="shared" si="9062"/>
        <v>1</v>
      </c>
      <c r="AG1490" s="452">
        <f t="shared" si="9062"/>
        <v>1</v>
      </c>
      <c r="AH1490" s="452">
        <f t="shared" si="9062"/>
        <v>1</v>
      </c>
      <c r="AI1490" s="452">
        <f t="shared" si="9062"/>
        <v>1</v>
      </c>
      <c r="AJ1490" s="452">
        <f t="shared" si="9062"/>
        <v>1</v>
      </c>
      <c r="AK1490" s="452">
        <f t="shared" si="9062"/>
        <v>1</v>
      </c>
      <c r="AL1490" s="452">
        <f t="shared" si="9062"/>
        <v>1</v>
      </c>
      <c r="AM1490" s="452">
        <f t="shared" si="9062"/>
        <v>1</v>
      </c>
      <c r="AN1490" s="452">
        <f t="shared" si="9062"/>
        <v>1</v>
      </c>
      <c r="AO1490" s="452">
        <f t="shared" si="9062"/>
        <v>1</v>
      </c>
      <c r="AP1490" s="452">
        <f t="shared" si="9062"/>
        <v>1</v>
      </c>
      <c r="AQ1490" s="452">
        <f t="shared" si="9062"/>
        <v>1</v>
      </c>
      <c r="AR1490" s="452">
        <f t="shared" ref="AR1490:BW1490" si="9063">AR1158 * Flag_Forecast * AR1489</f>
        <v>1</v>
      </c>
      <c r="AS1490" s="452">
        <f t="shared" si="9063"/>
        <v>1</v>
      </c>
      <c r="AT1490" s="452">
        <f t="shared" si="9063"/>
        <v>1</v>
      </c>
      <c r="AU1490" s="452">
        <f t="shared" si="9063"/>
        <v>1</v>
      </c>
      <c r="AV1490" s="452">
        <f t="shared" si="9063"/>
        <v>1</v>
      </c>
      <c r="AW1490" s="452">
        <f t="shared" si="9063"/>
        <v>1</v>
      </c>
      <c r="AX1490" s="452">
        <f t="shared" si="9063"/>
        <v>1</v>
      </c>
      <c r="AY1490" s="452">
        <f t="shared" si="9063"/>
        <v>1</v>
      </c>
      <c r="AZ1490" s="452">
        <f t="shared" si="9063"/>
        <v>1</v>
      </c>
      <c r="BA1490" s="452">
        <f t="shared" si="9063"/>
        <v>1</v>
      </c>
      <c r="BB1490" s="452">
        <f t="shared" si="9063"/>
        <v>1</v>
      </c>
      <c r="BC1490" s="452">
        <f t="shared" si="9063"/>
        <v>1</v>
      </c>
      <c r="BD1490" s="452">
        <f t="shared" si="9063"/>
        <v>1</v>
      </c>
      <c r="BE1490" s="452">
        <f t="shared" si="9063"/>
        <v>1</v>
      </c>
      <c r="BF1490" s="452">
        <f t="shared" si="9063"/>
        <v>1</v>
      </c>
      <c r="BG1490" s="452">
        <f t="shared" si="9063"/>
        <v>1</v>
      </c>
      <c r="BH1490" s="452">
        <f t="shared" si="9063"/>
        <v>0</v>
      </c>
      <c r="BI1490" s="452">
        <f t="shared" si="9063"/>
        <v>0</v>
      </c>
      <c r="BJ1490" s="452">
        <f t="shared" si="9063"/>
        <v>0</v>
      </c>
      <c r="BK1490" s="452">
        <f t="shared" si="9063"/>
        <v>0</v>
      </c>
      <c r="BL1490" s="452">
        <f t="shared" si="9063"/>
        <v>0</v>
      </c>
      <c r="BM1490" s="452">
        <f t="shared" si="9063"/>
        <v>0</v>
      </c>
      <c r="BN1490" s="452">
        <f t="shared" si="9063"/>
        <v>0</v>
      </c>
      <c r="BO1490" s="452">
        <f t="shared" si="9063"/>
        <v>0</v>
      </c>
      <c r="BP1490" s="452">
        <f t="shared" si="9063"/>
        <v>0</v>
      </c>
      <c r="BQ1490" s="452">
        <f t="shared" si="9063"/>
        <v>0</v>
      </c>
      <c r="BR1490" s="452">
        <f t="shared" si="9063"/>
        <v>0</v>
      </c>
      <c r="BS1490" s="452">
        <f t="shared" si="9063"/>
        <v>0</v>
      </c>
      <c r="BT1490" s="452">
        <f t="shared" si="9063"/>
        <v>0</v>
      </c>
      <c r="BU1490" s="452">
        <f t="shared" si="9063"/>
        <v>0</v>
      </c>
      <c r="BV1490" s="452">
        <f t="shared" si="9063"/>
        <v>0</v>
      </c>
      <c r="BW1490" s="452">
        <f t="shared" si="9063"/>
        <v>0</v>
      </c>
      <c r="BX1490" s="452">
        <f t="shared" ref="BX1490:CO1490" si="9064">BX1158 * Flag_Forecast * BX1489</f>
        <v>0</v>
      </c>
      <c r="BY1490" s="452">
        <f t="shared" si="9064"/>
        <v>0</v>
      </c>
      <c r="BZ1490" s="452">
        <f t="shared" si="9064"/>
        <v>0</v>
      </c>
      <c r="CA1490" s="452">
        <f t="shared" si="9064"/>
        <v>0</v>
      </c>
      <c r="CB1490" s="452">
        <f t="shared" si="9064"/>
        <v>0</v>
      </c>
      <c r="CC1490" s="452">
        <f t="shared" si="9064"/>
        <v>0</v>
      </c>
      <c r="CD1490" s="452">
        <f t="shared" si="9064"/>
        <v>0</v>
      </c>
      <c r="CE1490" s="452">
        <f t="shared" si="9064"/>
        <v>0</v>
      </c>
      <c r="CF1490" s="452">
        <f t="shared" si="9064"/>
        <v>0</v>
      </c>
      <c r="CG1490" s="452">
        <f t="shared" si="9064"/>
        <v>0</v>
      </c>
      <c r="CH1490" s="452">
        <f t="shared" si="9064"/>
        <v>0</v>
      </c>
      <c r="CI1490" s="452">
        <f t="shared" si="9064"/>
        <v>0</v>
      </c>
      <c r="CJ1490" s="452">
        <f t="shared" si="9064"/>
        <v>0</v>
      </c>
      <c r="CK1490" s="452">
        <f t="shared" si="9064"/>
        <v>0</v>
      </c>
      <c r="CL1490" s="452">
        <f t="shared" si="9064"/>
        <v>0</v>
      </c>
      <c r="CM1490" s="452">
        <f t="shared" si="9064"/>
        <v>0</v>
      </c>
      <c r="CN1490" s="452">
        <f t="shared" si="9064"/>
        <v>0</v>
      </c>
      <c r="CO1490" s="452">
        <f t="shared" si="9064"/>
        <v>0</v>
      </c>
    </row>
    <row r="1491" spans="1:93">
      <c r="A1491" s="10"/>
      <c r="B1491" s="10"/>
      <c r="C1491" s="17"/>
      <c r="D1491" s="10"/>
      <c r="E1491" s="10"/>
      <c r="F1491" s="10"/>
      <c r="G1491" s="11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  <c r="AY1491" s="10"/>
      <c r="AZ1491" s="10"/>
      <c r="BA1491" s="10"/>
      <c r="BB1491" s="10"/>
      <c r="BC1491" s="10"/>
      <c r="BD1491" s="10"/>
      <c r="BE1491" s="10"/>
      <c r="BF1491" s="10"/>
      <c r="BG1491" s="10"/>
      <c r="BH1491" s="10"/>
      <c r="BI1491" s="10"/>
      <c r="BJ1491" s="10"/>
      <c r="BK1491" s="10"/>
      <c r="BL1491" s="10"/>
      <c r="BM1491" s="10"/>
      <c r="BN1491" s="10"/>
      <c r="BO1491" s="10"/>
      <c r="BP1491" s="10"/>
      <c r="BQ1491" s="10"/>
      <c r="BR1491" s="10"/>
      <c r="BS1491" s="10"/>
      <c r="BT1491" s="10"/>
      <c r="BU1491" s="10"/>
      <c r="BV1491" s="10"/>
      <c r="BW1491" s="10"/>
      <c r="BX1491" s="10"/>
      <c r="BY1491" s="10"/>
      <c r="BZ1491" s="10"/>
      <c r="CA1491" s="10"/>
      <c r="CB1491" s="10"/>
      <c r="CC1491" s="10"/>
      <c r="CD1491" s="10"/>
      <c r="CE1491" s="10"/>
      <c r="CF1491" s="10"/>
      <c r="CG1491" s="10"/>
      <c r="CH1491" s="10"/>
      <c r="CI1491" s="10"/>
      <c r="CJ1491" s="10"/>
      <c r="CK1491" s="10"/>
      <c r="CL1491" s="10"/>
      <c r="CM1491" s="10"/>
      <c r="CN1491" s="10"/>
      <c r="CO1491" s="10"/>
    </row>
    <row r="1492" spans="1:93">
      <c r="A1492" s="10"/>
      <c r="B1492" s="10"/>
      <c r="C1492" s="17" t="s">
        <v>1070</v>
      </c>
      <c r="D1492" s="10"/>
      <c r="E1492" s="10"/>
      <c r="F1492" s="10"/>
      <c r="G1492" s="11" t="str">
        <f>Monetary_Unit</f>
        <v>тыс. руб.</v>
      </c>
      <c r="H1492" s="10"/>
      <c r="I1492" s="10"/>
      <c r="J1492" s="10"/>
      <c r="K1492" s="10"/>
      <c r="L1492" s="10">
        <f t="shared" ref="L1492:BW1492" si="9065" xml:space="preserve"> Debt_BoP</f>
        <v>0</v>
      </c>
      <c r="M1492" s="10">
        <f t="shared" si="9065"/>
        <v>0</v>
      </c>
      <c r="N1492" s="10">
        <f t="shared" si="9065"/>
        <v>0</v>
      </c>
      <c r="O1492" s="10">
        <f t="shared" si="9065"/>
        <v>0</v>
      </c>
      <c r="P1492" s="10">
        <f t="shared" si="9065"/>
        <v>0</v>
      </c>
      <c r="Q1492" s="10">
        <f t="shared" si="9065"/>
        <v>0</v>
      </c>
      <c r="R1492" s="10">
        <f t="shared" si="9065"/>
        <v>0</v>
      </c>
      <c r="S1492" s="10">
        <f t="shared" si="9065"/>
        <v>0</v>
      </c>
      <c r="T1492" s="10">
        <f t="shared" si="9065"/>
        <v>93075.219462963287</v>
      </c>
      <c r="U1492" s="10">
        <f t="shared" si="9065"/>
        <v>379690.34390327823</v>
      </c>
      <c r="V1492" s="10">
        <f t="shared" si="9065"/>
        <v>669129.60368778696</v>
      </c>
      <c r="W1492" s="10">
        <f t="shared" si="9065"/>
        <v>961420.82617018488</v>
      </c>
      <c r="X1492" s="10">
        <f t="shared" si="9065"/>
        <v>1256592.112898397</v>
      </c>
      <c r="Y1492" s="10">
        <f t="shared" si="9065"/>
        <v>1879104.5142084088</v>
      </c>
      <c r="Z1492" s="10">
        <f t="shared" si="9065"/>
        <v>2507750.7832903028</v>
      </c>
      <c r="AA1492" s="10">
        <f t="shared" si="9065"/>
        <v>3142591.3596369531</v>
      </c>
      <c r="AB1492" s="10">
        <f t="shared" si="9065"/>
        <v>3783687.2782761287</v>
      </c>
      <c r="AC1492" s="10">
        <f t="shared" si="9065"/>
        <v>4616063.5245886445</v>
      </c>
      <c r="AD1492" s="10">
        <f t="shared" si="9065"/>
        <v>4495805.9500073316</v>
      </c>
      <c r="AE1492" s="10">
        <f t="shared" si="9065"/>
        <v>4374168.0381170874</v>
      </c>
      <c r="AF1492" s="10">
        <f t="shared" si="9065"/>
        <v>4250828.5281117735</v>
      </c>
      <c r="AG1492" s="10">
        <f t="shared" si="9065"/>
        <v>4125222.4499160405</v>
      </c>
      <c r="AH1492" s="10">
        <f t="shared" si="9065"/>
        <v>3998161.2541356659</v>
      </c>
      <c r="AI1492" s="10">
        <f t="shared" si="9065"/>
        <v>3869598.1264479118</v>
      </c>
      <c r="AJ1492" s="10">
        <f t="shared" si="9065"/>
        <v>3739236.5234453464</v>
      </c>
      <c r="AK1492" s="10">
        <f t="shared" si="9065"/>
        <v>3606568.3681428847</v>
      </c>
      <c r="AL1492" s="10">
        <f t="shared" si="9065"/>
        <v>3472318.4487806205</v>
      </c>
      <c r="AM1492" s="10">
        <f t="shared" si="9065"/>
        <v>3336436.3859030483</v>
      </c>
      <c r="AN1492" s="10">
        <f t="shared" si="9065"/>
        <v>3198653.462726674</v>
      </c>
      <c r="AO1492" s="10">
        <f t="shared" si="9065"/>
        <v>3058682.3180184551</v>
      </c>
      <c r="AP1492" s="10">
        <f t="shared" si="9065"/>
        <v>2916779.6856331495</v>
      </c>
      <c r="AQ1492" s="10">
        <f t="shared" si="9065"/>
        <v>2773109.6477034264</v>
      </c>
      <c r="AR1492" s="10">
        <f t="shared" si="9065"/>
        <v>2627435.2942976062</v>
      </c>
      <c r="AS1492" s="10">
        <f t="shared" si="9065"/>
        <v>2479426.5311982608</v>
      </c>
      <c r="AT1492" s="10">
        <f t="shared" si="9065"/>
        <v>2329555.4519931669</v>
      </c>
      <c r="AU1492" s="10">
        <f t="shared" si="9065"/>
        <v>2177763.7585033504</v>
      </c>
      <c r="AV1492" s="10">
        <f t="shared" si="9065"/>
        <v>2023848.643856613</v>
      </c>
      <c r="AW1492" s="10">
        <f t="shared" si="9065"/>
        <v>1867515.0379988309</v>
      </c>
      <c r="AX1492" s="10">
        <f t="shared" si="9065"/>
        <v>1709164.0640122641</v>
      </c>
      <c r="AY1492" s="10">
        <f t="shared" si="9065"/>
        <v>1548733.0365677271</v>
      </c>
      <c r="AZ1492" s="10">
        <f t="shared" si="9065"/>
        <v>1386057.7315221743</v>
      </c>
      <c r="BA1492" s="10">
        <f t="shared" si="9065"/>
        <v>1220929.9150941351</v>
      </c>
      <c r="BB1492" s="10">
        <f t="shared" si="9065"/>
        <v>1053619.0083958807</v>
      </c>
      <c r="BC1492" s="10">
        <f t="shared" si="9065"/>
        <v>884057.62976388773</v>
      </c>
      <c r="BD1492" s="10">
        <f t="shared" si="9065"/>
        <v>712124.24751105381</v>
      </c>
      <c r="BE1492" s="10">
        <f t="shared" si="9065"/>
        <v>537736.13931138162</v>
      </c>
      <c r="BF1492" s="10">
        <f t="shared" si="9065"/>
        <v>360941.61383031344</v>
      </c>
      <c r="BG1492" s="10">
        <f t="shared" si="9065"/>
        <v>181720.95747018265</v>
      </c>
      <c r="BH1492" s="10">
        <f t="shared" si="9065"/>
        <v>0</v>
      </c>
      <c r="BI1492" s="10">
        <f t="shared" si="9065"/>
        <v>0</v>
      </c>
      <c r="BJ1492" s="10">
        <f t="shared" si="9065"/>
        <v>0</v>
      </c>
      <c r="BK1492" s="10">
        <f t="shared" si="9065"/>
        <v>0</v>
      </c>
      <c r="BL1492" s="10">
        <f t="shared" si="9065"/>
        <v>0</v>
      </c>
      <c r="BM1492" s="10">
        <f t="shared" si="9065"/>
        <v>0</v>
      </c>
      <c r="BN1492" s="10">
        <f t="shared" si="9065"/>
        <v>0</v>
      </c>
      <c r="BO1492" s="10">
        <f t="shared" si="9065"/>
        <v>0</v>
      </c>
      <c r="BP1492" s="10">
        <f t="shared" si="9065"/>
        <v>0</v>
      </c>
      <c r="BQ1492" s="10">
        <f t="shared" si="9065"/>
        <v>0</v>
      </c>
      <c r="BR1492" s="10">
        <f t="shared" si="9065"/>
        <v>0</v>
      </c>
      <c r="BS1492" s="10">
        <f t="shared" si="9065"/>
        <v>0</v>
      </c>
      <c r="BT1492" s="10">
        <f t="shared" si="9065"/>
        <v>0</v>
      </c>
      <c r="BU1492" s="10">
        <f t="shared" si="9065"/>
        <v>0</v>
      </c>
      <c r="BV1492" s="10">
        <f t="shared" si="9065"/>
        <v>0</v>
      </c>
      <c r="BW1492" s="10">
        <f t="shared" si="9065"/>
        <v>0</v>
      </c>
      <c r="BX1492" s="10">
        <f t="shared" ref="BX1492:CO1492" si="9066" xml:space="preserve"> Debt_BoP</f>
        <v>0</v>
      </c>
      <c r="BY1492" s="10">
        <f t="shared" si="9066"/>
        <v>0</v>
      </c>
      <c r="BZ1492" s="10">
        <f t="shared" si="9066"/>
        <v>0</v>
      </c>
      <c r="CA1492" s="10">
        <f t="shared" si="9066"/>
        <v>0</v>
      </c>
      <c r="CB1492" s="10">
        <f t="shared" si="9066"/>
        <v>0</v>
      </c>
      <c r="CC1492" s="10">
        <f t="shared" si="9066"/>
        <v>0</v>
      </c>
      <c r="CD1492" s="10">
        <f t="shared" si="9066"/>
        <v>0</v>
      </c>
      <c r="CE1492" s="10">
        <f t="shared" si="9066"/>
        <v>0</v>
      </c>
      <c r="CF1492" s="10">
        <f t="shared" si="9066"/>
        <v>0</v>
      </c>
      <c r="CG1492" s="10">
        <f t="shared" si="9066"/>
        <v>0</v>
      </c>
      <c r="CH1492" s="10">
        <f t="shared" si="9066"/>
        <v>0</v>
      </c>
      <c r="CI1492" s="10">
        <f t="shared" si="9066"/>
        <v>0</v>
      </c>
      <c r="CJ1492" s="10">
        <f t="shared" si="9066"/>
        <v>0</v>
      </c>
      <c r="CK1492" s="10">
        <f t="shared" si="9066"/>
        <v>0</v>
      </c>
      <c r="CL1492" s="10">
        <f t="shared" si="9066"/>
        <v>0</v>
      </c>
      <c r="CM1492" s="10">
        <f t="shared" si="9066"/>
        <v>0</v>
      </c>
      <c r="CN1492" s="10">
        <f t="shared" si="9066"/>
        <v>0</v>
      </c>
      <c r="CO1492" s="10">
        <f t="shared" si="9066"/>
        <v>0</v>
      </c>
    </row>
    <row r="1493" spans="1:93">
      <c r="A1493" s="10"/>
      <c r="B1493" s="10"/>
      <c r="C1493" s="17" t="s">
        <v>1071</v>
      </c>
      <c r="D1493" s="10"/>
      <c r="E1493" s="10"/>
      <c r="F1493" s="10"/>
      <c r="G1493" s="11" t="str">
        <f>Monetary_Unit</f>
        <v>тыс. руб.</v>
      </c>
      <c r="H1493" s="10"/>
      <c r="I1493" s="10"/>
      <c r="J1493" s="10"/>
      <c r="K1493" s="10"/>
      <c r="L1493" s="10">
        <f t="shared" ref="L1493" ca="1" si="9067">CFADS*L1490</f>
        <v>0</v>
      </c>
      <c r="M1493" s="10">
        <f t="shared" ref="M1493:BX1493" ca="1" si="9068">CFADS*M1490</f>
        <v>0</v>
      </c>
      <c r="N1493" s="10">
        <f t="shared" ca="1" si="9068"/>
        <v>0</v>
      </c>
      <c r="O1493" s="10">
        <f t="shared" ca="1" si="9068"/>
        <v>0</v>
      </c>
      <c r="P1493" s="10">
        <f t="shared" ca="1" si="9068"/>
        <v>0</v>
      </c>
      <c r="Q1493" s="10">
        <f t="shared" ca="1" si="9068"/>
        <v>0</v>
      </c>
      <c r="R1493" s="10">
        <f t="shared" ca="1" si="9068"/>
        <v>0</v>
      </c>
      <c r="S1493" s="10">
        <f t="shared" ca="1" si="9068"/>
        <v>0</v>
      </c>
      <c r="T1493" s="10">
        <f t="shared" ca="1" si="9068"/>
        <v>0</v>
      </c>
      <c r="U1493" s="10">
        <f t="shared" ca="1" si="9068"/>
        <v>0</v>
      </c>
      <c r="V1493" s="10">
        <f t="shared" ca="1" si="9068"/>
        <v>0</v>
      </c>
      <c r="W1493" s="10">
        <f t="shared" ca="1" si="9068"/>
        <v>0</v>
      </c>
      <c r="X1493" s="10">
        <f t="shared" ca="1" si="9068"/>
        <v>0</v>
      </c>
      <c r="Y1493" s="10">
        <f t="shared" ca="1" si="9068"/>
        <v>0</v>
      </c>
      <c r="Z1493" s="10">
        <f t="shared" ca="1" si="9068"/>
        <v>0</v>
      </c>
      <c r="AA1493" s="10">
        <f t="shared" ca="1" si="9068"/>
        <v>0</v>
      </c>
      <c r="AB1493" s="10">
        <f t="shared" ca="1" si="9068"/>
        <v>0</v>
      </c>
      <c r="AC1493" s="10">
        <f t="shared" ca="1" si="9068"/>
        <v>870232.3965845874</v>
      </c>
      <c r="AD1493" s="10">
        <f t="shared" ca="1" si="9068"/>
        <v>323525.51156056835</v>
      </c>
      <c r="AE1493" s="10">
        <f t="shared" ca="1" si="9068"/>
        <v>220677.87583811313</v>
      </c>
      <c r="AF1493" s="10">
        <f t="shared" ca="1" si="9068"/>
        <v>162368.51874953369</v>
      </c>
      <c r="AG1493" s="10">
        <f t="shared" ca="1" si="9068"/>
        <v>170471.89456974238</v>
      </c>
      <c r="AH1493" s="10">
        <f t="shared" ca="1" si="9068"/>
        <v>241676.05608745053</v>
      </c>
      <c r="AI1493" s="10">
        <f t="shared" ca="1" si="9068"/>
        <v>262666.76439716335</v>
      </c>
      <c r="AJ1493" s="10">
        <f t="shared" ca="1" si="9068"/>
        <v>192566.15963543567</v>
      </c>
      <c r="AK1493" s="10">
        <f t="shared" ca="1" si="9068"/>
        <v>201164.54111336311</v>
      </c>
      <c r="AL1493" s="10">
        <f t="shared" ca="1" si="9068"/>
        <v>283932.27617986838</v>
      </c>
      <c r="AM1493" s="10">
        <f t="shared" ca="1" si="9068"/>
        <v>307659.43050999579</v>
      </c>
      <c r="AN1493" s="10">
        <f t="shared" ca="1" si="9068"/>
        <v>226858.25057665067</v>
      </c>
      <c r="AO1493" s="10">
        <f t="shared" ca="1" si="9068"/>
        <v>234047.02808842011</v>
      </c>
      <c r="AP1493" s="10">
        <f t="shared" ca="1" si="9068"/>
        <v>326091.39529012598</v>
      </c>
      <c r="AQ1493" s="10">
        <f t="shared" ca="1" si="9068"/>
        <v>345160.48852029972</v>
      </c>
      <c r="AR1493" s="10">
        <f t="shared" ca="1" si="9068"/>
        <v>245562.49792075154</v>
      </c>
      <c r="AS1493" s="10">
        <f t="shared" ca="1" si="9068"/>
        <v>246113.70882875129</v>
      </c>
      <c r="AT1493" s="10">
        <f t="shared" ca="1" si="9068"/>
        <v>337076.85495761334</v>
      </c>
      <c r="AU1493" s="10">
        <f t="shared" ca="1" si="9068"/>
        <v>351177.08044978726</v>
      </c>
      <c r="AV1493" s="10">
        <f t="shared" ca="1" si="9068"/>
        <v>248086.55026546764</v>
      </c>
      <c r="AW1493" s="10">
        <f t="shared" ca="1" si="9068"/>
        <v>292165.11672781332</v>
      </c>
      <c r="AX1493" s="10">
        <f t="shared" ca="1" si="9068"/>
        <v>269191.79577147099</v>
      </c>
      <c r="AY1493" s="10">
        <f t="shared" ca="1" si="9068"/>
        <v>194949.11604679129</v>
      </c>
      <c r="AZ1493" s="10">
        <f t="shared" ca="1" si="9068"/>
        <v>141205.65106453441</v>
      </c>
      <c r="BA1493" s="10">
        <f t="shared" ca="1" si="9068"/>
        <v>182897.85665672921</v>
      </c>
      <c r="BB1493" s="10">
        <f t="shared" ca="1" si="9068"/>
        <v>246245.57558774002</v>
      </c>
      <c r="BC1493" s="10">
        <f t="shared" ca="1" si="9068"/>
        <v>202016.04742557846</v>
      </c>
      <c r="BD1493" s="10">
        <f t="shared" ca="1" si="9068"/>
        <v>148330.5331067309</v>
      </c>
      <c r="BE1493" s="10">
        <f t="shared" ca="1" si="9068"/>
        <v>186921.41067506073</v>
      </c>
      <c r="BF1493" s="10">
        <f t="shared" ca="1" si="9068"/>
        <v>253412.90176951466</v>
      </c>
      <c r="BG1493" s="10">
        <f t="shared" ca="1" si="9068"/>
        <v>207443.65395520223</v>
      </c>
      <c r="BH1493" s="10">
        <f t="shared" ca="1" si="9068"/>
        <v>0</v>
      </c>
      <c r="BI1493" s="10">
        <f t="shared" ca="1" si="9068"/>
        <v>0</v>
      </c>
      <c r="BJ1493" s="10">
        <f t="shared" ca="1" si="9068"/>
        <v>0</v>
      </c>
      <c r="BK1493" s="10">
        <f t="shared" ca="1" si="9068"/>
        <v>0</v>
      </c>
      <c r="BL1493" s="10">
        <f t="shared" ca="1" si="9068"/>
        <v>0</v>
      </c>
      <c r="BM1493" s="10">
        <f t="shared" ca="1" si="9068"/>
        <v>0</v>
      </c>
      <c r="BN1493" s="10">
        <f t="shared" ca="1" si="9068"/>
        <v>0</v>
      </c>
      <c r="BO1493" s="10">
        <f t="shared" ca="1" si="9068"/>
        <v>0</v>
      </c>
      <c r="BP1493" s="10">
        <f t="shared" ca="1" si="9068"/>
        <v>0</v>
      </c>
      <c r="BQ1493" s="10">
        <f t="shared" ca="1" si="9068"/>
        <v>0</v>
      </c>
      <c r="BR1493" s="10">
        <f t="shared" ca="1" si="9068"/>
        <v>0</v>
      </c>
      <c r="BS1493" s="10">
        <f t="shared" ca="1" si="9068"/>
        <v>0</v>
      </c>
      <c r="BT1493" s="10">
        <f t="shared" ca="1" si="9068"/>
        <v>0</v>
      </c>
      <c r="BU1493" s="10">
        <f t="shared" ca="1" si="9068"/>
        <v>0</v>
      </c>
      <c r="BV1493" s="10">
        <f t="shared" ca="1" si="9068"/>
        <v>0</v>
      </c>
      <c r="BW1493" s="10">
        <f t="shared" ca="1" si="9068"/>
        <v>0</v>
      </c>
      <c r="BX1493" s="10">
        <f t="shared" ca="1" si="9068"/>
        <v>0</v>
      </c>
      <c r="BY1493" s="10">
        <f t="shared" ref="BY1493:CO1493" ca="1" si="9069">CFADS*BY1490</f>
        <v>0</v>
      </c>
      <c r="BZ1493" s="10">
        <f t="shared" ca="1" si="9069"/>
        <v>0</v>
      </c>
      <c r="CA1493" s="10">
        <f t="shared" ca="1" si="9069"/>
        <v>0</v>
      </c>
      <c r="CB1493" s="10">
        <f t="shared" ca="1" si="9069"/>
        <v>0</v>
      </c>
      <c r="CC1493" s="10">
        <f t="shared" ca="1" si="9069"/>
        <v>0</v>
      </c>
      <c r="CD1493" s="10">
        <f t="shared" ca="1" si="9069"/>
        <v>0</v>
      </c>
      <c r="CE1493" s="10">
        <f t="shared" ca="1" si="9069"/>
        <v>0</v>
      </c>
      <c r="CF1493" s="10">
        <f t="shared" ca="1" si="9069"/>
        <v>0</v>
      </c>
      <c r="CG1493" s="10">
        <f t="shared" ca="1" si="9069"/>
        <v>0</v>
      </c>
      <c r="CH1493" s="10">
        <f t="shared" ca="1" si="9069"/>
        <v>0</v>
      </c>
      <c r="CI1493" s="10">
        <f t="shared" ca="1" si="9069"/>
        <v>0</v>
      </c>
      <c r="CJ1493" s="10">
        <f t="shared" ca="1" si="9069"/>
        <v>0</v>
      </c>
      <c r="CK1493" s="10">
        <f t="shared" ca="1" si="9069"/>
        <v>0</v>
      </c>
      <c r="CL1493" s="10">
        <f t="shared" ca="1" si="9069"/>
        <v>0</v>
      </c>
      <c r="CM1493" s="10">
        <f t="shared" ca="1" si="9069"/>
        <v>0</v>
      </c>
      <c r="CN1493" s="10">
        <f t="shared" ca="1" si="9069"/>
        <v>0</v>
      </c>
      <c r="CO1493" s="10">
        <f t="shared" ca="1" si="9069"/>
        <v>0</v>
      </c>
    </row>
    <row r="1494" spans="1:93">
      <c r="A1494" s="10"/>
      <c r="B1494" s="10"/>
      <c r="C1494" s="17" t="s">
        <v>1072</v>
      </c>
      <c r="D1494" s="10"/>
      <c r="E1494" s="10"/>
      <c r="F1494" s="10"/>
      <c r="G1494" s="11" t="s">
        <v>28</v>
      </c>
      <c r="H1494" s="10"/>
      <c r="I1494" s="10"/>
      <c r="J1494" s="10"/>
      <c r="K1494" s="10"/>
      <c r="L1494" s="43">
        <f t="shared" ref="L1494:AQ1494" si="9070">(1 + (L1177 /Period_length)) ^ (1 / Periods_in_Year) - 1</f>
        <v>1.8954262071361416E-2</v>
      </c>
      <c r="M1494" s="43">
        <f t="shared" si="9070"/>
        <v>1.8954262071361416E-2</v>
      </c>
      <c r="N1494" s="43">
        <f t="shared" si="9070"/>
        <v>1.8954262071361416E-2</v>
      </c>
      <c r="O1494" s="43">
        <f t="shared" si="9070"/>
        <v>1.8954262071361416E-2</v>
      </c>
      <c r="P1494" s="43">
        <f t="shared" si="9070"/>
        <v>1.5391015078703774E-2</v>
      </c>
      <c r="Q1494" s="43">
        <f t="shared" si="9070"/>
        <v>1.5391015078703774E-2</v>
      </c>
      <c r="R1494" s="43">
        <f t="shared" si="9070"/>
        <v>1.5391015078703774E-2</v>
      </c>
      <c r="S1494" s="43">
        <f t="shared" si="9070"/>
        <v>1.5391015078703774E-2</v>
      </c>
      <c r="T1494" s="43">
        <f t="shared" si="9070"/>
        <v>1.3595233102880577E-2</v>
      </c>
      <c r="U1494" s="43">
        <f t="shared" si="9070"/>
        <v>1.3595233102880577E-2</v>
      </c>
      <c r="V1494" s="43">
        <f t="shared" si="9070"/>
        <v>1.3595233102880577E-2</v>
      </c>
      <c r="W1494" s="43">
        <f t="shared" si="9070"/>
        <v>1.3595233102880577E-2</v>
      </c>
      <c r="X1494" s="43">
        <f t="shared" si="9070"/>
        <v>1.3595233102880577E-2</v>
      </c>
      <c r="Y1494" s="43">
        <f t="shared" si="9070"/>
        <v>1.3595233102880577E-2</v>
      </c>
      <c r="Z1494" s="43">
        <f t="shared" si="9070"/>
        <v>1.3595233102880577E-2</v>
      </c>
      <c r="AA1494" s="43">
        <f t="shared" si="9070"/>
        <v>1.3595233102880577E-2</v>
      </c>
      <c r="AB1494" s="43">
        <f t="shared" si="9070"/>
        <v>1.3595233102880577E-2</v>
      </c>
      <c r="AC1494" s="43">
        <f t="shared" si="9070"/>
        <v>1.3595233102880577E-2</v>
      </c>
      <c r="AD1494" s="43">
        <f t="shared" si="9070"/>
        <v>1.3595233102880577E-2</v>
      </c>
      <c r="AE1494" s="43">
        <f t="shared" si="9070"/>
        <v>1.3595233102880577E-2</v>
      </c>
      <c r="AF1494" s="43">
        <f t="shared" si="9070"/>
        <v>1.3595233102880577E-2</v>
      </c>
      <c r="AG1494" s="43">
        <f t="shared" si="9070"/>
        <v>1.3595233102880577E-2</v>
      </c>
      <c r="AH1494" s="43">
        <f t="shared" si="9070"/>
        <v>1.3595233102880577E-2</v>
      </c>
      <c r="AI1494" s="43">
        <f t="shared" si="9070"/>
        <v>1.3595233102880577E-2</v>
      </c>
      <c r="AJ1494" s="43">
        <f t="shared" si="9070"/>
        <v>1.3595233102880577E-2</v>
      </c>
      <c r="AK1494" s="43">
        <f t="shared" si="9070"/>
        <v>1.3595233102880577E-2</v>
      </c>
      <c r="AL1494" s="43">
        <f t="shared" si="9070"/>
        <v>1.3595233102880577E-2</v>
      </c>
      <c r="AM1494" s="43">
        <f t="shared" si="9070"/>
        <v>1.3595233102880577E-2</v>
      </c>
      <c r="AN1494" s="43">
        <f t="shared" si="9070"/>
        <v>1.3595233102880577E-2</v>
      </c>
      <c r="AO1494" s="43">
        <f t="shared" si="9070"/>
        <v>1.3595233102880577E-2</v>
      </c>
      <c r="AP1494" s="43">
        <f t="shared" si="9070"/>
        <v>1.3595233102880577E-2</v>
      </c>
      <c r="AQ1494" s="43">
        <f t="shared" si="9070"/>
        <v>1.3595233102880577E-2</v>
      </c>
      <c r="AR1494" s="43">
        <f t="shared" ref="AR1494:BW1494" si="9071">(1 + (AR1177 /Period_length)) ^ (1 / Periods_in_Year) - 1</f>
        <v>1.3595233102880577E-2</v>
      </c>
      <c r="AS1494" s="43">
        <f t="shared" si="9071"/>
        <v>1.3595233102880577E-2</v>
      </c>
      <c r="AT1494" s="43">
        <f t="shared" si="9071"/>
        <v>1.3595233102880577E-2</v>
      </c>
      <c r="AU1494" s="43">
        <f t="shared" si="9071"/>
        <v>1.3595233102880577E-2</v>
      </c>
      <c r="AV1494" s="43">
        <f t="shared" si="9071"/>
        <v>1.3595233102880577E-2</v>
      </c>
      <c r="AW1494" s="43">
        <f t="shared" si="9071"/>
        <v>1.3595233102880577E-2</v>
      </c>
      <c r="AX1494" s="43">
        <f t="shared" si="9071"/>
        <v>1.3595233102880577E-2</v>
      </c>
      <c r="AY1494" s="43">
        <f t="shared" si="9071"/>
        <v>1.3595233102880577E-2</v>
      </c>
      <c r="AZ1494" s="43">
        <f t="shared" si="9071"/>
        <v>1.3595233102880577E-2</v>
      </c>
      <c r="BA1494" s="43">
        <f t="shared" si="9071"/>
        <v>1.3595233102880577E-2</v>
      </c>
      <c r="BB1494" s="43">
        <f t="shared" si="9071"/>
        <v>1.3595233102880577E-2</v>
      </c>
      <c r="BC1494" s="43">
        <f t="shared" si="9071"/>
        <v>1.3595233102880577E-2</v>
      </c>
      <c r="BD1494" s="43">
        <f t="shared" si="9071"/>
        <v>1.3595233102880577E-2</v>
      </c>
      <c r="BE1494" s="43">
        <f t="shared" si="9071"/>
        <v>1.3595233102880577E-2</v>
      </c>
      <c r="BF1494" s="43">
        <f t="shared" si="9071"/>
        <v>1.3595233102880577E-2</v>
      </c>
      <c r="BG1494" s="43">
        <f t="shared" si="9071"/>
        <v>1.3595233102880577E-2</v>
      </c>
      <c r="BH1494" s="43">
        <f t="shared" si="9071"/>
        <v>1.3595233102880577E-2</v>
      </c>
      <c r="BI1494" s="43">
        <f t="shared" si="9071"/>
        <v>1.3595233102880577E-2</v>
      </c>
      <c r="BJ1494" s="43">
        <f t="shared" si="9071"/>
        <v>1.3595233102880577E-2</v>
      </c>
      <c r="BK1494" s="43">
        <f t="shared" si="9071"/>
        <v>1.3595233102880577E-2</v>
      </c>
      <c r="BL1494" s="43">
        <f t="shared" si="9071"/>
        <v>1.3595233102880577E-2</v>
      </c>
      <c r="BM1494" s="43">
        <f t="shared" si="9071"/>
        <v>1.3595233102880577E-2</v>
      </c>
      <c r="BN1494" s="43">
        <f t="shared" si="9071"/>
        <v>1.3595233102880577E-2</v>
      </c>
      <c r="BO1494" s="43">
        <f t="shared" si="9071"/>
        <v>1.3595233102880577E-2</v>
      </c>
      <c r="BP1494" s="43">
        <f t="shared" si="9071"/>
        <v>1.3595233102880577E-2</v>
      </c>
      <c r="BQ1494" s="43">
        <f t="shared" si="9071"/>
        <v>1.3595233102880577E-2</v>
      </c>
      <c r="BR1494" s="43">
        <f t="shared" si="9071"/>
        <v>1.3595233102880577E-2</v>
      </c>
      <c r="BS1494" s="43">
        <f t="shared" si="9071"/>
        <v>1.3595233102880577E-2</v>
      </c>
      <c r="BT1494" s="43">
        <f t="shared" si="9071"/>
        <v>1.3595233102880577E-2</v>
      </c>
      <c r="BU1494" s="43">
        <f t="shared" si="9071"/>
        <v>1.3595233102880577E-2</v>
      </c>
      <c r="BV1494" s="43">
        <f t="shared" si="9071"/>
        <v>1.3595233102880577E-2</v>
      </c>
      <c r="BW1494" s="43">
        <f t="shared" si="9071"/>
        <v>1.3595233102880577E-2</v>
      </c>
      <c r="BX1494" s="43">
        <f t="shared" ref="BX1494:CO1494" si="9072">(1 + (BX1177 /Period_length)) ^ (1 / Periods_in_Year) - 1</f>
        <v>1.3595233102880577E-2</v>
      </c>
      <c r="BY1494" s="43">
        <f t="shared" si="9072"/>
        <v>1.3595233102880577E-2</v>
      </c>
      <c r="BZ1494" s="43">
        <f t="shared" si="9072"/>
        <v>1.3595233102880577E-2</v>
      </c>
      <c r="CA1494" s="43">
        <f t="shared" si="9072"/>
        <v>1.3595233102880577E-2</v>
      </c>
      <c r="CB1494" s="43">
        <f t="shared" si="9072"/>
        <v>1.3595233102880577E-2</v>
      </c>
      <c r="CC1494" s="43">
        <f t="shared" si="9072"/>
        <v>1.3595233102880577E-2</v>
      </c>
      <c r="CD1494" s="43">
        <f t="shared" si="9072"/>
        <v>1.3595233102880577E-2</v>
      </c>
      <c r="CE1494" s="43">
        <f t="shared" si="9072"/>
        <v>1.3595233102880577E-2</v>
      </c>
      <c r="CF1494" s="43">
        <f t="shared" si="9072"/>
        <v>1.3595233102880577E-2</v>
      </c>
      <c r="CG1494" s="43">
        <f t="shared" si="9072"/>
        <v>1.3595233102880577E-2</v>
      </c>
      <c r="CH1494" s="43">
        <f t="shared" si="9072"/>
        <v>1.3595233102880577E-2</v>
      </c>
      <c r="CI1494" s="43">
        <f t="shared" si="9072"/>
        <v>1.3595233102880577E-2</v>
      </c>
      <c r="CJ1494" s="43">
        <f t="shared" si="9072"/>
        <v>1.3595233102880577E-2</v>
      </c>
      <c r="CK1494" s="43">
        <f t="shared" si="9072"/>
        <v>1.3595233102880577E-2</v>
      </c>
      <c r="CL1494" s="43">
        <f t="shared" si="9072"/>
        <v>1.3595233102880577E-2</v>
      </c>
      <c r="CM1494" s="43">
        <f t="shared" si="9072"/>
        <v>1.3595233102880577E-2</v>
      </c>
      <c r="CN1494" s="43">
        <f t="shared" si="9072"/>
        <v>1.3595233102880577E-2</v>
      </c>
      <c r="CO1494" s="43">
        <f t="shared" si="9072"/>
        <v>1.3595233102880577E-2</v>
      </c>
    </row>
    <row r="1495" spans="1:93">
      <c r="A1495" s="10"/>
      <c r="B1495" s="10"/>
      <c r="C1495" s="17" t="s">
        <v>1073</v>
      </c>
      <c r="D1495" s="10"/>
      <c r="E1495" s="10"/>
      <c r="F1495" s="10"/>
      <c r="G1495" s="11" t="s">
        <v>378</v>
      </c>
      <c r="H1495" s="10"/>
      <c r="I1495" s="10"/>
      <c r="J1495" s="10"/>
      <c r="K1495" s="10"/>
      <c r="L1495" s="27">
        <f t="shared" ref="L1495" si="9073">IF(L1490=0,1,K1495/(1+L1494))</f>
        <v>1</v>
      </c>
      <c r="M1495" s="27">
        <f t="shared" ref="M1495" si="9074">IF(M1490=0,1,L1495/(1+M1494))</f>
        <v>1</v>
      </c>
      <c r="N1495" s="27">
        <f t="shared" ref="N1495" si="9075">IF(N1490=0,1,M1495/(1+N1494))</f>
        <v>1</v>
      </c>
      <c r="O1495" s="27">
        <f t="shared" ref="O1495" si="9076">IF(O1490=0,1,N1495/(1+O1494))</f>
        <v>1</v>
      </c>
      <c r="P1495" s="27">
        <f t="shared" ref="P1495" si="9077">IF(P1490=0,1,O1495/(1+P1494))</f>
        <v>1</v>
      </c>
      <c r="Q1495" s="27">
        <f t="shared" ref="Q1495" si="9078">IF(Q1490=0,1,P1495/(1+Q1494))</f>
        <v>1</v>
      </c>
      <c r="R1495" s="27">
        <f t="shared" ref="R1495" si="9079">IF(R1490=0,1,Q1495/(1+R1494))</f>
        <v>1</v>
      </c>
      <c r="S1495" s="27">
        <f t="shared" ref="S1495" si="9080">IF(S1490=0,1,R1495/(1+S1494))</f>
        <v>1</v>
      </c>
      <c r="T1495" s="27">
        <f t="shared" ref="T1495" si="9081">IF(T1490=0,1,S1495/(1+T1494))</f>
        <v>1</v>
      </c>
      <c r="U1495" s="27">
        <f t="shared" ref="U1495" si="9082">IF(U1490=0,1,T1495/(1+U1494))</f>
        <v>1</v>
      </c>
      <c r="V1495" s="27">
        <f t="shared" ref="V1495" si="9083">IF(V1490=0,1,U1495/(1+V1494))</f>
        <v>1</v>
      </c>
      <c r="W1495" s="27">
        <f t="shared" ref="W1495" si="9084">IF(W1490=0,1,V1495/(1+W1494))</f>
        <v>1</v>
      </c>
      <c r="X1495" s="27">
        <f t="shared" ref="X1495" si="9085">IF(X1490=0,1,W1495/(1+X1494))</f>
        <v>1</v>
      </c>
      <c r="Y1495" s="27">
        <f t="shared" ref="Y1495" si="9086">IF(Y1490=0,1,X1495/(1+Y1494))</f>
        <v>1</v>
      </c>
      <c r="Z1495" s="27">
        <f t="shared" ref="Z1495" si="9087">IF(Z1490=0,1,Y1495/(1+Z1494))</f>
        <v>1</v>
      </c>
      <c r="AA1495" s="27">
        <f t="shared" ref="AA1495" si="9088">IF(AA1490=0,1,Z1495/(1+AA1494))</f>
        <v>1</v>
      </c>
      <c r="AB1495" s="27">
        <f t="shared" ref="AB1495" si="9089">IF(AB1490=0,1,AA1495/(1+AB1494))</f>
        <v>1</v>
      </c>
      <c r="AC1495" s="27">
        <f t="shared" ref="AC1495" si="9090">IF(AC1490=0,1,AB1495/(1+AC1494))</f>
        <v>0.98658711815241873</v>
      </c>
      <c r="AD1495" s="27">
        <f t="shared" ref="AD1495" si="9091">IF(AD1490=0,1,AC1495/(1+AD1494))</f>
        <v>0.97335414170429457</v>
      </c>
      <c r="AE1495" s="27">
        <f t="shared" ref="AE1495" si="9092">IF(AE1490=0,1,AD1495/(1+AE1494))</f>
        <v>0.96029865760576094</v>
      </c>
      <c r="AF1495" s="27">
        <f t="shared" ref="AF1495" si="9093">IF(AF1490=0,1,AE1495/(1+AF1494))</f>
        <v>0.94741828517290394</v>
      </c>
      <c r="AG1495" s="27">
        <f t="shared" ref="AG1495" si="9094">IF(AG1490=0,1,AF1495/(1+AG1494))</f>
        <v>0.93471067565364163</v>
      </c>
      <c r="AH1495" s="27">
        <f t="shared" ref="AH1495" si="9095">IF(AH1490=0,1,AG1495/(1+AH1494))</f>
        <v>0.92217351179942642</v>
      </c>
      <c r="AI1495" s="27">
        <f t="shared" ref="AI1495" si="9096">IF(AI1490=0,1,AH1495/(1+AI1494))</f>
        <v>0.90980450744269159</v>
      </c>
      <c r="AJ1495" s="27">
        <f t="shared" ref="AJ1495" si="9097">IF(AJ1490=0,1,AI1495/(1+AJ1494))</f>
        <v>0.89760140707996583</v>
      </c>
      <c r="AK1495" s="27">
        <f t="shared" ref="AK1495" si="9098">IF(AK1490=0,1,AJ1495/(1+AK1494))</f>
        <v>0.88556198546057951</v>
      </c>
      <c r="AL1495" s="27">
        <f t="shared" ref="AL1495" si="9099">IF(AL1490=0,1,AK1495/(1+AL1494))</f>
        <v>0.87368404718088721</v>
      </c>
      <c r="AM1495" s="27">
        <f t="shared" ref="AM1495" si="9100">IF(AM1490=0,1,AL1495/(1+AM1494))</f>
        <v>0.86196542628393336</v>
      </c>
      <c r="AN1495" s="27">
        <f t="shared" ref="AN1495" si="9101">IF(AN1490=0,1,AM1495/(1+AN1494))</f>
        <v>0.85040398586448684</v>
      </c>
      <c r="AO1495" s="27">
        <f t="shared" ref="AO1495" si="9102">IF(AO1490=0,1,AN1495/(1+AO1494))</f>
        <v>0.83899761767937431</v>
      </c>
      <c r="AP1495" s="27">
        <f t="shared" ref="AP1495" si="9103">IF(AP1490=0,1,AO1495/(1+AP1494))</f>
        <v>0.82774424176303862</v>
      </c>
      <c r="AQ1495" s="27">
        <f t="shared" ref="AQ1495" si="9104">IF(AQ1490=0,1,AP1495/(1+AQ1494))</f>
        <v>0.8166418060482552</v>
      </c>
      <c r="AR1495" s="27">
        <f t="shared" ref="AR1495" si="9105">IF(AR1490=0,1,AQ1495/(1+AR1494))</f>
        <v>0.80568828599193454</v>
      </c>
      <c r="AS1495" s="27">
        <f t="shared" ref="AS1495" si="9106">IF(AS1490=0,1,AR1495/(1+AS1494))</f>
        <v>0.79488168420594441</v>
      </c>
      <c r="AT1495" s="27">
        <f t="shared" ref="AT1495" si="9107">IF(AT1490=0,1,AS1495/(1+AT1494))</f>
        <v>0.78422003009288366</v>
      </c>
      <c r="AU1495" s="27">
        <f t="shared" ref="AU1495" si="9108">IF(AU1490=0,1,AT1495/(1+AU1494))</f>
        <v>0.77370137948674111</v>
      </c>
      <c r="AV1495" s="27">
        <f t="shared" ref="AV1495" si="9109">IF(AV1490=0,1,AU1495/(1+AV1494))</f>
        <v>0.76332381429837481</v>
      </c>
      <c r="AW1495" s="27">
        <f t="shared" ref="AW1495" si="9110">IF(AW1490=0,1,AV1495/(1+AW1494))</f>
        <v>0.75308544216574558</v>
      </c>
      <c r="AX1495" s="27">
        <f t="shared" ref="AX1495" si="9111">IF(AX1490=0,1,AW1495/(1+AX1494))</f>
        <v>0.74298439610884293</v>
      </c>
      <c r="AY1495" s="27">
        <f t="shared" ref="AY1495" si="9112">IF(AY1490=0,1,AX1495/(1+AY1494))</f>
        <v>0.73301883418923841</v>
      </c>
      <c r="AZ1495" s="27">
        <f t="shared" ref="AZ1495" si="9113">IF(AZ1490=0,1,AY1495/(1+AZ1494))</f>
        <v>0.7231869391742064</v>
      </c>
      <c r="BA1495" s="27">
        <f t="shared" ref="BA1495" si="9114">IF(BA1490=0,1,AZ1495/(1+BA1494))</f>
        <v>0.71348691820534882</v>
      </c>
      <c r="BB1495" s="27">
        <f t="shared" ref="BB1495" si="9115">IF(BB1490=0,1,BA1495/(1+BB1494))</f>
        <v>0.70391700247166555</v>
      </c>
      <c r="BC1495" s="27">
        <f t="shared" ref="BC1495" si="9116">IF(BC1490=0,1,BB1495/(1+BC1494))</f>
        <v>0.69447544688700946</v>
      </c>
      <c r="BD1495" s="27">
        <f t="shared" ref="BD1495" si="9117">IF(BD1490=0,1,BC1495/(1+BD1494))</f>
        <v>0.68516052977186781</v>
      </c>
      <c r="BE1495" s="27">
        <f t="shared" ref="BE1495" si="9118">IF(BE1490=0,1,BD1495/(1+BE1494))</f>
        <v>0.67597055253941152</v>
      </c>
      <c r="BF1495" s="27">
        <f t="shared" ref="BF1495" si="9119">IF(BF1490=0,1,BE1495/(1+BF1494))</f>
        <v>0.66690383938575615</v>
      </c>
      <c r="BG1495" s="27">
        <f t="shared" ref="BG1495" si="9120">IF(BG1490=0,1,BF1495/(1+BG1494))</f>
        <v>0.65795873698437668</v>
      </c>
      <c r="BH1495" s="27">
        <f t="shared" ref="BH1495" si="9121">IF(BH1490=0,1,BG1495/(1+BH1494))</f>
        <v>1</v>
      </c>
      <c r="BI1495" s="27">
        <f t="shared" ref="BI1495" si="9122">IF(BI1490=0,1,BH1495/(1+BI1494))</f>
        <v>1</v>
      </c>
      <c r="BJ1495" s="27">
        <f t="shared" ref="BJ1495" si="9123">IF(BJ1490=0,1,BI1495/(1+BJ1494))</f>
        <v>1</v>
      </c>
      <c r="BK1495" s="27">
        <f t="shared" ref="BK1495" si="9124">IF(BK1490=0,1,BJ1495/(1+BK1494))</f>
        <v>1</v>
      </c>
      <c r="BL1495" s="27">
        <f t="shared" ref="BL1495" si="9125">IF(BL1490=0,1,BK1495/(1+BL1494))</f>
        <v>1</v>
      </c>
      <c r="BM1495" s="27">
        <f t="shared" ref="BM1495" si="9126">IF(BM1490=0,1,BL1495/(1+BM1494))</f>
        <v>1</v>
      </c>
      <c r="BN1495" s="27">
        <f t="shared" ref="BN1495" si="9127">IF(BN1490=0,1,BM1495/(1+BN1494))</f>
        <v>1</v>
      </c>
      <c r="BO1495" s="27">
        <f t="shared" ref="BO1495" si="9128">IF(BO1490=0,1,BN1495/(1+BO1494))</f>
        <v>1</v>
      </c>
      <c r="BP1495" s="27">
        <f t="shared" ref="BP1495" si="9129">IF(BP1490=0,1,BO1495/(1+BP1494))</f>
        <v>1</v>
      </c>
      <c r="BQ1495" s="27">
        <f t="shared" ref="BQ1495" si="9130">IF(BQ1490=0,1,BP1495/(1+BQ1494))</f>
        <v>1</v>
      </c>
      <c r="BR1495" s="27">
        <f t="shared" ref="BR1495" si="9131">IF(BR1490=0,1,BQ1495/(1+BR1494))</f>
        <v>1</v>
      </c>
      <c r="BS1495" s="27">
        <f t="shared" ref="BS1495" si="9132">IF(BS1490=0,1,BR1495/(1+BS1494))</f>
        <v>1</v>
      </c>
      <c r="BT1495" s="27">
        <f t="shared" ref="BT1495" si="9133">IF(BT1490=0,1,BS1495/(1+BT1494))</f>
        <v>1</v>
      </c>
      <c r="BU1495" s="27">
        <f t="shared" ref="BU1495" si="9134">IF(BU1490=0,1,BT1495/(1+BU1494))</f>
        <v>1</v>
      </c>
      <c r="BV1495" s="27">
        <f t="shared" ref="BV1495" si="9135">IF(BV1490=0,1,BU1495/(1+BV1494))</f>
        <v>1</v>
      </c>
      <c r="BW1495" s="27">
        <f t="shared" ref="BW1495" si="9136">IF(BW1490=0,1,BV1495/(1+BW1494))</f>
        <v>1</v>
      </c>
      <c r="BX1495" s="27">
        <f t="shared" ref="BX1495" si="9137">IF(BX1490=0,1,BW1495/(1+BX1494))</f>
        <v>1</v>
      </c>
      <c r="BY1495" s="27">
        <f t="shared" ref="BY1495" si="9138">IF(BY1490=0,1,BX1495/(1+BY1494))</f>
        <v>1</v>
      </c>
      <c r="BZ1495" s="27">
        <f t="shared" ref="BZ1495" si="9139">IF(BZ1490=0,1,BY1495/(1+BZ1494))</f>
        <v>1</v>
      </c>
      <c r="CA1495" s="27">
        <f t="shared" ref="CA1495" si="9140">IF(CA1490=0,1,BZ1495/(1+CA1494))</f>
        <v>1</v>
      </c>
      <c r="CB1495" s="27">
        <f t="shared" ref="CB1495" si="9141">IF(CB1490=0,1,CA1495/(1+CB1494))</f>
        <v>1</v>
      </c>
      <c r="CC1495" s="27">
        <f t="shared" ref="CC1495" si="9142">IF(CC1490=0,1,CB1495/(1+CC1494))</f>
        <v>1</v>
      </c>
      <c r="CD1495" s="27">
        <f t="shared" ref="CD1495" si="9143">IF(CD1490=0,1,CC1495/(1+CD1494))</f>
        <v>1</v>
      </c>
      <c r="CE1495" s="27">
        <f t="shared" ref="CE1495" si="9144">IF(CE1490=0,1,CD1495/(1+CE1494))</f>
        <v>1</v>
      </c>
      <c r="CF1495" s="27">
        <f t="shared" ref="CF1495" si="9145">IF(CF1490=0,1,CE1495/(1+CF1494))</f>
        <v>1</v>
      </c>
      <c r="CG1495" s="27">
        <f t="shared" ref="CG1495" si="9146">IF(CG1490=0,1,CF1495/(1+CG1494))</f>
        <v>1</v>
      </c>
      <c r="CH1495" s="27">
        <f t="shared" ref="CH1495" si="9147">IF(CH1490=0,1,CG1495/(1+CH1494))</f>
        <v>1</v>
      </c>
      <c r="CI1495" s="27">
        <f t="shared" ref="CI1495" si="9148">IF(CI1490=0,1,CH1495/(1+CI1494))</f>
        <v>1</v>
      </c>
      <c r="CJ1495" s="27">
        <f t="shared" ref="CJ1495" si="9149">IF(CJ1490=0,1,CI1495/(1+CJ1494))</f>
        <v>1</v>
      </c>
      <c r="CK1495" s="27">
        <f t="shared" ref="CK1495" si="9150">IF(CK1490=0,1,CJ1495/(1+CK1494))</f>
        <v>1</v>
      </c>
      <c r="CL1495" s="27">
        <f t="shared" ref="CL1495" si="9151">IF(CL1490=0,1,CK1495/(1+CL1494))</f>
        <v>1</v>
      </c>
      <c r="CM1495" s="27">
        <f t="shared" ref="CM1495" si="9152">IF(CM1490=0,1,CL1495/(1+CM1494))</f>
        <v>1</v>
      </c>
      <c r="CN1495" s="27">
        <f t="shared" ref="CN1495" si="9153">IF(CN1490=0,1,CM1495/(1+CN1494))</f>
        <v>1</v>
      </c>
      <c r="CO1495" s="27">
        <f t="shared" ref="CO1495" si="9154">IF(CO1490=0,1,CN1495/(1+CO1494))</f>
        <v>1</v>
      </c>
    </row>
    <row r="1496" spans="1:93">
      <c r="A1496" s="10"/>
      <c r="B1496" s="10"/>
      <c r="C1496" s="17" t="s">
        <v>435</v>
      </c>
      <c r="D1496" s="10"/>
      <c r="E1496" s="10"/>
      <c r="F1496" s="10"/>
      <c r="G1496" s="11" t="str">
        <f>Monetary_Unit</f>
        <v>тыс. руб.</v>
      </c>
      <c r="H1496" s="10"/>
      <c r="I1496" s="10"/>
      <c r="J1496" s="10"/>
      <c r="K1496" s="10"/>
      <c r="L1496" s="10">
        <f t="shared" ref="L1496" ca="1" si="9155" xml:space="preserve"> L1490 * L1493 * L1495</f>
        <v>0</v>
      </c>
      <c r="M1496" s="10">
        <f t="shared" ref="M1496:BX1496" ca="1" si="9156" xml:space="preserve"> M1490 * M1493 * M1495</f>
        <v>0</v>
      </c>
      <c r="N1496" s="10">
        <f t="shared" ca="1" si="9156"/>
        <v>0</v>
      </c>
      <c r="O1496" s="10">
        <f t="shared" ca="1" si="9156"/>
        <v>0</v>
      </c>
      <c r="P1496" s="10">
        <f t="shared" ca="1" si="9156"/>
        <v>0</v>
      </c>
      <c r="Q1496" s="10">
        <f t="shared" ca="1" si="9156"/>
        <v>0</v>
      </c>
      <c r="R1496" s="10">
        <f t="shared" ca="1" si="9156"/>
        <v>0</v>
      </c>
      <c r="S1496" s="10">
        <f t="shared" ca="1" si="9156"/>
        <v>0</v>
      </c>
      <c r="T1496" s="10">
        <f t="shared" ca="1" si="9156"/>
        <v>0</v>
      </c>
      <c r="U1496" s="10">
        <f t="shared" ca="1" si="9156"/>
        <v>0</v>
      </c>
      <c r="V1496" s="10">
        <f t="shared" ca="1" si="9156"/>
        <v>0</v>
      </c>
      <c r="W1496" s="10">
        <f t="shared" ca="1" si="9156"/>
        <v>0</v>
      </c>
      <c r="X1496" s="10">
        <f t="shared" ca="1" si="9156"/>
        <v>0</v>
      </c>
      <c r="Y1496" s="10">
        <f t="shared" ca="1" si="9156"/>
        <v>0</v>
      </c>
      <c r="Z1496" s="10">
        <f t="shared" ca="1" si="9156"/>
        <v>0</v>
      </c>
      <c r="AA1496" s="10">
        <f t="shared" ca="1" si="9156"/>
        <v>0</v>
      </c>
      <c r="AB1496" s="10">
        <f t="shared" ca="1" si="9156"/>
        <v>0</v>
      </c>
      <c r="AC1496" s="10">
        <f t="shared" ca="1" si="9156"/>
        <v>858560.07226926088</v>
      </c>
      <c r="AD1496" s="10">
        <f t="shared" ca="1" si="9156"/>
        <v>314904.89662447985</v>
      </c>
      <c r="AE1496" s="10">
        <f t="shared" ca="1" si="9156"/>
        <v>211916.66793063082</v>
      </c>
      <c r="AF1496" s="10">
        <f t="shared" ca="1" si="9156"/>
        <v>153830.90359974772</v>
      </c>
      <c r="AG1496" s="10">
        <f t="shared" ca="1" si="9156"/>
        <v>159341.89975324026</v>
      </c>
      <c r="AH1496" s="10">
        <f t="shared" ca="1" si="9156"/>
        <v>222867.25735999941</v>
      </c>
      <c r="AI1496" s="10">
        <f t="shared" ca="1" si="9156"/>
        <v>238975.40620392672</v>
      </c>
      <c r="AJ1496" s="10">
        <f t="shared" ca="1" si="9156"/>
        <v>172847.65584475239</v>
      </c>
      <c r="AK1496" s="10">
        <f t="shared" ca="1" si="9156"/>
        <v>178143.67043261623</v>
      </c>
      <c r="AL1496" s="10">
        <f t="shared" ca="1" si="9156"/>
        <v>248067.10017810881</v>
      </c>
      <c r="AM1496" s="10">
        <f t="shared" ca="1" si="9156"/>
        <v>265191.79216982069</v>
      </c>
      <c r="AN1496" s="10">
        <f t="shared" ca="1" si="9156"/>
        <v>192921.16051662824</v>
      </c>
      <c r="AO1496" s="10">
        <f t="shared" ca="1" si="9156"/>
        <v>196364.89899112209</v>
      </c>
      <c r="AP1496" s="10">
        <f t="shared" ca="1" si="9156"/>
        <v>269920.27473987662</v>
      </c>
      <c r="AQ1496" s="10">
        <f t="shared" ca="1" si="9156"/>
        <v>281872.48472171562</v>
      </c>
      <c r="AR1496" s="10">
        <f t="shared" ca="1" si="9156"/>
        <v>197846.82805366829</v>
      </c>
      <c r="AS1496" s="10">
        <f t="shared" ca="1" si="9156"/>
        <v>195631.27937996923</v>
      </c>
      <c r="AT1496" s="10">
        <f t="shared" ca="1" si="9156"/>
        <v>264342.42133847409</v>
      </c>
      <c r="AU1496" s="10">
        <f t="shared" ca="1" si="9156"/>
        <v>271706.19158812665</v>
      </c>
      <c r="AV1496" s="10">
        <f t="shared" ca="1" si="9156"/>
        <v>189370.37182476226</v>
      </c>
      <c r="AW1496" s="10">
        <f t="shared" ca="1" si="9156"/>
        <v>220025.29611637196</v>
      </c>
      <c r="AX1496" s="10">
        <f t="shared" ca="1" si="9156"/>
        <v>200005.30381872135</v>
      </c>
      <c r="AY1496" s="10">
        <f t="shared" ca="1" si="9156"/>
        <v>142901.37377084148</v>
      </c>
      <c r="AZ1496" s="10">
        <f t="shared" ca="1" si="9156"/>
        <v>102118.08258746166</v>
      </c>
      <c r="BA1496" s="10">
        <f t="shared" ca="1" si="9156"/>
        <v>130495.22809237336</v>
      </c>
      <c r="BB1496" s="10">
        <f t="shared" ca="1" si="9156"/>
        <v>173336.44743963191</v>
      </c>
      <c r="BC1496" s="10">
        <f t="shared" ca="1" si="9156"/>
        <v>140295.18481422591</v>
      </c>
      <c r="BD1496" s="10">
        <f t="shared" ca="1" si="9156"/>
        <v>101630.22664475132</v>
      </c>
      <c r="BE1496" s="10">
        <f t="shared" ca="1" si="9156"/>
        <v>126353.36925546706</v>
      </c>
      <c r="BF1496" s="10">
        <f t="shared" ca="1" si="9156"/>
        <v>169002.0371399748</v>
      </c>
      <c r="BG1496" s="10">
        <f t="shared" ca="1" si="9156"/>
        <v>136489.36455178895</v>
      </c>
      <c r="BH1496" s="10">
        <f t="shared" ca="1" si="9156"/>
        <v>0</v>
      </c>
      <c r="BI1496" s="10">
        <f t="shared" ca="1" si="9156"/>
        <v>0</v>
      </c>
      <c r="BJ1496" s="10">
        <f t="shared" ca="1" si="9156"/>
        <v>0</v>
      </c>
      <c r="BK1496" s="10">
        <f t="shared" ca="1" si="9156"/>
        <v>0</v>
      </c>
      <c r="BL1496" s="10">
        <f t="shared" ca="1" si="9156"/>
        <v>0</v>
      </c>
      <c r="BM1496" s="10">
        <f t="shared" ca="1" si="9156"/>
        <v>0</v>
      </c>
      <c r="BN1496" s="10">
        <f t="shared" ca="1" si="9156"/>
        <v>0</v>
      </c>
      <c r="BO1496" s="10">
        <f t="shared" ca="1" si="9156"/>
        <v>0</v>
      </c>
      <c r="BP1496" s="10">
        <f t="shared" ca="1" si="9156"/>
        <v>0</v>
      </c>
      <c r="BQ1496" s="10">
        <f t="shared" ca="1" si="9156"/>
        <v>0</v>
      </c>
      <c r="BR1496" s="10">
        <f t="shared" ca="1" si="9156"/>
        <v>0</v>
      </c>
      <c r="BS1496" s="10">
        <f t="shared" ca="1" si="9156"/>
        <v>0</v>
      </c>
      <c r="BT1496" s="10">
        <f t="shared" ca="1" si="9156"/>
        <v>0</v>
      </c>
      <c r="BU1496" s="10">
        <f t="shared" ca="1" si="9156"/>
        <v>0</v>
      </c>
      <c r="BV1496" s="10">
        <f t="shared" ca="1" si="9156"/>
        <v>0</v>
      </c>
      <c r="BW1496" s="10">
        <f t="shared" ca="1" si="9156"/>
        <v>0</v>
      </c>
      <c r="BX1496" s="10">
        <f t="shared" ca="1" si="9156"/>
        <v>0</v>
      </c>
      <c r="BY1496" s="10">
        <f t="shared" ref="BY1496:CO1496" ca="1" si="9157" xml:space="preserve"> BY1490 * BY1493 * BY1495</f>
        <v>0</v>
      </c>
      <c r="BZ1496" s="10">
        <f t="shared" ca="1" si="9157"/>
        <v>0</v>
      </c>
      <c r="CA1496" s="10">
        <f t="shared" ca="1" si="9157"/>
        <v>0</v>
      </c>
      <c r="CB1496" s="10">
        <f t="shared" ca="1" si="9157"/>
        <v>0</v>
      </c>
      <c r="CC1496" s="10">
        <f t="shared" ca="1" si="9157"/>
        <v>0</v>
      </c>
      <c r="CD1496" s="10">
        <f t="shared" ca="1" si="9157"/>
        <v>0</v>
      </c>
      <c r="CE1496" s="10">
        <f t="shared" ca="1" si="9157"/>
        <v>0</v>
      </c>
      <c r="CF1496" s="10">
        <f t="shared" ca="1" si="9157"/>
        <v>0</v>
      </c>
      <c r="CG1496" s="10">
        <f t="shared" ca="1" si="9157"/>
        <v>0</v>
      </c>
      <c r="CH1496" s="10">
        <f t="shared" ca="1" si="9157"/>
        <v>0</v>
      </c>
      <c r="CI1496" s="10">
        <f t="shared" ca="1" si="9157"/>
        <v>0</v>
      </c>
      <c r="CJ1496" s="10">
        <f t="shared" ca="1" si="9157"/>
        <v>0</v>
      </c>
      <c r="CK1496" s="10">
        <f t="shared" ca="1" si="9157"/>
        <v>0</v>
      </c>
      <c r="CL1496" s="10">
        <f t="shared" ca="1" si="9157"/>
        <v>0</v>
      </c>
      <c r="CM1496" s="10">
        <f t="shared" ca="1" si="9157"/>
        <v>0</v>
      </c>
      <c r="CN1496" s="10">
        <f t="shared" ca="1" si="9157"/>
        <v>0</v>
      </c>
      <c r="CO1496" s="10">
        <f t="shared" ca="1" si="9157"/>
        <v>0</v>
      </c>
    </row>
    <row r="1497" spans="1:93">
      <c r="A1497" s="10"/>
      <c r="B1497" s="10"/>
      <c r="C1497" s="17" t="s">
        <v>1074</v>
      </c>
      <c r="D1497" s="10"/>
      <c r="E1497" s="10"/>
      <c r="F1497" s="10"/>
      <c r="G1497" s="11" t="str">
        <f>Monetary_Unit</f>
        <v>тыс. руб.</v>
      </c>
      <c r="H1497" s="10"/>
      <c r="I1497" s="10"/>
      <c r="J1497" s="10"/>
      <c r="K1497" s="10"/>
      <c r="L1497" s="10">
        <f ca="1">SUM(L1496:$CO1496)/L1495/SQRT(1+L1494)</f>
        <v>6664412.1230421932</v>
      </c>
      <c r="M1497" s="10">
        <f ca="1">SUM(M1496:$CO1496)/M1495/SQRT(1+M1494)</f>
        <v>6664412.1230421932</v>
      </c>
      <c r="N1497" s="10">
        <f ca="1">SUM(N1496:$CO1496)/N1495/SQRT(1+N1494)</f>
        <v>6664412.1230421932</v>
      </c>
      <c r="O1497" s="10">
        <f ca="1">SUM(O1496:$CO1496)/O1495/SQRT(1+O1494)</f>
        <v>6664412.1230421932</v>
      </c>
      <c r="P1497" s="10">
        <f ca="1">SUM(P1496:$CO1496)/P1495/SQRT(1+P1494)</f>
        <v>6676095.3806080436</v>
      </c>
      <c r="Q1497" s="10">
        <f ca="1">SUM(Q1496:$CO1496)/Q1495/SQRT(1+Q1494)</f>
        <v>6676095.3806080436</v>
      </c>
      <c r="R1497" s="10">
        <f ca="1">SUM(R1496:$CO1496)/R1495/SQRT(1+R1494)</f>
        <v>6676095.3806080436</v>
      </c>
      <c r="S1497" s="10">
        <f ca="1">SUM(S1496:$CO1496)/S1495/SQRT(1+S1494)</f>
        <v>6676095.3806080436</v>
      </c>
      <c r="T1497" s="10">
        <f ca="1">SUM(T1496:$CO1496)/T1495/SQRT(1+T1494)</f>
        <v>6682006.76709163</v>
      </c>
      <c r="U1497" s="10">
        <f ca="1">SUM(U1496:$CO1496)/U1495/SQRT(1+U1494)</f>
        <v>6682006.76709163</v>
      </c>
      <c r="V1497" s="10">
        <f ca="1">SUM(V1496:$CO1496)/V1495/SQRT(1+V1494)</f>
        <v>6682006.76709163</v>
      </c>
      <c r="W1497" s="10">
        <f ca="1">SUM(W1496:$CO1496)/W1495/SQRT(1+W1494)</f>
        <v>6682006.76709163</v>
      </c>
      <c r="X1497" s="10">
        <f ca="1">SUM(X1496:$CO1496)/X1495/SQRT(1+X1494)</f>
        <v>6682006.76709163</v>
      </c>
      <c r="Y1497" s="10">
        <f ca="1">SUM(Y1496:$CO1496)/Y1495/SQRT(1+Y1494)</f>
        <v>6682006.76709163</v>
      </c>
      <c r="Z1497" s="10">
        <f ca="1">SUM(Z1496:$CO1496)/Z1495/SQRT(1+Z1494)</f>
        <v>6682006.76709163</v>
      </c>
      <c r="AA1497" s="10">
        <f ca="1">SUM(AA1496:$CO1496)/AA1495/SQRT(1+AA1494)</f>
        <v>6682006.76709163</v>
      </c>
      <c r="AB1497" s="10">
        <f ca="1">SUM(AB1496:$CO1496)/AB1495/SQRT(1+AB1494)</f>
        <v>6682006.76709163</v>
      </c>
      <c r="AC1497" s="10">
        <f ca="1">SUM(AC1496:$CO1496)/AC1495/SQRT(1+AC1494)</f>
        <v>6772850.2066852665</v>
      </c>
      <c r="AD1497" s="10">
        <f ca="1">SUM(AD1496:$CO1496)/AD1495/SQRT(1+AD1494)</f>
        <v>5988800.7514397772</v>
      </c>
      <c r="AE1497" s="10">
        <f ca="1">SUM(AE1496:$CO1496)/AE1495/SQRT(1+AE1494)</f>
        <v>5744502.6040145112</v>
      </c>
      <c r="AF1497" s="10">
        <f ca="1">SUM(AF1496:$CO1496)/AF1495/SQRT(1+AF1494)</f>
        <v>5600427.560687324</v>
      </c>
      <c r="AG1497" s="10">
        <f ca="1">SUM(AG1496:$CO1496)/AG1495/SQRT(1+AG1494)</f>
        <v>5513098.1672142185</v>
      </c>
      <c r="AH1497" s="10">
        <f ca="1">SUM(AH1496:$CO1496)/AH1495/SQRT(1+AH1494)</f>
        <v>5416423.2367751133</v>
      </c>
      <c r="AI1497" s="10">
        <f ca="1">SUM(AI1496:$CO1496)/AI1495/SQRT(1+AI1494)</f>
        <v>5246747.4420147492</v>
      </c>
      <c r="AJ1497" s="10">
        <f ca="1">SUM(AJ1496:$CO1496)/AJ1495/SQRT(1+AJ1494)</f>
        <v>5053631.9518729262</v>
      </c>
      <c r="AK1497" s="10">
        <f ca="1">SUM(AK1496:$CO1496)/AK1495/SQRT(1+AK1494)</f>
        <v>4928466.5247464282</v>
      </c>
      <c r="AL1497" s="10">
        <f ca="1">SUM(AL1496:$CO1496)/AL1495/SQRT(1+AL1494)</f>
        <v>4792942.8117997777</v>
      </c>
      <c r="AM1497" s="10">
        <f ca="1">SUM(AM1496:$CO1496)/AM1495/SQRT(1+AM1494)</f>
        <v>4572248.1633518208</v>
      </c>
      <c r="AN1497" s="10">
        <f ca="1">SUM(AN1496:$CO1496)/AN1495/SQRT(1+AN1494)</f>
        <v>4324665.2217788529</v>
      </c>
      <c r="AO1497" s="10">
        <f ca="1">SUM(AO1496:$CO1496)/AO1495/SQRT(1+AO1494)</f>
        <v>4155064.9135434842</v>
      </c>
      <c r="AP1497" s="10">
        <f ca="1">SUM(AP1496:$CO1496)/AP1495/SQRT(1+AP1494)</f>
        <v>3975921.3704871126</v>
      </c>
      <c r="AQ1497" s="10">
        <f ca="1">SUM(AQ1496:$CO1496)/AQ1495/SQRT(1+AQ1494)</f>
        <v>3701674.391928615</v>
      </c>
      <c r="AR1497" s="10">
        <f ca="1">SUM(AR1496:$CO1496)/AR1495/SQRT(1+AR1494)</f>
        <v>3404500.6817537369</v>
      </c>
      <c r="AS1497" s="10">
        <f ca="1">SUM(AS1496:$CO1496)/AS1495/SQRT(1+AS1494)</f>
        <v>3203559.5596846067</v>
      </c>
      <c r="AT1497" s="10">
        <f ca="1">SUM(AT1496:$CO1496)/AT1495/SQRT(1+AT1494)</f>
        <v>2999331.6510418253</v>
      </c>
      <c r="AU1497" s="10">
        <f ca="1">SUM(AU1496:$CO1496)/AU1495/SQRT(1+AU1494)</f>
        <v>2700747.8250867026</v>
      </c>
      <c r="AV1497" s="10">
        <f ca="1">SUM(AV1496:$CO1496)/AV1495/SQRT(1+AV1494)</f>
        <v>2383908.9325715238</v>
      </c>
      <c r="AW1497" s="10">
        <f ca="1">SUM(AW1496:$CO1496)/AW1495/SQRT(1+AW1494)</f>
        <v>2166551.4758067951</v>
      </c>
      <c r="AX1497" s="10">
        <f ca="1">SUM(AX1496:$CO1496)/AX1495/SQRT(1+AX1494)</f>
        <v>1901861.8096132814</v>
      </c>
      <c r="AY1497" s="10">
        <f ca="1">SUM(AY1496:$CO1496)/AY1495/SQRT(1+AY1494)</f>
        <v>1656702.5832977626</v>
      </c>
      <c r="AZ1497" s="10">
        <f ca="1">SUM(AZ1496:$CO1496)/AZ1495/SQRT(1+AZ1494)</f>
        <v>1482956.0094204075</v>
      </c>
      <c r="BA1497" s="10">
        <f ca="1">SUM(BA1496:$CO1496)/BA1495/SQRT(1+BA1494)</f>
        <v>1360954.8695111042</v>
      </c>
      <c r="BB1497" s="10">
        <f ca="1">SUM(BB1496:$CO1496)/BB1495/SQRT(1+BB1494)</f>
        <v>1195320.4392024311</v>
      </c>
      <c r="BC1497" s="10">
        <f ca="1">SUM(BC1496:$CO1496)/BC1495/SQRT(1+BC1494)</f>
        <v>963657.29147780524</v>
      </c>
      <c r="BD1497" s="10">
        <f ca="1">SUM(BD1496:$CO1496)/BD1495/SQRT(1+BD1494)</f>
        <v>773373.79781121993</v>
      </c>
      <c r="BE1497" s="10">
        <f ca="1">SUM(BE1496:$CO1496)/BE1495/SQRT(1+BE1494)</f>
        <v>634552.57157340599</v>
      </c>
      <c r="BF1497" s="10">
        <f ca="1">SUM(BF1496:$CO1496)/BF1495/SQRT(1+BF1494)</f>
        <v>454991.72043486469</v>
      </c>
      <c r="BG1497" s="10">
        <f ca="1">SUM(BG1496:$CO1496)/BG1495/SQRT(1+BG1494)</f>
        <v>206047.74876525762</v>
      </c>
      <c r="BH1497" s="10">
        <f ca="1">SUM(BH1496:$CO1496)/BH1495/SQRT(1+BH1494)</f>
        <v>0</v>
      </c>
      <c r="BI1497" s="10">
        <f ca="1">SUM(BI1496:$CO1496)/BI1495/SQRT(1+BI1494)</f>
        <v>0</v>
      </c>
      <c r="BJ1497" s="10">
        <f ca="1">SUM(BJ1496:$CO1496)/BJ1495/SQRT(1+BJ1494)</f>
        <v>0</v>
      </c>
      <c r="BK1497" s="10">
        <f ca="1">SUM(BK1496:$CO1496)/BK1495/SQRT(1+BK1494)</f>
        <v>0</v>
      </c>
      <c r="BL1497" s="10">
        <f ca="1">SUM(BL1496:$CO1496)/BL1495/SQRT(1+BL1494)</f>
        <v>0</v>
      </c>
      <c r="BM1497" s="10">
        <f ca="1">SUM(BM1496:$CO1496)/BM1495/SQRT(1+BM1494)</f>
        <v>0</v>
      </c>
      <c r="BN1497" s="10">
        <f ca="1">SUM(BN1496:$CO1496)/BN1495/SQRT(1+BN1494)</f>
        <v>0</v>
      </c>
      <c r="BO1497" s="10">
        <f ca="1">SUM(BO1496:$CO1496)/BO1495/SQRT(1+BO1494)</f>
        <v>0</v>
      </c>
      <c r="BP1497" s="10">
        <f ca="1">SUM(BP1496:$CO1496)/BP1495/SQRT(1+BP1494)</f>
        <v>0</v>
      </c>
      <c r="BQ1497" s="10">
        <f ca="1">SUM(BQ1496:$CO1496)/BQ1495/SQRT(1+BQ1494)</f>
        <v>0</v>
      </c>
      <c r="BR1497" s="10">
        <f ca="1">SUM(BR1496:$CO1496)/BR1495/SQRT(1+BR1494)</f>
        <v>0</v>
      </c>
      <c r="BS1497" s="10">
        <f ca="1">SUM(BS1496:$CO1496)/BS1495/SQRT(1+BS1494)</f>
        <v>0</v>
      </c>
      <c r="BT1497" s="10">
        <f ca="1">SUM(BT1496:$CO1496)/BT1495/SQRT(1+BT1494)</f>
        <v>0</v>
      </c>
      <c r="BU1497" s="10">
        <f ca="1">SUM(BU1496:$CO1496)/BU1495/SQRT(1+BU1494)</f>
        <v>0</v>
      </c>
      <c r="BV1497" s="10">
        <f ca="1">SUM(BV1496:$CO1496)/BV1495/SQRT(1+BV1494)</f>
        <v>0</v>
      </c>
      <c r="BW1497" s="10">
        <f ca="1">SUM(BW1496:$CO1496)/BW1495/SQRT(1+BW1494)</f>
        <v>0</v>
      </c>
      <c r="BX1497" s="10">
        <f ca="1">SUM(BX1496:$CO1496)/BX1495/SQRT(1+BX1494)</f>
        <v>0</v>
      </c>
      <c r="BY1497" s="10">
        <f ca="1">SUM(BY1496:$CO1496)/BY1495/SQRT(1+BY1494)</f>
        <v>0</v>
      </c>
      <c r="BZ1497" s="10">
        <f ca="1">SUM(BZ1496:$CO1496)/BZ1495/SQRT(1+BZ1494)</f>
        <v>0</v>
      </c>
      <c r="CA1497" s="10">
        <f ca="1">SUM(CA1496:$CO1496)/CA1495/SQRT(1+CA1494)</f>
        <v>0</v>
      </c>
      <c r="CB1497" s="10">
        <f ca="1">SUM(CB1496:$CO1496)/CB1495/SQRT(1+CB1494)</f>
        <v>0</v>
      </c>
      <c r="CC1497" s="10">
        <f ca="1">SUM(CC1496:$CO1496)/CC1495/SQRT(1+CC1494)</f>
        <v>0</v>
      </c>
      <c r="CD1497" s="10">
        <f ca="1">SUM(CD1496:$CO1496)/CD1495/SQRT(1+CD1494)</f>
        <v>0</v>
      </c>
      <c r="CE1497" s="10">
        <f ca="1">SUM(CE1496:$CO1496)/CE1495/SQRT(1+CE1494)</f>
        <v>0</v>
      </c>
      <c r="CF1497" s="10">
        <f ca="1">SUM(CF1496:$CO1496)/CF1495/SQRT(1+CF1494)</f>
        <v>0</v>
      </c>
      <c r="CG1497" s="10">
        <f ca="1">SUM(CG1496:$CO1496)/CG1495/SQRT(1+CG1494)</f>
        <v>0</v>
      </c>
      <c r="CH1497" s="10">
        <f ca="1">SUM(CH1496:$CO1496)/CH1495/SQRT(1+CH1494)</f>
        <v>0</v>
      </c>
      <c r="CI1497" s="10">
        <f ca="1">SUM(CI1496:$CO1496)/CI1495/SQRT(1+CI1494)</f>
        <v>0</v>
      </c>
      <c r="CJ1497" s="10">
        <f ca="1">SUM(CJ1496:$CO1496)/CJ1495/SQRT(1+CJ1494)</f>
        <v>0</v>
      </c>
      <c r="CK1497" s="10">
        <f ca="1">SUM(CK1496:$CO1496)/CK1495/SQRT(1+CK1494)</f>
        <v>0</v>
      </c>
      <c r="CL1497" s="10">
        <f ca="1">SUM(CL1496:$CO1496)/CL1495/SQRT(1+CL1494)</f>
        <v>0</v>
      </c>
      <c r="CM1497" s="10">
        <f ca="1">SUM(CM1496:$CO1496)/CM1495/SQRT(1+CM1494)</f>
        <v>0</v>
      </c>
      <c r="CN1497" s="10">
        <f ca="1">SUM(CN1496:$CO1496)/CN1495/SQRT(1+CN1494)</f>
        <v>0</v>
      </c>
      <c r="CO1497" s="10">
        <f ca="1">SUM(CO1496:$CO1496)/CO1495/SQRT(1+CO1494)</f>
        <v>0</v>
      </c>
    </row>
    <row r="1498" spans="1:93">
      <c r="A1498" s="10"/>
      <c r="B1498" s="10"/>
      <c r="C1498" s="17"/>
      <c r="D1498" s="10"/>
      <c r="E1498" s="10"/>
      <c r="F1498" s="10"/>
      <c r="G1498" s="11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  <c r="AY1498" s="10"/>
      <c r="AZ1498" s="10"/>
      <c r="BA1498" s="10"/>
      <c r="BB1498" s="10"/>
      <c r="BC1498" s="10"/>
      <c r="BD1498" s="10"/>
      <c r="BE1498" s="10"/>
      <c r="BF1498" s="10"/>
      <c r="BG1498" s="10"/>
      <c r="BH1498" s="10"/>
      <c r="BI1498" s="10"/>
      <c r="BJ1498" s="10"/>
      <c r="BK1498" s="10"/>
      <c r="BL1498" s="10"/>
      <c r="BM1498" s="10"/>
      <c r="BN1498" s="10"/>
      <c r="BO1498" s="10"/>
      <c r="BP1498" s="10"/>
      <c r="BQ1498" s="10"/>
      <c r="BR1498" s="10"/>
      <c r="BS1498" s="10"/>
      <c r="BT1498" s="10"/>
      <c r="BU1498" s="10"/>
      <c r="BV1498" s="10"/>
      <c r="BW1498" s="10"/>
      <c r="BX1498" s="10"/>
      <c r="BY1498" s="10"/>
      <c r="BZ1498" s="10"/>
      <c r="CA1498" s="10"/>
      <c r="CB1498" s="10"/>
      <c r="CC1498" s="10"/>
      <c r="CD1498" s="10"/>
      <c r="CE1498" s="10"/>
      <c r="CF1498" s="10"/>
      <c r="CG1498" s="10"/>
      <c r="CH1498" s="10"/>
      <c r="CI1498" s="10"/>
      <c r="CJ1498" s="10"/>
      <c r="CK1498" s="10"/>
      <c r="CL1498" s="10"/>
      <c r="CM1498" s="10"/>
      <c r="CN1498" s="10"/>
      <c r="CO1498" s="10"/>
    </row>
    <row r="1499" spans="1:93">
      <c r="A1499" s="10"/>
      <c r="B1499" s="10"/>
      <c r="C1499" s="17" t="s">
        <v>436</v>
      </c>
      <c r="D1499" s="10"/>
      <c r="E1499" s="10"/>
      <c r="F1499" s="10"/>
      <c r="G1499" s="11" t="s">
        <v>378</v>
      </c>
      <c r="H1499" s="10"/>
      <c r="I1499" s="10"/>
      <c r="J1499" s="10"/>
      <c r="K1499" s="10"/>
      <c r="L1499" s="456" t="str">
        <f t="shared" ref="L1499:AQ1499" si="9158" xml:space="preserve"> IF(OR(L1489=0,L1490=0),"н.пр.",(L1497+IF($E$1194="да",Cash_BoP,0))/L1492)</f>
        <v>н.пр.</v>
      </c>
      <c r="M1499" s="456" t="str">
        <f t="shared" si="9158"/>
        <v>н.пр.</v>
      </c>
      <c r="N1499" s="456" t="str">
        <f t="shared" si="9158"/>
        <v>н.пр.</v>
      </c>
      <c r="O1499" s="456" t="str">
        <f t="shared" si="9158"/>
        <v>н.пр.</v>
      </c>
      <c r="P1499" s="456" t="str">
        <f t="shared" si="9158"/>
        <v>н.пр.</v>
      </c>
      <c r="Q1499" s="456" t="str">
        <f t="shared" si="9158"/>
        <v>н.пр.</v>
      </c>
      <c r="R1499" s="456" t="str">
        <f t="shared" si="9158"/>
        <v>н.пр.</v>
      </c>
      <c r="S1499" s="456" t="str">
        <f t="shared" si="9158"/>
        <v>н.пр.</v>
      </c>
      <c r="T1499" s="456" t="str">
        <f t="shared" si="9158"/>
        <v>н.пр.</v>
      </c>
      <c r="U1499" s="456" t="str">
        <f t="shared" si="9158"/>
        <v>н.пр.</v>
      </c>
      <c r="V1499" s="456" t="str">
        <f t="shared" si="9158"/>
        <v>н.пр.</v>
      </c>
      <c r="W1499" s="456" t="str">
        <f t="shared" si="9158"/>
        <v>н.пр.</v>
      </c>
      <c r="X1499" s="456" t="str">
        <f t="shared" si="9158"/>
        <v>н.пр.</v>
      </c>
      <c r="Y1499" s="456" t="str">
        <f t="shared" si="9158"/>
        <v>н.пр.</v>
      </c>
      <c r="Z1499" s="456" t="str">
        <f t="shared" si="9158"/>
        <v>н.пр.</v>
      </c>
      <c r="AA1499" s="456" t="str">
        <f t="shared" si="9158"/>
        <v>н.пр.</v>
      </c>
      <c r="AB1499" s="456" t="str">
        <f t="shared" si="9158"/>
        <v>н.пр.</v>
      </c>
      <c r="AC1499" s="456">
        <f t="shared" ca="1" si="9158"/>
        <v>1.4672350522491611</v>
      </c>
      <c r="AD1499" s="456">
        <f t="shared" ca="1" si="9158"/>
        <v>1.4715610153743341</v>
      </c>
      <c r="AE1499" s="456">
        <f t="shared" ca="1" si="9158"/>
        <v>1.4611983175274881</v>
      </c>
      <c r="AF1499" s="456">
        <f t="shared" ca="1" si="9158"/>
        <v>1.4745859531195726</v>
      </c>
      <c r="AG1499" s="456">
        <f t="shared" ca="1" si="9158"/>
        <v>1.4893428494227101</v>
      </c>
      <c r="AH1499" s="456">
        <f t="shared" ca="1" si="9158"/>
        <v>1.4831810228571192</v>
      </c>
      <c r="AI1499" s="456">
        <f t="shared" ca="1" si="9158"/>
        <v>1.4582573073399725</v>
      </c>
      <c r="AJ1499" s="456">
        <f t="shared" ca="1" si="9158"/>
        <v>1.4648651760011426</v>
      </c>
      <c r="AK1499" s="456">
        <f t="shared" ca="1" si="9158"/>
        <v>1.4727775618063152</v>
      </c>
      <c r="AL1499" s="456">
        <f t="shared" ca="1" si="9158"/>
        <v>1.4518340984614997</v>
      </c>
      <c r="AM1499" s="456">
        <f t="shared" ca="1" si="9158"/>
        <v>1.4044601944064974</v>
      </c>
      <c r="AN1499" s="456">
        <f t="shared" ca="1" si="9158"/>
        <v>1.3985892833143849</v>
      </c>
      <c r="AO1499" s="456">
        <f t="shared" ca="1" si="9158"/>
        <v>1.3925696183953142</v>
      </c>
      <c r="AP1499" s="456">
        <f t="shared" ca="1" si="9158"/>
        <v>1.3631202212737756</v>
      </c>
      <c r="AQ1499" s="456">
        <f t="shared" ca="1" si="9158"/>
        <v>1.334846025650009</v>
      </c>
      <c r="AR1499" s="456">
        <f t="shared" ref="AR1499:BW1499" ca="1" si="9159" xml:space="preserve"> IF(OR(AR1489=0,AR1490=0),"н.пр.",(AR1497+IF($E$1194="да",Cash_BoP,0))/AR1492)</f>
        <v>1.2957505325221963</v>
      </c>
      <c r="AS1499" s="456">
        <f t="shared" ca="1" si="9159"/>
        <v>1.292056658817951</v>
      </c>
      <c r="AT1499" s="456">
        <f t="shared" ca="1" si="9159"/>
        <v>1.287512451560489</v>
      </c>
      <c r="AU1499" s="456">
        <f t="shared" ca="1" si="9159"/>
        <v>1.2401472907891389</v>
      </c>
      <c r="AV1499" s="456">
        <f t="shared" ca="1" si="9159"/>
        <v>1.1779087037006808</v>
      </c>
      <c r="AW1499" s="456">
        <f t="shared" ca="1" si="9159"/>
        <v>1.160125317185345</v>
      </c>
      <c r="AX1499" s="456">
        <f t="shared" ca="1" si="9159"/>
        <v>1.1127438551151485</v>
      </c>
      <c r="AY1499" s="456">
        <f t="shared" ca="1" si="9159"/>
        <v>1.0697147566305654</v>
      </c>
      <c r="AZ1499" s="456">
        <f t="shared" ca="1" si="9159"/>
        <v>1.0699092654617055</v>
      </c>
      <c r="BA1499" s="456">
        <f t="shared" ca="1" si="9159"/>
        <v>1.1146871353432053</v>
      </c>
      <c r="BB1499" s="456">
        <f t="shared" ca="1" si="9159"/>
        <v>1.1344901996617247</v>
      </c>
      <c r="BC1499" s="456">
        <f t="shared" ca="1" si="9159"/>
        <v>1.090038996366308</v>
      </c>
      <c r="BD1499" s="456">
        <f t="shared" ca="1" si="9159"/>
        <v>1.0860096401916373</v>
      </c>
      <c r="BE1499" s="456">
        <f t="shared" ca="1" si="9159"/>
        <v>1.1800444961463932</v>
      </c>
      <c r="BF1499" s="456">
        <f t="shared" ca="1" si="9159"/>
        <v>1.2605687540610551</v>
      </c>
      <c r="BG1499" s="456">
        <f t="shared" ca="1" si="9159"/>
        <v>1.1338689363832271</v>
      </c>
      <c r="BH1499" s="456" t="str">
        <f t="shared" si="9159"/>
        <v>н.пр.</v>
      </c>
      <c r="BI1499" s="456" t="str">
        <f t="shared" si="9159"/>
        <v>н.пр.</v>
      </c>
      <c r="BJ1499" s="456" t="str">
        <f t="shared" si="9159"/>
        <v>н.пр.</v>
      </c>
      <c r="BK1499" s="456" t="str">
        <f t="shared" si="9159"/>
        <v>н.пр.</v>
      </c>
      <c r="BL1499" s="456" t="str">
        <f t="shared" si="9159"/>
        <v>н.пр.</v>
      </c>
      <c r="BM1499" s="456" t="str">
        <f t="shared" si="9159"/>
        <v>н.пр.</v>
      </c>
      <c r="BN1499" s="456" t="str">
        <f t="shared" si="9159"/>
        <v>н.пр.</v>
      </c>
      <c r="BO1499" s="456" t="str">
        <f t="shared" si="9159"/>
        <v>н.пр.</v>
      </c>
      <c r="BP1499" s="456" t="str">
        <f t="shared" si="9159"/>
        <v>н.пр.</v>
      </c>
      <c r="BQ1499" s="456" t="str">
        <f t="shared" si="9159"/>
        <v>н.пр.</v>
      </c>
      <c r="BR1499" s="456" t="str">
        <f t="shared" si="9159"/>
        <v>н.пр.</v>
      </c>
      <c r="BS1499" s="456" t="str">
        <f t="shared" si="9159"/>
        <v>н.пр.</v>
      </c>
      <c r="BT1499" s="456" t="str">
        <f t="shared" si="9159"/>
        <v>н.пр.</v>
      </c>
      <c r="BU1499" s="456" t="str">
        <f t="shared" si="9159"/>
        <v>н.пр.</v>
      </c>
      <c r="BV1499" s="456" t="str">
        <f t="shared" si="9159"/>
        <v>н.пр.</v>
      </c>
      <c r="BW1499" s="456" t="str">
        <f t="shared" si="9159"/>
        <v>н.пр.</v>
      </c>
      <c r="BX1499" s="456" t="str">
        <f t="shared" ref="BX1499:CO1499" si="9160" xml:space="preserve"> IF(OR(BX1489=0,BX1490=0),"н.пр.",(BX1497+IF($E$1194="да",Cash_BoP,0))/BX1492)</f>
        <v>н.пр.</v>
      </c>
      <c r="BY1499" s="456" t="str">
        <f t="shared" si="9160"/>
        <v>н.пр.</v>
      </c>
      <c r="BZ1499" s="456" t="str">
        <f t="shared" si="9160"/>
        <v>н.пр.</v>
      </c>
      <c r="CA1499" s="456" t="str">
        <f t="shared" si="9160"/>
        <v>н.пр.</v>
      </c>
      <c r="CB1499" s="456" t="str">
        <f t="shared" si="9160"/>
        <v>н.пр.</v>
      </c>
      <c r="CC1499" s="456" t="str">
        <f t="shared" si="9160"/>
        <v>н.пр.</v>
      </c>
      <c r="CD1499" s="456" t="str">
        <f t="shared" si="9160"/>
        <v>н.пр.</v>
      </c>
      <c r="CE1499" s="456" t="str">
        <f t="shared" si="9160"/>
        <v>н.пр.</v>
      </c>
      <c r="CF1499" s="456" t="str">
        <f t="shared" si="9160"/>
        <v>н.пр.</v>
      </c>
      <c r="CG1499" s="456" t="str">
        <f t="shared" si="9160"/>
        <v>н.пр.</v>
      </c>
      <c r="CH1499" s="456" t="str">
        <f t="shared" si="9160"/>
        <v>н.пр.</v>
      </c>
      <c r="CI1499" s="456" t="str">
        <f t="shared" si="9160"/>
        <v>н.пр.</v>
      </c>
      <c r="CJ1499" s="456" t="str">
        <f t="shared" si="9160"/>
        <v>н.пр.</v>
      </c>
      <c r="CK1499" s="456" t="str">
        <f t="shared" si="9160"/>
        <v>н.пр.</v>
      </c>
      <c r="CL1499" s="456" t="str">
        <f t="shared" si="9160"/>
        <v>н.пр.</v>
      </c>
      <c r="CM1499" s="456" t="str">
        <f t="shared" si="9160"/>
        <v>н.пр.</v>
      </c>
      <c r="CN1499" s="456" t="str">
        <f t="shared" si="9160"/>
        <v>н.пр.</v>
      </c>
      <c r="CO1499" s="456" t="str">
        <f t="shared" si="9160"/>
        <v>н.пр.</v>
      </c>
    </row>
    <row r="1500" spans="1:93">
      <c r="A1500" s="10"/>
      <c r="B1500" s="10"/>
      <c r="C1500" s="17"/>
      <c r="D1500" s="10"/>
      <c r="E1500" s="10"/>
      <c r="F1500" s="10"/>
      <c r="G1500" s="11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99"/>
      <c r="T1500" s="199"/>
      <c r="U1500" s="199"/>
      <c r="V1500" s="199"/>
      <c r="W1500" s="199"/>
      <c r="X1500" s="199"/>
      <c r="Y1500" s="199"/>
      <c r="Z1500" s="199"/>
      <c r="AA1500" s="199"/>
      <c r="AB1500" s="199"/>
      <c r="AC1500" s="199"/>
      <c r="AD1500" s="199"/>
      <c r="AE1500" s="199"/>
      <c r="AF1500" s="199"/>
      <c r="AG1500" s="199"/>
      <c r="AH1500" s="199"/>
      <c r="AI1500" s="199"/>
      <c r="AJ1500" s="199"/>
      <c r="AK1500" s="199"/>
      <c r="AL1500" s="199"/>
      <c r="AM1500" s="199"/>
      <c r="AN1500" s="199"/>
      <c r="AO1500" s="199"/>
      <c r="AP1500" s="199"/>
      <c r="AQ1500" s="199"/>
      <c r="AR1500" s="199"/>
      <c r="AS1500" s="199"/>
      <c r="AT1500" s="10"/>
      <c r="AU1500" s="10"/>
      <c r="AV1500" s="10"/>
      <c r="AW1500" s="10"/>
      <c r="AX1500" s="10"/>
      <c r="AY1500" s="10"/>
      <c r="AZ1500" s="10"/>
      <c r="BA1500" s="10"/>
      <c r="BB1500" s="10"/>
      <c r="BC1500" s="10"/>
      <c r="BD1500" s="10"/>
      <c r="BE1500" s="10"/>
      <c r="BF1500" s="10"/>
      <c r="BG1500" s="10"/>
      <c r="BH1500" s="10"/>
      <c r="BI1500" s="10"/>
      <c r="BJ1500" s="10"/>
      <c r="BK1500" s="10"/>
      <c r="BL1500" s="10"/>
      <c r="BM1500" s="10"/>
      <c r="BN1500" s="10"/>
      <c r="BO1500" s="10"/>
      <c r="BP1500" s="10"/>
      <c r="BQ1500" s="10"/>
      <c r="BR1500" s="10"/>
      <c r="BS1500" s="10"/>
      <c r="BT1500" s="10"/>
      <c r="BU1500" s="10"/>
      <c r="BV1500" s="10"/>
      <c r="BW1500" s="10"/>
      <c r="BX1500" s="10"/>
      <c r="BY1500" s="10"/>
      <c r="BZ1500" s="10"/>
      <c r="CA1500" s="10"/>
      <c r="CB1500" s="10"/>
      <c r="CC1500" s="10"/>
      <c r="CD1500" s="10"/>
      <c r="CE1500" s="10"/>
      <c r="CF1500" s="10"/>
      <c r="CG1500" s="10"/>
      <c r="CH1500" s="10"/>
      <c r="CI1500" s="10"/>
      <c r="CJ1500" s="10"/>
      <c r="CK1500" s="10"/>
      <c r="CL1500" s="10"/>
      <c r="CM1500" s="10"/>
      <c r="CN1500" s="10"/>
      <c r="CO1500" s="10"/>
    </row>
    <row r="1501" spans="1:93">
      <c r="A1501" s="10"/>
      <c r="B1501" s="10"/>
      <c r="C1501" s="17" t="s">
        <v>248</v>
      </c>
      <c r="D1501" s="10"/>
      <c r="E1501" s="195">
        <f t="array" aca="1" ref="E1501" ca="1">AVERAGE(IF(L1499:CO1499&lt;&gt;0,L1499:CO1499))</f>
        <v>1.2998064737785828</v>
      </c>
      <c r="F1501" s="10"/>
      <c r="G1501" s="11" t="s">
        <v>378</v>
      </c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  <c r="AY1501" s="10"/>
      <c r="AZ1501" s="10"/>
      <c r="BA1501" s="10"/>
      <c r="BB1501" s="10"/>
      <c r="BC1501" s="10"/>
      <c r="BD1501" s="10"/>
      <c r="BE1501" s="10"/>
      <c r="BF1501" s="10"/>
      <c r="BG1501" s="10"/>
      <c r="BH1501" s="10"/>
      <c r="BI1501" s="10"/>
      <c r="BJ1501" s="10"/>
      <c r="BK1501" s="10"/>
      <c r="BL1501" s="10"/>
      <c r="BM1501" s="10"/>
      <c r="BN1501" s="10"/>
      <c r="BO1501" s="10"/>
      <c r="BP1501" s="10"/>
      <c r="BQ1501" s="10"/>
      <c r="BR1501" s="10"/>
      <c r="BS1501" s="10"/>
      <c r="BT1501" s="10"/>
      <c r="BU1501" s="10"/>
      <c r="BV1501" s="10"/>
      <c r="BW1501" s="10"/>
      <c r="BX1501" s="10"/>
      <c r="BY1501" s="10"/>
      <c r="BZ1501" s="10"/>
      <c r="CA1501" s="10"/>
      <c r="CB1501" s="10"/>
      <c r="CC1501" s="10"/>
      <c r="CD1501" s="10"/>
      <c r="CE1501" s="10"/>
      <c r="CF1501" s="10"/>
      <c r="CG1501" s="10"/>
      <c r="CH1501" s="10"/>
      <c r="CI1501" s="10"/>
      <c r="CJ1501" s="10"/>
      <c r="CK1501" s="10"/>
      <c r="CL1501" s="10"/>
      <c r="CM1501" s="10"/>
      <c r="CN1501" s="10"/>
      <c r="CO1501" s="10"/>
    </row>
    <row r="1502" spans="1:93">
      <c r="A1502" s="10"/>
      <c r="B1502" s="10"/>
      <c r="C1502" s="17" t="s">
        <v>249</v>
      </c>
      <c r="D1502" s="10"/>
      <c r="E1502" s="195">
        <f t="array" aca="1" ref="E1502" ca="1">MIN(IF(L1499:CO1499&lt;&gt;0,L1499:CO1499))</f>
        <v>1.0697147566305654</v>
      </c>
      <c r="F1502" s="10"/>
      <c r="G1502" s="11" t="s">
        <v>378</v>
      </c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  <c r="AY1502" s="10"/>
      <c r="AZ1502" s="10"/>
      <c r="BA1502" s="10"/>
      <c r="BB1502" s="10"/>
      <c r="BC1502" s="10"/>
      <c r="BD1502" s="10"/>
      <c r="BE1502" s="10"/>
      <c r="BF1502" s="10"/>
      <c r="BG1502" s="10"/>
      <c r="BH1502" s="10"/>
      <c r="BI1502" s="10"/>
      <c r="BJ1502" s="10"/>
      <c r="BK1502" s="10"/>
      <c r="BL1502" s="10"/>
      <c r="BM1502" s="10"/>
      <c r="BN1502" s="10"/>
      <c r="BO1502" s="10"/>
      <c r="BP1502" s="10"/>
      <c r="BQ1502" s="10"/>
      <c r="BR1502" s="10"/>
      <c r="BS1502" s="10"/>
      <c r="BT1502" s="10"/>
      <c r="BU1502" s="10"/>
      <c r="BV1502" s="10"/>
      <c r="BW1502" s="10"/>
      <c r="BX1502" s="10"/>
      <c r="BY1502" s="10"/>
      <c r="BZ1502" s="10"/>
      <c r="CA1502" s="10"/>
      <c r="CB1502" s="10"/>
      <c r="CC1502" s="10"/>
      <c r="CD1502" s="10"/>
      <c r="CE1502" s="10"/>
      <c r="CF1502" s="10"/>
      <c r="CG1502" s="10"/>
      <c r="CH1502" s="10"/>
      <c r="CI1502" s="10"/>
      <c r="CJ1502" s="10"/>
      <c r="CK1502" s="10"/>
      <c r="CL1502" s="10"/>
      <c r="CM1502" s="10"/>
      <c r="CN1502" s="10"/>
      <c r="CO1502" s="10"/>
    </row>
    <row r="1503" spans="1:93">
      <c r="A1503" s="10"/>
      <c r="B1503" s="10"/>
      <c r="C1503" s="17" t="s">
        <v>150</v>
      </c>
      <c r="D1503" s="10"/>
      <c r="E1503" s="10"/>
      <c r="F1503" s="10"/>
      <c r="G1503" s="11"/>
      <c r="H1503" s="10"/>
      <c r="I1503" s="10"/>
      <c r="J1503" s="10"/>
      <c r="K1503" s="10"/>
      <c r="L1503" s="10">
        <f ca="1">L1432/L1506</f>
        <v>-3.7557590736770083</v>
      </c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  <c r="AY1503" s="10"/>
      <c r="AZ1503" s="10"/>
      <c r="BA1503" s="10"/>
      <c r="BB1503" s="10"/>
      <c r="BC1503" s="10"/>
      <c r="BD1503" s="10"/>
      <c r="BE1503" s="10"/>
      <c r="BF1503" s="10"/>
      <c r="BG1503" s="10"/>
      <c r="BH1503" s="10"/>
      <c r="BI1503" s="10"/>
      <c r="BJ1503" s="10"/>
      <c r="BK1503" s="10"/>
      <c r="BL1503" s="10"/>
      <c r="BM1503" s="10"/>
      <c r="BN1503" s="10"/>
      <c r="BO1503" s="10"/>
      <c r="BP1503" s="10"/>
      <c r="BQ1503" s="10"/>
      <c r="BR1503" s="10"/>
      <c r="BS1503" s="10"/>
      <c r="BT1503" s="10"/>
      <c r="BU1503" s="10"/>
      <c r="BV1503" s="10"/>
      <c r="BW1503" s="10"/>
      <c r="BX1503" s="10"/>
      <c r="BY1503" s="10"/>
      <c r="BZ1503" s="10"/>
      <c r="CA1503" s="10"/>
      <c r="CB1503" s="10"/>
      <c r="CC1503" s="10"/>
      <c r="CD1503" s="10"/>
      <c r="CE1503" s="10"/>
      <c r="CF1503" s="10"/>
      <c r="CG1503" s="10"/>
      <c r="CH1503" s="10"/>
      <c r="CI1503" s="10"/>
      <c r="CJ1503" s="10"/>
      <c r="CK1503" s="10"/>
      <c r="CL1503" s="10"/>
      <c r="CM1503" s="10"/>
      <c r="CN1503" s="10"/>
      <c r="CO1503" s="10"/>
    </row>
    <row r="1504" spans="1:93">
      <c r="A1504" s="10"/>
      <c r="B1504" s="10"/>
      <c r="C1504" s="198" t="s">
        <v>426</v>
      </c>
      <c r="D1504" s="10"/>
      <c r="E1504" s="10"/>
      <c r="F1504" s="10"/>
      <c r="G1504" s="11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  <c r="AY1504" s="10"/>
      <c r="AZ1504" s="10"/>
      <c r="BA1504" s="10"/>
      <c r="BB1504" s="10"/>
      <c r="BC1504" s="10"/>
      <c r="BD1504" s="10"/>
      <c r="BE1504" s="10"/>
      <c r="BF1504" s="10"/>
      <c r="BG1504" s="10"/>
      <c r="BH1504" s="10"/>
      <c r="BI1504" s="10"/>
      <c r="BJ1504" s="10"/>
      <c r="BK1504" s="10"/>
      <c r="BL1504" s="10"/>
      <c r="BM1504" s="10"/>
      <c r="BN1504" s="10"/>
      <c r="BO1504" s="10"/>
      <c r="BP1504" s="10"/>
      <c r="BQ1504" s="10"/>
      <c r="BR1504" s="10"/>
      <c r="BS1504" s="10"/>
      <c r="BT1504" s="10"/>
      <c r="BU1504" s="10"/>
      <c r="BV1504" s="10"/>
      <c r="BW1504" s="10"/>
      <c r="BX1504" s="10"/>
      <c r="BY1504" s="10"/>
      <c r="BZ1504" s="10"/>
      <c r="CA1504" s="10"/>
      <c r="CB1504" s="10"/>
      <c r="CC1504" s="10"/>
      <c r="CD1504" s="10"/>
      <c r="CE1504" s="10"/>
      <c r="CF1504" s="10"/>
      <c r="CG1504" s="10"/>
      <c r="CH1504" s="10"/>
      <c r="CI1504" s="10"/>
      <c r="CJ1504" s="10"/>
      <c r="CK1504" s="10"/>
      <c r="CL1504" s="10"/>
      <c r="CM1504" s="10"/>
      <c r="CN1504" s="10"/>
      <c r="CO1504" s="10"/>
    </row>
    <row r="1505" spans="1:93">
      <c r="A1505" s="10"/>
      <c r="B1505" s="10"/>
      <c r="C1505" s="17" t="s">
        <v>348</v>
      </c>
      <c r="D1505" s="10"/>
      <c r="E1505" s="10"/>
      <c r="F1505" s="10"/>
      <c r="G1505" s="11" t="str">
        <f>Monetary_Unit</f>
        <v>тыс. руб.</v>
      </c>
      <c r="H1505" s="10"/>
      <c r="I1505" s="10"/>
      <c r="J1505" s="10"/>
      <c r="K1505" s="10"/>
      <c r="L1505" s="52">
        <f t="shared" ref="L1505:BW1505" si="9161">Debt_EoP</f>
        <v>0</v>
      </c>
      <c r="M1505" s="52">
        <f t="shared" si="9161"/>
        <v>0</v>
      </c>
      <c r="N1505" s="52">
        <f t="shared" si="9161"/>
        <v>0</v>
      </c>
      <c r="O1505" s="52">
        <f t="shared" si="9161"/>
        <v>0</v>
      </c>
      <c r="P1505" s="52">
        <f t="shared" si="9161"/>
        <v>0</v>
      </c>
      <c r="Q1505" s="52">
        <f t="shared" si="9161"/>
        <v>0</v>
      </c>
      <c r="R1505" s="52">
        <f t="shared" si="9161"/>
        <v>0</v>
      </c>
      <c r="S1505" s="52">
        <f t="shared" si="9161"/>
        <v>93075.219462963287</v>
      </c>
      <c r="T1505" s="52">
        <f t="shared" si="9161"/>
        <v>379690.34390327823</v>
      </c>
      <c r="U1505" s="52">
        <f t="shared" si="9161"/>
        <v>669129.60368778696</v>
      </c>
      <c r="V1505" s="52">
        <f t="shared" si="9161"/>
        <v>961420.82617018488</v>
      </c>
      <c r="W1505" s="52">
        <f t="shared" si="9161"/>
        <v>1256592.112898397</v>
      </c>
      <c r="X1505" s="52">
        <f t="shared" si="9161"/>
        <v>1879104.5142084088</v>
      </c>
      <c r="Y1505" s="52">
        <f t="shared" si="9161"/>
        <v>2507750.7832903028</v>
      </c>
      <c r="Z1505" s="52">
        <f t="shared" si="9161"/>
        <v>3142591.3596369531</v>
      </c>
      <c r="AA1505" s="52">
        <f t="shared" si="9161"/>
        <v>3783687.2782761287</v>
      </c>
      <c r="AB1505" s="52">
        <f t="shared" si="9161"/>
        <v>4616063.5245886445</v>
      </c>
      <c r="AC1505" s="52">
        <f t="shared" si="9161"/>
        <v>4495805.9500073316</v>
      </c>
      <c r="AD1505" s="52">
        <f t="shared" si="9161"/>
        <v>4374168.0381170874</v>
      </c>
      <c r="AE1505" s="52">
        <f t="shared" si="9161"/>
        <v>4250828.5281117735</v>
      </c>
      <c r="AF1505" s="52">
        <f t="shared" si="9161"/>
        <v>4125222.4499160405</v>
      </c>
      <c r="AG1505" s="52">
        <f t="shared" si="9161"/>
        <v>3998161.2541356659</v>
      </c>
      <c r="AH1505" s="52">
        <f t="shared" si="9161"/>
        <v>3869598.1264479118</v>
      </c>
      <c r="AI1505" s="52">
        <f t="shared" si="9161"/>
        <v>3739236.5234453464</v>
      </c>
      <c r="AJ1505" s="52">
        <f t="shared" si="9161"/>
        <v>3606568.3681428847</v>
      </c>
      <c r="AK1505" s="52">
        <f t="shared" si="9161"/>
        <v>3472318.4487806205</v>
      </c>
      <c r="AL1505" s="52">
        <f t="shared" si="9161"/>
        <v>3336436.3859030483</v>
      </c>
      <c r="AM1505" s="52">
        <f t="shared" si="9161"/>
        <v>3198653.462726674</v>
      </c>
      <c r="AN1505" s="52">
        <f t="shared" si="9161"/>
        <v>3058682.3180184551</v>
      </c>
      <c r="AO1505" s="52">
        <f t="shared" si="9161"/>
        <v>2916779.6856331495</v>
      </c>
      <c r="AP1505" s="52">
        <f t="shared" si="9161"/>
        <v>2773109.6477034264</v>
      </c>
      <c r="AQ1505" s="52">
        <f t="shared" si="9161"/>
        <v>2627435.2942976062</v>
      </c>
      <c r="AR1505" s="52">
        <f t="shared" si="9161"/>
        <v>2479426.5311982608</v>
      </c>
      <c r="AS1505" s="52">
        <f t="shared" si="9161"/>
        <v>2329555.4519931669</v>
      </c>
      <c r="AT1505" s="52">
        <f t="shared" si="9161"/>
        <v>2177763.7585033504</v>
      </c>
      <c r="AU1505" s="52">
        <f t="shared" si="9161"/>
        <v>2023848.643856613</v>
      </c>
      <c r="AV1505" s="52">
        <f t="shared" si="9161"/>
        <v>1867515.0379988309</v>
      </c>
      <c r="AW1505" s="52">
        <f t="shared" si="9161"/>
        <v>1709164.0640122641</v>
      </c>
      <c r="AX1505" s="52">
        <f t="shared" si="9161"/>
        <v>1548733.0365677271</v>
      </c>
      <c r="AY1505" s="52">
        <f t="shared" si="9161"/>
        <v>1386057.7315221743</v>
      </c>
      <c r="AZ1505" s="52">
        <f t="shared" si="9161"/>
        <v>1220929.9150941351</v>
      </c>
      <c r="BA1505" s="52">
        <f t="shared" si="9161"/>
        <v>1053619.0083958807</v>
      </c>
      <c r="BB1505" s="52">
        <f t="shared" si="9161"/>
        <v>884057.62976388773</v>
      </c>
      <c r="BC1505" s="52">
        <f t="shared" si="9161"/>
        <v>712124.24751105381</v>
      </c>
      <c r="BD1505" s="52">
        <f t="shared" si="9161"/>
        <v>537736.13931138162</v>
      </c>
      <c r="BE1505" s="52">
        <f t="shared" si="9161"/>
        <v>360941.61383031344</v>
      </c>
      <c r="BF1505" s="52">
        <f t="shared" si="9161"/>
        <v>181720.95747018265</v>
      </c>
      <c r="BG1505" s="52">
        <f t="shared" si="9161"/>
        <v>0</v>
      </c>
      <c r="BH1505" s="52">
        <f t="shared" si="9161"/>
        <v>0</v>
      </c>
      <c r="BI1505" s="52">
        <f t="shared" si="9161"/>
        <v>0</v>
      </c>
      <c r="BJ1505" s="52">
        <f t="shared" si="9161"/>
        <v>0</v>
      </c>
      <c r="BK1505" s="52">
        <f t="shared" si="9161"/>
        <v>0</v>
      </c>
      <c r="BL1505" s="52">
        <f t="shared" si="9161"/>
        <v>0</v>
      </c>
      <c r="BM1505" s="52">
        <f t="shared" si="9161"/>
        <v>0</v>
      </c>
      <c r="BN1505" s="52">
        <f t="shared" si="9161"/>
        <v>0</v>
      </c>
      <c r="BO1505" s="52">
        <f t="shared" si="9161"/>
        <v>0</v>
      </c>
      <c r="BP1505" s="52">
        <f t="shared" si="9161"/>
        <v>0</v>
      </c>
      <c r="BQ1505" s="52">
        <f t="shared" si="9161"/>
        <v>0</v>
      </c>
      <c r="BR1505" s="52">
        <f t="shared" si="9161"/>
        <v>0</v>
      </c>
      <c r="BS1505" s="52">
        <f t="shared" si="9161"/>
        <v>0</v>
      </c>
      <c r="BT1505" s="52">
        <f t="shared" si="9161"/>
        <v>0</v>
      </c>
      <c r="BU1505" s="52">
        <f t="shared" si="9161"/>
        <v>0</v>
      </c>
      <c r="BV1505" s="52">
        <f t="shared" si="9161"/>
        <v>0</v>
      </c>
      <c r="BW1505" s="52">
        <f t="shared" si="9161"/>
        <v>0</v>
      </c>
      <c r="BX1505" s="52">
        <f t="shared" ref="BX1505:CO1505" si="9162">Debt_EoP</f>
        <v>0</v>
      </c>
      <c r="BY1505" s="52">
        <f t="shared" si="9162"/>
        <v>0</v>
      </c>
      <c r="BZ1505" s="52">
        <f t="shared" si="9162"/>
        <v>0</v>
      </c>
      <c r="CA1505" s="52">
        <f t="shared" si="9162"/>
        <v>0</v>
      </c>
      <c r="CB1505" s="52">
        <f t="shared" si="9162"/>
        <v>0</v>
      </c>
      <c r="CC1505" s="52">
        <f t="shared" si="9162"/>
        <v>0</v>
      </c>
      <c r="CD1505" s="52">
        <f t="shared" si="9162"/>
        <v>0</v>
      </c>
      <c r="CE1505" s="52">
        <f t="shared" si="9162"/>
        <v>0</v>
      </c>
      <c r="CF1505" s="52">
        <f t="shared" si="9162"/>
        <v>0</v>
      </c>
      <c r="CG1505" s="52">
        <f t="shared" si="9162"/>
        <v>0</v>
      </c>
      <c r="CH1505" s="52">
        <f t="shared" si="9162"/>
        <v>0</v>
      </c>
      <c r="CI1505" s="52">
        <f t="shared" si="9162"/>
        <v>0</v>
      </c>
      <c r="CJ1505" s="52">
        <f t="shared" si="9162"/>
        <v>0</v>
      </c>
      <c r="CK1505" s="52">
        <f t="shared" si="9162"/>
        <v>0</v>
      </c>
      <c r="CL1505" s="52">
        <f t="shared" si="9162"/>
        <v>0</v>
      </c>
      <c r="CM1505" s="52">
        <f t="shared" si="9162"/>
        <v>0</v>
      </c>
      <c r="CN1505" s="52">
        <f t="shared" si="9162"/>
        <v>0</v>
      </c>
      <c r="CO1505" s="52">
        <f t="shared" si="9162"/>
        <v>0</v>
      </c>
    </row>
    <row r="1506" spans="1:93">
      <c r="A1506" s="10"/>
      <c r="B1506" s="10"/>
      <c r="C1506" s="17" t="s">
        <v>250</v>
      </c>
      <c r="D1506" s="10"/>
      <c r="E1506" s="10"/>
      <c r="F1506" s="10"/>
      <c r="G1506" s="11" t="str">
        <f>Monetary_Unit</f>
        <v>тыс. руб.</v>
      </c>
      <c r="H1506" s="10"/>
      <c r="I1506" s="10"/>
      <c r="J1506" s="10"/>
      <c r="K1506" s="10"/>
      <c r="L1506" s="52">
        <f t="shared" ref="L1506:BW1506" ca="1" si="9163">Equity_EoP+Subord_EoP</f>
        <v>31406.153379286916</v>
      </c>
      <c r="M1506" s="52">
        <f t="shared" ca="1" si="9163"/>
        <v>63258.113569794448</v>
      </c>
      <c r="N1506" s="52">
        <f t="shared" ca="1" si="9163"/>
        <v>95562.208749014768</v>
      </c>
      <c r="O1506" s="52">
        <f t="shared" ca="1" si="9163"/>
        <v>128324.85692220708</v>
      </c>
      <c r="P1506" s="52">
        <f t="shared" ca="1" si="9163"/>
        <v>403916.32273020223</v>
      </c>
      <c r="Q1506" s="52">
        <f t="shared" ca="1" si="9163"/>
        <v>682223.30329222977</v>
      </c>
      <c r="R1506" s="52">
        <f t="shared" ca="1" si="9163"/>
        <v>963272.55567915109</v>
      </c>
      <c r="S1506" s="52">
        <f t="shared" ca="1" si="9163"/>
        <v>1154754.872889637</v>
      </c>
      <c r="T1506" s="52">
        <f t="shared" ca="1" si="9163"/>
        <v>1161335.527237284</v>
      </c>
      <c r="U1506" s="52">
        <f t="shared" ca="1" si="9163"/>
        <v>1171760.35587011</v>
      </c>
      <c r="V1506" s="52">
        <f t="shared" ca="1" si="9163"/>
        <v>1186149.8052114691</v>
      </c>
      <c r="W1506" s="52">
        <f t="shared" ca="1" si="9163"/>
        <v>1204427.2529325802</v>
      </c>
      <c r="X1506" s="52">
        <f t="shared" ca="1" si="9163"/>
        <v>1228568.1097713585</v>
      </c>
      <c r="Y1506" s="52">
        <f t="shared" ca="1" si="9163"/>
        <v>1260877.115645245</v>
      </c>
      <c r="Z1506" s="52">
        <f t="shared" ca="1" si="9163"/>
        <v>1301880.4429881182</v>
      </c>
      <c r="AA1506" s="52">
        <f t="shared" ca="1" si="9163"/>
        <v>1351305.21807041</v>
      </c>
      <c r="AB1506" s="52">
        <f t="shared" ca="1" si="9163"/>
        <v>1409395.9556502979</v>
      </c>
      <c r="AC1506" s="52">
        <f t="shared" ca="1" si="9163"/>
        <v>1409395.9556502979</v>
      </c>
      <c r="AD1506" s="52">
        <f t="shared" ca="1" si="9163"/>
        <v>1409395.9556502979</v>
      </c>
      <c r="AE1506" s="52">
        <f t="shared" ca="1" si="9163"/>
        <v>1409395.9556502979</v>
      </c>
      <c r="AF1506" s="52">
        <f t="shared" ca="1" si="9163"/>
        <v>1409395.9556502979</v>
      </c>
      <c r="AG1506" s="52">
        <f t="shared" ca="1" si="9163"/>
        <v>1409395.9556502979</v>
      </c>
      <c r="AH1506" s="52">
        <f t="shared" ca="1" si="9163"/>
        <v>1409395.9556502979</v>
      </c>
      <c r="AI1506" s="52">
        <f t="shared" ca="1" si="9163"/>
        <v>1409395.9556502979</v>
      </c>
      <c r="AJ1506" s="52">
        <f t="shared" ca="1" si="9163"/>
        <v>1409395.9556502979</v>
      </c>
      <c r="AK1506" s="52">
        <f t="shared" ca="1" si="9163"/>
        <v>1409395.9556502979</v>
      </c>
      <c r="AL1506" s="52">
        <f t="shared" ca="1" si="9163"/>
        <v>1409395.9556502979</v>
      </c>
      <c r="AM1506" s="52">
        <f t="shared" ca="1" si="9163"/>
        <v>1409395.9556502979</v>
      </c>
      <c r="AN1506" s="52">
        <f t="shared" ca="1" si="9163"/>
        <v>1409395.9556502979</v>
      </c>
      <c r="AO1506" s="52">
        <f t="shared" ca="1" si="9163"/>
        <v>1409395.9556502979</v>
      </c>
      <c r="AP1506" s="52">
        <f t="shared" ca="1" si="9163"/>
        <v>1409395.9556502979</v>
      </c>
      <c r="AQ1506" s="52">
        <f t="shared" ca="1" si="9163"/>
        <v>1409395.9556502979</v>
      </c>
      <c r="AR1506" s="52">
        <f t="shared" ca="1" si="9163"/>
        <v>1409395.9556502979</v>
      </c>
      <c r="AS1506" s="52">
        <f t="shared" ca="1" si="9163"/>
        <v>1409395.9556502979</v>
      </c>
      <c r="AT1506" s="52">
        <f t="shared" ca="1" si="9163"/>
        <v>1409395.9556502979</v>
      </c>
      <c r="AU1506" s="52">
        <f t="shared" ca="1" si="9163"/>
        <v>1409395.9556502979</v>
      </c>
      <c r="AV1506" s="52">
        <f t="shared" ca="1" si="9163"/>
        <v>1409395.9556502979</v>
      </c>
      <c r="AW1506" s="52">
        <f t="shared" ca="1" si="9163"/>
        <v>1409395.9556502979</v>
      </c>
      <c r="AX1506" s="52">
        <f t="shared" ca="1" si="9163"/>
        <v>1409395.9556502979</v>
      </c>
      <c r="AY1506" s="52">
        <f t="shared" ca="1" si="9163"/>
        <v>1409395.9556502979</v>
      </c>
      <c r="AZ1506" s="52">
        <f t="shared" ca="1" si="9163"/>
        <v>1453000.0847457016</v>
      </c>
      <c r="BA1506" s="52">
        <f t="shared" ca="1" si="9163"/>
        <v>1455796.7286467014</v>
      </c>
      <c r="BB1506" s="52">
        <f t="shared" ca="1" si="9163"/>
        <v>1409395.9556502979</v>
      </c>
      <c r="BC1506" s="52">
        <f t="shared" ca="1" si="9163"/>
        <v>1409395.9556502979</v>
      </c>
      <c r="BD1506" s="52">
        <f t="shared" ca="1" si="9163"/>
        <v>1445882.5003106184</v>
      </c>
      <c r="BE1506" s="52">
        <f t="shared" ca="1" si="9163"/>
        <v>1444400.6248782219</v>
      </c>
      <c r="BF1506" s="52">
        <f t="shared" ca="1" si="9163"/>
        <v>1409395.9556502979</v>
      </c>
      <c r="BG1506" s="52">
        <f t="shared" ca="1" si="9163"/>
        <v>1409395.9556502979</v>
      </c>
      <c r="BH1506" s="52">
        <f t="shared" ca="1" si="9163"/>
        <v>1409395.9556502979</v>
      </c>
      <c r="BI1506" s="52">
        <f t="shared" ca="1" si="9163"/>
        <v>1409395.9556502979</v>
      </c>
      <c r="BJ1506" s="52">
        <f t="shared" ca="1" si="9163"/>
        <v>1409395.9556502979</v>
      </c>
      <c r="BK1506" s="52">
        <f t="shared" ca="1" si="9163"/>
        <v>1409395.9556502979</v>
      </c>
      <c r="BL1506" s="52">
        <f t="shared" ca="1" si="9163"/>
        <v>1409395.9556502979</v>
      </c>
      <c r="BM1506" s="52">
        <f t="shared" ca="1" si="9163"/>
        <v>1409395.9556502979</v>
      </c>
      <c r="BN1506" s="52">
        <f t="shared" ca="1" si="9163"/>
        <v>1409395.9556502979</v>
      </c>
      <c r="BO1506" s="52">
        <f t="shared" ca="1" si="9163"/>
        <v>1409395.9556502979</v>
      </c>
      <c r="BP1506" s="52">
        <f t="shared" ca="1" si="9163"/>
        <v>1409395.9556502979</v>
      </c>
      <c r="BQ1506" s="52">
        <f t="shared" ca="1" si="9163"/>
        <v>1409395.9556502979</v>
      </c>
      <c r="BR1506" s="52">
        <f t="shared" ca="1" si="9163"/>
        <v>1409395.9556502979</v>
      </c>
      <c r="BS1506" s="52">
        <f t="shared" ca="1" si="9163"/>
        <v>1409395.9556502979</v>
      </c>
      <c r="BT1506" s="52">
        <f t="shared" ca="1" si="9163"/>
        <v>1409395.9556502979</v>
      </c>
      <c r="BU1506" s="52">
        <f t="shared" ca="1" si="9163"/>
        <v>1409395.9556502979</v>
      </c>
      <c r="BV1506" s="52">
        <f t="shared" ca="1" si="9163"/>
        <v>1409395.9556502979</v>
      </c>
      <c r="BW1506" s="52">
        <f t="shared" ca="1" si="9163"/>
        <v>1409395.9556502979</v>
      </c>
      <c r="BX1506" s="52">
        <f t="shared" ref="BX1506:CO1506" ca="1" si="9164">Equity_EoP+Subord_EoP</f>
        <v>1409395.9556502979</v>
      </c>
      <c r="BY1506" s="52">
        <f t="shared" ca="1" si="9164"/>
        <v>1409395.9556502979</v>
      </c>
      <c r="BZ1506" s="52">
        <f t="shared" ca="1" si="9164"/>
        <v>1409395.9556502979</v>
      </c>
      <c r="CA1506" s="52">
        <f t="shared" ca="1" si="9164"/>
        <v>1409395.9556502979</v>
      </c>
      <c r="CB1506" s="52">
        <f t="shared" ca="1" si="9164"/>
        <v>1409395.9556502979</v>
      </c>
      <c r="CC1506" s="52">
        <f t="shared" ca="1" si="9164"/>
        <v>1409395.9556502979</v>
      </c>
      <c r="CD1506" s="52">
        <f t="shared" ca="1" si="9164"/>
        <v>1409395.9556502979</v>
      </c>
      <c r="CE1506" s="52">
        <f t="shared" ca="1" si="9164"/>
        <v>1409395.9556502979</v>
      </c>
      <c r="CF1506" s="52">
        <f t="shared" ca="1" si="9164"/>
        <v>1409395.9556502979</v>
      </c>
      <c r="CG1506" s="52">
        <f t="shared" ca="1" si="9164"/>
        <v>1409395.9556502979</v>
      </c>
      <c r="CH1506" s="52">
        <f t="shared" ca="1" si="9164"/>
        <v>1409395.9556502979</v>
      </c>
      <c r="CI1506" s="52">
        <f t="shared" ca="1" si="9164"/>
        <v>1409395.9556502979</v>
      </c>
      <c r="CJ1506" s="52">
        <f t="shared" ca="1" si="9164"/>
        <v>1409395.9556502979</v>
      </c>
      <c r="CK1506" s="52">
        <f t="shared" ca="1" si="9164"/>
        <v>1409395.9556502979</v>
      </c>
      <c r="CL1506" s="52">
        <f t="shared" ca="1" si="9164"/>
        <v>1409395.9556502979</v>
      </c>
      <c r="CM1506" s="52">
        <f t="shared" ca="1" si="9164"/>
        <v>1409395.9556502979</v>
      </c>
      <c r="CN1506" s="52">
        <f t="shared" ca="1" si="9164"/>
        <v>1409395.9556502979</v>
      </c>
      <c r="CO1506" s="52">
        <f t="shared" ca="1" si="9164"/>
        <v>1409395.9556502979</v>
      </c>
    </row>
    <row r="1507" spans="1:93">
      <c r="A1507" s="10"/>
      <c r="B1507" s="10"/>
      <c r="C1507" s="17" t="s">
        <v>428</v>
      </c>
      <c r="D1507" s="10"/>
      <c r="E1507" s="10"/>
      <c r="F1507" s="10"/>
      <c r="G1507" s="11" t="s">
        <v>28</v>
      </c>
      <c r="H1507" s="10"/>
      <c r="I1507" s="10"/>
      <c r="J1507" s="10"/>
      <c r="K1507" s="10"/>
      <c r="L1507" s="43">
        <f t="shared" ref="L1507" ca="1" si="9165">IFERROR(L1505/SUM(L1505:L1506),0)</f>
        <v>0</v>
      </c>
      <c r="M1507" s="43">
        <f t="shared" ref="M1507:BX1507" ca="1" si="9166">IFERROR(M1505/SUM(M1505:M1506),0)</f>
        <v>0</v>
      </c>
      <c r="N1507" s="43">
        <f t="shared" ca="1" si="9166"/>
        <v>0</v>
      </c>
      <c r="O1507" s="43">
        <f t="shared" ca="1" si="9166"/>
        <v>0</v>
      </c>
      <c r="P1507" s="43">
        <f t="shared" ca="1" si="9166"/>
        <v>0</v>
      </c>
      <c r="Q1507" s="43">
        <f t="shared" ca="1" si="9166"/>
        <v>0</v>
      </c>
      <c r="R1507" s="43">
        <f t="shared" ca="1" si="9166"/>
        <v>0</v>
      </c>
      <c r="S1507" s="43">
        <f t="shared" ca="1" si="9166"/>
        <v>7.4589657705307968E-2</v>
      </c>
      <c r="T1507" s="43">
        <f t="shared" ca="1" si="9166"/>
        <v>0.24638803995046321</v>
      </c>
      <c r="U1507" s="43">
        <f t="shared" ca="1" si="9166"/>
        <v>0.36348158683449133</v>
      </c>
      <c r="V1507" s="43">
        <f t="shared" ca="1" si="9166"/>
        <v>0.44767832644072258</v>
      </c>
      <c r="W1507" s="43">
        <f t="shared" ca="1" si="9166"/>
        <v>0.51059822216153161</v>
      </c>
      <c r="X1507" s="43">
        <f t="shared" ca="1" si="9166"/>
        <v>0.60466617355658847</v>
      </c>
      <c r="Y1507" s="43">
        <f t="shared" ca="1" si="9166"/>
        <v>0.6654280683955609</v>
      </c>
      <c r="Z1507" s="43">
        <f t="shared" ca="1" si="9166"/>
        <v>0.70707870343126511</v>
      </c>
      <c r="AA1507" s="43">
        <f t="shared" ca="1" si="9166"/>
        <v>0.73684377941509338</v>
      </c>
      <c r="AB1507" s="43">
        <f t="shared" ca="1" si="9166"/>
        <v>0.76609319832412059</v>
      </c>
      <c r="AC1507" s="43">
        <f t="shared" ca="1" si="9166"/>
        <v>0.76132976007137199</v>
      </c>
      <c r="AD1507" s="43">
        <f t="shared" ca="1" si="9166"/>
        <v>0.75631013036786265</v>
      </c>
      <c r="AE1507" s="43">
        <f t="shared" ca="1" si="9166"/>
        <v>0.75099998954219183</v>
      </c>
      <c r="AF1507" s="43">
        <f t="shared" ca="1" si="9166"/>
        <v>0.74534902817639159</v>
      </c>
      <c r="AG1507" s="43">
        <f t="shared" ca="1" si="9166"/>
        <v>0.73936550257855094</v>
      </c>
      <c r="AH1507" s="43">
        <f t="shared" ca="1" si="9166"/>
        <v>0.73301808379938282</v>
      </c>
      <c r="AI1507" s="43">
        <f t="shared" ca="1" si="9166"/>
        <v>0.72625819353533316</v>
      </c>
      <c r="AJ1507" s="43">
        <f t="shared" ca="1" si="9166"/>
        <v>0.71901794656615869</v>
      </c>
      <c r="AK1507" s="43">
        <f t="shared" ca="1" si="9166"/>
        <v>0.71129078047436556</v>
      </c>
      <c r="AL1507" s="43">
        <f t="shared" ca="1" si="9166"/>
        <v>0.70302449513229281</v>
      </c>
      <c r="AM1507" s="43">
        <f t="shared" ca="1" si="9166"/>
        <v>0.6941447828164331</v>
      </c>
      <c r="AN1507" s="43">
        <f t="shared" ca="1" si="9166"/>
        <v>0.68456327993264121</v>
      </c>
      <c r="AO1507" s="43">
        <f t="shared" ca="1" si="9166"/>
        <v>0.67421665865785985</v>
      </c>
      <c r="AP1507" s="43">
        <f t="shared" ca="1" si="9166"/>
        <v>0.66302592529220294</v>
      </c>
      <c r="AQ1507" s="43">
        <f t="shared" ca="1" si="9166"/>
        <v>0.65086577357711295</v>
      </c>
      <c r="AR1507" s="43">
        <f t="shared" ca="1" si="9166"/>
        <v>0.63757770882659892</v>
      </c>
      <c r="AS1507" s="43">
        <f t="shared" ca="1" si="9166"/>
        <v>0.62305047539021297</v>
      </c>
      <c r="AT1507" s="43">
        <f t="shared" ca="1" si="9166"/>
        <v>0.60709974800137112</v>
      </c>
      <c r="AU1507" s="43">
        <f t="shared" ca="1" si="9166"/>
        <v>0.58948571393581506</v>
      </c>
      <c r="AV1507" s="43">
        <f t="shared" ca="1" si="9166"/>
        <v>0.56990105670193636</v>
      </c>
      <c r="AW1507" s="43">
        <f t="shared" ca="1" si="9166"/>
        <v>0.5480619430878233</v>
      </c>
      <c r="AX1507" s="43">
        <f t="shared" ca="1" si="9166"/>
        <v>0.52355155594701663</v>
      </c>
      <c r="AY1507" s="43">
        <f t="shared" ca="1" si="9166"/>
        <v>0.49582568220764733</v>
      </c>
      <c r="AZ1507" s="43">
        <f t="shared" ca="1" si="9166"/>
        <v>0.45660504020945442</v>
      </c>
      <c r="BA1507" s="43">
        <f t="shared" ca="1" si="9166"/>
        <v>0.4198662632273123</v>
      </c>
      <c r="BB1507" s="43">
        <f t="shared" ca="1" si="9166"/>
        <v>0.38547003322250867</v>
      </c>
      <c r="BC1507" s="43">
        <f t="shared" ca="1" si="9166"/>
        <v>0.33566696487259107</v>
      </c>
      <c r="BD1507" s="43">
        <f t="shared" ca="1" si="9166"/>
        <v>0.27108846860495978</v>
      </c>
      <c r="BE1507" s="43">
        <f t="shared" ca="1" si="9166"/>
        <v>0.19992974522576709</v>
      </c>
      <c r="BF1507" s="43">
        <f t="shared" ca="1" si="9166"/>
        <v>0.11420968250145337</v>
      </c>
      <c r="BG1507" s="43">
        <f t="shared" ca="1" si="9166"/>
        <v>0</v>
      </c>
      <c r="BH1507" s="43">
        <f t="shared" ca="1" si="9166"/>
        <v>0</v>
      </c>
      <c r="BI1507" s="43">
        <f t="shared" ca="1" si="9166"/>
        <v>0</v>
      </c>
      <c r="BJ1507" s="43">
        <f t="shared" ca="1" si="9166"/>
        <v>0</v>
      </c>
      <c r="BK1507" s="43">
        <f t="shared" ca="1" si="9166"/>
        <v>0</v>
      </c>
      <c r="BL1507" s="43">
        <f t="shared" ca="1" si="9166"/>
        <v>0</v>
      </c>
      <c r="BM1507" s="43">
        <f t="shared" ca="1" si="9166"/>
        <v>0</v>
      </c>
      <c r="BN1507" s="43">
        <f t="shared" ca="1" si="9166"/>
        <v>0</v>
      </c>
      <c r="BO1507" s="43">
        <f t="shared" ca="1" si="9166"/>
        <v>0</v>
      </c>
      <c r="BP1507" s="43">
        <f t="shared" ca="1" si="9166"/>
        <v>0</v>
      </c>
      <c r="BQ1507" s="43">
        <f t="shared" ca="1" si="9166"/>
        <v>0</v>
      </c>
      <c r="BR1507" s="43">
        <f t="shared" ca="1" si="9166"/>
        <v>0</v>
      </c>
      <c r="BS1507" s="43">
        <f t="shared" ca="1" si="9166"/>
        <v>0</v>
      </c>
      <c r="BT1507" s="43">
        <f t="shared" ca="1" si="9166"/>
        <v>0</v>
      </c>
      <c r="BU1507" s="43">
        <f t="shared" ca="1" si="9166"/>
        <v>0</v>
      </c>
      <c r="BV1507" s="43">
        <f t="shared" ca="1" si="9166"/>
        <v>0</v>
      </c>
      <c r="BW1507" s="43">
        <f t="shared" ca="1" si="9166"/>
        <v>0</v>
      </c>
      <c r="BX1507" s="43">
        <f t="shared" ca="1" si="9166"/>
        <v>0</v>
      </c>
      <c r="BY1507" s="43">
        <f t="shared" ref="BY1507:CO1507" ca="1" si="9167">IFERROR(BY1505/SUM(BY1505:BY1506),0)</f>
        <v>0</v>
      </c>
      <c r="BZ1507" s="43">
        <f t="shared" ca="1" si="9167"/>
        <v>0</v>
      </c>
      <c r="CA1507" s="43">
        <f t="shared" ca="1" si="9167"/>
        <v>0</v>
      </c>
      <c r="CB1507" s="43">
        <f t="shared" ca="1" si="9167"/>
        <v>0</v>
      </c>
      <c r="CC1507" s="43">
        <f t="shared" ca="1" si="9167"/>
        <v>0</v>
      </c>
      <c r="CD1507" s="43">
        <f t="shared" ca="1" si="9167"/>
        <v>0</v>
      </c>
      <c r="CE1507" s="43">
        <f t="shared" ca="1" si="9167"/>
        <v>0</v>
      </c>
      <c r="CF1507" s="43">
        <f t="shared" ca="1" si="9167"/>
        <v>0</v>
      </c>
      <c r="CG1507" s="43">
        <f t="shared" ca="1" si="9167"/>
        <v>0</v>
      </c>
      <c r="CH1507" s="43">
        <f t="shared" ca="1" si="9167"/>
        <v>0</v>
      </c>
      <c r="CI1507" s="43">
        <f t="shared" ca="1" si="9167"/>
        <v>0</v>
      </c>
      <c r="CJ1507" s="43">
        <f t="shared" ca="1" si="9167"/>
        <v>0</v>
      </c>
      <c r="CK1507" s="43">
        <f t="shared" ca="1" si="9167"/>
        <v>0</v>
      </c>
      <c r="CL1507" s="43">
        <f t="shared" ca="1" si="9167"/>
        <v>0</v>
      </c>
      <c r="CM1507" s="43">
        <f t="shared" ca="1" si="9167"/>
        <v>0</v>
      </c>
      <c r="CN1507" s="43">
        <f t="shared" ca="1" si="9167"/>
        <v>0</v>
      </c>
      <c r="CO1507" s="43">
        <f t="shared" ca="1" si="9167"/>
        <v>0</v>
      </c>
    </row>
    <row r="1508" spans="1:93">
      <c r="A1508" s="10"/>
      <c r="B1508" s="10"/>
      <c r="C1508" s="17" t="s">
        <v>429</v>
      </c>
      <c r="D1508" s="10"/>
      <c r="E1508" s="10"/>
      <c r="F1508" s="10"/>
      <c r="G1508" s="11" t="s">
        <v>28</v>
      </c>
      <c r="H1508" s="10"/>
      <c r="I1508" s="10"/>
      <c r="J1508" s="10"/>
      <c r="K1508" s="10"/>
      <c r="L1508" s="43">
        <f t="shared" ref="L1508" ca="1" si="9168">1-L1507</f>
        <v>1</v>
      </c>
      <c r="M1508" s="43">
        <f t="shared" ref="M1508:BX1508" ca="1" si="9169">1-M1507</f>
        <v>1</v>
      </c>
      <c r="N1508" s="43">
        <f t="shared" ca="1" si="9169"/>
        <v>1</v>
      </c>
      <c r="O1508" s="43">
        <f t="shared" ca="1" si="9169"/>
        <v>1</v>
      </c>
      <c r="P1508" s="43">
        <f t="shared" ca="1" si="9169"/>
        <v>1</v>
      </c>
      <c r="Q1508" s="43">
        <f t="shared" ca="1" si="9169"/>
        <v>1</v>
      </c>
      <c r="R1508" s="43">
        <f t="shared" ca="1" si="9169"/>
        <v>1</v>
      </c>
      <c r="S1508" s="43">
        <f t="shared" ca="1" si="9169"/>
        <v>0.92541034229469199</v>
      </c>
      <c r="T1508" s="43">
        <f t="shared" ca="1" si="9169"/>
        <v>0.75361196004953679</v>
      </c>
      <c r="U1508" s="43">
        <f t="shared" ca="1" si="9169"/>
        <v>0.63651841316550861</v>
      </c>
      <c r="V1508" s="43">
        <f t="shared" ca="1" si="9169"/>
        <v>0.55232167355927742</v>
      </c>
      <c r="W1508" s="43">
        <f t="shared" ca="1" si="9169"/>
        <v>0.48940177783846839</v>
      </c>
      <c r="X1508" s="43">
        <f t="shared" ca="1" si="9169"/>
        <v>0.39533382644341153</v>
      </c>
      <c r="Y1508" s="43">
        <f t="shared" ca="1" si="9169"/>
        <v>0.3345719316044391</v>
      </c>
      <c r="Z1508" s="43">
        <f t="shared" ca="1" si="9169"/>
        <v>0.29292129656873489</v>
      </c>
      <c r="AA1508" s="43">
        <f t="shared" ca="1" si="9169"/>
        <v>0.26315622058490662</v>
      </c>
      <c r="AB1508" s="43">
        <f t="shared" ca="1" si="9169"/>
        <v>0.23390680167587941</v>
      </c>
      <c r="AC1508" s="43">
        <f t="shared" ca="1" si="9169"/>
        <v>0.23867023992862801</v>
      </c>
      <c r="AD1508" s="43">
        <f t="shared" ca="1" si="9169"/>
        <v>0.24368986963213735</v>
      </c>
      <c r="AE1508" s="43">
        <f t="shared" ca="1" si="9169"/>
        <v>0.24900001045780817</v>
      </c>
      <c r="AF1508" s="43">
        <f t="shared" ca="1" si="9169"/>
        <v>0.25465097182360841</v>
      </c>
      <c r="AG1508" s="43">
        <f t="shared" ca="1" si="9169"/>
        <v>0.26063449742144906</v>
      </c>
      <c r="AH1508" s="43">
        <f t="shared" ca="1" si="9169"/>
        <v>0.26698191620061718</v>
      </c>
      <c r="AI1508" s="43">
        <f t="shared" ca="1" si="9169"/>
        <v>0.27374180646466684</v>
      </c>
      <c r="AJ1508" s="43">
        <f t="shared" ca="1" si="9169"/>
        <v>0.28098205343384131</v>
      </c>
      <c r="AK1508" s="43">
        <f t="shared" ca="1" si="9169"/>
        <v>0.28870921952563444</v>
      </c>
      <c r="AL1508" s="43">
        <f t="shared" ca="1" si="9169"/>
        <v>0.29697550486770719</v>
      </c>
      <c r="AM1508" s="43">
        <f t="shared" ca="1" si="9169"/>
        <v>0.3058552171835669</v>
      </c>
      <c r="AN1508" s="43">
        <f t="shared" ca="1" si="9169"/>
        <v>0.31543672006735879</v>
      </c>
      <c r="AO1508" s="43">
        <f t="shared" ca="1" si="9169"/>
        <v>0.32578334134214015</v>
      </c>
      <c r="AP1508" s="43">
        <f t="shared" ca="1" si="9169"/>
        <v>0.33697407470779706</v>
      </c>
      <c r="AQ1508" s="43">
        <f t="shared" ca="1" si="9169"/>
        <v>0.34913422642288705</v>
      </c>
      <c r="AR1508" s="43">
        <f t="shared" ca="1" si="9169"/>
        <v>0.36242229117340108</v>
      </c>
      <c r="AS1508" s="43">
        <f t="shared" ca="1" si="9169"/>
        <v>0.37694952460978703</v>
      </c>
      <c r="AT1508" s="43">
        <f t="shared" ca="1" si="9169"/>
        <v>0.39290025199862888</v>
      </c>
      <c r="AU1508" s="43">
        <f t="shared" ca="1" si="9169"/>
        <v>0.41051428606418494</v>
      </c>
      <c r="AV1508" s="43">
        <f t="shared" ca="1" si="9169"/>
        <v>0.43009894329806364</v>
      </c>
      <c r="AW1508" s="43">
        <f t="shared" ca="1" si="9169"/>
        <v>0.4519380569121767</v>
      </c>
      <c r="AX1508" s="43">
        <f t="shared" ca="1" si="9169"/>
        <v>0.47644844405298337</v>
      </c>
      <c r="AY1508" s="43">
        <f t="shared" ca="1" si="9169"/>
        <v>0.50417431779235267</v>
      </c>
      <c r="AZ1508" s="43">
        <f t="shared" ca="1" si="9169"/>
        <v>0.54339495979054564</v>
      </c>
      <c r="BA1508" s="43">
        <f t="shared" ca="1" si="9169"/>
        <v>0.58013373677268776</v>
      </c>
      <c r="BB1508" s="43">
        <f t="shared" ca="1" si="9169"/>
        <v>0.61452996677749128</v>
      </c>
      <c r="BC1508" s="43">
        <f t="shared" ca="1" si="9169"/>
        <v>0.66433303512740893</v>
      </c>
      <c r="BD1508" s="43">
        <f t="shared" ca="1" si="9169"/>
        <v>0.72891153139504028</v>
      </c>
      <c r="BE1508" s="43">
        <f t="shared" ca="1" si="9169"/>
        <v>0.80007025477423288</v>
      </c>
      <c r="BF1508" s="43">
        <f t="shared" ca="1" si="9169"/>
        <v>0.88579031749854664</v>
      </c>
      <c r="BG1508" s="43">
        <f t="shared" ca="1" si="9169"/>
        <v>1</v>
      </c>
      <c r="BH1508" s="43">
        <f t="shared" ca="1" si="9169"/>
        <v>1</v>
      </c>
      <c r="BI1508" s="43">
        <f t="shared" ca="1" si="9169"/>
        <v>1</v>
      </c>
      <c r="BJ1508" s="43">
        <f t="shared" ca="1" si="9169"/>
        <v>1</v>
      </c>
      <c r="BK1508" s="43">
        <f t="shared" ca="1" si="9169"/>
        <v>1</v>
      </c>
      <c r="BL1508" s="43">
        <f t="shared" ca="1" si="9169"/>
        <v>1</v>
      </c>
      <c r="BM1508" s="43">
        <f t="shared" ca="1" si="9169"/>
        <v>1</v>
      </c>
      <c r="BN1508" s="43">
        <f t="shared" ca="1" si="9169"/>
        <v>1</v>
      </c>
      <c r="BO1508" s="43">
        <f t="shared" ca="1" si="9169"/>
        <v>1</v>
      </c>
      <c r="BP1508" s="43">
        <f t="shared" ca="1" si="9169"/>
        <v>1</v>
      </c>
      <c r="BQ1508" s="43">
        <f t="shared" ca="1" si="9169"/>
        <v>1</v>
      </c>
      <c r="BR1508" s="43">
        <f t="shared" ca="1" si="9169"/>
        <v>1</v>
      </c>
      <c r="BS1508" s="43">
        <f t="shared" ca="1" si="9169"/>
        <v>1</v>
      </c>
      <c r="BT1508" s="43">
        <f t="shared" ca="1" si="9169"/>
        <v>1</v>
      </c>
      <c r="BU1508" s="43">
        <f t="shared" ca="1" si="9169"/>
        <v>1</v>
      </c>
      <c r="BV1508" s="43">
        <f t="shared" ca="1" si="9169"/>
        <v>1</v>
      </c>
      <c r="BW1508" s="43">
        <f t="shared" ca="1" si="9169"/>
        <v>1</v>
      </c>
      <c r="BX1508" s="43">
        <f t="shared" ca="1" si="9169"/>
        <v>1</v>
      </c>
      <c r="BY1508" s="43">
        <f t="shared" ref="BY1508:CO1508" ca="1" si="9170">1-BY1507</f>
        <v>1</v>
      </c>
      <c r="BZ1508" s="43">
        <f t="shared" ca="1" si="9170"/>
        <v>1</v>
      </c>
      <c r="CA1508" s="43">
        <f t="shared" ca="1" si="9170"/>
        <v>1</v>
      </c>
      <c r="CB1508" s="43">
        <f t="shared" ca="1" si="9170"/>
        <v>1</v>
      </c>
      <c r="CC1508" s="43">
        <f t="shared" ca="1" si="9170"/>
        <v>1</v>
      </c>
      <c r="CD1508" s="43">
        <f t="shared" ca="1" si="9170"/>
        <v>1</v>
      </c>
      <c r="CE1508" s="43">
        <f t="shared" ca="1" si="9170"/>
        <v>1</v>
      </c>
      <c r="CF1508" s="43">
        <f t="shared" ca="1" si="9170"/>
        <v>1</v>
      </c>
      <c r="CG1508" s="43">
        <f t="shared" ca="1" si="9170"/>
        <v>1</v>
      </c>
      <c r="CH1508" s="43">
        <f t="shared" ca="1" si="9170"/>
        <v>1</v>
      </c>
      <c r="CI1508" s="43">
        <f t="shared" ca="1" si="9170"/>
        <v>1</v>
      </c>
      <c r="CJ1508" s="43">
        <f t="shared" ca="1" si="9170"/>
        <v>1</v>
      </c>
      <c r="CK1508" s="43">
        <f t="shared" ca="1" si="9170"/>
        <v>1</v>
      </c>
      <c r="CL1508" s="43">
        <f t="shared" ca="1" si="9170"/>
        <v>1</v>
      </c>
      <c r="CM1508" s="43">
        <f t="shared" ca="1" si="9170"/>
        <v>1</v>
      </c>
      <c r="CN1508" s="43">
        <f t="shared" ca="1" si="9170"/>
        <v>1</v>
      </c>
      <c r="CO1508" s="43">
        <f t="shared" ca="1" si="9170"/>
        <v>1</v>
      </c>
    </row>
    <row r="1509" spans="1:93">
      <c r="A1509" s="10"/>
      <c r="B1509" s="10"/>
      <c r="C1509" s="17" t="s">
        <v>430</v>
      </c>
      <c r="D1509" s="10"/>
      <c r="E1509" s="10"/>
      <c r="F1509" s="10"/>
      <c r="G1509" s="11" t="s">
        <v>28</v>
      </c>
      <c r="H1509" s="10"/>
      <c r="I1509" s="10"/>
      <c r="J1509" s="10"/>
      <c r="K1509" s="10"/>
      <c r="L1509" s="199">
        <f t="shared" ref="L1509" ca="1" si="9171">IFERROR(ROUND(L1505/L1506,2),0)</f>
        <v>0</v>
      </c>
      <c r="M1509" s="199">
        <f t="shared" ref="M1509:BX1509" ca="1" si="9172">IFERROR(ROUND(M1505/M1506,2),0)</f>
        <v>0</v>
      </c>
      <c r="N1509" s="199">
        <f t="shared" ca="1" si="9172"/>
        <v>0</v>
      </c>
      <c r="O1509" s="199">
        <f t="shared" ca="1" si="9172"/>
        <v>0</v>
      </c>
      <c r="P1509" s="199">
        <f t="shared" ca="1" si="9172"/>
        <v>0</v>
      </c>
      <c r="Q1509" s="199">
        <f t="shared" ca="1" si="9172"/>
        <v>0</v>
      </c>
      <c r="R1509" s="199">
        <f t="shared" ca="1" si="9172"/>
        <v>0</v>
      </c>
      <c r="S1509" s="199">
        <f t="shared" ca="1" si="9172"/>
        <v>0.08</v>
      </c>
      <c r="T1509" s="199">
        <f t="shared" ca="1" si="9172"/>
        <v>0.33</v>
      </c>
      <c r="U1509" s="199">
        <f t="shared" ca="1" si="9172"/>
        <v>0.56999999999999995</v>
      </c>
      <c r="V1509" s="199">
        <f t="shared" ca="1" si="9172"/>
        <v>0.81</v>
      </c>
      <c r="W1509" s="199">
        <f t="shared" ca="1" si="9172"/>
        <v>1.04</v>
      </c>
      <c r="X1509" s="199">
        <f t="shared" ca="1" si="9172"/>
        <v>1.53</v>
      </c>
      <c r="Y1509" s="199">
        <f t="shared" ca="1" si="9172"/>
        <v>1.99</v>
      </c>
      <c r="Z1509" s="199">
        <f t="shared" ca="1" si="9172"/>
        <v>2.41</v>
      </c>
      <c r="AA1509" s="199">
        <f t="shared" ca="1" si="9172"/>
        <v>2.8</v>
      </c>
      <c r="AB1509" s="199">
        <f t="shared" ca="1" si="9172"/>
        <v>3.28</v>
      </c>
      <c r="AC1509" s="199">
        <f t="shared" ca="1" si="9172"/>
        <v>3.19</v>
      </c>
      <c r="AD1509" s="199">
        <f t="shared" ca="1" si="9172"/>
        <v>3.1</v>
      </c>
      <c r="AE1509" s="199">
        <f t="shared" ca="1" si="9172"/>
        <v>3.02</v>
      </c>
      <c r="AF1509" s="199">
        <f t="shared" ca="1" si="9172"/>
        <v>2.93</v>
      </c>
      <c r="AG1509" s="199">
        <f t="shared" ca="1" si="9172"/>
        <v>2.84</v>
      </c>
      <c r="AH1509" s="199">
        <f t="shared" ca="1" si="9172"/>
        <v>2.75</v>
      </c>
      <c r="AI1509" s="199">
        <f t="shared" ca="1" si="9172"/>
        <v>2.65</v>
      </c>
      <c r="AJ1509" s="199">
        <f t="shared" ca="1" si="9172"/>
        <v>2.56</v>
      </c>
      <c r="AK1509" s="199">
        <f t="shared" ca="1" si="9172"/>
        <v>2.46</v>
      </c>
      <c r="AL1509" s="199">
        <f t="shared" ca="1" si="9172"/>
        <v>2.37</v>
      </c>
      <c r="AM1509" s="199">
        <f t="shared" ca="1" si="9172"/>
        <v>2.27</v>
      </c>
      <c r="AN1509" s="199">
        <f t="shared" ca="1" si="9172"/>
        <v>2.17</v>
      </c>
      <c r="AO1509" s="199">
        <f t="shared" ca="1" si="9172"/>
        <v>2.0699999999999998</v>
      </c>
      <c r="AP1509" s="199">
        <f t="shared" ca="1" si="9172"/>
        <v>1.97</v>
      </c>
      <c r="AQ1509" s="199">
        <f t="shared" ca="1" si="9172"/>
        <v>1.86</v>
      </c>
      <c r="AR1509" s="199">
        <f t="shared" ca="1" si="9172"/>
        <v>1.76</v>
      </c>
      <c r="AS1509" s="199">
        <f t="shared" ca="1" si="9172"/>
        <v>1.65</v>
      </c>
      <c r="AT1509" s="199">
        <f t="shared" ca="1" si="9172"/>
        <v>1.55</v>
      </c>
      <c r="AU1509" s="199">
        <f t="shared" ca="1" si="9172"/>
        <v>1.44</v>
      </c>
      <c r="AV1509" s="199">
        <f t="shared" ca="1" si="9172"/>
        <v>1.33</v>
      </c>
      <c r="AW1509" s="199">
        <f t="shared" ca="1" si="9172"/>
        <v>1.21</v>
      </c>
      <c r="AX1509" s="199">
        <f t="shared" ca="1" si="9172"/>
        <v>1.1000000000000001</v>
      </c>
      <c r="AY1509" s="199">
        <f t="shared" ca="1" si="9172"/>
        <v>0.98</v>
      </c>
      <c r="AZ1509" s="199">
        <f t="shared" ca="1" si="9172"/>
        <v>0.84</v>
      </c>
      <c r="BA1509" s="199">
        <f t="shared" ca="1" si="9172"/>
        <v>0.72</v>
      </c>
      <c r="BB1509" s="199">
        <f t="shared" ca="1" si="9172"/>
        <v>0.63</v>
      </c>
      <c r="BC1509" s="199">
        <f t="shared" ca="1" si="9172"/>
        <v>0.51</v>
      </c>
      <c r="BD1509" s="199">
        <f t="shared" ca="1" si="9172"/>
        <v>0.37</v>
      </c>
      <c r="BE1509" s="199">
        <f t="shared" ca="1" si="9172"/>
        <v>0.25</v>
      </c>
      <c r="BF1509" s="199">
        <f t="shared" ca="1" si="9172"/>
        <v>0.13</v>
      </c>
      <c r="BG1509" s="199">
        <f t="shared" ca="1" si="9172"/>
        <v>0</v>
      </c>
      <c r="BH1509" s="199">
        <f t="shared" ca="1" si="9172"/>
        <v>0</v>
      </c>
      <c r="BI1509" s="199">
        <f t="shared" ca="1" si="9172"/>
        <v>0</v>
      </c>
      <c r="BJ1509" s="199">
        <f t="shared" ca="1" si="9172"/>
        <v>0</v>
      </c>
      <c r="BK1509" s="199">
        <f t="shared" ca="1" si="9172"/>
        <v>0</v>
      </c>
      <c r="BL1509" s="199">
        <f t="shared" ca="1" si="9172"/>
        <v>0</v>
      </c>
      <c r="BM1509" s="199">
        <f t="shared" ca="1" si="9172"/>
        <v>0</v>
      </c>
      <c r="BN1509" s="199">
        <f t="shared" ca="1" si="9172"/>
        <v>0</v>
      </c>
      <c r="BO1509" s="199">
        <f t="shared" ca="1" si="9172"/>
        <v>0</v>
      </c>
      <c r="BP1509" s="199">
        <f t="shared" ca="1" si="9172"/>
        <v>0</v>
      </c>
      <c r="BQ1509" s="199">
        <f t="shared" ca="1" si="9172"/>
        <v>0</v>
      </c>
      <c r="BR1509" s="199">
        <f t="shared" ca="1" si="9172"/>
        <v>0</v>
      </c>
      <c r="BS1509" s="199">
        <f t="shared" ca="1" si="9172"/>
        <v>0</v>
      </c>
      <c r="BT1509" s="199">
        <f t="shared" ca="1" si="9172"/>
        <v>0</v>
      </c>
      <c r="BU1509" s="199">
        <f t="shared" ca="1" si="9172"/>
        <v>0</v>
      </c>
      <c r="BV1509" s="199">
        <f t="shared" ca="1" si="9172"/>
        <v>0</v>
      </c>
      <c r="BW1509" s="199">
        <f t="shared" ca="1" si="9172"/>
        <v>0</v>
      </c>
      <c r="BX1509" s="199">
        <f t="shared" ca="1" si="9172"/>
        <v>0</v>
      </c>
      <c r="BY1509" s="199">
        <f t="shared" ref="BY1509:CO1509" ca="1" si="9173">IFERROR(ROUND(BY1505/BY1506,2),0)</f>
        <v>0</v>
      </c>
      <c r="BZ1509" s="199">
        <f t="shared" ca="1" si="9173"/>
        <v>0</v>
      </c>
      <c r="CA1509" s="199">
        <f t="shared" ca="1" si="9173"/>
        <v>0</v>
      </c>
      <c r="CB1509" s="199">
        <f t="shared" ca="1" si="9173"/>
        <v>0</v>
      </c>
      <c r="CC1509" s="199">
        <f t="shared" ca="1" si="9173"/>
        <v>0</v>
      </c>
      <c r="CD1509" s="199">
        <f t="shared" ca="1" si="9173"/>
        <v>0</v>
      </c>
      <c r="CE1509" s="199">
        <f t="shared" ca="1" si="9173"/>
        <v>0</v>
      </c>
      <c r="CF1509" s="199">
        <f t="shared" ca="1" si="9173"/>
        <v>0</v>
      </c>
      <c r="CG1509" s="199">
        <f t="shared" ca="1" si="9173"/>
        <v>0</v>
      </c>
      <c r="CH1509" s="199">
        <f t="shared" ca="1" si="9173"/>
        <v>0</v>
      </c>
      <c r="CI1509" s="199">
        <f t="shared" ca="1" si="9173"/>
        <v>0</v>
      </c>
      <c r="CJ1509" s="199">
        <f t="shared" ca="1" si="9173"/>
        <v>0</v>
      </c>
      <c r="CK1509" s="199">
        <f t="shared" ca="1" si="9173"/>
        <v>0</v>
      </c>
      <c r="CL1509" s="199">
        <f t="shared" ca="1" si="9173"/>
        <v>0</v>
      </c>
      <c r="CM1509" s="199">
        <f t="shared" ca="1" si="9173"/>
        <v>0</v>
      </c>
      <c r="CN1509" s="199">
        <f t="shared" ca="1" si="9173"/>
        <v>0</v>
      </c>
      <c r="CO1509" s="199">
        <f t="shared" ca="1" si="9173"/>
        <v>0</v>
      </c>
    </row>
    <row r="1510" spans="1:93">
      <c r="A1510" s="10"/>
      <c r="B1510" s="10"/>
      <c r="C1510" s="17"/>
      <c r="D1510" s="17"/>
      <c r="E1510" s="17"/>
      <c r="F1510" s="10"/>
      <c r="G1510" s="11"/>
      <c r="H1510" s="17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  <c r="AY1510" s="10"/>
      <c r="AZ1510" s="10"/>
      <c r="BA1510" s="10"/>
      <c r="BB1510" s="10"/>
      <c r="BC1510" s="10"/>
      <c r="BD1510" s="10"/>
      <c r="BE1510" s="10"/>
      <c r="BF1510" s="10"/>
      <c r="BG1510" s="10"/>
      <c r="BH1510" s="10"/>
      <c r="BI1510" s="10"/>
      <c r="BJ1510" s="10"/>
      <c r="BK1510" s="10"/>
      <c r="BL1510" s="10"/>
      <c r="BM1510" s="10"/>
      <c r="BN1510" s="10"/>
      <c r="BO1510" s="10"/>
      <c r="BP1510" s="10"/>
      <c r="BQ1510" s="10"/>
      <c r="BR1510" s="10"/>
      <c r="BS1510" s="10"/>
      <c r="BT1510" s="10"/>
      <c r="BU1510" s="10"/>
      <c r="BV1510" s="10"/>
      <c r="BW1510" s="10"/>
      <c r="BX1510" s="10"/>
      <c r="BY1510" s="10"/>
      <c r="BZ1510" s="10"/>
      <c r="CA1510" s="10"/>
      <c r="CB1510" s="10"/>
      <c r="CC1510" s="10"/>
      <c r="CD1510" s="10"/>
      <c r="CE1510" s="10"/>
      <c r="CF1510" s="10"/>
      <c r="CG1510" s="10"/>
      <c r="CH1510" s="10"/>
      <c r="CI1510" s="10"/>
      <c r="CJ1510" s="10"/>
      <c r="CK1510" s="10"/>
      <c r="CL1510" s="10"/>
      <c r="CM1510" s="10"/>
      <c r="CN1510" s="10"/>
      <c r="CO1510" s="10"/>
    </row>
    <row r="1511" spans="1:93">
      <c r="A1511" s="10"/>
      <c r="B1511" s="10"/>
      <c r="C1511" s="17" t="s">
        <v>248</v>
      </c>
      <c r="D1511" s="10"/>
      <c r="E1511" s="195">
        <f t="array" aca="1" ref="E1511" ca="1">AVERAGE(IF(L1509:CO1509&lt;&gt;0,L1509:CO1509))</f>
        <v>1.6879999999999999</v>
      </c>
      <c r="F1511" s="10"/>
      <c r="G1511" s="11" t="s">
        <v>93</v>
      </c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  <c r="AY1511" s="10"/>
      <c r="AZ1511" s="10"/>
      <c r="BA1511" s="10"/>
      <c r="BB1511" s="10"/>
      <c r="BC1511" s="10"/>
      <c r="BD1511" s="10"/>
      <c r="BE1511" s="10"/>
      <c r="BF1511" s="10"/>
      <c r="BG1511" s="10"/>
      <c r="BH1511" s="10"/>
      <c r="BI1511" s="10"/>
      <c r="BJ1511" s="10"/>
      <c r="BK1511" s="10"/>
      <c r="BL1511" s="10"/>
      <c r="BM1511" s="10"/>
      <c r="BN1511" s="10"/>
      <c r="BO1511" s="10"/>
      <c r="BP1511" s="10"/>
      <c r="BQ1511" s="10"/>
      <c r="BR1511" s="10"/>
      <c r="BS1511" s="10"/>
      <c r="BT1511" s="10"/>
      <c r="BU1511" s="10"/>
      <c r="BV1511" s="10"/>
      <c r="BW1511" s="10"/>
      <c r="BX1511" s="10"/>
      <c r="BY1511" s="10"/>
      <c r="BZ1511" s="10"/>
      <c r="CA1511" s="10"/>
      <c r="CB1511" s="10"/>
      <c r="CC1511" s="10"/>
      <c r="CD1511" s="10"/>
      <c r="CE1511" s="10"/>
      <c r="CF1511" s="10"/>
      <c r="CG1511" s="10"/>
      <c r="CH1511" s="10"/>
      <c r="CI1511" s="10"/>
      <c r="CJ1511" s="10"/>
      <c r="CK1511" s="10"/>
      <c r="CL1511" s="10"/>
      <c r="CM1511" s="10"/>
      <c r="CN1511" s="10"/>
      <c r="CO1511" s="10"/>
    </row>
    <row r="1512" spans="1:93">
      <c r="A1512" s="10"/>
      <c r="B1512" s="10"/>
      <c r="C1512" s="17" t="s">
        <v>251</v>
      </c>
      <c r="D1512" s="10"/>
      <c r="E1512" s="195">
        <f t="array" aca="1" ref="E1512" ca="1">MAX(IF(L1509:CO1509&lt;&gt;0,L1509:CO1509))</f>
        <v>3.28</v>
      </c>
      <c r="F1512" s="10"/>
      <c r="G1512" s="11" t="s">
        <v>93</v>
      </c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  <c r="AY1512" s="10"/>
      <c r="AZ1512" s="10"/>
      <c r="BA1512" s="10"/>
      <c r="BB1512" s="10"/>
      <c r="BC1512" s="10"/>
      <c r="BD1512" s="10"/>
      <c r="BE1512" s="10"/>
      <c r="BF1512" s="10"/>
      <c r="BG1512" s="10"/>
      <c r="BH1512" s="10"/>
      <c r="BI1512" s="10"/>
      <c r="BJ1512" s="10"/>
      <c r="BK1512" s="10"/>
      <c r="BL1512" s="10"/>
      <c r="BM1512" s="10"/>
      <c r="BN1512" s="10"/>
      <c r="BO1512" s="10"/>
      <c r="BP1512" s="10"/>
      <c r="BQ1512" s="10"/>
      <c r="BR1512" s="10"/>
      <c r="BS1512" s="10"/>
      <c r="BT1512" s="10"/>
      <c r="BU1512" s="10"/>
      <c r="BV1512" s="10"/>
      <c r="BW1512" s="10"/>
      <c r="BX1512" s="10"/>
      <c r="BY1512" s="10"/>
      <c r="BZ1512" s="10"/>
      <c r="CA1512" s="10"/>
      <c r="CB1512" s="10"/>
      <c r="CC1512" s="10"/>
      <c r="CD1512" s="10"/>
      <c r="CE1512" s="10"/>
      <c r="CF1512" s="10"/>
      <c r="CG1512" s="10"/>
      <c r="CH1512" s="10"/>
      <c r="CI1512" s="10"/>
      <c r="CJ1512" s="10"/>
      <c r="CK1512" s="10"/>
      <c r="CL1512" s="10"/>
      <c r="CM1512" s="10"/>
      <c r="CN1512" s="10"/>
      <c r="CO1512" s="10"/>
    </row>
    <row r="1513" spans="1:93">
      <c r="A1513" s="10"/>
      <c r="B1513" s="10"/>
      <c r="C1513" s="10"/>
      <c r="D1513" s="10"/>
      <c r="E1513" s="10"/>
      <c r="F1513" s="10"/>
      <c r="G1513" s="11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  <c r="AY1513" s="10"/>
      <c r="AZ1513" s="10"/>
      <c r="BA1513" s="10"/>
      <c r="BB1513" s="10"/>
      <c r="BC1513" s="10"/>
      <c r="BD1513" s="10"/>
      <c r="BE1513" s="10"/>
      <c r="BF1513" s="10"/>
      <c r="BG1513" s="10"/>
      <c r="BH1513" s="10"/>
      <c r="BI1513" s="10"/>
      <c r="BJ1513" s="10"/>
      <c r="BK1513" s="10"/>
      <c r="BL1513" s="10"/>
      <c r="BM1513" s="10"/>
      <c r="BN1513" s="10"/>
      <c r="BO1513" s="10"/>
      <c r="BP1513" s="10"/>
      <c r="BQ1513" s="10"/>
      <c r="BR1513" s="10"/>
      <c r="BS1513" s="10"/>
      <c r="BT1513" s="10"/>
      <c r="BU1513" s="10"/>
      <c r="BV1513" s="10"/>
      <c r="BW1513" s="10"/>
      <c r="BX1513" s="10"/>
      <c r="BY1513" s="10"/>
      <c r="BZ1513" s="10"/>
      <c r="CA1513" s="10"/>
      <c r="CB1513" s="10"/>
      <c r="CC1513" s="10"/>
      <c r="CD1513" s="10"/>
      <c r="CE1513" s="10"/>
      <c r="CF1513" s="10"/>
      <c r="CG1513" s="10"/>
      <c r="CH1513" s="10"/>
      <c r="CI1513" s="10"/>
      <c r="CJ1513" s="10"/>
      <c r="CK1513" s="10"/>
      <c r="CL1513" s="10"/>
      <c r="CM1513" s="10"/>
      <c r="CN1513" s="10"/>
      <c r="CO1513" s="10"/>
    </row>
    <row r="1514" spans="1:93">
      <c r="A1514" s="10"/>
      <c r="B1514" s="10"/>
      <c r="C1514" s="198" t="s">
        <v>427</v>
      </c>
      <c r="D1514" s="10"/>
      <c r="E1514" s="10"/>
      <c r="F1514" s="10"/>
      <c r="G1514" s="11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  <c r="AY1514" s="10"/>
      <c r="AZ1514" s="10"/>
      <c r="BA1514" s="10"/>
      <c r="BB1514" s="10"/>
      <c r="BC1514" s="10"/>
      <c r="BD1514" s="10"/>
      <c r="BE1514" s="10"/>
      <c r="BF1514" s="10"/>
      <c r="BG1514" s="10"/>
      <c r="BH1514" s="10"/>
      <c r="BI1514" s="10"/>
      <c r="BJ1514" s="10"/>
      <c r="BK1514" s="10"/>
      <c r="BL1514" s="10"/>
      <c r="BM1514" s="10"/>
      <c r="BN1514" s="10"/>
      <c r="BO1514" s="10"/>
      <c r="BP1514" s="10"/>
      <c r="BQ1514" s="10"/>
      <c r="BR1514" s="10"/>
      <c r="BS1514" s="10"/>
      <c r="BT1514" s="10"/>
      <c r="BU1514" s="10"/>
      <c r="BV1514" s="10"/>
      <c r="BW1514" s="10"/>
      <c r="BX1514" s="10"/>
      <c r="BY1514" s="10"/>
      <c r="BZ1514" s="10"/>
      <c r="CA1514" s="10"/>
      <c r="CB1514" s="10"/>
      <c r="CC1514" s="10"/>
      <c r="CD1514" s="10"/>
      <c r="CE1514" s="10"/>
      <c r="CF1514" s="10"/>
      <c r="CG1514" s="10"/>
      <c r="CH1514" s="10"/>
      <c r="CI1514" s="10"/>
      <c r="CJ1514" s="10"/>
      <c r="CK1514" s="10"/>
      <c r="CL1514" s="10"/>
      <c r="CM1514" s="10"/>
      <c r="CN1514" s="10"/>
      <c r="CO1514" s="10"/>
    </row>
    <row r="1515" spans="1:93">
      <c r="A1515" s="10"/>
      <c r="B1515" s="10"/>
      <c r="C1515" s="17" t="s">
        <v>348</v>
      </c>
      <c r="D1515" s="10"/>
      <c r="E1515" s="10"/>
      <c r="F1515" s="10"/>
      <c r="G1515" s="11" t="str">
        <f>Monetary_Unit</f>
        <v>тыс. руб.</v>
      </c>
      <c r="H1515" s="10"/>
      <c r="I1515" s="10"/>
      <c r="J1515" s="10"/>
      <c r="K1515" s="10"/>
      <c r="L1515" s="52">
        <f t="shared" ref="L1515:BW1515" si="9174">Debt_EoP</f>
        <v>0</v>
      </c>
      <c r="M1515" s="52">
        <f t="shared" si="9174"/>
        <v>0</v>
      </c>
      <c r="N1515" s="52">
        <f t="shared" si="9174"/>
        <v>0</v>
      </c>
      <c r="O1515" s="52">
        <f t="shared" si="9174"/>
        <v>0</v>
      </c>
      <c r="P1515" s="52">
        <f t="shared" si="9174"/>
        <v>0</v>
      </c>
      <c r="Q1515" s="52">
        <f t="shared" si="9174"/>
        <v>0</v>
      </c>
      <c r="R1515" s="52">
        <f t="shared" si="9174"/>
        <v>0</v>
      </c>
      <c r="S1515" s="52">
        <f t="shared" si="9174"/>
        <v>93075.219462963287</v>
      </c>
      <c r="T1515" s="52">
        <f t="shared" si="9174"/>
        <v>379690.34390327823</v>
      </c>
      <c r="U1515" s="52">
        <f t="shared" si="9174"/>
        <v>669129.60368778696</v>
      </c>
      <c r="V1515" s="52">
        <f t="shared" si="9174"/>
        <v>961420.82617018488</v>
      </c>
      <c r="W1515" s="52">
        <f t="shared" si="9174"/>
        <v>1256592.112898397</v>
      </c>
      <c r="X1515" s="52">
        <f t="shared" si="9174"/>
        <v>1879104.5142084088</v>
      </c>
      <c r="Y1515" s="52">
        <f t="shared" si="9174"/>
        <v>2507750.7832903028</v>
      </c>
      <c r="Z1515" s="52">
        <f t="shared" si="9174"/>
        <v>3142591.3596369531</v>
      </c>
      <c r="AA1515" s="52">
        <f t="shared" si="9174"/>
        <v>3783687.2782761287</v>
      </c>
      <c r="AB1515" s="52">
        <f t="shared" si="9174"/>
        <v>4616063.5245886445</v>
      </c>
      <c r="AC1515" s="52">
        <f t="shared" si="9174"/>
        <v>4495805.9500073316</v>
      </c>
      <c r="AD1515" s="52">
        <f t="shared" si="9174"/>
        <v>4374168.0381170874</v>
      </c>
      <c r="AE1515" s="52">
        <f t="shared" si="9174"/>
        <v>4250828.5281117735</v>
      </c>
      <c r="AF1515" s="52">
        <f t="shared" si="9174"/>
        <v>4125222.4499160405</v>
      </c>
      <c r="AG1515" s="52">
        <f t="shared" si="9174"/>
        <v>3998161.2541356659</v>
      </c>
      <c r="AH1515" s="52">
        <f t="shared" si="9174"/>
        <v>3869598.1264479118</v>
      </c>
      <c r="AI1515" s="52">
        <f t="shared" si="9174"/>
        <v>3739236.5234453464</v>
      </c>
      <c r="AJ1515" s="52">
        <f t="shared" si="9174"/>
        <v>3606568.3681428847</v>
      </c>
      <c r="AK1515" s="52">
        <f t="shared" si="9174"/>
        <v>3472318.4487806205</v>
      </c>
      <c r="AL1515" s="52">
        <f t="shared" si="9174"/>
        <v>3336436.3859030483</v>
      </c>
      <c r="AM1515" s="52">
        <f t="shared" si="9174"/>
        <v>3198653.462726674</v>
      </c>
      <c r="AN1515" s="52">
        <f t="shared" si="9174"/>
        <v>3058682.3180184551</v>
      </c>
      <c r="AO1515" s="52">
        <f t="shared" si="9174"/>
        <v>2916779.6856331495</v>
      </c>
      <c r="AP1515" s="52">
        <f t="shared" si="9174"/>
        <v>2773109.6477034264</v>
      </c>
      <c r="AQ1515" s="52">
        <f t="shared" si="9174"/>
        <v>2627435.2942976062</v>
      </c>
      <c r="AR1515" s="52">
        <f t="shared" si="9174"/>
        <v>2479426.5311982608</v>
      </c>
      <c r="AS1515" s="52">
        <f t="shared" si="9174"/>
        <v>2329555.4519931669</v>
      </c>
      <c r="AT1515" s="52">
        <f t="shared" si="9174"/>
        <v>2177763.7585033504</v>
      </c>
      <c r="AU1515" s="52">
        <f t="shared" si="9174"/>
        <v>2023848.643856613</v>
      </c>
      <c r="AV1515" s="52">
        <f t="shared" si="9174"/>
        <v>1867515.0379988309</v>
      </c>
      <c r="AW1515" s="52">
        <f t="shared" si="9174"/>
        <v>1709164.0640122641</v>
      </c>
      <c r="AX1515" s="52">
        <f t="shared" si="9174"/>
        <v>1548733.0365677271</v>
      </c>
      <c r="AY1515" s="52">
        <f t="shared" si="9174"/>
        <v>1386057.7315221743</v>
      </c>
      <c r="AZ1515" s="52">
        <f t="shared" si="9174"/>
        <v>1220929.9150941351</v>
      </c>
      <c r="BA1515" s="52">
        <f t="shared" si="9174"/>
        <v>1053619.0083958807</v>
      </c>
      <c r="BB1515" s="52">
        <f t="shared" si="9174"/>
        <v>884057.62976388773</v>
      </c>
      <c r="BC1515" s="52">
        <f t="shared" si="9174"/>
        <v>712124.24751105381</v>
      </c>
      <c r="BD1515" s="52">
        <f t="shared" si="9174"/>
        <v>537736.13931138162</v>
      </c>
      <c r="BE1515" s="52">
        <f t="shared" si="9174"/>
        <v>360941.61383031344</v>
      </c>
      <c r="BF1515" s="52">
        <f t="shared" si="9174"/>
        <v>181720.95747018265</v>
      </c>
      <c r="BG1515" s="52">
        <f t="shared" si="9174"/>
        <v>0</v>
      </c>
      <c r="BH1515" s="52">
        <f t="shared" si="9174"/>
        <v>0</v>
      </c>
      <c r="BI1515" s="52">
        <f t="shared" si="9174"/>
        <v>0</v>
      </c>
      <c r="BJ1515" s="52">
        <f t="shared" si="9174"/>
        <v>0</v>
      </c>
      <c r="BK1515" s="52">
        <f t="shared" si="9174"/>
        <v>0</v>
      </c>
      <c r="BL1515" s="52">
        <f t="shared" si="9174"/>
        <v>0</v>
      </c>
      <c r="BM1515" s="52">
        <f t="shared" si="9174"/>
        <v>0</v>
      </c>
      <c r="BN1515" s="52">
        <f t="shared" si="9174"/>
        <v>0</v>
      </c>
      <c r="BO1515" s="52">
        <f t="shared" si="9174"/>
        <v>0</v>
      </c>
      <c r="BP1515" s="52">
        <f t="shared" si="9174"/>
        <v>0</v>
      </c>
      <c r="BQ1515" s="52">
        <f t="shared" si="9174"/>
        <v>0</v>
      </c>
      <c r="BR1515" s="52">
        <f t="shared" si="9174"/>
        <v>0</v>
      </c>
      <c r="BS1515" s="52">
        <f t="shared" si="9174"/>
        <v>0</v>
      </c>
      <c r="BT1515" s="52">
        <f t="shared" si="9174"/>
        <v>0</v>
      </c>
      <c r="BU1515" s="52">
        <f t="shared" si="9174"/>
        <v>0</v>
      </c>
      <c r="BV1515" s="52">
        <f t="shared" si="9174"/>
        <v>0</v>
      </c>
      <c r="BW1515" s="52">
        <f t="shared" si="9174"/>
        <v>0</v>
      </c>
      <c r="BX1515" s="52">
        <f t="shared" ref="BX1515:CO1515" si="9175">Debt_EoP</f>
        <v>0</v>
      </c>
      <c r="BY1515" s="52">
        <f t="shared" si="9175"/>
        <v>0</v>
      </c>
      <c r="BZ1515" s="52">
        <f t="shared" si="9175"/>
        <v>0</v>
      </c>
      <c r="CA1515" s="52">
        <f t="shared" si="9175"/>
        <v>0</v>
      </c>
      <c r="CB1515" s="52">
        <f t="shared" si="9175"/>
        <v>0</v>
      </c>
      <c r="CC1515" s="52">
        <f t="shared" si="9175"/>
        <v>0</v>
      </c>
      <c r="CD1515" s="52">
        <f t="shared" si="9175"/>
        <v>0</v>
      </c>
      <c r="CE1515" s="52">
        <f t="shared" si="9175"/>
        <v>0</v>
      </c>
      <c r="CF1515" s="52">
        <f t="shared" si="9175"/>
        <v>0</v>
      </c>
      <c r="CG1515" s="52">
        <f t="shared" si="9175"/>
        <v>0</v>
      </c>
      <c r="CH1515" s="52">
        <f t="shared" si="9175"/>
        <v>0</v>
      </c>
      <c r="CI1515" s="52">
        <f t="shared" si="9175"/>
        <v>0</v>
      </c>
      <c r="CJ1515" s="52">
        <f t="shared" si="9175"/>
        <v>0</v>
      </c>
      <c r="CK1515" s="52">
        <f t="shared" si="9175"/>
        <v>0</v>
      </c>
      <c r="CL1515" s="52">
        <f t="shared" si="9175"/>
        <v>0</v>
      </c>
      <c r="CM1515" s="52">
        <f t="shared" si="9175"/>
        <v>0</v>
      </c>
      <c r="CN1515" s="52">
        <f t="shared" si="9175"/>
        <v>0</v>
      </c>
      <c r="CO1515" s="52">
        <f t="shared" si="9175"/>
        <v>0</v>
      </c>
    </row>
    <row r="1516" spans="1:93">
      <c r="A1516" s="10"/>
      <c r="B1516" s="10"/>
      <c r="C1516" s="17" t="s">
        <v>431</v>
      </c>
      <c r="D1516" s="10"/>
      <c r="E1516" s="10"/>
      <c r="F1516" s="10"/>
      <c r="G1516" s="11" t="str">
        <f>Monetary_Unit</f>
        <v>тыс. руб.</v>
      </c>
      <c r="H1516" s="10"/>
      <c r="I1516" s="10"/>
      <c r="J1516" s="10"/>
      <c r="K1516" s="10"/>
      <c r="L1516" s="52">
        <f ca="1">Отчетность!L23</f>
        <v>31406.153379286916</v>
      </c>
      <c r="M1516" s="52">
        <f ca="1">Отчетность!M23</f>
        <v>63258.113569794448</v>
      </c>
      <c r="N1516" s="52">
        <f ca="1">Отчетность!N23</f>
        <v>95562.208749014782</v>
      </c>
      <c r="O1516" s="52">
        <f ca="1">Отчетность!O23</f>
        <v>128324.85692220709</v>
      </c>
      <c r="P1516" s="52">
        <f ca="1">Отчетность!P23</f>
        <v>403916.32273020229</v>
      </c>
      <c r="Q1516" s="52">
        <f ca="1">Отчетность!Q23</f>
        <v>682223.30329222989</v>
      </c>
      <c r="R1516" s="52">
        <f ca="1">Отчетность!R23</f>
        <v>963272.55567915109</v>
      </c>
      <c r="S1516" s="52">
        <f ca="1">Отчетность!S23</f>
        <v>1247830.0923526001</v>
      </c>
      <c r="T1516" s="52">
        <f ca="1">Отчетность!T23</f>
        <v>1541025.871140562</v>
      </c>
      <c r="U1516" s="52">
        <f ca="1">Отчетность!U23</f>
        <v>1840889.9595578967</v>
      </c>
      <c r="V1516" s="52">
        <f ca="1">Отчетность!V23</f>
        <v>2147570.6313816537</v>
      </c>
      <c r="W1516" s="52">
        <f ca="1">Отчетность!W23</f>
        <v>2461019.365830977</v>
      </c>
      <c r="X1516" s="52">
        <f ca="1">Отчетность!X23</f>
        <v>3107672.6239797669</v>
      </c>
      <c r="Y1516" s="52">
        <f ca="1">Отчетность!Y23</f>
        <v>3768627.898935548</v>
      </c>
      <c r="Z1516" s="52">
        <f ca="1">Отчетность!Z23</f>
        <v>4444471.8026250722</v>
      </c>
      <c r="AA1516" s="52">
        <f ca="1">Отчетность!AA23</f>
        <v>5134992.4963465398</v>
      </c>
      <c r="AB1516" s="52">
        <f ca="1">Отчетность!AB23</f>
        <v>6025459.4802389424</v>
      </c>
      <c r="AC1516" s="52">
        <f ca="1">Отчетность!AC23</f>
        <v>6072525.1062728716</v>
      </c>
      <c r="AD1516" s="52">
        <f ca="1">Отчетность!AD23</f>
        <v>5998895.6022910494</v>
      </c>
      <c r="AE1516" s="52">
        <f ca="1">Отчетность!AE23</f>
        <v>5787839.9901055926</v>
      </c>
      <c r="AF1516" s="52">
        <f ca="1">Отчетность!AF23</f>
        <v>5662638.0737715494</v>
      </c>
      <c r="AG1516" s="52">
        <f ca="1">Отчетность!AG23</f>
        <v>5607336.5098179411</v>
      </c>
      <c r="AH1516" s="52">
        <f ca="1">Отчетность!AH23</f>
        <v>5534914.5293516247</v>
      </c>
      <c r="AI1516" s="52">
        <f ca="1">Отчетность!AI23</f>
        <v>5299642.6929916674</v>
      </c>
      <c r="AJ1516" s="52">
        <f ca="1">Отчетность!AJ23</f>
        <v>5166841.0865220521</v>
      </c>
      <c r="AK1516" s="52">
        <f ca="1">Отчетность!AK23</f>
        <v>5116278.574711985</v>
      </c>
      <c r="AL1516" s="52">
        <f ca="1">Отчетность!AL23</f>
        <v>5045244.2040612549</v>
      </c>
      <c r="AM1516" s="52">
        <f ca="1">Отчетность!AM23</f>
        <v>4784121.7316195481</v>
      </c>
      <c r="AN1516" s="52">
        <f ca="1">Отчетность!AN23</f>
        <v>4643435.5312973065</v>
      </c>
      <c r="AO1516" s="52">
        <f ca="1">Отчетность!AO23</f>
        <v>4647467.4602134004</v>
      </c>
      <c r="AP1516" s="52">
        <f ca="1">Отчетность!AP23</f>
        <v>4714243.0460128831</v>
      </c>
      <c r="AQ1516" s="52">
        <f ca="1">Отчетность!AQ23</f>
        <v>4378231.532037667</v>
      </c>
      <c r="AR1516" s="52">
        <f ca="1">Отчетность!AR23</f>
        <v>4268542.0490633016</v>
      </c>
      <c r="AS1516" s="52">
        <f ca="1">Отчетность!AS23</f>
        <v>4374284.5015872512</v>
      </c>
      <c r="AT1516" s="52">
        <f ca="1">Отчетность!AT23</f>
        <v>4446232.9494563388</v>
      </c>
      <c r="AU1516" s="52">
        <f ca="1">Отчетность!AU23</f>
        <v>4099734.80913423</v>
      </c>
      <c r="AV1516" s="52">
        <f ca="1">Отчетность!AV23</f>
        <v>3988611.1889908435</v>
      </c>
      <c r="AW1516" s="52">
        <f ca="1">Отчетность!AW23</f>
        <v>3971893.3966555051</v>
      </c>
      <c r="AX1516" s="52">
        <f ca="1">Отчетность!AX23</f>
        <v>4008677.4250424257</v>
      </c>
      <c r="AY1516" s="52">
        <f ca="1">Отчетность!AY23</f>
        <v>3691125.0866787527</v>
      </c>
      <c r="AZ1516" s="52">
        <f ca="1">Отчетность!AZ23</f>
        <v>3607418.7402197095</v>
      </c>
      <c r="BA1516" s="52">
        <f ca="1">Отчетность!BA23</f>
        <v>3694865.5807184577</v>
      </c>
      <c r="BB1516" s="52">
        <f ca="1">Отчетность!BB23</f>
        <v>3736074.7976918928</v>
      </c>
      <c r="BC1516" s="52">
        <f ca="1">Отчетность!BC23</f>
        <v>3408774.1932447101</v>
      </c>
      <c r="BD1516" s="52">
        <f ca="1">Отчетность!BD23</f>
        <v>3324673.1585509432</v>
      </c>
      <c r="BE1516" s="52">
        <f ca="1">Отчетность!BE23</f>
        <v>3459851.0755171888</v>
      </c>
      <c r="BF1516" s="52">
        <f ca="1">Отчетность!BF23</f>
        <v>3546941.8639916885</v>
      </c>
      <c r="BG1516" s="52">
        <f ca="1">Отчетность!BG23</f>
        <v>3250782.4381630742</v>
      </c>
      <c r="BH1516" s="52">
        <f ca="1">Отчетность!BH23</f>
        <v>3207551.1094530798</v>
      </c>
      <c r="BI1516" s="52">
        <f ca="1">Отчетность!BI23</f>
        <v>3349438.7981130444</v>
      </c>
      <c r="BJ1516" s="52">
        <f ca="1">Отчетность!BJ23</f>
        <v>3441315.8731680298</v>
      </c>
      <c r="BK1516" s="52">
        <f ca="1">Отчетность!BK23</f>
        <v>3134612.7253744751</v>
      </c>
      <c r="BL1516" s="52">
        <f ca="1">Отчетность!BL23</f>
        <v>3090954.5154187307</v>
      </c>
      <c r="BM1516" s="52">
        <f ca="1">Отчетность!BM23</f>
        <v>3239820.3639570749</v>
      </c>
      <c r="BN1516" s="52">
        <f ca="1">Отчетность!BN23</f>
        <v>3336675.1743462412</v>
      </c>
      <c r="BO1516" s="52">
        <f ca="1">Отчетность!BO23</f>
        <v>3019006.5529729258</v>
      </c>
      <c r="BP1516" s="52">
        <f ca="1">Отчетность!BP23</f>
        <v>2974904.6669509327</v>
      </c>
      <c r="BQ1516" s="52">
        <f ca="1">Отчетность!BQ23</f>
        <v>3131027.8017627914</v>
      </c>
      <c r="BR1516" s="52">
        <f ca="1">Отчетность!BR23</f>
        <v>3233059.4568995056</v>
      </c>
      <c r="BS1516" s="52">
        <f ca="1">Отчетность!BS23</f>
        <v>2903986.7430032389</v>
      </c>
      <c r="BT1516" s="52">
        <f ca="1">Отчетность!BT23</f>
        <v>2859423.127571322</v>
      </c>
      <c r="BU1516" s="52">
        <f ca="1">Отчетность!BU23</f>
        <v>3023093.8370895283</v>
      </c>
      <c r="BV1516" s="52">
        <f ca="1">Отчетность!BV23</f>
        <v>3130509.4077158449</v>
      </c>
      <c r="BW1516" s="52">
        <f ca="1">Отчетность!BW23</f>
        <v>2789576.4345178297</v>
      </c>
      <c r="BX1516" s="52">
        <f ca="1">Отчетность!BX23</f>
        <v>2744533.5607985435</v>
      </c>
      <c r="BY1516" s="52">
        <f ca="1">Отчетность!BY23</f>
        <v>2916053.754168292</v>
      </c>
      <c r="BZ1516" s="52">
        <f ca="1">Отчетность!BZ23</f>
        <v>3029068.6031214036</v>
      </c>
      <c r="CA1516" s="52">
        <f ca="1">Отчетность!CA23</f>
        <v>2675800.9665284436</v>
      </c>
      <c r="CB1516" s="52">
        <f ca="1">Отчетность!CB23</f>
        <v>2630258.7021297128</v>
      </c>
      <c r="CC1516" s="52">
        <f ca="1">Отчетность!CC23</f>
        <v>2809942.3555662325</v>
      </c>
      <c r="CD1516" s="52">
        <f ca="1">Отчетность!CD23</f>
        <v>2928780.4508094499</v>
      </c>
      <c r="CE1516" s="52">
        <f ca="1">Отчетность!CE23</f>
        <v>2562684.7610847522</v>
      </c>
      <c r="CF1516" s="52">
        <f ca="1">Отчетность!CF23</f>
        <v>2516623.4584420533</v>
      </c>
      <c r="CG1516" s="52">
        <f ca="1">Отчетность!CG23</f>
        <v>2704797.1103480151</v>
      </c>
      <c r="CH1516" s="52">
        <f ca="1">Отчетность!CH23</f>
        <v>2829691.3817329416</v>
      </c>
      <c r="CI1516" s="52">
        <f ca="1">Отчетность!CI23</f>
        <v>2450254.5167512372</v>
      </c>
      <c r="CJ1516" s="52">
        <f ca="1">Отчетность!CJ23</f>
        <v>2403653.0560059352</v>
      </c>
      <c r="CK1516" s="52">
        <f ca="1">Отчетность!CK23</f>
        <v>2600656.3027893566</v>
      </c>
      <c r="CL1516" s="52">
        <f ca="1">Отчетность!CL23</f>
        <v>2731848.9937961116</v>
      </c>
      <c r="CM1516" s="52">
        <f ca="1">Отчетность!CM23</f>
        <v>2338537.3029464376</v>
      </c>
      <c r="CN1516" s="52">
        <f ca="1">Отчетность!CN23</f>
        <v>2291375.1777912057</v>
      </c>
      <c r="CO1516" s="52">
        <f ca="1">Отчетность!CO23</f>
        <v>2497561.2104499354</v>
      </c>
    </row>
    <row r="1517" spans="1:93">
      <c r="A1517" s="10"/>
      <c r="B1517" s="10"/>
      <c r="C1517" s="17" t="s">
        <v>432</v>
      </c>
      <c r="D1517" s="10"/>
      <c r="E1517" s="10"/>
      <c r="F1517" s="10"/>
      <c r="G1517" s="11" t="s">
        <v>28</v>
      </c>
      <c r="H1517" s="10"/>
      <c r="I1517" s="10"/>
      <c r="J1517" s="10"/>
      <c r="K1517" s="10"/>
      <c r="L1517" s="199">
        <f t="shared" ref="L1517" ca="1" si="9176">IFERROR(ROUND(L1515/L1516,2),0)</f>
        <v>0</v>
      </c>
      <c r="M1517" s="199">
        <f t="shared" ref="M1517:BX1517" ca="1" si="9177">IFERROR(ROUND(M1515/M1516,2),0)</f>
        <v>0</v>
      </c>
      <c r="N1517" s="199">
        <f t="shared" ca="1" si="9177"/>
        <v>0</v>
      </c>
      <c r="O1517" s="199">
        <f t="shared" ca="1" si="9177"/>
        <v>0</v>
      </c>
      <c r="P1517" s="199">
        <f t="shared" ca="1" si="9177"/>
        <v>0</v>
      </c>
      <c r="Q1517" s="199">
        <f t="shared" ca="1" si="9177"/>
        <v>0</v>
      </c>
      <c r="R1517" s="199">
        <f t="shared" ca="1" si="9177"/>
        <v>0</v>
      </c>
      <c r="S1517" s="199">
        <f t="shared" ca="1" si="9177"/>
        <v>7.0000000000000007E-2</v>
      </c>
      <c r="T1517" s="199">
        <f t="shared" ca="1" si="9177"/>
        <v>0.25</v>
      </c>
      <c r="U1517" s="199">
        <f t="shared" ca="1" si="9177"/>
        <v>0.36</v>
      </c>
      <c r="V1517" s="199">
        <f t="shared" ca="1" si="9177"/>
        <v>0.45</v>
      </c>
      <c r="W1517" s="199">
        <f t="shared" ca="1" si="9177"/>
        <v>0.51</v>
      </c>
      <c r="X1517" s="199">
        <f t="shared" ca="1" si="9177"/>
        <v>0.6</v>
      </c>
      <c r="Y1517" s="199">
        <f t="shared" ca="1" si="9177"/>
        <v>0.67</v>
      </c>
      <c r="Z1517" s="199">
        <f t="shared" ca="1" si="9177"/>
        <v>0.71</v>
      </c>
      <c r="AA1517" s="199">
        <f t="shared" ca="1" si="9177"/>
        <v>0.74</v>
      </c>
      <c r="AB1517" s="199">
        <f t="shared" ca="1" si="9177"/>
        <v>0.77</v>
      </c>
      <c r="AC1517" s="199">
        <f t="shared" ca="1" si="9177"/>
        <v>0.74</v>
      </c>
      <c r="AD1517" s="199">
        <f t="shared" ca="1" si="9177"/>
        <v>0.73</v>
      </c>
      <c r="AE1517" s="199">
        <f t="shared" ca="1" si="9177"/>
        <v>0.73</v>
      </c>
      <c r="AF1517" s="199">
        <f t="shared" ca="1" si="9177"/>
        <v>0.73</v>
      </c>
      <c r="AG1517" s="199">
        <f t="shared" ca="1" si="9177"/>
        <v>0.71</v>
      </c>
      <c r="AH1517" s="199">
        <f t="shared" ca="1" si="9177"/>
        <v>0.7</v>
      </c>
      <c r="AI1517" s="199">
        <f t="shared" ca="1" si="9177"/>
        <v>0.71</v>
      </c>
      <c r="AJ1517" s="199">
        <f t="shared" ca="1" si="9177"/>
        <v>0.7</v>
      </c>
      <c r="AK1517" s="199">
        <f t="shared" ca="1" si="9177"/>
        <v>0.68</v>
      </c>
      <c r="AL1517" s="199">
        <f t="shared" ca="1" si="9177"/>
        <v>0.66</v>
      </c>
      <c r="AM1517" s="199">
        <f t="shared" ca="1" si="9177"/>
        <v>0.67</v>
      </c>
      <c r="AN1517" s="199">
        <f t="shared" ca="1" si="9177"/>
        <v>0.66</v>
      </c>
      <c r="AO1517" s="199">
        <f t="shared" ca="1" si="9177"/>
        <v>0.63</v>
      </c>
      <c r="AP1517" s="199">
        <f t="shared" ca="1" si="9177"/>
        <v>0.59</v>
      </c>
      <c r="AQ1517" s="199">
        <f t="shared" ca="1" si="9177"/>
        <v>0.6</v>
      </c>
      <c r="AR1517" s="199">
        <f t="shared" ca="1" si="9177"/>
        <v>0.57999999999999996</v>
      </c>
      <c r="AS1517" s="199">
        <f t="shared" ca="1" si="9177"/>
        <v>0.53</v>
      </c>
      <c r="AT1517" s="199">
        <f t="shared" ca="1" si="9177"/>
        <v>0.49</v>
      </c>
      <c r="AU1517" s="199">
        <f t="shared" ca="1" si="9177"/>
        <v>0.49</v>
      </c>
      <c r="AV1517" s="199">
        <f t="shared" ca="1" si="9177"/>
        <v>0.47</v>
      </c>
      <c r="AW1517" s="199">
        <f t="shared" ca="1" si="9177"/>
        <v>0.43</v>
      </c>
      <c r="AX1517" s="199">
        <f t="shared" ca="1" si="9177"/>
        <v>0.39</v>
      </c>
      <c r="AY1517" s="199">
        <f t="shared" ca="1" si="9177"/>
        <v>0.38</v>
      </c>
      <c r="AZ1517" s="199">
        <f t="shared" ca="1" si="9177"/>
        <v>0.34</v>
      </c>
      <c r="BA1517" s="199">
        <f t="shared" ca="1" si="9177"/>
        <v>0.28999999999999998</v>
      </c>
      <c r="BB1517" s="199">
        <f t="shared" ca="1" si="9177"/>
        <v>0.24</v>
      </c>
      <c r="BC1517" s="199">
        <f t="shared" ca="1" si="9177"/>
        <v>0.21</v>
      </c>
      <c r="BD1517" s="199">
        <f t="shared" ca="1" si="9177"/>
        <v>0.16</v>
      </c>
      <c r="BE1517" s="199">
        <f t="shared" ca="1" si="9177"/>
        <v>0.1</v>
      </c>
      <c r="BF1517" s="199">
        <f t="shared" ca="1" si="9177"/>
        <v>0.05</v>
      </c>
      <c r="BG1517" s="199">
        <f t="shared" ca="1" si="9177"/>
        <v>0</v>
      </c>
      <c r="BH1517" s="199">
        <f t="shared" ca="1" si="9177"/>
        <v>0</v>
      </c>
      <c r="BI1517" s="199">
        <f t="shared" ca="1" si="9177"/>
        <v>0</v>
      </c>
      <c r="BJ1517" s="199">
        <f t="shared" ca="1" si="9177"/>
        <v>0</v>
      </c>
      <c r="BK1517" s="199">
        <f t="shared" ca="1" si="9177"/>
        <v>0</v>
      </c>
      <c r="BL1517" s="199">
        <f t="shared" ca="1" si="9177"/>
        <v>0</v>
      </c>
      <c r="BM1517" s="199">
        <f t="shared" ca="1" si="9177"/>
        <v>0</v>
      </c>
      <c r="BN1517" s="199">
        <f t="shared" ca="1" si="9177"/>
        <v>0</v>
      </c>
      <c r="BO1517" s="199">
        <f t="shared" ca="1" si="9177"/>
        <v>0</v>
      </c>
      <c r="BP1517" s="199">
        <f t="shared" ca="1" si="9177"/>
        <v>0</v>
      </c>
      <c r="BQ1517" s="199">
        <f t="shared" ca="1" si="9177"/>
        <v>0</v>
      </c>
      <c r="BR1517" s="199">
        <f t="shared" ca="1" si="9177"/>
        <v>0</v>
      </c>
      <c r="BS1517" s="199">
        <f t="shared" ca="1" si="9177"/>
        <v>0</v>
      </c>
      <c r="BT1517" s="199">
        <f t="shared" ca="1" si="9177"/>
        <v>0</v>
      </c>
      <c r="BU1517" s="199">
        <f t="shared" ca="1" si="9177"/>
        <v>0</v>
      </c>
      <c r="BV1517" s="199">
        <f t="shared" ca="1" si="9177"/>
        <v>0</v>
      </c>
      <c r="BW1517" s="199">
        <f t="shared" ca="1" si="9177"/>
        <v>0</v>
      </c>
      <c r="BX1517" s="199">
        <f t="shared" ca="1" si="9177"/>
        <v>0</v>
      </c>
      <c r="BY1517" s="199">
        <f t="shared" ref="BY1517:CO1517" ca="1" si="9178">IFERROR(ROUND(BY1515/BY1516,2),0)</f>
        <v>0</v>
      </c>
      <c r="BZ1517" s="199">
        <f t="shared" ca="1" si="9178"/>
        <v>0</v>
      </c>
      <c r="CA1517" s="199">
        <f t="shared" ca="1" si="9178"/>
        <v>0</v>
      </c>
      <c r="CB1517" s="199">
        <f t="shared" ca="1" si="9178"/>
        <v>0</v>
      </c>
      <c r="CC1517" s="199">
        <f t="shared" ca="1" si="9178"/>
        <v>0</v>
      </c>
      <c r="CD1517" s="199">
        <f t="shared" ca="1" si="9178"/>
        <v>0</v>
      </c>
      <c r="CE1517" s="199">
        <f t="shared" ca="1" si="9178"/>
        <v>0</v>
      </c>
      <c r="CF1517" s="199">
        <f t="shared" ca="1" si="9178"/>
        <v>0</v>
      </c>
      <c r="CG1517" s="199">
        <f t="shared" ca="1" si="9178"/>
        <v>0</v>
      </c>
      <c r="CH1517" s="199">
        <f t="shared" ca="1" si="9178"/>
        <v>0</v>
      </c>
      <c r="CI1517" s="199">
        <f t="shared" ca="1" si="9178"/>
        <v>0</v>
      </c>
      <c r="CJ1517" s="199">
        <f t="shared" ca="1" si="9178"/>
        <v>0</v>
      </c>
      <c r="CK1517" s="199">
        <f t="shared" ca="1" si="9178"/>
        <v>0</v>
      </c>
      <c r="CL1517" s="199">
        <f t="shared" ca="1" si="9178"/>
        <v>0</v>
      </c>
      <c r="CM1517" s="199">
        <f t="shared" ca="1" si="9178"/>
        <v>0</v>
      </c>
      <c r="CN1517" s="199">
        <f t="shared" ca="1" si="9178"/>
        <v>0</v>
      </c>
      <c r="CO1517" s="199">
        <f t="shared" ca="1" si="9178"/>
        <v>0</v>
      </c>
    </row>
    <row r="1518" spans="1:93">
      <c r="A1518" s="10"/>
      <c r="B1518" s="10"/>
      <c r="C1518" s="17"/>
      <c r="D1518" s="17"/>
      <c r="E1518" s="17"/>
      <c r="F1518" s="10"/>
      <c r="G1518" s="11"/>
      <c r="H1518" s="17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  <c r="AT1518" s="10"/>
      <c r="AU1518" s="10"/>
      <c r="AV1518" s="10"/>
      <c r="AW1518" s="10"/>
      <c r="AX1518" s="10"/>
      <c r="AY1518" s="10"/>
      <c r="AZ1518" s="10"/>
      <c r="BA1518" s="10"/>
      <c r="BB1518" s="10"/>
      <c r="BC1518" s="10"/>
      <c r="BD1518" s="10"/>
      <c r="BE1518" s="10"/>
      <c r="BF1518" s="10"/>
      <c r="BG1518" s="10"/>
      <c r="BH1518" s="10"/>
      <c r="BI1518" s="10"/>
      <c r="BJ1518" s="10"/>
      <c r="BK1518" s="10"/>
      <c r="BL1518" s="10"/>
      <c r="BM1518" s="10"/>
      <c r="BN1518" s="10"/>
      <c r="BO1518" s="10"/>
      <c r="BP1518" s="10"/>
      <c r="BQ1518" s="10"/>
      <c r="BR1518" s="10"/>
      <c r="BS1518" s="10"/>
      <c r="BT1518" s="10"/>
      <c r="BU1518" s="10"/>
      <c r="BV1518" s="10"/>
      <c r="BW1518" s="10"/>
      <c r="BX1518" s="10"/>
      <c r="BY1518" s="10"/>
      <c r="BZ1518" s="10"/>
      <c r="CA1518" s="10"/>
      <c r="CB1518" s="10"/>
      <c r="CC1518" s="10"/>
      <c r="CD1518" s="10"/>
      <c r="CE1518" s="10"/>
      <c r="CF1518" s="10"/>
      <c r="CG1518" s="10"/>
      <c r="CH1518" s="10"/>
      <c r="CI1518" s="10"/>
      <c r="CJ1518" s="10"/>
      <c r="CK1518" s="10"/>
      <c r="CL1518" s="10"/>
      <c r="CM1518" s="10"/>
      <c r="CN1518" s="10"/>
      <c r="CO1518" s="10"/>
    </row>
    <row r="1519" spans="1:93">
      <c r="A1519" s="10"/>
      <c r="B1519" s="10"/>
      <c r="C1519" s="17" t="s">
        <v>248</v>
      </c>
      <c r="D1519" s="10"/>
      <c r="E1519" s="195">
        <f t="array" aca="1" ref="E1519" ca="1">AVERAGE(IF(L1517:CO1517&lt;&gt;0,L1517:CO1517))</f>
        <v>0.5129999999999999</v>
      </c>
      <c r="F1519" s="10"/>
      <c r="G1519" s="11" t="s">
        <v>93</v>
      </c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  <c r="AX1519" s="10"/>
      <c r="AY1519" s="10"/>
      <c r="AZ1519" s="10"/>
      <c r="BA1519" s="10"/>
      <c r="BB1519" s="10"/>
      <c r="BC1519" s="10"/>
      <c r="BD1519" s="10"/>
      <c r="BE1519" s="10"/>
      <c r="BF1519" s="10"/>
      <c r="BG1519" s="10"/>
      <c r="BH1519" s="10"/>
      <c r="BI1519" s="10"/>
      <c r="BJ1519" s="10"/>
      <c r="BK1519" s="10"/>
      <c r="BL1519" s="10"/>
      <c r="BM1519" s="10"/>
      <c r="BN1519" s="10"/>
      <c r="BO1519" s="10"/>
      <c r="BP1519" s="10"/>
      <c r="BQ1519" s="10"/>
      <c r="BR1519" s="10"/>
      <c r="BS1519" s="10"/>
      <c r="BT1519" s="10"/>
      <c r="BU1519" s="10"/>
      <c r="BV1519" s="10"/>
      <c r="BW1519" s="10"/>
      <c r="BX1519" s="10"/>
      <c r="BY1519" s="10"/>
      <c r="BZ1519" s="10"/>
      <c r="CA1519" s="10"/>
      <c r="CB1519" s="10"/>
      <c r="CC1519" s="10"/>
      <c r="CD1519" s="10"/>
      <c r="CE1519" s="10"/>
      <c r="CF1519" s="10"/>
      <c r="CG1519" s="10"/>
      <c r="CH1519" s="10"/>
      <c r="CI1519" s="10"/>
      <c r="CJ1519" s="10"/>
      <c r="CK1519" s="10"/>
      <c r="CL1519" s="10"/>
      <c r="CM1519" s="10"/>
      <c r="CN1519" s="10"/>
      <c r="CO1519" s="10"/>
    </row>
    <row r="1520" spans="1:93">
      <c r="A1520" s="10"/>
      <c r="B1520" s="10"/>
      <c r="C1520" s="17" t="s">
        <v>251</v>
      </c>
      <c r="D1520" s="10"/>
      <c r="E1520" s="195">
        <f t="array" aca="1" ref="E1520" ca="1">MAX(IF(L1517:CO1517&lt;&gt;0,L1517:CO1517))</f>
        <v>0.77</v>
      </c>
      <c r="F1520" s="10"/>
      <c r="G1520" s="11" t="s">
        <v>93</v>
      </c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  <c r="AX1520" s="10"/>
      <c r="AY1520" s="10"/>
      <c r="AZ1520" s="10"/>
      <c r="BA1520" s="10"/>
      <c r="BB1520" s="10"/>
      <c r="BC1520" s="10"/>
      <c r="BD1520" s="10"/>
      <c r="BE1520" s="10"/>
      <c r="BF1520" s="10"/>
      <c r="BG1520" s="10"/>
      <c r="BH1520" s="10"/>
      <c r="BI1520" s="10"/>
      <c r="BJ1520" s="10"/>
      <c r="BK1520" s="10"/>
      <c r="BL1520" s="10"/>
      <c r="BM1520" s="10"/>
      <c r="BN1520" s="10"/>
      <c r="BO1520" s="10"/>
      <c r="BP1520" s="10"/>
      <c r="BQ1520" s="10"/>
      <c r="BR1520" s="10"/>
      <c r="BS1520" s="10"/>
      <c r="BT1520" s="10"/>
      <c r="BU1520" s="10"/>
      <c r="BV1520" s="10"/>
      <c r="BW1520" s="10"/>
      <c r="BX1520" s="10"/>
      <c r="BY1520" s="10"/>
      <c r="BZ1520" s="10"/>
      <c r="CA1520" s="10"/>
      <c r="CB1520" s="10"/>
      <c r="CC1520" s="10"/>
      <c r="CD1520" s="10"/>
      <c r="CE1520" s="10"/>
      <c r="CF1520" s="10"/>
      <c r="CG1520" s="10"/>
      <c r="CH1520" s="10"/>
      <c r="CI1520" s="10"/>
      <c r="CJ1520" s="10"/>
      <c r="CK1520" s="10"/>
      <c r="CL1520" s="10"/>
      <c r="CM1520" s="10"/>
      <c r="CN1520" s="10"/>
      <c r="CO1520" s="10"/>
    </row>
    <row r="1521" spans="1:93">
      <c r="A1521" s="10"/>
      <c r="B1521" s="10"/>
      <c r="C1521" s="10"/>
      <c r="D1521" s="10"/>
      <c r="E1521" s="10"/>
      <c r="F1521" s="10"/>
      <c r="G1521" s="11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  <c r="AX1521" s="10"/>
      <c r="AY1521" s="10"/>
      <c r="AZ1521" s="10"/>
      <c r="BA1521" s="10"/>
      <c r="BB1521" s="10"/>
      <c r="BC1521" s="10"/>
      <c r="BD1521" s="10"/>
      <c r="BE1521" s="10"/>
      <c r="BF1521" s="10"/>
      <c r="BG1521" s="10"/>
      <c r="BH1521" s="10"/>
      <c r="BI1521" s="10"/>
      <c r="BJ1521" s="10"/>
      <c r="BK1521" s="10"/>
      <c r="BL1521" s="10"/>
      <c r="BM1521" s="10"/>
      <c r="BN1521" s="10"/>
      <c r="BO1521" s="10"/>
      <c r="BP1521" s="10"/>
      <c r="BQ1521" s="10"/>
      <c r="BR1521" s="10"/>
      <c r="BS1521" s="10"/>
      <c r="BT1521" s="10"/>
      <c r="BU1521" s="10"/>
      <c r="BV1521" s="10"/>
      <c r="BW1521" s="10"/>
      <c r="BX1521" s="10"/>
      <c r="BY1521" s="10"/>
      <c r="BZ1521" s="10"/>
      <c r="CA1521" s="10"/>
      <c r="CB1521" s="10"/>
      <c r="CC1521" s="10"/>
      <c r="CD1521" s="10"/>
      <c r="CE1521" s="10"/>
      <c r="CF1521" s="10"/>
      <c r="CG1521" s="10"/>
      <c r="CH1521" s="10"/>
      <c r="CI1521" s="10"/>
      <c r="CJ1521" s="10"/>
      <c r="CK1521" s="10"/>
      <c r="CL1521" s="10"/>
      <c r="CM1521" s="10"/>
      <c r="CN1521" s="10"/>
      <c r="CO1521" s="10"/>
    </row>
    <row r="1522" spans="1:93">
      <c r="A1522" s="10"/>
      <c r="B1522" s="10"/>
      <c r="C1522" s="198" t="s">
        <v>252</v>
      </c>
      <c r="D1522" s="10"/>
      <c r="E1522" s="10"/>
      <c r="F1522" s="10"/>
      <c r="G1522" s="11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  <c r="AX1522" s="10"/>
      <c r="AY1522" s="10"/>
      <c r="AZ1522" s="10"/>
      <c r="BA1522" s="10"/>
      <c r="BB1522" s="10"/>
      <c r="BC1522" s="10"/>
      <c r="BD1522" s="10"/>
      <c r="BE1522" s="10"/>
      <c r="BF1522" s="10"/>
      <c r="BG1522" s="10"/>
      <c r="BH1522" s="10"/>
      <c r="BI1522" s="10"/>
      <c r="BJ1522" s="10"/>
      <c r="BK1522" s="10"/>
      <c r="BL1522" s="10"/>
      <c r="BM1522" s="10"/>
      <c r="BN1522" s="10"/>
      <c r="BO1522" s="10"/>
      <c r="BP1522" s="10"/>
      <c r="BQ1522" s="10"/>
      <c r="BR1522" s="10"/>
      <c r="BS1522" s="10"/>
      <c r="BT1522" s="10"/>
      <c r="BU1522" s="10"/>
      <c r="BV1522" s="10"/>
      <c r="BW1522" s="10"/>
      <c r="BX1522" s="10"/>
      <c r="BY1522" s="10"/>
      <c r="BZ1522" s="10"/>
      <c r="CA1522" s="10"/>
      <c r="CB1522" s="10"/>
      <c r="CC1522" s="10"/>
      <c r="CD1522" s="10"/>
      <c r="CE1522" s="10"/>
      <c r="CF1522" s="10"/>
      <c r="CG1522" s="10"/>
      <c r="CH1522" s="10"/>
      <c r="CI1522" s="10"/>
      <c r="CJ1522" s="10"/>
      <c r="CK1522" s="10"/>
      <c r="CL1522" s="10"/>
      <c r="CM1522" s="10"/>
      <c r="CN1522" s="10"/>
      <c r="CO1522" s="10"/>
    </row>
    <row r="1523" spans="1:93">
      <c r="A1523" s="10"/>
      <c r="B1523" s="10"/>
      <c r="C1523" s="17" t="s">
        <v>253</v>
      </c>
      <c r="D1523" s="10"/>
      <c r="E1523" s="10"/>
      <c r="F1523" s="10"/>
      <c r="G1523" s="11" t="s">
        <v>45</v>
      </c>
      <c r="H1523" s="10"/>
      <c r="I1523" s="10"/>
      <c r="J1523" s="10"/>
      <c r="K1523" s="10"/>
      <c r="L1523" s="468">
        <f>L1392</f>
        <v>2025</v>
      </c>
      <c r="M1523" s="468">
        <f t="shared" ref="M1523:BX1523" si="9179">M1392</f>
        <v>2026</v>
      </c>
      <c r="N1523" s="468">
        <f t="shared" si="9179"/>
        <v>2027</v>
      </c>
      <c r="O1523" s="468">
        <f t="shared" si="9179"/>
        <v>2028</v>
      </c>
      <c r="P1523" s="468">
        <f t="shared" si="9179"/>
        <v>2029</v>
      </c>
      <c r="Q1523" s="468">
        <f t="shared" si="9179"/>
        <v>2030</v>
      </c>
      <c r="R1523" s="468">
        <f t="shared" si="9179"/>
        <v>2031</v>
      </c>
      <c r="S1523" s="468">
        <f t="shared" si="9179"/>
        <v>2032</v>
      </c>
      <c r="T1523" s="468">
        <f t="shared" si="9179"/>
        <v>2033</v>
      </c>
      <c r="U1523" s="468">
        <f t="shared" si="9179"/>
        <v>2034</v>
      </c>
      <c r="V1523" s="468">
        <f t="shared" si="9179"/>
        <v>2035</v>
      </c>
      <c r="W1523" s="468">
        <f t="shared" si="9179"/>
        <v>2036</v>
      </c>
      <c r="X1523" s="468">
        <f t="shared" si="9179"/>
        <v>2037</v>
      </c>
      <c r="Y1523" s="468">
        <f t="shared" si="9179"/>
        <v>2038</v>
      </c>
      <c r="Z1523" s="468">
        <f t="shared" si="9179"/>
        <v>2039</v>
      </c>
      <c r="AA1523" s="468">
        <f t="shared" si="9179"/>
        <v>2040</v>
      </c>
      <c r="AB1523" s="468">
        <f t="shared" si="9179"/>
        <v>2041</v>
      </c>
      <c r="AC1523" s="468">
        <f t="shared" si="9179"/>
        <v>2042</v>
      </c>
      <c r="AD1523" s="468">
        <f t="shared" si="9179"/>
        <v>2043</v>
      </c>
      <c r="AE1523" s="468">
        <f t="shared" si="9179"/>
        <v>2044</v>
      </c>
      <c r="AF1523" s="468">
        <f t="shared" si="9179"/>
        <v>2045</v>
      </c>
      <c r="AG1523" s="468">
        <f t="shared" si="9179"/>
        <v>2046</v>
      </c>
      <c r="AH1523" s="468">
        <f t="shared" si="9179"/>
        <v>2047</v>
      </c>
      <c r="AI1523" s="468">
        <f t="shared" si="9179"/>
        <v>2048</v>
      </c>
      <c r="AJ1523" s="468">
        <f t="shared" si="9179"/>
        <v>2049</v>
      </c>
      <c r="AK1523" s="468">
        <f t="shared" si="9179"/>
        <v>0</v>
      </c>
      <c r="AL1523" s="468">
        <f t="shared" si="9179"/>
        <v>0</v>
      </c>
      <c r="AM1523" s="468">
        <f t="shared" si="9179"/>
        <v>0</v>
      </c>
      <c r="AN1523" s="468">
        <f t="shared" si="9179"/>
        <v>0</v>
      </c>
      <c r="AO1523" s="468">
        <f t="shared" si="9179"/>
        <v>0</v>
      </c>
      <c r="AP1523" s="468">
        <f t="shared" si="9179"/>
        <v>0</v>
      </c>
      <c r="AQ1523" s="468">
        <f t="shared" si="9179"/>
        <v>0</v>
      </c>
      <c r="AR1523" s="468">
        <f t="shared" si="9179"/>
        <v>0</v>
      </c>
      <c r="AS1523" s="468">
        <f t="shared" si="9179"/>
        <v>0</v>
      </c>
      <c r="AT1523" s="468">
        <f t="shared" si="9179"/>
        <v>0</v>
      </c>
      <c r="AU1523" s="468">
        <f t="shared" si="9179"/>
        <v>0</v>
      </c>
      <c r="AV1523" s="468">
        <f t="shared" si="9179"/>
        <v>0</v>
      </c>
      <c r="AW1523" s="468">
        <f t="shared" si="9179"/>
        <v>0</v>
      </c>
      <c r="AX1523" s="468">
        <f t="shared" si="9179"/>
        <v>0</v>
      </c>
      <c r="AY1523" s="468">
        <f t="shared" si="9179"/>
        <v>0</v>
      </c>
      <c r="AZ1523" s="468">
        <f t="shared" si="9179"/>
        <v>0</v>
      </c>
      <c r="BA1523" s="468">
        <f t="shared" si="9179"/>
        <v>0</v>
      </c>
      <c r="BB1523" s="468">
        <f t="shared" si="9179"/>
        <v>0</v>
      </c>
      <c r="BC1523" s="468">
        <f t="shared" si="9179"/>
        <v>0</v>
      </c>
      <c r="BD1523" s="468">
        <f t="shared" si="9179"/>
        <v>0</v>
      </c>
      <c r="BE1523" s="468">
        <f t="shared" si="9179"/>
        <v>0</v>
      </c>
      <c r="BF1523" s="468">
        <f t="shared" si="9179"/>
        <v>0</v>
      </c>
      <c r="BG1523" s="468">
        <f t="shared" si="9179"/>
        <v>0</v>
      </c>
      <c r="BH1523" s="468">
        <f t="shared" si="9179"/>
        <v>0</v>
      </c>
      <c r="BI1523" s="468">
        <f t="shared" si="9179"/>
        <v>0</v>
      </c>
      <c r="BJ1523" s="468">
        <f t="shared" si="9179"/>
        <v>0</v>
      </c>
      <c r="BK1523" s="468">
        <f t="shared" si="9179"/>
        <v>0</v>
      </c>
      <c r="BL1523" s="468">
        <f t="shared" si="9179"/>
        <v>0</v>
      </c>
      <c r="BM1523" s="468">
        <f t="shared" si="9179"/>
        <v>0</v>
      </c>
      <c r="BN1523" s="468">
        <f t="shared" si="9179"/>
        <v>0</v>
      </c>
      <c r="BO1523" s="468">
        <f t="shared" si="9179"/>
        <v>0</v>
      </c>
      <c r="BP1523" s="468">
        <f t="shared" si="9179"/>
        <v>0</v>
      </c>
      <c r="BQ1523" s="468">
        <f t="shared" si="9179"/>
        <v>0</v>
      </c>
      <c r="BR1523" s="468">
        <f t="shared" si="9179"/>
        <v>0</v>
      </c>
      <c r="BS1523" s="468">
        <f t="shared" si="9179"/>
        <v>0</v>
      </c>
      <c r="BT1523" s="468">
        <f t="shared" si="9179"/>
        <v>0</v>
      </c>
      <c r="BU1523" s="468">
        <f t="shared" si="9179"/>
        <v>0</v>
      </c>
      <c r="BV1523" s="468">
        <f t="shared" si="9179"/>
        <v>0</v>
      </c>
      <c r="BW1523" s="468">
        <f t="shared" si="9179"/>
        <v>0</v>
      </c>
      <c r="BX1523" s="468">
        <f t="shared" si="9179"/>
        <v>0</v>
      </c>
      <c r="BY1523" s="468">
        <f t="shared" ref="BY1523:CO1523" si="9180">BY1392</f>
        <v>0</v>
      </c>
      <c r="BZ1523" s="468">
        <f t="shared" si="9180"/>
        <v>0</v>
      </c>
      <c r="CA1523" s="468">
        <f t="shared" si="9180"/>
        <v>0</v>
      </c>
      <c r="CB1523" s="468">
        <f t="shared" si="9180"/>
        <v>0</v>
      </c>
      <c r="CC1523" s="468">
        <f t="shared" si="9180"/>
        <v>0</v>
      </c>
      <c r="CD1523" s="468">
        <f t="shared" si="9180"/>
        <v>0</v>
      </c>
      <c r="CE1523" s="468">
        <f t="shared" si="9180"/>
        <v>0</v>
      </c>
      <c r="CF1523" s="468">
        <f t="shared" si="9180"/>
        <v>0</v>
      </c>
      <c r="CG1523" s="468">
        <f t="shared" si="9180"/>
        <v>0</v>
      </c>
      <c r="CH1523" s="468">
        <f t="shared" si="9180"/>
        <v>0</v>
      </c>
      <c r="CI1523" s="468">
        <f t="shared" si="9180"/>
        <v>0</v>
      </c>
      <c r="CJ1523" s="468">
        <f t="shared" si="9180"/>
        <v>0</v>
      </c>
      <c r="CK1523" s="468">
        <f t="shared" si="9180"/>
        <v>0</v>
      </c>
      <c r="CL1523" s="468">
        <f t="shared" si="9180"/>
        <v>0</v>
      </c>
      <c r="CM1523" s="468">
        <f t="shared" si="9180"/>
        <v>0</v>
      </c>
      <c r="CN1523" s="468">
        <f t="shared" si="9180"/>
        <v>0</v>
      </c>
      <c r="CO1523" s="468">
        <f t="shared" si="9180"/>
        <v>0</v>
      </c>
    </row>
    <row r="1524" spans="1:93">
      <c r="A1524" s="10"/>
      <c r="B1524" s="10"/>
      <c r="C1524" s="17" t="s">
        <v>254</v>
      </c>
      <c r="D1524" s="10"/>
      <c r="E1524" s="10"/>
      <c r="F1524" s="10"/>
      <c r="G1524" s="11" t="s">
        <v>31</v>
      </c>
      <c r="H1524" s="10"/>
      <c r="I1524" s="10"/>
      <c r="J1524" s="10"/>
      <c r="K1524" s="10"/>
      <c r="L1524" s="200">
        <f>IF(L1523,DATE(L1523,12,31),"")</f>
        <v>46022</v>
      </c>
      <c r="M1524" s="200">
        <f t="shared" ref="M1524:BX1524" si="9181">IF(M1523,DATE(M1523,12,31),"")</f>
        <v>46387</v>
      </c>
      <c r="N1524" s="200">
        <f t="shared" si="9181"/>
        <v>46752</v>
      </c>
      <c r="O1524" s="200">
        <f t="shared" si="9181"/>
        <v>47118</v>
      </c>
      <c r="P1524" s="200">
        <f t="shared" si="9181"/>
        <v>47483</v>
      </c>
      <c r="Q1524" s="200">
        <f t="shared" si="9181"/>
        <v>47848</v>
      </c>
      <c r="R1524" s="200">
        <f t="shared" si="9181"/>
        <v>48213</v>
      </c>
      <c r="S1524" s="200">
        <f t="shared" si="9181"/>
        <v>48579</v>
      </c>
      <c r="T1524" s="200">
        <f t="shared" si="9181"/>
        <v>48944</v>
      </c>
      <c r="U1524" s="200">
        <f t="shared" si="9181"/>
        <v>49309</v>
      </c>
      <c r="V1524" s="200">
        <f t="shared" si="9181"/>
        <v>49674</v>
      </c>
      <c r="W1524" s="200">
        <f t="shared" si="9181"/>
        <v>50040</v>
      </c>
      <c r="X1524" s="200">
        <f t="shared" si="9181"/>
        <v>50405</v>
      </c>
      <c r="Y1524" s="200">
        <f t="shared" si="9181"/>
        <v>50770</v>
      </c>
      <c r="Z1524" s="200">
        <f t="shared" si="9181"/>
        <v>51135</v>
      </c>
      <c r="AA1524" s="200">
        <f t="shared" si="9181"/>
        <v>51501</v>
      </c>
      <c r="AB1524" s="200">
        <f t="shared" si="9181"/>
        <v>51866</v>
      </c>
      <c r="AC1524" s="200">
        <f t="shared" si="9181"/>
        <v>52231</v>
      </c>
      <c r="AD1524" s="200">
        <f t="shared" si="9181"/>
        <v>52596</v>
      </c>
      <c r="AE1524" s="200">
        <f t="shared" si="9181"/>
        <v>52962</v>
      </c>
      <c r="AF1524" s="200">
        <f t="shared" si="9181"/>
        <v>53327</v>
      </c>
      <c r="AG1524" s="200">
        <f t="shared" si="9181"/>
        <v>53692</v>
      </c>
      <c r="AH1524" s="200">
        <f t="shared" si="9181"/>
        <v>54057</v>
      </c>
      <c r="AI1524" s="200">
        <f t="shared" si="9181"/>
        <v>54423</v>
      </c>
      <c r="AJ1524" s="200">
        <f t="shared" si="9181"/>
        <v>54788</v>
      </c>
      <c r="AK1524" s="200" t="str">
        <f t="shared" si="9181"/>
        <v/>
      </c>
      <c r="AL1524" s="200" t="str">
        <f t="shared" si="9181"/>
        <v/>
      </c>
      <c r="AM1524" s="200" t="str">
        <f t="shared" si="9181"/>
        <v/>
      </c>
      <c r="AN1524" s="200" t="str">
        <f t="shared" si="9181"/>
        <v/>
      </c>
      <c r="AO1524" s="200" t="str">
        <f t="shared" si="9181"/>
        <v/>
      </c>
      <c r="AP1524" s="200" t="str">
        <f t="shared" si="9181"/>
        <v/>
      </c>
      <c r="AQ1524" s="200" t="str">
        <f t="shared" si="9181"/>
        <v/>
      </c>
      <c r="AR1524" s="200" t="str">
        <f t="shared" si="9181"/>
        <v/>
      </c>
      <c r="AS1524" s="200" t="str">
        <f t="shared" si="9181"/>
        <v/>
      </c>
      <c r="AT1524" s="200" t="str">
        <f t="shared" si="9181"/>
        <v/>
      </c>
      <c r="AU1524" s="200" t="str">
        <f t="shared" si="9181"/>
        <v/>
      </c>
      <c r="AV1524" s="200" t="str">
        <f t="shared" si="9181"/>
        <v/>
      </c>
      <c r="AW1524" s="200" t="str">
        <f t="shared" si="9181"/>
        <v/>
      </c>
      <c r="AX1524" s="200" t="str">
        <f t="shared" si="9181"/>
        <v/>
      </c>
      <c r="AY1524" s="200" t="str">
        <f t="shared" si="9181"/>
        <v/>
      </c>
      <c r="AZ1524" s="200" t="str">
        <f t="shared" si="9181"/>
        <v/>
      </c>
      <c r="BA1524" s="200" t="str">
        <f t="shared" si="9181"/>
        <v/>
      </c>
      <c r="BB1524" s="200" t="str">
        <f t="shared" si="9181"/>
        <v/>
      </c>
      <c r="BC1524" s="200" t="str">
        <f t="shared" si="9181"/>
        <v/>
      </c>
      <c r="BD1524" s="200" t="str">
        <f t="shared" si="9181"/>
        <v/>
      </c>
      <c r="BE1524" s="200" t="str">
        <f t="shared" si="9181"/>
        <v/>
      </c>
      <c r="BF1524" s="200" t="str">
        <f t="shared" si="9181"/>
        <v/>
      </c>
      <c r="BG1524" s="200" t="str">
        <f t="shared" si="9181"/>
        <v/>
      </c>
      <c r="BH1524" s="200" t="str">
        <f t="shared" si="9181"/>
        <v/>
      </c>
      <c r="BI1524" s="200" t="str">
        <f t="shared" si="9181"/>
        <v/>
      </c>
      <c r="BJ1524" s="200" t="str">
        <f t="shared" si="9181"/>
        <v/>
      </c>
      <c r="BK1524" s="200" t="str">
        <f t="shared" si="9181"/>
        <v/>
      </c>
      <c r="BL1524" s="200" t="str">
        <f t="shared" si="9181"/>
        <v/>
      </c>
      <c r="BM1524" s="200" t="str">
        <f t="shared" si="9181"/>
        <v/>
      </c>
      <c r="BN1524" s="200" t="str">
        <f t="shared" si="9181"/>
        <v/>
      </c>
      <c r="BO1524" s="200" t="str">
        <f t="shared" si="9181"/>
        <v/>
      </c>
      <c r="BP1524" s="200" t="str">
        <f t="shared" si="9181"/>
        <v/>
      </c>
      <c r="BQ1524" s="200" t="str">
        <f t="shared" si="9181"/>
        <v/>
      </c>
      <c r="BR1524" s="200" t="str">
        <f t="shared" si="9181"/>
        <v/>
      </c>
      <c r="BS1524" s="200" t="str">
        <f t="shared" si="9181"/>
        <v/>
      </c>
      <c r="BT1524" s="200" t="str">
        <f t="shared" si="9181"/>
        <v/>
      </c>
      <c r="BU1524" s="200" t="str">
        <f t="shared" si="9181"/>
        <v/>
      </c>
      <c r="BV1524" s="200" t="str">
        <f t="shared" si="9181"/>
        <v/>
      </c>
      <c r="BW1524" s="200" t="str">
        <f t="shared" si="9181"/>
        <v/>
      </c>
      <c r="BX1524" s="200" t="str">
        <f t="shared" si="9181"/>
        <v/>
      </c>
      <c r="BY1524" s="200" t="str">
        <f t="shared" ref="BY1524:CO1524" si="9182">IF(BY1523,DATE(BY1523,12,31),"")</f>
        <v/>
      </c>
      <c r="BZ1524" s="200" t="str">
        <f t="shared" si="9182"/>
        <v/>
      </c>
      <c r="CA1524" s="200" t="str">
        <f t="shared" si="9182"/>
        <v/>
      </c>
      <c r="CB1524" s="200" t="str">
        <f t="shared" si="9182"/>
        <v/>
      </c>
      <c r="CC1524" s="200" t="str">
        <f t="shared" si="9182"/>
        <v/>
      </c>
      <c r="CD1524" s="200" t="str">
        <f t="shared" si="9182"/>
        <v/>
      </c>
      <c r="CE1524" s="200" t="str">
        <f t="shared" si="9182"/>
        <v/>
      </c>
      <c r="CF1524" s="200" t="str">
        <f t="shared" si="9182"/>
        <v/>
      </c>
      <c r="CG1524" s="200" t="str">
        <f t="shared" si="9182"/>
        <v/>
      </c>
      <c r="CH1524" s="200" t="str">
        <f t="shared" si="9182"/>
        <v/>
      </c>
      <c r="CI1524" s="200" t="str">
        <f t="shared" si="9182"/>
        <v/>
      </c>
      <c r="CJ1524" s="200" t="str">
        <f t="shared" si="9182"/>
        <v/>
      </c>
      <c r="CK1524" s="200" t="str">
        <f t="shared" si="9182"/>
        <v/>
      </c>
      <c r="CL1524" s="200" t="str">
        <f t="shared" si="9182"/>
        <v/>
      </c>
      <c r="CM1524" s="200" t="str">
        <f t="shared" si="9182"/>
        <v/>
      </c>
      <c r="CN1524" s="200" t="str">
        <f t="shared" si="9182"/>
        <v/>
      </c>
      <c r="CO1524" s="200" t="str">
        <f t="shared" si="9182"/>
        <v/>
      </c>
    </row>
    <row r="1525" spans="1:93">
      <c r="A1525" s="10"/>
      <c r="B1525" s="10"/>
      <c r="C1525" s="17" t="s">
        <v>255</v>
      </c>
      <c r="D1525" s="10"/>
      <c r="E1525" s="10"/>
      <c r="F1525" s="10"/>
      <c r="G1525" s="11" t="str">
        <f>Monetary_Unit</f>
        <v>тыс. руб.</v>
      </c>
      <c r="H1525" s="10"/>
      <c r="I1525" s="10"/>
      <c r="J1525" s="10"/>
      <c r="K1525" s="10"/>
      <c r="L1525" s="52">
        <f t="shared" ref="L1525:BW1525" si="9183">SUMIF(End_of_period,L$1524,Debt_EoP)</f>
        <v>0</v>
      </c>
      <c r="M1525" s="52">
        <f t="shared" si="9183"/>
        <v>93075.219462963287</v>
      </c>
      <c r="N1525" s="52">
        <f t="shared" si="9183"/>
        <v>1256592.112898397</v>
      </c>
      <c r="O1525" s="52">
        <f t="shared" si="9183"/>
        <v>3783687.2782761287</v>
      </c>
      <c r="P1525" s="52">
        <f t="shared" si="9183"/>
        <v>4250828.5281117735</v>
      </c>
      <c r="Q1525" s="52">
        <f t="shared" si="9183"/>
        <v>3739236.5234453464</v>
      </c>
      <c r="R1525" s="52">
        <f t="shared" si="9183"/>
        <v>3198653.462726674</v>
      </c>
      <c r="S1525" s="52">
        <f t="shared" si="9183"/>
        <v>2627435.2942976062</v>
      </c>
      <c r="T1525" s="52">
        <f t="shared" si="9183"/>
        <v>2023848.643856613</v>
      </c>
      <c r="U1525" s="52">
        <f t="shared" si="9183"/>
        <v>1386057.7315221743</v>
      </c>
      <c r="V1525" s="52">
        <f t="shared" si="9183"/>
        <v>712124.24751105381</v>
      </c>
      <c r="W1525" s="52">
        <f t="shared" si="9183"/>
        <v>0</v>
      </c>
      <c r="X1525" s="52">
        <f t="shared" si="9183"/>
        <v>0</v>
      </c>
      <c r="Y1525" s="52">
        <f t="shared" si="9183"/>
        <v>0</v>
      </c>
      <c r="Z1525" s="52">
        <f t="shared" si="9183"/>
        <v>0</v>
      </c>
      <c r="AA1525" s="52">
        <f t="shared" si="9183"/>
        <v>0</v>
      </c>
      <c r="AB1525" s="52">
        <f t="shared" si="9183"/>
        <v>0</v>
      </c>
      <c r="AC1525" s="52">
        <f t="shared" si="9183"/>
        <v>0</v>
      </c>
      <c r="AD1525" s="52">
        <f t="shared" si="9183"/>
        <v>0</v>
      </c>
      <c r="AE1525" s="52">
        <f t="shared" si="9183"/>
        <v>0</v>
      </c>
      <c r="AF1525" s="52">
        <f t="shared" si="9183"/>
        <v>0</v>
      </c>
      <c r="AG1525" s="52">
        <f t="shared" si="9183"/>
        <v>0</v>
      </c>
      <c r="AH1525" s="52">
        <f t="shared" si="9183"/>
        <v>0</v>
      </c>
      <c r="AI1525" s="52">
        <f t="shared" si="9183"/>
        <v>0</v>
      </c>
      <c r="AJ1525" s="52">
        <f t="shared" si="9183"/>
        <v>0</v>
      </c>
      <c r="AK1525" s="52">
        <f t="shared" si="9183"/>
        <v>0</v>
      </c>
      <c r="AL1525" s="52">
        <f t="shared" si="9183"/>
        <v>0</v>
      </c>
      <c r="AM1525" s="52">
        <f t="shared" si="9183"/>
        <v>0</v>
      </c>
      <c r="AN1525" s="52">
        <f t="shared" si="9183"/>
        <v>0</v>
      </c>
      <c r="AO1525" s="52">
        <f t="shared" si="9183"/>
        <v>0</v>
      </c>
      <c r="AP1525" s="52">
        <f t="shared" si="9183"/>
        <v>0</v>
      </c>
      <c r="AQ1525" s="52">
        <f t="shared" si="9183"/>
        <v>0</v>
      </c>
      <c r="AR1525" s="52">
        <f t="shared" si="9183"/>
        <v>0</v>
      </c>
      <c r="AS1525" s="52">
        <f t="shared" si="9183"/>
        <v>0</v>
      </c>
      <c r="AT1525" s="52">
        <f t="shared" si="9183"/>
        <v>0</v>
      </c>
      <c r="AU1525" s="52">
        <f t="shared" si="9183"/>
        <v>0</v>
      </c>
      <c r="AV1525" s="52">
        <f t="shared" si="9183"/>
        <v>0</v>
      </c>
      <c r="AW1525" s="52">
        <f t="shared" si="9183"/>
        <v>0</v>
      </c>
      <c r="AX1525" s="52">
        <f t="shared" si="9183"/>
        <v>0</v>
      </c>
      <c r="AY1525" s="52">
        <f t="shared" si="9183"/>
        <v>0</v>
      </c>
      <c r="AZ1525" s="52">
        <f t="shared" si="9183"/>
        <v>0</v>
      </c>
      <c r="BA1525" s="52">
        <f t="shared" si="9183"/>
        <v>0</v>
      </c>
      <c r="BB1525" s="52">
        <f t="shared" si="9183"/>
        <v>0</v>
      </c>
      <c r="BC1525" s="52">
        <f t="shared" si="9183"/>
        <v>0</v>
      </c>
      <c r="BD1525" s="52">
        <f t="shared" si="9183"/>
        <v>0</v>
      </c>
      <c r="BE1525" s="52">
        <f t="shared" si="9183"/>
        <v>0</v>
      </c>
      <c r="BF1525" s="52">
        <f t="shared" si="9183"/>
        <v>0</v>
      </c>
      <c r="BG1525" s="52">
        <f t="shared" si="9183"/>
        <v>0</v>
      </c>
      <c r="BH1525" s="52">
        <f t="shared" si="9183"/>
        <v>0</v>
      </c>
      <c r="BI1525" s="52">
        <f t="shared" si="9183"/>
        <v>0</v>
      </c>
      <c r="BJ1525" s="52">
        <f t="shared" si="9183"/>
        <v>0</v>
      </c>
      <c r="BK1525" s="52">
        <f t="shared" si="9183"/>
        <v>0</v>
      </c>
      <c r="BL1525" s="52">
        <f t="shared" si="9183"/>
        <v>0</v>
      </c>
      <c r="BM1525" s="52">
        <f t="shared" si="9183"/>
        <v>0</v>
      </c>
      <c r="BN1525" s="52">
        <f t="shared" si="9183"/>
        <v>0</v>
      </c>
      <c r="BO1525" s="52">
        <f t="shared" si="9183"/>
        <v>0</v>
      </c>
      <c r="BP1525" s="52">
        <f t="shared" si="9183"/>
        <v>0</v>
      </c>
      <c r="BQ1525" s="52">
        <f t="shared" si="9183"/>
        <v>0</v>
      </c>
      <c r="BR1525" s="52">
        <f t="shared" si="9183"/>
        <v>0</v>
      </c>
      <c r="BS1525" s="52">
        <f t="shared" si="9183"/>
        <v>0</v>
      </c>
      <c r="BT1525" s="52">
        <f t="shared" si="9183"/>
        <v>0</v>
      </c>
      <c r="BU1525" s="52">
        <f t="shared" si="9183"/>
        <v>0</v>
      </c>
      <c r="BV1525" s="52">
        <f t="shared" si="9183"/>
        <v>0</v>
      </c>
      <c r="BW1525" s="52">
        <f t="shared" si="9183"/>
        <v>0</v>
      </c>
      <c r="BX1525" s="52">
        <f t="shared" ref="BX1525:CO1525" si="9184">SUMIF(End_of_period,BX$1524,Debt_EoP)</f>
        <v>0</v>
      </c>
      <c r="BY1525" s="52">
        <f t="shared" si="9184"/>
        <v>0</v>
      </c>
      <c r="BZ1525" s="52">
        <f t="shared" si="9184"/>
        <v>0</v>
      </c>
      <c r="CA1525" s="52">
        <f t="shared" si="9184"/>
        <v>0</v>
      </c>
      <c r="CB1525" s="52">
        <f t="shared" si="9184"/>
        <v>0</v>
      </c>
      <c r="CC1525" s="52">
        <f t="shared" si="9184"/>
        <v>0</v>
      </c>
      <c r="CD1525" s="52">
        <f t="shared" si="9184"/>
        <v>0</v>
      </c>
      <c r="CE1525" s="52">
        <f t="shared" si="9184"/>
        <v>0</v>
      </c>
      <c r="CF1525" s="52">
        <f t="shared" si="9184"/>
        <v>0</v>
      </c>
      <c r="CG1525" s="52">
        <f t="shared" si="9184"/>
        <v>0</v>
      </c>
      <c r="CH1525" s="52">
        <f t="shared" si="9184"/>
        <v>0</v>
      </c>
      <c r="CI1525" s="52">
        <f t="shared" si="9184"/>
        <v>0</v>
      </c>
      <c r="CJ1525" s="52">
        <f t="shared" si="9184"/>
        <v>0</v>
      </c>
      <c r="CK1525" s="52">
        <f t="shared" si="9184"/>
        <v>0</v>
      </c>
      <c r="CL1525" s="52">
        <f t="shared" si="9184"/>
        <v>0</v>
      </c>
      <c r="CM1525" s="52">
        <f t="shared" si="9184"/>
        <v>0</v>
      </c>
      <c r="CN1525" s="52">
        <f t="shared" si="9184"/>
        <v>0</v>
      </c>
      <c r="CO1525" s="52">
        <f t="shared" si="9184"/>
        <v>0</v>
      </c>
    </row>
    <row r="1526" spans="1:93">
      <c r="A1526" s="10"/>
      <c r="B1526" s="10"/>
      <c r="C1526" s="17" t="s">
        <v>81</v>
      </c>
      <c r="D1526" s="10"/>
      <c r="E1526" s="10"/>
      <c r="F1526" s="10"/>
      <c r="G1526" s="11" t="str">
        <f>Monetary_Unit</f>
        <v>тыс. руб.</v>
      </c>
      <c r="H1526" s="10"/>
      <c r="I1526" s="10"/>
      <c r="J1526" s="10"/>
      <c r="K1526" s="10"/>
      <c r="L1526" s="52">
        <f t="shared" ref="L1526:BW1526" ca="1" si="9185">SUMIF(Year,L$1523,EBITDA)</f>
        <v>0</v>
      </c>
      <c r="M1526" s="52">
        <f t="shared" ca="1" si="9185"/>
        <v>0</v>
      </c>
      <c r="N1526" s="52">
        <f t="shared" ca="1" si="9185"/>
        <v>0</v>
      </c>
      <c r="O1526" s="52">
        <f t="shared" ca="1" si="9185"/>
        <v>0</v>
      </c>
      <c r="P1526" s="52">
        <f t="shared" ca="1" si="9185"/>
        <v>604686.3285255339</v>
      </c>
      <c r="Q1526" s="52">
        <f t="shared" ca="1" si="9185"/>
        <v>869140.49369719997</v>
      </c>
      <c r="R1526" s="52">
        <f t="shared" ca="1" si="9185"/>
        <v>1021066.9213410967</v>
      </c>
      <c r="S1526" s="52">
        <f t="shared" ca="1" si="9185"/>
        <v>1163561.953689419</v>
      </c>
      <c r="T1526" s="52">
        <f t="shared" ca="1" si="9185"/>
        <v>1213968.906788554</v>
      </c>
      <c r="U1526" s="52">
        <f t="shared" ca="1" si="9185"/>
        <v>867001.96739319817</v>
      </c>
      <c r="V1526" s="52">
        <f t="shared" ca="1" si="9185"/>
        <v>811529.25341676315</v>
      </c>
      <c r="W1526" s="52">
        <f t="shared" ca="1" si="9185"/>
        <v>846292.546680431</v>
      </c>
      <c r="X1526" s="52">
        <f t="shared" ca="1" si="9185"/>
        <v>878927.13669434085</v>
      </c>
      <c r="Y1526" s="52">
        <f t="shared" ca="1" si="9185"/>
        <v>914661.23010268842</v>
      </c>
      <c r="Z1526" s="52">
        <f t="shared" ca="1" si="9185"/>
        <v>951824.68724736897</v>
      </c>
      <c r="AA1526" s="52">
        <f t="shared" ca="1" si="9185"/>
        <v>992492.82344566134</v>
      </c>
      <c r="AB1526" s="52">
        <f t="shared" ca="1" si="9185"/>
        <v>1030670.6779255238</v>
      </c>
      <c r="AC1526" s="52">
        <f t="shared" ca="1" si="9185"/>
        <v>1072474.5129831189</v>
      </c>
      <c r="AD1526" s="52">
        <f t="shared" ca="1" si="9185"/>
        <v>1115950.5014430173</v>
      </c>
      <c r="AE1526" s="52">
        <f t="shared" ca="1" si="9185"/>
        <v>1163526.4686938343</v>
      </c>
      <c r="AF1526" s="52">
        <f t="shared" ca="1" si="9185"/>
        <v>550531.0745623312</v>
      </c>
      <c r="AG1526" s="52">
        <f t="shared" si="9185"/>
        <v>0</v>
      </c>
      <c r="AH1526" s="52">
        <f t="shared" si="9185"/>
        <v>0</v>
      </c>
      <c r="AI1526" s="52">
        <f t="shared" si="9185"/>
        <v>0</v>
      </c>
      <c r="AJ1526" s="52">
        <f t="shared" si="9185"/>
        <v>0</v>
      </c>
      <c r="AK1526" s="52">
        <f t="shared" si="9185"/>
        <v>0</v>
      </c>
      <c r="AL1526" s="52">
        <f t="shared" si="9185"/>
        <v>0</v>
      </c>
      <c r="AM1526" s="52">
        <f t="shared" si="9185"/>
        <v>0</v>
      </c>
      <c r="AN1526" s="52">
        <f t="shared" si="9185"/>
        <v>0</v>
      </c>
      <c r="AO1526" s="52">
        <f t="shared" si="9185"/>
        <v>0</v>
      </c>
      <c r="AP1526" s="52">
        <f t="shared" si="9185"/>
        <v>0</v>
      </c>
      <c r="AQ1526" s="52">
        <f t="shared" si="9185"/>
        <v>0</v>
      </c>
      <c r="AR1526" s="52">
        <f t="shared" si="9185"/>
        <v>0</v>
      </c>
      <c r="AS1526" s="52">
        <f t="shared" si="9185"/>
        <v>0</v>
      </c>
      <c r="AT1526" s="52">
        <f t="shared" si="9185"/>
        <v>0</v>
      </c>
      <c r="AU1526" s="52">
        <f t="shared" si="9185"/>
        <v>0</v>
      </c>
      <c r="AV1526" s="52">
        <f t="shared" si="9185"/>
        <v>0</v>
      </c>
      <c r="AW1526" s="52">
        <f t="shared" si="9185"/>
        <v>0</v>
      </c>
      <c r="AX1526" s="52">
        <f t="shared" si="9185"/>
        <v>0</v>
      </c>
      <c r="AY1526" s="52">
        <f t="shared" si="9185"/>
        <v>0</v>
      </c>
      <c r="AZ1526" s="52">
        <f t="shared" si="9185"/>
        <v>0</v>
      </c>
      <c r="BA1526" s="52">
        <f t="shared" si="9185"/>
        <v>0</v>
      </c>
      <c r="BB1526" s="52">
        <f t="shared" si="9185"/>
        <v>0</v>
      </c>
      <c r="BC1526" s="52">
        <f t="shared" si="9185"/>
        <v>0</v>
      </c>
      <c r="BD1526" s="52">
        <f t="shared" si="9185"/>
        <v>0</v>
      </c>
      <c r="BE1526" s="52">
        <f t="shared" si="9185"/>
        <v>0</v>
      </c>
      <c r="BF1526" s="52">
        <f t="shared" si="9185"/>
        <v>0</v>
      </c>
      <c r="BG1526" s="52">
        <f t="shared" si="9185"/>
        <v>0</v>
      </c>
      <c r="BH1526" s="52">
        <f t="shared" si="9185"/>
        <v>0</v>
      </c>
      <c r="BI1526" s="52">
        <f t="shared" si="9185"/>
        <v>0</v>
      </c>
      <c r="BJ1526" s="52">
        <f t="shared" si="9185"/>
        <v>0</v>
      </c>
      <c r="BK1526" s="52">
        <f t="shared" si="9185"/>
        <v>0</v>
      </c>
      <c r="BL1526" s="52">
        <f t="shared" si="9185"/>
        <v>0</v>
      </c>
      <c r="BM1526" s="52">
        <f t="shared" si="9185"/>
        <v>0</v>
      </c>
      <c r="BN1526" s="52">
        <f t="shared" si="9185"/>
        <v>0</v>
      </c>
      <c r="BO1526" s="52">
        <f t="shared" si="9185"/>
        <v>0</v>
      </c>
      <c r="BP1526" s="52">
        <f t="shared" si="9185"/>
        <v>0</v>
      </c>
      <c r="BQ1526" s="52">
        <f t="shared" si="9185"/>
        <v>0</v>
      </c>
      <c r="BR1526" s="52">
        <f t="shared" si="9185"/>
        <v>0</v>
      </c>
      <c r="BS1526" s="52">
        <f t="shared" si="9185"/>
        <v>0</v>
      </c>
      <c r="BT1526" s="52">
        <f t="shared" si="9185"/>
        <v>0</v>
      </c>
      <c r="BU1526" s="52">
        <f t="shared" si="9185"/>
        <v>0</v>
      </c>
      <c r="BV1526" s="52">
        <f t="shared" si="9185"/>
        <v>0</v>
      </c>
      <c r="BW1526" s="52">
        <f t="shared" si="9185"/>
        <v>0</v>
      </c>
      <c r="BX1526" s="52">
        <f t="shared" ref="BX1526:CO1526" si="9186">SUMIF(Year,BX$1523,EBITDA)</f>
        <v>0</v>
      </c>
      <c r="BY1526" s="52">
        <f t="shared" si="9186"/>
        <v>0</v>
      </c>
      <c r="BZ1526" s="52">
        <f t="shared" si="9186"/>
        <v>0</v>
      </c>
      <c r="CA1526" s="52">
        <f t="shared" si="9186"/>
        <v>0</v>
      </c>
      <c r="CB1526" s="52">
        <f t="shared" si="9186"/>
        <v>0</v>
      </c>
      <c r="CC1526" s="52">
        <f t="shared" si="9186"/>
        <v>0</v>
      </c>
      <c r="CD1526" s="52">
        <f t="shared" si="9186"/>
        <v>0</v>
      </c>
      <c r="CE1526" s="52">
        <f t="shared" si="9186"/>
        <v>0</v>
      </c>
      <c r="CF1526" s="52">
        <f t="shared" si="9186"/>
        <v>0</v>
      </c>
      <c r="CG1526" s="52">
        <f t="shared" si="9186"/>
        <v>0</v>
      </c>
      <c r="CH1526" s="52">
        <f t="shared" si="9186"/>
        <v>0</v>
      </c>
      <c r="CI1526" s="52">
        <f t="shared" si="9186"/>
        <v>0</v>
      </c>
      <c r="CJ1526" s="52">
        <f t="shared" si="9186"/>
        <v>0</v>
      </c>
      <c r="CK1526" s="52">
        <f t="shared" si="9186"/>
        <v>0</v>
      </c>
      <c r="CL1526" s="52">
        <f t="shared" si="9186"/>
        <v>0</v>
      </c>
      <c r="CM1526" s="52">
        <f t="shared" si="9186"/>
        <v>0</v>
      </c>
      <c r="CN1526" s="52">
        <f t="shared" si="9186"/>
        <v>0</v>
      </c>
      <c r="CO1526" s="52">
        <f t="shared" si="9186"/>
        <v>0</v>
      </c>
    </row>
    <row r="1527" spans="1:93">
      <c r="A1527" s="10"/>
      <c r="B1527" s="10"/>
      <c r="C1527" s="17" t="s">
        <v>201</v>
      </c>
      <c r="D1527" s="10"/>
      <c r="E1527" s="10"/>
      <c r="F1527" s="10"/>
      <c r="G1527" s="143" t="str">
        <f>Monetary_Unit</f>
        <v>тыс. руб.</v>
      </c>
      <c r="H1527" s="10"/>
      <c r="I1527" s="10"/>
      <c r="J1527" s="10"/>
      <c r="K1527" s="10"/>
      <c r="L1527" s="52">
        <f t="shared" ref="L1527:AQ1527" ca="1" si="9187">SUMIF(End_of_period,L$1524,Cash_EoP)</f>
        <v>0</v>
      </c>
      <c r="M1527" s="52">
        <f t="shared" ca="1" si="9187"/>
        <v>0</v>
      </c>
      <c r="N1527" s="52">
        <f t="shared" ca="1" si="9187"/>
        <v>0</v>
      </c>
      <c r="O1527" s="52">
        <f t="shared" ca="1" si="9187"/>
        <v>0</v>
      </c>
      <c r="P1527" s="52">
        <f t="shared" ca="1" si="9187"/>
        <v>667784.47598624637</v>
      </c>
      <c r="Q1527" s="52">
        <f t="shared" ca="1" si="9187"/>
        <v>423845.41615374223</v>
      </c>
      <c r="R1527" s="52">
        <f t="shared" ca="1" si="9187"/>
        <v>148937.23222712128</v>
      </c>
      <c r="S1527" s="52">
        <f t="shared" ca="1" si="9187"/>
        <v>0</v>
      </c>
      <c r="T1527" s="52">
        <f t="shared" ca="1" si="9187"/>
        <v>0</v>
      </c>
      <c r="U1527" s="52">
        <f t="shared" ca="1" si="9187"/>
        <v>0</v>
      </c>
      <c r="V1527" s="52">
        <f t="shared" ca="1" si="9187"/>
        <v>0</v>
      </c>
      <c r="W1527" s="52">
        <f t="shared" ca="1" si="9187"/>
        <v>0</v>
      </c>
      <c r="X1527" s="52">
        <f t="shared" ca="1" si="9187"/>
        <v>0</v>
      </c>
      <c r="Y1527" s="52">
        <f t="shared" ca="1" si="9187"/>
        <v>0</v>
      </c>
      <c r="Z1527" s="52">
        <f t="shared" ca="1" si="9187"/>
        <v>0</v>
      </c>
      <c r="AA1527" s="52">
        <f t="shared" ca="1" si="9187"/>
        <v>0</v>
      </c>
      <c r="AB1527" s="52">
        <f t="shared" ca="1" si="9187"/>
        <v>0</v>
      </c>
      <c r="AC1527" s="52">
        <f t="shared" ca="1" si="9187"/>
        <v>0</v>
      </c>
      <c r="AD1527" s="52">
        <f t="shared" ca="1" si="9187"/>
        <v>0</v>
      </c>
      <c r="AE1527" s="52">
        <f t="shared" ca="1" si="9187"/>
        <v>0</v>
      </c>
      <c r="AF1527" s="52">
        <f t="shared" si="9187"/>
        <v>0</v>
      </c>
      <c r="AG1527" s="52">
        <f t="shared" si="9187"/>
        <v>0</v>
      </c>
      <c r="AH1527" s="52">
        <f t="shared" si="9187"/>
        <v>0</v>
      </c>
      <c r="AI1527" s="52">
        <f t="shared" si="9187"/>
        <v>0</v>
      </c>
      <c r="AJ1527" s="52">
        <f t="shared" si="9187"/>
        <v>0</v>
      </c>
      <c r="AK1527" s="52">
        <f t="shared" si="9187"/>
        <v>0</v>
      </c>
      <c r="AL1527" s="52">
        <f t="shared" si="9187"/>
        <v>0</v>
      </c>
      <c r="AM1527" s="52">
        <f t="shared" si="9187"/>
        <v>0</v>
      </c>
      <c r="AN1527" s="52">
        <f t="shared" si="9187"/>
        <v>0</v>
      </c>
      <c r="AO1527" s="52">
        <f t="shared" si="9187"/>
        <v>0</v>
      </c>
      <c r="AP1527" s="52">
        <f t="shared" si="9187"/>
        <v>0</v>
      </c>
      <c r="AQ1527" s="52">
        <f t="shared" si="9187"/>
        <v>0</v>
      </c>
      <c r="AR1527" s="52">
        <f t="shared" ref="AR1527:BW1527" si="9188">SUMIF(End_of_period,AR$1524,Cash_EoP)</f>
        <v>0</v>
      </c>
      <c r="AS1527" s="52">
        <f t="shared" si="9188"/>
        <v>0</v>
      </c>
      <c r="AT1527" s="52">
        <f t="shared" si="9188"/>
        <v>0</v>
      </c>
      <c r="AU1527" s="52">
        <f t="shared" si="9188"/>
        <v>0</v>
      </c>
      <c r="AV1527" s="52">
        <f t="shared" si="9188"/>
        <v>0</v>
      </c>
      <c r="AW1527" s="52">
        <f t="shared" si="9188"/>
        <v>0</v>
      </c>
      <c r="AX1527" s="52">
        <f t="shared" si="9188"/>
        <v>0</v>
      </c>
      <c r="AY1527" s="52">
        <f t="shared" si="9188"/>
        <v>0</v>
      </c>
      <c r="AZ1527" s="52">
        <f t="shared" si="9188"/>
        <v>0</v>
      </c>
      <c r="BA1527" s="52">
        <f t="shared" si="9188"/>
        <v>0</v>
      </c>
      <c r="BB1527" s="52">
        <f t="shared" si="9188"/>
        <v>0</v>
      </c>
      <c r="BC1527" s="52">
        <f t="shared" si="9188"/>
        <v>0</v>
      </c>
      <c r="BD1527" s="52">
        <f t="shared" si="9188"/>
        <v>0</v>
      </c>
      <c r="BE1527" s="52">
        <f t="shared" si="9188"/>
        <v>0</v>
      </c>
      <c r="BF1527" s="52">
        <f t="shared" si="9188"/>
        <v>0</v>
      </c>
      <c r="BG1527" s="52">
        <f t="shared" si="9188"/>
        <v>0</v>
      </c>
      <c r="BH1527" s="52">
        <f t="shared" si="9188"/>
        <v>0</v>
      </c>
      <c r="BI1527" s="52">
        <f t="shared" si="9188"/>
        <v>0</v>
      </c>
      <c r="BJ1527" s="52">
        <f t="shared" si="9188"/>
        <v>0</v>
      </c>
      <c r="BK1527" s="52">
        <f t="shared" si="9188"/>
        <v>0</v>
      </c>
      <c r="BL1527" s="52">
        <f t="shared" si="9188"/>
        <v>0</v>
      </c>
      <c r="BM1527" s="52">
        <f t="shared" si="9188"/>
        <v>0</v>
      </c>
      <c r="BN1527" s="52">
        <f t="shared" si="9188"/>
        <v>0</v>
      </c>
      <c r="BO1527" s="52">
        <f t="shared" si="9188"/>
        <v>0</v>
      </c>
      <c r="BP1527" s="52">
        <f t="shared" si="9188"/>
        <v>0</v>
      </c>
      <c r="BQ1527" s="52">
        <f t="shared" si="9188"/>
        <v>0</v>
      </c>
      <c r="BR1527" s="52">
        <f t="shared" si="9188"/>
        <v>0</v>
      </c>
      <c r="BS1527" s="52">
        <f t="shared" si="9188"/>
        <v>0</v>
      </c>
      <c r="BT1527" s="52">
        <f t="shared" si="9188"/>
        <v>0</v>
      </c>
      <c r="BU1527" s="52">
        <f t="shared" si="9188"/>
        <v>0</v>
      </c>
      <c r="BV1527" s="52">
        <f t="shared" si="9188"/>
        <v>0</v>
      </c>
      <c r="BW1527" s="52">
        <f t="shared" si="9188"/>
        <v>0</v>
      </c>
      <c r="BX1527" s="52">
        <f t="shared" ref="BX1527:CO1527" si="9189">SUMIF(End_of_period,BX$1524,Cash_EoP)</f>
        <v>0</v>
      </c>
      <c r="BY1527" s="52">
        <f t="shared" si="9189"/>
        <v>0</v>
      </c>
      <c r="BZ1527" s="52">
        <f t="shared" si="9189"/>
        <v>0</v>
      </c>
      <c r="CA1527" s="52">
        <f t="shared" si="9189"/>
        <v>0</v>
      </c>
      <c r="CB1527" s="52">
        <f t="shared" si="9189"/>
        <v>0</v>
      </c>
      <c r="CC1527" s="52">
        <f t="shared" si="9189"/>
        <v>0</v>
      </c>
      <c r="CD1527" s="52">
        <f t="shared" si="9189"/>
        <v>0</v>
      </c>
      <c r="CE1527" s="52">
        <f t="shared" si="9189"/>
        <v>0</v>
      </c>
      <c r="CF1527" s="52">
        <f t="shared" si="9189"/>
        <v>0</v>
      </c>
      <c r="CG1527" s="52">
        <f t="shared" si="9189"/>
        <v>0</v>
      </c>
      <c r="CH1527" s="52">
        <f t="shared" si="9189"/>
        <v>0</v>
      </c>
      <c r="CI1527" s="52">
        <f t="shared" si="9189"/>
        <v>0</v>
      </c>
      <c r="CJ1527" s="52">
        <f t="shared" si="9189"/>
        <v>0</v>
      </c>
      <c r="CK1527" s="52">
        <f t="shared" si="9189"/>
        <v>0</v>
      </c>
      <c r="CL1527" s="52">
        <f t="shared" si="9189"/>
        <v>0</v>
      </c>
      <c r="CM1527" s="52">
        <f t="shared" si="9189"/>
        <v>0</v>
      </c>
      <c r="CN1527" s="52">
        <f t="shared" si="9189"/>
        <v>0</v>
      </c>
      <c r="CO1527" s="52">
        <f t="shared" si="9189"/>
        <v>0</v>
      </c>
    </row>
    <row r="1528" spans="1:93">
      <c r="A1528" s="10"/>
      <c r="B1528" s="10"/>
      <c r="C1528" s="17" t="s">
        <v>150</v>
      </c>
      <c r="D1528" s="10"/>
      <c r="E1528" s="10"/>
      <c r="F1528" s="10"/>
      <c r="G1528" s="142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  <c r="AX1528" s="10"/>
      <c r="AY1528" s="10"/>
      <c r="AZ1528" s="10"/>
      <c r="BA1528" s="10"/>
      <c r="BB1528" s="10"/>
      <c r="BC1528" s="10"/>
      <c r="BD1528" s="10"/>
      <c r="BE1528" s="10"/>
      <c r="BF1528" s="10"/>
      <c r="BG1528" s="10"/>
      <c r="BH1528" s="10"/>
      <c r="BI1528" s="10"/>
      <c r="BJ1528" s="10"/>
      <c r="BK1528" s="10"/>
      <c r="BL1528" s="10"/>
      <c r="BM1528" s="10"/>
      <c r="BN1528" s="10"/>
      <c r="BO1528" s="10"/>
      <c r="BP1528" s="10"/>
      <c r="BQ1528" s="10"/>
      <c r="BR1528" s="10"/>
      <c r="BS1528" s="10"/>
      <c r="BT1528" s="10"/>
      <c r="BU1528" s="10"/>
      <c r="BV1528" s="10"/>
      <c r="BW1528" s="10"/>
      <c r="BX1528" s="10"/>
      <c r="BY1528" s="10"/>
      <c r="BZ1528" s="10"/>
      <c r="CA1528" s="10"/>
      <c r="CB1528" s="10"/>
      <c r="CC1528" s="10"/>
      <c r="CD1528" s="10"/>
      <c r="CE1528" s="10"/>
      <c r="CF1528" s="10"/>
      <c r="CG1528" s="10"/>
      <c r="CH1528" s="10"/>
      <c r="CI1528" s="10"/>
      <c r="CJ1528" s="10"/>
      <c r="CK1528" s="10"/>
      <c r="CL1528" s="10"/>
      <c r="CM1528" s="10"/>
      <c r="CN1528" s="10"/>
      <c r="CO1528" s="10"/>
    </row>
    <row r="1529" spans="1:93">
      <c r="A1529" s="10"/>
      <c r="B1529" s="10"/>
      <c r="C1529" s="17" t="s">
        <v>256</v>
      </c>
      <c r="D1529" s="10"/>
      <c r="E1529" s="10"/>
      <c r="F1529" s="10"/>
      <c r="G1529" s="142" t="s">
        <v>378</v>
      </c>
      <c r="H1529" s="10"/>
      <c r="I1529" s="10"/>
      <c r="J1529" s="10"/>
      <c r="K1529" s="10"/>
      <c r="L1529" s="27">
        <f t="shared" ref="L1529" ca="1" si="9190">IF((L1526&lt;=0),0,L1525/L1526)</f>
        <v>0</v>
      </c>
      <c r="M1529" s="27">
        <f t="shared" ref="M1529:BX1529" ca="1" si="9191">IF((M1526&lt;=0),0,M1525/M1526)</f>
        <v>0</v>
      </c>
      <c r="N1529" s="27">
        <f t="shared" ca="1" si="9191"/>
        <v>0</v>
      </c>
      <c r="O1529" s="27">
        <f t="shared" ca="1" si="9191"/>
        <v>0</v>
      </c>
      <c r="P1529" s="27">
        <f t="shared" ca="1" si="9191"/>
        <v>7.0298075673002005</v>
      </c>
      <c r="Q1529" s="27">
        <f t="shared" ca="1" si="9191"/>
        <v>4.3022233465836646</v>
      </c>
      <c r="R1529" s="27">
        <f t="shared" ca="1" si="9191"/>
        <v>3.1326580029891447</v>
      </c>
      <c r="S1529" s="27">
        <f t="shared" ca="1" si="9191"/>
        <v>2.258096602391082</v>
      </c>
      <c r="T1529" s="27">
        <f t="shared" ca="1" si="9191"/>
        <v>1.6671338388810331</v>
      </c>
      <c r="U1529" s="27">
        <f t="shared" ca="1" si="9191"/>
        <v>1.5986788769229825</v>
      </c>
      <c r="V1529" s="27">
        <f t="shared" ca="1" si="9191"/>
        <v>0.87750902941922704</v>
      </c>
      <c r="W1529" s="27">
        <f t="shared" ca="1" si="9191"/>
        <v>0</v>
      </c>
      <c r="X1529" s="27">
        <f t="shared" ca="1" si="9191"/>
        <v>0</v>
      </c>
      <c r="Y1529" s="27">
        <f t="shared" ca="1" si="9191"/>
        <v>0</v>
      </c>
      <c r="Z1529" s="27">
        <f t="shared" ca="1" si="9191"/>
        <v>0</v>
      </c>
      <c r="AA1529" s="27">
        <f t="shared" ca="1" si="9191"/>
        <v>0</v>
      </c>
      <c r="AB1529" s="27">
        <f t="shared" ca="1" si="9191"/>
        <v>0</v>
      </c>
      <c r="AC1529" s="27">
        <f t="shared" ca="1" si="9191"/>
        <v>0</v>
      </c>
      <c r="AD1529" s="27">
        <f t="shared" ca="1" si="9191"/>
        <v>0</v>
      </c>
      <c r="AE1529" s="27">
        <f t="shared" ca="1" si="9191"/>
        <v>0</v>
      </c>
      <c r="AF1529" s="27">
        <f t="shared" ca="1" si="9191"/>
        <v>0</v>
      </c>
      <c r="AG1529" s="27">
        <f t="shared" si="9191"/>
        <v>0</v>
      </c>
      <c r="AH1529" s="27">
        <f t="shared" si="9191"/>
        <v>0</v>
      </c>
      <c r="AI1529" s="27">
        <f t="shared" si="9191"/>
        <v>0</v>
      </c>
      <c r="AJ1529" s="27">
        <f t="shared" si="9191"/>
        <v>0</v>
      </c>
      <c r="AK1529" s="27">
        <f t="shared" si="9191"/>
        <v>0</v>
      </c>
      <c r="AL1529" s="27">
        <f t="shared" si="9191"/>
        <v>0</v>
      </c>
      <c r="AM1529" s="27">
        <f t="shared" si="9191"/>
        <v>0</v>
      </c>
      <c r="AN1529" s="27">
        <f t="shared" si="9191"/>
        <v>0</v>
      </c>
      <c r="AO1529" s="27">
        <f t="shared" si="9191"/>
        <v>0</v>
      </c>
      <c r="AP1529" s="27">
        <f t="shared" si="9191"/>
        <v>0</v>
      </c>
      <c r="AQ1529" s="27">
        <f t="shared" si="9191"/>
        <v>0</v>
      </c>
      <c r="AR1529" s="27">
        <f t="shared" si="9191"/>
        <v>0</v>
      </c>
      <c r="AS1529" s="27">
        <f t="shared" si="9191"/>
        <v>0</v>
      </c>
      <c r="AT1529" s="27">
        <f t="shared" si="9191"/>
        <v>0</v>
      </c>
      <c r="AU1529" s="27">
        <f t="shared" si="9191"/>
        <v>0</v>
      </c>
      <c r="AV1529" s="27">
        <f t="shared" si="9191"/>
        <v>0</v>
      </c>
      <c r="AW1529" s="27">
        <f t="shared" si="9191"/>
        <v>0</v>
      </c>
      <c r="AX1529" s="27">
        <f t="shared" si="9191"/>
        <v>0</v>
      </c>
      <c r="AY1529" s="27">
        <f t="shared" si="9191"/>
        <v>0</v>
      </c>
      <c r="AZ1529" s="27">
        <f t="shared" si="9191"/>
        <v>0</v>
      </c>
      <c r="BA1529" s="27">
        <f t="shared" si="9191"/>
        <v>0</v>
      </c>
      <c r="BB1529" s="27">
        <f t="shared" si="9191"/>
        <v>0</v>
      </c>
      <c r="BC1529" s="27">
        <f t="shared" si="9191"/>
        <v>0</v>
      </c>
      <c r="BD1529" s="27">
        <f t="shared" si="9191"/>
        <v>0</v>
      </c>
      <c r="BE1529" s="27">
        <f t="shared" si="9191"/>
        <v>0</v>
      </c>
      <c r="BF1529" s="27">
        <f t="shared" si="9191"/>
        <v>0</v>
      </c>
      <c r="BG1529" s="27">
        <f t="shared" si="9191"/>
        <v>0</v>
      </c>
      <c r="BH1529" s="27">
        <f t="shared" si="9191"/>
        <v>0</v>
      </c>
      <c r="BI1529" s="27">
        <f t="shared" si="9191"/>
        <v>0</v>
      </c>
      <c r="BJ1529" s="27">
        <f t="shared" si="9191"/>
        <v>0</v>
      </c>
      <c r="BK1529" s="27">
        <f t="shared" si="9191"/>
        <v>0</v>
      </c>
      <c r="BL1529" s="27">
        <f t="shared" si="9191"/>
        <v>0</v>
      </c>
      <c r="BM1529" s="27">
        <f t="shared" si="9191"/>
        <v>0</v>
      </c>
      <c r="BN1529" s="27">
        <f t="shared" si="9191"/>
        <v>0</v>
      </c>
      <c r="BO1529" s="27">
        <f t="shared" si="9191"/>
        <v>0</v>
      </c>
      <c r="BP1529" s="27">
        <f t="shared" si="9191"/>
        <v>0</v>
      </c>
      <c r="BQ1529" s="27">
        <f t="shared" si="9191"/>
        <v>0</v>
      </c>
      <c r="BR1529" s="27">
        <f t="shared" si="9191"/>
        <v>0</v>
      </c>
      <c r="BS1529" s="27">
        <f t="shared" si="9191"/>
        <v>0</v>
      </c>
      <c r="BT1529" s="27">
        <f t="shared" si="9191"/>
        <v>0</v>
      </c>
      <c r="BU1529" s="27">
        <f t="shared" si="9191"/>
        <v>0</v>
      </c>
      <c r="BV1529" s="27">
        <f t="shared" si="9191"/>
        <v>0</v>
      </c>
      <c r="BW1529" s="27">
        <f t="shared" si="9191"/>
        <v>0</v>
      </c>
      <c r="BX1529" s="27">
        <f t="shared" si="9191"/>
        <v>0</v>
      </c>
      <c r="BY1529" s="27">
        <f t="shared" ref="BY1529:CO1529" si="9192">IF((BY1526&lt;=0),0,BY1525/BY1526)</f>
        <v>0</v>
      </c>
      <c r="BZ1529" s="27">
        <f t="shared" si="9192"/>
        <v>0</v>
      </c>
      <c r="CA1529" s="27">
        <f t="shared" si="9192"/>
        <v>0</v>
      </c>
      <c r="CB1529" s="27">
        <f t="shared" si="9192"/>
        <v>0</v>
      </c>
      <c r="CC1529" s="27">
        <f t="shared" si="9192"/>
        <v>0</v>
      </c>
      <c r="CD1529" s="27">
        <f t="shared" si="9192"/>
        <v>0</v>
      </c>
      <c r="CE1529" s="27">
        <f t="shared" si="9192"/>
        <v>0</v>
      </c>
      <c r="CF1529" s="27">
        <f t="shared" si="9192"/>
        <v>0</v>
      </c>
      <c r="CG1529" s="27">
        <f t="shared" si="9192"/>
        <v>0</v>
      </c>
      <c r="CH1529" s="27">
        <f t="shared" si="9192"/>
        <v>0</v>
      </c>
      <c r="CI1529" s="27">
        <f t="shared" si="9192"/>
        <v>0</v>
      </c>
      <c r="CJ1529" s="27">
        <f t="shared" si="9192"/>
        <v>0</v>
      </c>
      <c r="CK1529" s="27">
        <f t="shared" si="9192"/>
        <v>0</v>
      </c>
      <c r="CL1529" s="27">
        <f t="shared" si="9192"/>
        <v>0</v>
      </c>
      <c r="CM1529" s="27">
        <f t="shared" si="9192"/>
        <v>0</v>
      </c>
      <c r="CN1529" s="27">
        <f t="shared" si="9192"/>
        <v>0</v>
      </c>
      <c r="CO1529" s="27">
        <f t="shared" si="9192"/>
        <v>0</v>
      </c>
    </row>
    <row r="1530" spans="1:93">
      <c r="A1530" s="10"/>
      <c r="B1530" s="10"/>
      <c r="C1530" s="17"/>
      <c r="D1530" s="10"/>
      <c r="E1530" s="10"/>
      <c r="F1530" s="10"/>
      <c r="G1530" s="142"/>
      <c r="H1530" s="10"/>
      <c r="I1530" s="10"/>
      <c r="J1530" s="10"/>
      <c r="K1530" s="10"/>
      <c r="L1530" s="201"/>
      <c r="M1530" s="201"/>
      <c r="N1530" s="201"/>
      <c r="O1530" s="201"/>
      <c r="P1530" s="201"/>
      <c r="Q1530" s="201"/>
      <c r="R1530" s="201"/>
      <c r="S1530" s="201"/>
      <c r="T1530" s="201"/>
      <c r="U1530" s="201"/>
      <c r="V1530" s="201"/>
      <c r="W1530" s="201"/>
      <c r="X1530" s="201"/>
      <c r="Y1530" s="201"/>
      <c r="Z1530" s="201"/>
      <c r="AA1530" s="201"/>
      <c r="AB1530" s="201"/>
      <c r="AC1530" s="201"/>
      <c r="AD1530" s="201"/>
      <c r="AE1530" s="201"/>
      <c r="AF1530" s="201"/>
      <c r="AG1530" s="201"/>
      <c r="AH1530" s="201"/>
      <c r="AI1530" s="201"/>
      <c r="AJ1530" s="201"/>
      <c r="AK1530" s="201"/>
      <c r="AL1530" s="201"/>
      <c r="AM1530" s="201"/>
      <c r="AN1530" s="201"/>
      <c r="AO1530" s="201"/>
      <c r="AP1530" s="201"/>
      <c r="AQ1530" s="201"/>
      <c r="AR1530" s="201"/>
      <c r="AS1530" s="201"/>
      <c r="AT1530" s="201"/>
      <c r="AU1530" s="201"/>
      <c r="AV1530" s="201"/>
      <c r="AW1530" s="201"/>
      <c r="AX1530" s="201"/>
      <c r="AY1530" s="201"/>
      <c r="AZ1530" s="201"/>
      <c r="BA1530" s="201"/>
      <c r="BB1530" s="201"/>
      <c r="BC1530" s="201"/>
      <c r="BD1530" s="201"/>
      <c r="BE1530" s="201"/>
      <c r="BF1530" s="201"/>
      <c r="BG1530" s="201"/>
      <c r="BH1530" s="201"/>
      <c r="BI1530" s="201"/>
      <c r="BJ1530" s="201"/>
      <c r="BK1530" s="201"/>
      <c r="BL1530" s="201"/>
      <c r="BM1530" s="201"/>
      <c r="BN1530" s="201"/>
      <c r="BO1530" s="201"/>
      <c r="BP1530" s="201"/>
      <c r="BQ1530" s="201"/>
      <c r="BR1530" s="201"/>
      <c r="BS1530" s="201"/>
      <c r="BT1530" s="201"/>
      <c r="BU1530" s="201"/>
      <c r="BV1530" s="201"/>
      <c r="BW1530" s="201"/>
      <c r="BX1530" s="201"/>
      <c r="BY1530" s="201"/>
      <c r="BZ1530" s="201"/>
      <c r="CA1530" s="201"/>
      <c r="CB1530" s="201"/>
      <c r="CC1530" s="201"/>
      <c r="CD1530" s="201"/>
      <c r="CE1530" s="201"/>
      <c r="CF1530" s="201"/>
      <c r="CG1530" s="201"/>
      <c r="CH1530" s="201"/>
      <c r="CI1530" s="201"/>
      <c r="CJ1530" s="201"/>
      <c r="CK1530" s="201"/>
      <c r="CL1530" s="201"/>
      <c r="CM1530" s="201"/>
      <c r="CN1530" s="201"/>
      <c r="CO1530" s="201"/>
    </row>
    <row r="1531" spans="1:93">
      <c r="A1531" s="10"/>
      <c r="B1531" s="10"/>
      <c r="C1531" s="17" t="s">
        <v>248</v>
      </c>
      <c r="D1531" s="10"/>
      <c r="E1531" s="195">
        <f t="array" aca="1" ref="E1531" ca="1">AVERAGE(IF(L1529:CO1529&lt;&gt;0,L1529:CO1529))</f>
        <v>2.9808724663553332</v>
      </c>
      <c r="F1531" s="10"/>
      <c r="G1531" s="142" t="s">
        <v>378</v>
      </c>
      <c r="H1531" s="10"/>
      <c r="I1531" s="10"/>
      <c r="J1531" s="10"/>
      <c r="K1531" s="10"/>
      <c r="L1531" s="201"/>
      <c r="M1531" s="201"/>
      <c r="N1531" s="201"/>
      <c r="O1531" s="201"/>
      <c r="P1531" s="201"/>
      <c r="Q1531" s="201"/>
      <c r="R1531" s="201"/>
      <c r="S1531" s="201"/>
      <c r="T1531" s="201"/>
      <c r="U1531" s="201"/>
      <c r="V1531" s="201"/>
      <c r="W1531" s="201"/>
      <c r="X1531" s="201"/>
      <c r="Y1531" s="201"/>
      <c r="Z1531" s="201"/>
      <c r="AA1531" s="201"/>
      <c r="AB1531" s="201"/>
      <c r="AC1531" s="201"/>
      <c r="AD1531" s="201"/>
      <c r="AE1531" s="201"/>
      <c r="AF1531" s="201"/>
      <c r="AG1531" s="201"/>
      <c r="AH1531" s="201"/>
      <c r="AI1531" s="201"/>
      <c r="AJ1531" s="201"/>
      <c r="AK1531" s="201"/>
      <c r="AL1531" s="201"/>
      <c r="AM1531" s="201"/>
      <c r="AN1531" s="201"/>
      <c r="AO1531" s="201"/>
      <c r="AP1531" s="201"/>
      <c r="AQ1531" s="201"/>
      <c r="AR1531" s="201"/>
      <c r="AS1531" s="201"/>
      <c r="AT1531" s="201"/>
      <c r="AU1531" s="201"/>
      <c r="AV1531" s="201"/>
      <c r="AW1531" s="201"/>
      <c r="AX1531" s="201"/>
      <c r="AY1531" s="201"/>
      <c r="AZ1531" s="201"/>
      <c r="BA1531" s="201"/>
      <c r="BB1531" s="201"/>
      <c r="BC1531" s="201"/>
      <c r="BD1531" s="201"/>
      <c r="BE1531" s="201"/>
      <c r="BF1531" s="201"/>
      <c r="BG1531" s="201"/>
      <c r="BH1531" s="201"/>
      <c r="BI1531" s="201"/>
      <c r="BJ1531" s="201"/>
      <c r="BK1531" s="201"/>
      <c r="BL1531" s="201"/>
      <c r="BM1531" s="201"/>
      <c r="BN1531" s="201"/>
      <c r="BO1531" s="201"/>
      <c r="BP1531" s="201"/>
      <c r="BQ1531" s="201"/>
      <c r="BR1531" s="201"/>
      <c r="BS1531" s="201"/>
      <c r="BT1531" s="201"/>
      <c r="BU1531" s="201"/>
      <c r="BV1531" s="201"/>
      <c r="BW1531" s="201"/>
      <c r="BX1531" s="201"/>
      <c r="BY1531" s="201"/>
      <c r="BZ1531" s="201"/>
      <c r="CA1531" s="201"/>
      <c r="CB1531" s="201"/>
      <c r="CC1531" s="201"/>
      <c r="CD1531" s="201"/>
      <c r="CE1531" s="201"/>
      <c r="CF1531" s="201"/>
      <c r="CG1531" s="201"/>
      <c r="CH1531" s="201"/>
      <c r="CI1531" s="201"/>
      <c r="CJ1531" s="201"/>
      <c r="CK1531" s="201"/>
      <c r="CL1531" s="201"/>
      <c r="CM1531" s="201"/>
      <c r="CN1531" s="201"/>
      <c r="CO1531" s="201"/>
    </row>
    <row r="1532" spans="1:93">
      <c r="A1532" s="10"/>
      <c r="B1532" s="10"/>
      <c r="C1532" s="17" t="s">
        <v>251</v>
      </c>
      <c r="D1532" s="10"/>
      <c r="E1532" s="195">
        <f t="array" aca="1" ref="E1532" ca="1">MAX(IF(L1529:CO1529&lt;&gt;0,L1529:CO1529))</f>
        <v>7.0298075673002005</v>
      </c>
      <c r="F1532" s="10"/>
      <c r="G1532" s="142" t="s">
        <v>378</v>
      </c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  <c r="AX1532" s="10"/>
      <c r="AY1532" s="10"/>
      <c r="AZ1532" s="10"/>
      <c r="BA1532" s="10"/>
      <c r="BB1532" s="10"/>
      <c r="BC1532" s="10"/>
      <c r="BD1532" s="10"/>
      <c r="BE1532" s="10"/>
      <c r="BF1532" s="10"/>
      <c r="BG1532" s="10"/>
      <c r="BH1532" s="10"/>
      <c r="BI1532" s="10"/>
      <c r="BJ1532" s="10"/>
      <c r="BK1532" s="10"/>
      <c r="BL1532" s="10"/>
      <c r="BM1532" s="10"/>
      <c r="BN1532" s="10"/>
      <c r="BO1532" s="10"/>
      <c r="BP1532" s="10"/>
      <c r="BQ1532" s="10"/>
      <c r="BR1532" s="10"/>
      <c r="BS1532" s="10"/>
      <c r="BT1532" s="10"/>
      <c r="BU1532" s="10"/>
      <c r="BV1532" s="10"/>
      <c r="BW1532" s="10"/>
      <c r="BX1532" s="10"/>
      <c r="BY1532" s="10"/>
      <c r="BZ1532" s="10"/>
      <c r="CA1532" s="10"/>
      <c r="CB1532" s="10"/>
      <c r="CC1532" s="10"/>
      <c r="CD1532" s="10"/>
      <c r="CE1532" s="10"/>
      <c r="CF1532" s="10"/>
      <c r="CG1532" s="10"/>
      <c r="CH1532" s="10"/>
      <c r="CI1532" s="10"/>
      <c r="CJ1532" s="10"/>
      <c r="CK1532" s="10"/>
      <c r="CL1532" s="10"/>
      <c r="CM1532" s="10"/>
      <c r="CN1532" s="10"/>
      <c r="CO1532" s="10"/>
    </row>
    <row r="1533" spans="1:93">
      <c r="A1533" s="10"/>
      <c r="B1533" s="10"/>
      <c r="C1533" s="17" t="s">
        <v>150</v>
      </c>
      <c r="D1533" s="10"/>
      <c r="E1533" s="10"/>
      <c r="F1533" s="10"/>
      <c r="G1533" s="142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  <c r="AT1533" s="10"/>
      <c r="AU1533" s="10"/>
      <c r="AV1533" s="10"/>
      <c r="AW1533" s="10"/>
      <c r="AX1533" s="10"/>
      <c r="AY1533" s="10"/>
      <c r="AZ1533" s="10"/>
      <c r="BA1533" s="10"/>
      <c r="BB1533" s="10"/>
      <c r="BC1533" s="10"/>
      <c r="BD1533" s="10"/>
      <c r="BE1533" s="10"/>
      <c r="BF1533" s="10"/>
      <c r="BG1533" s="10"/>
      <c r="BH1533" s="10"/>
      <c r="BI1533" s="10"/>
      <c r="BJ1533" s="10"/>
      <c r="BK1533" s="10"/>
      <c r="BL1533" s="10"/>
      <c r="BM1533" s="10"/>
      <c r="BN1533" s="10"/>
      <c r="BO1533" s="10"/>
      <c r="BP1533" s="10"/>
      <c r="BQ1533" s="10"/>
      <c r="BR1533" s="10"/>
      <c r="BS1533" s="10"/>
      <c r="BT1533" s="10"/>
      <c r="BU1533" s="10"/>
      <c r="BV1533" s="10"/>
      <c r="BW1533" s="10"/>
      <c r="BX1533" s="10"/>
      <c r="BY1533" s="10"/>
      <c r="BZ1533" s="10"/>
      <c r="CA1533" s="10"/>
      <c r="CB1533" s="10"/>
      <c r="CC1533" s="10"/>
      <c r="CD1533" s="10"/>
      <c r="CE1533" s="10"/>
      <c r="CF1533" s="10"/>
      <c r="CG1533" s="10"/>
      <c r="CH1533" s="10"/>
      <c r="CI1533" s="10"/>
      <c r="CJ1533" s="10"/>
      <c r="CK1533" s="10"/>
      <c r="CL1533" s="10"/>
      <c r="CM1533" s="10"/>
      <c r="CN1533" s="10"/>
      <c r="CO1533" s="10"/>
    </row>
    <row r="1534" spans="1:93">
      <c r="A1534" s="10"/>
      <c r="B1534" s="10"/>
      <c r="C1534" s="17" t="s">
        <v>257</v>
      </c>
      <c r="D1534" s="10"/>
      <c r="E1534" s="10"/>
      <c r="F1534" s="10"/>
      <c r="G1534" s="142" t="s">
        <v>378</v>
      </c>
      <c r="H1534" s="10"/>
      <c r="I1534" s="10"/>
      <c r="J1534" s="10"/>
      <c r="K1534" s="10"/>
      <c r="L1534" s="27">
        <f t="shared" ref="L1534" ca="1" si="9193">IF(L1526&lt;=0,0,MAX(L1525-L1527,0)/L1526)</f>
        <v>0</v>
      </c>
      <c r="M1534" s="27">
        <f t="shared" ref="M1534:BX1534" ca="1" si="9194">IF(M1526&lt;=0,0,MAX(M1525-M1527,0)/M1526)</f>
        <v>0</v>
      </c>
      <c r="N1534" s="27">
        <f t="shared" ca="1" si="9194"/>
        <v>0</v>
      </c>
      <c r="O1534" s="27">
        <f t="shared" ca="1" si="9194"/>
        <v>0</v>
      </c>
      <c r="P1534" s="27">
        <f t="shared" ca="1" si="9194"/>
        <v>5.925459007585661</v>
      </c>
      <c r="Q1534" s="27">
        <f t="shared" ca="1" si="9194"/>
        <v>3.8145629289327005</v>
      </c>
      <c r="R1534" s="27">
        <f t="shared" ca="1" si="9194"/>
        <v>2.9867936829194046</v>
      </c>
      <c r="S1534" s="27">
        <f t="shared" ca="1" si="9194"/>
        <v>2.258096602391082</v>
      </c>
      <c r="T1534" s="27">
        <f t="shared" ca="1" si="9194"/>
        <v>1.6671338388810331</v>
      </c>
      <c r="U1534" s="27">
        <f t="shared" ca="1" si="9194"/>
        <v>1.5986788769229825</v>
      </c>
      <c r="V1534" s="27">
        <f t="shared" ca="1" si="9194"/>
        <v>0.87750902941922704</v>
      </c>
      <c r="W1534" s="27">
        <f t="shared" ca="1" si="9194"/>
        <v>0</v>
      </c>
      <c r="X1534" s="27">
        <f t="shared" ca="1" si="9194"/>
        <v>0</v>
      </c>
      <c r="Y1534" s="27">
        <f t="shared" ca="1" si="9194"/>
        <v>0</v>
      </c>
      <c r="Z1534" s="27">
        <f t="shared" ca="1" si="9194"/>
        <v>0</v>
      </c>
      <c r="AA1534" s="27">
        <f t="shared" ca="1" si="9194"/>
        <v>0</v>
      </c>
      <c r="AB1534" s="27">
        <f t="shared" ca="1" si="9194"/>
        <v>0</v>
      </c>
      <c r="AC1534" s="27">
        <f t="shared" ca="1" si="9194"/>
        <v>0</v>
      </c>
      <c r="AD1534" s="27">
        <f t="shared" ca="1" si="9194"/>
        <v>0</v>
      </c>
      <c r="AE1534" s="27">
        <f t="shared" ca="1" si="9194"/>
        <v>0</v>
      </c>
      <c r="AF1534" s="27">
        <f t="shared" ca="1" si="9194"/>
        <v>0</v>
      </c>
      <c r="AG1534" s="27">
        <f t="shared" si="9194"/>
        <v>0</v>
      </c>
      <c r="AH1534" s="27">
        <f t="shared" si="9194"/>
        <v>0</v>
      </c>
      <c r="AI1534" s="27">
        <f t="shared" si="9194"/>
        <v>0</v>
      </c>
      <c r="AJ1534" s="27">
        <f t="shared" si="9194"/>
        <v>0</v>
      </c>
      <c r="AK1534" s="27">
        <f t="shared" si="9194"/>
        <v>0</v>
      </c>
      <c r="AL1534" s="27">
        <f t="shared" si="9194"/>
        <v>0</v>
      </c>
      <c r="AM1534" s="27">
        <f t="shared" si="9194"/>
        <v>0</v>
      </c>
      <c r="AN1534" s="27">
        <f t="shared" si="9194"/>
        <v>0</v>
      </c>
      <c r="AO1534" s="27">
        <f t="shared" si="9194"/>
        <v>0</v>
      </c>
      <c r="AP1534" s="27">
        <f t="shared" si="9194"/>
        <v>0</v>
      </c>
      <c r="AQ1534" s="27">
        <f t="shared" si="9194"/>
        <v>0</v>
      </c>
      <c r="AR1534" s="27">
        <f t="shared" si="9194"/>
        <v>0</v>
      </c>
      <c r="AS1534" s="27">
        <f t="shared" si="9194"/>
        <v>0</v>
      </c>
      <c r="AT1534" s="27">
        <f t="shared" si="9194"/>
        <v>0</v>
      </c>
      <c r="AU1534" s="27">
        <f t="shared" si="9194"/>
        <v>0</v>
      </c>
      <c r="AV1534" s="27">
        <f t="shared" si="9194"/>
        <v>0</v>
      </c>
      <c r="AW1534" s="27">
        <f t="shared" si="9194"/>
        <v>0</v>
      </c>
      <c r="AX1534" s="27">
        <f t="shared" si="9194"/>
        <v>0</v>
      </c>
      <c r="AY1534" s="27">
        <f t="shared" si="9194"/>
        <v>0</v>
      </c>
      <c r="AZ1534" s="27">
        <f t="shared" si="9194"/>
        <v>0</v>
      </c>
      <c r="BA1534" s="27">
        <f t="shared" si="9194"/>
        <v>0</v>
      </c>
      <c r="BB1534" s="27">
        <f t="shared" si="9194"/>
        <v>0</v>
      </c>
      <c r="BC1534" s="27">
        <f t="shared" si="9194"/>
        <v>0</v>
      </c>
      <c r="BD1534" s="27">
        <f t="shared" si="9194"/>
        <v>0</v>
      </c>
      <c r="BE1534" s="27">
        <f t="shared" si="9194"/>
        <v>0</v>
      </c>
      <c r="BF1534" s="27">
        <f t="shared" si="9194"/>
        <v>0</v>
      </c>
      <c r="BG1534" s="27">
        <f t="shared" si="9194"/>
        <v>0</v>
      </c>
      <c r="BH1534" s="27">
        <f t="shared" si="9194"/>
        <v>0</v>
      </c>
      <c r="BI1534" s="27">
        <f t="shared" si="9194"/>
        <v>0</v>
      </c>
      <c r="BJ1534" s="27">
        <f t="shared" si="9194"/>
        <v>0</v>
      </c>
      <c r="BK1534" s="27">
        <f t="shared" si="9194"/>
        <v>0</v>
      </c>
      <c r="BL1534" s="27">
        <f t="shared" si="9194"/>
        <v>0</v>
      </c>
      <c r="BM1534" s="27">
        <f t="shared" si="9194"/>
        <v>0</v>
      </c>
      <c r="BN1534" s="27">
        <f t="shared" si="9194"/>
        <v>0</v>
      </c>
      <c r="BO1534" s="27">
        <f t="shared" si="9194"/>
        <v>0</v>
      </c>
      <c r="BP1534" s="27">
        <f t="shared" si="9194"/>
        <v>0</v>
      </c>
      <c r="BQ1534" s="27">
        <f t="shared" si="9194"/>
        <v>0</v>
      </c>
      <c r="BR1534" s="27">
        <f t="shared" si="9194"/>
        <v>0</v>
      </c>
      <c r="BS1534" s="27">
        <f t="shared" si="9194"/>
        <v>0</v>
      </c>
      <c r="BT1534" s="27">
        <f t="shared" si="9194"/>
        <v>0</v>
      </c>
      <c r="BU1534" s="27">
        <f t="shared" si="9194"/>
        <v>0</v>
      </c>
      <c r="BV1534" s="27">
        <f t="shared" si="9194"/>
        <v>0</v>
      </c>
      <c r="BW1534" s="27">
        <f t="shared" si="9194"/>
        <v>0</v>
      </c>
      <c r="BX1534" s="27">
        <f t="shared" si="9194"/>
        <v>0</v>
      </c>
      <c r="BY1534" s="27">
        <f t="shared" ref="BY1534:CO1534" si="9195">IF(BY1526&lt;=0,0,MAX(BY1525-BY1527,0)/BY1526)</f>
        <v>0</v>
      </c>
      <c r="BZ1534" s="27">
        <f t="shared" si="9195"/>
        <v>0</v>
      </c>
      <c r="CA1534" s="27">
        <f t="shared" si="9195"/>
        <v>0</v>
      </c>
      <c r="CB1534" s="27">
        <f t="shared" si="9195"/>
        <v>0</v>
      </c>
      <c r="CC1534" s="27">
        <f t="shared" si="9195"/>
        <v>0</v>
      </c>
      <c r="CD1534" s="27">
        <f t="shared" si="9195"/>
        <v>0</v>
      </c>
      <c r="CE1534" s="27">
        <f t="shared" si="9195"/>
        <v>0</v>
      </c>
      <c r="CF1534" s="27">
        <f t="shared" si="9195"/>
        <v>0</v>
      </c>
      <c r="CG1534" s="27">
        <f t="shared" si="9195"/>
        <v>0</v>
      </c>
      <c r="CH1534" s="27">
        <f t="shared" si="9195"/>
        <v>0</v>
      </c>
      <c r="CI1534" s="27">
        <f t="shared" si="9195"/>
        <v>0</v>
      </c>
      <c r="CJ1534" s="27">
        <f t="shared" si="9195"/>
        <v>0</v>
      </c>
      <c r="CK1534" s="27">
        <f t="shared" si="9195"/>
        <v>0</v>
      </c>
      <c r="CL1534" s="27">
        <f t="shared" si="9195"/>
        <v>0</v>
      </c>
      <c r="CM1534" s="27">
        <f t="shared" si="9195"/>
        <v>0</v>
      </c>
      <c r="CN1534" s="27">
        <f t="shared" si="9195"/>
        <v>0</v>
      </c>
      <c r="CO1534" s="27">
        <f t="shared" si="9195"/>
        <v>0</v>
      </c>
    </row>
    <row r="1535" spans="1:93">
      <c r="A1535" s="10"/>
      <c r="B1535" s="10"/>
      <c r="C1535" s="17"/>
      <c r="D1535" s="10"/>
      <c r="E1535" s="10"/>
      <c r="F1535" s="10"/>
      <c r="G1535" s="142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  <c r="AX1535" s="10"/>
      <c r="AY1535" s="10"/>
      <c r="AZ1535" s="10"/>
      <c r="BA1535" s="10"/>
      <c r="BB1535" s="10"/>
      <c r="BC1535" s="10"/>
      <c r="BD1535" s="10"/>
      <c r="BE1535" s="10"/>
      <c r="BF1535" s="10"/>
      <c r="BG1535" s="10"/>
      <c r="BH1535" s="10"/>
      <c r="BI1535" s="10"/>
      <c r="BJ1535" s="10"/>
      <c r="BK1535" s="10"/>
      <c r="BL1535" s="10"/>
      <c r="BM1535" s="10"/>
      <c r="BN1535" s="10"/>
      <c r="BO1535" s="10"/>
      <c r="BP1535" s="10"/>
      <c r="BQ1535" s="10"/>
      <c r="BR1535" s="10"/>
      <c r="BS1535" s="10"/>
      <c r="BT1535" s="10"/>
      <c r="BU1535" s="10"/>
      <c r="BV1535" s="10"/>
      <c r="BW1535" s="10"/>
      <c r="BX1535" s="10"/>
      <c r="BY1535" s="10"/>
      <c r="BZ1535" s="10"/>
      <c r="CA1535" s="10"/>
      <c r="CB1535" s="10"/>
      <c r="CC1535" s="10"/>
      <c r="CD1535" s="10"/>
      <c r="CE1535" s="10"/>
      <c r="CF1535" s="10"/>
      <c r="CG1535" s="10"/>
      <c r="CH1535" s="10"/>
      <c r="CI1535" s="10"/>
      <c r="CJ1535" s="10"/>
      <c r="CK1535" s="10"/>
      <c r="CL1535" s="10"/>
      <c r="CM1535" s="10"/>
      <c r="CN1535" s="10"/>
      <c r="CO1535" s="10"/>
    </row>
    <row r="1536" spans="1:93">
      <c r="A1536" s="10"/>
      <c r="B1536" s="10"/>
      <c r="C1536" s="17" t="s">
        <v>248</v>
      </c>
      <c r="D1536" s="10"/>
      <c r="E1536" s="195">
        <f t="array" aca="1" ref="E1536" ca="1">AVERAGE(IF(L1534:CO1534&lt;&gt;0,L1534:CO1534))</f>
        <v>2.7326048524360127</v>
      </c>
      <c r="F1536" s="10"/>
      <c r="G1536" s="142" t="s">
        <v>378</v>
      </c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  <c r="AX1536" s="10"/>
      <c r="AY1536" s="10"/>
      <c r="AZ1536" s="10"/>
      <c r="BA1536" s="10"/>
      <c r="BB1536" s="10"/>
      <c r="BC1536" s="10"/>
      <c r="BD1536" s="10"/>
      <c r="BE1536" s="10"/>
      <c r="BF1536" s="10"/>
      <c r="BG1536" s="10"/>
      <c r="BH1536" s="10"/>
      <c r="BI1536" s="10"/>
      <c r="BJ1536" s="10"/>
      <c r="BK1536" s="10"/>
      <c r="BL1536" s="10"/>
      <c r="BM1536" s="10"/>
      <c r="BN1536" s="10"/>
      <c r="BO1536" s="10"/>
      <c r="BP1536" s="10"/>
      <c r="BQ1536" s="10"/>
      <c r="BR1536" s="10"/>
      <c r="BS1536" s="10"/>
      <c r="BT1536" s="10"/>
      <c r="BU1536" s="10"/>
      <c r="BV1536" s="10"/>
      <c r="BW1536" s="10"/>
      <c r="BX1536" s="10"/>
      <c r="BY1536" s="10"/>
      <c r="BZ1536" s="10"/>
      <c r="CA1536" s="10"/>
      <c r="CB1536" s="10"/>
      <c r="CC1536" s="10"/>
      <c r="CD1536" s="10"/>
      <c r="CE1536" s="10"/>
      <c r="CF1536" s="10"/>
      <c r="CG1536" s="10"/>
      <c r="CH1536" s="10"/>
      <c r="CI1536" s="10"/>
      <c r="CJ1536" s="10"/>
      <c r="CK1536" s="10"/>
      <c r="CL1536" s="10"/>
      <c r="CM1536" s="10"/>
      <c r="CN1536" s="10"/>
      <c r="CO1536" s="10"/>
    </row>
    <row r="1537" spans="1:93">
      <c r="A1537" s="10"/>
      <c r="B1537" s="10"/>
      <c r="C1537" s="17" t="s">
        <v>251</v>
      </c>
      <c r="D1537" s="10"/>
      <c r="E1537" s="195">
        <f t="array" aca="1" ref="E1537" ca="1">MAX(IF(L1534:CO1534&lt;&gt;0,L1534:CO1534))</f>
        <v>5.925459007585661</v>
      </c>
      <c r="F1537" s="10"/>
      <c r="G1537" s="142" t="s">
        <v>378</v>
      </c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  <c r="AX1537" s="10"/>
      <c r="AY1537" s="10"/>
      <c r="AZ1537" s="10"/>
      <c r="BA1537" s="10"/>
      <c r="BB1537" s="10"/>
      <c r="BC1537" s="10"/>
      <c r="BD1537" s="10"/>
      <c r="BE1537" s="10"/>
      <c r="BF1537" s="10"/>
      <c r="BG1537" s="10"/>
      <c r="BH1537" s="10"/>
      <c r="BI1537" s="10"/>
      <c r="BJ1537" s="10"/>
      <c r="BK1537" s="10"/>
      <c r="BL1537" s="10"/>
      <c r="BM1537" s="10"/>
      <c r="BN1537" s="10"/>
      <c r="BO1537" s="10"/>
      <c r="BP1537" s="10"/>
      <c r="BQ1537" s="10"/>
      <c r="BR1537" s="10"/>
      <c r="BS1537" s="10"/>
      <c r="BT1537" s="10"/>
      <c r="BU1537" s="10"/>
      <c r="BV1537" s="10"/>
      <c r="BW1537" s="10"/>
      <c r="BX1537" s="10"/>
      <c r="BY1537" s="10"/>
      <c r="BZ1537" s="10"/>
      <c r="CA1537" s="10"/>
      <c r="CB1537" s="10"/>
      <c r="CC1537" s="10"/>
      <c r="CD1537" s="10"/>
      <c r="CE1537" s="10"/>
      <c r="CF1537" s="10"/>
      <c r="CG1537" s="10"/>
      <c r="CH1537" s="10"/>
      <c r="CI1537" s="10"/>
      <c r="CJ1537" s="10"/>
      <c r="CK1537" s="10"/>
      <c r="CL1537" s="10"/>
      <c r="CM1537" s="10"/>
      <c r="CN1537" s="10"/>
      <c r="CO1537" s="10"/>
    </row>
    <row r="1538" spans="1:93"/>
    <row r="1539" spans="1:93" ht="19.149999999999999" customHeight="1">
      <c r="A1539" s="5"/>
      <c r="B1539" s="5" t="s">
        <v>578</v>
      </c>
      <c r="C1539" s="5"/>
      <c r="D1539" s="5"/>
      <c r="E1539" s="5"/>
      <c r="F1539" s="5"/>
      <c r="G1539" s="6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5"/>
      <c r="BP1539" s="5"/>
      <c r="BQ1539" s="5"/>
      <c r="BR1539" s="5"/>
      <c r="BS1539" s="5"/>
      <c r="BT1539" s="5"/>
      <c r="BU1539" s="5"/>
      <c r="BV1539" s="5"/>
      <c r="BW1539" s="5"/>
      <c r="BX1539" s="5"/>
      <c r="BY1539" s="5"/>
      <c r="BZ1539" s="5"/>
      <c r="CA1539" s="5"/>
      <c r="CB1539" s="5"/>
      <c r="CC1539" s="5"/>
      <c r="CD1539" s="5"/>
      <c r="CE1539" s="5"/>
      <c r="CF1539" s="5"/>
      <c r="CG1539" s="5"/>
      <c r="CH1539" s="5"/>
      <c r="CI1539" s="5"/>
      <c r="CJ1539" s="5"/>
      <c r="CK1539" s="5"/>
      <c r="CL1539" s="5"/>
      <c r="CM1539" s="5"/>
      <c r="CN1539" s="5"/>
      <c r="CO1539" s="5"/>
    </row>
    <row r="1540" spans="1:93" hidden="1">
      <c r="E1540"/>
      <c r="G1540" s="25"/>
    </row>
    <row r="1541" spans="1:93" hidden="1">
      <c r="E1541"/>
      <c r="G1541" s="25"/>
    </row>
    <row r="1542" spans="1:93" hidden="1">
      <c r="E1542"/>
      <c r="G1542" s="25"/>
    </row>
    <row r="1543" spans="1:93" hidden="1">
      <c r="E1543"/>
      <c r="G1543" s="25"/>
    </row>
    <row r="1544" spans="1:93" hidden="1">
      <c r="E1544"/>
      <c r="G1544" s="25"/>
    </row>
    <row r="1545" spans="1:93" hidden="1">
      <c r="E1545"/>
      <c r="G1545" s="25"/>
    </row>
    <row r="1546" spans="1:93" hidden="1">
      <c r="E1546"/>
      <c r="G1546" s="25"/>
    </row>
    <row r="1547" spans="1:93" hidden="1">
      <c r="E1547"/>
      <c r="G1547" s="25"/>
    </row>
    <row r="1548" spans="1:93" hidden="1">
      <c r="E1548"/>
      <c r="G1548" s="25"/>
    </row>
    <row r="1549" spans="1:93" hidden="1">
      <c r="E1549"/>
      <c r="G1549" s="25"/>
    </row>
    <row r="1550" spans="1:93" hidden="1">
      <c r="E1550"/>
      <c r="G1550" s="25"/>
    </row>
    <row r="1551" spans="1:93" hidden="1">
      <c r="E1551"/>
      <c r="G1551" s="25"/>
    </row>
    <row r="1552" spans="1:93" hidden="1">
      <c r="E1552"/>
      <c r="G1552" s="25"/>
    </row>
    <row r="1553" spans="5:7" hidden="1">
      <c r="E1553"/>
      <c r="G1553" s="25"/>
    </row>
    <row r="1554" spans="5:7" hidden="1">
      <c r="E1554"/>
      <c r="G1554" s="25"/>
    </row>
    <row r="1555" spans="5:7" hidden="1">
      <c r="E1555"/>
      <c r="G1555" s="25"/>
    </row>
    <row r="1556" spans="5:7" hidden="1">
      <c r="E1556"/>
      <c r="G1556" s="25"/>
    </row>
    <row r="1557" spans="5:7" hidden="1">
      <c r="E1557"/>
      <c r="G1557" s="25"/>
    </row>
    <row r="1558" spans="5:7" hidden="1">
      <c r="E1558"/>
      <c r="G1558" s="25"/>
    </row>
    <row r="1559" spans="5:7" hidden="1">
      <c r="E1559"/>
      <c r="G1559" s="25"/>
    </row>
    <row r="1560" spans="5:7" hidden="1">
      <c r="E1560"/>
      <c r="G1560" s="25"/>
    </row>
    <row r="1561" spans="5:7" hidden="1">
      <c r="E1561"/>
      <c r="G1561" s="25"/>
    </row>
    <row r="1562" spans="5:7" hidden="1">
      <c r="E1562"/>
      <c r="G1562" s="25"/>
    </row>
    <row r="1563" spans="5:7" hidden="1">
      <c r="E1563"/>
      <c r="G1563" s="25"/>
    </row>
    <row r="1564" spans="5:7" hidden="1">
      <c r="E1564"/>
      <c r="G1564" s="25"/>
    </row>
    <row r="1565" spans="5:7" hidden="1">
      <c r="E1565"/>
      <c r="G1565" s="25"/>
    </row>
    <row r="1566" spans="5:7" hidden="1">
      <c r="E1566"/>
      <c r="G1566" s="25"/>
    </row>
    <row r="1567" spans="5:7" hidden="1">
      <c r="E1567"/>
      <c r="G1567" s="25"/>
    </row>
    <row r="1568" spans="5:7" hidden="1">
      <c r="E1568"/>
      <c r="G1568" s="25"/>
    </row>
    <row r="1569" spans="5:7" hidden="1">
      <c r="E1569"/>
      <c r="G1569" s="25"/>
    </row>
    <row r="1570" spans="5:7" hidden="1">
      <c r="E1570"/>
      <c r="G1570" s="25"/>
    </row>
    <row r="1571" spans="5:7" hidden="1">
      <c r="E1571"/>
      <c r="G1571" s="25"/>
    </row>
    <row r="1572" spans="5:7" hidden="1">
      <c r="E1572"/>
      <c r="G1572" s="25"/>
    </row>
    <row r="1573" spans="5:7" hidden="1">
      <c r="E1573"/>
      <c r="G1573" s="25"/>
    </row>
    <row r="1574" spans="5:7" hidden="1">
      <c r="E1574"/>
      <c r="G1574" s="25"/>
    </row>
    <row r="1575" spans="5:7" hidden="1">
      <c r="E1575"/>
      <c r="G1575" s="25"/>
    </row>
    <row r="1576" spans="5:7" hidden="1">
      <c r="E1576"/>
      <c r="G1576" s="25"/>
    </row>
    <row r="1577" spans="5:7" hidden="1">
      <c r="E1577"/>
      <c r="G1577" s="25"/>
    </row>
    <row r="1578" spans="5:7" hidden="1">
      <c r="E1578"/>
      <c r="G1578" s="25"/>
    </row>
    <row r="1579" spans="5:7" hidden="1">
      <c r="E1579"/>
      <c r="G1579" s="25"/>
    </row>
    <row r="1580" spans="5:7" hidden="1">
      <c r="E1580"/>
      <c r="G1580" s="25"/>
    </row>
    <row r="1581" spans="5:7" hidden="1">
      <c r="E1581"/>
      <c r="G1581" s="25"/>
    </row>
    <row r="1582" spans="5:7" hidden="1">
      <c r="E1582"/>
      <c r="G1582" s="25"/>
    </row>
    <row r="1583" spans="5:7" hidden="1">
      <c r="E1583"/>
      <c r="G1583" s="25"/>
    </row>
    <row r="1584" spans="5:7" hidden="1">
      <c r="E1584"/>
      <c r="G1584" s="25"/>
    </row>
    <row r="1585" spans="5:7" hidden="1">
      <c r="E1585"/>
      <c r="G1585" s="25"/>
    </row>
    <row r="1586" spans="5:7" hidden="1">
      <c r="E1586"/>
      <c r="G1586" s="25"/>
    </row>
    <row r="1587" spans="5:7" hidden="1">
      <c r="E1587"/>
      <c r="G1587" s="25"/>
    </row>
    <row r="1588" spans="5:7" hidden="1">
      <c r="E1588"/>
      <c r="G1588" s="25"/>
    </row>
    <row r="1589" spans="5:7" hidden="1">
      <c r="E1589"/>
      <c r="G1589" s="25"/>
    </row>
    <row r="1590" spans="5:7" hidden="1">
      <c r="E1590"/>
      <c r="G1590" s="25"/>
    </row>
    <row r="1591" spans="5:7" hidden="1">
      <c r="E1591"/>
      <c r="G1591" s="25"/>
    </row>
    <row r="1592" spans="5:7" hidden="1">
      <c r="E1592"/>
      <c r="G1592" s="25"/>
    </row>
    <row r="1593" spans="5:7" hidden="1">
      <c r="E1593"/>
      <c r="G1593" s="25"/>
    </row>
    <row r="1594" spans="5:7" hidden="1">
      <c r="E1594"/>
      <c r="G1594" s="25"/>
    </row>
    <row r="1595" spans="5:7" hidden="1">
      <c r="E1595"/>
      <c r="G1595" s="25"/>
    </row>
    <row r="1596" spans="5:7" hidden="1">
      <c r="E1596"/>
      <c r="G1596" s="25"/>
    </row>
    <row r="1597" spans="5:7" hidden="1">
      <c r="E1597"/>
      <c r="G1597" s="25"/>
    </row>
    <row r="1598" spans="5:7" hidden="1">
      <c r="E1598"/>
      <c r="G1598" s="25"/>
    </row>
    <row r="1599" spans="5:7" hidden="1">
      <c r="E1599"/>
      <c r="G1599" s="25"/>
    </row>
    <row r="1600" spans="5:7" hidden="1">
      <c r="E1600"/>
      <c r="G1600" s="25"/>
    </row>
    <row r="1601" spans="5:7" hidden="1">
      <c r="E1601"/>
      <c r="G1601" s="25"/>
    </row>
    <row r="1602" spans="5:7" hidden="1">
      <c r="E1602"/>
      <c r="G1602" s="25"/>
    </row>
    <row r="1603" spans="5:7" hidden="1">
      <c r="E1603"/>
      <c r="G1603" s="25"/>
    </row>
    <row r="1604" spans="5:7" hidden="1">
      <c r="E1604"/>
      <c r="G1604" s="25"/>
    </row>
    <row r="1605" spans="5:7" hidden="1">
      <c r="E1605"/>
      <c r="G1605" s="25"/>
    </row>
    <row r="1606" spans="5:7" hidden="1">
      <c r="E1606"/>
      <c r="G1606" s="25"/>
    </row>
    <row r="1607" spans="5:7" hidden="1">
      <c r="E1607"/>
      <c r="G1607" s="25"/>
    </row>
    <row r="1608" spans="5:7" hidden="1">
      <c r="E1608"/>
      <c r="G1608" s="25"/>
    </row>
    <row r="1609" spans="5:7" hidden="1">
      <c r="E1609"/>
      <c r="G1609" s="25"/>
    </row>
    <row r="1610" spans="5:7" hidden="1">
      <c r="E1610"/>
      <c r="G1610" s="25"/>
    </row>
    <row r="1611" spans="5:7" hidden="1">
      <c r="E1611"/>
      <c r="G1611" s="25"/>
    </row>
    <row r="1612" spans="5:7" hidden="1">
      <c r="E1612"/>
      <c r="G1612" s="25"/>
    </row>
    <row r="1613" spans="5:7" hidden="1">
      <c r="E1613"/>
      <c r="G1613" s="25"/>
    </row>
    <row r="1614" spans="5:7" hidden="1">
      <c r="E1614"/>
      <c r="G1614" s="25"/>
    </row>
    <row r="1615" spans="5:7" hidden="1">
      <c r="E1615"/>
      <c r="G1615" s="25"/>
    </row>
    <row r="1616" spans="5:7" hidden="1">
      <c r="E1616"/>
      <c r="G1616" s="25"/>
    </row>
    <row r="1617" spans="5:7" hidden="1">
      <c r="E1617"/>
      <c r="G1617" s="25"/>
    </row>
    <row r="1618" spans="5:7" hidden="1">
      <c r="E1618"/>
      <c r="G1618" s="25"/>
    </row>
    <row r="1619" spans="5:7" hidden="1">
      <c r="E1619"/>
      <c r="G1619" s="25"/>
    </row>
    <row r="1620" spans="5:7" hidden="1">
      <c r="E1620"/>
      <c r="G1620" s="25"/>
    </row>
    <row r="1621" spans="5:7" hidden="1">
      <c r="E1621"/>
      <c r="G1621" s="25"/>
    </row>
    <row r="1622" spans="5:7" hidden="1">
      <c r="E1622"/>
      <c r="G1622" s="25"/>
    </row>
    <row r="1623" spans="5:7" hidden="1">
      <c r="E1623"/>
      <c r="G1623" s="25"/>
    </row>
    <row r="1624" spans="5:7" hidden="1">
      <c r="E1624"/>
      <c r="G1624" s="25"/>
    </row>
    <row r="1625" spans="5:7" hidden="1">
      <c r="E1625"/>
      <c r="G1625" s="25"/>
    </row>
    <row r="1626" spans="5:7" hidden="1">
      <c r="E1626"/>
      <c r="G1626" s="25"/>
    </row>
    <row r="1627" spans="5:7" hidden="1">
      <c r="E1627"/>
      <c r="G1627" s="25"/>
    </row>
    <row r="1628" spans="5:7" hidden="1">
      <c r="E1628"/>
      <c r="G1628" s="25"/>
    </row>
    <row r="1629" spans="5:7" hidden="1">
      <c r="E1629"/>
      <c r="G1629" s="25"/>
    </row>
    <row r="1630" spans="5:7" hidden="1">
      <c r="E1630"/>
      <c r="G1630" s="25"/>
    </row>
    <row r="1631" spans="5:7" hidden="1">
      <c r="E1631"/>
      <c r="G1631" s="25"/>
    </row>
    <row r="1632" spans="5:7" hidden="1">
      <c r="E1632"/>
      <c r="G1632" s="25"/>
    </row>
    <row r="1633" spans="5:7" hidden="1">
      <c r="E1633"/>
      <c r="G1633" s="25"/>
    </row>
    <row r="1634" spans="5:7" hidden="1">
      <c r="E1634"/>
      <c r="G1634" s="25"/>
    </row>
    <row r="1635" spans="5:7" hidden="1">
      <c r="E1635"/>
      <c r="G1635" s="25"/>
    </row>
    <row r="1636" spans="5:7" hidden="1">
      <c r="E1636"/>
      <c r="G1636" s="25"/>
    </row>
    <row r="1637" spans="5:7" hidden="1">
      <c r="E1637"/>
      <c r="G1637" s="25"/>
    </row>
    <row r="1638" spans="5:7" hidden="1">
      <c r="E1638"/>
      <c r="G1638" s="25"/>
    </row>
    <row r="1639" spans="5:7" hidden="1">
      <c r="E1639"/>
      <c r="G1639" s="25"/>
    </row>
    <row r="1640" spans="5:7" hidden="1">
      <c r="E1640"/>
      <c r="G1640" s="25"/>
    </row>
    <row r="1641" spans="5:7" hidden="1">
      <c r="E1641"/>
      <c r="G1641" s="25"/>
    </row>
    <row r="1642" spans="5:7" hidden="1">
      <c r="E1642"/>
      <c r="G1642" s="25"/>
    </row>
    <row r="1643" spans="5:7" hidden="1">
      <c r="E1643"/>
      <c r="G1643" s="25"/>
    </row>
    <row r="1644" spans="5:7" hidden="1">
      <c r="E1644"/>
      <c r="G1644" s="25"/>
    </row>
    <row r="1645" spans="5:7" hidden="1">
      <c r="E1645"/>
      <c r="G1645" s="25"/>
    </row>
    <row r="1646" spans="5:7" hidden="1">
      <c r="E1646"/>
      <c r="G1646" s="25"/>
    </row>
    <row r="1647" spans="5:7" hidden="1">
      <c r="E1647"/>
      <c r="G1647" s="25"/>
    </row>
    <row r="1648" spans="5:7" hidden="1">
      <c r="E1648"/>
      <c r="G1648" s="25"/>
    </row>
    <row r="1649" spans="5:7" hidden="1">
      <c r="E1649"/>
      <c r="G1649" s="25"/>
    </row>
    <row r="1650" spans="5:7" hidden="1">
      <c r="E1650"/>
      <c r="G1650" s="25"/>
    </row>
    <row r="1651" spans="5:7" hidden="1">
      <c r="E1651"/>
      <c r="G1651" s="25"/>
    </row>
    <row r="1652" spans="5:7" hidden="1">
      <c r="E1652"/>
      <c r="G1652" s="25"/>
    </row>
    <row r="1653" spans="5:7" hidden="1">
      <c r="E1653"/>
      <c r="G1653" s="25"/>
    </row>
    <row r="1654" spans="5:7" hidden="1">
      <c r="E1654"/>
      <c r="G1654" s="25"/>
    </row>
    <row r="1655" spans="5:7" hidden="1">
      <c r="E1655"/>
      <c r="G1655" s="25"/>
    </row>
    <row r="1656" spans="5:7" hidden="1">
      <c r="E1656"/>
      <c r="G1656" s="25"/>
    </row>
    <row r="1657" spans="5:7" hidden="1">
      <c r="E1657"/>
      <c r="G1657" s="25"/>
    </row>
    <row r="1658" spans="5:7" hidden="1">
      <c r="E1658"/>
      <c r="G1658" s="25"/>
    </row>
    <row r="1659" spans="5:7" hidden="1">
      <c r="E1659"/>
      <c r="G1659" s="25"/>
    </row>
    <row r="1660" spans="5:7" hidden="1">
      <c r="E1660"/>
      <c r="G1660" s="25"/>
    </row>
    <row r="1661" spans="5:7" hidden="1">
      <c r="E1661"/>
      <c r="G1661" s="25"/>
    </row>
    <row r="1662" spans="5:7" hidden="1">
      <c r="E1662"/>
      <c r="G1662" s="25"/>
    </row>
    <row r="1663" spans="5:7" hidden="1">
      <c r="E1663"/>
      <c r="G1663" s="25"/>
    </row>
    <row r="1664" spans="5:7" hidden="1">
      <c r="E1664"/>
      <c r="G1664" s="25"/>
    </row>
    <row r="1665" spans="5:7" hidden="1">
      <c r="E1665"/>
      <c r="G1665" s="25"/>
    </row>
    <row r="1666" spans="5:7" hidden="1">
      <c r="E1666"/>
      <c r="G1666" s="25"/>
    </row>
    <row r="1667" spans="5:7" hidden="1">
      <c r="E1667"/>
      <c r="G1667" s="25"/>
    </row>
    <row r="1668" spans="5:7" hidden="1">
      <c r="E1668"/>
      <c r="G1668" s="25"/>
    </row>
    <row r="1669" spans="5:7" hidden="1">
      <c r="E1669"/>
      <c r="G1669" s="25"/>
    </row>
    <row r="1670" spans="5:7" hidden="1">
      <c r="E1670"/>
      <c r="G1670" s="25"/>
    </row>
    <row r="1671" spans="5:7" hidden="1">
      <c r="E1671"/>
      <c r="G1671" s="25"/>
    </row>
    <row r="1672" spans="5:7" hidden="1">
      <c r="E1672"/>
      <c r="G1672" s="25"/>
    </row>
    <row r="1673" spans="5:7" hidden="1">
      <c r="E1673"/>
      <c r="G1673" s="25"/>
    </row>
    <row r="1674" spans="5:7" hidden="1">
      <c r="E1674"/>
      <c r="G1674" s="25"/>
    </row>
    <row r="1675" spans="5:7" hidden="1">
      <c r="E1675"/>
      <c r="G1675" s="25"/>
    </row>
    <row r="1676" spans="5:7" hidden="1">
      <c r="E1676"/>
      <c r="G1676" s="25"/>
    </row>
    <row r="1677" spans="5:7" hidden="1">
      <c r="E1677"/>
      <c r="G1677" s="25"/>
    </row>
    <row r="1678" spans="5:7" hidden="1">
      <c r="E1678"/>
      <c r="G1678" s="25"/>
    </row>
    <row r="1679" spans="5:7" hidden="1">
      <c r="E1679"/>
      <c r="G1679" s="25"/>
    </row>
    <row r="1680" spans="5:7" hidden="1">
      <c r="E1680"/>
      <c r="G1680" s="25"/>
    </row>
    <row r="1681" spans="5:7" hidden="1">
      <c r="E1681"/>
      <c r="G1681" s="25"/>
    </row>
    <row r="1682" spans="5:7" hidden="1">
      <c r="E1682"/>
      <c r="G1682" s="25"/>
    </row>
    <row r="1683" spans="5:7" hidden="1">
      <c r="E1683"/>
      <c r="G1683" s="25"/>
    </row>
    <row r="1684" spans="5:7" hidden="1">
      <c r="E1684"/>
      <c r="G1684" s="25"/>
    </row>
    <row r="1685" spans="5:7" hidden="1">
      <c r="E1685"/>
      <c r="G1685" s="25"/>
    </row>
    <row r="1686" spans="5:7" hidden="1">
      <c r="E1686"/>
      <c r="G1686" s="25"/>
    </row>
    <row r="1687" spans="5:7" hidden="1">
      <c r="E1687"/>
      <c r="G1687" s="25"/>
    </row>
    <row r="1688" spans="5:7" hidden="1">
      <c r="E1688"/>
      <c r="G1688" s="25"/>
    </row>
    <row r="1689" spans="5:7" hidden="1">
      <c r="E1689"/>
      <c r="G1689" s="25"/>
    </row>
    <row r="1690" spans="5:7" hidden="1">
      <c r="E1690"/>
      <c r="G1690" s="25"/>
    </row>
    <row r="1691" spans="5:7" hidden="1">
      <c r="E1691"/>
      <c r="G1691" s="25"/>
    </row>
    <row r="1692" spans="5:7" hidden="1">
      <c r="E1692"/>
      <c r="G1692" s="25"/>
    </row>
    <row r="1693" spans="5:7" hidden="1">
      <c r="E1693"/>
      <c r="G1693" s="25"/>
    </row>
    <row r="1694" spans="5:7" hidden="1">
      <c r="E1694"/>
      <c r="G1694" s="25"/>
    </row>
    <row r="1695" spans="5:7" hidden="1">
      <c r="E1695"/>
      <c r="G1695" s="25"/>
    </row>
    <row r="1696" spans="5:7" hidden="1">
      <c r="E1696"/>
      <c r="G1696" s="25"/>
    </row>
    <row r="1697" spans="5:7" hidden="1">
      <c r="E1697"/>
      <c r="G1697" s="25"/>
    </row>
    <row r="1698" spans="5:7" hidden="1">
      <c r="E1698"/>
      <c r="G1698" s="25"/>
    </row>
    <row r="1699" spans="5:7" hidden="1">
      <c r="E1699"/>
      <c r="G1699" s="25"/>
    </row>
    <row r="1700" spans="5:7" hidden="1">
      <c r="E1700"/>
      <c r="G1700" s="25"/>
    </row>
    <row r="1701" spans="5:7" hidden="1">
      <c r="E1701"/>
      <c r="G1701" s="25"/>
    </row>
    <row r="1702" spans="5:7" hidden="1">
      <c r="E1702"/>
      <c r="G1702" s="25"/>
    </row>
    <row r="1703" spans="5:7" hidden="1">
      <c r="E1703"/>
      <c r="G1703" s="25"/>
    </row>
    <row r="1704" spans="5:7" hidden="1">
      <c r="E1704"/>
      <c r="G1704" s="25"/>
    </row>
    <row r="1705" spans="5:7" hidden="1">
      <c r="E1705"/>
      <c r="G1705" s="25"/>
    </row>
    <row r="1706" spans="5:7" hidden="1">
      <c r="E1706"/>
      <c r="G1706" s="25"/>
    </row>
    <row r="1707" spans="5:7" hidden="1">
      <c r="E1707"/>
      <c r="G1707" s="25"/>
    </row>
    <row r="1708" spans="5:7" hidden="1">
      <c r="E1708"/>
      <c r="G1708" s="25"/>
    </row>
    <row r="1709" spans="5:7" hidden="1">
      <c r="E1709"/>
      <c r="G1709" s="25"/>
    </row>
    <row r="1710" spans="5:7" hidden="1">
      <c r="E1710"/>
      <c r="G1710" s="25"/>
    </row>
    <row r="1711" spans="5:7" hidden="1">
      <c r="E1711"/>
      <c r="G1711" s="25"/>
    </row>
    <row r="1712" spans="5:7" hidden="1">
      <c r="E1712"/>
      <c r="G1712" s="25"/>
    </row>
    <row r="1713" spans="5:7" hidden="1">
      <c r="E1713"/>
      <c r="G1713" s="25"/>
    </row>
    <row r="1714" spans="5:7" hidden="1">
      <c r="E1714"/>
      <c r="G1714" s="25"/>
    </row>
    <row r="1715" spans="5:7" hidden="1">
      <c r="E1715"/>
      <c r="G1715" s="25"/>
    </row>
    <row r="1716" spans="5:7" hidden="1">
      <c r="E1716"/>
      <c r="G1716" s="25"/>
    </row>
    <row r="1717" spans="5:7" hidden="1">
      <c r="E1717"/>
      <c r="G1717" s="25"/>
    </row>
    <row r="1718" spans="5:7" hidden="1">
      <c r="E1718"/>
      <c r="G1718" s="25"/>
    </row>
    <row r="1719" spans="5:7" hidden="1">
      <c r="E1719"/>
      <c r="G1719" s="25"/>
    </row>
    <row r="1720" spans="5:7" hidden="1">
      <c r="E1720"/>
      <c r="G1720" s="25"/>
    </row>
    <row r="1721" spans="5:7" hidden="1">
      <c r="E1721"/>
      <c r="G1721" s="25"/>
    </row>
    <row r="1722" spans="5:7" hidden="1">
      <c r="E1722"/>
      <c r="G1722" s="25"/>
    </row>
    <row r="1723" spans="5:7" hidden="1">
      <c r="E1723"/>
      <c r="G1723" s="25"/>
    </row>
    <row r="1724" spans="5:7" hidden="1">
      <c r="E1724"/>
      <c r="G1724" s="25"/>
    </row>
    <row r="1725" spans="5:7" hidden="1">
      <c r="E1725"/>
      <c r="G1725" s="25"/>
    </row>
    <row r="1726" spans="5:7" hidden="1">
      <c r="E1726"/>
      <c r="G1726" s="25"/>
    </row>
    <row r="1727" spans="5:7" hidden="1">
      <c r="E1727"/>
      <c r="G1727" s="25"/>
    </row>
    <row r="1728" spans="5:7" hidden="1">
      <c r="E1728"/>
      <c r="G1728" s="25"/>
    </row>
    <row r="1729" spans="5:7" hidden="1">
      <c r="E1729"/>
      <c r="G1729" s="25"/>
    </row>
    <row r="1730" spans="5:7" hidden="1">
      <c r="E1730"/>
      <c r="G1730" s="25"/>
    </row>
    <row r="1731" spans="5:7" hidden="1">
      <c r="E1731"/>
      <c r="G1731" s="25"/>
    </row>
    <row r="1732" spans="5:7" hidden="1">
      <c r="E1732"/>
      <c r="G1732" s="25"/>
    </row>
    <row r="1733" spans="5:7" hidden="1">
      <c r="E1733"/>
      <c r="G1733" s="25"/>
    </row>
    <row r="1734" spans="5:7" hidden="1">
      <c r="E1734"/>
      <c r="G1734" s="25"/>
    </row>
    <row r="1735" spans="5:7" hidden="1">
      <c r="E1735"/>
      <c r="G1735" s="25"/>
    </row>
    <row r="1736" spans="5:7" hidden="1">
      <c r="E1736"/>
      <c r="G1736" s="25"/>
    </row>
    <row r="1737" spans="5:7" hidden="1">
      <c r="E1737"/>
      <c r="G1737" s="25"/>
    </row>
    <row r="1738" spans="5:7" hidden="1">
      <c r="E1738"/>
      <c r="G1738" s="25"/>
    </row>
    <row r="1739" spans="5:7" hidden="1">
      <c r="E1739"/>
      <c r="G1739" s="25"/>
    </row>
    <row r="1740" spans="5:7" hidden="1">
      <c r="E1740"/>
      <c r="G1740" s="25"/>
    </row>
    <row r="1741" spans="5:7" hidden="1">
      <c r="E1741"/>
      <c r="G1741" s="25"/>
    </row>
    <row r="1742" spans="5:7" hidden="1">
      <c r="E1742"/>
      <c r="G1742" s="25"/>
    </row>
    <row r="1743" spans="5:7" hidden="1">
      <c r="E1743"/>
      <c r="G1743" s="25"/>
    </row>
    <row r="1744" spans="5:7" hidden="1">
      <c r="E1744"/>
      <c r="G1744" s="25"/>
    </row>
    <row r="1745" spans="5:7" hidden="1">
      <c r="E1745"/>
      <c r="G1745" s="25"/>
    </row>
    <row r="1746" spans="5:7" hidden="1">
      <c r="E1746"/>
      <c r="G1746" s="25"/>
    </row>
    <row r="1747" spans="5:7" hidden="1">
      <c r="E1747"/>
      <c r="G1747" s="25"/>
    </row>
    <row r="1748" spans="5:7" hidden="1">
      <c r="E1748"/>
      <c r="G1748" s="25"/>
    </row>
    <row r="1749" spans="5:7" hidden="1">
      <c r="E1749"/>
      <c r="G1749" s="25"/>
    </row>
    <row r="1750" spans="5:7" hidden="1">
      <c r="E1750"/>
      <c r="G1750" s="25"/>
    </row>
    <row r="1751" spans="5:7" hidden="1">
      <c r="E1751"/>
      <c r="G1751" s="25"/>
    </row>
    <row r="1752" spans="5:7" hidden="1">
      <c r="E1752"/>
      <c r="G1752" s="25"/>
    </row>
    <row r="1753" spans="5:7" hidden="1">
      <c r="E1753"/>
      <c r="G1753" s="25"/>
    </row>
    <row r="1754" spans="5:7" hidden="1">
      <c r="E1754"/>
      <c r="G1754" s="25"/>
    </row>
    <row r="1755" spans="5:7" hidden="1">
      <c r="E1755"/>
      <c r="G1755" s="25"/>
    </row>
    <row r="1756" spans="5:7" hidden="1">
      <c r="E1756"/>
      <c r="G1756" s="25"/>
    </row>
    <row r="1757" spans="5:7" hidden="1">
      <c r="E1757"/>
      <c r="G1757" s="25"/>
    </row>
    <row r="1758" spans="5:7" hidden="1">
      <c r="E1758"/>
      <c r="G1758" s="25"/>
    </row>
    <row r="1759" spans="5:7" hidden="1">
      <c r="E1759"/>
      <c r="G1759" s="25"/>
    </row>
    <row r="1760" spans="5:7" hidden="1">
      <c r="E1760"/>
      <c r="G1760" s="25"/>
    </row>
    <row r="1761" spans="5:7" hidden="1">
      <c r="E1761"/>
      <c r="G1761" s="25"/>
    </row>
    <row r="1762" spans="5:7" hidden="1">
      <c r="E1762"/>
      <c r="G1762" s="25"/>
    </row>
    <row r="1763" spans="5:7" hidden="1">
      <c r="E1763"/>
      <c r="G1763" s="25"/>
    </row>
    <row r="1764" spans="5:7" hidden="1">
      <c r="E1764"/>
      <c r="G1764" s="25"/>
    </row>
    <row r="1765" spans="5:7" hidden="1">
      <c r="E1765"/>
      <c r="G1765" s="25"/>
    </row>
    <row r="1766" spans="5:7" hidden="1">
      <c r="E1766"/>
      <c r="G1766" s="25"/>
    </row>
    <row r="1767" spans="5:7" hidden="1">
      <c r="E1767"/>
      <c r="G1767" s="25"/>
    </row>
    <row r="1768" spans="5:7" hidden="1">
      <c r="E1768"/>
      <c r="G1768" s="25"/>
    </row>
    <row r="1769" spans="5:7" hidden="1">
      <c r="E1769"/>
      <c r="G1769" s="25"/>
    </row>
    <row r="1770" spans="5:7" hidden="1">
      <c r="E1770"/>
      <c r="G1770" s="25"/>
    </row>
    <row r="1771" spans="5:7" hidden="1">
      <c r="E1771"/>
      <c r="G1771" s="25"/>
    </row>
    <row r="1772" spans="5:7" hidden="1">
      <c r="E1772"/>
      <c r="G1772" s="25"/>
    </row>
    <row r="1773" spans="5:7" hidden="1">
      <c r="E1773"/>
      <c r="G1773" s="25"/>
    </row>
    <row r="1774" spans="5:7" hidden="1">
      <c r="E1774"/>
      <c r="G1774" s="25"/>
    </row>
    <row r="1775" spans="5:7" hidden="1">
      <c r="E1775"/>
      <c r="G1775" s="25"/>
    </row>
    <row r="1776" spans="5:7" hidden="1">
      <c r="E1776"/>
      <c r="G1776" s="25"/>
    </row>
    <row r="1777" spans="5:7" hidden="1">
      <c r="E1777"/>
      <c r="G1777" s="25"/>
    </row>
    <row r="1778" spans="5:7" hidden="1">
      <c r="E1778"/>
      <c r="G1778" s="25"/>
    </row>
    <row r="1779" spans="5:7" hidden="1">
      <c r="E1779"/>
      <c r="G1779" s="25"/>
    </row>
    <row r="1780" spans="5:7" hidden="1">
      <c r="E1780"/>
      <c r="G1780" s="25"/>
    </row>
    <row r="1781" spans="5:7" hidden="1">
      <c r="E1781"/>
      <c r="G1781" s="25"/>
    </row>
    <row r="1782" spans="5:7" hidden="1">
      <c r="E1782"/>
      <c r="G1782" s="25"/>
    </row>
    <row r="1783" spans="5:7" hidden="1">
      <c r="E1783"/>
      <c r="G1783" s="25"/>
    </row>
    <row r="1784" spans="5:7" hidden="1">
      <c r="E1784"/>
      <c r="G1784" s="25"/>
    </row>
    <row r="1785" spans="5:7" hidden="1">
      <c r="E1785"/>
      <c r="G1785" s="25"/>
    </row>
    <row r="1786" spans="5:7" hidden="1">
      <c r="E1786"/>
      <c r="G1786" s="25"/>
    </row>
    <row r="1787" spans="5:7" hidden="1">
      <c r="E1787"/>
      <c r="G1787" s="25"/>
    </row>
    <row r="1788" spans="5:7" hidden="1">
      <c r="E1788"/>
      <c r="G1788" s="25"/>
    </row>
    <row r="1789" spans="5:7" hidden="1">
      <c r="E1789"/>
      <c r="G1789" s="25"/>
    </row>
    <row r="1790" spans="5:7" hidden="1">
      <c r="E1790"/>
      <c r="G1790" s="25"/>
    </row>
    <row r="1791" spans="5:7" hidden="1">
      <c r="E1791"/>
      <c r="G1791" s="25"/>
    </row>
    <row r="1792" spans="5:7" hidden="1">
      <c r="E1792"/>
      <c r="G1792" s="25"/>
    </row>
    <row r="1793" spans="5:7" hidden="1">
      <c r="E1793"/>
      <c r="G1793" s="25"/>
    </row>
    <row r="1794" spans="5:7" hidden="1">
      <c r="E1794"/>
      <c r="G1794" s="25"/>
    </row>
    <row r="1795" spans="5:7" hidden="1">
      <c r="E1795"/>
      <c r="G1795" s="25"/>
    </row>
    <row r="1796" spans="5:7" hidden="1">
      <c r="E1796"/>
      <c r="G1796" s="25"/>
    </row>
    <row r="1797" spans="5:7" hidden="1">
      <c r="E1797"/>
      <c r="G1797" s="25"/>
    </row>
    <row r="1798" spans="5:7" hidden="1">
      <c r="E1798"/>
      <c r="G1798" s="25"/>
    </row>
    <row r="1799" spans="5:7" hidden="1">
      <c r="E1799"/>
      <c r="G1799" s="25"/>
    </row>
    <row r="1800" spans="5:7" hidden="1">
      <c r="E1800"/>
      <c r="G1800" s="25"/>
    </row>
    <row r="1801" spans="5:7" hidden="1">
      <c r="E1801"/>
      <c r="G1801" s="25"/>
    </row>
    <row r="1802" spans="5:7" hidden="1">
      <c r="E1802"/>
      <c r="G1802" s="25"/>
    </row>
    <row r="1803" spans="5:7" hidden="1">
      <c r="E1803"/>
      <c r="G1803" s="25"/>
    </row>
    <row r="1804" spans="5:7" hidden="1">
      <c r="E1804"/>
      <c r="G1804" s="25"/>
    </row>
    <row r="1805" spans="5:7" hidden="1">
      <c r="E1805"/>
      <c r="G1805" s="25"/>
    </row>
    <row r="1806" spans="5:7" hidden="1">
      <c r="E1806"/>
      <c r="G1806" s="25"/>
    </row>
    <row r="1807" spans="5:7" hidden="1">
      <c r="E1807"/>
      <c r="G1807" s="25"/>
    </row>
    <row r="1808" spans="5:7" hidden="1">
      <c r="E1808"/>
      <c r="G1808" s="25"/>
    </row>
    <row r="1809" spans="5:7" hidden="1">
      <c r="E1809"/>
      <c r="G1809" s="25"/>
    </row>
    <row r="1810" spans="5:7" hidden="1">
      <c r="E1810"/>
      <c r="G1810" s="25"/>
    </row>
    <row r="1811" spans="5:7" hidden="1">
      <c r="E1811"/>
      <c r="G1811" s="25"/>
    </row>
    <row r="1812" spans="5:7" hidden="1">
      <c r="E1812"/>
      <c r="G1812" s="25"/>
    </row>
    <row r="1813" spans="5:7" hidden="1">
      <c r="E1813"/>
      <c r="G1813" s="25"/>
    </row>
    <row r="1814" spans="5:7" hidden="1">
      <c r="E1814"/>
      <c r="G1814" s="25"/>
    </row>
    <row r="1815" spans="5:7" hidden="1">
      <c r="E1815"/>
      <c r="G1815" s="25"/>
    </row>
    <row r="1816" spans="5:7" hidden="1">
      <c r="E1816"/>
      <c r="G1816" s="25"/>
    </row>
    <row r="1817" spans="5:7" hidden="1">
      <c r="E1817"/>
      <c r="G1817" s="25"/>
    </row>
    <row r="1818" spans="5:7" hidden="1">
      <c r="E1818"/>
      <c r="G1818" s="25"/>
    </row>
    <row r="1819" spans="5:7" hidden="1">
      <c r="E1819"/>
      <c r="G1819" s="25"/>
    </row>
    <row r="1820" spans="5:7" hidden="1">
      <c r="E1820"/>
      <c r="G1820" s="25"/>
    </row>
    <row r="1821" spans="5:7" hidden="1">
      <c r="E1821"/>
      <c r="G1821" s="25"/>
    </row>
    <row r="1822" spans="5:7" hidden="1">
      <c r="E1822"/>
      <c r="G1822" s="25"/>
    </row>
    <row r="1823" spans="5:7" hidden="1">
      <c r="E1823"/>
      <c r="G1823" s="25"/>
    </row>
    <row r="1824" spans="5:7" hidden="1">
      <c r="E1824"/>
      <c r="G1824" s="25"/>
    </row>
    <row r="1825" spans="5:7" hidden="1">
      <c r="E1825"/>
      <c r="G1825" s="25"/>
    </row>
    <row r="1826" spans="5:7" hidden="1">
      <c r="E1826"/>
      <c r="G1826" s="25"/>
    </row>
    <row r="1827" spans="5:7" hidden="1">
      <c r="E1827"/>
      <c r="G1827" s="25"/>
    </row>
    <row r="1828" spans="5:7" hidden="1">
      <c r="E1828"/>
      <c r="G1828" s="25"/>
    </row>
    <row r="1829" spans="5:7" hidden="1">
      <c r="E1829"/>
      <c r="G1829" s="25"/>
    </row>
    <row r="1830" spans="5:7" hidden="1">
      <c r="E1830"/>
      <c r="G1830" s="25"/>
    </row>
    <row r="1831" spans="5:7" hidden="1">
      <c r="E1831"/>
      <c r="G1831" s="25"/>
    </row>
    <row r="1832" spans="5:7" hidden="1">
      <c r="E1832"/>
      <c r="G1832" s="25"/>
    </row>
    <row r="1833" spans="5:7" hidden="1">
      <c r="E1833"/>
      <c r="G1833" s="25"/>
    </row>
    <row r="1834" spans="5:7" hidden="1">
      <c r="E1834"/>
      <c r="G1834" s="25"/>
    </row>
    <row r="1835" spans="5:7" hidden="1">
      <c r="E1835"/>
      <c r="G1835" s="25"/>
    </row>
    <row r="1836" spans="5:7" hidden="1">
      <c r="E1836"/>
      <c r="G1836" s="25"/>
    </row>
    <row r="1837" spans="5:7" hidden="1">
      <c r="E1837"/>
      <c r="G1837" s="25"/>
    </row>
    <row r="1838" spans="5:7" hidden="1">
      <c r="E1838"/>
      <c r="G1838" s="25"/>
    </row>
    <row r="1839" spans="5:7" hidden="1">
      <c r="E1839"/>
      <c r="G1839" s="25"/>
    </row>
    <row r="1840" spans="5:7" hidden="1">
      <c r="E1840"/>
      <c r="G1840" s="25"/>
    </row>
    <row r="1841" spans="5:7" hidden="1">
      <c r="E1841"/>
      <c r="G1841" s="25"/>
    </row>
    <row r="1842" spans="5:7" hidden="1">
      <c r="E1842"/>
      <c r="G1842" s="25"/>
    </row>
    <row r="1843" spans="5:7" hidden="1">
      <c r="E1843"/>
      <c r="G1843" s="25"/>
    </row>
    <row r="1844" spans="5:7" hidden="1">
      <c r="E1844"/>
      <c r="G1844" s="25"/>
    </row>
    <row r="1845" spans="5:7" hidden="1">
      <c r="E1845"/>
      <c r="G1845" s="25"/>
    </row>
    <row r="1846" spans="5:7" hidden="1">
      <c r="E1846"/>
      <c r="G1846" s="25"/>
    </row>
    <row r="1847" spans="5:7" hidden="1">
      <c r="E1847"/>
      <c r="G1847" s="25"/>
    </row>
    <row r="1848" spans="5:7" hidden="1">
      <c r="E1848"/>
      <c r="G1848" s="25"/>
    </row>
    <row r="1849" spans="5:7" hidden="1">
      <c r="E1849"/>
      <c r="G1849" s="25"/>
    </row>
    <row r="1850" spans="5:7" hidden="1">
      <c r="E1850"/>
      <c r="G1850" s="25"/>
    </row>
    <row r="1851" spans="5:7" hidden="1">
      <c r="E1851"/>
      <c r="G1851" s="25"/>
    </row>
    <row r="1852" spans="5:7" hidden="1">
      <c r="E1852"/>
      <c r="G1852" s="25"/>
    </row>
    <row r="1853" spans="5:7" hidden="1">
      <c r="E1853"/>
      <c r="G1853" s="25"/>
    </row>
    <row r="1854" spans="5:7" hidden="1">
      <c r="E1854"/>
      <c r="G1854" s="25"/>
    </row>
    <row r="1855" spans="5:7" hidden="1">
      <c r="E1855"/>
      <c r="G1855" s="25"/>
    </row>
    <row r="1856" spans="5:7" hidden="1">
      <c r="E1856"/>
      <c r="G1856" s="25"/>
    </row>
    <row r="1857" spans="5:7" hidden="1">
      <c r="E1857"/>
      <c r="G1857" s="25"/>
    </row>
    <row r="1858" spans="5:7" hidden="1">
      <c r="E1858"/>
      <c r="G1858" s="25"/>
    </row>
    <row r="1859" spans="5:7" hidden="1">
      <c r="E1859"/>
      <c r="G1859" s="25"/>
    </row>
    <row r="1860" spans="5:7" hidden="1">
      <c r="E1860"/>
      <c r="G1860" s="25"/>
    </row>
    <row r="1861" spans="5:7" hidden="1">
      <c r="E1861"/>
      <c r="G1861" s="25"/>
    </row>
    <row r="1862" spans="5:7" hidden="1">
      <c r="E1862"/>
      <c r="G1862" s="25"/>
    </row>
    <row r="1863" spans="5:7" hidden="1">
      <c r="E1863"/>
      <c r="G1863" s="25"/>
    </row>
    <row r="1864" spans="5:7" hidden="1">
      <c r="E1864"/>
      <c r="G1864" s="25"/>
    </row>
    <row r="1865" spans="5:7" hidden="1">
      <c r="E1865"/>
      <c r="G1865" s="25"/>
    </row>
    <row r="1866" spans="5:7" hidden="1">
      <c r="E1866"/>
      <c r="G1866" s="25"/>
    </row>
    <row r="1867" spans="5:7" hidden="1">
      <c r="E1867"/>
      <c r="G1867" s="25"/>
    </row>
    <row r="1868" spans="5:7" hidden="1">
      <c r="E1868"/>
      <c r="G1868" s="25"/>
    </row>
    <row r="1869" spans="5:7" hidden="1">
      <c r="E1869"/>
      <c r="G1869" s="25"/>
    </row>
    <row r="1870" spans="5:7" hidden="1">
      <c r="E1870"/>
      <c r="G1870" s="25"/>
    </row>
    <row r="1871" spans="5:7" hidden="1">
      <c r="E1871"/>
      <c r="G1871" s="25"/>
    </row>
    <row r="1872" spans="5:7" hidden="1">
      <c r="E1872"/>
      <c r="G1872" s="25"/>
    </row>
    <row r="1873" spans="5:7" hidden="1">
      <c r="E1873"/>
      <c r="G1873" s="25"/>
    </row>
    <row r="1874" spans="5:7" hidden="1">
      <c r="E1874"/>
      <c r="G1874" s="25"/>
    </row>
    <row r="1875" spans="5:7" hidden="1">
      <c r="E1875"/>
      <c r="G1875" s="25"/>
    </row>
    <row r="1876" spans="5:7" hidden="1">
      <c r="E1876"/>
      <c r="G1876" s="25"/>
    </row>
    <row r="1877" spans="5:7" hidden="1">
      <c r="E1877"/>
      <c r="G1877" s="25"/>
    </row>
    <row r="1878" spans="5:7" hidden="1">
      <c r="E1878"/>
      <c r="G1878" s="25"/>
    </row>
    <row r="1879" spans="5:7" hidden="1">
      <c r="E1879"/>
      <c r="G1879" s="25"/>
    </row>
    <row r="1880" spans="5:7" hidden="1">
      <c r="E1880"/>
      <c r="G1880" s="25"/>
    </row>
    <row r="1881" spans="5:7" hidden="1">
      <c r="E1881"/>
      <c r="G1881" s="25"/>
    </row>
    <row r="1882" spans="5:7" hidden="1">
      <c r="E1882"/>
      <c r="G1882" s="25"/>
    </row>
    <row r="1883" spans="5:7" hidden="1">
      <c r="E1883"/>
      <c r="G1883" s="25"/>
    </row>
    <row r="1884" spans="5:7" hidden="1">
      <c r="E1884"/>
      <c r="G1884" s="25"/>
    </row>
    <row r="1885" spans="5:7" hidden="1">
      <c r="E1885"/>
      <c r="G1885" s="25"/>
    </row>
    <row r="1886" spans="5:7" hidden="1">
      <c r="E1886"/>
      <c r="G1886" s="25"/>
    </row>
    <row r="1887" spans="5:7" hidden="1">
      <c r="E1887"/>
      <c r="G1887" s="25"/>
    </row>
    <row r="1888" spans="5:7" hidden="1">
      <c r="E1888"/>
      <c r="G1888" s="25"/>
    </row>
    <row r="1889" spans="5:7" hidden="1">
      <c r="E1889"/>
      <c r="G1889" s="25"/>
    </row>
    <row r="1890" spans="5:7" hidden="1">
      <c r="E1890"/>
      <c r="G1890" s="25"/>
    </row>
    <row r="1891" spans="5:7" hidden="1">
      <c r="E1891"/>
      <c r="G1891" s="25"/>
    </row>
    <row r="1892" spans="5:7" hidden="1">
      <c r="E1892"/>
      <c r="G1892" s="25"/>
    </row>
    <row r="1893" spans="5:7" hidden="1">
      <c r="E1893"/>
      <c r="G1893" s="25"/>
    </row>
    <row r="1894" spans="5:7" hidden="1">
      <c r="E1894"/>
      <c r="G1894" s="25"/>
    </row>
    <row r="1895" spans="5:7" hidden="1">
      <c r="E1895"/>
      <c r="G1895" s="25"/>
    </row>
    <row r="1896" spans="5:7" hidden="1">
      <c r="E1896"/>
      <c r="G1896" s="25"/>
    </row>
    <row r="1897" spans="5:7" hidden="1">
      <c r="E1897"/>
      <c r="G1897" s="25"/>
    </row>
    <row r="1898" spans="5:7" hidden="1">
      <c r="E1898"/>
      <c r="G1898" s="25"/>
    </row>
    <row r="1899" spans="5:7" hidden="1">
      <c r="E1899"/>
      <c r="G1899" s="25"/>
    </row>
    <row r="1900" spans="5:7" hidden="1">
      <c r="E1900"/>
      <c r="G1900" s="25"/>
    </row>
    <row r="1901" spans="5:7" hidden="1">
      <c r="E1901"/>
      <c r="G1901" s="25"/>
    </row>
    <row r="1902" spans="5:7" hidden="1">
      <c r="E1902"/>
      <c r="G1902" s="25"/>
    </row>
    <row r="1903" spans="5:7" hidden="1">
      <c r="E1903"/>
      <c r="G1903" s="25"/>
    </row>
    <row r="1904" spans="5:7" hidden="1">
      <c r="E1904"/>
      <c r="G1904" s="25"/>
    </row>
    <row r="1905" spans="5:7" hidden="1">
      <c r="E1905"/>
      <c r="G1905" s="25"/>
    </row>
    <row r="1906" spans="5:7" hidden="1">
      <c r="E1906"/>
      <c r="G1906" s="25"/>
    </row>
    <row r="1907" spans="5:7" hidden="1">
      <c r="E1907"/>
      <c r="G1907" s="25"/>
    </row>
    <row r="1908" spans="5:7" hidden="1">
      <c r="E1908"/>
      <c r="G1908" s="25"/>
    </row>
    <row r="1909" spans="5:7" hidden="1">
      <c r="E1909"/>
      <c r="G1909" s="25"/>
    </row>
    <row r="1910" spans="5:7" hidden="1">
      <c r="E1910"/>
      <c r="G1910" s="25"/>
    </row>
    <row r="1911" spans="5:7" hidden="1">
      <c r="E1911"/>
      <c r="G1911" s="25"/>
    </row>
    <row r="1912" spans="5:7" hidden="1">
      <c r="E1912"/>
      <c r="G1912" s="25"/>
    </row>
    <row r="1913" spans="5:7" hidden="1">
      <c r="E1913"/>
      <c r="G1913" s="25"/>
    </row>
    <row r="1914" spans="5:7" hidden="1">
      <c r="E1914"/>
      <c r="G1914" s="25"/>
    </row>
    <row r="1915" spans="5:7" hidden="1">
      <c r="E1915"/>
      <c r="G1915" s="25"/>
    </row>
    <row r="1916" spans="5:7" hidden="1">
      <c r="E1916"/>
      <c r="G1916" s="25"/>
    </row>
    <row r="1917" spans="5:7" hidden="1">
      <c r="E1917"/>
      <c r="G1917" s="25"/>
    </row>
    <row r="1918" spans="5:7" hidden="1">
      <c r="E1918"/>
      <c r="G1918" s="25"/>
    </row>
    <row r="1919" spans="5:7" hidden="1">
      <c r="E1919"/>
      <c r="G1919" s="25"/>
    </row>
    <row r="1920" spans="5:7" hidden="1">
      <c r="E1920"/>
      <c r="G1920" s="25"/>
    </row>
    <row r="1921" spans="5:7" hidden="1">
      <c r="E1921"/>
      <c r="G1921" s="25"/>
    </row>
    <row r="1922" spans="5:7" hidden="1">
      <c r="E1922"/>
      <c r="G1922" s="25"/>
    </row>
    <row r="1923" spans="5:7" hidden="1">
      <c r="E1923"/>
      <c r="G1923" s="25"/>
    </row>
    <row r="1924" spans="5:7" hidden="1">
      <c r="E1924"/>
      <c r="G1924" s="25"/>
    </row>
    <row r="1925" spans="5:7" hidden="1">
      <c r="E1925"/>
      <c r="G1925" s="25"/>
    </row>
    <row r="1926" spans="5:7" hidden="1">
      <c r="E1926"/>
      <c r="G1926" s="25"/>
    </row>
    <row r="1927" spans="5:7" hidden="1">
      <c r="E1927"/>
      <c r="G1927" s="25"/>
    </row>
    <row r="1928" spans="5:7" hidden="1">
      <c r="E1928"/>
      <c r="G1928" s="25"/>
    </row>
    <row r="1929" spans="5:7" hidden="1">
      <c r="E1929"/>
      <c r="G1929" s="25"/>
    </row>
    <row r="1930" spans="5:7" hidden="1">
      <c r="E1930"/>
      <c r="G1930" s="25"/>
    </row>
    <row r="1931" spans="5:7" hidden="1">
      <c r="E1931"/>
      <c r="G1931" s="25"/>
    </row>
    <row r="1932" spans="5:7" hidden="1">
      <c r="E1932"/>
      <c r="G1932" s="25"/>
    </row>
    <row r="1933" spans="5:7" hidden="1">
      <c r="E1933"/>
      <c r="G1933" s="25"/>
    </row>
    <row r="1934" spans="5:7" hidden="1">
      <c r="E1934"/>
      <c r="G1934" s="25"/>
    </row>
    <row r="1935" spans="5:7" hidden="1">
      <c r="E1935"/>
      <c r="G1935" s="25"/>
    </row>
    <row r="1936" spans="5:7" hidden="1">
      <c r="E1936"/>
      <c r="G1936" s="25"/>
    </row>
    <row r="1937" spans="5:7" hidden="1">
      <c r="E1937"/>
      <c r="G1937" s="25"/>
    </row>
    <row r="1938" spans="5:7" hidden="1">
      <c r="E1938"/>
      <c r="G1938" s="25"/>
    </row>
    <row r="1939" spans="5:7" hidden="1">
      <c r="E1939"/>
      <c r="G1939" s="25"/>
    </row>
    <row r="1940" spans="5:7" hidden="1">
      <c r="E1940"/>
      <c r="G1940" s="25"/>
    </row>
    <row r="1941" spans="5:7" hidden="1">
      <c r="E1941"/>
      <c r="G1941" s="25"/>
    </row>
    <row r="1942" spans="5:7" hidden="1">
      <c r="E1942"/>
      <c r="G1942" s="25"/>
    </row>
    <row r="1943" spans="5:7" hidden="1">
      <c r="E1943"/>
      <c r="G1943" s="25"/>
    </row>
    <row r="1944" spans="5:7" hidden="1">
      <c r="E1944"/>
      <c r="G1944" s="25"/>
    </row>
    <row r="1945" spans="5:7" hidden="1">
      <c r="E1945"/>
      <c r="G1945" s="25"/>
    </row>
    <row r="1946" spans="5:7" hidden="1">
      <c r="E1946"/>
      <c r="G1946" s="25"/>
    </row>
    <row r="1947" spans="5:7" hidden="1">
      <c r="E1947"/>
      <c r="G1947" s="25"/>
    </row>
    <row r="1948" spans="5:7" hidden="1">
      <c r="E1948"/>
      <c r="G1948" s="25"/>
    </row>
    <row r="1949" spans="5:7" hidden="1">
      <c r="E1949"/>
      <c r="G1949" s="25"/>
    </row>
    <row r="1950" spans="5:7" hidden="1">
      <c r="E1950"/>
      <c r="G1950" s="25"/>
    </row>
    <row r="1951" spans="5:7" hidden="1">
      <c r="E1951"/>
      <c r="G1951" s="25"/>
    </row>
    <row r="1952" spans="5:7" hidden="1">
      <c r="E1952"/>
      <c r="G1952" s="25"/>
    </row>
    <row r="1953" spans="5:7" hidden="1">
      <c r="E1953"/>
      <c r="G1953" s="25"/>
    </row>
    <row r="1954" spans="5:7" hidden="1">
      <c r="E1954"/>
      <c r="G1954" s="25"/>
    </row>
    <row r="1955" spans="5:7" hidden="1">
      <c r="E1955"/>
      <c r="G1955" s="25"/>
    </row>
    <row r="1956" spans="5:7" hidden="1">
      <c r="E1956"/>
      <c r="G1956" s="25"/>
    </row>
    <row r="1957" spans="5:7" hidden="1">
      <c r="E1957"/>
      <c r="G1957" s="25"/>
    </row>
    <row r="1958" spans="5:7" hidden="1">
      <c r="E1958"/>
      <c r="G1958" s="25"/>
    </row>
    <row r="1959" spans="5:7" hidden="1">
      <c r="E1959"/>
      <c r="G1959" s="25"/>
    </row>
    <row r="1960" spans="5:7" hidden="1">
      <c r="E1960"/>
      <c r="G1960" s="25"/>
    </row>
    <row r="1961" spans="5:7" hidden="1">
      <c r="E1961"/>
      <c r="G1961" s="25"/>
    </row>
    <row r="1962" spans="5:7" hidden="1">
      <c r="E1962"/>
      <c r="G1962" s="25"/>
    </row>
    <row r="1963" spans="5:7" hidden="1">
      <c r="E1963"/>
      <c r="G1963" s="25"/>
    </row>
    <row r="1964" spans="5:7" hidden="1">
      <c r="E1964"/>
      <c r="G1964" s="25"/>
    </row>
    <row r="1965" spans="5:7" hidden="1">
      <c r="E1965"/>
      <c r="G1965" s="25"/>
    </row>
    <row r="1966" spans="5:7" hidden="1">
      <c r="E1966"/>
      <c r="G1966" s="25"/>
    </row>
    <row r="1967" spans="5:7" hidden="1">
      <c r="E1967"/>
      <c r="G1967" s="25"/>
    </row>
    <row r="1968" spans="5:7" hidden="1">
      <c r="E1968"/>
      <c r="G1968" s="25"/>
    </row>
    <row r="1969" spans="5:7" hidden="1">
      <c r="E1969"/>
      <c r="G1969" s="25"/>
    </row>
    <row r="1970" spans="5:7" hidden="1">
      <c r="E1970"/>
      <c r="G1970" s="25"/>
    </row>
    <row r="1971" spans="5:7" hidden="1">
      <c r="E1971"/>
      <c r="G1971" s="25"/>
    </row>
    <row r="1972" spans="5:7" hidden="1">
      <c r="E1972"/>
      <c r="G1972" s="25"/>
    </row>
    <row r="1973" spans="5:7" hidden="1">
      <c r="E1973"/>
      <c r="G1973" s="25"/>
    </row>
    <row r="1974" spans="5:7" hidden="1">
      <c r="E1974"/>
      <c r="G1974" s="25"/>
    </row>
    <row r="1975" spans="5:7" hidden="1">
      <c r="E1975"/>
      <c r="G1975" s="25"/>
    </row>
    <row r="1976" spans="5:7" hidden="1">
      <c r="E1976"/>
      <c r="G1976" s="25"/>
    </row>
    <row r="1977" spans="5:7" hidden="1">
      <c r="E1977"/>
      <c r="G1977" s="25"/>
    </row>
    <row r="1978" spans="5:7" hidden="1">
      <c r="E1978"/>
      <c r="G1978" s="25"/>
    </row>
    <row r="1979" spans="5:7" hidden="1">
      <c r="E1979"/>
      <c r="G1979" s="25"/>
    </row>
    <row r="1980" spans="5:7" hidden="1">
      <c r="E1980"/>
      <c r="G1980" s="25"/>
    </row>
    <row r="1981" spans="5:7" hidden="1">
      <c r="E1981"/>
      <c r="G1981" s="25"/>
    </row>
    <row r="1982" spans="5:7" hidden="1">
      <c r="E1982"/>
      <c r="G1982" s="25"/>
    </row>
    <row r="1983" spans="5:7" hidden="1">
      <c r="E1983"/>
      <c r="G1983" s="25"/>
    </row>
    <row r="1984" spans="5:7" hidden="1">
      <c r="E1984"/>
      <c r="G1984" s="25"/>
    </row>
    <row r="1985" spans="5:7" hidden="1">
      <c r="E1985"/>
      <c r="G1985" s="25"/>
    </row>
    <row r="1986" spans="5:7" hidden="1">
      <c r="E1986"/>
      <c r="G1986" s="25"/>
    </row>
    <row r="1987" spans="5:7" hidden="1">
      <c r="E1987"/>
      <c r="G1987" s="25"/>
    </row>
    <row r="1988" spans="5:7" hidden="1">
      <c r="E1988"/>
      <c r="G1988" s="25"/>
    </row>
    <row r="1989" spans="5:7" hidden="1">
      <c r="E1989"/>
      <c r="G1989" s="25"/>
    </row>
    <row r="1990" spans="5:7" hidden="1">
      <c r="E1990"/>
      <c r="G1990" s="25"/>
    </row>
    <row r="1991" spans="5:7" hidden="1">
      <c r="E1991"/>
      <c r="G1991" s="25"/>
    </row>
    <row r="1992" spans="5:7" hidden="1">
      <c r="E1992"/>
      <c r="G1992" s="25"/>
    </row>
    <row r="1993" spans="5:7" hidden="1">
      <c r="E1993"/>
      <c r="G1993" s="25"/>
    </row>
    <row r="1994" spans="5:7" hidden="1">
      <c r="E1994"/>
      <c r="G1994" s="25"/>
    </row>
    <row r="1995" spans="5:7" hidden="1">
      <c r="E1995"/>
      <c r="G1995" s="25"/>
    </row>
    <row r="1996" spans="5:7" hidden="1">
      <c r="E1996"/>
      <c r="G1996" s="25"/>
    </row>
    <row r="1997" spans="5:7" hidden="1">
      <c r="E1997"/>
      <c r="G1997" s="25"/>
    </row>
    <row r="1998" spans="5:7" hidden="1">
      <c r="E1998"/>
      <c r="G1998" s="25"/>
    </row>
    <row r="1999" spans="5:7" hidden="1">
      <c r="E1999"/>
      <c r="G1999" s="25"/>
    </row>
    <row r="2000" spans="5:7" hidden="1">
      <c r="E2000"/>
      <c r="G2000" s="25"/>
    </row>
    <row r="2001" spans="5:7" hidden="1">
      <c r="E2001"/>
      <c r="G2001" s="25"/>
    </row>
    <row r="2002" spans="5:7" hidden="1">
      <c r="E2002"/>
      <c r="G2002" s="25"/>
    </row>
    <row r="2003" spans="5:7" hidden="1">
      <c r="E2003"/>
      <c r="G2003" s="25"/>
    </row>
    <row r="2004" spans="5:7" hidden="1">
      <c r="E2004"/>
      <c r="G2004" s="25"/>
    </row>
    <row r="2005" spans="5:7" hidden="1">
      <c r="E2005"/>
      <c r="G2005" s="25"/>
    </row>
    <row r="2006" spans="5:7" hidden="1">
      <c r="E2006"/>
      <c r="G2006" s="25"/>
    </row>
    <row r="2007" spans="5:7" hidden="1">
      <c r="E2007"/>
      <c r="G2007" s="25"/>
    </row>
    <row r="2008" spans="5:7" hidden="1">
      <c r="E2008"/>
      <c r="G2008" s="25"/>
    </row>
    <row r="2009" spans="5:7" hidden="1">
      <c r="E2009"/>
      <c r="G2009" s="25"/>
    </row>
    <row r="2010" spans="5:7" hidden="1">
      <c r="E2010"/>
      <c r="G2010" s="25"/>
    </row>
    <row r="2011" spans="5:7" hidden="1">
      <c r="E2011"/>
      <c r="G2011" s="25"/>
    </row>
    <row r="2012" spans="5:7" hidden="1">
      <c r="E2012"/>
      <c r="G2012" s="25"/>
    </row>
    <row r="2013" spans="5:7" hidden="1">
      <c r="E2013"/>
      <c r="G2013" s="25"/>
    </row>
    <row r="2014" spans="5:7" hidden="1">
      <c r="E2014"/>
      <c r="G2014" s="25"/>
    </row>
    <row r="2015" spans="5:7" hidden="1">
      <c r="E2015"/>
      <c r="G2015" s="25"/>
    </row>
    <row r="2016" spans="5:7" hidden="1">
      <c r="E2016"/>
      <c r="G2016" s="25"/>
    </row>
    <row r="2017" spans="5:7" hidden="1">
      <c r="E2017"/>
      <c r="G2017" s="25"/>
    </row>
    <row r="2018" spans="5:7" hidden="1">
      <c r="E2018"/>
      <c r="G2018" s="25"/>
    </row>
    <row r="2019" spans="5:7" hidden="1">
      <c r="E2019"/>
      <c r="G2019" s="25"/>
    </row>
    <row r="2020" spans="5:7" hidden="1">
      <c r="E2020"/>
      <c r="G2020" s="25"/>
    </row>
    <row r="2021" spans="5:7" hidden="1">
      <c r="E2021"/>
      <c r="G2021" s="25"/>
    </row>
    <row r="2022" spans="5:7" hidden="1">
      <c r="E2022"/>
      <c r="G2022" s="25"/>
    </row>
    <row r="2023" spans="5:7" hidden="1">
      <c r="E2023"/>
      <c r="G2023" s="25"/>
    </row>
    <row r="2024" spans="5:7" hidden="1">
      <c r="E2024"/>
      <c r="G2024" s="25"/>
    </row>
    <row r="2025" spans="5:7" hidden="1">
      <c r="E2025"/>
      <c r="G2025" s="25"/>
    </row>
    <row r="2026" spans="5:7" hidden="1">
      <c r="E2026"/>
      <c r="G2026" s="25"/>
    </row>
    <row r="2027" spans="5:7" hidden="1">
      <c r="E2027"/>
      <c r="G2027" s="25"/>
    </row>
    <row r="2028" spans="5:7" hidden="1">
      <c r="E2028"/>
      <c r="G2028" s="25"/>
    </row>
    <row r="2029" spans="5:7" hidden="1">
      <c r="E2029"/>
      <c r="G2029" s="25"/>
    </row>
    <row r="2030" spans="5:7" hidden="1">
      <c r="E2030"/>
      <c r="G2030" s="25"/>
    </row>
    <row r="2031" spans="5:7" hidden="1">
      <c r="E2031"/>
      <c r="G2031" s="25"/>
    </row>
    <row r="2032" spans="5:7" hidden="1">
      <c r="E2032"/>
      <c r="G2032" s="25"/>
    </row>
    <row r="2033" spans="5:7" hidden="1">
      <c r="E2033"/>
      <c r="G2033" s="25"/>
    </row>
    <row r="2034" spans="5:7" hidden="1">
      <c r="E2034"/>
      <c r="G2034" s="25"/>
    </row>
    <row r="2035" spans="5:7" hidden="1">
      <c r="E2035"/>
      <c r="G2035" s="25"/>
    </row>
    <row r="2036" spans="5:7" hidden="1">
      <c r="E2036"/>
      <c r="G2036" s="25"/>
    </row>
    <row r="2037" spans="5:7" hidden="1">
      <c r="E2037"/>
      <c r="G2037" s="25"/>
    </row>
    <row r="2038" spans="5:7" hidden="1">
      <c r="E2038"/>
      <c r="G2038" s="25"/>
    </row>
    <row r="2039" spans="5:7" hidden="1">
      <c r="E2039"/>
      <c r="G2039" s="25"/>
    </row>
    <row r="2040" spans="5:7" hidden="1">
      <c r="E2040"/>
      <c r="G2040" s="25"/>
    </row>
    <row r="2041" spans="5:7" hidden="1">
      <c r="E2041"/>
      <c r="G2041" s="25"/>
    </row>
    <row r="2042" spans="5:7" hidden="1">
      <c r="E2042"/>
      <c r="G2042" s="25"/>
    </row>
    <row r="2043" spans="5:7" hidden="1">
      <c r="E2043"/>
      <c r="G2043" s="25"/>
    </row>
    <row r="2044" spans="5:7" hidden="1">
      <c r="E2044"/>
      <c r="G2044" s="25"/>
    </row>
    <row r="2045" spans="5:7" hidden="1">
      <c r="E2045"/>
      <c r="G2045" s="25"/>
    </row>
    <row r="2046" spans="5:7" hidden="1">
      <c r="E2046"/>
      <c r="G2046" s="25"/>
    </row>
    <row r="2047" spans="5:7" hidden="1">
      <c r="E2047"/>
      <c r="G2047" s="25"/>
    </row>
    <row r="2048" spans="5:7" hidden="1">
      <c r="E2048"/>
      <c r="G2048" s="25"/>
    </row>
    <row r="2049" spans="5:7" hidden="1">
      <c r="E2049"/>
      <c r="G2049" s="25"/>
    </row>
    <row r="2050" spans="5:7" hidden="1">
      <c r="E2050"/>
      <c r="G2050" s="25"/>
    </row>
    <row r="2051" spans="5:7" hidden="1">
      <c r="E2051"/>
      <c r="G2051" s="25"/>
    </row>
    <row r="2052" spans="5:7" hidden="1">
      <c r="E2052"/>
      <c r="G2052" s="25"/>
    </row>
    <row r="2053" spans="5:7" hidden="1">
      <c r="E2053"/>
      <c r="G2053" s="25"/>
    </row>
    <row r="2054" spans="5:7" hidden="1">
      <c r="E2054"/>
      <c r="G2054" s="25"/>
    </row>
    <row r="2055" spans="5:7" hidden="1">
      <c r="E2055"/>
      <c r="G2055" s="25"/>
    </row>
    <row r="2056" spans="5:7" hidden="1">
      <c r="E2056"/>
      <c r="G2056" s="25"/>
    </row>
    <row r="2057" spans="5:7" hidden="1">
      <c r="E2057"/>
      <c r="G2057" s="25"/>
    </row>
    <row r="2058" spans="5:7" hidden="1">
      <c r="E2058"/>
      <c r="G2058" s="25"/>
    </row>
    <row r="2059" spans="5:7" hidden="1">
      <c r="E2059"/>
      <c r="G2059" s="25"/>
    </row>
    <row r="2060" spans="5:7" hidden="1">
      <c r="E2060"/>
      <c r="G2060" s="25"/>
    </row>
    <row r="2061" spans="5:7" hidden="1">
      <c r="E2061"/>
      <c r="G2061" s="25"/>
    </row>
    <row r="2062" spans="5:7" hidden="1">
      <c r="E2062"/>
      <c r="G2062" s="25"/>
    </row>
    <row r="2063" spans="5:7" hidden="1">
      <c r="E2063"/>
      <c r="G2063" s="25"/>
    </row>
    <row r="2064" spans="5:7" hidden="1">
      <c r="E2064"/>
      <c r="G2064" s="25"/>
    </row>
    <row r="2065" spans="5:7" hidden="1">
      <c r="E2065"/>
      <c r="G2065" s="25"/>
    </row>
    <row r="2066" spans="5:7" hidden="1">
      <c r="E2066"/>
      <c r="G2066" s="25"/>
    </row>
    <row r="2067" spans="5:7" hidden="1">
      <c r="E2067"/>
      <c r="G2067" s="25"/>
    </row>
    <row r="2068" spans="5:7" hidden="1">
      <c r="E2068"/>
      <c r="G2068" s="25"/>
    </row>
    <row r="2069" spans="5:7" hidden="1">
      <c r="E2069"/>
      <c r="G2069" s="25"/>
    </row>
    <row r="2070" spans="5:7" hidden="1">
      <c r="E2070"/>
      <c r="G2070" s="25"/>
    </row>
    <row r="2071" spans="5:7" hidden="1">
      <c r="E2071"/>
      <c r="G2071" s="25"/>
    </row>
    <row r="2072" spans="5:7" hidden="1">
      <c r="E2072"/>
      <c r="G2072" s="25"/>
    </row>
    <row r="2073" spans="5:7" hidden="1">
      <c r="E2073"/>
      <c r="G2073" s="25"/>
    </row>
    <row r="2074" spans="5:7" hidden="1">
      <c r="E2074"/>
      <c r="G2074" s="25"/>
    </row>
    <row r="2075" spans="5:7" hidden="1">
      <c r="E2075"/>
      <c r="G2075" s="25"/>
    </row>
    <row r="2076" spans="5:7" hidden="1">
      <c r="E2076"/>
      <c r="G2076" s="25"/>
    </row>
    <row r="2077" spans="5:7" hidden="1">
      <c r="E2077"/>
      <c r="G2077" s="25"/>
    </row>
    <row r="2078" spans="5:7" hidden="1">
      <c r="E2078"/>
      <c r="G2078" s="25"/>
    </row>
    <row r="2079" spans="5:7" hidden="1">
      <c r="E2079"/>
      <c r="G2079" s="25"/>
    </row>
    <row r="2080" spans="5:7" hidden="1">
      <c r="E2080"/>
      <c r="G2080" s="25"/>
    </row>
    <row r="2081" spans="5:7" hidden="1">
      <c r="E2081"/>
      <c r="G2081" s="25"/>
    </row>
    <row r="2082" spans="5:7" hidden="1">
      <c r="E2082"/>
      <c r="G2082" s="25"/>
    </row>
    <row r="2083" spans="5:7" hidden="1">
      <c r="E2083"/>
      <c r="G2083" s="25"/>
    </row>
    <row r="2084" spans="5:7" hidden="1">
      <c r="E2084"/>
      <c r="G2084" s="25"/>
    </row>
    <row r="2085" spans="5:7" hidden="1">
      <c r="E2085"/>
      <c r="G2085" s="25"/>
    </row>
    <row r="2086" spans="5:7" hidden="1">
      <c r="E2086"/>
      <c r="G2086" s="25"/>
    </row>
    <row r="2087" spans="5:7" hidden="1">
      <c r="E2087"/>
      <c r="G2087" s="25"/>
    </row>
    <row r="2088" spans="5:7" hidden="1">
      <c r="E2088"/>
      <c r="G2088" s="25"/>
    </row>
    <row r="2089" spans="5:7" hidden="1">
      <c r="E2089"/>
      <c r="G2089" s="25"/>
    </row>
    <row r="2090" spans="5:7" hidden="1">
      <c r="E2090"/>
      <c r="G2090" s="25"/>
    </row>
    <row r="2091" spans="5:7" hidden="1">
      <c r="E2091"/>
      <c r="G2091" s="25"/>
    </row>
    <row r="2092" spans="5:7" hidden="1">
      <c r="E2092"/>
      <c r="G2092" s="25"/>
    </row>
    <row r="2093" spans="5:7" hidden="1">
      <c r="E2093"/>
      <c r="G2093" s="25"/>
    </row>
    <row r="2094" spans="5:7" hidden="1">
      <c r="E2094"/>
      <c r="G2094" s="25"/>
    </row>
    <row r="2095" spans="5:7" hidden="1">
      <c r="E2095"/>
      <c r="G2095" s="25"/>
    </row>
    <row r="2096" spans="5:7" hidden="1">
      <c r="E2096"/>
      <c r="G2096" s="25"/>
    </row>
    <row r="2097" spans="5:7" hidden="1">
      <c r="E2097"/>
      <c r="G2097" s="25"/>
    </row>
    <row r="2098" spans="5:7" hidden="1">
      <c r="E2098"/>
      <c r="G2098" s="25"/>
    </row>
    <row r="2099" spans="5:7" hidden="1">
      <c r="E2099"/>
      <c r="G2099" s="25"/>
    </row>
    <row r="2100" spans="5:7" hidden="1">
      <c r="E2100"/>
      <c r="G2100" s="25"/>
    </row>
    <row r="2101" spans="5:7" hidden="1">
      <c r="E2101"/>
      <c r="G2101" s="25"/>
    </row>
    <row r="2102" spans="5:7" hidden="1">
      <c r="E2102"/>
      <c r="G2102" s="25"/>
    </row>
    <row r="2103" spans="5:7" hidden="1">
      <c r="E2103"/>
      <c r="G2103" s="25"/>
    </row>
    <row r="2104" spans="5:7" hidden="1">
      <c r="E2104"/>
      <c r="G2104" s="25"/>
    </row>
    <row r="2105" spans="5:7" hidden="1">
      <c r="E2105"/>
      <c r="G2105" s="25"/>
    </row>
    <row r="2106" spans="5:7" hidden="1">
      <c r="E2106"/>
      <c r="G2106" s="25"/>
    </row>
    <row r="2107" spans="5:7" hidden="1">
      <c r="E2107"/>
      <c r="G2107" s="25"/>
    </row>
    <row r="2108" spans="5:7" hidden="1">
      <c r="E2108"/>
      <c r="G2108" s="25"/>
    </row>
    <row r="2109" spans="5:7" hidden="1">
      <c r="E2109"/>
      <c r="G2109" s="25"/>
    </row>
    <row r="2110" spans="5:7" hidden="1">
      <c r="E2110"/>
      <c r="G2110" s="25"/>
    </row>
    <row r="2111" spans="5:7" hidden="1">
      <c r="E2111"/>
      <c r="G2111" s="25"/>
    </row>
    <row r="2112" spans="5:7" hidden="1">
      <c r="E2112"/>
      <c r="G2112" s="25"/>
    </row>
    <row r="2113" spans="5:7" hidden="1">
      <c r="E2113"/>
      <c r="G2113" s="25"/>
    </row>
    <row r="2114" spans="5:7" hidden="1">
      <c r="E2114"/>
      <c r="G2114" s="25"/>
    </row>
    <row r="2115" spans="5:7" hidden="1">
      <c r="E2115"/>
      <c r="G2115" s="25"/>
    </row>
    <row r="2116" spans="5:7" hidden="1">
      <c r="E2116"/>
      <c r="G2116" s="25"/>
    </row>
    <row r="2117" spans="5:7" hidden="1">
      <c r="E2117"/>
      <c r="G2117" s="25"/>
    </row>
    <row r="2118" spans="5:7" hidden="1">
      <c r="E2118"/>
      <c r="G2118" s="25"/>
    </row>
    <row r="2119" spans="5:7" hidden="1">
      <c r="E2119"/>
      <c r="G2119" s="25"/>
    </row>
    <row r="2120" spans="5:7" hidden="1">
      <c r="E2120"/>
      <c r="G2120" s="25"/>
    </row>
    <row r="2121" spans="5:7" hidden="1">
      <c r="E2121"/>
      <c r="G2121" s="25"/>
    </row>
    <row r="2122" spans="5:7" hidden="1">
      <c r="E2122"/>
      <c r="G2122" s="25"/>
    </row>
    <row r="2123" spans="5:7" hidden="1">
      <c r="E2123"/>
      <c r="G2123" s="25"/>
    </row>
    <row r="2124" spans="5:7" hidden="1">
      <c r="E2124"/>
      <c r="G2124" s="25"/>
    </row>
    <row r="2125" spans="5:7" hidden="1">
      <c r="E2125"/>
      <c r="G2125" s="25"/>
    </row>
    <row r="2126" spans="5:7" hidden="1">
      <c r="E2126"/>
      <c r="G2126" s="25"/>
    </row>
    <row r="2127" spans="5:7" hidden="1">
      <c r="E2127"/>
      <c r="G2127" s="25"/>
    </row>
    <row r="2128" spans="5:7" hidden="1">
      <c r="E2128"/>
      <c r="G2128" s="25"/>
    </row>
    <row r="2129" spans="5:7" hidden="1">
      <c r="E2129"/>
      <c r="G2129" s="25"/>
    </row>
    <row r="2130" spans="5:7" hidden="1">
      <c r="E2130"/>
      <c r="G2130" s="25"/>
    </row>
    <row r="2131" spans="5:7" hidden="1">
      <c r="E2131"/>
      <c r="G2131" s="25"/>
    </row>
    <row r="2132" spans="5:7" hidden="1">
      <c r="E2132"/>
      <c r="G2132" s="25"/>
    </row>
    <row r="2133" spans="5:7" hidden="1">
      <c r="E2133"/>
      <c r="G2133" s="25"/>
    </row>
    <row r="2134" spans="5:7" hidden="1">
      <c r="E2134"/>
      <c r="G2134" s="25"/>
    </row>
    <row r="2135" spans="5:7" hidden="1">
      <c r="E2135"/>
      <c r="G2135" s="25"/>
    </row>
    <row r="2136" spans="5:7" hidden="1">
      <c r="E2136"/>
      <c r="G2136" s="25"/>
    </row>
    <row r="2137" spans="5:7" hidden="1">
      <c r="E2137"/>
      <c r="G2137" s="25"/>
    </row>
    <row r="2138" spans="5:7" hidden="1">
      <c r="E2138"/>
      <c r="G2138" s="25"/>
    </row>
    <row r="2139" spans="5:7" hidden="1">
      <c r="E2139"/>
      <c r="G2139" s="25"/>
    </row>
    <row r="2140" spans="5:7" hidden="1">
      <c r="E2140"/>
      <c r="G2140" s="25"/>
    </row>
    <row r="2141" spans="5:7" hidden="1">
      <c r="E2141"/>
      <c r="G2141" s="25"/>
    </row>
    <row r="2142" spans="5:7" hidden="1">
      <c r="E2142"/>
      <c r="G2142" s="25"/>
    </row>
    <row r="2143" spans="5:7" hidden="1">
      <c r="E2143"/>
      <c r="G2143" s="25"/>
    </row>
    <row r="2144" spans="5:7" hidden="1">
      <c r="E2144"/>
      <c r="G2144" s="25"/>
    </row>
    <row r="2145" spans="5:7" hidden="1">
      <c r="E2145"/>
      <c r="G2145" s="25"/>
    </row>
    <row r="2146" spans="5:7" hidden="1">
      <c r="E2146"/>
      <c r="G2146" s="25"/>
    </row>
    <row r="2147" spans="5:7" hidden="1">
      <c r="E2147"/>
      <c r="G2147" s="25"/>
    </row>
    <row r="2148" spans="5:7" hidden="1">
      <c r="E2148"/>
      <c r="G2148" s="25"/>
    </row>
    <row r="2149" spans="5:7" hidden="1">
      <c r="E2149"/>
      <c r="G2149" s="25"/>
    </row>
    <row r="2150" spans="5:7" hidden="1">
      <c r="E2150"/>
      <c r="G2150" s="25"/>
    </row>
    <row r="2151" spans="5:7" hidden="1">
      <c r="E2151"/>
      <c r="G2151" s="25"/>
    </row>
    <row r="2152" spans="5:7" hidden="1">
      <c r="E2152"/>
      <c r="G2152" s="25"/>
    </row>
    <row r="2153" spans="5:7" hidden="1">
      <c r="E2153"/>
      <c r="G2153" s="25"/>
    </row>
    <row r="2154" spans="5:7" hidden="1">
      <c r="E2154"/>
      <c r="G2154" s="25"/>
    </row>
    <row r="2155" spans="5:7" hidden="1">
      <c r="E2155"/>
      <c r="G2155" s="25"/>
    </row>
    <row r="2156" spans="5:7" hidden="1">
      <c r="E2156"/>
      <c r="G2156" s="25"/>
    </row>
    <row r="2157" spans="5:7" hidden="1">
      <c r="E2157"/>
      <c r="G2157" s="25"/>
    </row>
    <row r="2158" spans="5:7" hidden="1">
      <c r="E2158"/>
      <c r="G2158" s="25"/>
    </row>
    <row r="2159" spans="5:7" hidden="1">
      <c r="E2159"/>
      <c r="G2159" s="25"/>
    </row>
    <row r="2160" spans="5:7" hidden="1">
      <c r="E2160"/>
      <c r="G2160" s="25"/>
    </row>
    <row r="2161" spans="5:7" hidden="1">
      <c r="E2161"/>
      <c r="G2161" s="25"/>
    </row>
    <row r="2162" spans="5:7" hidden="1">
      <c r="E2162"/>
      <c r="G2162" s="25"/>
    </row>
    <row r="2163" spans="5:7" hidden="1">
      <c r="E2163"/>
      <c r="G2163" s="25"/>
    </row>
    <row r="2164" spans="5:7" hidden="1">
      <c r="E2164"/>
      <c r="G2164" s="25"/>
    </row>
    <row r="2165" spans="5:7" hidden="1">
      <c r="E2165"/>
      <c r="G2165" s="25"/>
    </row>
    <row r="2166" spans="5:7" hidden="1">
      <c r="E2166"/>
      <c r="G2166" s="25"/>
    </row>
    <row r="2167" spans="5:7" hidden="1">
      <c r="E2167"/>
      <c r="G2167" s="25"/>
    </row>
    <row r="2168" spans="5:7" hidden="1">
      <c r="E2168"/>
      <c r="G2168" s="25"/>
    </row>
    <row r="2169" spans="5:7" hidden="1">
      <c r="E2169"/>
      <c r="G2169" s="25"/>
    </row>
    <row r="2170" spans="5:7" hidden="1">
      <c r="E2170"/>
      <c r="G2170" s="25"/>
    </row>
    <row r="2171" spans="5:7" hidden="1">
      <c r="E2171"/>
      <c r="G2171" s="25"/>
    </row>
    <row r="2172" spans="5:7" hidden="1">
      <c r="E2172"/>
      <c r="G2172" s="25"/>
    </row>
    <row r="2173" spans="5:7" hidden="1">
      <c r="E2173"/>
      <c r="G2173" s="25"/>
    </row>
    <row r="2174" spans="5:7" hidden="1">
      <c r="E2174"/>
      <c r="G2174" s="25"/>
    </row>
    <row r="2175" spans="5:7" hidden="1">
      <c r="E2175"/>
      <c r="G2175" s="25"/>
    </row>
    <row r="2176" spans="5:7" hidden="1">
      <c r="E2176"/>
      <c r="G2176" s="25"/>
    </row>
    <row r="2177" spans="5:7" hidden="1">
      <c r="E2177"/>
      <c r="G2177" s="25"/>
    </row>
    <row r="2178" spans="5:7" hidden="1">
      <c r="E2178"/>
      <c r="G2178" s="25"/>
    </row>
    <row r="2179" spans="5:7" hidden="1">
      <c r="E2179"/>
      <c r="G2179" s="25"/>
    </row>
    <row r="2180" spans="5:7" hidden="1">
      <c r="E2180"/>
      <c r="G2180" s="25"/>
    </row>
    <row r="2181" spans="5:7" hidden="1">
      <c r="E2181"/>
      <c r="G2181" s="25"/>
    </row>
    <row r="2182" spans="5:7" hidden="1">
      <c r="E2182"/>
      <c r="G2182" s="25"/>
    </row>
    <row r="2183" spans="5:7" hidden="1">
      <c r="E2183"/>
      <c r="G2183" s="25"/>
    </row>
    <row r="2184" spans="5:7" hidden="1">
      <c r="E2184"/>
      <c r="G2184" s="25"/>
    </row>
    <row r="2185" spans="5:7" hidden="1">
      <c r="E2185"/>
      <c r="G2185" s="25"/>
    </row>
    <row r="2186" spans="5:7" hidden="1">
      <c r="E2186"/>
      <c r="G2186" s="25"/>
    </row>
    <row r="2187" spans="5:7" hidden="1">
      <c r="E2187"/>
      <c r="G2187" s="25"/>
    </row>
    <row r="2188" spans="5:7" hidden="1">
      <c r="E2188"/>
      <c r="G2188" s="25"/>
    </row>
    <row r="2189" spans="5:7" hidden="1">
      <c r="E2189"/>
      <c r="G2189" s="25"/>
    </row>
    <row r="2190" spans="5:7" hidden="1">
      <c r="E2190"/>
      <c r="G2190" s="25"/>
    </row>
    <row r="2191" spans="5:7" hidden="1">
      <c r="E2191"/>
      <c r="G2191" s="25"/>
    </row>
    <row r="2192" spans="5:7" hidden="1">
      <c r="E2192"/>
      <c r="G2192" s="25"/>
    </row>
    <row r="2193" spans="5:7" hidden="1">
      <c r="E2193"/>
      <c r="G2193" s="25"/>
    </row>
    <row r="2194" spans="5:7" hidden="1">
      <c r="E2194"/>
      <c r="G2194" s="25"/>
    </row>
    <row r="2195" spans="5:7" hidden="1">
      <c r="E2195"/>
      <c r="G2195" s="25"/>
    </row>
    <row r="2196" spans="5:7" hidden="1">
      <c r="E2196"/>
      <c r="G2196" s="25"/>
    </row>
    <row r="2197" spans="5:7" hidden="1">
      <c r="E2197"/>
      <c r="G2197" s="25"/>
    </row>
    <row r="2198" spans="5:7" hidden="1">
      <c r="E2198"/>
      <c r="G2198" s="25"/>
    </row>
    <row r="2199" spans="5:7" hidden="1">
      <c r="E2199"/>
      <c r="G2199" s="25"/>
    </row>
    <row r="2200" spans="5:7" hidden="1">
      <c r="E2200"/>
      <c r="G2200" s="25"/>
    </row>
    <row r="2201" spans="5:7" hidden="1">
      <c r="E2201"/>
      <c r="G2201" s="25"/>
    </row>
    <row r="2202" spans="5:7" hidden="1">
      <c r="E2202"/>
      <c r="G2202" s="25"/>
    </row>
    <row r="2203" spans="5:7" hidden="1">
      <c r="E2203"/>
      <c r="G2203" s="25"/>
    </row>
    <row r="2204" spans="5:7" hidden="1">
      <c r="E2204"/>
      <c r="G2204" s="25"/>
    </row>
    <row r="2205" spans="5:7" hidden="1">
      <c r="E2205"/>
      <c r="G2205" s="25"/>
    </row>
    <row r="2206" spans="5:7" hidden="1">
      <c r="E2206"/>
      <c r="G2206" s="25"/>
    </row>
    <row r="2207" spans="5:7" hidden="1">
      <c r="E2207"/>
      <c r="G2207" s="25"/>
    </row>
    <row r="2208" spans="5:7" hidden="1">
      <c r="E2208"/>
      <c r="G2208" s="25"/>
    </row>
    <row r="2209" spans="5:7" hidden="1">
      <c r="E2209"/>
      <c r="G2209" s="25"/>
    </row>
    <row r="2210" spans="5:7" hidden="1">
      <c r="E2210"/>
      <c r="G2210" s="25"/>
    </row>
    <row r="2211" spans="5:7" hidden="1">
      <c r="E2211"/>
      <c r="G2211" s="25"/>
    </row>
    <row r="2212" spans="5:7" hidden="1">
      <c r="E2212"/>
      <c r="G2212" s="25"/>
    </row>
    <row r="2213" spans="5:7" hidden="1">
      <c r="E2213"/>
      <c r="G2213" s="25"/>
    </row>
    <row r="2214" spans="5:7" hidden="1">
      <c r="E2214"/>
      <c r="G2214" s="25"/>
    </row>
    <row r="2215" spans="5:7" hidden="1">
      <c r="E2215"/>
      <c r="G2215" s="25"/>
    </row>
    <row r="2216" spans="5:7" hidden="1">
      <c r="E2216"/>
      <c r="G2216" s="25"/>
    </row>
    <row r="2217" spans="5:7" hidden="1">
      <c r="E2217"/>
      <c r="G2217" s="25"/>
    </row>
    <row r="2218" spans="5:7" hidden="1">
      <c r="E2218"/>
      <c r="G2218" s="25"/>
    </row>
    <row r="2219" spans="5:7" hidden="1">
      <c r="E2219"/>
      <c r="G2219" s="25"/>
    </row>
    <row r="2220" spans="5:7" hidden="1">
      <c r="E2220"/>
      <c r="G2220" s="25"/>
    </row>
    <row r="2221" spans="5:7" hidden="1">
      <c r="E2221"/>
      <c r="G2221" s="25"/>
    </row>
    <row r="2222" spans="5:7" hidden="1">
      <c r="E2222"/>
      <c r="G2222" s="25"/>
    </row>
    <row r="2223" spans="5:7" hidden="1">
      <c r="E2223"/>
      <c r="G2223" s="25"/>
    </row>
    <row r="2224" spans="5:7" hidden="1">
      <c r="E2224"/>
      <c r="G2224" s="25"/>
    </row>
    <row r="2225" spans="5:7" hidden="1">
      <c r="E2225"/>
      <c r="G2225" s="25"/>
    </row>
    <row r="2226" spans="5:7" hidden="1">
      <c r="E2226"/>
      <c r="G2226" s="25"/>
    </row>
    <row r="2227" spans="5:7" hidden="1">
      <c r="E2227"/>
      <c r="G2227" s="25"/>
    </row>
    <row r="2228" spans="5:7" hidden="1">
      <c r="E2228"/>
      <c r="G2228" s="25"/>
    </row>
    <row r="2229" spans="5:7" hidden="1">
      <c r="E2229"/>
      <c r="G2229" s="25"/>
    </row>
    <row r="2230" spans="5:7" hidden="1">
      <c r="E2230"/>
      <c r="G2230" s="25"/>
    </row>
    <row r="2231" spans="5:7" hidden="1">
      <c r="E2231"/>
      <c r="G2231" s="25"/>
    </row>
    <row r="2232" spans="5:7" hidden="1">
      <c r="E2232"/>
      <c r="G2232" s="25"/>
    </row>
    <row r="2233" spans="5:7" hidden="1">
      <c r="E2233"/>
      <c r="G2233" s="25"/>
    </row>
    <row r="2234" spans="5:7" hidden="1">
      <c r="E2234"/>
      <c r="G2234" s="25"/>
    </row>
    <row r="2235" spans="5:7" hidden="1">
      <c r="E2235"/>
      <c r="G2235" s="25"/>
    </row>
    <row r="2236" spans="5:7" hidden="1">
      <c r="E2236"/>
      <c r="G2236" s="25"/>
    </row>
    <row r="2237" spans="5:7" hidden="1">
      <c r="E2237"/>
      <c r="G2237" s="25"/>
    </row>
    <row r="2238" spans="5:7" hidden="1">
      <c r="E2238"/>
      <c r="G2238" s="25"/>
    </row>
    <row r="2239" spans="5:7" hidden="1">
      <c r="E2239"/>
      <c r="G2239" s="25"/>
    </row>
    <row r="2240" spans="5:7" hidden="1">
      <c r="E2240"/>
      <c r="G2240" s="25"/>
    </row>
    <row r="2241" spans="5:7" hidden="1">
      <c r="E2241"/>
      <c r="G2241" s="25"/>
    </row>
    <row r="2242" spans="5:7" hidden="1">
      <c r="E2242"/>
      <c r="G2242" s="25"/>
    </row>
    <row r="2243" spans="5:7" hidden="1">
      <c r="E2243"/>
      <c r="G2243" s="25"/>
    </row>
    <row r="2244" spans="5:7" hidden="1">
      <c r="E2244"/>
      <c r="G2244" s="25"/>
    </row>
    <row r="2245" spans="5:7" hidden="1">
      <c r="E2245"/>
      <c r="G2245" s="25"/>
    </row>
    <row r="2246" spans="5:7" hidden="1">
      <c r="E2246"/>
      <c r="G2246" s="25"/>
    </row>
    <row r="2247" spans="5:7" hidden="1">
      <c r="E2247"/>
      <c r="G2247" s="25"/>
    </row>
    <row r="2248" spans="5:7" hidden="1">
      <c r="E2248"/>
      <c r="G2248" s="25"/>
    </row>
    <row r="2249" spans="5:7" hidden="1">
      <c r="E2249"/>
      <c r="G2249" s="25"/>
    </row>
    <row r="2250" spans="5:7" hidden="1">
      <c r="E2250"/>
      <c r="G2250" s="25"/>
    </row>
    <row r="2251" spans="5:7" hidden="1">
      <c r="E2251"/>
      <c r="G2251" s="25"/>
    </row>
    <row r="2252" spans="5:7" hidden="1">
      <c r="E2252"/>
      <c r="G2252" s="25"/>
    </row>
    <row r="2253" spans="5:7" hidden="1">
      <c r="E2253"/>
      <c r="G2253" s="25"/>
    </row>
    <row r="2254" spans="5:7" hidden="1">
      <c r="E2254"/>
      <c r="G2254" s="25"/>
    </row>
    <row r="2255" spans="5:7" hidden="1">
      <c r="E2255"/>
      <c r="G2255" s="25"/>
    </row>
    <row r="2256" spans="5:7" hidden="1">
      <c r="E2256"/>
      <c r="G2256" s="25"/>
    </row>
    <row r="2257" spans="5:7" hidden="1">
      <c r="E2257"/>
      <c r="G2257" s="25"/>
    </row>
    <row r="2258" spans="5:7" hidden="1">
      <c r="E2258"/>
      <c r="G2258" s="25"/>
    </row>
    <row r="2259" spans="5:7" hidden="1">
      <c r="E2259"/>
      <c r="G2259" s="25"/>
    </row>
    <row r="2260" spans="5:7" hidden="1">
      <c r="E2260"/>
      <c r="G2260" s="25"/>
    </row>
    <row r="2261" spans="5:7" hidden="1">
      <c r="E2261"/>
      <c r="G2261" s="25"/>
    </row>
    <row r="2262" spans="5:7" hidden="1">
      <c r="E2262"/>
      <c r="G2262" s="25"/>
    </row>
    <row r="2263" spans="5:7" hidden="1">
      <c r="E2263"/>
      <c r="G2263" s="25"/>
    </row>
    <row r="2264" spans="5:7" hidden="1">
      <c r="E2264"/>
      <c r="G2264" s="25"/>
    </row>
    <row r="2265" spans="5:7" ht="13.15" hidden="1" customHeight="1"/>
    <row r="2266" spans="5:7"/>
    <row r="2267" spans="5:7"/>
    <row r="2268" spans="5:7"/>
    <row r="2269" spans="5:7"/>
    <row r="2270" spans="5:7"/>
    <row r="2271" spans="5:7"/>
    <row r="2272" spans="5:7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</sheetData>
  <phoneticPr fontId="19" type="noConversion"/>
  <conditionalFormatting sqref="L9:CO9">
    <cfRule type="cellIs" dxfId="108" priority="171" operator="equal">
      <formula>2</formula>
    </cfRule>
    <cfRule type="cellIs" dxfId="107" priority="216" operator="equal">
      <formula>1</formula>
    </cfRule>
  </conditionalFormatting>
  <conditionalFormatting sqref="J54:AY54 L33:CO38 L71:CO71 L824:CO824 L1151:CO1151 L1183:CO1184 L1156:CO1160 L28:CO31 L318:CO318 L53:CO64">
    <cfRule type="cellIs" dxfId="106" priority="138" operator="equal">
      <formula>1</formula>
    </cfRule>
  </conditionalFormatting>
  <conditionalFormatting sqref="E4">
    <cfRule type="cellIs" dxfId="105" priority="93" operator="equal">
      <formula>FALSE</formula>
    </cfRule>
    <cfRule type="cellIs" dxfId="104" priority="94" operator="equal">
      <formula>TRUE</formula>
    </cfRule>
  </conditionalFormatting>
  <conditionalFormatting sqref="L183:CO190">
    <cfRule type="cellIs" dxfId="103" priority="92" operator="equal">
      <formula>0</formula>
    </cfRule>
  </conditionalFormatting>
  <conditionalFormatting sqref="L528:CO529 L529:CP529">
    <cfRule type="cellIs" dxfId="102" priority="91" operator="equal">
      <formula>0</formula>
    </cfRule>
  </conditionalFormatting>
  <conditionalFormatting sqref="L121:CO123">
    <cfRule type="cellIs" dxfId="101" priority="90" operator="equal">
      <formula>0</formula>
    </cfRule>
  </conditionalFormatting>
  <conditionalFormatting sqref="L133:CO135">
    <cfRule type="cellIs" dxfId="100" priority="89" operator="equal">
      <formula>0</formula>
    </cfRule>
  </conditionalFormatting>
  <conditionalFormatting sqref="L218:CO220">
    <cfRule type="cellIs" dxfId="99" priority="88" operator="equal">
      <formula>0</formula>
    </cfRule>
  </conditionalFormatting>
  <conditionalFormatting sqref="L145:CO147">
    <cfRule type="cellIs" dxfId="98" priority="87" operator="equal">
      <formula>0</formula>
    </cfRule>
  </conditionalFormatting>
  <conditionalFormatting sqref="L241:CO243">
    <cfRule type="cellIs" dxfId="97" priority="86" operator="equal">
      <formula>0</formula>
    </cfRule>
  </conditionalFormatting>
  <conditionalFormatting sqref="L32:CO32">
    <cfRule type="cellIs" dxfId="96" priority="85" operator="equal">
      <formula>1</formula>
    </cfRule>
  </conditionalFormatting>
  <conditionalFormatting sqref="L33:CO33">
    <cfRule type="cellIs" dxfId="95" priority="84" operator="equal">
      <formula>1</formula>
    </cfRule>
  </conditionalFormatting>
  <conditionalFormatting sqref="L34:CO34">
    <cfRule type="cellIs" dxfId="94" priority="83" operator="equal">
      <formula>1</formula>
    </cfRule>
  </conditionalFormatting>
  <conditionalFormatting sqref="L40:CO45">
    <cfRule type="cellIs" dxfId="93" priority="82" operator="equal">
      <formula>1</formula>
    </cfRule>
  </conditionalFormatting>
  <conditionalFormatting sqref="L39:CO44">
    <cfRule type="cellIs" dxfId="92" priority="81" operator="equal">
      <formula>1</formula>
    </cfRule>
  </conditionalFormatting>
  <conditionalFormatting sqref="L40:CO40">
    <cfRule type="cellIs" dxfId="91" priority="80" operator="equal">
      <formula>1</formula>
    </cfRule>
  </conditionalFormatting>
  <conditionalFormatting sqref="L41:CO41">
    <cfRule type="cellIs" dxfId="90" priority="79" operator="equal">
      <formula>1</formula>
    </cfRule>
  </conditionalFormatting>
  <conditionalFormatting sqref="L47:CO52">
    <cfRule type="cellIs" dxfId="89" priority="78" operator="equal">
      <formula>1</formula>
    </cfRule>
  </conditionalFormatting>
  <conditionalFormatting sqref="L46:CO51">
    <cfRule type="cellIs" dxfId="88" priority="77" operator="equal">
      <formula>1</formula>
    </cfRule>
  </conditionalFormatting>
  <conditionalFormatting sqref="L47:CO47">
    <cfRule type="cellIs" dxfId="87" priority="76" operator="equal">
      <formula>1</formula>
    </cfRule>
  </conditionalFormatting>
  <conditionalFormatting sqref="L48:CO48">
    <cfRule type="cellIs" dxfId="86" priority="75" operator="equal">
      <formula>1</formula>
    </cfRule>
  </conditionalFormatting>
  <conditionalFormatting sqref="S314:CO314 L310:CO313">
    <cfRule type="cellIs" dxfId="85" priority="74" operator="equal">
      <formula>1</formula>
    </cfRule>
  </conditionalFormatting>
  <conditionalFormatting sqref="L713:CO713">
    <cfRule type="cellIs" dxfId="84" priority="73" operator="equal">
      <formula>1</formula>
    </cfRule>
  </conditionalFormatting>
  <conditionalFormatting sqref="BA71:CM71 AZ318:CM318 AZ824:CM824 AZ1183:CM1184 AZ1151:CM1151 BA33:CM33 AZ35:CM38 BB34:CM34 AZ1156:CM1160 AZ28:CM31 AZ53:CM64">
    <cfRule type="cellIs" dxfId="83" priority="71" operator="equal">
      <formula>1</formula>
    </cfRule>
  </conditionalFormatting>
  <conditionalFormatting sqref="AZ183:CM190">
    <cfRule type="cellIs" dxfId="82" priority="69" operator="equal">
      <formula>0</formula>
    </cfRule>
  </conditionalFormatting>
  <conditionalFormatting sqref="AZ528:CM529">
    <cfRule type="cellIs" dxfId="81" priority="68" operator="equal">
      <formula>0</formula>
    </cfRule>
  </conditionalFormatting>
  <conditionalFormatting sqref="AZ121:CM123">
    <cfRule type="cellIs" dxfId="80" priority="67" operator="equal">
      <formula>0</formula>
    </cfRule>
  </conditionalFormatting>
  <conditionalFormatting sqref="AZ133:CM135">
    <cfRule type="cellIs" dxfId="79" priority="66" operator="equal">
      <formula>0</formula>
    </cfRule>
  </conditionalFormatting>
  <conditionalFormatting sqref="AZ218:CM220">
    <cfRule type="cellIs" dxfId="78" priority="65" operator="equal">
      <formula>0</formula>
    </cfRule>
  </conditionalFormatting>
  <conditionalFormatting sqref="AZ145:CM147">
    <cfRule type="cellIs" dxfId="77" priority="64" operator="equal">
      <formula>0</formula>
    </cfRule>
  </conditionalFormatting>
  <conditionalFormatting sqref="AZ241:CM243">
    <cfRule type="cellIs" dxfId="76" priority="63" operator="equal">
      <formula>0</formula>
    </cfRule>
  </conditionalFormatting>
  <conditionalFormatting sqref="AZ32:CM32">
    <cfRule type="cellIs" dxfId="75" priority="62" operator="equal">
      <formula>1</formula>
    </cfRule>
  </conditionalFormatting>
  <conditionalFormatting sqref="AZ33:CM33">
    <cfRule type="cellIs" dxfId="74" priority="61" operator="equal">
      <formula>1</formula>
    </cfRule>
  </conditionalFormatting>
  <conditionalFormatting sqref="AZ34:CM34">
    <cfRule type="cellIs" dxfId="73" priority="60" operator="equal">
      <formula>1</formula>
    </cfRule>
  </conditionalFormatting>
  <conditionalFormatting sqref="BA40:CM40 AZ42:CM45 BB41:CM41">
    <cfRule type="cellIs" dxfId="72" priority="59" operator="equal">
      <formula>1</formula>
    </cfRule>
  </conditionalFormatting>
  <conditionalFormatting sqref="AZ39:CM44">
    <cfRule type="cellIs" dxfId="71" priority="58" operator="equal">
      <formula>1</formula>
    </cfRule>
  </conditionalFormatting>
  <conditionalFormatting sqref="AZ40:CM40">
    <cfRule type="cellIs" dxfId="70" priority="57" operator="equal">
      <formula>1</formula>
    </cfRule>
  </conditionalFormatting>
  <conditionalFormatting sqref="AZ41:CM41">
    <cfRule type="cellIs" dxfId="69" priority="56" operator="equal">
      <formula>1</formula>
    </cfRule>
  </conditionalFormatting>
  <conditionalFormatting sqref="BA47:CM47 AZ49:CM52 BB48:CM48">
    <cfRule type="cellIs" dxfId="68" priority="55" operator="equal">
      <formula>1</formula>
    </cfRule>
  </conditionalFormatting>
  <conditionalFormatting sqref="AZ46:CM51">
    <cfRule type="cellIs" dxfId="67" priority="54" operator="equal">
      <formula>1</formula>
    </cfRule>
  </conditionalFormatting>
  <conditionalFormatting sqref="AZ47:CM47">
    <cfRule type="cellIs" dxfId="66" priority="53" operator="equal">
      <formula>1</formula>
    </cfRule>
  </conditionalFormatting>
  <conditionalFormatting sqref="AZ48:CM48">
    <cfRule type="cellIs" dxfId="65" priority="52" operator="equal">
      <formula>1</formula>
    </cfRule>
  </conditionalFormatting>
  <conditionalFormatting sqref="AZ310:CM314">
    <cfRule type="cellIs" dxfId="64" priority="51" operator="equal">
      <formula>1</formula>
    </cfRule>
  </conditionalFormatting>
  <conditionalFormatting sqref="AZ713:CM713">
    <cfRule type="cellIs" dxfId="63" priority="50" operator="equal">
      <formula>1</formula>
    </cfRule>
  </conditionalFormatting>
  <conditionalFormatting sqref="CN28:CO31 CN71:CO71 CN318:CO318 CN824:CO824 CN1183:CO1184 CN1151:CO1151 CN33:CO38 CN1156:CO1160 CN53:CO64">
    <cfRule type="cellIs" dxfId="62" priority="48" operator="equal">
      <formula>1</formula>
    </cfRule>
  </conditionalFormatting>
  <conditionalFormatting sqref="CN183:CO190">
    <cfRule type="cellIs" dxfId="61" priority="46" operator="equal">
      <formula>0</formula>
    </cfRule>
  </conditionalFormatting>
  <conditionalFormatting sqref="CN528:CO529">
    <cfRule type="cellIs" dxfId="60" priority="45" operator="equal">
      <formula>0</formula>
    </cfRule>
  </conditionalFormatting>
  <conditionalFormatting sqref="CN121:CO123">
    <cfRule type="cellIs" dxfId="59" priority="44" operator="equal">
      <formula>0</formula>
    </cfRule>
  </conditionalFormatting>
  <conditionalFormatting sqref="CN133:CO135">
    <cfRule type="cellIs" dxfId="58" priority="43" operator="equal">
      <formula>0</formula>
    </cfRule>
  </conditionalFormatting>
  <conditionalFormatting sqref="CN218:CO220">
    <cfRule type="cellIs" dxfId="57" priority="42" operator="equal">
      <formula>0</formula>
    </cfRule>
  </conditionalFormatting>
  <conditionalFormatting sqref="CN145:CO147">
    <cfRule type="cellIs" dxfId="56" priority="41" operator="equal">
      <formula>0</formula>
    </cfRule>
  </conditionalFormatting>
  <conditionalFormatting sqref="CN241:CO243">
    <cfRule type="cellIs" dxfId="55" priority="40" operator="equal">
      <formula>0</formula>
    </cfRule>
  </conditionalFormatting>
  <conditionalFormatting sqref="CN32:CO32">
    <cfRule type="cellIs" dxfId="54" priority="39" operator="equal">
      <formula>1</formula>
    </cfRule>
  </conditionalFormatting>
  <conditionalFormatting sqref="CN33:CO33">
    <cfRule type="cellIs" dxfId="53" priority="38" operator="equal">
      <formula>1</formula>
    </cfRule>
  </conditionalFormatting>
  <conditionalFormatting sqref="CN34:CO34">
    <cfRule type="cellIs" dxfId="52" priority="37" operator="equal">
      <formula>1</formula>
    </cfRule>
  </conditionalFormatting>
  <conditionalFormatting sqref="CN40:CO45">
    <cfRule type="cellIs" dxfId="51" priority="36" operator="equal">
      <formula>1</formula>
    </cfRule>
  </conditionalFormatting>
  <conditionalFormatting sqref="CN39:CO44">
    <cfRule type="cellIs" dxfId="50" priority="35" operator="equal">
      <formula>1</formula>
    </cfRule>
  </conditionalFormatting>
  <conditionalFormatting sqref="CN40:CO40">
    <cfRule type="cellIs" dxfId="49" priority="34" operator="equal">
      <formula>1</formula>
    </cfRule>
  </conditionalFormatting>
  <conditionalFormatting sqref="CN41:CO41">
    <cfRule type="cellIs" dxfId="48" priority="33" operator="equal">
      <formula>1</formula>
    </cfRule>
  </conditionalFormatting>
  <conditionalFormatting sqref="CN47:CO52">
    <cfRule type="cellIs" dxfId="47" priority="32" operator="equal">
      <formula>1</formula>
    </cfRule>
  </conditionalFormatting>
  <conditionalFormatting sqref="CN46:CO51">
    <cfRule type="cellIs" dxfId="46" priority="31" operator="equal">
      <formula>1</formula>
    </cfRule>
  </conditionalFormatting>
  <conditionalFormatting sqref="CN47:CO47">
    <cfRule type="cellIs" dxfId="45" priority="30" operator="equal">
      <formula>1</formula>
    </cfRule>
  </conditionalFormatting>
  <conditionalFormatting sqref="CN48:CO48">
    <cfRule type="cellIs" dxfId="44" priority="29" operator="equal">
      <formula>1</formula>
    </cfRule>
  </conditionalFormatting>
  <conditionalFormatting sqref="CN310:CO314">
    <cfRule type="cellIs" dxfId="43" priority="28" operator="equal">
      <formula>1</formula>
    </cfRule>
  </conditionalFormatting>
  <conditionalFormatting sqref="CN713:CO713">
    <cfRule type="cellIs" dxfId="42" priority="27" operator="equal">
      <formula>1</formula>
    </cfRule>
  </conditionalFormatting>
  <conditionalFormatting sqref="L1489:CO1490">
    <cfRule type="cellIs" dxfId="41" priority="26" operator="equal">
      <formula>1</formula>
    </cfRule>
  </conditionalFormatting>
  <conditionalFormatting sqref="L1042:CO1042">
    <cfRule type="cellIs" dxfId="40" priority="23" operator="equal">
      <formula>1</formula>
    </cfRule>
  </conditionalFormatting>
  <conditionalFormatting sqref="L314:CO314">
    <cfRule type="cellIs" dxfId="39" priority="22" operator="equal">
      <formula>1</formula>
    </cfRule>
  </conditionalFormatting>
  <conditionalFormatting sqref="I155">
    <cfRule type="cellIs" dxfId="38" priority="13" operator="equal">
      <formula>FALSE</formula>
    </cfRule>
  </conditionalFormatting>
  <conditionalFormatting sqref="I164">
    <cfRule type="cellIs" dxfId="37" priority="12" operator="equal">
      <formula>FALSE</formula>
    </cfRule>
  </conditionalFormatting>
  <conditionalFormatting sqref="I171">
    <cfRule type="cellIs" dxfId="36" priority="11" operator="equal">
      <formula>FALSE</formula>
    </cfRule>
  </conditionalFormatting>
  <conditionalFormatting sqref="I178">
    <cfRule type="cellIs" dxfId="35" priority="10" operator="equal">
      <formula>FALSE</formula>
    </cfRule>
  </conditionalFormatting>
  <conditionalFormatting sqref="I201">
    <cfRule type="cellIs" dxfId="34" priority="9" operator="equal">
      <formula>FALSE</formula>
    </cfRule>
  </conditionalFormatting>
  <conditionalFormatting sqref="I213">
    <cfRule type="cellIs" dxfId="33" priority="8" operator="equal">
      <formula>FALSE</formula>
    </cfRule>
  </conditionalFormatting>
  <conditionalFormatting sqref="I228">
    <cfRule type="cellIs" dxfId="32" priority="7" operator="equal">
      <formula>FALSE</formula>
    </cfRule>
  </conditionalFormatting>
  <conditionalFormatting sqref="I236">
    <cfRule type="cellIs" dxfId="31" priority="6" operator="equal">
      <formula>FALSE</formula>
    </cfRule>
  </conditionalFormatting>
  <conditionalFormatting sqref="I251">
    <cfRule type="cellIs" dxfId="30" priority="5" operator="equal">
      <formula>FALSE</formula>
    </cfRule>
  </conditionalFormatting>
  <conditionalFormatting sqref="I259">
    <cfRule type="cellIs" dxfId="29" priority="4" operator="equal">
      <formula>FALSE</formula>
    </cfRule>
  </conditionalFormatting>
  <conditionalFormatting sqref="I143">
    <cfRule type="cellIs" dxfId="28" priority="3" operator="equal">
      <formula>FALSE</formula>
    </cfRule>
  </conditionalFormatting>
  <conditionalFormatting sqref="I131">
    <cfRule type="cellIs" dxfId="27" priority="2" operator="equal">
      <formula>FALSE</formula>
    </cfRule>
  </conditionalFormatting>
  <dataValidations count="1">
    <dataValidation type="list" allowBlank="1" showInputMessage="1" showErrorMessage="1" sqref="E79 E85" xr:uid="{00000000-0002-0000-0400-000000000000}">
      <formula1>Beginning_of_period</formula1>
    </dataValidation>
  </dataValidations>
  <pageMargins left="0.7" right="0.7" top="0.75" bottom="0.75" header="0.3" footer="0.3"/>
  <pageSetup paperSize="8" scale="16" orientation="landscape" r:id="rId1"/>
  <ignoredErrors>
    <ignoredError sqref="M1140:CO1140" formulaRange="1"/>
    <ignoredError sqref="L314:CO314 I259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2B4CAB3-F4DD-4BFC-9376-F149970B96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E1052:E1053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KF102"/>
  <sheetViews>
    <sheetView view="pageBreakPreview" zoomScale="70" zoomScaleNormal="60" zoomScaleSheetLayoutView="70" workbookViewId="0">
      <pane xSplit="10" ySplit="9" topLeftCell="K48" activePane="bottomRight" state="frozen"/>
      <selection pane="topRight" activeCell="K1" sqref="K1"/>
      <selection pane="bottomLeft" activeCell="A10" sqref="A10"/>
      <selection pane="bottomRight" activeCell="H63" sqref="H63"/>
    </sheetView>
  </sheetViews>
  <sheetFormatPr defaultColWidth="0" defaultRowHeight="14.5" zeroHeight="1"/>
  <cols>
    <col min="1" max="2" width="1.7265625" customWidth="1"/>
    <col min="3" max="3" width="52.453125" customWidth="1"/>
    <col min="4" max="4" width="1.7265625" customWidth="1"/>
    <col min="5" max="5" width="10.453125" customWidth="1"/>
    <col min="6" max="6" width="2.26953125" customWidth="1"/>
    <col min="7" max="7" width="9.26953125" style="25" customWidth="1"/>
    <col min="8" max="8" width="1.7265625" customWidth="1"/>
    <col min="9" max="9" width="13.453125" customWidth="1"/>
    <col min="10" max="11" width="2.26953125" customWidth="1"/>
    <col min="12" max="93" width="12.453125" customWidth="1"/>
    <col min="94" max="106" width="0" hidden="1" customWidth="1"/>
    <col min="107" max="114" width="12.453125" hidden="1" customWidth="1"/>
    <col min="115" max="126" width="0" hidden="1" customWidth="1"/>
    <col min="127" max="134" width="12.453125" hidden="1" customWidth="1"/>
    <col min="135" max="146" width="0" hidden="1" customWidth="1"/>
    <col min="147" max="155" width="12.453125" hidden="1" customWidth="1"/>
    <col min="156" max="211" width="0" hidden="1" customWidth="1"/>
    <col min="212" max="219" width="12.453125" hidden="1" customWidth="1"/>
    <col min="220" max="243" width="0" hidden="1" customWidth="1"/>
    <col min="244" max="251" width="12.453125" hidden="1" customWidth="1"/>
    <col min="252" max="263" width="0" hidden="1" customWidth="1"/>
    <col min="264" max="271" width="12.453125" hidden="1" customWidth="1"/>
    <col min="272" max="283" width="0" hidden="1" customWidth="1"/>
    <col min="284" max="292" width="12.453125" hidden="1" customWidth="1"/>
    <col min="293" max="16384" width="8.7265625" hidden="1"/>
  </cols>
  <sheetData>
    <row r="1" spans="1:93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552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BW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ref="BX6:CO6" si="1">YEAR(BX7)</f>
        <v>2041</v>
      </c>
      <c r="BY6" s="6">
        <f t="shared" si="1"/>
        <v>2041</v>
      </c>
      <c r="BZ6" s="6">
        <f t="shared" si="1"/>
        <v>2041</v>
      </c>
      <c r="CA6" s="6">
        <f t="shared" si="1"/>
        <v>2041</v>
      </c>
      <c r="CB6" s="6">
        <f t="shared" si="1"/>
        <v>2042</v>
      </c>
      <c r="CC6" s="6">
        <f t="shared" si="1"/>
        <v>2042</v>
      </c>
      <c r="CD6" s="6">
        <f t="shared" si="1"/>
        <v>2042</v>
      </c>
      <c r="CE6" s="6">
        <f t="shared" si="1"/>
        <v>2042</v>
      </c>
      <c r="CF6" s="6">
        <f t="shared" si="1"/>
        <v>2043</v>
      </c>
      <c r="CG6" s="6">
        <f t="shared" si="1"/>
        <v>2043</v>
      </c>
      <c r="CH6" s="6">
        <f t="shared" si="1"/>
        <v>2043</v>
      </c>
      <c r="CI6" s="6">
        <f t="shared" si="1"/>
        <v>2043</v>
      </c>
      <c r="CJ6" s="6">
        <f t="shared" si="1"/>
        <v>2044</v>
      </c>
      <c r="CK6" s="6">
        <f t="shared" si="1"/>
        <v>2044</v>
      </c>
      <c r="CL6" s="6">
        <f t="shared" si="1"/>
        <v>2044</v>
      </c>
      <c r="CM6" s="6">
        <f t="shared" si="1"/>
        <v>2044</v>
      </c>
      <c r="CN6" s="6">
        <f t="shared" si="1"/>
        <v>2045</v>
      </c>
      <c r="CO6" s="6">
        <f t="shared" si="1"/>
        <v>2045</v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BW7" si="2">Beginning_of_period</f>
        <v>45658</v>
      </c>
      <c r="M7" s="113">
        <f t="shared" si="2"/>
        <v>45748</v>
      </c>
      <c r="N7" s="113">
        <f t="shared" si="2"/>
        <v>45839</v>
      </c>
      <c r="O7" s="113">
        <f t="shared" si="2"/>
        <v>45931</v>
      </c>
      <c r="P7" s="113">
        <f t="shared" si="2"/>
        <v>46023</v>
      </c>
      <c r="Q7" s="113">
        <f t="shared" si="2"/>
        <v>46113</v>
      </c>
      <c r="R7" s="113">
        <f t="shared" si="2"/>
        <v>46204</v>
      </c>
      <c r="S7" s="113">
        <f t="shared" si="2"/>
        <v>46296</v>
      </c>
      <c r="T7" s="113">
        <f t="shared" si="2"/>
        <v>46388</v>
      </c>
      <c r="U7" s="113">
        <f t="shared" si="2"/>
        <v>46478</v>
      </c>
      <c r="V7" s="113">
        <f t="shared" si="2"/>
        <v>46569</v>
      </c>
      <c r="W7" s="113">
        <f t="shared" si="2"/>
        <v>46661</v>
      </c>
      <c r="X7" s="113">
        <f t="shared" si="2"/>
        <v>46753</v>
      </c>
      <c r="Y7" s="113">
        <f t="shared" si="2"/>
        <v>46844</v>
      </c>
      <c r="Z7" s="113">
        <f t="shared" si="2"/>
        <v>46935</v>
      </c>
      <c r="AA7" s="113">
        <f t="shared" si="2"/>
        <v>47027</v>
      </c>
      <c r="AB7" s="113">
        <f t="shared" si="2"/>
        <v>47119</v>
      </c>
      <c r="AC7" s="113">
        <f t="shared" si="2"/>
        <v>47209</v>
      </c>
      <c r="AD7" s="113">
        <f t="shared" si="2"/>
        <v>47300</v>
      </c>
      <c r="AE7" s="113">
        <f t="shared" si="2"/>
        <v>47392</v>
      </c>
      <c r="AF7" s="113">
        <f t="shared" si="2"/>
        <v>47484</v>
      </c>
      <c r="AG7" s="113">
        <f t="shared" si="2"/>
        <v>47574</v>
      </c>
      <c r="AH7" s="113">
        <f t="shared" si="2"/>
        <v>47665</v>
      </c>
      <c r="AI7" s="113">
        <f t="shared" si="2"/>
        <v>47757</v>
      </c>
      <c r="AJ7" s="113">
        <f t="shared" si="2"/>
        <v>47849</v>
      </c>
      <c r="AK7" s="113">
        <f t="shared" si="2"/>
        <v>47939</v>
      </c>
      <c r="AL7" s="113">
        <f t="shared" si="2"/>
        <v>48030</v>
      </c>
      <c r="AM7" s="113">
        <f t="shared" si="2"/>
        <v>48122</v>
      </c>
      <c r="AN7" s="113">
        <f t="shared" si="2"/>
        <v>48214</v>
      </c>
      <c r="AO7" s="113">
        <f t="shared" si="2"/>
        <v>48305</v>
      </c>
      <c r="AP7" s="113">
        <f t="shared" si="2"/>
        <v>48396</v>
      </c>
      <c r="AQ7" s="113">
        <f t="shared" si="2"/>
        <v>48488</v>
      </c>
      <c r="AR7" s="113">
        <f t="shared" si="2"/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ref="BX7:CO7" si="3">Beginning_of_period</f>
        <v>51502</v>
      </c>
      <c r="BY7" s="113">
        <f t="shared" si="3"/>
        <v>51592</v>
      </c>
      <c r="BZ7" s="113">
        <f t="shared" si="3"/>
        <v>51683</v>
      </c>
      <c r="CA7" s="113">
        <f t="shared" si="3"/>
        <v>51775</v>
      </c>
      <c r="CB7" s="113">
        <f t="shared" si="3"/>
        <v>51867</v>
      </c>
      <c r="CC7" s="113">
        <f t="shared" si="3"/>
        <v>51957</v>
      </c>
      <c r="CD7" s="113">
        <f t="shared" si="3"/>
        <v>52048</v>
      </c>
      <c r="CE7" s="113">
        <f t="shared" si="3"/>
        <v>52140</v>
      </c>
      <c r="CF7" s="113">
        <f t="shared" si="3"/>
        <v>52232</v>
      </c>
      <c r="CG7" s="113">
        <f t="shared" si="3"/>
        <v>52322</v>
      </c>
      <c r="CH7" s="113">
        <f t="shared" si="3"/>
        <v>52413</v>
      </c>
      <c r="CI7" s="113">
        <f t="shared" si="3"/>
        <v>52505</v>
      </c>
      <c r="CJ7" s="113">
        <f t="shared" si="3"/>
        <v>52597</v>
      </c>
      <c r="CK7" s="113">
        <f t="shared" si="3"/>
        <v>52688</v>
      </c>
      <c r="CL7" s="113">
        <f t="shared" si="3"/>
        <v>52779</v>
      </c>
      <c r="CM7" s="113">
        <f t="shared" si="3"/>
        <v>52871</v>
      </c>
      <c r="CN7" s="113">
        <f t="shared" si="3"/>
        <v>52963</v>
      </c>
      <c r="CO7" s="113">
        <f t="shared" si="3"/>
        <v>53053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BW8" si="4">End_of_period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ref="BX8:CO8" si="5">End_of_period</f>
        <v>51591</v>
      </c>
      <c r="BY8" s="113">
        <f t="shared" si="5"/>
        <v>51682</v>
      </c>
      <c r="BZ8" s="113">
        <f t="shared" si="5"/>
        <v>51774</v>
      </c>
      <c r="CA8" s="113">
        <f t="shared" si="5"/>
        <v>51866</v>
      </c>
      <c r="CB8" s="113">
        <f t="shared" si="5"/>
        <v>51956</v>
      </c>
      <c r="CC8" s="113">
        <f t="shared" si="5"/>
        <v>52047</v>
      </c>
      <c r="CD8" s="113">
        <f t="shared" si="5"/>
        <v>52139</v>
      </c>
      <c r="CE8" s="113">
        <f t="shared" si="5"/>
        <v>52231</v>
      </c>
      <c r="CF8" s="113">
        <f t="shared" si="5"/>
        <v>52321</v>
      </c>
      <c r="CG8" s="113">
        <f t="shared" si="5"/>
        <v>52412</v>
      </c>
      <c r="CH8" s="113">
        <f t="shared" si="5"/>
        <v>52504</v>
      </c>
      <c r="CI8" s="113">
        <f t="shared" si="5"/>
        <v>52596</v>
      </c>
      <c r="CJ8" s="113">
        <f t="shared" si="5"/>
        <v>52687</v>
      </c>
      <c r="CK8" s="113">
        <f t="shared" si="5"/>
        <v>52778</v>
      </c>
      <c r="CL8" s="113">
        <f t="shared" si="5"/>
        <v>52870</v>
      </c>
      <c r="CM8" s="113">
        <f t="shared" si="5"/>
        <v>52962</v>
      </c>
      <c r="CN8" s="113">
        <f t="shared" si="5"/>
        <v>53052</v>
      </c>
      <c r="CO8" s="113">
        <f t="shared" si="5"/>
        <v>53143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6">IF(Flag_Construction,1,2)*Flag_Financial_Model</f>
        <v>1</v>
      </c>
      <c r="M9" s="152">
        <f t="shared" si="6"/>
        <v>1</v>
      </c>
      <c r="N9" s="152">
        <f t="shared" si="6"/>
        <v>1</v>
      </c>
      <c r="O9" s="152">
        <f t="shared" si="6"/>
        <v>1</v>
      </c>
      <c r="P9" s="152">
        <f t="shared" si="6"/>
        <v>1</v>
      </c>
      <c r="Q9" s="152">
        <f t="shared" si="6"/>
        <v>1</v>
      </c>
      <c r="R9" s="152">
        <f t="shared" si="6"/>
        <v>1</v>
      </c>
      <c r="S9" s="152">
        <f t="shared" si="6"/>
        <v>1</v>
      </c>
      <c r="T9" s="152">
        <f t="shared" si="6"/>
        <v>1</v>
      </c>
      <c r="U9" s="152">
        <f t="shared" si="6"/>
        <v>1</v>
      </c>
      <c r="V9" s="152">
        <f t="shared" si="6"/>
        <v>1</v>
      </c>
      <c r="W9" s="152">
        <f t="shared" si="6"/>
        <v>1</v>
      </c>
      <c r="X9" s="152">
        <f t="shared" si="6"/>
        <v>1</v>
      </c>
      <c r="Y9" s="152">
        <f t="shared" si="6"/>
        <v>1</v>
      </c>
      <c r="Z9" s="152">
        <f t="shared" si="6"/>
        <v>1</v>
      </c>
      <c r="AA9" s="152">
        <f t="shared" si="6"/>
        <v>1</v>
      </c>
      <c r="AB9" s="152">
        <f t="shared" si="6"/>
        <v>1</v>
      </c>
      <c r="AC9" s="152">
        <f t="shared" si="6"/>
        <v>2</v>
      </c>
      <c r="AD9" s="152">
        <f t="shared" si="6"/>
        <v>2</v>
      </c>
      <c r="AE9" s="152">
        <f t="shared" si="6"/>
        <v>2</v>
      </c>
      <c r="AF9" s="152">
        <f t="shared" si="6"/>
        <v>2</v>
      </c>
      <c r="AG9" s="152">
        <f t="shared" si="6"/>
        <v>2</v>
      </c>
      <c r="AH9" s="152">
        <f t="shared" si="6"/>
        <v>2</v>
      </c>
      <c r="AI9" s="152">
        <f t="shared" si="6"/>
        <v>2</v>
      </c>
      <c r="AJ9" s="152">
        <f t="shared" si="6"/>
        <v>2</v>
      </c>
      <c r="AK9" s="152">
        <f t="shared" si="6"/>
        <v>2</v>
      </c>
      <c r="AL9" s="152">
        <f t="shared" si="6"/>
        <v>2</v>
      </c>
      <c r="AM9" s="152">
        <f t="shared" si="6"/>
        <v>2</v>
      </c>
      <c r="AN9" s="152">
        <f t="shared" si="6"/>
        <v>2</v>
      </c>
      <c r="AO9" s="152">
        <f t="shared" si="6"/>
        <v>2</v>
      </c>
      <c r="AP9" s="152">
        <f t="shared" si="6"/>
        <v>2</v>
      </c>
      <c r="AQ9" s="152">
        <f t="shared" si="6"/>
        <v>2</v>
      </c>
      <c r="AR9" s="152">
        <f t="shared" si="6"/>
        <v>2</v>
      </c>
      <c r="AS9" s="152">
        <f t="shared" si="6"/>
        <v>2</v>
      </c>
      <c r="AT9" s="152">
        <f t="shared" si="6"/>
        <v>2</v>
      </c>
      <c r="AU9" s="152">
        <f t="shared" si="6"/>
        <v>2</v>
      </c>
      <c r="AV9" s="152">
        <f t="shared" si="6"/>
        <v>2</v>
      </c>
      <c r="AW9" s="152">
        <f t="shared" si="6"/>
        <v>2</v>
      </c>
      <c r="AX9" s="152">
        <f t="shared" si="6"/>
        <v>2</v>
      </c>
      <c r="AY9" s="152">
        <f t="shared" si="6"/>
        <v>2</v>
      </c>
      <c r="AZ9" s="152">
        <f t="shared" si="6"/>
        <v>2</v>
      </c>
      <c r="BA9" s="152">
        <f t="shared" si="6"/>
        <v>2</v>
      </c>
      <c r="BB9" s="152">
        <f t="shared" si="6"/>
        <v>2</v>
      </c>
      <c r="BC9" s="152">
        <f t="shared" si="6"/>
        <v>2</v>
      </c>
      <c r="BD9" s="152">
        <f t="shared" si="6"/>
        <v>2</v>
      </c>
      <c r="BE9" s="152">
        <f t="shared" si="6"/>
        <v>2</v>
      </c>
      <c r="BF9" s="152">
        <f t="shared" si="6"/>
        <v>2</v>
      </c>
      <c r="BG9" s="152">
        <f t="shared" si="6"/>
        <v>2</v>
      </c>
      <c r="BH9" s="152">
        <f t="shared" si="6"/>
        <v>2</v>
      </c>
      <c r="BI9" s="152">
        <f t="shared" si="6"/>
        <v>2</v>
      </c>
      <c r="BJ9" s="152">
        <f t="shared" si="6"/>
        <v>2</v>
      </c>
      <c r="BK9" s="152">
        <f t="shared" si="6"/>
        <v>2</v>
      </c>
      <c r="BL9" s="152">
        <f t="shared" si="6"/>
        <v>2</v>
      </c>
      <c r="BM9" s="152">
        <f t="shared" si="6"/>
        <v>2</v>
      </c>
      <c r="BN9" s="152">
        <f t="shared" si="6"/>
        <v>2</v>
      </c>
      <c r="BO9" s="152">
        <f t="shared" si="6"/>
        <v>2</v>
      </c>
      <c r="BP9" s="152">
        <f t="shared" si="6"/>
        <v>2</v>
      </c>
      <c r="BQ9" s="152">
        <f t="shared" si="6"/>
        <v>2</v>
      </c>
      <c r="BR9" s="152">
        <f t="shared" si="6"/>
        <v>2</v>
      </c>
      <c r="BS9" s="152">
        <f t="shared" si="6"/>
        <v>2</v>
      </c>
      <c r="BT9" s="152">
        <f t="shared" si="6"/>
        <v>2</v>
      </c>
      <c r="BU9" s="152">
        <f t="shared" si="6"/>
        <v>2</v>
      </c>
      <c r="BV9" s="152">
        <f t="shared" si="6"/>
        <v>2</v>
      </c>
      <c r="BW9" s="152">
        <f t="shared" si="6"/>
        <v>2</v>
      </c>
      <c r="BX9" s="152">
        <f t="shared" ref="BX9:CO9" si="7">IF(Flag_Construction,1,2)*Flag_Financial_Model</f>
        <v>2</v>
      </c>
      <c r="BY9" s="152">
        <f t="shared" si="7"/>
        <v>2</v>
      </c>
      <c r="BZ9" s="152">
        <f t="shared" si="7"/>
        <v>2</v>
      </c>
      <c r="CA9" s="152">
        <f t="shared" si="7"/>
        <v>2</v>
      </c>
      <c r="CB9" s="152">
        <f t="shared" si="7"/>
        <v>2</v>
      </c>
      <c r="CC9" s="152">
        <f t="shared" si="7"/>
        <v>2</v>
      </c>
      <c r="CD9" s="152">
        <f t="shared" si="7"/>
        <v>2</v>
      </c>
      <c r="CE9" s="152">
        <f t="shared" si="7"/>
        <v>2</v>
      </c>
      <c r="CF9" s="152">
        <f t="shared" si="7"/>
        <v>2</v>
      </c>
      <c r="CG9" s="152">
        <f t="shared" si="7"/>
        <v>2</v>
      </c>
      <c r="CH9" s="152">
        <f t="shared" si="7"/>
        <v>2</v>
      </c>
      <c r="CI9" s="152">
        <f t="shared" si="7"/>
        <v>2</v>
      </c>
      <c r="CJ9" s="152">
        <f t="shared" si="7"/>
        <v>2</v>
      </c>
      <c r="CK9" s="152">
        <f t="shared" si="7"/>
        <v>2</v>
      </c>
      <c r="CL9" s="152">
        <f t="shared" si="7"/>
        <v>2</v>
      </c>
      <c r="CM9" s="152">
        <f t="shared" si="7"/>
        <v>2</v>
      </c>
      <c r="CN9" s="152">
        <f t="shared" si="7"/>
        <v>2</v>
      </c>
      <c r="CO9" s="152">
        <f t="shared" si="7"/>
        <v>2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3"/>
      <c r="B11" s="5" t="s">
        <v>311</v>
      </c>
      <c r="C11" s="5"/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>
      <c r="A12" s="73"/>
      <c r="B12" s="73"/>
      <c r="C12" s="73"/>
      <c r="D12" s="73"/>
      <c r="E12" s="74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133" customFormat="1" ht="14">
      <c r="A13" s="10"/>
      <c r="B13" s="130" t="s">
        <v>62</v>
      </c>
      <c r="C13" s="35" t="s">
        <v>63</v>
      </c>
      <c r="D13" s="130"/>
      <c r="E13" s="47"/>
      <c r="F13" s="130"/>
      <c r="G13" s="131" t="str">
        <f>Monetary_Unit</f>
        <v>тыс. руб.</v>
      </c>
      <c r="H13" s="130"/>
      <c r="I13" s="10"/>
      <c r="J13" s="10"/>
      <c r="K13" s="10"/>
      <c r="L13" s="132">
        <f t="shared" ref="L13:AQ13" ca="1" si="8">SUM(L14:L15)</f>
        <v>26171.794482739097</v>
      </c>
      <c r="M13" s="132">
        <f t="shared" ca="1" si="8"/>
        <v>52715.094641495372</v>
      </c>
      <c r="N13" s="132">
        <f t="shared" ca="1" si="8"/>
        <v>79635.173957512321</v>
      </c>
      <c r="O13" s="132">
        <f t="shared" ca="1" si="8"/>
        <v>106937.38076850591</v>
      </c>
      <c r="P13" s="132">
        <f t="shared" ca="1" si="8"/>
        <v>336596.9356085019</v>
      </c>
      <c r="Q13" s="132">
        <f t="shared" ca="1" si="8"/>
        <v>568519.41941019159</v>
      </c>
      <c r="R13" s="132">
        <f t="shared" ca="1" si="8"/>
        <v>802727.12973262591</v>
      </c>
      <c r="S13" s="132">
        <f t="shared" ca="1" si="8"/>
        <v>1039981.5755842461</v>
      </c>
      <c r="T13" s="132">
        <f t="shared" ca="1" si="8"/>
        <v>1285408.1669654888</v>
      </c>
      <c r="U13" s="132">
        <f t="shared" ca="1" si="8"/>
        <v>1537032.3787520721</v>
      </c>
      <c r="V13" s="132">
        <f t="shared" ca="1" si="8"/>
        <v>1794997.8468287627</v>
      </c>
      <c r="W13" s="132">
        <f t="shared" ca="1" si="8"/>
        <v>2059251.3668233838</v>
      </c>
      <c r="X13" s="132">
        <f t="shared" ca="1" si="8"/>
        <v>2602152.558087172</v>
      </c>
      <c r="Y13" s="132">
        <f t="shared" ca="1" si="8"/>
        <v>3158333.4548626374</v>
      </c>
      <c r="Z13" s="132">
        <f t="shared" ca="1" si="8"/>
        <v>3728370.5958277197</v>
      </c>
      <c r="AA13" s="132">
        <f t="shared" ca="1" si="8"/>
        <v>4312041.9697759915</v>
      </c>
      <c r="AB13" s="132">
        <f t="shared" ca="1" si="8"/>
        <v>5063779.5792829748</v>
      </c>
      <c r="AC13" s="132">
        <f t="shared" ca="1" si="8"/>
        <v>4989933.8930070419</v>
      </c>
      <c r="AD13" s="132">
        <f t="shared" ca="1" si="8"/>
        <v>4916088.2067311089</v>
      </c>
      <c r="AE13" s="132">
        <f t="shared" ca="1" si="8"/>
        <v>4842242.520455176</v>
      </c>
      <c r="AF13" s="132">
        <f t="shared" ca="1" si="8"/>
        <v>4768396.8341792431</v>
      </c>
      <c r="AG13" s="132">
        <f t="shared" ca="1" si="8"/>
        <v>4694551.1479033101</v>
      </c>
      <c r="AH13" s="132">
        <f t="shared" ca="1" si="8"/>
        <v>4620705.4616273772</v>
      </c>
      <c r="AI13" s="132">
        <f t="shared" ca="1" si="8"/>
        <v>4546859.7753514443</v>
      </c>
      <c r="AJ13" s="132">
        <f t="shared" ca="1" si="8"/>
        <v>4473014.0890755113</v>
      </c>
      <c r="AK13" s="132">
        <f t="shared" ca="1" si="8"/>
        <v>4399168.4027995784</v>
      </c>
      <c r="AL13" s="132">
        <f t="shared" ca="1" si="8"/>
        <v>4325322.7165236454</v>
      </c>
      <c r="AM13" s="132">
        <f t="shared" ca="1" si="8"/>
        <v>4251477.0302477125</v>
      </c>
      <c r="AN13" s="132">
        <f t="shared" ca="1" si="8"/>
        <v>4177631.3439717796</v>
      </c>
      <c r="AO13" s="132">
        <f t="shared" ca="1" si="8"/>
        <v>4103785.6576958466</v>
      </c>
      <c r="AP13" s="132">
        <f t="shared" ca="1" si="8"/>
        <v>4029939.9714199137</v>
      </c>
      <c r="AQ13" s="132">
        <f t="shared" ca="1" si="8"/>
        <v>3956094.2851439808</v>
      </c>
      <c r="AR13" s="132">
        <f t="shared" ref="AR13:BW13" ca="1" si="9">SUM(AR14:AR15)</f>
        <v>3882248.5988680478</v>
      </c>
      <c r="AS13" s="132">
        <f t="shared" ca="1" si="9"/>
        <v>3808402.9125921149</v>
      </c>
      <c r="AT13" s="132">
        <f t="shared" ca="1" si="9"/>
        <v>3734557.2263161819</v>
      </c>
      <c r="AU13" s="132">
        <f t="shared" ca="1" si="9"/>
        <v>3660711.540040249</v>
      </c>
      <c r="AV13" s="132">
        <f t="shared" ca="1" si="9"/>
        <v>3586865.8537643161</v>
      </c>
      <c r="AW13" s="132">
        <f t="shared" ca="1" si="9"/>
        <v>3513020.1674883831</v>
      </c>
      <c r="AX13" s="132">
        <f t="shared" ca="1" si="9"/>
        <v>3439174.4812124502</v>
      </c>
      <c r="AY13" s="132">
        <f t="shared" ca="1" si="9"/>
        <v>3365328.7949365173</v>
      </c>
      <c r="AZ13" s="132">
        <f t="shared" ca="1" si="9"/>
        <v>3291483.1086605843</v>
      </c>
      <c r="BA13" s="132">
        <f t="shared" ca="1" si="9"/>
        <v>3217637.4223846514</v>
      </c>
      <c r="BB13" s="132">
        <f t="shared" ca="1" si="9"/>
        <v>3143791.7361087184</v>
      </c>
      <c r="BC13" s="132">
        <f t="shared" ca="1" si="9"/>
        <v>3069946.0498327855</v>
      </c>
      <c r="BD13" s="132">
        <f t="shared" ca="1" si="9"/>
        <v>2996100.363556853</v>
      </c>
      <c r="BE13" s="132">
        <f t="shared" ca="1" si="9"/>
        <v>2963534.0552573223</v>
      </c>
      <c r="BF13" s="132">
        <f t="shared" ca="1" si="9"/>
        <v>2930967.7469577915</v>
      </c>
      <c r="BG13" s="132">
        <f t="shared" ca="1" si="9"/>
        <v>2898401.4386582607</v>
      </c>
      <c r="BH13" s="132">
        <f t="shared" ca="1" si="9"/>
        <v>2865835.13035873</v>
      </c>
      <c r="BI13" s="132">
        <f t="shared" ca="1" si="9"/>
        <v>2833268.8220591992</v>
      </c>
      <c r="BJ13" s="132">
        <f t="shared" ca="1" si="9"/>
        <v>2800702.5137596685</v>
      </c>
      <c r="BK13" s="132">
        <f t="shared" ca="1" si="9"/>
        <v>2768136.2054601377</v>
      </c>
      <c r="BL13" s="132">
        <f t="shared" ca="1" si="9"/>
        <v>2735569.8971606069</v>
      </c>
      <c r="BM13" s="132">
        <f t="shared" ca="1" si="9"/>
        <v>2703003.5888610762</v>
      </c>
      <c r="BN13" s="132">
        <f t="shared" ca="1" si="9"/>
        <v>2670437.2805615454</v>
      </c>
      <c r="BO13" s="132">
        <f t="shared" ca="1" si="9"/>
        <v>2637870.9722620146</v>
      </c>
      <c r="BP13" s="132">
        <f t="shared" ca="1" si="9"/>
        <v>2605304.6639624839</v>
      </c>
      <c r="BQ13" s="132">
        <f t="shared" ca="1" si="9"/>
        <v>2572738.3556629531</v>
      </c>
      <c r="BR13" s="132">
        <f t="shared" ca="1" si="9"/>
        <v>2540172.0473634223</v>
      </c>
      <c r="BS13" s="132">
        <f t="shared" ca="1" si="9"/>
        <v>2507605.7390638916</v>
      </c>
      <c r="BT13" s="132">
        <f t="shared" ca="1" si="9"/>
        <v>2475039.4307643608</v>
      </c>
      <c r="BU13" s="132">
        <f t="shared" ca="1" si="9"/>
        <v>2442473.1224648301</v>
      </c>
      <c r="BV13" s="132">
        <f t="shared" ca="1" si="9"/>
        <v>2409906.8141652993</v>
      </c>
      <c r="BW13" s="132">
        <f t="shared" ca="1" si="9"/>
        <v>2377340.5058657685</v>
      </c>
      <c r="BX13" s="132">
        <f t="shared" ref="BX13:CO13" ca="1" si="10">SUM(BX14:BX15)</f>
        <v>2344774.1975662378</v>
      </c>
      <c r="BY13" s="132">
        <f t="shared" ca="1" si="10"/>
        <v>2312207.889266707</v>
      </c>
      <c r="BZ13" s="132">
        <f t="shared" ca="1" si="10"/>
        <v>2279641.5809671762</v>
      </c>
      <c r="CA13" s="132">
        <f t="shared" ca="1" si="10"/>
        <v>2247075.2726676455</v>
      </c>
      <c r="CB13" s="132">
        <f t="shared" ca="1" si="10"/>
        <v>2214508.9643681147</v>
      </c>
      <c r="CC13" s="132">
        <f t="shared" ca="1" si="10"/>
        <v>2181942.656068584</v>
      </c>
      <c r="CD13" s="132">
        <f t="shared" ca="1" si="10"/>
        <v>2149376.3477690532</v>
      </c>
      <c r="CE13" s="132">
        <f t="shared" ca="1" si="10"/>
        <v>2116810.0394695224</v>
      </c>
      <c r="CF13" s="132">
        <f t="shared" ca="1" si="10"/>
        <v>2084243.7311699914</v>
      </c>
      <c r="CG13" s="132">
        <f t="shared" ca="1" si="10"/>
        <v>2051677.4228704604</v>
      </c>
      <c r="CH13" s="132">
        <f t="shared" ca="1" si="10"/>
        <v>2019111.1145709294</v>
      </c>
      <c r="CI13" s="132">
        <f t="shared" ca="1" si="10"/>
        <v>1986544.8062713984</v>
      </c>
      <c r="CJ13" s="132">
        <f t="shared" ca="1" si="10"/>
        <v>1953978.4979718674</v>
      </c>
      <c r="CK13" s="132">
        <f t="shared" ca="1" si="10"/>
        <v>1921412.1896723364</v>
      </c>
      <c r="CL13" s="132">
        <f t="shared" ca="1" si="10"/>
        <v>1888845.8813728055</v>
      </c>
      <c r="CM13" s="132">
        <f t="shared" ca="1" si="10"/>
        <v>1856279.5730732745</v>
      </c>
      <c r="CN13" s="132">
        <f t="shared" ca="1" si="10"/>
        <v>1823713.2647737435</v>
      </c>
      <c r="CO13" s="132">
        <f t="shared" ca="1" si="10"/>
        <v>1791146.9564742125</v>
      </c>
    </row>
    <row r="14" spans="1:93" s="133" customFormat="1" ht="14">
      <c r="A14" s="10"/>
      <c r="B14" s="10"/>
      <c r="C14" s="10" t="s">
        <v>64</v>
      </c>
      <c r="D14" s="10"/>
      <c r="E14" s="10"/>
      <c r="F14" s="10"/>
      <c r="G14" s="134" t="str">
        <f>Monetary_Unit</f>
        <v>тыс. руб.</v>
      </c>
      <c r="H14" s="10"/>
      <c r="I14" s="10"/>
      <c r="J14" s="10"/>
      <c r="K14" s="10"/>
      <c r="L14" s="10">
        <f t="shared" ref="L14:BW14" ca="1" si="11">CIP_EoP</f>
        <v>26171.794482739097</v>
      </c>
      <c r="M14" s="10">
        <f t="shared" ca="1" si="11"/>
        <v>52715.094641495372</v>
      </c>
      <c r="N14" s="10">
        <f t="shared" ca="1" si="11"/>
        <v>79635.173957512321</v>
      </c>
      <c r="O14" s="10">
        <f t="shared" ca="1" si="11"/>
        <v>106937.38076850591</v>
      </c>
      <c r="P14" s="10">
        <f t="shared" ca="1" si="11"/>
        <v>336596.9356085019</v>
      </c>
      <c r="Q14" s="10">
        <f t="shared" ca="1" si="11"/>
        <v>568519.41941019159</v>
      </c>
      <c r="R14" s="10">
        <f t="shared" ca="1" si="11"/>
        <v>802727.12973262591</v>
      </c>
      <c r="S14" s="10">
        <f t="shared" ca="1" si="11"/>
        <v>1039981.5755842461</v>
      </c>
      <c r="T14" s="10">
        <f t="shared" ca="1" si="11"/>
        <v>1285408.1669654888</v>
      </c>
      <c r="U14" s="10">
        <f t="shared" ca="1" si="11"/>
        <v>1537032.3787520721</v>
      </c>
      <c r="V14" s="10">
        <f t="shared" ca="1" si="11"/>
        <v>1794997.8468287627</v>
      </c>
      <c r="W14" s="10">
        <f t="shared" ca="1" si="11"/>
        <v>2059251.3668233838</v>
      </c>
      <c r="X14" s="10">
        <f t="shared" ca="1" si="11"/>
        <v>2602152.558087172</v>
      </c>
      <c r="Y14" s="10">
        <f t="shared" ca="1" si="11"/>
        <v>3158333.4548626374</v>
      </c>
      <c r="Z14" s="10">
        <f t="shared" ca="1" si="11"/>
        <v>3728370.5958277197</v>
      </c>
      <c r="AA14" s="10">
        <f t="shared" ca="1" si="11"/>
        <v>4312041.9697759915</v>
      </c>
      <c r="AB14" s="10">
        <f t="shared" ca="1" si="11"/>
        <v>0</v>
      </c>
      <c r="AC14" s="10">
        <f t="shared" ca="1" si="11"/>
        <v>0</v>
      </c>
      <c r="AD14" s="10">
        <f t="shared" ca="1" si="11"/>
        <v>0</v>
      </c>
      <c r="AE14" s="10">
        <f t="shared" ca="1" si="11"/>
        <v>0</v>
      </c>
      <c r="AF14" s="10">
        <f t="shared" ca="1" si="11"/>
        <v>0</v>
      </c>
      <c r="AG14" s="10">
        <f t="shared" ca="1" si="11"/>
        <v>0</v>
      </c>
      <c r="AH14" s="10">
        <f t="shared" ca="1" si="11"/>
        <v>0</v>
      </c>
      <c r="AI14" s="10">
        <f t="shared" ca="1" si="11"/>
        <v>0</v>
      </c>
      <c r="AJ14" s="10">
        <f t="shared" ca="1" si="11"/>
        <v>0</v>
      </c>
      <c r="AK14" s="10">
        <f t="shared" ca="1" si="11"/>
        <v>0</v>
      </c>
      <c r="AL14" s="10">
        <f t="shared" ca="1" si="11"/>
        <v>0</v>
      </c>
      <c r="AM14" s="10">
        <f t="shared" ca="1" si="11"/>
        <v>0</v>
      </c>
      <c r="AN14" s="10">
        <f t="shared" ca="1" si="11"/>
        <v>0</v>
      </c>
      <c r="AO14" s="10">
        <f t="shared" ca="1" si="11"/>
        <v>0</v>
      </c>
      <c r="AP14" s="10">
        <f t="shared" ca="1" si="11"/>
        <v>0</v>
      </c>
      <c r="AQ14" s="10">
        <f t="shared" ca="1" si="11"/>
        <v>0</v>
      </c>
      <c r="AR14" s="10">
        <f t="shared" ca="1" si="11"/>
        <v>0</v>
      </c>
      <c r="AS14" s="10">
        <f t="shared" ca="1" si="11"/>
        <v>0</v>
      </c>
      <c r="AT14" s="10">
        <f t="shared" ca="1" si="11"/>
        <v>0</v>
      </c>
      <c r="AU14" s="10">
        <f t="shared" ca="1" si="11"/>
        <v>0</v>
      </c>
      <c r="AV14" s="10">
        <f t="shared" ca="1" si="11"/>
        <v>0</v>
      </c>
      <c r="AW14" s="10">
        <f t="shared" ca="1" si="11"/>
        <v>0</v>
      </c>
      <c r="AX14" s="10">
        <f t="shared" ca="1" si="11"/>
        <v>0</v>
      </c>
      <c r="AY14" s="10">
        <f t="shared" ca="1" si="11"/>
        <v>0</v>
      </c>
      <c r="AZ14" s="10">
        <f t="shared" ca="1" si="11"/>
        <v>0</v>
      </c>
      <c r="BA14" s="10">
        <f t="shared" ca="1" si="11"/>
        <v>0</v>
      </c>
      <c r="BB14" s="10">
        <f t="shared" ca="1" si="11"/>
        <v>0</v>
      </c>
      <c r="BC14" s="10">
        <f t="shared" ca="1" si="11"/>
        <v>0</v>
      </c>
      <c r="BD14" s="10">
        <f t="shared" ca="1" si="11"/>
        <v>0</v>
      </c>
      <c r="BE14" s="10">
        <f t="shared" ca="1" si="11"/>
        <v>0</v>
      </c>
      <c r="BF14" s="10">
        <f t="shared" ca="1" si="11"/>
        <v>0</v>
      </c>
      <c r="BG14" s="10">
        <f t="shared" ca="1" si="11"/>
        <v>0</v>
      </c>
      <c r="BH14" s="10">
        <f t="shared" ca="1" si="11"/>
        <v>0</v>
      </c>
      <c r="BI14" s="10">
        <f t="shared" ca="1" si="11"/>
        <v>0</v>
      </c>
      <c r="BJ14" s="10">
        <f t="shared" ca="1" si="11"/>
        <v>0</v>
      </c>
      <c r="BK14" s="10">
        <f t="shared" ca="1" si="11"/>
        <v>0</v>
      </c>
      <c r="BL14" s="10">
        <f t="shared" ca="1" si="11"/>
        <v>0</v>
      </c>
      <c r="BM14" s="10">
        <f t="shared" ca="1" si="11"/>
        <v>0</v>
      </c>
      <c r="BN14" s="10">
        <f t="shared" ca="1" si="11"/>
        <v>0</v>
      </c>
      <c r="BO14" s="10">
        <f t="shared" ca="1" si="11"/>
        <v>0</v>
      </c>
      <c r="BP14" s="10">
        <f t="shared" ca="1" si="11"/>
        <v>0</v>
      </c>
      <c r="BQ14" s="10">
        <f t="shared" ca="1" si="11"/>
        <v>0</v>
      </c>
      <c r="BR14" s="10">
        <f t="shared" ca="1" si="11"/>
        <v>0</v>
      </c>
      <c r="BS14" s="10">
        <f t="shared" ca="1" si="11"/>
        <v>0</v>
      </c>
      <c r="BT14" s="10">
        <f t="shared" ca="1" si="11"/>
        <v>0</v>
      </c>
      <c r="BU14" s="10">
        <f t="shared" ca="1" si="11"/>
        <v>0</v>
      </c>
      <c r="BV14" s="10">
        <f t="shared" ca="1" si="11"/>
        <v>0</v>
      </c>
      <c r="BW14" s="10">
        <f t="shared" ca="1" si="11"/>
        <v>0</v>
      </c>
      <c r="BX14" s="10">
        <f t="shared" ref="BX14:CO14" ca="1" si="12">CIP_EoP</f>
        <v>0</v>
      </c>
      <c r="BY14" s="10">
        <f t="shared" ca="1" si="12"/>
        <v>0</v>
      </c>
      <c r="BZ14" s="10">
        <f t="shared" ca="1" si="12"/>
        <v>0</v>
      </c>
      <c r="CA14" s="10">
        <f t="shared" ca="1" si="12"/>
        <v>0</v>
      </c>
      <c r="CB14" s="10">
        <f t="shared" ca="1" si="12"/>
        <v>0</v>
      </c>
      <c r="CC14" s="10">
        <f t="shared" ca="1" si="12"/>
        <v>0</v>
      </c>
      <c r="CD14" s="10">
        <f t="shared" ca="1" si="12"/>
        <v>0</v>
      </c>
      <c r="CE14" s="10">
        <f t="shared" ca="1" si="12"/>
        <v>0</v>
      </c>
      <c r="CF14" s="10">
        <f t="shared" ca="1" si="12"/>
        <v>0</v>
      </c>
      <c r="CG14" s="10">
        <f t="shared" ca="1" si="12"/>
        <v>0</v>
      </c>
      <c r="CH14" s="10">
        <f t="shared" ca="1" si="12"/>
        <v>0</v>
      </c>
      <c r="CI14" s="10">
        <f t="shared" ca="1" si="12"/>
        <v>0</v>
      </c>
      <c r="CJ14" s="10">
        <f t="shared" ca="1" si="12"/>
        <v>0</v>
      </c>
      <c r="CK14" s="10">
        <f t="shared" ca="1" si="12"/>
        <v>0</v>
      </c>
      <c r="CL14" s="10">
        <f t="shared" ca="1" si="12"/>
        <v>0</v>
      </c>
      <c r="CM14" s="10">
        <f t="shared" ca="1" si="12"/>
        <v>0</v>
      </c>
      <c r="CN14" s="10">
        <f t="shared" ca="1" si="12"/>
        <v>0</v>
      </c>
      <c r="CO14" s="10">
        <f t="shared" ca="1" si="12"/>
        <v>0</v>
      </c>
    </row>
    <row r="15" spans="1:93" s="133" customFormat="1" ht="14">
      <c r="A15" s="10"/>
      <c r="B15" s="10"/>
      <c r="C15" s="10" t="s">
        <v>65</v>
      </c>
      <c r="D15" s="10"/>
      <c r="E15" s="10"/>
      <c r="F15" s="10"/>
      <c r="G15" s="134" t="str">
        <f>Monetary_Unit</f>
        <v>тыс. руб.</v>
      </c>
      <c r="H15" s="10"/>
      <c r="I15" s="10"/>
      <c r="J15" s="10"/>
      <c r="K15" s="10"/>
      <c r="L15" s="10">
        <f t="shared" ref="L15:BW15" ca="1" si="13">FA_EoP</f>
        <v>0</v>
      </c>
      <c r="M15" s="10">
        <f t="shared" ca="1" si="13"/>
        <v>0</v>
      </c>
      <c r="N15" s="10">
        <f t="shared" ca="1" si="13"/>
        <v>0</v>
      </c>
      <c r="O15" s="10">
        <f t="shared" ca="1" si="13"/>
        <v>0</v>
      </c>
      <c r="P15" s="10">
        <f t="shared" ca="1" si="13"/>
        <v>0</v>
      </c>
      <c r="Q15" s="10">
        <f t="shared" ca="1" si="13"/>
        <v>0</v>
      </c>
      <c r="R15" s="10">
        <f t="shared" ca="1" si="13"/>
        <v>0</v>
      </c>
      <c r="S15" s="10">
        <f t="shared" ca="1" si="13"/>
        <v>0</v>
      </c>
      <c r="T15" s="10">
        <f t="shared" ca="1" si="13"/>
        <v>0</v>
      </c>
      <c r="U15" s="10">
        <f t="shared" ca="1" si="13"/>
        <v>0</v>
      </c>
      <c r="V15" s="10">
        <f t="shared" ca="1" si="13"/>
        <v>0</v>
      </c>
      <c r="W15" s="10">
        <f t="shared" ca="1" si="13"/>
        <v>0</v>
      </c>
      <c r="X15" s="10">
        <f t="shared" ca="1" si="13"/>
        <v>0</v>
      </c>
      <c r="Y15" s="10">
        <f t="shared" ca="1" si="13"/>
        <v>0</v>
      </c>
      <c r="Z15" s="10">
        <f t="shared" ca="1" si="13"/>
        <v>0</v>
      </c>
      <c r="AA15" s="10">
        <f t="shared" ca="1" si="13"/>
        <v>0</v>
      </c>
      <c r="AB15" s="10">
        <f t="shared" ca="1" si="13"/>
        <v>5063779.5792829748</v>
      </c>
      <c r="AC15" s="10">
        <f t="shared" ca="1" si="13"/>
        <v>4989933.8930070419</v>
      </c>
      <c r="AD15" s="10">
        <f t="shared" ca="1" si="13"/>
        <v>4916088.2067311089</v>
      </c>
      <c r="AE15" s="10">
        <f t="shared" ca="1" si="13"/>
        <v>4842242.520455176</v>
      </c>
      <c r="AF15" s="10">
        <f t="shared" ca="1" si="13"/>
        <v>4768396.8341792431</v>
      </c>
      <c r="AG15" s="10">
        <f t="shared" ca="1" si="13"/>
        <v>4694551.1479033101</v>
      </c>
      <c r="AH15" s="10">
        <f t="shared" ca="1" si="13"/>
        <v>4620705.4616273772</v>
      </c>
      <c r="AI15" s="10">
        <f t="shared" ca="1" si="13"/>
        <v>4546859.7753514443</v>
      </c>
      <c r="AJ15" s="10">
        <f t="shared" ca="1" si="13"/>
        <v>4473014.0890755113</v>
      </c>
      <c r="AK15" s="10">
        <f t="shared" ca="1" si="13"/>
        <v>4399168.4027995784</v>
      </c>
      <c r="AL15" s="10">
        <f t="shared" ca="1" si="13"/>
        <v>4325322.7165236454</v>
      </c>
      <c r="AM15" s="10">
        <f t="shared" ca="1" si="13"/>
        <v>4251477.0302477125</v>
      </c>
      <c r="AN15" s="10">
        <f t="shared" ca="1" si="13"/>
        <v>4177631.3439717796</v>
      </c>
      <c r="AO15" s="10">
        <f t="shared" ca="1" si="13"/>
        <v>4103785.6576958466</v>
      </c>
      <c r="AP15" s="10">
        <f t="shared" ca="1" si="13"/>
        <v>4029939.9714199137</v>
      </c>
      <c r="AQ15" s="10">
        <f t="shared" ca="1" si="13"/>
        <v>3956094.2851439808</v>
      </c>
      <c r="AR15" s="10">
        <f t="shared" ca="1" si="13"/>
        <v>3882248.5988680478</v>
      </c>
      <c r="AS15" s="10">
        <f t="shared" ca="1" si="13"/>
        <v>3808402.9125921149</v>
      </c>
      <c r="AT15" s="10">
        <f t="shared" ca="1" si="13"/>
        <v>3734557.2263161819</v>
      </c>
      <c r="AU15" s="10">
        <f t="shared" ca="1" si="13"/>
        <v>3660711.540040249</v>
      </c>
      <c r="AV15" s="10">
        <f t="shared" ca="1" si="13"/>
        <v>3586865.8537643161</v>
      </c>
      <c r="AW15" s="10">
        <f t="shared" ca="1" si="13"/>
        <v>3513020.1674883831</v>
      </c>
      <c r="AX15" s="10">
        <f t="shared" ca="1" si="13"/>
        <v>3439174.4812124502</v>
      </c>
      <c r="AY15" s="10">
        <f t="shared" ca="1" si="13"/>
        <v>3365328.7949365173</v>
      </c>
      <c r="AZ15" s="10">
        <f t="shared" ca="1" si="13"/>
        <v>3291483.1086605843</v>
      </c>
      <c r="BA15" s="10">
        <f t="shared" ca="1" si="13"/>
        <v>3217637.4223846514</v>
      </c>
      <c r="BB15" s="10">
        <f t="shared" ca="1" si="13"/>
        <v>3143791.7361087184</v>
      </c>
      <c r="BC15" s="10">
        <f t="shared" ca="1" si="13"/>
        <v>3069946.0498327855</v>
      </c>
      <c r="BD15" s="10">
        <f t="shared" ca="1" si="13"/>
        <v>2996100.363556853</v>
      </c>
      <c r="BE15" s="10">
        <f t="shared" ca="1" si="13"/>
        <v>2963534.0552573223</v>
      </c>
      <c r="BF15" s="10">
        <f t="shared" ca="1" si="13"/>
        <v>2930967.7469577915</v>
      </c>
      <c r="BG15" s="10">
        <f t="shared" ca="1" si="13"/>
        <v>2898401.4386582607</v>
      </c>
      <c r="BH15" s="10">
        <f t="shared" ca="1" si="13"/>
        <v>2865835.13035873</v>
      </c>
      <c r="BI15" s="10">
        <f t="shared" ca="1" si="13"/>
        <v>2833268.8220591992</v>
      </c>
      <c r="BJ15" s="10">
        <f t="shared" ca="1" si="13"/>
        <v>2800702.5137596685</v>
      </c>
      <c r="BK15" s="10">
        <f t="shared" ca="1" si="13"/>
        <v>2768136.2054601377</v>
      </c>
      <c r="BL15" s="10">
        <f t="shared" ca="1" si="13"/>
        <v>2735569.8971606069</v>
      </c>
      <c r="BM15" s="10">
        <f t="shared" ca="1" si="13"/>
        <v>2703003.5888610762</v>
      </c>
      <c r="BN15" s="10">
        <f t="shared" ca="1" si="13"/>
        <v>2670437.2805615454</v>
      </c>
      <c r="BO15" s="10">
        <f t="shared" ca="1" si="13"/>
        <v>2637870.9722620146</v>
      </c>
      <c r="BP15" s="10">
        <f t="shared" ca="1" si="13"/>
        <v>2605304.6639624839</v>
      </c>
      <c r="BQ15" s="10">
        <f t="shared" ca="1" si="13"/>
        <v>2572738.3556629531</v>
      </c>
      <c r="BR15" s="10">
        <f t="shared" ca="1" si="13"/>
        <v>2540172.0473634223</v>
      </c>
      <c r="BS15" s="10">
        <f t="shared" ca="1" si="13"/>
        <v>2507605.7390638916</v>
      </c>
      <c r="BT15" s="10">
        <f t="shared" ca="1" si="13"/>
        <v>2475039.4307643608</v>
      </c>
      <c r="BU15" s="10">
        <f t="shared" ca="1" si="13"/>
        <v>2442473.1224648301</v>
      </c>
      <c r="BV15" s="10">
        <f t="shared" ca="1" si="13"/>
        <v>2409906.8141652993</v>
      </c>
      <c r="BW15" s="10">
        <f t="shared" ca="1" si="13"/>
        <v>2377340.5058657685</v>
      </c>
      <c r="BX15" s="10">
        <f t="shared" ref="BX15:CO15" ca="1" si="14">FA_EoP</f>
        <v>2344774.1975662378</v>
      </c>
      <c r="BY15" s="10">
        <f t="shared" ca="1" si="14"/>
        <v>2312207.889266707</v>
      </c>
      <c r="BZ15" s="10">
        <f t="shared" ca="1" si="14"/>
        <v>2279641.5809671762</v>
      </c>
      <c r="CA15" s="10">
        <f t="shared" ca="1" si="14"/>
        <v>2247075.2726676455</v>
      </c>
      <c r="CB15" s="10">
        <f t="shared" ca="1" si="14"/>
        <v>2214508.9643681147</v>
      </c>
      <c r="CC15" s="10">
        <f t="shared" ca="1" si="14"/>
        <v>2181942.656068584</v>
      </c>
      <c r="CD15" s="10">
        <f t="shared" ca="1" si="14"/>
        <v>2149376.3477690532</v>
      </c>
      <c r="CE15" s="10">
        <f t="shared" ca="1" si="14"/>
        <v>2116810.0394695224</v>
      </c>
      <c r="CF15" s="10">
        <f t="shared" ca="1" si="14"/>
        <v>2084243.7311699914</v>
      </c>
      <c r="CG15" s="10">
        <f t="shared" ca="1" si="14"/>
        <v>2051677.4228704604</v>
      </c>
      <c r="CH15" s="10">
        <f t="shared" ca="1" si="14"/>
        <v>2019111.1145709294</v>
      </c>
      <c r="CI15" s="10">
        <f t="shared" ca="1" si="14"/>
        <v>1986544.8062713984</v>
      </c>
      <c r="CJ15" s="10">
        <f t="shared" ca="1" si="14"/>
        <v>1953978.4979718674</v>
      </c>
      <c r="CK15" s="10">
        <f t="shared" ca="1" si="14"/>
        <v>1921412.1896723364</v>
      </c>
      <c r="CL15" s="10">
        <f t="shared" ca="1" si="14"/>
        <v>1888845.8813728055</v>
      </c>
      <c r="CM15" s="10">
        <f t="shared" ca="1" si="14"/>
        <v>1856279.5730732745</v>
      </c>
      <c r="CN15" s="10">
        <f t="shared" ca="1" si="14"/>
        <v>1823713.2647737435</v>
      </c>
      <c r="CO15" s="10">
        <f t="shared" ca="1" si="14"/>
        <v>1791146.9564742125</v>
      </c>
    </row>
    <row r="16" spans="1:93" s="133" customFormat="1" ht="14">
      <c r="A16" s="10"/>
      <c r="B16" s="10"/>
      <c r="C16" s="10"/>
      <c r="D16" s="10"/>
      <c r="E16" s="10"/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33" customFormat="1" ht="14">
      <c r="A17" s="10"/>
      <c r="B17" s="130" t="s">
        <v>66</v>
      </c>
      <c r="C17" s="35" t="s">
        <v>67</v>
      </c>
      <c r="D17" s="130"/>
      <c r="E17" s="130"/>
      <c r="F17" s="130"/>
      <c r="G17" s="131" t="str">
        <f t="shared" ref="G17:G21" si="15">Monetary_Unit</f>
        <v>тыс. руб.</v>
      </c>
      <c r="H17" s="130"/>
      <c r="I17" s="10"/>
      <c r="J17" s="10"/>
      <c r="K17" s="10"/>
      <c r="L17" s="132">
        <f ca="1">SUM(L18:L21)</f>
        <v>5234.3588965478193</v>
      </c>
      <c r="M17" s="132">
        <f t="shared" ref="M17:BX17" ca="1" si="16">SUM(M18:M21)</f>
        <v>10543.018928299076</v>
      </c>
      <c r="N17" s="132">
        <f t="shared" ca="1" si="16"/>
        <v>15927.034791502465</v>
      </c>
      <c r="O17" s="132">
        <f t="shared" ca="1" si="16"/>
        <v>21387.476153701184</v>
      </c>
      <c r="P17" s="132">
        <f t="shared" ca="1" si="16"/>
        <v>67319.387121700376</v>
      </c>
      <c r="Q17" s="132">
        <f t="shared" ca="1" si="16"/>
        <v>113703.88388203831</v>
      </c>
      <c r="R17" s="132">
        <f t="shared" ca="1" si="16"/>
        <v>160545.42594652518</v>
      </c>
      <c r="S17" s="132">
        <f t="shared" ca="1" si="16"/>
        <v>207848.51676835405</v>
      </c>
      <c r="T17" s="132">
        <f t="shared" ca="1" si="16"/>
        <v>255617.70417507322</v>
      </c>
      <c r="U17" s="132">
        <f t="shared" ca="1" si="16"/>
        <v>303857.58080582466</v>
      </c>
      <c r="V17" s="132">
        <f t="shared" ca="1" si="16"/>
        <v>352572.78455289098</v>
      </c>
      <c r="W17" s="132">
        <f t="shared" ca="1" si="16"/>
        <v>401767.99900759303</v>
      </c>
      <c r="X17" s="132">
        <f t="shared" ca="1" si="16"/>
        <v>505520.06589259498</v>
      </c>
      <c r="Y17" s="132">
        <f t="shared" ca="1" si="16"/>
        <v>610294.4440729107</v>
      </c>
      <c r="Z17" s="132">
        <f t="shared" ca="1" si="16"/>
        <v>716101.20679735241</v>
      </c>
      <c r="AA17" s="132">
        <f t="shared" ca="1" si="16"/>
        <v>822950.5265705483</v>
      </c>
      <c r="AB17" s="132">
        <f t="shared" ca="1" si="16"/>
        <v>961679.90095596761</v>
      </c>
      <c r="AC17" s="132">
        <f t="shared" ca="1" si="16"/>
        <v>1082591.2132658295</v>
      </c>
      <c r="AD17" s="132">
        <f t="shared" ca="1" si="16"/>
        <v>1082807.3955599405</v>
      </c>
      <c r="AE17" s="132">
        <f t="shared" ca="1" si="16"/>
        <v>945597.46965041663</v>
      </c>
      <c r="AF17" s="132">
        <f t="shared" ca="1" si="16"/>
        <v>894241.23959230667</v>
      </c>
      <c r="AG17" s="132">
        <f t="shared" ca="1" si="16"/>
        <v>912785.36191463098</v>
      </c>
      <c r="AH17" s="132">
        <f t="shared" ca="1" si="16"/>
        <v>914209.06772424758</v>
      </c>
      <c r="AI17" s="132">
        <f t="shared" ca="1" si="16"/>
        <v>752782.9176402234</v>
      </c>
      <c r="AJ17" s="132">
        <f t="shared" ca="1" si="16"/>
        <v>693826.99744654074</v>
      </c>
      <c r="AK17" s="132">
        <f t="shared" ca="1" si="16"/>
        <v>717110.17191240692</v>
      </c>
      <c r="AL17" s="132">
        <f t="shared" ca="1" si="16"/>
        <v>719921.4875376093</v>
      </c>
      <c r="AM17" s="132">
        <f t="shared" ca="1" si="16"/>
        <v>532644.70137183566</v>
      </c>
      <c r="AN17" s="132">
        <f t="shared" ca="1" si="16"/>
        <v>465804.18732552684</v>
      </c>
      <c r="AO17" s="132">
        <f t="shared" ca="1" si="16"/>
        <v>543681.80251755356</v>
      </c>
      <c r="AP17" s="132">
        <f t="shared" ca="1" si="16"/>
        <v>684303.07459296973</v>
      </c>
      <c r="AQ17" s="132">
        <f t="shared" ca="1" si="16"/>
        <v>422137.24689368624</v>
      </c>
      <c r="AR17" s="132">
        <f t="shared" ca="1" si="16"/>
        <v>386293.450195254</v>
      </c>
      <c r="AS17" s="132">
        <f t="shared" ca="1" si="16"/>
        <v>565881.58899513667</v>
      </c>
      <c r="AT17" s="132">
        <f t="shared" ca="1" si="16"/>
        <v>711675.72314015718</v>
      </c>
      <c r="AU17" s="132">
        <f t="shared" ca="1" si="16"/>
        <v>439023.26909398125</v>
      </c>
      <c r="AV17" s="132">
        <f t="shared" ca="1" si="16"/>
        <v>401745.33522652736</v>
      </c>
      <c r="AW17" s="132">
        <f t="shared" ca="1" si="16"/>
        <v>458873.22916712181</v>
      </c>
      <c r="AX17" s="132">
        <f t="shared" ca="1" si="16"/>
        <v>569502.94382997556</v>
      </c>
      <c r="AY17" s="132">
        <f t="shared" ca="1" si="16"/>
        <v>325796.29174223531</v>
      </c>
      <c r="AZ17" s="132">
        <f t="shared" ca="1" si="16"/>
        <v>315935.63155912515</v>
      </c>
      <c r="BA17" s="132">
        <f t="shared" ca="1" si="16"/>
        <v>477228.15833380655</v>
      </c>
      <c r="BB17" s="132">
        <f t="shared" ca="1" si="16"/>
        <v>592283.06158317463</v>
      </c>
      <c r="BC17" s="132">
        <f t="shared" ca="1" si="16"/>
        <v>338828.14341192471</v>
      </c>
      <c r="BD17" s="132">
        <f t="shared" ca="1" si="16"/>
        <v>328572.7949940901</v>
      </c>
      <c r="BE17" s="132">
        <f t="shared" ca="1" si="16"/>
        <v>496317.02025986672</v>
      </c>
      <c r="BF17" s="132">
        <f t="shared" ca="1" si="16"/>
        <v>615974.11703389697</v>
      </c>
      <c r="BG17" s="132">
        <f t="shared" ca="1" si="16"/>
        <v>352380.99950481334</v>
      </c>
      <c r="BH17" s="132">
        <f t="shared" ca="1" si="16"/>
        <v>341715.9790943496</v>
      </c>
      <c r="BI17" s="132">
        <f t="shared" ca="1" si="16"/>
        <v>516169.9760538449</v>
      </c>
      <c r="BJ17" s="132">
        <f t="shared" ca="1" si="16"/>
        <v>640613.35940836126</v>
      </c>
      <c r="BK17" s="132">
        <f t="shared" ca="1" si="16"/>
        <v>366476.51991433755</v>
      </c>
      <c r="BL17" s="132">
        <f t="shared" ca="1" si="16"/>
        <v>355384.61825812375</v>
      </c>
      <c r="BM17" s="132">
        <f t="shared" ca="1" si="16"/>
        <v>536816.77509599889</v>
      </c>
      <c r="BN17" s="132">
        <f t="shared" ca="1" si="16"/>
        <v>666237.89378469577</v>
      </c>
      <c r="BO17" s="132">
        <f t="shared" ca="1" si="16"/>
        <v>381135.58071091108</v>
      </c>
      <c r="BP17" s="132">
        <f t="shared" ca="1" si="16"/>
        <v>369600.00298844866</v>
      </c>
      <c r="BQ17" s="132">
        <f t="shared" ca="1" si="16"/>
        <v>558289.44609983847</v>
      </c>
      <c r="BR17" s="132">
        <f t="shared" ca="1" si="16"/>
        <v>692887.40953608323</v>
      </c>
      <c r="BS17" s="132">
        <f t="shared" ca="1" si="16"/>
        <v>396381.00393934723</v>
      </c>
      <c r="BT17" s="132">
        <f t="shared" ca="1" si="16"/>
        <v>384383.69680696126</v>
      </c>
      <c r="BU17" s="132">
        <f t="shared" ca="1" si="16"/>
        <v>580620.71462469804</v>
      </c>
      <c r="BV17" s="132">
        <f t="shared" ca="1" si="16"/>
        <v>720602.5935505454</v>
      </c>
      <c r="BW17" s="132">
        <f t="shared" ca="1" si="16"/>
        <v>412235.92865206127</v>
      </c>
      <c r="BX17" s="132">
        <f t="shared" ca="1" si="16"/>
        <v>399759.36323230586</v>
      </c>
      <c r="BY17" s="132">
        <f t="shared" ref="BY17:CO17" ca="1" si="17">SUM(BY18:BY21)</f>
        <v>603845.86490158504</v>
      </c>
      <c r="BZ17" s="132">
        <f t="shared" ca="1" si="17"/>
        <v>749427.0221542276</v>
      </c>
      <c r="CA17" s="132">
        <f t="shared" ca="1" si="17"/>
        <v>428725.69386079803</v>
      </c>
      <c r="CB17" s="132">
        <f t="shared" ca="1" si="17"/>
        <v>415749.73776159796</v>
      </c>
      <c r="CC17" s="132">
        <f t="shared" ca="1" si="17"/>
        <v>627999.6994976484</v>
      </c>
      <c r="CD17" s="132">
        <f t="shared" ca="1" si="17"/>
        <v>779404.10304039647</v>
      </c>
      <c r="CE17" s="132">
        <f t="shared" ca="1" si="17"/>
        <v>445874.72161522997</v>
      </c>
      <c r="CF17" s="132">
        <f t="shared" ca="1" si="17"/>
        <v>432379.72727206186</v>
      </c>
      <c r="CG17" s="132">
        <f t="shared" ca="1" si="17"/>
        <v>653119.68747755443</v>
      </c>
      <c r="CH17" s="132">
        <f t="shared" ca="1" si="17"/>
        <v>810580.2671620124</v>
      </c>
      <c r="CI17" s="132">
        <f t="shared" ca="1" si="17"/>
        <v>463709.71047983901</v>
      </c>
      <c r="CJ17" s="132">
        <f t="shared" ca="1" si="17"/>
        <v>449674.55803406797</v>
      </c>
      <c r="CK17" s="132">
        <f t="shared" ca="1" si="17"/>
        <v>679244.11311702023</v>
      </c>
      <c r="CL17" s="132">
        <f t="shared" ca="1" si="17"/>
        <v>843003.11242330621</v>
      </c>
      <c r="CM17" s="132">
        <f t="shared" ca="1" si="17"/>
        <v>482257.72987316316</v>
      </c>
      <c r="CN17" s="132">
        <f t="shared" ca="1" si="17"/>
        <v>467661.91301746224</v>
      </c>
      <c r="CO17" s="132">
        <f t="shared" ca="1" si="17"/>
        <v>706414.25397572294</v>
      </c>
    </row>
    <row r="18" spans="1:93" s="133" customFormat="1" ht="14">
      <c r="A18" s="10"/>
      <c r="B18" s="10"/>
      <c r="C18" s="10" t="s">
        <v>68</v>
      </c>
      <c r="D18" s="10"/>
      <c r="E18" s="10"/>
      <c r="F18" s="10"/>
      <c r="G18" s="134" t="str">
        <f t="shared" si="15"/>
        <v>тыс. руб.</v>
      </c>
      <c r="H18" s="10"/>
      <c r="I18" s="10"/>
      <c r="J18" s="10"/>
      <c r="K18" s="10"/>
      <c r="L18" s="52">
        <f t="shared" ref="L18:BW18" ca="1" si="18">Inventories_EoP</f>
        <v>0</v>
      </c>
      <c r="M18" s="52">
        <f t="shared" ca="1" si="18"/>
        <v>0</v>
      </c>
      <c r="N18" s="52">
        <f t="shared" ca="1" si="18"/>
        <v>0</v>
      </c>
      <c r="O18" s="52">
        <f t="shared" ca="1" si="18"/>
        <v>0</v>
      </c>
      <c r="P18" s="52">
        <f t="shared" ca="1" si="18"/>
        <v>0</v>
      </c>
      <c r="Q18" s="52">
        <f t="shared" ca="1" si="18"/>
        <v>0</v>
      </c>
      <c r="R18" s="52">
        <f t="shared" ca="1" si="18"/>
        <v>0</v>
      </c>
      <c r="S18" s="52">
        <f t="shared" ca="1" si="18"/>
        <v>0</v>
      </c>
      <c r="T18" s="52">
        <f t="shared" ca="1" si="18"/>
        <v>0</v>
      </c>
      <c r="U18" s="52">
        <f t="shared" ca="1" si="18"/>
        <v>0</v>
      </c>
      <c r="V18" s="52">
        <f t="shared" ca="1" si="18"/>
        <v>0</v>
      </c>
      <c r="W18" s="52">
        <f t="shared" ca="1" si="18"/>
        <v>0</v>
      </c>
      <c r="X18" s="52">
        <f t="shared" ca="1" si="18"/>
        <v>0</v>
      </c>
      <c r="Y18" s="52">
        <f t="shared" ca="1" si="18"/>
        <v>0</v>
      </c>
      <c r="Z18" s="52">
        <f t="shared" ca="1" si="18"/>
        <v>0</v>
      </c>
      <c r="AA18" s="52">
        <f t="shared" ca="1" si="18"/>
        <v>0</v>
      </c>
      <c r="AB18" s="52">
        <f t="shared" ca="1" si="18"/>
        <v>0</v>
      </c>
      <c r="AC18" s="52">
        <f t="shared" ca="1" si="18"/>
        <v>111548.80041016091</v>
      </c>
      <c r="AD18" s="52">
        <f t="shared" ca="1" si="18"/>
        <v>143554.40568244207</v>
      </c>
      <c r="AE18" s="52">
        <f t="shared" ca="1" si="18"/>
        <v>85077.004229013575</v>
      </c>
      <c r="AF18" s="52">
        <f t="shared" ca="1" si="18"/>
        <v>85346.44547014017</v>
      </c>
      <c r="AG18" s="52">
        <f t="shared" ca="1" si="18"/>
        <v>133186.20002131746</v>
      </c>
      <c r="AH18" s="52">
        <f t="shared" ca="1" si="18"/>
        <v>170613.63150227594</v>
      </c>
      <c r="AI18" s="52">
        <f t="shared" ca="1" si="18"/>
        <v>100673.47593068139</v>
      </c>
      <c r="AJ18" s="52">
        <f t="shared" ca="1" si="18"/>
        <v>100584.50848591205</v>
      </c>
      <c r="AK18" s="52">
        <f t="shared" ca="1" si="18"/>
        <v>156376.11352071044</v>
      </c>
      <c r="AL18" s="52">
        <f t="shared" ca="1" si="18"/>
        <v>199607.90833860449</v>
      </c>
      <c r="AM18" s="52">
        <f t="shared" ca="1" si="18"/>
        <v>117381.54216171621</v>
      </c>
      <c r="AN18" s="52">
        <f t="shared" ca="1" si="18"/>
        <v>116904.83841903444</v>
      </c>
      <c r="AO18" s="52">
        <f t="shared" ca="1" si="18"/>
        <v>181207.89616355911</v>
      </c>
      <c r="AP18" s="52">
        <f t="shared" ca="1" si="18"/>
        <v>224884.38705812045</v>
      </c>
      <c r="AQ18" s="52">
        <f t="shared" ca="1" si="18"/>
        <v>128670.75949649554</v>
      </c>
      <c r="AR18" s="52">
        <f t="shared" ca="1" si="18"/>
        <v>124778.52980466065</v>
      </c>
      <c r="AS18" s="52">
        <f t="shared" ca="1" si="18"/>
        <v>188456.44706722128</v>
      </c>
      <c r="AT18" s="52">
        <f t="shared" ca="1" si="18"/>
        <v>233879.99991367839</v>
      </c>
      <c r="AU18" s="52">
        <f t="shared" ca="1" si="18"/>
        <v>133817.82958852337</v>
      </c>
      <c r="AV18" s="52">
        <f t="shared" ca="1" si="18"/>
        <v>129769.67099684704</v>
      </c>
      <c r="AW18" s="52">
        <f t="shared" ca="1" si="18"/>
        <v>193340.35472003976</v>
      </c>
      <c r="AX18" s="52">
        <f t="shared" ca="1" si="18"/>
        <v>239940.79286936333</v>
      </c>
      <c r="AY18" s="52">
        <f t="shared" ca="1" si="18"/>
        <v>137286.1358919139</v>
      </c>
      <c r="AZ18" s="52">
        <f t="shared" ca="1" si="18"/>
        <v>133133.10622859199</v>
      </c>
      <c r="BA18" s="52">
        <f t="shared" ca="1" si="18"/>
        <v>201073.96890884137</v>
      </c>
      <c r="BB18" s="52">
        <f t="shared" ca="1" si="18"/>
        <v>249538.42458413797</v>
      </c>
      <c r="BC18" s="52">
        <f t="shared" ca="1" si="18"/>
        <v>142777.58132759051</v>
      </c>
      <c r="BD18" s="52">
        <f t="shared" ca="1" si="18"/>
        <v>138458.16865033563</v>
      </c>
      <c r="BE18" s="52">
        <f t="shared" ca="1" si="18"/>
        <v>209116.66325790295</v>
      </c>
      <c r="BF18" s="52">
        <f t="shared" ca="1" si="18"/>
        <v>259519.69455489889</v>
      </c>
      <c r="BG18" s="52">
        <f t="shared" ca="1" si="18"/>
        <v>148488.41493710584</v>
      </c>
      <c r="BH18" s="52">
        <f t="shared" ca="1" si="18"/>
        <v>143996.76769684505</v>
      </c>
      <c r="BI18" s="52">
        <f t="shared" ca="1" si="18"/>
        <v>217481.60477180267</v>
      </c>
      <c r="BJ18" s="52">
        <f t="shared" ca="1" si="18"/>
        <v>269900.76003020338</v>
      </c>
      <c r="BK18" s="52">
        <f t="shared" ca="1" si="18"/>
        <v>154428.2319639218</v>
      </c>
      <c r="BL18" s="52">
        <f t="shared" ca="1" si="18"/>
        <v>149756.63840471895</v>
      </c>
      <c r="BM18" s="52">
        <f t="shared" ca="1" si="18"/>
        <v>226180.86896267487</v>
      </c>
      <c r="BN18" s="52">
        <f t="shared" ca="1" si="18"/>
        <v>280696.79043141147</v>
      </c>
      <c r="BO18" s="52">
        <f t="shared" ca="1" si="18"/>
        <v>160605.3612424786</v>
      </c>
      <c r="BP18" s="52">
        <f t="shared" ca="1" si="18"/>
        <v>155746.90394090762</v>
      </c>
      <c r="BQ18" s="52">
        <f t="shared" ca="1" si="18"/>
        <v>235228.10372118175</v>
      </c>
      <c r="BR18" s="52">
        <f t="shared" ca="1" si="18"/>
        <v>291924.6620486679</v>
      </c>
      <c r="BS18" s="52">
        <f t="shared" ca="1" si="18"/>
        <v>167029.57569217763</v>
      </c>
      <c r="BT18" s="52">
        <f t="shared" ca="1" si="18"/>
        <v>161976.4737975187</v>
      </c>
      <c r="BU18" s="52">
        <f t="shared" ca="1" si="18"/>
        <v>244636.91855089506</v>
      </c>
      <c r="BV18" s="52">
        <f t="shared" ca="1" si="18"/>
        <v>303601.3361636335</v>
      </c>
      <c r="BW18" s="52">
        <f t="shared" ca="1" si="18"/>
        <v>173710.44327500497</v>
      </c>
      <c r="BX18" s="52">
        <f t="shared" ref="BX18:CO18" ca="1" si="19">Inventories_EoP</f>
        <v>168455.85130248568</v>
      </c>
      <c r="BY18" s="52">
        <f t="shared" ca="1" si="19"/>
        <v>254422.7169848301</v>
      </c>
      <c r="BZ18" s="52">
        <f t="shared" ca="1" si="19"/>
        <v>315745.71447183914</v>
      </c>
      <c r="CA18" s="52">
        <f t="shared" ca="1" si="19"/>
        <v>180659.18906865944</v>
      </c>
      <c r="CB18" s="52">
        <f t="shared" ca="1" si="19"/>
        <v>175194.08535458497</v>
      </c>
      <c r="CC18" s="52">
        <f t="shared" ca="1" si="19"/>
        <v>264599.62566422322</v>
      </c>
      <c r="CD18" s="52">
        <f t="shared" ca="1" si="19"/>
        <v>328375.54305071267</v>
      </c>
      <c r="CE18" s="52">
        <f t="shared" ca="1" si="19"/>
        <v>187885.55663140572</v>
      </c>
      <c r="CF18" s="52">
        <f t="shared" ca="1" si="19"/>
        <v>182201.84876876837</v>
      </c>
      <c r="CG18" s="52">
        <f t="shared" ca="1" si="19"/>
        <v>275183.61069079209</v>
      </c>
      <c r="CH18" s="52">
        <f t="shared" ca="1" si="19"/>
        <v>341510.56477274117</v>
      </c>
      <c r="CI18" s="52">
        <f t="shared" ca="1" si="19"/>
        <v>195400.97889666189</v>
      </c>
      <c r="CJ18" s="52">
        <f t="shared" ca="1" si="19"/>
        <v>189489.5643906428</v>
      </c>
      <c r="CK18" s="52">
        <f t="shared" ca="1" si="19"/>
        <v>286190.5932587873</v>
      </c>
      <c r="CL18" s="52">
        <f t="shared" ca="1" si="19"/>
        <v>355170.62193846435</v>
      </c>
      <c r="CM18" s="52">
        <f t="shared" ca="1" si="19"/>
        <v>203216.64902665908</v>
      </c>
      <c r="CN18" s="52">
        <f t="shared" ca="1" si="19"/>
        <v>197069.51962829998</v>
      </c>
      <c r="CO18" s="52">
        <f t="shared" ca="1" si="19"/>
        <v>297638.59332316089</v>
      </c>
    </row>
    <row r="19" spans="1:93" s="133" customFormat="1" ht="14">
      <c r="A19" s="10"/>
      <c r="B19" s="10"/>
      <c r="C19" s="10" t="s">
        <v>69</v>
      </c>
      <c r="D19" s="10"/>
      <c r="E19" s="10"/>
      <c r="F19" s="10"/>
      <c r="G19" s="134" t="str">
        <f t="shared" si="15"/>
        <v>тыс. руб.</v>
      </c>
      <c r="H19" s="10"/>
      <c r="I19" s="10"/>
      <c r="J19" s="10"/>
      <c r="K19" s="10"/>
      <c r="L19" s="52">
        <f t="shared" ref="L19:BW19" ca="1" si="20">Accounts_Receivable_EoP</f>
        <v>0</v>
      </c>
      <c r="M19" s="52">
        <f t="shared" ca="1" si="20"/>
        <v>0</v>
      </c>
      <c r="N19" s="52">
        <f t="shared" ca="1" si="20"/>
        <v>0</v>
      </c>
      <c r="O19" s="52">
        <f t="shared" ca="1" si="20"/>
        <v>0</v>
      </c>
      <c r="P19" s="52">
        <f t="shared" ca="1" si="20"/>
        <v>0</v>
      </c>
      <c r="Q19" s="52">
        <f t="shared" ca="1" si="20"/>
        <v>0</v>
      </c>
      <c r="R19" s="52">
        <f t="shared" ca="1" si="20"/>
        <v>0</v>
      </c>
      <c r="S19" s="52">
        <f t="shared" ca="1" si="20"/>
        <v>0</v>
      </c>
      <c r="T19" s="52">
        <f t="shared" ca="1" si="20"/>
        <v>0</v>
      </c>
      <c r="U19" s="52">
        <f t="shared" ca="1" si="20"/>
        <v>0</v>
      </c>
      <c r="V19" s="52">
        <f t="shared" ca="1" si="20"/>
        <v>0</v>
      </c>
      <c r="W19" s="52">
        <f t="shared" ca="1" si="20"/>
        <v>0</v>
      </c>
      <c r="X19" s="52">
        <f t="shared" ca="1" si="20"/>
        <v>0</v>
      </c>
      <c r="Y19" s="52">
        <f t="shared" ca="1" si="20"/>
        <v>0</v>
      </c>
      <c r="Z19" s="52">
        <f t="shared" ca="1" si="20"/>
        <v>0</v>
      </c>
      <c r="AA19" s="52">
        <f t="shared" ca="1" si="20"/>
        <v>0</v>
      </c>
      <c r="AB19" s="52">
        <f t="shared" ca="1" si="20"/>
        <v>0</v>
      </c>
      <c r="AC19" s="52">
        <f t="shared" ca="1" si="20"/>
        <v>177603.16646154114</v>
      </c>
      <c r="AD19" s="52">
        <f t="shared" ca="1" si="20"/>
        <v>228593.56652432308</v>
      </c>
      <c r="AE19" s="52">
        <f t="shared" ca="1" si="20"/>
        <v>135425.79504589667</v>
      </c>
      <c r="AF19" s="52">
        <f t="shared" ca="1" si="20"/>
        <v>135853.89339360723</v>
      </c>
      <c r="AG19" s="52">
        <f t="shared" ca="1" si="20"/>
        <v>212071.33654518845</v>
      </c>
      <c r="AH19" s="52">
        <f t="shared" ca="1" si="20"/>
        <v>271699.78192605288</v>
      </c>
      <c r="AI19" s="52">
        <f t="shared" ca="1" si="20"/>
        <v>160269.42365431634</v>
      </c>
      <c r="AJ19" s="52">
        <f t="shared" ca="1" si="20"/>
        <v>160126.45567993185</v>
      </c>
      <c r="AK19" s="52">
        <f t="shared" ca="1" si="20"/>
        <v>249012.79516918899</v>
      </c>
      <c r="AL19" s="52">
        <f t="shared" ca="1" si="20"/>
        <v>317888.74485348177</v>
      </c>
      <c r="AM19" s="52">
        <f t="shared" ca="1" si="20"/>
        <v>186883.86127933627</v>
      </c>
      <c r="AN19" s="52">
        <f t="shared" ca="1" si="20"/>
        <v>186123.45671973249</v>
      </c>
      <c r="AO19" s="52">
        <f t="shared" ca="1" si="20"/>
        <v>288570.25634463725</v>
      </c>
      <c r="AP19" s="52">
        <f t="shared" ca="1" si="20"/>
        <v>358154.6525349227</v>
      </c>
      <c r="AQ19" s="52">
        <f t="shared" ca="1" si="20"/>
        <v>204865.11928350991</v>
      </c>
      <c r="AR19" s="52">
        <f t="shared" ca="1" si="20"/>
        <v>198662.30011979851</v>
      </c>
      <c r="AS19" s="52">
        <f t="shared" ca="1" si="20"/>
        <v>300113.06659842259</v>
      </c>
      <c r="AT19" s="52">
        <f t="shared" ca="1" si="20"/>
        <v>372480.83863631962</v>
      </c>
      <c r="AU19" s="52">
        <f t="shared" ca="1" si="20"/>
        <v>213059.72405485041</v>
      </c>
      <c r="AV19" s="52">
        <f t="shared" ca="1" si="20"/>
        <v>206608.7921245906</v>
      </c>
      <c r="AW19" s="52">
        <f t="shared" ca="1" si="20"/>
        <v>265532.87444708205</v>
      </c>
      <c r="AX19" s="52">
        <f t="shared" ca="1" si="20"/>
        <v>329562.15096061223</v>
      </c>
      <c r="AY19" s="52">
        <f t="shared" ca="1" si="20"/>
        <v>188510.1558503214</v>
      </c>
      <c r="AZ19" s="52">
        <f t="shared" ca="1" si="20"/>
        <v>182802.52533053316</v>
      </c>
      <c r="BA19" s="52">
        <f t="shared" ca="1" si="20"/>
        <v>276154.18942496518</v>
      </c>
      <c r="BB19" s="52">
        <f t="shared" ca="1" si="20"/>
        <v>342744.63699903665</v>
      </c>
      <c r="BC19" s="52">
        <f t="shared" ca="1" si="20"/>
        <v>196050.5620843342</v>
      </c>
      <c r="BD19" s="52">
        <f t="shared" ca="1" si="20"/>
        <v>190114.62634375447</v>
      </c>
      <c r="BE19" s="52">
        <f t="shared" ca="1" si="20"/>
        <v>287200.35700196377</v>
      </c>
      <c r="BF19" s="52">
        <f t="shared" ca="1" si="20"/>
        <v>356454.42247899808</v>
      </c>
      <c r="BG19" s="52">
        <f t="shared" ca="1" si="20"/>
        <v>203892.5845677075</v>
      </c>
      <c r="BH19" s="52">
        <f t="shared" ca="1" si="20"/>
        <v>197719.21139750455</v>
      </c>
      <c r="BI19" s="52">
        <f t="shared" ca="1" si="20"/>
        <v>298688.37128204224</v>
      </c>
      <c r="BJ19" s="52">
        <f t="shared" ca="1" si="20"/>
        <v>370712.59937815787</v>
      </c>
      <c r="BK19" s="52">
        <f t="shared" ca="1" si="20"/>
        <v>212048.28795041575</v>
      </c>
      <c r="BL19" s="52">
        <f t="shared" ca="1" si="20"/>
        <v>205627.9798534048</v>
      </c>
      <c r="BM19" s="52">
        <f t="shared" ca="1" si="20"/>
        <v>310635.90613332402</v>
      </c>
      <c r="BN19" s="52">
        <f t="shared" ca="1" si="20"/>
        <v>385541.1033532843</v>
      </c>
      <c r="BO19" s="52">
        <f t="shared" ca="1" si="20"/>
        <v>220530.21946843248</v>
      </c>
      <c r="BP19" s="52">
        <f t="shared" ca="1" si="20"/>
        <v>213853.09904754104</v>
      </c>
      <c r="BQ19" s="52">
        <f t="shared" ca="1" si="20"/>
        <v>323061.34237865673</v>
      </c>
      <c r="BR19" s="52">
        <f t="shared" ca="1" si="20"/>
        <v>400962.74748741533</v>
      </c>
      <c r="BS19" s="52">
        <f t="shared" ca="1" si="20"/>
        <v>229351.42824716959</v>
      </c>
      <c r="BT19" s="52">
        <f t="shared" ca="1" si="20"/>
        <v>222407.22300944256</v>
      </c>
      <c r="BU19" s="52">
        <f t="shared" ca="1" si="20"/>
        <v>335983.79607380298</v>
      </c>
      <c r="BV19" s="52">
        <f t="shared" ca="1" si="20"/>
        <v>417001.25738691189</v>
      </c>
      <c r="BW19" s="52">
        <f t="shared" ca="1" si="20"/>
        <v>238525.48537705629</v>
      </c>
      <c r="BX19" s="52">
        <f t="shared" ref="BX19:CO19" ca="1" si="21">Accounts_Receivable_EoP</f>
        <v>231303.51192982018</v>
      </c>
      <c r="BY19" s="52">
        <f t="shared" ca="1" si="21"/>
        <v>349423.14791675494</v>
      </c>
      <c r="BZ19" s="52">
        <f t="shared" ca="1" si="21"/>
        <v>433681.30768238846</v>
      </c>
      <c r="CA19" s="52">
        <f t="shared" ca="1" si="21"/>
        <v>248066.50479213858</v>
      </c>
      <c r="CB19" s="52">
        <f t="shared" ca="1" si="21"/>
        <v>240555.652407013</v>
      </c>
      <c r="CC19" s="52">
        <f t="shared" ca="1" si="21"/>
        <v>363400.07383342518</v>
      </c>
      <c r="CD19" s="52">
        <f t="shared" ca="1" si="21"/>
        <v>451028.5599896838</v>
      </c>
      <c r="CE19" s="52">
        <f t="shared" ca="1" si="21"/>
        <v>257989.16498382424</v>
      </c>
      <c r="CF19" s="52">
        <f t="shared" ca="1" si="21"/>
        <v>250177.8785032935</v>
      </c>
      <c r="CG19" s="52">
        <f t="shared" ca="1" si="21"/>
        <v>377936.07678676234</v>
      </c>
      <c r="CH19" s="52">
        <f t="shared" ca="1" si="21"/>
        <v>469069.70238927123</v>
      </c>
      <c r="CI19" s="52">
        <f t="shared" ca="1" si="21"/>
        <v>268308.73158317711</v>
      </c>
      <c r="CJ19" s="52">
        <f t="shared" ca="1" si="21"/>
        <v>260184.99364342517</v>
      </c>
      <c r="CK19" s="52">
        <f t="shared" ca="1" si="21"/>
        <v>393053.51985823293</v>
      </c>
      <c r="CL19" s="52">
        <f t="shared" ca="1" si="21"/>
        <v>487832.49048484187</v>
      </c>
      <c r="CM19" s="52">
        <f t="shared" ca="1" si="21"/>
        <v>279041.08084650408</v>
      </c>
      <c r="CN19" s="52">
        <f t="shared" ca="1" si="21"/>
        <v>270592.39338916226</v>
      </c>
      <c r="CO19" s="52">
        <f t="shared" ca="1" si="21"/>
        <v>408775.66065256204</v>
      </c>
    </row>
    <row r="20" spans="1:93" s="133" customFormat="1" ht="14">
      <c r="A20" s="10"/>
      <c r="B20" s="10"/>
      <c r="C20" s="10" t="s">
        <v>151</v>
      </c>
      <c r="D20" s="10"/>
      <c r="E20" s="10"/>
      <c r="F20" s="10"/>
      <c r="G20" s="134" t="str">
        <f t="shared" si="15"/>
        <v>тыс. руб.</v>
      </c>
      <c r="H20" s="10"/>
      <c r="I20" s="10"/>
      <c r="J20" s="10"/>
      <c r="K20" s="10"/>
      <c r="L20" s="52">
        <f t="shared" ref="L20:AQ20" ca="1" si="22">VAT_EoP*(VAT_EoP&gt;0)*(ABS(VAT_EoP)&gt;Accuracy)</f>
        <v>5234.3588965478193</v>
      </c>
      <c r="M20" s="52">
        <f t="shared" ca="1" si="22"/>
        <v>10543.018928299076</v>
      </c>
      <c r="N20" s="52">
        <f t="shared" ca="1" si="22"/>
        <v>15927.034791502465</v>
      </c>
      <c r="O20" s="52">
        <f t="shared" ca="1" si="22"/>
        <v>21387.476153701184</v>
      </c>
      <c r="P20" s="52">
        <f t="shared" ca="1" si="22"/>
        <v>67319.387121700376</v>
      </c>
      <c r="Q20" s="52">
        <f t="shared" ca="1" si="22"/>
        <v>113703.88388203831</v>
      </c>
      <c r="R20" s="52">
        <f t="shared" ca="1" si="22"/>
        <v>160545.42594652518</v>
      </c>
      <c r="S20" s="52">
        <f t="shared" ca="1" si="22"/>
        <v>207848.51676835405</v>
      </c>
      <c r="T20" s="52">
        <f t="shared" ca="1" si="22"/>
        <v>255617.70417507322</v>
      </c>
      <c r="U20" s="52">
        <f t="shared" ca="1" si="22"/>
        <v>303857.58080582466</v>
      </c>
      <c r="V20" s="52">
        <f t="shared" ca="1" si="22"/>
        <v>352572.78455289098</v>
      </c>
      <c r="W20" s="52">
        <f t="shared" ca="1" si="22"/>
        <v>401767.99900759303</v>
      </c>
      <c r="X20" s="52">
        <f t="shared" ca="1" si="22"/>
        <v>505520.06589259498</v>
      </c>
      <c r="Y20" s="52">
        <f t="shared" ca="1" si="22"/>
        <v>610294.4440729107</v>
      </c>
      <c r="Z20" s="52">
        <f t="shared" ca="1" si="22"/>
        <v>716101.20679735241</v>
      </c>
      <c r="AA20" s="52">
        <f t="shared" ca="1" si="22"/>
        <v>822950.5265705483</v>
      </c>
      <c r="AB20" s="52">
        <f t="shared" ca="1" si="22"/>
        <v>961679.90095596761</v>
      </c>
      <c r="AC20" s="52">
        <f t="shared" ca="1" si="22"/>
        <v>166387.22911514295</v>
      </c>
      <c r="AD20" s="52">
        <f t="shared" ca="1" si="22"/>
        <v>63635.049488485442</v>
      </c>
      <c r="AE20" s="52">
        <f t="shared" ca="1" si="22"/>
        <v>57310.19438926001</v>
      </c>
      <c r="AF20" s="52">
        <f t="shared" ca="1" si="22"/>
        <v>42268.509882288876</v>
      </c>
      <c r="AG20" s="52">
        <f t="shared" ca="1" si="22"/>
        <v>53954.163666599037</v>
      </c>
      <c r="AH20" s="52">
        <f t="shared" ca="1" si="22"/>
        <v>75773.351948934083</v>
      </c>
      <c r="AI20" s="52">
        <f t="shared" ca="1" si="22"/>
        <v>67994.601901483446</v>
      </c>
      <c r="AJ20" s="52">
        <f t="shared" ca="1" si="22"/>
        <v>49909.590305865699</v>
      </c>
      <c r="AK20" s="52">
        <f t="shared" ca="1" si="22"/>
        <v>63433.750365640342</v>
      </c>
      <c r="AL20" s="52">
        <f t="shared" ca="1" si="22"/>
        <v>88780.902527037048</v>
      </c>
      <c r="AM20" s="52">
        <f t="shared" ca="1" si="22"/>
        <v>79442.065703661894</v>
      </c>
      <c r="AN20" s="52">
        <f t="shared" ca="1" si="22"/>
        <v>58412.737334789061</v>
      </c>
      <c r="AO20" s="52">
        <f t="shared" ca="1" si="22"/>
        <v>73903.650009357254</v>
      </c>
      <c r="AP20" s="52">
        <f t="shared" ca="1" si="22"/>
        <v>101264.03499992655</v>
      </c>
      <c r="AQ20" s="52">
        <f t="shared" ca="1" si="22"/>
        <v>88601.36811368083</v>
      </c>
      <c r="AR20" s="52">
        <f t="shared" ref="AR20:BW20" ca="1" si="23">VAT_EoP*(VAT_EoP&gt;0)*(ABS(VAT_EoP)&gt;Accuracy)</f>
        <v>62852.620270794854</v>
      </c>
      <c r="AS20" s="52">
        <f t="shared" ca="1" si="23"/>
        <v>77312.075329492844</v>
      </c>
      <c r="AT20" s="52">
        <f t="shared" ca="1" si="23"/>
        <v>105314.8845901592</v>
      </c>
      <c r="AU20" s="52">
        <f t="shared" ca="1" si="23"/>
        <v>92145.715450607444</v>
      </c>
      <c r="AV20" s="52">
        <f t="shared" ca="1" si="23"/>
        <v>65366.872105089693</v>
      </c>
      <c r="AW20" s="52">
        <f t="shared" ca="1" si="23"/>
        <v>0</v>
      </c>
      <c r="AX20" s="52">
        <f t="shared" ca="1" si="23"/>
        <v>0</v>
      </c>
      <c r="AY20" s="52">
        <f t="shared" ca="1" si="23"/>
        <v>0</v>
      </c>
      <c r="AZ20" s="52">
        <f t="shared" ca="1" si="23"/>
        <v>0</v>
      </c>
      <c r="BA20" s="52">
        <f t="shared" ca="1" si="23"/>
        <v>0</v>
      </c>
      <c r="BB20" s="52">
        <f t="shared" ca="1" si="23"/>
        <v>0</v>
      </c>
      <c r="BC20" s="52">
        <f t="shared" ca="1" si="23"/>
        <v>0</v>
      </c>
      <c r="BD20" s="52">
        <f t="shared" ca="1" si="23"/>
        <v>0</v>
      </c>
      <c r="BE20" s="52">
        <f t="shared" ca="1" si="23"/>
        <v>0</v>
      </c>
      <c r="BF20" s="52">
        <f t="shared" ca="1" si="23"/>
        <v>0</v>
      </c>
      <c r="BG20" s="52">
        <f t="shared" ca="1" si="23"/>
        <v>0</v>
      </c>
      <c r="BH20" s="52">
        <f t="shared" ca="1" si="23"/>
        <v>0</v>
      </c>
      <c r="BI20" s="52">
        <f t="shared" ca="1" si="23"/>
        <v>0</v>
      </c>
      <c r="BJ20" s="52">
        <f t="shared" ca="1" si="23"/>
        <v>0</v>
      </c>
      <c r="BK20" s="52">
        <f t="shared" ca="1" si="23"/>
        <v>0</v>
      </c>
      <c r="BL20" s="52">
        <f t="shared" ca="1" si="23"/>
        <v>0</v>
      </c>
      <c r="BM20" s="52">
        <f t="shared" ca="1" si="23"/>
        <v>0</v>
      </c>
      <c r="BN20" s="52">
        <f t="shared" ca="1" si="23"/>
        <v>0</v>
      </c>
      <c r="BO20" s="52">
        <f t="shared" ca="1" si="23"/>
        <v>0</v>
      </c>
      <c r="BP20" s="52">
        <f t="shared" ca="1" si="23"/>
        <v>0</v>
      </c>
      <c r="BQ20" s="52">
        <f t="shared" ca="1" si="23"/>
        <v>0</v>
      </c>
      <c r="BR20" s="52">
        <f t="shared" ca="1" si="23"/>
        <v>0</v>
      </c>
      <c r="BS20" s="52">
        <f t="shared" ca="1" si="23"/>
        <v>0</v>
      </c>
      <c r="BT20" s="52">
        <f t="shared" ca="1" si="23"/>
        <v>0</v>
      </c>
      <c r="BU20" s="52">
        <f t="shared" ca="1" si="23"/>
        <v>0</v>
      </c>
      <c r="BV20" s="52">
        <f t="shared" ca="1" si="23"/>
        <v>0</v>
      </c>
      <c r="BW20" s="52">
        <f t="shared" ca="1" si="23"/>
        <v>0</v>
      </c>
      <c r="BX20" s="52">
        <f t="shared" ref="BX20:CO20" ca="1" si="24">VAT_EoP*(VAT_EoP&gt;0)*(ABS(VAT_EoP)&gt;Accuracy)</f>
        <v>0</v>
      </c>
      <c r="BY20" s="52">
        <f t="shared" ca="1" si="24"/>
        <v>0</v>
      </c>
      <c r="BZ20" s="52">
        <f t="shared" ca="1" si="24"/>
        <v>0</v>
      </c>
      <c r="CA20" s="52">
        <f t="shared" ca="1" si="24"/>
        <v>0</v>
      </c>
      <c r="CB20" s="52">
        <f t="shared" ca="1" si="24"/>
        <v>0</v>
      </c>
      <c r="CC20" s="52">
        <f t="shared" ca="1" si="24"/>
        <v>0</v>
      </c>
      <c r="CD20" s="52">
        <f t="shared" ca="1" si="24"/>
        <v>0</v>
      </c>
      <c r="CE20" s="52">
        <f t="shared" ca="1" si="24"/>
        <v>0</v>
      </c>
      <c r="CF20" s="52">
        <f t="shared" ca="1" si="24"/>
        <v>0</v>
      </c>
      <c r="CG20" s="52">
        <f t="shared" ca="1" si="24"/>
        <v>0</v>
      </c>
      <c r="CH20" s="52">
        <f t="shared" ca="1" si="24"/>
        <v>0</v>
      </c>
      <c r="CI20" s="52">
        <f t="shared" ca="1" si="24"/>
        <v>0</v>
      </c>
      <c r="CJ20" s="52">
        <f t="shared" ca="1" si="24"/>
        <v>0</v>
      </c>
      <c r="CK20" s="52">
        <f t="shared" ca="1" si="24"/>
        <v>0</v>
      </c>
      <c r="CL20" s="52">
        <f t="shared" ca="1" si="24"/>
        <v>0</v>
      </c>
      <c r="CM20" s="52">
        <f t="shared" ca="1" si="24"/>
        <v>0</v>
      </c>
      <c r="CN20" s="52">
        <f t="shared" ca="1" si="24"/>
        <v>0</v>
      </c>
      <c r="CO20" s="52">
        <f t="shared" ca="1" si="24"/>
        <v>0</v>
      </c>
    </row>
    <row r="21" spans="1:93" s="133" customFormat="1" ht="14">
      <c r="A21" s="10"/>
      <c r="B21" s="10"/>
      <c r="C21" s="10" t="s">
        <v>70</v>
      </c>
      <c r="D21" s="10"/>
      <c r="E21" s="10"/>
      <c r="F21" s="10"/>
      <c r="G21" s="134" t="str">
        <f t="shared" si="15"/>
        <v>тыс. руб.</v>
      </c>
      <c r="H21" s="10"/>
      <c r="I21" s="10"/>
      <c r="J21" s="10"/>
      <c r="K21" s="10"/>
      <c r="L21" s="10">
        <f t="shared" ref="L21:BW21" ca="1" si="25">Cash_EoP</f>
        <v>0</v>
      </c>
      <c r="M21" s="10">
        <f t="shared" ca="1" si="25"/>
        <v>0</v>
      </c>
      <c r="N21" s="10">
        <f t="shared" ca="1" si="25"/>
        <v>0</v>
      </c>
      <c r="O21" s="10">
        <f t="shared" ca="1" si="25"/>
        <v>0</v>
      </c>
      <c r="P21" s="10">
        <f t="shared" ca="1" si="25"/>
        <v>0</v>
      </c>
      <c r="Q21" s="10">
        <f t="shared" ca="1" si="25"/>
        <v>0</v>
      </c>
      <c r="R21" s="10">
        <f t="shared" ca="1" si="25"/>
        <v>0</v>
      </c>
      <c r="S21" s="10">
        <f t="shared" ca="1" si="25"/>
        <v>0</v>
      </c>
      <c r="T21" s="10">
        <f t="shared" ca="1" si="25"/>
        <v>0</v>
      </c>
      <c r="U21" s="10">
        <f t="shared" ca="1" si="25"/>
        <v>0</v>
      </c>
      <c r="V21" s="10">
        <f t="shared" ca="1" si="25"/>
        <v>0</v>
      </c>
      <c r="W21" s="10">
        <f t="shared" ca="1" si="25"/>
        <v>0</v>
      </c>
      <c r="X21" s="10">
        <f t="shared" ca="1" si="25"/>
        <v>0</v>
      </c>
      <c r="Y21" s="10">
        <f t="shared" ca="1" si="25"/>
        <v>0</v>
      </c>
      <c r="Z21" s="10">
        <f t="shared" ca="1" si="25"/>
        <v>0</v>
      </c>
      <c r="AA21" s="10">
        <f t="shared" ca="1" si="25"/>
        <v>0</v>
      </c>
      <c r="AB21" s="10">
        <f t="shared" ca="1" si="25"/>
        <v>0</v>
      </c>
      <c r="AC21" s="10">
        <f t="shared" ca="1" si="25"/>
        <v>627052.01727898442</v>
      </c>
      <c r="AD21" s="10">
        <f t="shared" ca="1" si="25"/>
        <v>647024.37386468984</v>
      </c>
      <c r="AE21" s="10">
        <f t="shared" ca="1" si="25"/>
        <v>667784.47598624637</v>
      </c>
      <c r="AF21" s="10">
        <f t="shared" ca="1" si="25"/>
        <v>630772.39084627037</v>
      </c>
      <c r="AG21" s="10">
        <f t="shared" ca="1" si="25"/>
        <v>513573.66168152611</v>
      </c>
      <c r="AH21" s="10">
        <f t="shared" ca="1" si="25"/>
        <v>396122.30234698468</v>
      </c>
      <c r="AI21" s="10">
        <f t="shared" ca="1" si="25"/>
        <v>423845.41615374223</v>
      </c>
      <c r="AJ21" s="10">
        <f t="shared" ca="1" si="25"/>
        <v>383206.44297483121</v>
      </c>
      <c r="AK21" s="10">
        <f t="shared" ca="1" si="25"/>
        <v>248287.51285686719</v>
      </c>
      <c r="AL21" s="10">
        <f t="shared" ca="1" si="25"/>
        <v>113643.93181848599</v>
      </c>
      <c r="AM21" s="10">
        <f t="shared" ca="1" si="25"/>
        <v>148937.23222712128</v>
      </c>
      <c r="AN21" s="10">
        <f t="shared" ca="1" si="25"/>
        <v>104363.15485197087</v>
      </c>
      <c r="AO21" s="10">
        <f t="shared" ca="1" si="25"/>
        <v>0</v>
      </c>
      <c r="AP21" s="10">
        <f t="shared" ca="1" si="25"/>
        <v>0</v>
      </c>
      <c r="AQ21" s="10">
        <f t="shared" ca="1" si="25"/>
        <v>0</v>
      </c>
      <c r="AR21" s="10">
        <f t="shared" ca="1" si="25"/>
        <v>0</v>
      </c>
      <c r="AS21" s="10">
        <f t="shared" ca="1" si="25"/>
        <v>0</v>
      </c>
      <c r="AT21" s="10">
        <f t="shared" ca="1" si="25"/>
        <v>0</v>
      </c>
      <c r="AU21" s="10">
        <f t="shared" ca="1" si="25"/>
        <v>0</v>
      </c>
      <c r="AV21" s="10">
        <f t="shared" ca="1" si="25"/>
        <v>0</v>
      </c>
      <c r="AW21" s="10">
        <f t="shared" ca="1" si="25"/>
        <v>0</v>
      </c>
      <c r="AX21" s="10">
        <f t="shared" ca="1" si="25"/>
        <v>0</v>
      </c>
      <c r="AY21" s="10">
        <f t="shared" ca="1" si="25"/>
        <v>0</v>
      </c>
      <c r="AZ21" s="10">
        <f t="shared" ca="1" si="25"/>
        <v>0</v>
      </c>
      <c r="BA21" s="10">
        <f t="shared" ca="1" si="25"/>
        <v>0</v>
      </c>
      <c r="BB21" s="10">
        <f t="shared" ca="1" si="25"/>
        <v>0</v>
      </c>
      <c r="BC21" s="10">
        <f t="shared" ca="1" si="25"/>
        <v>0</v>
      </c>
      <c r="BD21" s="10">
        <f t="shared" ca="1" si="25"/>
        <v>0</v>
      </c>
      <c r="BE21" s="10">
        <f t="shared" ca="1" si="25"/>
        <v>0</v>
      </c>
      <c r="BF21" s="10">
        <f t="shared" ca="1" si="25"/>
        <v>0</v>
      </c>
      <c r="BG21" s="10">
        <f t="shared" ca="1" si="25"/>
        <v>0</v>
      </c>
      <c r="BH21" s="10">
        <f t="shared" ca="1" si="25"/>
        <v>0</v>
      </c>
      <c r="BI21" s="10">
        <f t="shared" ca="1" si="25"/>
        <v>0</v>
      </c>
      <c r="BJ21" s="10">
        <f t="shared" ca="1" si="25"/>
        <v>0</v>
      </c>
      <c r="BK21" s="10">
        <f t="shared" ca="1" si="25"/>
        <v>0</v>
      </c>
      <c r="BL21" s="10">
        <f t="shared" ca="1" si="25"/>
        <v>0</v>
      </c>
      <c r="BM21" s="10">
        <f t="shared" ca="1" si="25"/>
        <v>0</v>
      </c>
      <c r="BN21" s="10">
        <f t="shared" ca="1" si="25"/>
        <v>0</v>
      </c>
      <c r="BO21" s="10">
        <f t="shared" ca="1" si="25"/>
        <v>0</v>
      </c>
      <c r="BP21" s="10">
        <f t="shared" ca="1" si="25"/>
        <v>0</v>
      </c>
      <c r="BQ21" s="10">
        <f t="shared" ca="1" si="25"/>
        <v>0</v>
      </c>
      <c r="BR21" s="10">
        <f t="shared" ca="1" si="25"/>
        <v>0</v>
      </c>
      <c r="BS21" s="10">
        <f t="shared" ca="1" si="25"/>
        <v>0</v>
      </c>
      <c r="BT21" s="10">
        <f t="shared" ca="1" si="25"/>
        <v>0</v>
      </c>
      <c r="BU21" s="10">
        <f t="shared" ca="1" si="25"/>
        <v>0</v>
      </c>
      <c r="BV21" s="10">
        <f t="shared" ca="1" si="25"/>
        <v>0</v>
      </c>
      <c r="BW21" s="10">
        <f t="shared" ca="1" si="25"/>
        <v>0</v>
      </c>
      <c r="BX21" s="10">
        <f t="shared" ref="BX21:CO21" ca="1" si="26">Cash_EoP</f>
        <v>0</v>
      </c>
      <c r="BY21" s="10">
        <f t="shared" ca="1" si="26"/>
        <v>0</v>
      </c>
      <c r="BZ21" s="10">
        <f t="shared" ca="1" si="26"/>
        <v>0</v>
      </c>
      <c r="CA21" s="10">
        <f t="shared" ca="1" si="26"/>
        <v>0</v>
      </c>
      <c r="CB21" s="10">
        <f t="shared" ca="1" si="26"/>
        <v>0</v>
      </c>
      <c r="CC21" s="10">
        <f t="shared" ca="1" si="26"/>
        <v>0</v>
      </c>
      <c r="CD21" s="10">
        <f t="shared" ca="1" si="26"/>
        <v>0</v>
      </c>
      <c r="CE21" s="10">
        <f t="shared" ca="1" si="26"/>
        <v>0</v>
      </c>
      <c r="CF21" s="10">
        <f t="shared" ca="1" si="26"/>
        <v>0</v>
      </c>
      <c r="CG21" s="10">
        <f t="shared" ca="1" si="26"/>
        <v>0</v>
      </c>
      <c r="CH21" s="10">
        <f t="shared" ca="1" si="26"/>
        <v>0</v>
      </c>
      <c r="CI21" s="10">
        <f t="shared" ca="1" si="26"/>
        <v>0</v>
      </c>
      <c r="CJ21" s="10">
        <f t="shared" ca="1" si="26"/>
        <v>0</v>
      </c>
      <c r="CK21" s="10">
        <f t="shared" ca="1" si="26"/>
        <v>0</v>
      </c>
      <c r="CL21" s="10">
        <f t="shared" ca="1" si="26"/>
        <v>0</v>
      </c>
      <c r="CM21" s="10">
        <f t="shared" ca="1" si="26"/>
        <v>0</v>
      </c>
      <c r="CN21" s="10">
        <f t="shared" ca="1" si="26"/>
        <v>0</v>
      </c>
      <c r="CO21" s="10">
        <f t="shared" ca="1" si="26"/>
        <v>0</v>
      </c>
    </row>
    <row r="22" spans="1:93" s="133" customFormat="1" ht="14">
      <c r="A22" s="10"/>
      <c r="B22" s="10"/>
      <c r="C22" s="10"/>
      <c r="D22" s="10"/>
      <c r="E22" s="10"/>
      <c r="F22" s="10"/>
      <c r="G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s="133" customFormat="1" ht="14">
      <c r="A23" s="10"/>
      <c r="B23" s="10"/>
      <c r="C23" s="24" t="s">
        <v>329</v>
      </c>
      <c r="D23" s="24"/>
      <c r="E23" s="24"/>
      <c r="F23" s="24"/>
      <c r="G23" s="135"/>
      <c r="H23" s="24"/>
      <c r="I23" s="24"/>
      <c r="J23" s="24"/>
      <c r="K23" s="24"/>
      <c r="L23" s="24">
        <f t="shared" ref="L23:AQ23" ca="1" si="27">SUM(L13,L17)</f>
        <v>31406.153379286916</v>
      </c>
      <c r="M23" s="24">
        <f t="shared" ca="1" si="27"/>
        <v>63258.113569794448</v>
      </c>
      <c r="N23" s="24">
        <f t="shared" ca="1" si="27"/>
        <v>95562.208749014782</v>
      </c>
      <c r="O23" s="24">
        <f t="shared" ca="1" si="27"/>
        <v>128324.85692220709</v>
      </c>
      <c r="P23" s="24">
        <f t="shared" ca="1" si="27"/>
        <v>403916.32273020229</v>
      </c>
      <c r="Q23" s="24">
        <f t="shared" ca="1" si="27"/>
        <v>682223.30329222989</v>
      </c>
      <c r="R23" s="24">
        <f t="shared" ca="1" si="27"/>
        <v>963272.55567915109</v>
      </c>
      <c r="S23" s="24">
        <f t="shared" ca="1" si="27"/>
        <v>1247830.0923526001</v>
      </c>
      <c r="T23" s="24">
        <f t="shared" ca="1" si="27"/>
        <v>1541025.871140562</v>
      </c>
      <c r="U23" s="24">
        <f t="shared" ca="1" si="27"/>
        <v>1840889.9595578967</v>
      </c>
      <c r="V23" s="24">
        <f t="shared" ca="1" si="27"/>
        <v>2147570.6313816537</v>
      </c>
      <c r="W23" s="24">
        <f t="shared" ca="1" si="27"/>
        <v>2461019.365830977</v>
      </c>
      <c r="X23" s="24">
        <f t="shared" ca="1" si="27"/>
        <v>3107672.6239797669</v>
      </c>
      <c r="Y23" s="24">
        <f t="shared" ca="1" si="27"/>
        <v>3768627.898935548</v>
      </c>
      <c r="Z23" s="24">
        <f t="shared" ca="1" si="27"/>
        <v>4444471.8026250722</v>
      </c>
      <c r="AA23" s="24">
        <f t="shared" ca="1" si="27"/>
        <v>5134992.4963465398</v>
      </c>
      <c r="AB23" s="24">
        <f t="shared" ca="1" si="27"/>
        <v>6025459.4802389424</v>
      </c>
      <c r="AC23" s="24">
        <f t="shared" ca="1" si="27"/>
        <v>6072525.1062728716</v>
      </c>
      <c r="AD23" s="24">
        <f t="shared" ca="1" si="27"/>
        <v>5998895.6022910494</v>
      </c>
      <c r="AE23" s="24">
        <f t="shared" ca="1" si="27"/>
        <v>5787839.9901055926</v>
      </c>
      <c r="AF23" s="24">
        <f t="shared" ca="1" si="27"/>
        <v>5662638.0737715494</v>
      </c>
      <c r="AG23" s="24">
        <f t="shared" ca="1" si="27"/>
        <v>5607336.5098179411</v>
      </c>
      <c r="AH23" s="24">
        <f t="shared" ca="1" si="27"/>
        <v>5534914.5293516247</v>
      </c>
      <c r="AI23" s="24">
        <f t="shared" ca="1" si="27"/>
        <v>5299642.6929916674</v>
      </c>
      <c r="AJ23" s="24">
        <f t="shared" ca="1" si="27"/>
        <v>5166841.0865220521</v>
      </c>
      <c r="AK23" s="24">
        <f t="shared" ca="1" si="27"/>
        <v>5116278.574711985</v>
      </c>
      <c r="AL23" s="24">
        <f t="shared" ca="1" si="27"/>
        <v>5045244.2040612549</v>
      </c>
      <c r="AM23" s="24">
        <f t="shared" ca="1" si="27"/>
        <v>4784121.7316195481</v>
      </c>
      <c r="AN23" s="24">
        <f t="shared" ca="1" si="27"/>
        <v>4643435.5312973065</v>
      </c>
      <c r="AO23" s="24">
        <f t="shared" ca="1" si="27"/>
        <v>4647467.4602134004</v>
      </c>
      <c r="AP23" s="24">
        <f t="shared" ca="1" si="27"/>
        <v>4714243.0460128831</v>
      </c>
      <c r="AQ23" s="24">
        <f t="shared" ca="1" si="27"/>
        <v>4378231.532037667</v>
      </c>
      <c r="AR23" s="24">
        <f t="shared" ref="AR23:BW23" ca="1" si="28">SUM(AR13,AR17)</f>
        <v>4268542.0490633016</v>
      </c>
      <c r="AS23" s="24">
        <f t="shared" ca="1" si="28"/>
        <v>4374284.5015872512</v>
      </c>
      <c r="AT23" s="24">
        <f t="shared" ca="1" si="28"/>
        <v>4446232.9494563388</v>
      </c>
      <c r="AU23" s="24">
        <f t="shared" ca="1" si="28"/>
        <v>4099734.80913423</v>
      </c>
      <c r="AV23" s="24">
        <f t="shared" ca="1" si="28"/>
        <v>3988611.1889908435</v>
      </c>
      <c r="AW23" s="24">
        <f t="shared" ca="1" si="28"/>
        <v>3971893.3966555051</v>
      </c>
      <c r="AX23" s="24">
        <f t="shared" ca="1" si="28"/>
        <v>4008677.4250424257</v>
      </c>
      <c r="AY23" s="24">
        <f t="shared" ca="1" si="28"/>
        <v>3691125.0866787527</v>
      </c>
      <c r="AZ23" s="24">
        <f t="shared" ca="1" si="28"/>
        <v>3607418.7402197095</v>
      </c>
      <c r="BA23" s="24">
        <f t="shared" ca="1" si="28"/>
        <v>3694865.5807184577</v>
      </c>
      <c r="BB23" s="24">
        <f t="shared" ca="1" si="28"/>
        <v>3736074.7976918928</v>
      </c>
      <c r="BC23" s="24">
        <f t="shared" ca="1" si="28"/>
        <v>3408774.1932447101</v>
      </c>
      <c r="BD23" s="24">
        <f t="shared" ca="1" si="28"/>
        <v>3324673.1585509432</v>
      </c>
      <c r="BE23" s="24">
        <f t="shared" ca="1" si="28"/>
        <v>3459851.0755171888</v>
      </c>
      <c r="BF23" s="24">
        <f t="shared" ca="1" si="28"/>
        <v>3546941.8639916885</v>
      </c>
      <c r="BG23" s="24">
        <f t="shared" ca="1" si="28"/>
        <v>3250782.4381630742</v>
      </c>
      <c r="BH23" s="24">
        <f t="shared" ca="1" si="28"/>
        <v>3207551.1094530798</v>
      </c>
      <c r="BI23" s="24">
        <f t="shared" ca="1" si="28"/>
        <v>3349438.7981130444</v>
      </c>
      <c r="BJ23" s="24">
        <f t="shared" ca="1" si="28"/>
        <v>3441315.8731680298</v>
      </c>
      <c r="BK23" s="24">
        <f t="shared" ca="1" si="28"/>
        <v>3134612.7253744751</v>
      </c>
      <c r="BL23" s="24">
        <f t="shared" ca="1" si="28"/>
        <v>3090954.5154187307</v>
      </c>
      <c r="BM23" s="24">
        <f t="shared" ca="1" si="28"/>
        <v>3239820.3639570749</v>
      </c>
      <c r="BN23" s="24">
        <f t="shared" ca="1" si="28"/>
        <v>3336675.1743462412</v>
      </c>
      <c r="BO23" s="24">
        <f t="shared" ca="1" si="28"/>
        <v>3019006.5529729258</v>
      </c>
      <c r="BP23" s="24">
        <f t="shared" ca="1" si="28"/>
        <v>2974904.6669509327</v>
      </c>
      <c r="BQ23" s="24">
        <f t="shared" ca="1" si="28"/>
        <v>3131027.8017627914</v>
      </c>
      <c r="BR23" s="24">
        <f t="shared" ca="1" si="28"/>
        <v>3233059.4568995056</v>
      </c>
      <c r="BS23" s="24">
        <f t="shared" ca="1" si="28"/>
        <v>2903986.7430032389</v>
      </c>
      <c r="BT23" s="24">
        <f t="shared" ca="1" si="28"/>
        <v>2859423.127571322</v>
      </c>
      <c r="BU23" s="24">
        <f t="shared" ca="1" si="28"/>
        <v>3023093.8370895283</v>
      </c>
      <c r="BV23" s="24">
        <f t="shared" ca="1" si="28"/>
        <v>3130509.4077158449</v>
      </c>
      <c r="BW23" s="24">
        <f t="shared" ca="1" si="28"/>
        <v>2789576.4345178297</v>
      </c>
      <c r="BX23" s="24">
        <f t="shared" ref="BX23:CO23" ca="1" si="29">SUM(BX13,BX17)</f>
        <v>2744533.5607985435</v>
      </c>
      <c r="BY23" s="24">
        <f t="shared" ca="1" si="29"/>
        <v>2916053.754168292</v>
      </c>
      <c r="BZ23" s="24">
        <f t="shared" ca="1" si="29"/>
        <v>3029068.6031214036</v>
      </c>
      <c r="CA23" s="24">
        <f t="shared" ca="1" si="29"/>
        <v>2675800.9665284436</v>
      </c>
      <c r="CB23" s="24">
        <f t="shared" ca="1" si="29"/>
        <v>2630258.7021297128</v>
      </c>
      <c r="CC23" s="24">
        <f t="shared" ca="1" si="29"/>
        <v>2809942.3555662325</v>
      </c>
      <c r="CD23" s="24">
        <f t="shared" ca="1" si="29"/>
        <v>2928780.4508094499</v>
      </c>
      <c r="CE23" s="24">
        <f t="shared" ca="1" si="29"/>
        <v>2562684.7610847522</v>
      </c>
      <c r="CF23" s="24">
        <f t="shared" ca="1" si="29"/>
        <v>2516623.4584420533</v>
      </c>
      <c r="CG23" s="24">
        <f t="shared" ca="1" si="29"/>
        <v>2704797.1103480151</v>
      </c>
      <c r="CH23" s="24">
        <f t="shared" ca="1" si="29"/>
        <v>2829691.3817329416</v>
      </c>
      <c r="CI23" s="24">
        <f t="shared" ca="1" si="29"/>
        <v>2450254.5167512372</v>
      </c>
      <c r="CJ23" s="24">
        <f t="shared" ca="1" si="29"/>
        <v>2403653.0560059352</v>
      </c>
      <c r="CK23" s="24">
        <f t="shared" ca="1" si="29"/>
        <v>2600656.3027893566</v>
      </c>
      <c r="CL23" s="24">
        <f t="shared" ca="1" si="29"/>
        <v>2731848.9937961116</v>
      </c>
      <c r="CM23" s="24">
        <f t="shared" ca="1" si="29"/>
        <v>2338537.3029464376</v>
      </c>
      <c r="CN23" s="24">
        <f t="shared" ca="1" si="29"/>
        <v>2291375.1777912057</v>
      </c>
      <c r="CO23" s="24">
        <f t="shared" ca="1" si="29"/>
        <v>2497561.2104499354</v>
      </c>
    </row>
    <row r="24" spans="1:93" s="133" customFormat="1" ht="14">
      <c r="A24" s="10"/>
      <c r="B24" s="10"/>
      <c r="C24" s="10"/>
      <c r="D24" s="10"/>
      <c r="E24" s="10"/>
      <c r="F24" s="10"/>
      <c r="G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93" s="133" customFormat="1" ht="14">
      <c r="A25" s="10"/>
      <c r="B25" s="130" t="s">
        <v>71</v>
      </c>
      <c r="C25" s="35" t="s">
        <v>72</v>
      </c>
      <c r="D25" s="130"/>
      <c r="E25" s="130"/>
      <c r="F25" s="130"/>
      <c r="G25" s="131" t="str">
        <f>Monetary_Unit</f>
        <v>тыс. руб.</v>
      </c>
      <c r="H25" s="130"/>
      <c r="I25" s="10"/>
      <c r="J25" s="10"/>
      <c r="K25" s="10"/>
      <c r="L25" s="132">
        <f t="shared" ref="L25" ca="1" si="30">SUM(L26:L28)</f>
        <v>31406.153379286916</v>
      </c>
      <c r="M25" s="132">
        <f t="shared" ref="M25:BX25" ca="1" si="31">SUM(M26:M28)</f>
        <v>63258.113569794448</v>
      </c>
      <c r="N25" s="132">
        <f t="shared" ca="1" si="31"/>
        <v>95562.208749014768</v>
      </c>
      <c r="O25" s="132">
        <f t="shared" ca="1" si="31"/>
        <v>128324.85692220708</v>
      </c>
      <c r="P25" s="132">
        <f t="shared" ca="1" si="31"/>
        <v>403916.32273020223</v>
      </c>
      <c r="Q25" s="132">
        <f t="shared" ca="1" si="31"/>
        <v>682223.30329222977</v>
      </c>
      <c r="R25" s="132">
        <f t="shared" ca="1" si="31"/>
        <v>963272.55567915109</v>
      </c>
      <c r="S25" s="132">
        <f t="shared" ca="1" si="31"/>
        <v>1154754.872889637</v>
      </c>
      <c r="T25" s="132">
        <f t="shared" ca="1" si="31"/>
        <v>1161335.527237284</v>
      </c>
      <c r="U25" s="132">
        <f t="shared" ca="1" si="31"/>
        <v>1171760.35587011</v>
      </c>
      <c r="V25" s="132">
        <f t="shared" ca="1" si="31"/>
        <v>1186149.8052114691</v>
      </c>
      <c r="W25" s="132">
        <f t="shared" ca="1" si="31"/>
        <v>1204427.2529325802</v>
      </c>
      <c r="X25" s="132">
        <f t="shared" ca="1" si="31"/>
        <v>1228568.1097713585</v>
      </c>
      <c r="Y25" s="132">
        <f t="shared" ca="1" si="31"/>
        <v>1260877.115645245</v>
      </c>
      <c r="Z25" s="132">
        <f t="shared" ca="1" si="31"/>
        <v>1301880.4429881182</v>
      </c>
      <c r="AA25" s="132">
        <f t="shared" ca="1" si="31"/>
        <v>1351305.21807041</v>
      </c>
      <c r="AB25" s="132">
        <f t="shared" ca="1" si="31"/>
        <v>1409395.9556502979</v>
      </c>
      <c r="AC25" s="132">
        <f t="shared" ca="1" si="31"/>
        <v>1409395.9556502979</v>
      </c>
      <c r="AD25" s="132">
        <f t="shared" ca="1" si="31"/>
        <v>1409395.9556502979</v>
      </c>
      <c r="AE25" s="132">
        <f t="shared" ca="1" si="31"/>
        <v>1409395.9556502979</v>
      </c>
      <c r="AF25" s="132">
        <f t="shared" ca="1" si="31"/>
        <v>1409395.9556502979</v>
      </c>
      <c r="AG25" s="132">
        <f t="shared" ca="1" si="31"/>
        <v>1409395.9556502979</v>
      </c>
      <c r="AH25" s="132">
        <f t="shared" ca="1" si="31"/>
        <v>1409395.9556502979</v>
      </c>
      <c r="AI25" s="132">
        <f t="shared" ca="1" si="31"/>
        <v>1409395.9556502979</v>
      </c>
      <c r="AJ25" s="132">
        <f t="shared" ca="1" si="31"/>
        <v>1409395.9556502979</v>
      </c>
      <c r="AK25" s="132">
        <f t="shared" ca="1" si="31"/>
        <v>1409395.9556502979</v>
      </c>
      <c r="AL25" s="132">
        <f t="shared" ca="1" si="31"/>
        <v>1409395.9556502979</v>
      </c>
      <c r="AM25" s="132">
        <f t="shared" ca="1" si="31"/>
        <v>1409395.9556502979</v>
      </c>
      <c r="AN25" s="132">
        <f t="shared" ca="1" si="31"/>
        <v>1409395.9556502979</v>
      </c>
      <c r="AO25" s="132">
        <f t="shared" ca="1" si="31"/>
        <v>1458875.9303349098</v>
      </c>
      <c r="AP25" s="132">
        <f t="shared" ca="1" si="31"/>
        <v>1603806.8177222735</v>
      </c>
      <c r="AQ25" s="132">
        <f t="shared" ca="1" si="31"/>
        <v>1557790.0984953148</v>
      </c>
      <c r="AR25" s="132">
        <f t="shared" ca="1" si="31"/>
        <v>1601947.7231580468</v>
      </c>
      <c r="AS25" s="132">
        <f t="shared" ca="1" si="31"/>
        <v>1762044.3789932497</v>
      </c>
      <c r="AT25" s="132">
        <f t="shared" ca="1" si="31"/>
        <v>1917649.1910824678</v>
      </c>
      <c r="AU25" s="132">
        <f t="shared" ca="1" si="31"/>
        <v>1875159.4208948289</v>
      </c>
      <c r="AV25" s="132">
        <f t="shared" ca="1" si="31"/>
        <v>1926441.6444967384</v>
      </c>
      <c r="AW25" s="132">
        <f t="shared" ca="1" si="31"/>
        <v>1924769.9838481653</v>
      </c>
      <c r="AX25" s="132">
        <f t="shared" ca="1" si="31"/>
        <v>1999924.7731680563</v>
      </c>
      <c r="AY25" s="132">
        <f t="shared" ca="1" si="31"/>
        <v>2041900.2121222606</v>
      </c>
      <c r="AZ25" s="132">
        <f t="shared" ca="1" si="31"/>
        <v>2132493.0781996064</v>
      </c>
      <c r="BA25" s="132">
        <f t="shared" ca="1" si="31"/>
        <v>2256672.8112300802</v>
      </c>
      <c r="BB25" s="132">
        <f t="shared" ca="1" si="31"/>
        <v>2373596.7680090968</v>
      </c>
      <c r="BC25" s="132">
        <f t="shared" ca="1" si="31"/>
        <v>2422956.1169779655</v>
      </c>
      <c r="BD25" s="132">
        <f t="shared" ca="1" si="31"/>
        <v>2522154.2548791831</v>
      </c>
      <c r="BE25" s="132">
        <f t="shared" ca="1" si="31"/>
        <v>2698952.9863545261</v>
      </c>
      <c r="BF25" s="132">
        <f t="shared" ca="1" si="31"/>
        <v>2867663.9273570166</v>
      </c>
      <c r="BG25" s="132">
        <f t="shared" ca="1" si="31"/>
        <v>2966141.0953411367</v>
      </c>
      <c r="BH25" s="132">
        <f t="shared" ca="1" si="31"/>
        <v>2932829.3095779521</v>
      </c>
      <c r="BI25" s="132">
        <f t="shared" ca="1" si="31"/>
        <v>2933483.8181153983</v>
      </c>
      <c r="BJ25" s="132">
        <f t="shared" ca="1" si="31"/>
        <v>2923856.3686157372</v>
      </c>
      <c r="BK25" s="132">
        <f t="shared" ca="1" si="31"/>
        <v>2838585.4801923186</v>
      </c>
      <c r="BL25" s="132">
        <f t="shared" ca="1" si="31"/>
        <v>2805243.8435485968</v>
      </c>
      <c r="BM25" s="132">
        <f t="shared" ca="1" si="31"/>
        <v>2807227.1847595228</v>
      </c>
      <c r="BN25" s="132">
        <f t="shared" ca="1" si="31"/>
        <v>2798517.2896118565</v>
      </c>
      <c r="BO25" s="132">
        <f t="shared" ca="1" si="31"/>
        <v>2711138.2179834824</v>
      </c>
      <c r="BP25" s="132">
        <f t="shared" ca="1" si="31"/>
        <v>2677765.5682059932</v>
      </c>
      <c r="BQ25" s="132">
        <f t="shared" ca="1" si="31"/>
        <v>2681130.8953973372</v>
      </c>
      <c r="BR25" s="132">
        <f t="shared" ca="1" si="31"/>
        <v>2673375.2567757452</v>
      </c>
      <c r="BS25" s="132">
        <f t="shared" ca="1" si="31"/>
        <v>2583803.6746142181</v>
      </c>
      <c r="BT25" s="132">
        <f t="shared" ca="1" si="31"/>
        <v>2549664.7441438683</v>
      </c>
      <c r="BU25" s="132">
        <f t="shared" ca="1" si="31"/>
        <v>2555201.3307945477</v>
      </c>
      <c r="BV25" s="132">
        <f t="shared" ca="1" si="31"/>
        <v>2548438.1165525233</v>
      </c>
      <c r="BW25" s="132">
        <f t="shared" ca="1" si="31"/>
        <v>2456586.3230876895</v>
      </c>
      <c r="BX25" s="132">
        <f t="shared" ca="1" si="31"/>
        <v>2423147.9115960165</v>
      </c>
      <c r="BY25" s="132">
        <f t="shared" ref="BY25:CO25" ca="1" si="32">SUM(BY26:BY28)</f>
        <v>2429445.2602434158</v>
      </c>
      <c r="BZ25" s="132">
        <f t="shared" ca="1" si="32"/>
        <v>2423714.1722675436</v>
      </c>
      <c r="CA25" s="132">
        <f t="shared" ca="1" si="32"/>
        <v>2329490.9597588773</v>
      </c>
      <c r="CB25" s="132">
        <f t="shared" ca="1" si="32"/>
        <v>2296017.6269590841</v>
      </c>
      <c r="CC25" s="132">
        <f t="shared" ca="1" si="32"/>
        <v>2303869.5218843604</v>
      </c>
      <c r="CD25" s="132">
        <f t="shared" ca="1" si="32"/>
        <v>2299211.8427214343</v>
      </c>
      <c r="CE25" s="132">
        <f t="shared" ca="1" si="32"/>
        <v>2202522.3540444029</v>
      </c>
      <c r="CF25" s="132">
        <f t="shared" ca="1" si="32"/>
        <v>2169012.7402645992</v>
      </c>
      <c r="CG25" s="132">
        <f t="shared" ca="1" si="32"/>
        <v>2178481.363318868</v>
      </c>
      <c r="CH25" s="132">
        <f t="shared" ca="1" si="32"/>
        <v>2174940.029321407</v>
      </c>
      <c r="CI25" s="132">
        <f t="shared" ca="1" si="32"/>
        <v>2075685.6134292744</v>
      </c>
      <c r="CJ25" s="132">
        <f t="shared" ca="1" si="32"/>
        <v>2041279.5596215657</v>
      </c>
      <c r="CK25" s="132">
        <f t="shared" ca="1" si="32"/>
        <v>2053288.2491403194</v>
      </c>
      <c r="CL25" s="132">
        <f t="shared" ca="1" si="32"/>
        <v>2050907.9112984473</v>
      </c>
      <c r="CM25" s="132">
        <f t="shared" ca="1" si="32"/>
        <v>1948985.970694534</v>
      </c>
      <c r="CN25" s="132">
        <f t="shared" ca="1" si="32"/>
        <v>1915399.4250104721</v>
      </c>
      <c r="CO25" s="132">
        <f t="shared" ca="1" si="32"/>
        <v>1928298.0984632112</v>
      </c>
    </row>
    <row r="26" spans="1:93" s="133" customFormat="1" ht="14">
      <c r="A26" s="10"/>
      <c r="B26" s="10"/>
      <c r="C26" s="10" t="s">
        <v>73</v>
      </c>
      <c r="D26" s="10"/>
      <c r="E26" s="10"/>
      <c r="F26" s="10"/>
      <c r="G26" s="134" t="str">
        <f>Monetary_Unit</f>
        <v>тыс. руб.</v>
      </c>
      <c r="H26" s="10"/>
      <c r="I26" s="10"/>
      <c r="J26" s="10"/>
      <c r="K26" s="10"/>
      <c r="L26" s="52">
        <f t="shared" ref="L26:BW26" si="33">Equity_EoP*Flag_Financial_Model</f>
        <v>31406.153379286916</v>
      </c>
      <c r="M26" s="52">
        <f t="shared" si="33"/>
        <v>63258.113569794448</v>
      </c>
      <c r="N26" s="52">
        <f t="shared" si="33"/>
        <v>95562.208749014768</v>
      </c>
      <c r="O26" s="52">
        <f t="shared" si="33"/>
        <v>128324.85692220708</v>
      </c>
      <c r="P26" s="52">
        <f t="shared" si="33"/>
        <v>403916.32273020223</v>
      </c>
      <c r="Q26" s="52">
        <f t="shared" si="33"/>
        <v>682223.30329222977</v>
      </c>
      <c r="R26" s="52">
        <f t="shared" si="33"/>
        <v>963272.55567915109</v>
      </c>
      <c r="S26" s="52">
        <f t="shared" si="33"/>
        <v>1154754.872889637</v>
      </c>
      <c r="T26" s="52">
        <f t="shared" si="33"/>
        <v>1161335.527237284</v>
      </c>
      <c r="U26" s="52">
        <f t="shared" si="33"/>
        <v>1171760.35587011</v>
      </c>
      <c r="V26" s="52">
        <f t="shared" si="33"/>
        <v>1186149.8052114691</v>
      </c>
      <c r="W26" s="52">
        <f t="shared" si="33"/>
        <v>1204427.2529325802</v>
      </c>
      <c r="X26" s="52">
        <f t="shared" si="33"/>
        <v>1228568.1097713585</v>
      </c>
      <c r="Y26" s="52">
        <f t="shared" si="33"/>
        <v>1260877.115645245</v>
      </c>
      <c r="Z26" s="52">
        <f t="shared" si="33"/>
        <v>1301880.4429881182</v>
      </c>
      <c r="AA26" s="52">
        <f t="shared" si="33"/>
        <v>1351305.21807041</v>
      </c>
      <c r="AB26" s="52">
        <f t="shared" si="33"/>
        <v>1409395.9556502979</v>
      </c>
      <c r="AC26" s="52">
        <f t="shared" si="33"/>
        <v>1409395.9556502979</v>
      </c>
      <c r="AD26" s="52">
        <f t="shared" si="33"/>
        <v>1409395.9556502979</v>
      </c>
      <c r="AE26" s="52">
        <f t="shared" si="33"/>
        <v>1409395.9556502979</v>
      </c>
      <c r="AF26" s="52">
        <f t="shared" si="33"/>
        <v>1409395.9556502979</v>
      </c>
      <c r="AG26" s="52">
        <f t="shared" si="33"/>
        <v>1409395.9556502979</v>
      </c>
      <c r="AH26" s="52">
        <f t="shared" si="33"/>
        <v>1409395.9556502979</v>
      </c>
      <c r="AI26" s="52">
        <f t="shared" si="33"/>
        <v>1409395.9556502979</v>
      </c>
      <c r="AJ26" s="52">
        <f t="shared" si="33"/>
        <v>1409395.9556502979</v>
      </c>
      <c r="AK26" s="52">
        <f t="shared" si="33"/>
        <v>1409395.9556502979</v>
      </c>
      <c r="AL26" s="52">
        <f t="shared" si="33"/>
        <v>1409395.9556502979</v>
      </c>
      <c r="AM26" s="52">
        <f t="shared" si="33"/>
        <v>1409395.9556502979</v>
      </c>
      <c r="AN26" s="52">
        <f t="shared" si="33"/>
        <v>1409395.9556502979</v>
      </c>
      <c r="AO26" s="52">
        <f t="shared" si="33"/>
        <v>1409395.9556502979</v>
      </c>
      <c r="AP26" s="52">
        <f t="shared" si="33"/>
        <v>1409395.9556502979</v>
      </c>
      <c r="AQ26" s="52">
        <f t="shared" si="33"/>
        <v>1409395.9556502979</v>
      </c>
      <c r="AR26" s="52">
        <f t="shared" si="33"/>
        <v>1409395.9556502979</v>
      </c>
      <c r="AS26" s="52">
        <f t="shared" si="33"/>
        <v>1409395.9556502979</v>
      </c>
      <c r="AT26" s="52">
        <f t="shared" si="33"/>
        <v>1409395.9556502979</v>
      </c>
      <c r="AU26" s="52">
        <f t="shared" si="33"/>
        <v>1409395.9556502979</v>
      </c>
      <c r="AV26" s="52">
        <f t="shared" si="33"/>
        <v>1409395.9556502979</v>
      </c>
      <c r="AW26" s="52">
        <f t="shared" si="33"/>
        <v>1409395.9556502979</v>
      </c>
      <c r="AX26" s="52">
        <f t="shared" si="33"/>
        <v>1409395.9556502979</v>
      </c>
      <c r="AY26" s="52">
        <f t="shared" si="33"/>
        <v>1409395.9556502979</v>
      </c>
      <c r="AZ26" s="52">
        <f t="shared" si="33"/>
        <v>1409395.9556502979</v>
      </c>
      <c r="BA26" s="52">
        <f t="shared" si="33"/>
        <v>1409395.9556502979</v>
      </c>
      <c r="BB26" s="52">
        <f t="shared" si="33"/>
        <v>1409395.9556502979</v>
      </c>
      <c r="BC26" s="52">
        <f t="shared" si="33"/>
        <v>1409395.9556502979</v>
      </c>
      <c r="BD26" s="52">
        <f t="shared" si="33"/>
        <v>1409395.9556502979</v>
      </c>
      <c r="BE26" s="52">
        <f t="shared" si="33"/>
        <v>1409395.9556502979</v>
      </c>
      <c r="BF26" s="52">
        <f t="shared" si="33"/>
        <v>1409395.9556502979</v>
      </c>
      <c r="BG26" s="52">
        <f t="shared" si="33"/>
        <v>1409395.9556502979</v>
      </c>
      <c r="BH26" s="52">
        <f t="shared" si="33"/>
        <v>1409395.9556502979</v>
      </c>
      <c r="BI26" s="52">
        <f t="shared" si="33"/>
        <v>1409395.9556502979</v>
      </c>
      <c r="BJ26" s="52">
        <f t="shared" si="33"/>
        <v>1409395.9556502979</v>
      </c>
      <c r="BK26" s="52">
        <f t="shared" si="33"/>
        <v>1409395.9556502979</v>
      </c>
      <c r="BL26" s="52">
        <f t="shared" si="33"/>
        <v>1409395.9556502979</v>
      </c>
      <c r="BM26" s="52">
        <f t="shared" si="33"/>
        <v>1409395.9556502979</v>
      </c>
      <c r="BN26" s="52">
        <f t="shared" si="33"/>
        <v>1409395.9556502979</v>
      </c>
      <c r="BO26" s="52">
        <f t="shared" si="33"/>
        <v>1409395.9556502979</v>
      </c>
      <c r="BP26" s="52">
        <f t="shared" si="33"/>
        <v>1409395.9556502979</v>
      </c>
      <c r="BQ26" s="52">
        <f t="shared" si="33"/>
        <v>1409395.9556502979</v>
      </c>
      <c r="BR26" s="52">
        <f t="shared" si="33"/>
        <v>1409395.9556502979</v>
      </c>
      <c r="BS26" s="52">
        <f t="shared" si="33"/>
        <v>1409395.9556502979</v>
      </c>
      <c r="BT26" s="52">
        <f t="shared" si="33"/>
        <v>1409395.9556502979</v>
      </c>
      <c r="BU26" s="52">
        <f t="shared" si="33"/>
        <v>1409395.9556502979</v>
      </c>
      <c r="BV26" s="52">
        <f t="shared" si="33"/>
        <v>1409395.9556502979</v>
      </c>
      <c r="BW26" s="52">
        <f t="shared" si="33"/>
        <v>1409395.9556502979</v>
      </c>
      <c r="BX26" s="52">
        <f t="shared" ref="BX26:CO26" si="34">Equity_EoP*Flag_Financial_Model</f>
        <v>1409395.9556502979</v>
      </c>
      <c r="BY26" s="52">
        <f t="shared" si="34"/>
        <v>1409395.9556502979</v>
      </c>
      <c r="BZ26" s="52">
        <f t="shared" si="34"/>
        <v>1409395.9556502979</v>
      </c>
      <c r="CA26" s="52">
        <f t="shared" si="34"/>
        <v>1409395.9556502979</v>
      </c>
      <c r="CB26" s="52">
        <f t="shared" si="34"/>
        <v>1409395.9556502979</v>
      </c>
      <c r="CC26" s="52">
        <f t="shared" si="34"/>
        <v>1409395.9556502979</v>
      </c>
      <c r="CD26" s="52">
        <f t="shared" si="34"/>
        <v>1409395.9556502979</v>
      </c>
      <c r="CE26" s="52">
        <f t="shared" si="34"/>
        <v>1409395.9556502979</v>
      </c>
      <c r="CF26" s="52">
        <f t="shared" si="34"/>
        <v>1409395.9556502979</v>
      </c>
      <c r="CG26" s="52">
        <f t="shared" si="34"/>
        <v>1409395.9556502979</v>
      </c>
      <c r="CH26" s="52">
        <f t="shared" si="34"/>
        <v>1409395.9556502979</v>
      </c>
      <c r="CI26" s="52">
        <f t="shared" si="34"/>
        <v>1409395.9556502979</v>
      </c>
      <c r="CJ26" s="52">
        <f t="shared" si="34"/>
        <v>1409395.9556502979</v>
      </c>
      <c r="CK26" s="52">
        <f t="shared" si="34"/>
        <v>1409395.9556502979</v>
      </c>
      <c r="CL26" s="52">
        <f t="shared" si="34"/>
        <v>1409395.9556502979</v>
      </c>
      <c r="CM26" s="52">
        <f t="shared" si="34"/>
        <v>1409395.9556502979</v>
      </c>
      <c r="CN26" s="52">
        <f t="shared" si="34"/>
        <v>1409395.9556502979</v>
      </c>
      <c r="CO26" s="52">
        <f t="shared" si="34"/>
        <v>1409395.9556502979</v>
      </c>
    </row>
    <row r="27" spans="1:93" s="133" customFormat="1" ht="14">
      <c r="A27" s="10"/>
      <c r="B27" s="10"/>
      <c r="C27" s="10" t="s">
        <v>553</v>
      </c>
      <c r="D27" s="10"/>
      <c r="E27" s="10"/>
      <c r="F27" s="10"/>
      <c r="G27" s="134" t="str">
        <f>Monetary_Unit</f>
        <v>тыс. руб.</v>
      </c>
      <c r="H27" s="10"/>
      <c r="I27" s="10"/>
      <c r="J27" s="10"/>
      <c r="K27" s="10"/>
      <c r="L27" s="52">
        <f t="shared" ref="L27:BW27" ca="1" si="35">Subord_EoP*Flag_Financial_Model</f>
        <v>0</v>
      </c>
      <c r="M27" s="52">
        <f t="shared" ca="1" si="35"/>
        <v>0</v>
      </c>
      <c r="N27" s="52">
        <f t="shared" ca="1" si="35"/>
        <v>0</v>
      </c>
      <c r="O27" s="52">
        <f t="shared" ca="1" si="35"/>
        <v>0</v>
      </c>
      <c r="P27" s="52">
        <f t="shared" ca="1" si="35"/>
        <v>0</v>
      </c>
      <c r="Q27" s="52">
        <f t="shared" ca="1" si="35"/>
        <v>0</v>
      </c>
      <c r="R27" s="52">
        <f t="shared" ca="1" si="35"/>
        <v>0</v>
      </c>
      <c r="S27" s="52">
        <f t="shared" ca="1" si="35"/>
        <v>0</v>
      </c>
      <c r="T27" s="52">
        <f t="shared" ca="1" si="35"/>
        <v>0</v>
      </c>
      <c r="U27" s="52">
        <f t="shared" ca="1" si="35"/>
        <v>0</v>
      </c>
      <c r="V27" s="52">
        <f t="shared" ca="1" si="35"/>
        <v>0</v>
      </c>
      <c r="W27" s="52">
        <f t="shared" ca="1" si="35"/>
        <v>0</v>
      </c>
      <c r="X27" s="52">
        <f t="shared" ca="1" si="35"/>
        <v>0</v>
      </c>
      <c r="Y27" s="52">
        <f t="shared" ca="1" si="35"/>
        <v>0</v>
      </c>
      <c r="Z27" s="52">
        <f t="shared" ca="1" si="35"/>
        <v>0</v>
      </c>
      <c r="AA27" s="52">
        <f t="shared" ca="1" si="35"/>
        <v>0</v>
      </c>
      <c r="AB27" s="52">
        <f t="shared" ca="1" si="35"/>
        <v>0</v>
      </c>
      <c r="AC27" s="52">
        <f t="shared" ca="1" si="35"/>
        <v>0</v>
      </c>
      <c r="AD27" s="52">
        <f t="shared" ca="1" si="35"/>
        <v>0</v>
      </c>
      <c r="AE27" s="52">
        <f t="shared" ca="1" si="35"/>
        <v>0</v>
      </c>
      <c r="AF27" s="52">
        <f t="shared" ca="1" si="35"/>
        <v>0</v>
      </c>
      <c r="AG27" s="52">
        <f t="shared" ca="1" si="35"/>
        <v>0</v>
      </c>
      <c r="AH27" s="52">
        <f t="shared" ca="1" si="35"/>
        <v>0</v>
      </c>
      <c r="AI27" s="52">
        <f t="shared" ca="1" si="35"/>
        <v>0</v>
      </c>
      <c r="AJ27" s="52">
        <f t="shared" ca="1" si="35"/>
        <v>0</v>
      </c>
      <c r="AK27" s="52">
        <f t="shared" ca="1" si="35"/>
        <v>0</v>
      </c>
      <c r="AL27" s="52">
        <f t="shared" ca="1" si="35"/>
        <v>0</v>
      </c>
      <c r="AM27" s="52">
        <f t="shared" ca="1" si="35"/>
        <v>0</v>
      </c>
      <c r="AN27" s="52">
        <f t="shared" ca="1" si="35"/>
        <v>0</v>
      </c>
      <c r="AO27" s="52">
        <f t="shared" ca="1" si="35"/>
        <v>0</v>
      </c>
      <c r="AP27" s="52">
        <f t="shared" ca="1" si="35"/>
        <v>0</v>
      </c>
      <c r="AQ27" s="52">
        <f t="shared" ca="1" si="35"/>
        <v>0</v>
      </c>
      <c r="AR27" s="52">
        <f t="shared" ca="1" si="35"/>
        <v>0</v>
      </c>
      <c r="AS27" s="52">
        <f t="shared" ca="1" si="35"/>
        <v>0</v>
      </c>
      <c r="AT27" s="52">
        <f t="shared" ca="1" si="35"/>
        <v>0</v>
      </c>
      <c r="AU27" s="52">
        <f t="shared" ca="1" si="35"/>
        <v>0</v>
      </c>
      <c r="AV27" s="52">
        <f t="shared" ca="1" si="35"/>
        <v>0</v>
      </c>
      <c r="AW27" s="52">
        <f t="shared" ca="1" si="35"/>
        <v>0</v>
      </c>
      <c r="AX27" s="52">
        <f t="shared" ca="1" si="35"/>
        <v>0</v>
      </c>
      <c r="AY27" s="52">
        <f t="shared" ca="1" si="35"/>
        <v>0</v>
      </c>
      <c r="AZ27" s="52">
        <f t="shared" ca="1" si="35"/>
        <v>43604.129095403696</v>
      </c>
      <c r="BA27" s="52">
        <f t="shared" ca="1" si="35"/>
        <v>46400.772996403553</v>
      </c>
      <c r="BB27" s="52">
        <f t="shared" ca="1" si="35"/>
        <v>0</v>
      </c>
      <c r="BC27" s="52">
        <f t="shared" ca="1" si="35"/>
        <v>0</v>
      </c>
      <c r="BD27" s="52">
        <f t="shared" ca="1" si="35"/>
        <v>36486.544660320404</v>
      </c>
      <c r="BE27" s="52">
        <f t="shared" ca="1" si="35"/>
        <v>35004.669227923951</v>
      </c>
      <c r="BF27" s="52">
        <f t="shared" ca="1" si="35"/>
        <v>0</v>
      </c>
      <c r="BG27" s="52">
        <f t="shared" ca="1" si="35"/>
        <v>0</v>
      </c>
      <c r="BH27" s="52">
        <f t="shared" ca="1" si="35"/>
        <v>0</v>
      </c>
      <c r="BI27" s="52">
        <f t="shared" ca="1" si="35"/>
        <v>0</v>
      </c>
      <c r="BJ27" s="52">
        <f t="shared" ca="1" si="35"/>
        <v>0</v>
      </c>
      <c r="BK27" s="52">
        <f t="shared" ca="1" si="35"/>
        <v>0</v>
      </c>
      <c r="BL27" s="52">
        <f t="shared" ca="1" si="35"/>
        <v>0</v>
      </c>
      <c r="BM27" s="52">
        <f t="shared" ca="1" si="35"/>
        <v>0</v>
      </c>
      <c r="BN27" s="52">
        <f t="shared" ca="1" si="35"/>
        <v>0</v>
      </c>
      <c r="BO27" s="52">
        <f t="shared" ca="1" si="35"/>
        <v>0</v>
      </c>
      <c r="BP27" s="52">
        <f t="shared" ca="1" si="35"/>
        <v>0</v>
      </c>
      <c r="BQ27" s="52">
        <f t="shared" ca="1" si="35"/>
        <v>0</v>
      </c>
      <c r="BR27" s="52">
        <f t="shared" ca="1" si="35"/>
        <v>0</v>
      </c>
      <c r="BS27" s="52">
        <f t="shared" ca="1" si="35"/>
        <v>0</v>
      </c>
      <c r="BT27" s="52">
        <f t="shared" ca="1" si="35"/>
        <v>0</v>
      </c>
      <c r="BU27" s="52">
        <f t="shared" ca="1" si="35"/>
        <v>0</v>
      </c>
      <c r="BV27" s="52">
        <f t="shared" ca="1" si="35"/>
        <v>0</v>
      </c>
      <c r="BW27" s="52">
        <f t="shared" ca="1" si="35"/>
        <v>0</v>
      </c>
      <c r="BX27" s="52">
        <f t="shared" ref="BX27:CO27" ca="1" si="36">Subord_EoP*Flag_Financial_Model</f>
        <v>0</v>
      </c>
      <c r="BY27" s="52">
        <f t="shared" ca="1" si="36"/>
        <v>0</v>
      </c>
      <c r="BZ27" s="52">
        <f t="shared" ca="1" si="36"/>
        <v>0</v>
      </c>
      <c r="CA27" s="52">
        <f t="shared" ca="1" si="36"/>
        <v>0</v>
      </c>
      <c r="CB27" s="52">
        <f t="shared" ca="1" si="36"/>
        <v>0</v>
      </c>
      <c r="CC27" s="52">
        <f t="shared" ca="1" si="36"/>
        <v>0</v>
      </c>
      <c r="CD27" s="52">
        <f t="shared" ca="1" si="36"/>
        <v>0</v>
      </c>
      <c r="CE27" s="52">
        <f t="shared" ca="1" si="36"/>
        <v>0</v>
      </c>
      <c r="CF27" s="52">
        <f t="shared" ca="1" si="36"/>
        <v>0</v>
      </c>
      <c r="CG27" s="52">
        <f t="shared" ca="1" si="36"/>
        <v>0</v>
      </c>
      <c r="CH27" s="52">
        <f t="shared" ca="1" si="36"/>
        <v>0</v>
      </c>
      <c r="CI27" s="52">
        <f t="shared" ca="1" si="36"/>
        <v>0</v>
      </c>
      <c r="CJ27" s="52">
        <f t="shared" ca="1" si="36"/>
        <v>0</v>
      </c>
      <c r="CK27" s="52">
        <f t="shared" ca="1" si="36"/>
        <v>0</v>
      </c>
      <c r="CL27" s="52">
        <f t="shared" ca="1" si="36"/>
        <v>0</v>
      </c>
      <c r="CM27" s="52">
        <f t="shared" ca="1" si="36"/>
        <v>0</v>
      </c>
      <c r="CN27" s="52">
        <f t="shared" ca="1" si="36"/>
        <v>0</v>
      </c>
      <c r="CO27" s="52">
        <f t="shared" ca="1" si="36"/>
        <v>0</v>
      </c>
    </row>
    <row r="28" spans="1:93" s="133" customFormat="1" ht="14">
      <c r="A28" s="10"/>
      <c r="B28" s="10"/>
      <c r="C28" s="10" t="s">
        <v>74</v>
      </c>
      <c r="D28" s="10"/>
      <c r="E28" s="10"/>
      <c r="F28" s="10"/>
      <c r="G28" s="134" t="str">
        <f>Monetary_Unit</f>
        <v>тыс. руб.</v>
      </c>
      <c r="H28" s="10"/>
      <c r="I28" s="10"/>
      <c r="J28" s="10"/>
      <c r="K28" s="10"/>
      <c r="L28" s="52">
        <f t="shared" ref="L28:AQ28" ca="1" si="37">(K28+L59)*(Flag_Historical+Flag_Financial_Model)</f>
        <v>0</v>
      </c>
      <c r="M28" s="52">
        <f t="shared" ca="1" si="37"/>
        <v>0</v>
      </c>
      <c r="N28" s="52">
        <f t="shared" ca="1" si="37"/>
        <v>0</v>
      </c>
      <c r="O28" s="52">
        <f t="shared" ca="1" si="37"/>
        <v>0</v>
      </c>
      <c r="P28" s="52">
        <f t="shared" ca="1" si="37"/>
        <v>0</v>
      </c>
      <c r="Q28" s="52">
        <f t="shared" ca="1" si="37"/>
        <v>0</v>
      </c>
      <c r="R28" s="52">
        <f t="shared" ca="1" si="37"/>
        <v>0</v>
      </c>
      <c r="S28" s="52">
        <f t="shared" ca="1" si="37"/>
        <v>0</v>
      </c>
      <c r="T28" s="52">
        <f t="shared" ca="1" si="37"/>
        <v>0</v>
      </c>
      <c r="U28" s="52">
        <f t="shared" ca="1" si="37"/>
        <v>0</v>
      </c>
      <c r="V28" s="52">
        <f t="shared" ca="1" si="37"/>
        <v>0</v>
      </c>
      <c r="W28" s="52">
        <f t="shared" ca="1" si="37"/>
        <v>0</v>
      </c>
      <c r="X28" s="52">
        <f t="shared" ca="1" si="37"/>
        <v>0</v>
      </c>
      <c r="Y28" s="52">
        <f t="shared" ca="1" si="37"/>
        <v>0</v>
      </c>
      <c r="Z28" s="52">
        <f t="shared" ca="1" si="37"/>
        <v>0</v>
      </c>
      <c r="AA28" s="52">
        <f t="shared" ca="1" si="37"/>
        <v>0</v>
      </c>
      <c r="AB28" s="52">
        <f t="shared" ca="1" si="37"/>
        <v>0</v>
      </c>
      <c r="AC28" s="52">
        <f t="shared" ca="1" si="37"/>
        <v>0</v>
      </c>
      <c r="AD28" s="52">
        <f t="shared" ca="1" si="37"/>
        <v>0</v>
      </c>
      <c r="AE28" s="52">
        <f t="shared" ca="1" si="37"/>
        <v>0</v>
      </c>
      <c r="AF28" s="52">
        <f t="shared" ca="1" si="37"/>
        <v>0</v>
      </c>
      <c r="AG28" s="52">
        <f t="shared" ca="1" si="37"/>
        <v>0</v>
      </c>
      <c r="AH28" s="52">
        <f t="shared" ca="1" si="37"/>
        <v>0</v>
      </c>
      <c r="AI28" s="52">
        <f t="shared" ca="1" si="37"/>
        <v>0</v>
      </c>
      <c r="AJ28" s="52">
        <f t="shared" ca="1" si="37"/>
        <v>0</v>
      </c>
      <c r="AK28" s="52">
        <f t="shared" ca="1" si="37"/>
        <v>0</v>
      </c>
      <c r="AL28" s="52">
        <f t="shared" ca="1" si="37"/>
        <v>0</v>
      </c>
      <c r="AM28" s="52">
        <f t="shared" ca="1" si="37"/>
        <v>0</v>
      </c>
      <c r="AN28" s="52">
        <f t="shared" ca="1" si="37"/>
        <v>0</v>
      </c>
      <c r="AO28" s="52">
        <f t="shared" ca="1" si="37"/>
        <v>49479.974684611865</v>
      </c>
      <c r="AP28" s="52">
        <f t="shared" ca="1" si="37"/>
        <v>194410.86207197557</v>
      </c>
      <c r="AQ28" s="52">
        <f t="shared" ca="1" si="37"/>
        <v>148394.14284501685</v>
      </c>
      <c r="AR28" s="52">
        <f t="shared" ref="AR28:BW28" ca="1" si="38">(AQ28+AR59)*(Flag_Historical+Flag_Financial_Model)</f>
        <v>192551.76750774897</v>
      </c>
      <c r="AS28" s="52">
        <f t="shared" ca="1" si="38"/>
        <v>352648.42334295175</v>
      </c>
      <c r="AT28" s="52">
        <f t="shared" ca="1" si="38"/>
        <v>508253.23543216987</v>
      </c>
      <c r="AU28" s="52">
        <f t="shared" ca="1" si="38"/>
        <v>465763.46524453099</v>
      </c>
      <c r="AV28" s="52">
        <f t="shared" ca="1" si="38"/>
        <v>517045.68884644064</v>
      </c>
      <c r="AW28" s="52">
        <f t="shared" ca="1" si="38"/>
        <v>515374.02819786733</v>
      </c>
      <c r="AX28" s="52">
        <f t="shared" ca="1" si="38"/>
        <v>590528.81751775835</v>
      </c>
      <c r="AY28" s="52">
        <f t="shared" ca="1" si="38"/>
        <v>632504.25647196267</v>
      </c>
      <c r="AZ28" s="52">
        <f t="shared" ca="1" si="38"/>
        <v>679492.99345390499</v>
      </c>
      <c r="BA28" s="52">
        <f t="shared" ca="1" si="38"/>
        <v>800876.08258337888</v>
      </c>
      <c r="BB28" s="52">
        <f t="shared" ca="1" si="38"/>
        <v>964200.81235879892</v>
      </c>
      <c r="BC28" s="52">
        <f t="shared" ca="1" si="38"/>
        <v>1013560.1613276677</v>
      </c>
      <c r="BD28" s="52">
        <f t="shared" ca="1" si="38"/>
        <v>1076271.7545685649</v>
      </c>
      <c r="BE28" s="52">
        <f t="shared" ca="1" si="38"/>
        <v>1254552.361476304</v>
      </c>
      <c r="BF28" s="52">
        <f t="shared" ca="1" si="38"/>
        <v>1458267.9717067187</v>
      </c>
      <c r="BG28" s="52">
        <f t="shared" ca="1" si="38"/>
        <v>1556745.1396908385</v>
      </c>
      <c r="BH28" s="52">
        <f t="shared" ca="1" si="38"/>
        <v>1523433.353927654</v>
      </c>
      <c r="BI28" s="52">
        <f t="shared" ca="1" si="38"/>
        <v>1524087.8624651004</v>
      </c>
      <c r="BJ28" s="52">
        <f t="shared" ca="1" si="38"/>
        <v>1514460.4129654395</v>
      </c>
      <c r="BK28" s="52">
        <f t="shared" ca="1" si="38"/>
        <v>1429189.5245420209</v>
      </c>
      <c r="BL28" s="52">
        <f t="shared" ca="1" si="38"/>
        <v>1395847.8878982991</v>
      </c>
      <c r="BM28" s="52">
        <f t="shared" ca="1" si="38"/>
        <v>1397831.2291092249</v>
      </c>
      <c r="BN28" s="52">
        <f t="shared" ca="1" si="38"/>
        <v>1389121.3339615583</v>
      </c>
      <c r="BO28" s="52">
        <f t="shared" ca="1" si="38"/>
        <v>1301742.2623331847</v>
      </c>
      <c r="BP28" s="52">
        <f t="shared" ca="1" si="38"/>
        <v>1268369.6125556952</v>
      </c>
      <c r="BQ28" s="52">
        <f t="shared" ca="1" si="38"/>
        <v>1271734.9397470392</v>
      </c>
      <c r="BR28" s="52">
        <f t="shared" ca="1" si="38"/>
        <v>1263979.3011254475</v>
      </c>
      <c r="BS28" s="52">
        <f t="shared" ca="1" si="38"/>
        <v>1174407.7189639199</v>
      </c>
      <c r="BT28" s="52">
        <f t="shared" ca="1" si="38"/>
        <v>1140268.7884935704</v>
      </c>
      <c r="BU28" s="52">
        <f t="shared" ca="1" si="38"/>
        <v>1145805.37514425</v>
      </c>
      <c r="BV28" s="52">
        <f t="shared" ca="1" si="38"/>
        <v>1139042.1609022254</v>
      </c>
      <c r="BW28" s="52">
        <f t="shared" ca="1" si="38"/>
        <v>1047190.3674373918</v>
      </c>
      <c r="BX28" s="52">
        <f t="shared" ref="BX28:CO28" ca="1" si="39">(BW28+BX59)*(Flag_Historical+Flag_Financial_Model)</f>
        <v>1013751.9559457185</v>
      </c>
      <c r="BY28" s="52">
        <f t="shared" ca="1" si="39"/>
        <v>1020049.3045931177</v>
      </c>
      <c r="BZ28" s="52">
        <f t="shared" ca="1" si="39"/>
        <v>1014318.2166172457</v>
      </c>
      <c r="CA28" s="52">
        <f t="shared" ca="1" si="39"/>
        <v>920095.00410857925</v>
      </c>
      <c r="CB28" s="52">
        <f t="shared" ca="1" si="39"/>
        <v>886621.67130878603</v>
      </c>
      <c r="CC28" s="52">
        <f t="shared" ca="1" si="39"/>
        <v>894473.56623406231</v>
      </c>
      <c r="CD28" s="52">
        <f t="shared" ca="1" si="39"/>
        <v>889815.8870711365</v>
      </c>
      <c r="CE28" s="52">
        <f t="shared" ca="1" si="39"/>
        <v>793126.39839410514</v>
      </c>
      <c r="CF28" s="52">
        <f t="shared" ca="1" si="39"/>
        <v>759616.78461430117</v>
      </c>
      <c r="CG28" s="52">
        <f t="shared" ca="1" si="39"/>
        <v>769085.40766857006</v>
      </c>
      <c r="CH28" s="52">
        <f t="shared" ca="1" si="39"/>
        <v>765544.07367110881</v>
      </c>
      <c r="CI28" s="52">
        <f t="shared" ca="1" si="39"/>
        <v>666289.6577789766</v>
      </c>
      <c r="CJ28" s="52">
        <f t="shared" ca="1" si="39"/>
        <v>631883.60397126782</v>
      </c>
      <c r="CK28" s="52">
        <f t="shared" ca="1" si="39"/>
        <v>643892.29349002149</v>
      </c>
      <c r="CL28" s="52">
        <f t="shared" ca="1" si="39"/>
        <v>641511.95564814948</v>
      </c>
      <c r="CM28" s="52">
        <f t="shared" ca="1" si="39"/>
        <v>539590.01504423621</v>
      </c>
      <c r="CN28" s="52">
        <f t="shared" ca="1" si="39"/>
        <v>506003.46936017415</v>
      </c>
      <c r="CO28" s="52">
        <f t="shared" ca="1" si="39"/>
        <v>518902.14281291328</v>
      </c>
    </row>
    <row r="29" spans="1:93" s="133" customFormat="1" ht="14">
      <c r="A29" s="10"/>
      <c r="B29" s="10"/>
      <c r="C29" s="10"/>
      <c r="D29" s="10"/>
      <c r="E29" s="10"/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s="133" customFormat="1" ht="14">
      <c r="A30" s="10"/>
      <c r="B30" s="130" t="s">
        <v>75</v>
      </c>
      <c r="C30" s="35" t="s">
        <v>76</v>
      </c>
      <c r="D30" s="130"/>
      <c r="E30" s="130"/>
      <c r="F30" s="130"/>
      <c r="G30" s="131" t="str">
        <f>Monetary_Unit</f>
        <v>тыс. руб.</v>
      </c>
      <c r="H30" s="130"/>
      <c r="I30" s="10"/>
      <c r="J30" s="10"/>
      <c r="K30" s="10"/>
      <c r="L30" s="132">
        <f t="shared" ref="L30:AQ30" si="40">SUM(L31:L31)</f>
        <v>0</v>
      </c>
      <c r="M30" s="132">
        <f t="shared" si="40"/>
        <v>0</v>
      </c>
      <c r="N30" s="132">
        <f t="shared" si="40"/>
        <v>0</v>
      </c>
      <c r="O30" s="132">
        <f t="shared" si="40"/>
        <v>0</v>
      </c>
      <c r="P30" s="132">
        <f t="shared" si="40"/>
        <v>0</v>
      </c>
      <c r="Q30" s="132">
        <f t="shared" si="40"/>
        <v>0</v>
      </c>
      <c r="R30" s="132">
        <f t="shared" si="40"/>
        <v>0</v>
      </c>
      <c r="S30" s="132">
        <f t="shared" si="40"/>
        <v>93075.219462963287</v>
      </c>
      <c r="T30" s="132">
        <f t="shared" si="40"/>
        <v>379690.34390327823</v>
      </c>
      <c r="U30" s="132">
        <f t="shared" si="40"/>
        <v>669129.60368778696</v>
      </c>
      <c r="V30" s="132">
        <f t="shared" si="40"/>
        <v>961420.82617018488</v>
      </c>
      <c r="W30" s="132">
        <f t="shared" si="40"/>
        <v>1256592.112898397</v>
      </c>
      <c r="X30" s="132">
        <f t="shared" si="40"/>
        <v>1879104.5142084088</v>
      </c>
      <c r="Y30" s="132">
        <f t="shared" si="40"/>
        <v>2507750.7832903028</v>
      </c>
      <c r="Z30" s="132">
        <f t="shared" si="40"/>
        <v>3142591.3596369531</v>
      </c>
      <c r="AA30" s="132">
        <f t="shared" si="40"/>
        <v>3783687.2782761287</v>
      </c>
      <c r="AB30" s="132">
        <f t="shared" si="40"/>
        <v>4616063.5245886445</v>
      </c>
      <c r="AC30" s="132">
        <f t="shared" si="40"/>
        <v>4495805.9500073316</v>
      </c>
      <c r="AD30" s="132">
        <f t="shared" si="40"/>
        <v>4374168.0381170874</v>
      </c>
      <c r="AE30" s="132">
        <f t="shared" si="40"/>
        <v>4250828.5281117735</v>
      </c>
      <c r="AF30" s="132">
        <f t="shared" si="40"/>
        <v>4125222.4499160405</v>
      </c>
      <c r="AG30" s="132">
        <f t="shared" si="40"/>
        <v>3998161.2541356659</v>
      </c>
      <c r="AH30" s="132">
        <f t="shared" si="40"/>
        <v>3869598.1264479118</v>
      </c>
      <c r="AI30" s="132">
        <f t="shared" si="40"/>
        <v>3739236.5234453464</v>
      </c>
      <c r="AJ30" s="132">
        <f t="shared" si="40"/>
        <v>3606568.3681428847</v>
      </c>
      <c r="AK30" s="132">
        <f t="shared" si="40"/>
        <v>3472318.4487806205</v>
      </c>
      <c r="AL30" s="132">
        <f t="shared" si="40"/>
        <v>3336436.3859030483</v>
      </c>
      <c r="AM30" s="132">
        <f t="shared" si="40"/>
        <v>3198653.462726674</v>
      </c>
      <c r="AN30" s="132">
        <f t="shared" si="40"/>
        <v>3058682.3180184551</v>
      </c>
      <c r="AO30" s="132">
        <f t="shared" si="40"/>
        <v>2916779.6856331495</v>
      </c>
      <c r="AP30" s="132">
        <f t="shared" si="40"/>
        <v>2773109.6477034264</v>
      </c>
      <c r="AQ30" s="132">
        <f t="shared" si="40"/>
        <v>2627435.2942976062</v>
      </c>
      <c r="AR30" s="132">
        <f t="shared" ref="AR30:BW30" si="41">SUM(AR31:AR31)</f>
        <v>2479426.5311982608</v>
      </c>
      <c r="AS30" s="132">
        <f t="shared" si="41"/>
        <v>2329555.4519931669</v>
      </c>
      <c r="AT30" s="132">
        <f t="shared" si="41"/>
        <v>2177763.7585033504</v>
      </c>
      <c r="AU30" s="132">
        <f t="shared" si="41"/>
        <v>2023848.643856613</v>
      </c>
      <c r="AV30" s="132">
        <f t="shared" si="41"/>
        <v>1867515.0379988309</v>
      </c>
      <c r="AW30" s="132">
        <f t="shared" si="41"/>
        <v>1709164.0640122641</v>
      </c>
      <c r="AX30" s="132">
        <f t="shared" si="41"/>
        <v>1548733.0365677271</v>
      </c>
      <c r="AY30" s="132">
        <f t="shared" si="41"/>
        <v>1386057.7315221743</v>
      </c>
      <c r="AZ30" s="132">
        <f t="shared" si="41"/>
        <v>1220929.9150941351</v>
      </c>
      <c r="BA30" s="132">
        <f t="shared" si="41"/>
        <v>1053619.0083958807</v>
      </c>
      <c r="BB30" s="132">
        <f t="shared" si="41"/>
        <v>884057.62976388773</v>
      </c>
      <c r="BC30" s="132">
        <f t="shared" si="41"/>
        <v>712124.24751105381</v>
      </c>
      <c r="BD30" s="132">
        <f t="shared" si="41"/>
        <v>537736.13931138162</v>
      </c>
      <c r="BE30" s="132">
        <f t="shared" si="41"/>
        <v>360941.61383031344</v>
      </c>
      <c r="BF30" s="132">
        <f t="shared" si="41"/>
        <v>181720.95747018265</v>
      </c>
      <c r="BG30" s="132">
        <f t="shared" si="41"/>
        <v>0</v>
      </c>
      <c r="BH30" s="132">
        <f t="shared" si="41"/>
        <v>0</v>
      </c>
      <c r="BI30" s="132">
        <f t="shared" si="41"/>
        <v>0</v>
      </c>
      <c r="BJ30" s="132">
        <f t="shared" si="41"/>
        <v>0</v>
      </c>
      <c r="BK30" s="132">
        <f t="shared" si="41"/>
        <v>0</v>
      </c>
      <c r="BL30" s="132">
        <f t="shared" si="41"/>
        <v>0</v>
      </c>
      <c r="BM30" s="132">
        <f t="shared" si="41"/>
        <v>0</v>
      </c>
      <c r="BN30" s="132">
        <f t="shared" si="41"/>
        <v>0</v>
      </c>
      <c r="BO30" s="132">
        <f t="shared" si="41"/>
        <v>0</v>
      </c>
      <c r="BP30" s="132">
        <f t="shared" si="41"/>
        <v>0</v>
      </c>
      <c r="BQ30" s="132">
        <f t="shared" si="41"/>
        <v>0</v>
      </c>
      <c r="BR30" s="132">
        <f t="shared" si="41"/>
        <v>0</v>
      </c>
      <c r="BS30" s="132">
        <f t="shared" si="41"/>
        <v>0</v>
      </c>
      <c r="BT30" s="132">
        <f t="shared" si="41"/>
        <v>0</v>
      </c>
      <c r="BU30" s="132">
        <f t="shared" si="41"/>
        <v>0</v>
      </c>
      <c r="BV30" s="132">
        <f t="shared" si="41"/>
        <v>0</v>
      </c>
      <c r="BW30" s="132">
        <f t="shared" si="41"/>
        <v>0</v>
      </c>
      <c r="BX30" s="132">
        <f t="shared" ref="BX30:CO30" si="42">SUM(BX31:BX31)</f>
        <v>0</v>
      </c>
      <c r="BY30" s="132">
        <f t="shared" si="42"/>
        <v>0</v>
      </c>
      <c r="BZ30" s="132">
        <f t="shared" si="42"/>
        <v>0</v>
      </c>
      <c r="CA30" s="132">
        <f t="shared" si="42"/>
        <v>0</v>
      </c>
      <c r="CB30" s="132">
        <f t="shared" si="42"/>
        <v>0</v>
      </c>
      <c r="CC30" s="132">
        <f t="shared" si="42"/>
        <v>0</v>
      </c>
      <c r="CD30" s="132">
        <f t="shared" si="42"/>
        <v>0</v>
      </c>
      <c r="CE30" s="132">
        <f t="shared" si="42"/>
        <v>0</v>
      </c>
      <c r="CF30" s="132">
        <f t="shared" si="42"/>
        <v>0</v>
      </c>
      <c r="CG30" s="132">
        <f t="shared" si="42"/>
        <v>0</v>
      </c>
      <c r="CH30" s="132">
        <f t="shared" si="42"/>
        <v>0</v>
      </c>
      <c r="CI30" s="132">
        <f t="shared" si="42"/>
        <v>0</v>
      </c>
      <c r="CJ30" s="132">
        <f t="shared" si="42"/>
        <v>0</v>
      </c>
      <c r="CK30" s="132">
        <f t="shared" si="42"/>
        <v>0</v>
      </c>
      <c r="CL30" s="132">
        <f t="shared" si="42"/>
        <v>0</v>
      </c>
      <c r="CM30" s="132">
        <f t="shared" si="42"/>
        <v>0</v>
      </c>
      <c r="CN30" s="132">
        <f t="shared" si="42"/>
        <v>0</v>
      </c>
      <c r="CO30" s="132">
        <f t="shared" si="42"/>
        <v>0</v>
      </c>
    </row>
    <row r="31" spans="1:93" s="133" customFormat="1" ht="14">
      <c r="A31" s="10"/>
      <c r="B31" s="10"/>
      <c r="C31" s="10" t="s">
        <v>539</v>
      </c>
      <c r="D31" s="10"/>
      <c r="E31" s="10"/>
      <c r="F31" s="10"/>
      <c r="G31" s="134" t="str">
        <f>Monetary_Unit</f>
        <v>тыс. руб.</v>
      </c>
      <c r="H31" s="10"/>
      <c r="I31" s="10"/>
      <c r="J31" s="10"/>
      <c r="K31" s="10"/>
      <c r="L31" s="10">
        <f t="shared" ref="L31:AQ31" si="43">Debt_EoP*(ABS(Debt_EoP)&gt;Accuracy)*Flag_Financial_Model</f>
        <v>0</v>
      </c>
      <c r="M31" s="10">
        <f t="shared" si="43"/>
        <v>0</v>
      </c>
      <c r="N31" s="10">
        <f t="shared" si="43"/>
        <v>0</v>
      </c>
      <c r="O31" s="10">
        <f t="shared" si="43"/>
        <v>0</v>
      </c>
      <c r="P31" s="10">
        <f t="shared" si="43"/>
        <v>0</v>
      </c>
      <c r="Q31" s="10">
        <f t="shared" si="43"/>
        <v>0</v>
      </c>
      <c r="R31" s="10">
        <f t="shared" si="43"/>
        <v>0</v>
      </c>
      <c r="S31" s="10">
        <f t="shared" si="43"/>
        <v>93075.219462963287</v>
      </c>
      <c r="T31" s="10">
        <f t="shared" si="43"/>
        <v>379690.34390327823</v>
      </c>
      <c r="U31" s="10">
        <f t="shared" si="43"/>
        <v>669129.60368778696</v>
      </c>
      <c r="V31" s="10">
        <f t="shared" si="43"/>
        <v>961420.82617018488</v>
      </c>
      <c r="W31" s="10">
        <f t="shared" si="43"/>
        <v>1256592.112898397</v>
      </c>
      <c r="X31" s="10">
        <f t="shared" si="43"/>
        <v>1879104.5142084088</v>
      </c>
      <c r="Y31" s="10">
        <f t="shared" si="43"/>
        <v>2507750.7832903028</v>
      </c>
      <c r="Z31" s="10">
        <f t="shared" si="43"/>
        <v>3142591.3596369531</v>
      </c>
      <c r="AA31" s="10">
        <f t="shared" si="43"/>
        <v>3783687.2782761287</v>
      </c>
      <c r="AB31" s="10">
        <f t="shared" si="43"/>
        <v>4616063.5245886445</v>
      </c>
      <c r="AC31" s="10">
        <f t="shared" si="43"/>
        <v>4495805.9500073316</v>
      </c>
      <c r="AD31" s="10">
        <f t="shared" si="43"/>
        <v>4374168.0381170874</v>
      </c>
      <c r="AE31" s="10">
        <f t="shared" si="43"/>
        <v>4250828.5281117735</v>
      </c>
      <c r="AF31" s="10">
        <f t="shared" si="43"/>
        <v>4125222.4499160405</v>
      </c>
      <c r="AG31" s="10">
        <f t="shared" si="43"/>
        <v>3998161.2541356659</v>
      </c>
      <c r="AH31" s="10">
        <f t="shared" si="43"/>
        <v>3869598.1264479118</v>
      </c>
      <c r="AI31" s="10">
        <f t="shared" si="43"/>
        <v>3739236.5234453464</v>
      </c>
      <c r="AJ31" s="10">
        <f t="shared" si="43"/>
        <v>3606568.3681428847</v>
      </c>
      <c r="AK31" s="10">
        <f t="shared" si="43"/>
        <v>3472318.4487806205</v>
      </c>
      <c r="AL31" s="10">
        <f t="shared" si="43"/>
        <v>3336436.3859030483</v>
      </c>
      <c r="AM31" s="10">
        <f t="shared" si="43"/>
        <v>3198653.462726674</v>
      </c>
      <c r="AN31" s="10">
        <f t="shared" si="43"/>
        <v>3058682.3180184551</v>
      </c>
      <c r="AO31" s="10">
        <f t="shared" si="43"/>
        <v>2916779.6856331495</v>
      </c>
      <c r="AP31" s="10">
        <f t="shared" si="43"/>
        <v>2773109.6477034264</v>
      </c>
      <c r="AQ31" s="10">
        <f t="shared" si="43"/>
        <v>2627435.2942976062</v>
      </c>
      <c r="AR31" s="10">
        <f t="shared" ref="AR31:BW31" si="44">Debt_EoP*(ABS(Debt_EoP)&gt;Accuracy)*Flag_Financial_Model</f>
        <v>2479426.5311982608</v>
      </c>
      <c r="AS31" s="10">
        <f t="shared" si="44"/>
        <v>2329555.4519931669</v>
      </c>
      <c r="AT31" s="10">
        <f t="shared" si="44"/>
        <v>2177763.7585033504</v>
      </c>
      <c r="AU31" s="10">
        <f t="shared" si="44"/>
        <v>2023848.643856613</v>
      </c>
      <c r="AV31" s="10">
        <f t="shared" si="44"/>
        <v>1867515.0379988309</v>
      </c>
      <c r="AW31" s="10">
        <f t="shared" si="44"/>
        <v>1709164.0640122641</v>
      </c>
      <c r="AX31" s="10">
        <f t="shared" si="44"/>
        <v>1548733.0365677271</v>
      </c>
      <c r="AY31" s="10">
        <f t="shared" si="44"/>
        <v>1386057.7315221743</v>
      </c>
      <c r="AZ31" s="10">
        <f t="shared" si="44"/>
        <v>1220929.9150941351</v>
      </c>
      <c r="BA31" s="10">
        <f t="shared" si="44"/>
        <v>1053619.0083958807</v>
      </c>
      <c r="BB31" s="10">
        <f t="shared" si="44"/>
        <v>884057.62976388773</v>
      </c>
      <c r="BC31" s="10">
        <f t="shared" si="44"/>
        <v>712124.24751105381</v>
      </c>
      <c r="BD31" s="10">
        <f t="shared" si="44"/>
        <v>537736.13931138162</v>
      </c>
      <c r="BE31" s="10">
        <f t="shared" si="44"/>
        <v>360941.61383031344</v>
      </c>
      <c r="BF31" s="10">
        <f t="shared" si="44"/>
        <v>181720.95747018265</v>
      </c>
      <c r="BG31" s="10">
        <f t="shared" si="44"/>
        <v>0</v>
      </c>
      <c r="BH31" s="10">
        <f t="shared" si="44"/>
        <v>0</v>
      </c>
      <c r="BI31" s="10">
        <f t="shared" si="44"/>
        <v>0</v>
      </c>
      <c r="BJ31" s="10">
        <f t="shared" si="44"/>
        <v>0</v>
      </c>
      <c r="BK31" s="10">
        <f t="shared" si="44"/>
        <v>0</v>
      </c>
      <c r="BL31" s="10">
        <f t="shared" si="44"/>
        <v>0</v>
      </c>
      <c r="BM31" s="10">
        <f t="shared" si="44"/>
        <v>0</v>
      </c>
      <c r="BN31" s="10">
        <f t="shared" si="44"/>
        <v>0</v>
      </c>
      <c r="BO31" s="10">
        <f t="shared" si="44"/>
        <v>0</v>
      </c>
      <c r="BP31" s="10">
        <f t="shared" si="44"/>
        <v>0</v>
      </c>
      <c r="BQ31" s="10">
        <f t="shared" si="44"/>
        <v>0</v>
      </c>
      <c r="BR31" s="10">
        <f t="shared" si="44"/>
        <v>0</v>
      </c>
      <c r="BS31" s="10">
        <f t="shared" si="44"/>
        <v>0</v>
      </c>
      <c r="BT31" s="10">
        <f t="shared" si="44"/>
        <v>0</v>
      </c>
      <c r="BU31" s="10">
        <f t="shared" si="44"/>
        <v>0</v>
      </c>
      <c r="BV31" s="10">
        <f t="shared" si="44"/>
        <v>0</v>
      </c>
      <c r="BW31" s="10">
        <f t="shared" si="44"/>
        <v>0</v>
      </c>
      <c r="BX31" s="10">
        <f t="shared" ref="BX31:CO31" si="45">Debt_EoP*(ABS(Debt_EoP)&gt;Accuracy)*Flag_Financial_Model</f>
        <v>0</v>
      </c>
      <c r="BY31" s="10">
        <f t="shared" si="45"/>
        <v>0</v>
      </c>
      <c r="BZ31" s="10">
        <f t="shared" si="45"/>
        <v>0</v>
      </c>
      <c r="CA31" s="10">
        <f t="shared" si="45"/>
        <v>0</v>
      </c>
      <c r="CB31" s="10">
        <f t="shared" si="45"/>
        <v>0</v>
      </c>
      <c r="CC31" s="10">
        <f t="shared" si="45"/>
        <v>0</v>
      </c>
      <c r="CD31" s="10">
        <f t="shared" si="45"/>
        <v>0</v>
      </c>
      <c r="CE31" s="10">
        <f t="shared" si="45"/>
        <v>0</v>
      </c>
      <c r="CF31" s="10">
        <f t="shared" si="45"/>
        <v>0</v>
      </c>
      <c r="CG31" s="10">
        <f t="shared" si="45"/>
        <v>0</v>
      </c>
      <c r="CH31" s="10">
        <f t="shared" si="45"/>
        <v>0</v>
      </c>
      <c r="CI31" s="10">
        <f t="shared" si="45"/>
        <v>0</v>
      </c>
      <c r="CJ31" s="10">
        <f t="shared" si="45"/>
        <v>0</v>
      </c>
      <c r="CK31" s="10">
        <f t="shared" si="45"/>
        <v>0</v>
      </c>
      <c r="CL31" s="10">
        <f t="shared" si="45"/>
        <v>0</v>
      </c>
      <c r="CM31" s="10">
        <f t="shared" si="45"/>
        <v>0</v>
      </c>
      <c r="CN31" s="10">
        <f t="shared" si="45"/>
        <v>0</v>
      </c>
      <c r="CO31" s="10">
        <f t="shared" si="45"/>
        <v>0</v>
      </c>
    </row>
    <row r="32" spans="1:93" s="133" customFormat="1" ht="14">
      <c r="A32" s="10"/>
      <c r="B32" s="10"/>
      <c r="C32" s="10"/>
      <c r="D32" s="10"/>
      <c r="E32" s="10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</row>
    <row r="33" spans="1:93" s="133" customFormat="1" ht="14">
      <c r="A33" s="10"/>
      <c r="B33" s="130" t="s">
        <v>77</v>
      </c>
      <c r="C33" s="35" t="s">
        <v>78</v>
      </c>
      <c r="D33" s="130"/>
      <c r="E33" s="130"/>
      <c r="F33" s="130"/>
      <c r="G33" s="131" t="str">
        <f>Monetary_Unit</f>
        <v>тыс. руб.</v>
      </c>
      <c r="H33" s="130"/>
      <c r="I33" s="10"/>
      <c r="J33" s="10"/>
      <c r="K33" s="10"/>
      <c r="L33" s="132">
        <f ca="1">SUM(L34:L35)</f>
        <v>0</v>
      </c>
      <c r="M33" s="132">
        <f t="shared" ref="M33:BX33" ca="1" si="46">SUM(M34:M35)</f>
        <v>0</v>
      </c>
      <c r="N33" s="132">
        <f t="shared" ca="1" si="46"/>
        <v>0</v>
      </c>
      <c r="O33" s="132">
        <f t="shared" ca="1" si="46"/>
        <v>0</v>
      </c>
      <c r="P33" s="132">
        <f t="shared" ca="1" si="46"/>
        <v>0</v>
      </c>
      <c r="Q33" s="132">
        <f t="shared" ca="1" si="46"/>
        <v>0</v>
      </c>
      <c r="R33" s="132">
        <f t="shared" ca="1" si="46"/>
        <v>0</v>
      </c>
      <c r="S33" s="132">
        <f t="shared" ca="1" si="46"/>
        <v>0</v>
      </c>
      <c r="T33" s="132">
        <f t="shared" ca="1" si="46"/>
        <v>0</v>
      </c>
      <c r="U33" s="132">
        <f t="shared" ca="1" si="46"/>
        <v>0</v>
      </c>
      <c r="V33" s="132">
        <f t="shared" ca="1" si="46"/>
        <v>0</v>
      </c>
      <c r="W33" s="132">
        <f t="shared" ca="1" si="46"/>
        <v>0</v>
      </c>
      <c r="X33" s="132">
        <f t="shared" ca="1" si="46"/>
        <v>0</v>
      </c>
      <c r="Y33" s="132">
        <f t="shared" ca="1" si="46"/>
        <v>0</v>
      </c>
      <c r="Z33" s="132">
        <f t="shared" ca="1" si="46"/>
        <v>0</v>
      </c>
      <c r="AA33" s="132">
        <f t="shared" ca="1" si="46"/>
        <v>0</v>
      </c>
      <c r="AB33" s="132">
        <f t="shared" ca="1" si="46"/>
        <v>0</v>
      </c>
      <c r="AC33" s="132">
        <f t="shared" ca="1" si="46"/>
        <v>167323.20061524137</v>
      </c>
      <c r="AD33" s="132">
        <f t="shared" ca="1" si="46"/>
        <v>215331.60852366302</v>
      </c>
      <c r="AE33" s="132">
        <f t="shared" ca="1" si="46"/>
        <v>127615.50634352025</v>
      </c>
      <c r="AF33" s="132">
        <f t="shared" ca="1" si="46"/>
        <v>128019.6682052103</v>
      </c>
      <c r="AG33" s="132">
        <f t="shared" ca="1" si="46"/>
        <v>199779.30003197613</v>
      </c>
      <c r="AH33" s="132">
        <f t="shared" ca="1" si="46"/>
        <v>255920.44725341379</v>
      </c>
      <c r="AI33" s="132">
        <f t="shared" ca="1" si="46"/>
        <v>151010.21389602218</v>
      </c>
      <c r="AJ33" s="132">
        <f t="shared" ca="1" si="46"/>
        <v>150876.76272886811</v>
      </c>
      <c r="AK33" s="132">
        <f t="shared" ca="1" si="46"/>
        <v>234564.17028106551</v>
      </c>
      <c r="AL33" s="132">
        <f t="shared" ca="1" si="46"/>
        <v>299411.86250790674</v>
      </c>
      <c r="AM33" s="132">
        <f t="shared" ca="1" si="46"/>
        <v>176072.31324257434</v>
      </c>
      <c r="AN33" s="132">
        <f t="shared" ca="1" si="46"/>
        <v>175357.25762855168</v>
      </c>
      <c r="AO33" s="132">
        <f t="shared" ca="1" si="46"/>
        <v>271811.84424533858</v>
      </c>
      <c r="AP33" s="132">
        <f t="shared" ca="1" si="46"/>
        <v>337326.5805871808</v>
      </c>
      <c r="AQ33" s="132">
        <f t="shared" ca="1" si="46"/>
        <v>193006.13924474327</v>
      </c>
      <c r="AR33" s="132">
        <f t="shared" ca="1" si="46"/>
        <v>187167.79470699106</v>
      </c>
      <c r="AS33" s="132">
        <f t="shared" ca="1" si="46"/>
        <v>282684.67060083186</v>
      </c>
      <c r="AT33" s="132">
        <f t="shared" ca="1" si="46"/>
        <v>350819.99987051764</v>
      </c>
      <c r="AU33" s="132">
        <f t="shared" ca="1" si="46"/>
        <v>200726.74438278505</v>
      </c>
      <c r="AV33" s="132">
        <f t="shared" ca="1" si="46"/>
        <v>194654.50649527053</v>
      </c>
      <c r="AW33" s="132">
        <f t="shared" ca="1" si="46"/>
        <v>337959.348795072</v>
      </c>
      <c r="AX33" s="132">
        <f t="shared" ca="1" si="46"/>
        <v>460019.61530663882</v>
      </c>
      <c r="AY33" s="132">
        <f t="shared" ca="1" si="46"/>
        <v>263167.14303431404</v>
      </c>
      <c r="AZ33" s="132">
        <f t="shared" ca="1" si="46"/>
        <v>253995.74692596402</v>
      </c>
      <c r="BA33" s="132">
        <f t="shared" ca="1" si="46"/>
        <v>384573.76109249296</v>
      </c>
      <c r="BB33" s="132">
        <f t="shared" ca="1" si="46"/>
        <v>478420.39991890441</v>
      </c>
      <c r="BC33" s="132">
        <f t="shared" ca="1" si="46"/>
        <v>273693.82875568664</v>
      </c>
      <c r="BD33" s="132">
        <f t="shared" ca="1" si="46"/>
        <v>264782.76436037396</v>
      </c>
      <c r="BE33" s="132">
        <f t="shared" ca="1" si="46"/>
        <v>399956.47533234512</v>
      </c>
      <c r="BF33" s="132">
        <f t="shared" ca="1" si="46"/>
        <v>497556.97916448448</v>
      </c>
      <c r="BG33" s="132">
        <f t="shared" ca="1" si="46"/>
        <v>284641.34282193257</v>
      </c>
      <c r="BH33" s="132">
        <f t="shared" ca="1" si="46"/>
        <v>274721.79987512249</v>
      </c>
      <c r="BI33" s="132">
        <f t="shared" ca="1" si="46"/>
        <v>415954.97999764036</v>
      </c>
      <c r="BJ33" s="132">
        <f t="shared" ca="1" si="46"/>
        <v>517459.5045522867</v>
      </c>
      <c r="BK33" s="132">
        <f t="shared" ca="1" si="46"/>
        <v>296027.24518215063</v>
      </c>
      <c r="BL33" s="132">
        <f t="shared" ca="1" si="46"/>
        <v>285710.67187012755</v>
      </c>
      <c r="BM33" s="132">
        <f t="shared" ca="1" si="46"/>
        <v>432593.17919754586</v>
      </c>
      <c r="BN33" s="132">
        <f t="shared" ca="1" si="46"/>
        <v>538157.88473437843</v>
      </c>
      <c r="BO33" s="132">
        <f t="shared" ca="1" si="46"/>
        <v>307868.33498943644</v>
      </c>
      <c r="BP33" s="132">
        <f t="shared" ca="1" si="46"/>
        <v>297139.09874493256</v>
      </c>
      <c r="BQ33" s="132">
        <f t="shared" ca="1" si="46"/>
        <v>449896.90636544756</v>
      </c>
      <c r="BR33" s="132">
        <f t="shared" ca="1" si="46"/>
        <v>559684.20012375317</v>
      </c>
      <c r="BS33" s="132">
        <f t="shared" ca="1" si="46"/>
        <v>320183.06838901382</v>
      </c>
      <c r="BT33" s="132">
        <f t="shared" ca="1" si="46"/>
        <v>309758.38342744636</v>
      </c>
      <c r="BU33" s="132">
        <f t="shared" ca="1" si="46"/>
        <v>467892.50629497261</v>
      </c>
      <c r="BV33" s="132">
        <f t="shared" ca="1" si="46"/>
        <v>582071.29116331355</v>
      </c>
      <c r="BW33" s="132">
        <f t="shared" ca="1" si="46"/>
        <v>332990.11143013206</v>
      </c>
      <c r="BX33" s="132">
        <f t="shared" ca="1" si="46"/>
        <v>321385.64920251904</v>
      </c>
      <c r="BY33" s="132">
        <f t="shared" ref="BY33:CO33" ca="1" si="47">SUM(BY34:BY35)</f>
        <v>486608.49392486794</v>
      </c>
      <c r="BZ33" s="132">
        <f t="shared" ca="1" si="47"/>
        <v>605354.43085385137</v>
      </c>
      <c r="CA33" s="132">
        <f t="shared" ca="1" si="47"/>
        <v>346310.00676955737</v>
      </c>
      <c r="CB33" s="132">
        <f t="shared" ca="1" si="47"/>
        <v>334241.07517061953</v>
      </c>
      <c r="CC33" s="132">
        <f t="shared" ca="1" si="47"/>
        <v>506072.83368186274</v>
      </c>
      <c r="CD33" s="132">
        <f t="shared" ca="1" si="47"/>
        <v>629568.60808800557</v>
      </c>
      <c r="CE33" s="132">
        <f t="shared" ca="1" si="47"/>
        <v>360162.40704033955</v>
      </c>
      <c r="CF33" s="132">
        <f t="shared" ca="1" si="47"/>
        <v>347610.71817744442</v>
      </c>
      <c r="CG33" s="132">
        <f t="shared" ca="1" si="47"/>
        <v>526315.7470291371</v>
      </c>
      <c r="CH33" s="132">
        <f t="shared" ca="1" si="47"/>
        <v>654751.35241152532</v>
      </c>
      <c r="CI33" s="132">
        <f t="shared" ca="1" si="47"/>
        <v>374568.9033219532</v>
      </c>
      <c r="CJ33" s="132">
        <f t="shared" ca="1" si="47"/>
        <v>362373.49638435995</v>
      </c>
      <c r="CK33" s="132">
        <f t="shared" ca="1" si="47"/>
        <v>547368.05364902748</v>
      </c>
      <c r="CL33" s="132">
        <f t="shared" ca="1" si="47"/>
        <v>680941.08249765448</v>
      </c>
      <c r="CM33" s="132">
        <f t="shared" ca="1" si="47"/>
        <v>389551.33225189371</v>
      </c>
      <c r="CN33" s="132">
        <f t="shared" ca="1" si="47"/>
        <v>375975.75278072385</v>
      </c>
      <c r="CO33" s="132">
        <f t="shared" ca="1" si="47"/>
        <v>569263.11198671442</v>
      </c>
    </row>
    <row r="34" spans="1:93" s="133" customFormat="1" ht="14">
      <c r="A34" s="10"/>
      <c r="B34" s="10"/>
      <c r="C34" s="10" t="s">
        <v>79</v>
      </c>
      <c r="D34" s="10"/>
      <c r="E34" s="10"/>
      <c r="F34" s="10"/>
      <c r="G34" s="134" t="str">
        <f>Monetary_Unit</f>
        <v>тыс. руб.</v>
      </c>
      <c r="H34" s="10"/>
      <c r="I34" s="10"/>
      <c r="J34" s="10"/>
      <c r="K34" s="10"/>
      <c r="L34" s="52">
        <f t="shared" ref="L34:BW34" ca="1" si="48">Accounts_Payable_EoP</f>
        <v>0</v>
      </c>
      <c r="M34" s="52">
        <f t="shared" ca="1" si="48"/>
        <v>0</v>
      </c>
      <c r="N34" s="52">
        <f t="shared" ca="1" si="48"/>
        <v>0</v>
      </c>
      <c r="O34" s="52">
        <f t="shared" ca="1" si="48"/>
        <v>0</v>
      </c>
      <c r="P34" s="52">
        <f t="shared" ca="1" si="48"/>
        <v>0</v>
      </c>
      <c r="Q34" s="52">
        <f t="shared" ca="1" si="48"/>
        <v>0</v>
      </c>
      <c r="R34" s="52">
        <f t="shared" ca="1" si="48"/>
        <v>0</v>
      </c>
      <c r="S34" s="52">
        <f t="shared" ca="1" si="48"/>
        <v>0</v>
      </c>
      <c r="T34" s="52">
        <f t="shared" ca="1" si="48"/>
        <v>0</v>
      </c>
      <c r="U34" s="52">
        <f t="shared" ca="1" si="48"/>
        <v>0</v>
      </c>
      <c r="V34" s="52">
        <f t="shared" ca="1" si="48"/>
        <v>0</v>
      </c>
      <c r="W34" s="52">
        <f t="shared" ca="1" si="48"/>
        <v>0</v>
      </c>
      <c r="X34" s="52">
        <f t="shared" ca="1" si="48"/>
        <v>0</v>
      </c>
      <c r="Y34" s="52">
        <f t="shared" ca="1" si="48"/>
        <v>0</v>
      </c>
      <c r="Z34" s="52">
        <f t="shared" ca="1" si="48"/>
        <v>0</v>
      </c>
      <c r="AA34" s="52">
        <f t="shared" ca="1" si="48"/>
        <v>0</v>
      </c>
      <c r="AB34" s="52">
        <f t="shared" ca="1" si="48"/>
        <v>0</v>
      </c>
      <c r="AC34" s="52">
        <f t="shared" ca="1" si="48"/>
        <v>167323.20061524137</v>
      </c>
      <c r="AD34" s="52">
        <f t="shared" ca="1" si="48"/>
        <v>215331.60852366302</v>
      </c>
      <c r="AE34" s="52">
        <f t="shared" ca="1" si="48"/>
        <v>127615.50634352025</v>
      </c>
      <c r="AF34" s="52">
        <f t="shared" ca="1" si="48"/>
        <v>128019.6682052103</v>
      </c>
      <c r="AG34" s="52">
        <f t="shared" ca="1" si="48"/>
        <v>199779.30003197613</v>
      </c>
      <c r="AH34" s="52">
        <f t="shared" ca="1" si="48"/>
        <v>255920.44725341379</v>
      </c>
      <c r="AI34" s="52">
        <f t="shared" ca="1" si="48"/>
        <v>151010.21389602218</v>
      </c>
      <c r="AJ34" s="52">
        <f t="shared" ca="1" si="48"/>
        <v>150876.76272886811</v>
      </c>
      <c r="AK34" s="52">
        <f t="shared" ca="1" si="48"/>
        <v>234564.17028106551</v>
      </c>
      <c r="AL34" s="52">
        <f t="shared" ca="1" si="48"/>
        <v>299411.86250790674</v>
      </c>
      <c r="AM34" s="52">
        <f t="shared" ca="1" si="48"/>
        <v>176072.31324257434</v>
      </c>
      <c r="AN34" s="52">
        <f t="shared" ca="1" si="48"/>
        <v>175357.25762855168</v>
      </c>
      <c r="AO34" s="52">
        <f t="shared" ca="1" si="48"/>
        <v>271811.84424533858</v>
      </c>
      <c r="AP34" s="52">
        <f t="shared" ca="1" si="48"/>
        <v>337326.5805871808</v>
      </c>
      <c r="AQ34" s="52">
        <f t="shared" ca="1" si="48"/>
        <v>193006.13924474327</v>
      </c>
      <c r="AR34" s="52">
        <f t="shared" ca="1" si="48"/>
        <v>187167.79470699106</v>
      </c>
      <c r="AS34" s="52">
        <f t="shared" ca="1" si="48"/>
        <v>282684.67060083186</v>
      </c>
      <c r="AT34" s="52">
        <f t="shared" ca="1" si="48"/>
        <v>350819.99987051764</v>
      </c>
      <c r="AU34" s="52">
        <f t="shared" ca="1" si="48"/>
        <v>200726.74438278505</v>
      </c>
      <c r="AV34" s="52">
        <f t="shared" ca="1" si="48"/>
        <v>194654.50649527053</v>
      </c>
      <c r="AW34" s="52">
        <f t="shared" ca="1" si="48"/>
        <v>290010.53208005975</v>
      </c>
      <c r="AX34" s="52">
        <f t="shared" ca="1" si="48"/>
        <v>359911.18930404494</v>
      </c>
      <c r="AY34" s="52">
        <f t="shared" ca="1" si="48"/>
        <v>205929.20383787085</v>
      </c>
      <c r="AZ34" s="52">
        <f t="shared" ca="1" si="48"/>
        <v>199699.65934288804</v>
      </c>
      <c r="BA34" s="52">
        <f t="shared" ca="1" si="48"/>
        <v>301610.95336326194</v>
      </c>
      <c r="BB34" s="52">
        <f t="shared" ca="1" si="48"/>
        <v>374307.63687620685</v>
      </c>
      <c r="BC34" s="52">
        <f t="shared" ca="1" si="48"/>
        <v>214166.37199138571</v>
      </c>
      <c r="BD34" s="52">
        <f t="shared" ca="1" si="48"/>
        <v>207687.25297550333</v>
      </c>
      <c r="BE34" s="52">
        <f t="shared" ca="1" si="48"/>
        <v>313674.99488685443</v>
      </c>
      <c r="BF34" s="52">
        <f t="shared" ca="1" si="48"/>
        <v>389279.54183234822</v>
      </c>
      <c r="BG34" s="52">
        <f t="shared" ca="1" si="48"/>
        <v>222732.62240565883</v>
      </c>
      <c r="BH34" s="52">
        <f t="shared" ca="1" si="48"/>
        <v>215995.15154526755</v>
      </c>
      <c r="BI34" s="52">
        <f t="shared" ca="1" si="48"/>
        <v>326222.40715770412</v>
      </c>
      <c r="BJ34" s="52">
        <f t="shared" ca="1" si="48"/>
        <v>404851.14004530502</v>
      </c>
      <c r="BK34" s="52">
        <f t="shared" ca="1" si="48"/>
        <v>231642.34794588271</v>
      </c>
      <c r="BL34" s="52">
        <f t="shared" ca="1" si="48"/>
        <v>224634.95760707837</v>
      </c>
      <c r="BM34" s="52">
        <f t="shared" ca="1" si="48"/>
        <v>339271.30344401218</v>
      </c>
      <c r="BN34" s="52">
        <f t="shared" ca="1" si="48"/>
        <v>421045.18564711744</v>
      </c>
      <c r="BO34" s="52">
        <f t="shared" ca="1" si="48"/>
        <v>240908.04186371784</v>
      </c>
      <c r="BP34" s="52">
        <f t="shared" ca="1" si="48"/>
        <v>233620.35591136146</v>
      </c>
      <c r="BQ34" s="52">
        <f t="shared" ca="1" si="48"/>
        <v>352842.15558177256</v>
      </c>
      <c r="BR34" s="52">
        <f t="shared" ca="1" si="48"/>
        <v>437886.99307300174</v>
      </c>
      <c r="BS34" s="52">
        <f t="shared" ca="1" si="48"/>
        <v>250544.36353826651</v>
      </c>
      <c r="BT34" s="52">
        <f t="shared" ca="1" si="48"/>
        <v>242964.71069627802</v>
      </c>
      <c r="BU34" s="52">
        <f t="shared" ca="1" si="48"/>
        <v>366955.37782634282</v>
      </c>
      <c r="BV34" s="52">
        <f t="shared" ca="1" si="48"/>
        <v>455402.00424545049</v>
      </c>
      <c r="BW34" s="52">
        <f t="shared" ca="1" si="48"/>
        <v>260565.66491250752</v>
      </c>
      <c r="BX34" s="52">
        <f t="shared" ref="BX34:CO34" ca="1" si="49">Accounts_Payable_EoP</f>
        <v>252683.77695372852</v>
      </c>
      <c r="BY34" s="52">
        <f t="shared" ca="1" si="49"/>
        <v>381634.07547724515</v>
      </c>
      <c r="BZ34" s="52">
        <f t="shared" ca="1" si="49"/>
        <v>473618.57170775882</v>
      </c>
      <c r="CA34" s="52">
        <f t="shared" ca="1" si="49"/>
        <v>270988.78360298905</v>
      </c>
      <c r="CB34" s="52">
        <f t="shared" ca="1" si="49"/>
        <v>262791.12803187745</v>
      </c>
      <c r="CC34" s="52">
        <f t="shared" ca="1" si="49"/>
        <v>396899.43849633494</v>
      </c>
      <c r="CD34" s="52">
        <f t="shared" ca="1" si="49"/>
        <v>492563.31457606924</v>
      </c>
      <c r="CE34" s="52">
        <f t="shared" ca="1" si="49"/>
        <v>281828.33494710852</v>
      </c>
      <c r="CF34" s="52">
        <f t="shared" ca="1" si="49"/>
        <v>273302.77315315267</v>
      </c>
      <c r="CG34" s="52">
        <f t="shared" ca="1" si="49"/>
        <v>412775.41603618825</v>
      </c>
      <c r="CH34" s="52">
        <f t="shared" ca="1" si="49"/>
        <v>512265.84715911164</v>
      </c>
      <c r="CI34" s="52">
        <f t="shared" ca="1" si="49"/>
        <v>293101.46834499296</v>
      </c>
      <c r="CJ34" s="52">
        <f t="shared" ca="1" si="49"/>
        <v>284234.3465859642</v>
      </c>
      <c r="CK34" s="52">
        <f t="shared" ca="1" si="49"/>
        <v>429285.88988818123</v>
      </c>
      <c r="CL34" s="52">
        <f t="shared" ca="1" si="49"/>
        <v>532755.93290769646</v>
      </c>
      <c r="CM34" s="52">
        <f t="shared" ca="1" si="49"/>
        <v>304824.97353998851</v>
      </c>
      <c r="CN34" s="52">
        <f t="shared" ca="1" si="49"/>
        <v>295604.27944244992</v>
      </c>
      <c r="CO34" s="52">
        <f t="shared" ca="1" si="49"/>
        <v>446457.88998474099</v>
      </c>
    </row>
    <row r="35" spans="1:93" s="133" customFormat="1" ht="14">
      <c r="A35" s="10"/>
      <c r="B35" s="10"/>
      <c r="C35" s="10" t="s">
        <v>145</v>
      </c>
      <c r="D35" s="10"/>
      <c r="E35" s="10"/>
      <c r="F35" s="10"/>
      <c r="G35" s="134" t="str">
        <f>Monetary_Unit</f>
        <v>тыс. руб.</v>
      </c>
      <c r="H35" s="10"/>
      <c r="I35" s="10"/>
      <c r="J35" s="10"/>
      <c r="K35" s="10"/>
      <c r="L35" s="52">
        <f t="shared" ref="L35:BW35" ca="1" si="50">-VAT_EoP*(VAT_EoP&lt;0)</f>
        <v>0</v>
      </c>
      <c r="M35" s="52">
        <f t="shared" ca="1" si="50"/>
        <v>0</v>
      </c>
      <c r="N35" s="52">
        <f t="shared" ca="1" si="50"/>
        <v>0</v>
      </c>
      <c r="O35" s="52">
        <f t="shared" ca="1" si="50"/>
        <v>0</v>
      </c>
      <c r="P35" s="52">
        <f t="shared" ca="1" si="50"/>
        <v>0</v>
      </c>
      <c r="Q35" s="52">
        <f t="shared" ca="1" si="50"/>
        <v>0</v>
      </c>
      <c r="R35" s="52">
        <f t="shared" ca="1" si="50"/>
        <v>0</v>
      </c>
      <c r="S35" s="52">
        <f t="shared" ca="1" si="50"/>
        <v>0</v>
      </c>
      <c r="T35" s="52">
        <f t="shared" ca="1" si="50"/>
        <v>0</v>
      </c>
      <c r="U35" s="52">
        <f t="shared" ca="1" si="50"/>
        <v>0</v>
      </c>
      <c r="V35" s="52">
        <f t="shared" ca="1" si="50"/>
        <v>0</v>
      </c>
      <c r="W35" s="52">
        <f t="shared" ca="1" si="50"/>
        <v>0</v>
      </c>
      <c r="X35" s="52">
        <f t="shared" ca="1" si="50"/>
        <v>0</v>
      </c>
      <c r="Y35" s="52">
        <f t="shared" ca="1" si="50"/>
        <v>0</v>
      </c>
      <c r="Z35" s="52">
        <f t="shared" ca="1" si="50"/>
        <v>0</v>
      </c>
      <c r="AA35" s="52">
        <f t="shared" ca="1" si="50"/>
        <v>0</v>
      </c>
      <c r="AB35" s="52">
        <f t="shared" ca="1" si="50"/>
        <v>0</v>
      </c>
      <c r="AC35" s="52">
        <f t="shared" ca="1" si="50"/>
        <v>0</v>
      </c>
      <c r="AD35" s="52">
        <f t="shared" ca="1" si="50"/>
        <v>0</v>
      </c>
      <c r="AE35" s="52">
        <f t="shared" ca="1" si="50"/>
        <v>0</v>
      </c>
      <c r="AF35" s="52">
        <f t="shared" ca="1" si="50"/>
        <v>0</v>
      </c>
      <c r="AG35" s="52">
        <f t="shared" ca="1" si="50"/>
        <v>0</v>
      </c>
      <c r="AH35" s="52">
        <f t="shared" ca="1" si="50"/>
        <v>0</v>
      </c>
      <c r="AI35" s="52">
        <f t="shared" ca="1" si="50"/>
        <v>0</v>
      </c>
      <c r="AJ35" s="52">
        <f t="shared" ca="1" si="50"/>
        <v>0</v>
      </c>
      <c r="AK35" s="52">
        <f t="shared" ca="1" si="50"/>
        <v>0</v>
      </c>
      <c r="AL35" s="52">
        <f t="shared" ca="1" si="50"/>
        <v>0</v>
      </c>
      <c r="AM35" s="52">
        <f t="shared" ca="1" si="50"/>
        <v>0</v>
      </c>
      <c r="AN35" s="52">
        <f t="shared" ca="1" si="50"/>
        <v>0</v>
      </c>
      <c r="AO35" s="52">
        <f t="shared" ca="1" si="50"/>
        <v>0</v>
      </c>
      <c r="AP35" s="52">
        <f t="shared" ca="1" si="50"/>
        <v>0</v>
      </c>
      <c r="AQ35" s="52">
        <f t="shared" ca="1" si="50"/>
        <v>0</v>
      </c>
      <c r="AR35" s="52">
        <f t="shared" ca="1" si="50"/>
        <v>0</v>
      </c>
      <c r="AS35" s="52">
        <f t="shared" ca="1" si="50"/>
        <v>0</v>
      </c>
      <c r="AT35" s="52">
        <f t="shared" ca="1" si="50"/>
        <v>0</v>
      </c>
      <c r="AU35" s="52">
        <f t="shared" ca="1" si="50"/>
        <v>0</v>
      </c>
      <c r="AV35" s="52">
        <f t="shared" ca="1" si="50"/>
        <v>0</v>
      </c>
      <c r="AW35" s="52">
        <f t="shared" ca="1" si="50"/>
        <v>47948.816715012239</v>
      </c>
      <c r="AX35" s="52">
        <f t="shared" ca="1" si="50"/>
        <v>100108.42600259389</v>
      </c>
      <c r="AY35" s="52">
        <f t="shared" ca="1" si="50"/>
        <v>57237.939196443214</v>
      </c>
      <c r="AZ35" s="52">
        <f t="shared" ca="1" si="50"/>
        <v>54296.087583075976</v>
      </c>
      <c r="BA35" s="52">
        <f t="shared" ca="1" si="50"/>
        <v>82962.807729231019</v>
      </c>
      <c r="BB35" s="52">
        <f t="shared" ca="1" si="50"/>
        <v>104112.76304269758</v>
      </c>
      <c r="BC35" s="52">
        <f t="shared" ca="1" si="50"/>
        <v>59527.456764300965</v>
      </c>
      <c r="BD35" s="52">
        <f t="shared" ca="1" si="50"/>
        <v>57095.511384870639</v>
      </c>
      <c r="BE35" s="52">
        <f t="shared" ca="1" si="50"/>
        <v>86281.480445490655</v>
      </c>
      <c r="BF35" s="52">
        <f t="shared" ca="1" si="50"/>
        <v>108277.43733213625</v>
      </c>
      <c r="BG35" s="52">
        <f t="shared" ca="1" si="50"/>
        <v>61908.720416273747</v>
      </c>
      <c r="BH35" s="52">
        <f t="shared" ca="1" si="50"/>
        <v>58726.648329854957</v>
      </c>
      <c r="BI35" s="52">
        <f t="shared" ca="1" si="50"/>
        <v>89732.572839936242</v>
      </c>
      <c r="BJ35" s="52">
        <f t="shared" ca="1" si="50"/>
        <v>112608.36450698168</v>
      </c>
      <c r="BK35" s="52">
        <f t="shared" ca="1" si="50"/>
        <v>64384.89723626792</v>
      </c>
      <c r="BL35" s="52">
        <f t="shared" ca="1" si="50"/>
        <v>61075.714263049187</v>
      </c>
      <c r="BM35" s="52">
        <f t="shared" ca="1" si="50"/>
        <v>93321.875753533706</v>
      </c>
      <c r="BN35" s="52">
        <f t="shared" ca="1" si="50"/>
        <v>117112.69908726099</v>
      </c>
      <c r="BO35" s="52">
        <f t="shared" ca="1" si="50"/>
        <v>66960.293125718599</v>
      </c>
      <c r="BP35" s="52">
        <f t="shared" ca="1" si="50"/>
        <v>63518.74283357113</v>
      </c>
      <c r="BQ35" s="52">
        <f t="shared" ca="1" si="50"/>
        <v>97054.750783675001</v>
      </c>
      <c r="BR35" s="52">
        <f t="shared" ca="1" si="50"/>
        <v>121797.2070507514</v>
      </c>
      <c r="BS35" s="52">
        <f t="shared" ca="1" si="50"/>
        <v>69638.704850747308</v>
      </c>
      <c r="BT35" s="52">
        <f t="shared" ca="1" si="50"/>
        <v>66793.672731168321</v>
      </c>
      <c r="BU35" s="52">
        <f t="shared" ca="1" si="50"/>
        <v>100937.12846862982</v>
      </c>
      <c r="BV35" s="52">
        <f t="shared" ca="1" si="50"/>
        <v>126669.28691786304</v>
      </c>
      <c r="BW35" s="52">
        <f t="shared" ca="1" si="50"/>
        <v>72424.446517624543</v>
      </c>
      <c r="BX35" s="52">
        <f t="shared" ref="BX35:CO35" ca="1" si="51">-VAT_EoP*(VAT_EoP&lt;0)</f>
        <v>68701.872248790503</v>
      </c>
      <c r="BY35" s="52">
        <f t="shared" ca="1" si="51"/>
        <v>104974.41844762283</v>
      </c>
      <c r="BZ35" s="52">
        <f t="shared" ca="1" si="51"/>
        <v>131735.85914609261</v>
      </c>
      <c r="CA35" s="52">
        <f t="shared" ca="1" si="51"/>
        <v>75321.223166568292</v>
      </c>
      <c r="CB35" s="52">
        <f t="shared" ca="1" si="51"/>
        <v>71449.947138742107</v>
      </c>
      <c r="CC35" s="52">
        <f t="shared" ca="1" si="51"/>
        <v>109173.3951855278</v>
      </c>
      <c r="CD35" s="52">
        <f t="shared" ca="1" si="51"/>
        <v>137005.29351193638</v>
      </c>
      <c r="CE35" s="52">
        <f t="shared" ca="1" si="51"/>
        <v>78334.072093231021</v>
      </c>
      <c r="CF35" s="52">
        <f t="shared" ca="1" si="51"/>
        <v>74307.945024291781</v>
      </c>
      <c r="CG35" s="52">
        <f t="shared" ca="1" si="51"/>
        <v>113540.33099294886</v>
      </c>
      <c r="CH35" s="52">
        <f t="shared" ca="1" si="51"/>
        <v>142485.50525241374</v>
      </c>
      <c r="CI35" s="52">
        <f t="shared" ca="1" si="51"/>
        <v>81467.434976960241</v>
      </c>
      <c r="CJ35" s="52">
        <f t="shared" ca="1" si="51"/>
        <v>78139.149798395738</v>
      </c>
      <c r="CK35" s="52">
        <f t="shared" ca="1" si="51"/>
        <v>118082.1637608462</v>
      </c>
      <c r="CL35" s="52">
        <f t="shared" ca="1" si="51"/>
        <v>148185.14958995796</v>
      </c>
      <c r="CM35" s="52">
        <f t="shared" ca="1" si="51"/>
        <v>84726.358711905195</v>
      </c>
      <c r="CN35" s="52">
        <f t="shared" ca="1" si="51"/>
        <v>80371.473338273965</v>
      </c>
      <c r="CO35" s="52">
        <f t="shared" ca="1" si="51"/>
        <v>122805.22200197342</v>
      </c>
    </row>
    <row r="36" spans="1:93" s="133" customFormat="1" ht="14">
      <c r="A36" s="10"/>
      <c r="B36" s="10"/>
      <c r="C36" s="10"/>
      <c r="D36" s="10"/>
      <c r="E36" s="10"/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s="133" customFormat="1" ht="14">
      <c r="A37" s="10"/>
      <c r="B37" s="10"/>
      <c r="C37" s="24" t="s">
        <v>330</v>
      </c>
      <c r="D37" s="24"/>
      <c r="E37" s="24"/>
      <c r="F37" s="24"/>
      <c r="G37" s="135"/>
      <c r="H37" s="24"/>
      <c r="I37" s="24"/>
      <c r="J37" s="24"/>
      <c r="K37" s="24"/>
      <c r="L37" s="24">
        <f t="shared" ref="L37:AQ37" ca="1" si="52">SUM(L25,L30,L33)*(ABS(SUM(L25,L30,L33))&gt;Accuracy)</f>
        <v>31406.153379286916</v>
      </c>
      <c r="M37" s="24">
        <f t="shared" ca="1" si="52"/>
        <v>63258.113569794448</v>
      </c>
      <c r="N37" s="24">
        <f t="shared" ca="1" si="52"/>
        <v>95562.208749014768</v>
      </c>
      <c r="O37" s="24">
        <f t="shared" ca="1" si="52"/>
        <v>128324.85692220708</v>
      </c>
      <c r="P37" s="24">
        <f t="shared" ca="1" si="52"/>
        <v>403916.32273020223</v>
      </c>
      <c r="Q37" s="24">
        <f t="shared" ca="1" si="52"/>
        <v>682223.30329222977</v>
      </c>
      <c r="R37" s="24">
        <f t="shared" ca="1" si="52"/>
        <v>963272.55567915109</v>
      </c>
      <c r="S37" s="24">
        <f t="shared" ca="1" si="52"/>
        <v>1247830.0923526003</v>
      </c>
      <c r="T37" s="24">
        <f t="shared" ca="1" si="52"/>
        <v>1541025.8711405622</v>
      </c>
      <c r="U37" s="24">
        <f t="shared" ca="1" si="52"/>
        <v>1840889.9595578969</v>
      </c>
      <c r="V37" s="24">
        <f t="shared" ca="1" si="52"/>
        <v>2147570.6313816542</v>
      </c>
      <c r="W37" s="24">
        <f t="shared" ca="1" si="52"/>
        <v>2461019.3658309774</v>
      </c>
      <c r="X37" s="24">
        <f t="shared" ca="1" si="52"/>
        <v>3107672.6239797673</v>
      </c>
      <c r="Y37" s="24">
        <f t="shared" ca="1" si="52"/>
        <v>3768627.898935548</v>
      </c>
      <c r="Z37" s="24">
        <f t="shared" ca="1" si="52"/>
        <v>4444471.8026250713</v>
      </c>
      <c r="AA37" s="24">
        <f t="shared" ca="1" si="52"/>
        <v>5134992.4963465389</v>
      </c>
      <c r="AB37" s="24">
        <f t="shared" ca="1" si="52"/>
        <v>6025459.4802389424</v>
      </c>
      <c r="AC37" s="24">
        <f t="shared" ca="1" si="52"/>
        <v>6072525.1062728707</v>
      </c>
      <c r="AD37" s="24">
        <f t="shared" ca="1" si="52"/>
        <v>5998895.6022910485</v>
      </c>
      <c r="AE37" s="24">
        <f t="shared" ca="1" si="52"/>
        <v>5787839.9901055917</v>
      </c>
      <c r="AF37" s="24">
        <f t="shared" ca="1" si="52"/>
        <v>5662638.0737715485</v>
      </c>
      <c r="AG37" s="24">
        <f t="shared" ca="1" si="52"/>
        <v>5607336.5098179402</v>
      </c>
      <c r="AH37" s="24">
        <f t="shared" ca="1" si="52"/>
        <v>5534914.5293516237</v>
      </c>
      <c r="AI37" s="24">
        <f t="shared" ca="1" si="52"/>
        <v>5299642.6929916665</v>
      </c>
      <c r="AJ37" s="24">
        <f t="shared" ca="1" si="52"/>
        <v>5166841.0865220502</v>
      </c>
      <c r="AK37" s="24">
        <f t="shared" ca="1" si="52"/>
        <v>5116278.574711984</v>
      </c>
      <c r="AL37" s="24">
        <f t="shared" ca="1" si="52"/>
        <v>5045244.204061253</v>
      </c>
      <c r="AM37" s="24">
        <f t="shared" ca="1" si="52"/>
        <v>4784121.7316195462</v>
      </c>
      <c r="AN37" s="24">
        <f t="shared" ca="1" si="52"/>
        <v>4643435.5312973047</v>
      </c>
      <c r="AO37" s="24">
        <f t="shared" ca="1" si="52"/>
        <v>4647467.4602133986</v>
      </c>
      <c r="AP37" s="24">
        <f t="shared" ca="1" si="52"/>
        <v>4714243.0460128803</v>
      </c>
      <c r="AQ37" s="24">
        <f t="shared" ca="1" si="52"/>
        <v>4378231.5320376642</v>
      </c>
      <c r="AR37" s="24">
        <f t="shared" ref="AR37:BW37" ca="1" si="53">SUM(AR25,AR30,AR33)*(ABS(SUM(AR25,AR30,AR33))&gt;Accuracy)</f>
        <v>4268542.0490632989</v>
      </c>
      <c r="AS37" s="24">
        <f t="shared" ca="1" si="53"/>
        <v>4374284.5015872484</v>
      </c>
      <c r="AT37" s="24">
        <f t="shared" ca="1" si="53"/>
        <v>4446232.949456336</v>
      </c>
      <c r="AU37" s="24">
        <f t="shared" ca="1" si="53"/>
        <v>4099734.8091342268</v>
      </c>
      <c r="AV37" s="24">
        <f t="shared" ca="1" si="53"/>
        <v>3988611.1889908398</v>
      </c>
      <c r="AW37" s="24">
        <f t="shared" ca="1" si="53"/>
        <v>3971893.3966555018</v>
      </c>
      <c r="AX37" s="24">
        <f t="shared" ca="1" si="53"/>
        <v>4008677.425042422</v>
      </c>
      <c r="AY37" s="24">
        <f t="shared" ca="1" si="53"/>
        <v>3691125.086678749</v>
      </c>
      <c r="AZ37" s="24">
        <f t="shared" ca="1" si="53"/>
        <v>3607418.7402197057</v>
      </c>
      <c r="BA37" s="24">
        <f t="shared" ca="1" si="53"/>
        <v>3694865.5807184535</v>
      </c>
      <c r="BB37" s="24">
        <f t="shared" ca="1" si="53"/>
        <v>3736074.7976918891</v>
      </c>
      <c r="BC37" s="24">
        <f t="shared" ca="1" si="53"/>
        <v>3408774.1932447059</v>
      </c>
      <c r="BD37" s="24">
        <f t="shared" ca="1" si="53"/>
        <v>3324673.1585509386</v>
      </c>
      <c r="BE37" s="24">
        <f t="shared" ca="1" si="53"/>
        <v>3459851.075517185</v>
      </c>
      <c r="BF37" s="24">
        <f t="shared" ca="1" si="53"/>
        <v>3546941.8639916838</v>
      </c>
      <c r="BG37" s="24">
        <f t="shared" ca="1" si="53"/>
        <v>3250782.4381630691</v>
      </c>
      <c r="BH37" s="24">
        <f t="shared" ca="1" si="53"/>
        <v>3207551.1094530746</v>
      </c>
      <c r="BI37" s="24">
        <f t="shared" ca="1" si="53"/>
        <v>3349438.7981130388</v>
      </c>
      <c r="BJ37" s="24">
        <f t="shared" ca="1" si="53"/>
        <v>3441315.8731680238</v>
      </c>
      <c r="BK37" s="24">
        <f t="shared" ca="1" si="53"/>
        <v>3134612.7253744691</v>
      </c>
      <c r="BL37" s="24">
        <f t="shared" ca="1" si="53"/>
        <v>3090954.5154187242</v>
      </c>
      <c r="BM37" s="24">
        <f t="shared" ca="1" si="53"/>
        <v>3239820.3639570689</v>
      </c>
      <c r="BN37" s="24">
        <f t="shared" ca="1" si="53"/>
        <v>3336675.1743462346</v>
      </c>
      <c r="BO37" s="24">
        <f t="shared" ca="1" si="53"/>
        <v>3019006.5529729188</v>
      </c>
      <c r="BP37" s="24">
        <f t="shared" ca="1" si="53"/>
        <v>2974904.6669509257</v>
      </c>
      <c r="BQ37" s="24">
        <f t="shared" ca="1" si="53"/>
        <v>3131027.8017627848</v>
      </c>
      <c r="BR37" s="24">
        <f t="shared" ca="1" si="53"/>
        <v>3233059.4568994986</v>
      </c>
      <c r="BS37" s="24">
        <f t="shared" ca="1" si="53"/>
        <v>2903986.7430032319</v>
      </c>
      <c r="BT37" s="24">
        <f t="shared" ca="1" si="53"/>
        <v>2859423.1275713146</v>
      </c>
      <c r="BU37" s="24">
        <f t="shared" ca="1" si="53"/>
        <v>3023093.8370895204</v>
      </c>
      <c r="BV37" s="24">
        <f t="shared" ca="1" si="53"/>
        <v>3130509.407715837</v>
      </c>
      <c r="BW37" s="24">
        <f t="shared" ca="1" si="53"/>
        <v>2789576.4345178213</v>
      </c>
      <c r="BX37" s="24">
        <f t="shared" ref="BX37:CO37" ca="1" si="54">SUM(BX25,BX30,BX33)*(ABS(SUM(BX25,BX30,BX33))&gt;Accuracy)</f>
        <v>2744533.5607985356</v>
      </c>
      <c r="BY37" s="24">
        <f t="shared" ca="1" si="54"/>
        <v>2916053.7541682837</v>
      </c>
      <c r="BZ37" s="24">
        <f t="shared" ca="1" si="54"/>
        <v>3029068.6031213952</v>
      </c>
      <c r="CA37" s="24">
        <f t="shared" ca="1" si="54"/>
        <v>2675800.9665284348</v>
      </c>
      <c r="CB37" s="24">
        <f t="shared" ca="1" si="54"/>
        <v>2630258.7021297035</v>
      </c>
      <c r="CC37" s="24">
        <f t="shared" ca="1" si="54"/>
        <v>2809942.3555662232</v>
      </c>
      <c r="CD37" s="24">
        <f t="shared" ca="1" si="54"/>
        <v>2928780.4508094396</v>
      </c>
      <c r="CE37" s="24">
        <f t="shared" ca="1" si="54"/>
        <v>2562684.7610847424</v>
      </c>
      <c r="CF37" s="24">
        <f t="shared" ca="1" si="54"/>
        <v>2516623.4584420435</v>
      </c>
      <c r="CG37" s="24">
        <f t="shared" ca="1" si="54"/>
        <v>2704797.1103480048</v>
      </c>
      <c r="CH37" s="24">
        <f t="shared" ca="1" si="54"/>
        <v>2829691.3817329323</v>
      </c>
      <c r="CI37" s="24">
        <f t="shared" ca="1" si="54"/>
        <v>2450254.5167512274</v>
      </c>
      <c r="CJ37" s="24">
        <f t="shared" ca="1" si="54"/>
        <v>2403653.0560059259</v>
      </c>
      <c r="CK37" s="24">
        <f t="shared" ca="1" si="54"/>
        <v>2600656.3027893468</v>
      </c>
      <c r="CL37" s="24">
        <f t="shared" ca="1" si="54"/>
        <v>2731848.9937961018</v>
      </c>
      <c r="CM37" s="24">
        <f t="shared" ca="1" si="54"/>
        <v>2338537.3029464278</v>
      </c>
      <c r="CN37" s="24">
        <f t="shared" ca="1" si="54"/>
        <v>2291375.1777911959</v>
      </c>
      <c r="CO37" s="24">
        <f t="shared" ca="1" si="54"/>
        <v>2497561.2104499256</v>
      </c>
    </row>
    <row r="38" spans="1:93" s="75" customFormat="1">
      <c r="A38" s="73"/>
      <c r="B38" s="73"/>
      <c r="C38" s="73"/>
      <c r="D38" s="73"/>
      <c r="E38" s="73"/>
      <c r="F38" s="73"/>
      <c r="G38" s="72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</row>
    <row r="39" spans="1:93" s="46" customFormat="1" ht="13">
      <c r="C39" s="46" t="s">
        <v>351</v>
      </c>
      <c r="G39" s="89" t="str">
        <f>Monetary_Unit</f>
        <v>тыс. руб.</v>
      </c>
      <c r="H39" s="73"/>
      <c r="I39" s="46">
        <f ca="1">SUM(L39:CQ39)</f>
        <v>0</v>
      </c>
      <c r="L39" s="46">
        <f t="shared" ref="L39:AQ39" ca="1" si="55">(L37-L23)*(ABS(L37-L23)&gt;Accuracy)</f>
        <v>0</v>
      </c>
      <c r="M39" s="46">
        <f t="shared" ca="1" si="55"/>
        <v>0</v>
      </c>
      <c r="N39" s="46">
        <f t="shared" ca="1" si="55"/>
        <v>0</v>
      </c>
      <c r="O39" s="46">
        <f t="shared" ca="1" si="55"/>
        <v>0</v>
      </c>
      <c r="P39" s="46">
        <f t="shared" ca="1" si="55"/>
        <v>0</v>
      </c>
      <c r="Q39" s="46">
        <f t="shared" ca="1" si="55"/>
        <v>0</v>
      </c>
      <c r="R39" s="46">
        <f t="shared" ca="1" si="55"/>
        <v>0</v>
      </c>
      <c r="S39" s="46">
        <f t="shared" ca="1" si="55"/>
        <v>0</v>
      </c>
      <c r="T39" s="46">
        <f t="shared" ca="1" si="55"/>
        <v>0</v>
      </c>
      <c r="U39" s="46">
        <f t="shared" ca="1" si="55"/>
        <v>0</v>
      </c>
      <c r="V39" s="46">
        <f t="shared" ca="1" si="55"/>
        <v>0</v>
      </c>
      <c r="W39" s="46">
        <f t="shared" ca="1" si="55"/>
        <v>0</v>
      </c>
      <c r="X39" s="46">
        <f t="shared" ca="1" si="55"/>
        <v>0</v>
      </c>
      <c r="Y39" s="46">
        <f t="shared" ca="1" si="55"/>
        <v>0</v>
      </c>
      <c r="Z39" s="46">
        <f t="shared" ca="1" si="55"/>
        <v>0</v>
      </c>
      <c r="AA39" s="46">
        <f t="shared" ca="1" si="55"/>
        <v>0</v>
      </c>
      <c r="AB39" s="46">
        <f t="shared" ca="1" si="55"/>
        <v>0</v>
      </c>
      <c r="AC39" s="46">
        <f t="shared" ca="1" si="55"/>
        <v>0</v>
      </c>
      <c r="AD39" s="46">
        <f t="shared" ca="1" si="55"/>
        <v>0</v>
      </c>
      <c r="AE39" s="46">
        <f t="shared" ca="1" si="55"/>
        <v>0</v>
      </c>
      <c r="AF39" s="46">
        <f t="shared" ca="1" si="55"/>
        <v>0</v>
      </c>
      <c r="AG39" s="46">
        <f t="shared" ca="1" si="55"/>
        <v>0</v>
      </c>
      <c r="AH39" s="46">
        <f t="shared" ca="1" si="55"/>
        <v>0</v>
      </c>
      <c r="AI39" s="46">
        <f t="shared" ca="1" si="55"/>
        <v>0</v>
      </c>
      <c r="AJ39" s="46">
        <f t="shared" ca="1" si="55"/>
        <v>0</v>
      </c>
      <c r="AK39" s="46">
        <f t="shared" ca="1" si="55"/>
        <v>0</v>
      </c>
      <c r="AL39" s="46">
        <f t="shared" ca="1" si="55"/>
        <v>0</v>
      </c>
      <c r="AM39" s="46">
        <f t="shared" ca="1" si="55"/>
        <v>0</v>
      </c>
      <c r="AN39" s="46">
        <f t="shared" ca="1" si="55"/>
        <v>0</v>
      </c>
      <c r="AO39" s="46">
        <f t="shared" ca="1" si="55"/>
        <v>0</v>
      </c>
      <c r="AP39" s="46">
        <f t="shared" ca="1" si="55"/>
        <v>0</v>
      </c>
      <c r="AQ39" s="46">
        <f t="shared" ca="1" si="55"/>
        <v>0</v>
      </c>
      <c r="AR39" s="46">
        <f t="shared" ref="AR39:BW39" ca="1" si="56">(AR37-AR23)*(ABS(AR37-AR23)&gt;Accuracy)</f>
        <v>0</v>
      </c>
      <c r="AS39" s="46">
        <f t="shared" ca="1" si="56"/>
        <v>0</v>
      </c>
      <c r="AT39" s="46">
        <f t="shared" ca="1" si="56"/>
        <v>0</v>
      </c>
      <c r="AU39" s="46">
        <f t="shared" ca="1" si="56"/>
        <v>0</v>
      </c>
      <c r="AV39" s="46">
        <f t="shared" ca="1" si="56"/>
        <v>0</v>
      </c>
      <c r="AW39" s="46">
        <f t="shared" ca="1" si="56"/>
        <v>0</v>
      </c>
      <c r="AX39" s="46">
        <f t="shared" ca="1" si="56"/>
        <v>0</v>
      </c>
      <c r="AY39" s="46">
        <f t="shared" ca="1" si="56"/>
        <v>0</v>
      </c>
      <c r="AZ39" s="46">
        <f t="shared" ca="1" si="56"/>
        <v>0</v>
      </c>
      <c r="BA39" s="46">
        <f t="shared" ca="1" si="56"/>
        <v>0</v>
      </c>
      <c r="BB39" s="46">
        <f t="shared" ca="1" si="56"/>
        <v>0</v>
      </c>
      <c r="BC39" s="46">
        <f t="shared" ca="1" si="56"/>
        <v>0</v>
      </c>
      <c r="BD39" s="46">
        <f t="shared" ca="1" si="56"/>
        <v>0</v>
      </c>
      <c r="BE39" s="46">
        <f t="shared" ca="1" si="56"/>
        <v>0</v>
      </c>
      <c r="BF39" s="46">
        <f t="shared" ca="1" si="56"/>
        <v>0</v>
      </c>
      <c r="BG39" s="46">
        <f t="shared" ca="1" si="56"/>
        <v>0</v>
      </c>
      <c r="BH39" s="46">
        <f t="shared" ca="1" si="56"/>
        <v>0</v>
      </c>
      <c r="BI39" s="46">
        <f t="shared" ca="1" si="56"/>
        <v>0</v>
      </c>
      <c r="BJ39" s="46">
        <f t="shared" ca="1" si="56"/>
        <v>0</v>
      </c>
      <c r="BK39" s="46">
        <f t="shared" ca="1" si="56"/>
        <v>0</v>
      </c>
      <c r="BL39" s="46">
        <f t="shared" ca="1" si="56"/>
        <v>0</v>
      </c>
      <c r="BM39" s="46">
        <f t="shared" ca="1" si="56"/>
        <v>0</v>
      </c>
      <c r="BN39" s="46">
        <f t="shared" ca="1" si="56"/>
        <v>0</v>
      </c>
      <c r="BO39" s="46">
        <f t="shared" ca="1" si="56"/>
        <v>0</v>
      </c>
      <c r="BP39" s="46">
        <f t="shared" ca="1" si="56"/>
        <v>0</v>
      </c>
      <c r="BQ39" s="46">
        <f t="shared" ca="1" si="56"/>
        <v>0</v>
      </c>
      <c r="BR39" s="46">
        <f t="shared" ca="1" si="56"/>
        <v>0</v>
      </c>
      <c r="BS39" s="46">
        <f t="shared" ca="1" si="56"/>
        <v>0</v>
      </c>
      <c r="BT39" s="46">
        <f t="shared" ca="1" si="56"/>
        <v>0</v>
      </c>
      <c r="BU39" s="46">
        <f t="shared" ca="1" si="56"/>
        <v>0</v>
      </c>
      <c r="BV39" s="46">
        <f t="shared" ca="1" si="56"/>
        <v>0</v>
      </c>
      <c r="BW39" s="46">
        <f t="shared" ca="1" si="56"/>
        <v>0</v>
      </c>
      <c r="BX39" s="46">
        <f t="shared" ref="BX39:CO39" ca="1" si="57">(BX37-BX23)*(ABS(BX37-BX23)&gt;Accuracy)</f>
        <v>0</v>
      </c>
      <c r="BY39" s="46">
        <f t="shared" ca="1" si="57"/>
        <v>0</v>
      </c>
      <c r="BZ39" s="46">
        <f t="shared" ca="1" si="57"/>
        <v>0</v>
      </c>
      <c r="CA39" s="46">
        <f t="shared" ca="1" si="57"/>
        <v>0</v>
      </c>
      <c r="CB39" s="46">
        <f t="shared" ca="1" si="57"/>
        <v>0</v>
      </c>
      <c r="CC39" s="46">
        <f t="shared" ca="1" si="57"/>
        <v>0</v>
      </c>
      <c r="CD39" s="46">
        <f t="shared" ca="1" si="57"/>
        <v>0</v>
      </c>
      <c r="CE39" s="46">
        <f t="shared" ca="1" si="57"/>
        <v>0</v>
      </c>
      <c r="CF39" s="46">
        <f t="shared" ca="1" si="57"/>
        <v>0</v>
      </c>
      <c r="CG39" s="46">
        <f t="shared" ca="1" si="57"/>
        <v>0</v>
      </c>
      <c r="CH39" s="46">
        <f t="shared" ca="1" si="57"/>
        <v>0</v>
      </c>
      <c r="CI39" s="46">
        <f t="shared" ca="1" si="57"/>
        <v>0</v>
      </c>
      <c r="CJ39" s="46">
        <f t="shared" ca="1" si="57"/>
        <v>0</v>
      </c>
      <c r="CK39" s="46">
        <f t="shared" ca="1" si="57"/>
        <v>0</v>
      </c>
      <c r="CL39" s="46">
        <f t="shared" ca="1" si="57"/>
        <v>0</v>
      </c>
      <c r="CM39" s="46">
        <f t="shared" ca="1" si="57"/>
        <v>0</v>
      </c>
      <c r="CN39" s="46">
        <f t="shared" ca="1" si="57"/>
        <v>0</v>
      </c>
      <c r="CO39" s="46">
        <f t="shared" ca="1" si="57"/>
        <v>0</v>
      </c>
    </row>
    <row r="40" spans="1:93" s="46" customFormat="1" ht="13">
      <c r="C40" s="46" t="s">
        <v>352</v>
      </c>
      <c r="G40" s="89" t="str">
        <f>Monetary_Unit</f>
        <v>тыс. руб.</v>
      </c>
      <c r="H40" s="73"/>
      <c r="I40" s="46">
        <f ca="1">SUM(L40:CQ40)</f>
        <v>0</v>
      </c>
      <c r="L40" s="46">
        <f t="shared" ref="L40" ca="1" si="58">(L39-K39)*(ABS(L39-K39)&gt;Accuracy)</f>
        <v>0</v>
      </c>
      <c r="M40" s="46">
        <f t="shared" ref="M40" ca="1" si="59">(M39-L39)*(ABS(M39-L39)&gt;Accuracy)</f>
        <v>0</v>
      </c>
      <c r="N40" s="46">
        <f t="shared" ref="N40" ca="1" si="60">(N39-M39)*(ABS(N39-M39)&gt;Accuracy)</f>
        <v>0</v>
      </c>
      <c r="O40" s="46">
        <f t="shared" ref="O40" ca="1" si="61">(O39-N39)*(ABS(O39-N39)&gt;Accuracy)</f>
        <v>0</v>
      </c>
      <c r="P40" s="46">
        <f t="shared" ref="P40" ca="1" si="62">(P39-O39)*(ABS(P39-O39)&gt;Accuracy)</f>
        <v>0</v>
      </c>
      <c r="Q40" s="46">
        <f t="shared" ref="Q40" ca="1" si="63">(Q39-P39)*(ABS(Q39-P39)&gt;Accuracy)</f>
        <v>0</v>
      </c>
      <c r="R40" s="46">
        <f t="shared" ref="R40" ca="1" si="64">(R39-Q39)*(ABS(R39-Q39)&gt;Accuracy)</f>
        <v>0</v>
      </c>
      <c r="S40" s="46">
        <f t="shared" ref="S40" ca="1" si="65">(S39-R39)*(ABS(S39-R39)&gt;Accuracy)</f>
        <v>0</v>
      </c>
      <c r="T40" s="46">
        <f t="shared" ref="T40" ca="1" si="66">(T39-S39)*(ABS(T39-S39)&gt;Accuracy)</f>
        <v>0</v>
      </c>
      <c r="U40" s="46">
        <f t="shared" ref="U40" ca="1" si="67">(U39-T39)*(ABS(U39-T39)&gt;Accuracy)</f>
        <v>0</v>
      </c>
      <c r="V40" s="46">
        <f t="shared" ref="V40" ca="1" si="68">(V39-U39)*(ABS(V39-U39)&gt;Accuracy)</f>
        <v>0</v>
      </c>
      <c r="W40" s="46">
        <f t="shared" ref="W40" ca="1" si="69">(W39-V39)*(ABS(W39-V39)&gt;Accuracy)</f>
        <v>0</v>
      </c>
      <c r="X40" s="46">
        <f t="shared" ref="X40" ca="1" si="70">(X39-W39)*(ABS(X39-W39)&gt;Accuracy)</f>
        <v>0</v>
      </c>
      <c r="Y40" s="46">
        <f t="shared" ref="Y40" ca="1" si="71">(Y39-X39)*(ABS(Y39-X39)&gt;Accuracy)</f>
        <v>0</v>
      </c>
      <c r="Z40" s="46">
        <f t="shared" ref="Z40" ca="1" si="72">(Z39-Y39)*(ABS(Z39-Y39)&gt;Accuracy)</f>
        <v>0</v>
      </c>
      <c r="AA40" s="46">
        <f t="shared" ref="AA40" ca="1" si="73">(AA39-Z39)*(ABS(AA39-Z39)&gt;Accuracy)</f>
        <v>0</v>
      </c>
      <c r="AB40" s="46">
        <f t="shared" ref="AB40" ca="1" si="74">(AB39-AA39)*(ABS(AB39-AA39)&gt;Accuracy)</f>
        <v>0</v>
      </c>
      <c r="AC40" s="46">
        <f t="shared" ref="AC40" ca="1" si="75">(AC39-AB39)*(ABS(AC39-AB39)&gt;Accuracy)</f>
        <v>0</v>
      </c>
      <c r="AD40" s="46">
        <f t="shared" ref="AD40" ca="1" si="76">(AD39-AC39)*(ABS(AD39-AC39)&gt;Accuracy)</f>
        <v>0</v>
      </c>
      <c r="AE40" s="46">
        <f t="shared" ref="AE40" ca="1" si="77">(AE39-AD39)*(ABS(AE39-AD39)&gt;Accuracy)</f>
        <v>0</v>
      </c>
      <c r="AF40" s="46">
        <f t="shared" ref="AF40" ca="1" si="78">(AF39-AE39)*(ABS(AF39-AE39)&gt;Accuracy)</f>
        <v>0</v>
      </c>
      <c r="AG40" s="46">
        <f t="shared" ref="AG40" ca="1" si="79">(AG39-AF39)*(ABS(AG39-AF39)&gt;Accuracy)</f>
        <v>0</v>
      </c>
      <c r="AH40" s="46">
        <f t="shared" ref="AH40" ca="1" si="80">(AH39-AG39)*(ABS(AH39-AG39)&gt;Accuracy)</f>
        <v>0</v>
      </c>
      <c r="AI40" s="46">
        <f t="shared" ref="AI40" ca="1" si="81">(AI39-AH39)*(ABS(AI39-AH39)&gt;Accuracy)</f>
        <v>0</v>
      </c>
      <c r="AJ40" s="46">
        <f t="shared" ref="AJ40" ca="1" si="82">(AJ39-AI39)*(ABS(AJ39-AI39)&gt;Accuracy)</f>
        <v>0</v>
      </c>
      <c r="AK40" s="46">
        <f t="shared" ref="AK40" ca="1" si="83">(AK39-AJ39)*(ABS(AK39-AJ39)&gt;Accuracy)</f>
        <v>0</v>
      </c>
      <c r="AL40" s="46">
        <f t="shared" ref="AL40" ca="1" si="84">(AL39-AK39)*(ABS(AL39-AK39)&gt;Accuracy)</f>
        <v>0</v>
      </c>
      <c r="AM40" s="46">
        <f t="shared" ref="AM40" ca="1" si="85">(AM39-AL39)*(ABS(AM39-AL39)&gt;Accuracy)</f>
        <v>0</v>
      </c>
      <c r="AN40" s="46">
        <f t="shared" ref="AN40" ca="1" si="86">(AN39-AM39)*(ABS(AN39-AM39)&gt;Accuracy)</f>
        <v>0</v>
      </c>
      <c r="AO40" s="46">
        <f t="shared" ref="AO40" ca="1" si="87">(AO39-AN39)*(ABS(AO39-AN39)&gt;Accuracy)</f>
        <v>0</v>
      </c>
      <c r="AP40" s="46">
        <f t="shared" ref="AP40" ca="1" si="88">(AP39-AO39)*(ABS(AP39-AO39)&gt;Accuracy)</f>
        <v>0</v>
      </c>
      <c r="AQ40" s="46">
        <f t="shared" ref="AQ40" ca="1" si="89">(AQ39-AP39)*(ABS(AQ39-AP39)&gt;Accuracy)</f>
        <v>0</v>
      </c>
      <c r="AR40" s="46">
        <f t="shared" ref="AR40" ca="1" si="90">(AR39-AQ39)*(ABS(AR39-AQ39)&gt;Accuracy)</f>
        <v>0</v>
      </c>
      <c r="AS40" s="46">
        <f t="shared" ref="AS40" ca="1" si="91">(AS39-AR39)*(ABS(AS39-AR39)&gt;Accuracy)</f>
        <v>0</v>
      </c>
      <c r="AT40" s="46">
        <f t="shared" ref="AT40" ca="1" si="92">(AT39-AS39)*(ABS(AT39-AS39)&gt;Accuracy)</f>
        <v>0</v>
      </c>
      <c r="AU40" s="46">
        <f t="shared" ref="AU40" ca="1" si="93">(AU39-AT39)*(ABS(AU39-AT39)&gt;Accuracy)</f>
        <v>0</v>
      </c>
      <c r="AV40" s="46">
        <f t="shared" ref="AV40" ca="1" si="94">(AV39-AU39)*(ABS(AV39-AU39)&gt;Accuracy)</f>
        <v>0</v>
      </c>
      <c r="AW40" s="46">
        <f t="shared" ref="AW40" ca="1" si="95">(AW39-AV39)*(ABS(AW39-AV39)&gt;Accuracy)</f>
        <v>0</v>
      </c>
      <c r="AX40" s="46">
        <f t="shared" ref="AX40" ca="1" si="96">(AX39-AW39)*(ABS(AX39-AW39)&gt;Accuracy)</f>
        <v>0</v>
      </c>
      <c r="AY40" s="46">
        <f t="shared" ref="AY40" ca="1" si="97">(AY39-AX39)*(ABS(AY39-AX39)&gt;Accuracy)</f>
        <v>0</v>
      </c>
      <c r="AZ40" s="46">
        <f t="shared" ref="AZ40" ca="1" si="98">(AZ39-AY39)*(ABS(AZ39-AY39)&gt;Accuracy)</f>
        <v>0</v>
      </c>
      <c r="BA40" s="46">
        <f t="shared" ref="BA40" ca="1" si="99">(BA39-AZ39)*(ABS(BA39-AZ39)&gt;Accuracy)</f>
        <v>0</v>
      </c>
      <c r="BB40" s="46">
        <f t="shared" ref="BB40" ca="1" si="100">(BB39-BA39)*(ABS(BB39-BA39)&gt;Accuracy)</f>
        <v>0</v>
      </c>
      <c r="BC40" s="46">
        <f t="shared" ref="BC40" ca="1" si="101">(BC39-BB39)*(ABS(BC39-BB39)&gt;Accuracy)</f>
        <v>0</v>
      </c>
      <c r="BD40" s="46">
        <f t="shared" ref="BD40" ca="1" si="102">(BD39-BC39)*(ABS(BD39-BC39)&gt;Accuracy)</f>
        <v>0</v>
      </c>
      <c r="BE40" s="46">
        <f t="shared" ref="BE40" ca="1" si="103">(BE39-BD39)*(ABS(BE39-BD39)&gt;Accuracy)</f>
        <v>0</v>
      </c>
      <c r="BF40" s="46">
        <f t="shared" ref="BF40" ca="1" si="104">(BF39-BE39)*(ABS(BF39-BE39)&gt;Accuracy)</f>
        <v>0</v>
      </c>
      <c r="BG40" s="46">
        <f t="shared" ref="BG40" ca="1" si="105">(BG39-BF39)*(ABS(BG39-BF39)&gt;Accuracy)</f>
        <v>0</v>
      </c>
      <c r="BH40" s="46">
        <f t="shared" ref="BH40" ca="1" si="106">(BH39-BG39)*(ABS(BH39-BG39)&gt;Accuracy)</f>
        <v>0</v>
      </c>
      <c r="BI40" s="46">
        <f t="shared" ref="BI40" ca="1" si="107">(BI39-BH39)*(ABS(BI39-BH39)&gt;Accuracy)</f>
        <v>0</v>
      </c>
      <c r="BJ40" s="46">
        <f t="shared" ref="BJ40" ca="1" si="108">(BJ39-BI39)*(ABS(BJ39-BI39)&gt;Accuracy)</f>
        <v>0</v>
      </c>
      <c r="BK40" s="46">
        <f t="shared" ref="BK40" ca="1" si="109">(BK39-BJ39)*(ABS(BK39-BJ39)&gt;Accuracy)</f>
        <v>0</v>
      </c>
      <c r="BL40" s="46">
        <f t="shared" ref="BL40" ca="1" si="110">(BL39-BK39)*(ABS(BL39-BK39)&gt;Accuracy)</f>
        <v>0</v>
      </c>
      <c r="BM40" s="46">
        <f t="shared" ref="BM40" ca="1" si="111">(BM39-BL39)*(ABS(BM39-BL39)&gt;Accuracy)</f>
        <v>0</v>
      </c>
      <c r="BN40" s="46">
        <f t="shared" ref="BN40" ca="1" si="112">(BN39-BM39)*(ABS(BN39-BM39)&gt;Accuracy)</f>
        <v>0</v>
      </c>
      <c r="BO40" s="46">
        <f t="shared" ref="BO40" ca="1" si="113">(BO39-BN39)*(ABS(BO39-BN39)&gt;Accuracy)</f>
        <v>0</v>
      </c>
      <c r="BP40" s="46">
        <f t="shared" ref="BP40" ca="1" si="114">(BP39-BO39)*(ABS(BP39-BO39)&gt;Accuracy)</f>
        <v>0</v>
      </c>
      <c r="BQ40" s="46">
        <f t="shared" ref="BQ40" ca="1" si="115">(BQ39-BP39)*(ABS(BQ39-BP39)&gt;Accuracy)</f>
        <v>0</v>
      </c>
      <c r="BR40" s="46">
        <f t="shared" ref="BR40" ca="1" si="116">(BR39-BQ39)*(ABS(BR39-BQ39)&gt;Accuracy)</f>
        <v>0</v>
      </c>
      <c r="BS40" s="46">
        <f t="shared" ref="BS40" ca="1" si="117">(BS39-BR39)*(ABS(BS39-BR39)&gt;Accuracy)</f>
        <v>0</v>
      </c>
      <c r="BT40" s="46">
        <f t="shared" ref="BT40" ca="1" si="118">(BT39-BS39)*(ABS(BT39-BS39)&gt;Accuracy)</f>
        <v>0</v>
      </c>
      <c r="BU40" s="46">
        <f t="shared" ref="BU40" ca="1" si="119">(BU39-BT39)*(ABS(BU39-BT39)&gt;Accuracy)</f>
        <v>0</v>
      </c>
      <c r="BV40" s="46">
        <f t="shared" ref="BV40" ca="1" si="120">(BV39-BU39)*(ABS(BV39-BU39)&gt;Accuracy)</f>
        <v>0</v>
      </c>
      <c r="BW40" s="46">
        <f t="shared" ref="BW40" ca="1" si="121">(BW39-BV39)*(ABS(BW39-BV39)&gt;Accuracy)</f>
        <v>0</v>
      </c>
      <c r="BX40" s="46">
        <f t="shared" ref="BX40" ca="1" si="122">(BX39-BW39)*(ABS(BX39-BW39)&gt;Accuracy)</f>
        <v>0</v>
      </c>
      <c r="BY40" s="46">
        <f t="shared" ref="BY40" ca="1" si="123">(BY39-BX39)*(ABS(BY39-BX39)&gt;Accuracy)</f>
        <v>0</v>
      </c>
      <c r="BZ40" s="46">
        <f t="shared" ref="BZ40" ca="1" si="124">(BZ39-BY39)*(ABS(BZ39-BY39)&gt;Accuracy)</f>
        <v>0</v>
      </c>
      <c r="CA40" s="46">
        <f t="shared" ref="CA40" ca="1" si="125">(CA39-BZ39)*(ABS(CA39-BZ39)&gt;Accuracy)</f>
        <v>0</v>
      </c>
      <c r="CB40" s="46">
        <f t="shared" ref="CB40" ca="1" si="126">(CB39-CA39)*(ABS(CB39-CA39)&gt;Accuracy)</f>
        <v>0</v>
      </c>
      <c r="CC40" s="46">
        <f t="shared" ref="CC40" ca="1" si="127">(CC39-CB39)*(ABS(CC39-CB39)&gt;Accuracy)</f>
        <v>0</v>
      </c>
      <c r="CD40" s="46">
        <f t="shared" ref="CD40" ca="1" si="128">(CD39-CC39)*(ABS(CD39-CC39)&gt;Accuracy)</f>
        <v>0</v>
      </c>
      <c r="CE40" s="46">
        <f t="shared" ref="CE40" ca="1" si="129">(CE39-CD39)*(ABS(CE39-CD39)&gt;Accuracy)</f>
        <v>0</v>
      </c>
      <c r="CF40" s="46">
        <f t="shared" ref="CF40" ca="1" si="130">(CF39-CE39)*(ABS(CF39-CE39)&gt;Accuracy)</f>
        <v>0</v>
      </c>
      <c r="CG40" s="46">
        <f t="shared" ref="CG40" ca="1" si="131">(CG39-CF39)*(ABS(CG39-CF39)&gt;Accuracy)</f>
        <v>0</v>
      </c>
      <c r="CH40" s="46">
        <f t="shared" ref="CH40" ca="1" si="132">(CH39-CG39)*(ABS(CH39-CG39)&gt;Accuracy)</f>
        <v>0</v>
      </c>
      <c r="CI40" s="46">
        <f t="shared" ref="CI40" ca="1" si="133">(CI39-CH39)*(ABS(CI39-CH39)&gt;Accuracy)</f>
        <v>0</v>
      </c>
      <c r="CJ40" s="46">
        <f t="shared" ref="CJ40" ca="1" si="134">(CJ39-CI39)*(ABS(CJ39-CI39)&gt;Accuracy)</f>
        <v>0</v>
      </c>
      <c r="CK40" s="46">
        <f t="shared" ref="CK40" ca="1" si="135">(CK39-CJ39)*(ABS(CK39-CJ39)&gt;Accuracy)</f>
        <v>0</v>
      </c>
      <c r="CL40" s="46">
        <f t="shared" ref="CL40" ca="1" si="136">(CL39-CK39)*(ABS(CL39-CK39)&gt;Accuracy)</f>
        <v>0</v>
      </c>
      <c r="CM40" s="46">
        <f t="shared" ref="CM40" ca="1" si="137">(CM39-CL39)*(ABS(CM39-CL39)&gt;Accuracy)</f>
        <v>0</v>
      </c>
      <c r="CN40" s="46">
        <f t="shared" ref="CN40" ca="1" si="138">(CN39-CM39)*(ABS(CN39-CM39)&gt;Accuracy)</f>
        <v>0</v>
      </c>
      <c r="CO40" s="46">
        <f t="shared" ref="CO40" ca="1" si="139">(CO39-CN39)*(ABS(CO39-CN39)&gt;Accuracy)</f>
        <v>0</v>
      </c>
    </row>
    <row r="41" spans="1:93" s="75" customFormat="1">
      <c r="A41" s="73"/>
      <c r="B41" s="73"/>
      <c r="C41" s="73"/>
      <c r="D41" s="73"/>
      <c r="E41" s="73"/>
      <c r="F41" s="73"/>
      <c r="G41" s="72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</row>
    <row r="42" spans="1:93" ht="22.5" customHeight="1">
      <c r="A42" s="10"/>
      <c r="B42" s="5" t="s">
        <v>312</v>
      </c>
      <c r="C42" s="5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</row>
    <row r="43" spans="1:93" s="75" customFormat="1">
      <c r="A43" s="73"/>
      <c r="B43" s="73"/>
      <c r="C43" s="73"/>
      <c r="D43" s="73"/>
      <c r="E43" s="73"/>
      <c r="F43" s="73"/>
      <c r="G43" s="72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</row>
    <row r="44" spans="1:93" s="133" customFormat="1" ht="14">
      <c r="A44" s="10"/>
      <c r="B44" s="10"/>
      <c r="C44" s="17" t="s">
        <v>96</v>
      </c>
      <c r="D44" s="10"/>
      <c r="E44" s="10"/>
      <c r="F44" s="10"/>
      <c r="G44" s="134" t="str">
        <f t="shared" ref="G44:G59" si="140">Monetary_Unit</f>
        <v>тыс. руб.</v>
      </c>
      <c r="H44" s="10"/>
      <c r="I44" s="23">
        <f t="shared" ref="I44:I51" ca="1" si="141">SUM(L44:CQ44)</f>
        <v>54850086.519837193</v>
      </c>
      <c r="J44" s="10"/>
      <c r="K44" s="10"/>
      <c r="L44" s="52">
        <f t="shared" ref="L44:BW44" ca="1" si="142">Revenue</f>
        <v>0</v>
      </c>
      <c r="M44" s="52">
        <f t="shared" ca="1" si="142"/>
        <v>0</v>
      </c>
      <c r="N44" s="52">
        <f t="shared" ca="1" si="142"/>
        <v>0</v>
      </c>
      <c r="O44" s="52">
        <f t="shared" ca="1" si="142"/>
        <v>0</v>
      </c>
      <c r="P44" s="52">
        <f t="shared" ca="1" si="142"/>
        <v>0</v>
      </c>
      <c r="Q44" s="52">
        <f t="shared" ca="1" si="142"/>
        <v>0</v>
      </c>
      <c r="R44" s="52">
        <f t="shared" ca="1" si="142"/>
        <v>0</v>
      </c>
      <c r="S44" s="52">
        <f t="shared" ca="1" si="142"/>
        <v>0</v>
      </c>
      <c r="T44" s="52">
        <f t="shared" ca="1" si="142"/>
        <v>0</v>
      </c>
      <c r="U44" s="52">
        <f t="shared" ca="1" si="142"/>
        <v>0</v>
      </c>
      <c r="V44" s="52">
        <f t="shared" ca="1" si="142"/>
        <v>0</v>
      </c>
      <c r="W44" s="52">
        <f t="shared" ca="1" si="142"/>
        <v>0</v>
      </c>
      <c r="X44" s="52">
        <f t="shared" ca="1" si="142"/>
        <v>0</v>
      </c>
      <c r="Y44" s="52">
        <f t="shared" ca="1" si="142"/>
        <v>0</v>
      </c>
      <c r="Z44" s="52">
        <f t="shared" ca="1" si="142"/>
        <v>0</v>
      </c>
      <c r="AA44" s="52">
        <f t="shared" ca="1" si="142"/>
        <v>0</v>
      </c>
      <c r="AB44" s="52">
        <f t="shared" ca="1" si="142"/>
        <v>0</v>
      </c>
      <c r="AC44" s="52">
        <f t="shared" ca="1" si="142"/>
        <v>538729.60493334138</v>
      </c>
      <c r="AD44" s="52">
        <f t="shared" ca="1" si="142"/>
        <v>701020.27067459095</v>
      </c>
      <c r="AE44" s="52">
        <f t="shared" ca="1" si="142"/>
        <v>415305.77147408307</v>
      </c>
      <c r="AF44" s="52">
        <f t="shared" ca="1" si="142"/>
        <v>407561.6801808218</v>
      </c>
      <c r="AG44" s="52">
        <f t="shared" ca="1" si="142"/>
        <v>643283.05418707151</v>
      </c>
      <c r="AH44" s="52">
        <f t="shared" ca="1" si="142"/>
        <v>833212.66457322869</v>
      </c>
      <c r="AI44" s="52">
        <f t="shared" ca="1" si="142"/>
        <v>491492.89920657012</v>
      </c>
      <c r="AJ44" s="52">
        <f t="shared" ca="1" si="142"/>
        <v>480379.3670397955</v>
      </c>
      <c r="AK44" s="52">
        <f t="shared" ca="1" si="142"/>
        <v>755338.81201320689</v>
      </c>
      <c r="AL44" s="52">
        <f t="shared" ca="1" si="142"/>
        <v>974858.81755067746</v>
      </c>
      <c r="AM44" s="52">
        <f t="shared" ca="1" si="142"/>
        <v>573110.5079232977</v>
      </c>
      <c r="AN44" s="52">
        <f t="shared" ca="1" si="142"/>
        <v>564574.48538318858</v>
      </c>
      <c r="AO44" s="52">
        <f t="shared" ca="1" si="142"/>
        <v>875329.7775787327</v>
      </c>
      <c r="AP44" s="52">
        <f t="shared" ca="1" si="142"/>
        <v>1098340.9344404293</v>
      </c>
      <c r="AQ44" s="52">
        <f t="shared" ca="1" si="142"/>
        <v>628253.03246943059</v>
      </c>
      <c r="AR44" s="52">
        <f t="shared" ca="1" si="142"/>
        <v>595986.90035939578</v>
      </c>
      <c r="AS44" s="52">
        <f t="shared" ca="1" si="142"/>
        <v>910342.96868188202</v>
      </c>
      <c r="AT44" s="52">
        <f t="shared" ca="1" si="142"/>
        <v>1142274.5718180465</v>
      </c>
      <c r="AU44" s="52">
        <f t="shared" ca="1" si="142"/>
        <v>653383.15376820788</v>
      </c>
      <c r="AV44" s="52">
        <f t="shared" ca="1" si="142"/>
        <v>619826.37637377158</v>
      </c>
      <c r="AW44" s="52">
        <f t="shared" ca="1" si="142"/>
        <v>805449.71915614884</v>
      </c>
      <c r="AX44" s="52">
        <f t="shared" ca="1" si="142"/>
        <v>1010657.2629458774</v>
      </c>
      <c r="AY44" s="52">
        <f t="shared" ca="1" si="142"/>
        <v>578097.81127431884</v>
      </c>
      <c r="AZ44" s="52">
        <f t="shared" ca="1" si="142"/>
        <v>548407.57599159959</v>
      </c>
      <c r="BA44" s="52">
        <f t="shared" ca="1" si="142"/>
        <v>837667.7079223945</v>
      </c>
      <c r="BB44" s="52">
        <f t="shared" ca="1" si="142"/>
        <v>1051083.5534637121</v>
      </c>
      <c r="BC44" s="52">
        <f t="shared" ca="1" si="142"/>
        <v>601221.72372529143</v>
      </c>
      <c r="BD44" s="52">
        <f t="shared" ca="1" si="142"/>
        <v>576681.03324272193</v>
      </c>
      <c r="BE44" s="52">
        <f t="shared" ca="1" si="142"/>
        <v>871174.41623929003</v>
      </c>
      <c r="BF44" s="52">
        <f t="shared" ca="1" si="142"/>
        <v>1093126.8956022605</v>
      </c>
      <c r="BG44" s="52">
        <f t="shared" ca="1" si="142"/>
        <v>625270.59267430298</v>
      </c>
      <c r="BH44" s="52">
        <f t="shared" ca="1" si="142"/>
        <v>593157.63419251388</v>
      </c>
      <c r="BI44" s="52">
        <f t="shared" ca="1" si="142"/>
        <v>906021.39288886171</v>
      </c>
      <c r="BJ44" s="52">
        <f t="shared" ca="1" si="142"/>
        <v>1136851.9714263508</v>
      </c>
      <c r="BK44" s="52">
        <f t="shared" ca="1" si="142"/>
        <v>650281.41638127505</v>
      </c>
      <c r="BL44" s="52">
        <f t="shared" ca="1" si="142"/>
        <v>616883.93956021441</v>
      </c>
      <c r="BM44" s="52">
        <f t="shared" ca="1" si="142"/>
        <v>942262.24860441603</v>
      </c>
      <c r="BN44" s="52">
        <f t="shared" ca="1" si="142"/>
        <v>1182326.0502834048</v>
      </c>
      <c r="BO44" s="52">
        <f t="shared" ca="1" si="142"/>
        <v>676292.67303652596</v>
      </c>
      <c r="BP44" s="52">
        <f t="shared" ca="1" si="142"/>
        <v>641559.29714262288</v>
      </c>
      <c r="BQ44" s="52">
        <f t="shared" ca="1" si="142"/>
        <v>979952.73854859243</v>
      </c>
      <c r="BR44" s="52">
        <f t="shared" ca="1" si="142"/>
        <v>1229619.0922947407</v>
      </c>
      <c r="BS44" s="52">
        <f t="shared" ca="1" si="142"/>
        <v>703344.37995798665</v>
      </c>
      <c r="BT44" s="52">
        <f t="shared" ca="1" si="142"/>
        <v>674635.24312864244</v>
      </c>
      <c r="BU44" s="52">
        <f t="shared" ca="1" si="142"/>
        <v>1019150.848090536</v>
      </c>
      <c r="BV44" s="52">
        <f t="shared" ca="1" si="142"/>
        <v>1278803.85598653</v>
      </c>
      <c r="BW44" s="52">
        <f t="shared" ca="1" si="142"/>
        <v>731478.15515630599</v>
      </c>
      <c r="BX44" s="52">
        <f t="shared" ref="BX44:CO44" ca="1" si="143">Revenue</f>
        <v>693910.53578946064</v>
      </c>
      <c r="BY44" s="52">
        <f t="shared" ca="1" si="143"/>
        <v>1059916.882014157</v>
      </c>
      <c r="BZ44" s="52">
        <f t="shared" ca="1" si="143"/>
        <v>1329956.010225991</v>
      </c>
      <c r="CA44" s="52">
        <f t="shared" ca="1" si="143"/>
        <v>760737.28136255825</v>
      </c>
      <c r="CB44" s="52">
        <f t="shared" ca="1" si="143"/>
        <v>721666.95722103911</v>
      </c>
      <c r="CC44" s="52">
        <f t="shared" ca="1" si="143"/>
        <v>1102313.5572947236</v>
      </c>
      <c r="CD44" s="52">
        <f t="shared" ca="1" si="143"/>
        <v>1383154.2506350307</v>
      </c>
      <c r="CE44" s="52">
        <f t="shared" ca="1" si="143"/>
        <v>791166.77261706057</v>
      </c>
      <c r="CF44" s="52">
        <f t="shared" ca="1" si="143"/>
        <v>750533.63550988061</v>
      </c>
      <c r="CG44" s="52">
        <f t="shared" ca="1" si="143"/>
        <v>1146406.0995865124</v>
      </c>
      <c r="CH44" s="52">
        <f t="shared" ca="1" si="143"/>
        <v>1438480.4206604315</v>
      </c>
      <c r="CI44" s="52">
        <f t="shared" ca="1" si="143"/>
        <v>822813.44352174317</v>
      </c>
      <c r="CJ44" s="52">
        <f t="shared" ca="1" si="143"/>
        <v>789227.81405172311</v>
      </c>
      <c r="CK44" s="52">
        <f t="shared" ca="1" si="143"/>
        <v>1192262.3435699726</v>
      </c>
      <c r="CL44" s="52">
        <f t="shared" ca="1" si="143"/>
        <v>1496019.6374868487</v>
      </c>
      <c r="CM44" s="52">
        <f t="shared" ca="1" si="143"/>
        <v>855725.98126261262</v>
      </c>
      <c r="CN44" s="52">
        <f t="shared" ca="1" si="143"/>
        <v>811777.18016748666</v>
      </c>
      <c r="CO44" s="52">
        <f t="shared" ca="1" si="143"/>
        <v>1239952.8373127715</v>
      </c>
    </row>
    <row r="45" spans="1:93" s="133" customFormat="1" thickBot="1">
      <c r="A45" s="10"/>
      <c r="B45" s="10"/>
      <c r="C45" s="17" t="s">
        <v>722</v>
      </c>
      <c r="D45" s="10"/>
      <c r="E45" s="10"/>
      <c r="F45" s="10"/>
      <c r="G45" s="134" t="str">
        <f t="shared" si="140"/>
        <v>тыс. руб.</v>
      </c>
      <c r="H45" s="10"/>
      <c r="I45" s="23">
        <f t="shared" ca="1" si="141"/>
        <v>-38547379.439622067</v>
      </c>
      <c r="J45" s="10"/>
      <c r="K45" s="10"/>
      <c r="L45" s="52">
        <f t="shared" ref="L45:BW45" ca="1" si="144">COGS_PL</f>
        <v>0</v>
      </c>
      <c r="M45" s="52">
        <f t="shared" ca="1" si="144"/>
        <v>0</v>
      </c>
      <c r="N45" s="52">
        <f t="shared" ca="1" si="144"/>
        <v>0</v>
      </c>
      <c r="O45" s="52">
        <f t="shared" ca="1" si="144"/>
        <v>0</v>
      </c>
      <c r="P45" s="52">
        <f t="shared" ca="1" si="144"/>
        <v>0</v>
      </c>
      <c r="Q45" s="52">
        <f t="shared" ca="1" si="144"/>
        <v>0</v>
      </c>
      <c r="R45" s="52">
        <f t="shared" ca="1" si="144"/>
        <v>0</v>
      </c>
      <c r="S45" s="52">
        <f t="shared" ca="1" si="144"/>
        <v>0</v>
      </c>
      <c r="T45" s="52">
        <f t="shared" ca="1" si="144"/>
        <v>0</v>
      </c>
      <c r="U45" s="52">
        <f t="shared" ca="1" si="144"/>
        <v>0</v>
      </c>
      <c r="V45" s="52">
        <f t="shared" ca="1" si="144"/>
        <v>0</v>
      </c>
      <c r="W45" s="52">
        <f t="shared" ca="1" si="144"/>
        <v>0</v>
      </c>
      <c r="X45" s="52">
        <f t="shared" ca="1" si="144"/>
        <v>0</v>
      </c>
      <c r="Y45" s="52">
        <f t="shared" ca="1" si="144"/>
        <v>0</v>
      </c>
      <c r="Z45" s="52">
        <f t="shared" ca="1" si="144"/>
        <v>0</v>
      </c>
      <c r="AA45" s="52">
        <f t="shared" ca="1" si="144"/>
        <v>0</v>
      </c>
      <c r="AB45" s="52">
        <f t="shared" ca="1" si="144"/>
        <v>0</v>
      </c>
      <c r="AC45" s="52">
        <f t="shared" ca="1" si="144"/>
        <v>-338364.69457748812</v>
      </c>
      <c r="AD45" s="52">
        <f t="shared" ca="1" si="144"/>
        <v>-440233.51075948874</v>
      </c>
      <c r="AE45" s="52">
        <f t="shared" ca="1" si="144"/>
        <v>-260902.81296897485</v>
      </c>
      <c r="AF45" s="52">
        <f t="shared" ca="1" si="144"/>
        <v>-256039.33641042063</v>
      </c>
      <c r="AG45" s="52">
        <f t="shared" ca="1" si="144"/>
        <v>-403998.14006466302</v>
      </c>
      <c r="AH45" s="52">
        <f t="shared" ca="1" si="144"/>
        <v>-523215.13660697942</v>
      </c>
      <c r="AI45" s="52">
        <f t="shared" ca="1" si="144"/>
        <v>-308731.99285408959</v>
      </c>
      <c r="AJ45" s="52">
        <f t="shared" ca="1" si="144"/>
        <v>-301753.52545773616</v>
      </c>
      <c r="AK45" s="52">
        <f t="shared" ca="1" si="144"/>
        <v>-474340.87767948816</v>
      </c>
      <c r="AL45" s="52">
        <f t="shared" ca="1" si="144"/>
        <v>-612130.91890505375</v>
      </c>
      <c r="AM45" s="52">
        <f t="shared" ca="1" si="144"/>
        <v>-359970.06262926321</v>
      </c>
      <c r="AN45" s="52">
        <f t="shared" ca="1" si="144"/>
        <v>-354611.34320440446</v>
      </c>
      <c r="AO45" s="52">
        <f t="shared" ca="1" si="144"/>
        <v>-549663.95169612917</v>
      </c>
      <c r="AP45" s="52">
        <f t="shared" ca="1" si="144"/>
        <v>-689645.45364490314</v>
      </c>
      <c r="AQ45" s="52">
        <f t="shared" ca="1" si="144"/>
        <v>-394590.32912258612</v>
      </c>
      <c r="AR45" s="52">
        <f t="shared" ca="1" si="144"/>
        <v>-374335.589413982</v>
      </c>
      <c r="AS45" s="52">
        <f t="shared" ca="1" si="144"/>
        <v>-571651.22277057101</v>
      </c>
      <c r="AT45" s="52">
        <f t="shared" ca="1" si="144"/>
        <v>-717231.99973528064</v>
      </c>
      <c r="AU45" s="52">
        <f t="shared" ca="1" si="144"/>
        <v>-410374.67740480497</v>
      </c>
      <c r="AV45" s="52">
        <f t="shared" ca="1" si="144"/>
        <v>-389309.01299054123</v>
      </c>
      <c r="AW45" s="52">
        <f t="shared" ca="1" si="144"/>
        <v>-586465.74265078746</v>
      </c>
      <c r="AX45" s="52">
        <f t="shared" ca="1" si="144"/>
        <v>-735818.43146604754</v>
      </c>
      <c r="AY45" s="52">
        <f t="shared" ca="1" si="144"/>
        <v>-421010.81673520268</v>
      </c>
      <c r="AZ45" s="52">
        <f t="shared" ca="1" si="144"/>
        <v>-399399.31868577609</v>
      </c>
      <c r="BA45" s="52">
        <f t="shared" ca="1" si="144"/>
        <v>-609924.37235681852</v>
      </c>
      <c r="BB45" s="52">
        <f t="shared" ca="1" si="144"/>
        <v>-765251.16872468952</v>
      </c>
      <c r="BC45" s="52">
        <f t="shared" ca="1" si="144"/>
        <v>-437851.24940461077</v>
      </c>
      <c r="BD45" s="52">
        <f t="shared" ca="1" si="144"/>
        <v>-419989.77823935129</v>
      </c>
      <c r="BE45" s="52">
        <f t="shared" ca="1" si="144"/>
        <v>-634320.54521563894</v>
      </c>
      <c r="BF45" s="52">
        <f t="shared" ca="1" si="144"/>
        <v>-795860.39663502329</v>
      </c>
      <c r="BG45" s="52">
        <f t="shared" ca="1" si="144"/>
        <v>-455364.47247379133</v>
      </c>
      <c r="BH45" s="52">
        <f t="shared" ca="1" si="144"/>
        <v>-431990.30309053528</v>
      </c>
      <c r="BI45" s="52">
        <f t="shared" ca="1" si="144"/>
        <v>-659694.20114113495</v>
      </c>
      <c r="BJ45" s="52">
        <f t="shared" ca="1" si="144"/>
        <v>-827695.66409262386</v>
      </c>
      <c r="BK45" s="52">
        <f t="shared" ca="1" si="144"/>
        <v>-473579.91135602683</v>
      </c>
      <c r="BL45" s="52">
        <f t="shared" ca="1" si="144"/>
        <v>-449269.91521415667</v>
      </c>
      <c r="BM45" s="52">
        <f t="shared" ca="1" si="144"/>
        <v>-686081.96918678016</v>
      </c>
      <c r="BN45" s="52">
        <f t="shared" ca="1" si="144"/>
        <v>-860803.49065632862</v>
      </c>
      <c r="BO45" s="52">
        <f t="shared" ca="1" si="144"/>
        <v>-492523.10781026777</v>
      </c>
      <c r="BP45" s="52">
        <f t="shared" ca="1" si="144"/>
        <v>-467240.71182272292</v>
      </c>
      <c r="BQ45" s="52">
        <f t="shared" ca="1" si="144"/>
        <v>-713525.24795425136</v>
      </c>
      <c r="BR45" s="52">
        <f t="shared" ca="1" si="144"/>
        <v>-895235.63028258167</v>
      </c>
      <c r="BS45" s="52">
        <f t="shared" ca="1" si="144"/>
        <v>-512224.03212267824</v>
      </c>
      <c r="BT45" s="52">
        <f t="shared" ca="1" si="144"/>
        <v>-491328.63718580664</v>
      </c>
      <c r="BU45" s="52">
        <f t="shared" ca="1" si="144"/>
        <v>-742065.31960438204</v>
      </c>
      <c r="BV45" s="52">
        <f t="shared" ca="1" si="144"/>
        <v>-931044.09756847634</v>
      </c>
      <c r="BW45" s="52">
        <f t="shared" ca="1" si="144"/>
        <v>-532712.0260433486</v>
      </c>
      <c r="BX45" s="52">
        <f t="shared" ref="BX45:CO45" ca="1" si="145">COGS_PL</f>
        <v>-505367.55390745687</v>
      </c>
      <c r="BY45" s="52">
        <f t="shared" ca="1" si="145"/>
        <v>-771748.90818731789</v>
      </c>
      <c r="BZ45" s="52">
        <f t="shared" ca="1" si="145"/>
        <v>-968286.8577136402</v>
      </c>
      <c r="CA45" s="52">
        <f t="shared" ca="1" si="145"/>
        <v>-554021.51314388867</v>
      </c>
      <c r="CB45" s="52">
        <f t="shared" ca="1" si="145"/>
        <v>-525582.25606375502</v>
      </c>
      <c r="CC45" s="52">
        <f t="shared" ca="1" si="145"/>
        <v>-802618.86451481062</v>
      </c>
      <c r="CD45" s="52">
        <f t="shared" ca="1" si="145"/>
        <v>-1007018.3320221858</v>
      </c>
      <c r="CE45" s="52">
        <f t="shared" ca="1" si="145"/>
        <v>-576182.37366964424</v>
      </c>
      <c r="CF45" s="52">
        <f t="shared" ca="1" si="145"/>
        <v>-546605.54630630522</v>
      </c>
      <c r="CG45" s="52">
        <f t="shared" ca="1" si="145"/>
        <v>-834723.61909540289</v>
      </c>
      <c r="CH45" s="52">
        <f t="shared" ca="1" si="145"/>
        <v>-1047299.0653030727</v>
      </c>
      <c r="CI45" s="52">
        <f t="shared" ca="1" si="145"/>
        <v>-599229.66861643014</v>
      </c>
      <c r="CJ45" s="52">
        <f t="shared" ca="1" si="145"/>
        <v>-574785.01198494982</v>
      </c>
      <c r="CK45" s="52">
        <f t="shared" ca="1" si="145"/>
        <v>-868111.46621832193</v>
      </c>
      <c r="CL45" s="52">
        <f t="shared" ca="1" si="145"/>
        <v>-1089189.9072779571</v>
      </c>
      <c r="CM45" s="52">
        <f t="shared" ca="1" si="145"/>
        <v>-623197.72368175432</v>
      </c>
      <c r="CN45" s="52">
        <f t="shared" ca="1" si="145"/>
        <v>-591208.55888489971</v>
      </c>
      <c r="CO45" s="52">
        <f t="shared" ca="1" si="145"/>
        <v>-902837.06641358766</v>
      </c>
    </row>
    <row r="46" spans="1:93" s="133" customFormat="1" thickTop="1">
      <c r="A46" s="10"/>
      <c r="B46" s="10"/>
      <c r="C46" s="49" t="s">
        <v>135</v>
      </c>
      <c r="D46" s="136"/>
      <c r="E46" s="136"/>
      <c r="F46" s="136"/>
      <c r="G46" s="137" t="str">
        <f t="shared" si="140"/>
        <v>тыс. руб.</v>
      </c>
      <c r="H46" s="136"/>
      <c r="I46" s="23">
        <f t="shared" ca="1" si="141"/>
        <v>16302707.080215143</v>
      </c>
      <c r="J46" s="136"/>
      <c r="K46" s="136"/>
      <c r="L46" s="49">
        <f t="shared" ref="L46" ca="1" si="146">SUM(L44:L45)</f>
        <v>0</v>
      </c>
      <c r="M46" s="49">
        <f t="shared" ref="M46:BX46" ca="1" si="147">SUM(M44:M45)</f>
        <v>0</v>
      </c>
      <c r="N46" s="49">
        <f t="shared" ca="1" si="147"/>
        <v>0</v>
      </c>
      <c r="O46" s="49">
        <f t="shared" ca="1" si="147"/>
        <v>0</v>
      </c>
      <c r="P46" s="49">
        <f t="shared" ca="1" si="147"/>
        <v>0</v>
      </c>
      <c r="Q46" s="49">
        <f t="shared" ca="1" si="147"/>
        <v>0</v>
      </c>
      <c r="R46" s="49">
        <f t="shared" ca="1" si="147"/>
        <v>0</v>
      </c>
      <c r="S46" s="49">
        <f t="shared" ca="1" si="147"/>
        <v>0</v>
      </c>
      <c r="T46" s="49">
        <f t="shared" ca="1" si="147"/>
        <v>0</v>
      </c>
      <c r="U46" s="49">
        <f t="shared" ca="1" si="147"/>
        <v>0</v>
      </c>
      <c r="V46" s="49">
        <f t="shared" ca="1" si="147"/>
        <v>0</v>
      </c>
      <c r="W46" s="49">
        <f t="shared" ca="1" si="147"/>
        <v>0</v>
      </c>
      <c r="X46" s="49">
        <f t="shared" ca="1" si="147"/>
        <v>0</v>
      </c>
      <c r="Y46" s="49">
        <f t="shared" ca="1" si="147"/>
        <v>0</v>
      </c>
      <c r="Z46" s="49">
        <f t="shared" ca="1" si="147"/>
        <v>0</v>
      </c>
      <c r="AA46" s="49">
        <f t="shared" ca="1" si="147"/>
        <v>0</v>
      </c>
      <c r="AB46" s="49">
        <f t="shared" ca="1" si="147"/>
        <v>0</v>
      </c>
      <c r="AC46" s="49">
        <f t="shared" ca="1" si="147"/>
        <v>200364.91035585327</v>
      </c>
      <c r="AD46" s="49">
        <f t="shared" ca="1" si="147"/>
        <v>260786.75991510222</v>
      </c>
      <c r="AE46" s="49">
        <f t="shared" ca="1" si="147"/>
        <v>154402.95850510822</v>
      </c>
      <c r="AF46" s="49">
        <f t="shared" ca="1" si="147"/>
        <v>151522.34377040117</v>
      </c>
      <c r="AG46" s="49">
        <f t="shared" ca="1" si="147"/>
        <v>239284.91412240849</v>
      </c>
      <c r="AH46" s="49">
        <f t="shared" ca="1" si="147"/>
        <v>309997.52796624927</v>
      </c>
      <c r="AI46" s="49">
        <f t="shared" ca="1" si="147"/>
        <v>182760.90635248052</v>
      </c>
      <c r="AJ46" s="49">
        <f t="shared" ca="1" si="147"/>
        <v>178625.84158205934</v>
      </c>
      <c r="AK46" s="49">
        <f t="shared" ca="1" si="147"/>
        <v>280997.93433371873</v>
      </c>
      <c r="AL46" s="49">
        <f t="shared" ca="1" si="147"/>
        <v>362727.8986456237</v>
      </c>
      <c r="AM46" s="49">
        <f t="shared" ca="1" si="147"/>
        <v>213140.44529403449</v>
      </c>
      <c r="AN46" s="49">
        <f t="shared" ca="1" si="147"/>
        <v>209963.14217878412</v>
      </c>
      <c r="AO46" s="49">
        <f t="shared" ca="1" si="147"/>
        <v>325665.82588260353</v>
      </c>
      <c r="AP46" s="49">
        <f t="shared" ca="1" si="147"/>
        <v>408695.48079552618</v>
      </c>
      <c r="AQ46" s="49">
        <f t="shared" ca="1" si="147"/>
        <v>233662.70334684447</v>
      </c>
      <c r="AR46" s="49">
        <f t="shared" ca="1" si="147"/>
        <v>221651.31094541377</v>
      </c>
      <c r="AS46" s="49">
        <f t="shared" ca="1" si="147"/>
        <v>338691.74591131101</v>
      </c>
      <c r="AT46" s="49">
        <f t="shared" ca="1" si="147"/>
        <v>425042.57208276587</v>
      </c>
      <c r="AU46" s="49">
        <f t="shared" ca="1" si="147"/>
        <v>243008.47636340291</v>
      </c>
      <c r="AV46" s="49">
        <f t="shared" ca="1" si="147"/>
        <v>230517.36338323035</v>
      </c>
      <c r="AW46" s="49">
        <f t="shared" ca="1" si="147"/>
        <v>218983.97650536138</v>
      </c>
      <c r="AX46" s="49">
        <f t="shared" ca="1" si="147"/>
        <v>274838.83147982985</v>
      </c>
      <c r="AY46" s="49">
        <f t="shared" ca="1" si="147"/>
        <v>157086.99453911616</v>
      </c>
      <c r="AZ46" s="49">
        <f t="shared" ca="1" si="147"/>
        <v>149008.2573058235</v>
      </c>
      <c r="BA46" s="49">
        <f t="shared" ca="1" si="147"/>
        <v>227743.33556557598</v>
      </c>
      <c r="BB46" s="49">
        <f t="shared" ca="1" si="147"/>
        <v>285832.38473902259</v>
      </c>
      <c r="BC46" s="49">
        <f t="shared" ca="1" si="147"/>
        <v>163370.47432068066</v>
      </c>
      <c r="BD46" s="49">
        <f t="shared" ca="1" si="147"/>
        <v>156691.25500337064</v>
      </c>
      <c r="BE46" s="49">
        <f t="shared" ca="1" si="147"/>
        <v>236853.8710236511</v>
      </c>
      <c r="BF46" s="49">
        <f t="shared" ca="1" si="147"/>
        <v>297266.49896723719</v>
      </c>
      <c r="BG46" s="49">
        <f t="shared" ca="1" si="147"/>
        <v>169906.12020051165</v>
      </c>
      <c r="BH46" s="49">
        <f t="shared" ca="1" si="147"/>
        <v>161167.33110197861</v>
      </c>
      <c r="BI46" s="49">
        <f t="shared" ca="1" si="147"/>
        <v>246327.19174772676</v>
      </c>
      <c r="BJ46" s="49">
        <f t="shared" ca="1" si="147"/>
        <v>309156.3073337269</v>
      </c>
      <c r="BK46" s="49">
        <f t="shared" ca="1" si="147"/>
        <v>176701.50502524822</v>
      </c>
      <c r="BL46" s="49">
        <f t="shared" ca="1" si="147"/>
        <v>167614.02434605773</v>
      </c>
      <c r="BM46" s="49">
        <f t="shared" ca="1" si="147"/>
        <v>256180.27941763587</v>
      </c>
      <c r="BN46" s="49">
        <f t="shared" ca="1" si="147"/>
        <v>321522.55962707615</v>
      </c>
      <c r="BO46" s="49">
        <f t="shared" ca="1" si="147"/>
        <v>183769.56522625819</v>
      </c>
      <c r="BP46" s="49">
        <f t="shared" ca="1" si="147"/>
        <v>174318.58531989995</v>
      </c>
      <c r="BQ46" s="49">
        <f t="shared" ca="1" si="147"/>
        <v>266427.49059434107</v>
      </c>
      <c r="BR46" s="49">
        <f t="shared" ca="1" si="147"/>
        <v>334383.46201215906</v>
      </c>
      <c r="BS46" s="49">
        <f t="shared" ca="1" si="147"/>
        <v>191120.34783530841</v>
      </c>
      <c r="BT46" s="49">
        <f t="shared" ca="1" si="147"/>
        <v>183306.6059428358</v>
      </c>
      <c r="BU46" s="49">
        <f t="shared" ca="1" si="147"/>
        <v>277085.52848615393</v>
      </c>
      <c r="BV46" s="49">
        <f t="shared" ca="1" si="147"/>
        <v>347759.75841805362</v>
      </c>
      <c r="BW46" s="49">
        <f t="shared" ca="1" si="147"/>
        <v>198766.12911295739</v>
      </c>
      <c r="BX46" s="49">
        <f t="shared" ca="1" si="147"/>
        <v>188542.98188200378</v>
      </c>
      <c r="BY46" s="49">
        <f t="shared" ref="BY46:CO46" ca="1" si="148">SUM(BY44:BY45)</f>
        <v>288167.97382683912</v>
      </c>
      <c r="BZ46" s="49">
        <f t="shared" ca="1" si="148"/>
        <v>361669.15251235082</v>
      </c>
      <c r="CA46" s="49">
        <f t="shared" ca="1" si="148"/>
        <v>206715.76821866957</v>
      </c>
      <c r="CB46" s="49">
        <f t="shared" ca="1" si="148"/>
        <v>196084.70115728409</v>
      </c>
      <c r="CC46" s="49">
        <f t="shared" ca="1" si="148"/>
        <v>299694.69277991296</v>
      </c>
      <c r="CD46" s="49">
        <f t="shared" ca="1" si="148"/>
        <v>376135.91861284489</v>
      </c>
      <c r="CE46" s="49">
        <f t="shared" ca="1" si="148"/>
        <v>214984.39894741634</v>
      </c>
      <c r="CF46" s="49">
        <f t="shared" ca="1" si="148"/>
        <v>203928.08920357539</v>
      </c>
      <c r="CG46" s="49">
        <f t="shared" ca="1" si="148"/>
        <v>311682.48049110954</v>
      </c>
      <c r="CH46" s="49">
        <f t="shared" ca="1" si="148"/>
        <v>391181.35535735881</v>
      </c>
      <c r="CI46" s="49">
        <f t="shared" ca="1" si="148"/>
        <v>223583.77490531304</v>
      </c>
      <c r="CJ46" s="49">
        <f t="shared" ca="1" si="148"/>
        <v>214442.80206677329</v>
      </c>
      <c r="CK46" s="49">
        <f t="shared" ca="1" si="148"/>
        <v>324150.87735165062</v>
      </c>
      <c r="CL46" s="49">
        <f t="shared" ca="1" si="148"/>
        <v>406829.73020889168</v>
      </c>
      <c r="CM46" s="49">
        <f t="shared" ca="1" si="148"/>
        <v>232528.25758085831</v>
      </c>
      <c r="CN46" s="49">
        <f t="shared" ca="1" si="148"/>
        <v>220568.62128258694</v>
      </c>
      <c r="CO46" s="49">
        <f t="shared" ca="1" si="148"/>
        <v>337115.77089918382</v>
      </c>
    </row>
    <row r="47" spans="1:93" s="133" customFormat="1" thickBot="1">
      <c r="A47" s="10"/>
      <c r="B47" s="10"/>
      <c r="C47" s="17" t="s">
        <v>751</v>
      </c>
      <c r="D47" s="10"/>
      <c r="E47" s="10"/>
      <c r="F47" s="10"/>
      <c r="G47" s="134" t="str">
        <f t="shared" si="140"/>
        <v>тыс. руб.</v>
      </c>
      <c r="H47" s="10"/>
      <c r="I47" s="23">
        <f t="shared" ca="1" si="141"/>
        <v>-234399.59558506194</v>
      </c>
      <c r="J47" s="10"/>
      <c r="K47" s="10"/>
      <c r="L47" s="52">
        <f t="shared" ref="L47:BW47" ca="1" si="149">SGA_PL</f>
        <v>0</v>
      </c>
      <c r="M47" s="52">
        <f t="shared" ca="1" si="149"/>
        <v>0</v>
      </c>
      <c r="N47" s="52">
        <f t="shared" ca="1" si="149"/>
        <v>0</v>
      </c>
      <c r="O47" s="52">
        <f t="shared" ca="1" si="149"/>
        <v>0</v>
      </c>
      <c r="P47" s="52">
        <f t="shared" ca="1" si="149"/>
        <v>0</v>
      </c>
      <c r="Q47" s="52">
        <f t="shared" ca="1" si="149"/>
        <v>0</v>
      </c>
      <c r="R47" s="52">
        <f t="shared" ca="1" si="149"/>
        <v>0</v>
      </c>
      <c r="S47" s="52">
        <f t="shared" ca="1" si="149"/>
        <v>0</v>
      </c>
      <c r="T47" s="52">
        <f t="shared" ca="1" si="149"/>
        <v>0</v>
      </c>
      <c r="U47" s="52">
        <f t="shared" ca="1" si="149"/>
        <v>0</v>
      </c>
      <c r="V47" s="52">
        <f t="shared" ca="1" si="149"/>
        <v>0</v>
      </c>
      <c r="W47" s="52">
        <f t="shared" ca="1" si="149"/>
        <v>0</v>
      </c>
      <c r="X47" s="52">
        <f t="shared" ca="1" si="149"/>
        <v>0</v>
      </c>
      <c r="Y47" s="52">
        <f t="shared" ca="1" si="149"/>
        <v>0</v>
      </c>
      <c r="Z47" s="52">
        <f t="shared" ca="1" si="149"/>
        <v>0</v>
      </c>
      <c r="AA47" s="52">
        <f t="shared" ca="1" si="149"/>
        <v>0</v>
      </c>
      <c r="AB47" s="52">
        <f t="shared" ca="1" si="149"/>
        <v>0</v>
      </c>
      <c r="AC47" s="52">
        <f t="shared" ca="1" si="149"/>
        <v>-3596.4193556298515</v>
      </c>
      <c r="AD47" s="52">
        <f t="shared" ca="1" si="149"/>
        <v>-3635.9404474499602</v>
      </c>
      <c r="AE47" s="52">
        <f t="shared" ca="1" si="149"/>
        <v>-3635.9404474499602</v>
      </c>
      <c r="AF47" s="52">
        <f t="shared" ca="1" si="149"/>
        <v>-3556.8982638097432</v>
      </c>
      <c r="AG47" s="52">
        <f t="shared" ca="1" si="149"/>
        <v>-3596.4193556298515</v>
      </c>
      <c r="AH47" s="52">
        <f t="shared" ca="1" si="149"/>
        <v>-3635.9404474499602</v>
      </c>
      <c r="AI47" s="52">
        <f t="shared" ca="1" si="149"/>
        <v>-3635.9404474499602</v>
      </c>
      <c r="AJ47" s="52">
        <f t="shared" ca="1" si="149"/>
        <v>-3556.8982638097432</v>
      </c>
      <c r="AK47" s="52">
        <f t="shared" ca="1" si="149"/>
        <v>-3596.4193556298515</v>
      </c>
      <c r="AL47" s="52">
        <f t="shared" ca="1" si="149"/>
        <v>-3635.9404474499602</v>
      </c>
      <c r="AM47" s="52">
        <f t="shared" ca="1" si="149"/>
        <v>-3635.9404474499602</v>
      </c>
      <c r="AN47" s="52">
        <f t="shared" ca="1" si="149"/>
        <v>-3586.59307323742</v>
      </c>
      <c r="AO47" s="52">
        <f t="shared" ca="1" si="149"/>
        <v>-3586.59307323742</v>
      </c>
      <c r="AP47" s="52">
        <f t="shared" ca="1" si="149"/>
        <v>-3626.0061839323371</v>
      </c>
      <c r="AQ47" s="52">
        <f t="shared" ca="1" si="149"/>
        <v>-3626.0061839323371</v>
      </c>
      <c r="AR47" s="52">
        <f t="shared" ca="1" si="149"/>
        <v>-3556.8982638097432</v>
      </c>
      <c r="AS47" s="52">
        <f t="shared" ca="1" si="149"/>
        <v>-3596.4193556298515</v>
      </c>
      <c r="AT47" s="52">
        <f t="shared" ca="1" si="149"/>
        <v>-3635.9404474499602</v>
      </c>
      <c r="AU47" s="52">
        <f t="shared" ca="1" si="149"/>
        <v>-3635.9404474499602</v>
      </c>
      <c r="AV47" s="52">
        <f t="shared" ca="1" si="149"/>
        <v>-3556.8982638097432</v>
      </c>
      <c r="AW47" s="52">
        <f t="shared" ca="1" si="149"/>
        <v>-3596.4193556298515</v>
      </c>
      <c r="AX47" s="52">
        <f t="shared" ca="1" si="149"/>
        <v>-3635.9404474499602</v>
      </c>
      <c r="AY47" s="52">
        <f t="shared" ca="1" si="149"/>
        <v>-3635.9404474499602</v>
      </c>
      <c r="AZ47" s="52">
        <f t="shared" ca="1" si="149"/>
        <v>-3556.8982638097432</v>
      </c>
      <c r="BA47" s="52">
        <f t="shared" ca="1" si="149"/>
        <v>-3596.4193556298515</v>
      </c>
      <c r="BB47" s="52">
        <f t="shared" ca="1" si="149"/>
        <v>-3635.9404474499602</v>
      </c>
      <c r="BC47" s="52">
        <f t="shared" ca="1" si="149"/>
        <v>-3635.9404474499602</v>
      </c>
      <c r="BD47" s="52">
        <f t="shared" ca="1" si="149"/>
        <v>-3586.59307323742</v>
      </c>
      <c r="BE47" s="52">
        <f t="shared" ca="1" si="149"/>
        <v>-3586.59307323742</v>
      </c>
      <c r="BF47" s="52">
        <f t="shared" ca="1" si="149"/>
        <v>-3626.0061839323371</v>
      </c>
      <c r="BG47" s="52">
        <f t="shared" ca="1" si="149"/>
        <v>-3626.0061839323371</v>
      </c>
      <c r="BH47" s="52">
        <f t="shared" ca="1" si="149"/>
        <v>-3556.8982638097432</v>
      </c>
      <c r="BI47" s="52">
        <f t="shared" ca="1" si="149"/>
        <v>-3596.4193556298515</v>
      </c>
      <c r="BJ47" s="52">
        <f t="shared" ca="1" si="149"/>
        <v>-3635.9404474499602</v>
      </c>
      <c r="BK47" s="52">
        <f t="shared" ca="1" si="149"/>
        <v>-3635.9404474499602</v>
      </c>
      <c r="BL47" s="52">
        <f t="shared" ca="1" si="149"/>
        <v>-3556.8982638097432</v>
      </c>
      <c r="BM47" s="52">
        <f t="shared" ca="1" si="149"/>
        <v>-3596.4193556298515</v>
      </c>
      <c r="BN47" s="52">
        <f t="shared" ca="1" si="149"/>
        <v>-3635.9404474499602</v>
      </c>
      <c r="BO47" s="52">
        <f t="shared" ca="1" si="149"/>
        <v>-3635.9404474499602</v>
      </c>
      <c r="BP47" s="52">
        <f t="shared" ca="1" si="149"/>
        <v>-3556.8982638097432</v>
      </c>
      <c r="BQ47" s="52">
        <f t="shared" ca="1" si="149"/>
        <v>-3596.4193556298515</v>
      </c>
      <c r="BR47" s="52">
        <f t="shared" ca="1" si="149"/>
        <v>-3635.9404474499602</v>
      </c>
      <c r="BS47" s="52">
        <f t="shared" ca="1" si="149"/>
        <v>-3635.9404474499602</v>
      </c>
      <c r="BT47" s="52">
        <f t="shared" ca="1" si="149"/>
        <v>-3586.59307323742</v>
      </c>
      <c r="BU47" s="52">
        <f t="shared" ca="1" si="149"/>
        <v>-3586.59307323742</v>
      </c>
      <c r="BV47" s="52">
        <f t="shared" ca="1" si="149"/>
        <v>-3626.0061839323371</v>
      </c>
      <c r="BW47" s="52">
        <f t="shared" ca="1" si="149"/>
        <v>-3626.0061839323371</v>
      </c>
      <c r="BX47" s="52">
        <f t="shared" ref="BX47:CO47" ca="1" si="150">SGA_PL</f>
        <v>-3556.8982638097432</v>
      </c>
      <c r="BY47" s="52">
        <f t="shared" ca="1" si="150"/>
        <v>-3596.4193556298515</v>
      </c>
      <c r="BZ47" s="52">
        <f t="shared" ca="1" si="150"/>
        <v>-3635.9404474499602</v>
      </c>
      <c r="CA47" s="52">
        <f t="shared" ca="1" si="150"/>
        <v>-3635.9404474499602</v>
      </c>
      <c r="CB47" s="52">
        <f t="shared" ca="1" si="150"/>
        <v>-3556.8982638097432</v>
      </c>
      <c r="CC47" s="52">
        <f t="shared" ca="1" si="150"/>
        <v>-3596.4193556298515</v>
      </c>
      <c r="CD47" s="52">
        <f t="shared" ca="1" si="150"/>
        <v>-3635.9404474499602</v>
      </c>
      <c r="CE47" s="52">
        <f t="shared" ca="1" si="150"/>
        <v>-3635.9404474499602</v>
      </c>
      <c r="CF47" s="52">
        <f t="shared" ca="1" si="150"/>
        <v>-3556.8982638097432</v>
      </c>
      <c r="CG47" s="52">
        <f t="shared" ca="1" si="150"/>
        <v>-3596.4193556298515</v>
      </c>
      <c r="CH47" s="52">
        <f t="shared" ca="1" si="150"/>
        <v>-3635.9404474499602</v>
      </c>
      <c r="CI47" s="52">
        <f t="shared" ca="1" si="150"/>
        <v>-3635.9404474499602</v>
      </c>
      <c r="CJ47" s="52">
        <f t="shared" ca="1" si="150"/>
        <v>-3586.59307323742</v>
      </c>
      <c r="CK47" s="52">
        <f t="shared" ca="1" si="150"/>
        <v>-3586.59307323742</v>
      </c>
      <c r="CL47" s="52">
        <f t="shared" ca="1" si="150"/>
        <v>-3626.0061839323371</v>
      </c>
      <c r="CM47" s="52">
        <f t="shared" ca="1" si="150"/>
        <v>-3626.0061839323371</v>
      </c>
      <c r="CN47" s="52">
        <f t="shared" ca="1" si="150"/>
        <v>-3556.8982638097432</v>
      </c>
      <c r="CO47" s="52">
        <f t="shared" ca="1" si="150"/>
        <v>-3596.4193556298515</v>
      </c>
    </row>
    <row r="48" spans="1:93" s="133" customFormat="1" thickTop="1">
      <c r="A48" s="10"/>
      <c r="B48" s="10"/>
      <c r="C48" s="49" t="s">
        <v>765</v>
      </c>
      <c r="D48" s="136"/>
      <c r="E48" s="136"/>
      <c r="F48" s="136"/>
      <c r="G48" s="137" t="str">
        <f t="shared" si="140"/>
        <v>тыс. руб.</v>
      </c>
      <c r="H48" s="136"/>
      <c r="I48" s="23">
        <f t="shared" ca="1" si="141"/>
        <v>16068307.484630087</v>
      </c>
      <c r="J48" s="136"/>
      <c r="K48" s="136"/>
      <c r="L48" s="49">
        <f ca="1">SUM(L46:L47)</f>
        <v>0</v>
      </c>
      <c r="M48" s="49">
        <f t="shared" ref="M48:BX48" ca="1" si="151">SUM(M46:M47)</f>
        <v>0</v>
      </c>
      <c r="N48" s="49">
        <f t="shared" ca="1" si="151"/>
        <v>0</v>
      </c>
      <c r="O48" s="49">
        <f t="shared" ca="1" si="151"/>
        <v>0</v>
      </c>
      <c r="P48" s="49">
        <f t="shared" ca="1" si="151"/>
        <v>0</v>
      </c>
      <c r="Q48" s="49">
        <f t="shared" ca="1" si="151"/>
        <v>0</v>
      </c>
      <c r="R48" s="49">
        <f t="shared" ca="1" si="151"/>
        <v>0</v>
      </c>
      <c r="S48" s="49">
        <f t="shared" ca="1" si="151"/>
        <v>0</v>
      </c>
      <c r="T48" s="49">
        <f t="shared" ca="1" si="151"/>
        <v>0</v>
      </c>
      <c r="U48" s="49">
        <f t="shared" ca="1" si="151"/>
        <v>0</v>
      </c>
      <c r="V48" s="49">
        <f t="shared" ca="1" si="151"/>
        <v>0</v>
      </c>
      <c r="W48" s="49">
        <f t="shared" ca="1" si="151"/>
        <v>0</v>
      </c>
      <c r="X48" s="49">
        <f t="shared" ca="1" si="151"/>
        <v>0</v>
      </c>
      <c r="Y48" s="49">
        <f t="shared" ca="1" si="151"/>
        <v>0</v>
      </c>
      <c r="Z48" s="49">
        <f t="shared" ca="1" si="151"/>
        <v>0</v>
      </c>
      <c r="AA48" s="49">
        <f t="shared" ca="1" si="151"/>
        <v>0</v>
      </c>
      <c r="AB48" s="49">
        <f t="shared" ca="1" si="151"/>
        <v>0</v>
      </c>
      <c r="AC48" s="49">
        <f t="shared" ca="1" si="151"/>
        <v>196768.49100022341</v>
      </c>
      <c r="AD48" s="49">
        <f t="shared" ca="1" si="151"/>
        <v>257150.81946765227</v>
      </c>
      <c r="AE48" s="49">
        <f t="shared" ca="1" si="151"/>
        <v>150767.01805765828</v>
      </c>
      <c r="AF48" s="49">
        <f t="shared" ca="1" si="151"/>
        <v>147965.44550659144</v>
      </c>
      <c r="AG48" s="49">
        <f t="shared" ca="1" si="151"/>
        <v>235688.49476677863</v>
      </c>
      <c r="AH48" s="49">
        <f t="shared" ca="1" si="151"/>
        <v>306361.58751879929</v>
      </c>
      <c r="AI48" s="49">
        <f t="shared" ca="1" si="151"/>
        <v>179124.96590503058</v>
      </c>
      <c r="AJ48" s="49">
        <f t="shared" ca="1" si="151"/>
        <v>175068.9433182496</v>
      </c>
      <c r="AK48" s="49">
        <f t="shared" ca="1" si="151"/>
        <v>277401.5149780889</v>
      </c>
      <c r="AL48" s="49">
        <f t="shared" ca="1" si="151"/>
        <v>359091.95819817373</v>
      </c>
      <c r="AM48" s="49">
        <f t="shared" ca="1" si="151"/>
        <v>209504.50484658455</v>
      </c>
      <c r="AN48" s="49">
        <f t="shared" ca="1" si="151"/>
        <v>206376.5491055467</v>
      </c>
      <c r="AO48" s="49">
        <f t="shared" ca="1" si="151"/>
        <v>322079.23280936613</v>
      </c>
      <c r="AP48" s="49">
        <f t="shared" ca="1" si="151"/>
        <v>405069.47461159382</v>
      </c>
      <c r="AQ48" s="49">
        <f t="shared" ca="1" si="151"/>
        <v>230036.69716291214</v>
      </c>
      <c r="AR48" s="49">
        <f t="shared" ca="1" si="151"/>
        <v>218094.41268160404</v>
      </c>
      <c r="AS48" s="49">
        <f t="shared" ca="1" si="151"/>
        <v>335095.32655568118</v>
      </c>
      <c r="AT48" s="49">
        <f t="shared" ca="1" si="151"/>
        <v>421406.63163531589</v>
      </c>
      <c r="AU48" s="49">
        <f t="shared" ca="1" si="151"/>
        <v>239372.53591595296</v>
      </c>
      <c r="AV48" s="49">
        <f t="shared" ca="1" si="151"/>
        <v>226960.46511942061</v>
      </c>
      <c r="AW48" s="49">
        <f t="shared" ca="1" si="151"/>
        <v>215387.55714973152</v>
      </c>
      <c r="AX48" s="49">
        <f t="shared" ca="1" si="151"/>
        <v>271202.89103237988</v>
      </c>
      <c r="AY48" s="49">
        <f t="shared" ca="1" si="151"/>
        <v>153451.05409166621</v>
      </c>
      <c r="AZ48" s="49">
        <f t="shared" ca="1" si="151"/>
        <v>145451.35904201376</v>
      </c>
      <c r="BA48" s="49">
        <f t="shared" ca="1" si="151"/>
        <v>224146.91620994612</v>
      </c>
      <c r="BB48" s="49">
        <f t="shared" ca="1" si="151"/>
        <v>282196.44429157261</v>
      </c>
      <c r="BC48" s="49">
        <f t="shared" ca="1" si="151"/>
        <v>159734.53387323071</v>
      </c>
      <c r="BD48" s="49">
        <f t="shared" ca="1" si="151"/>
        <v>153104.66193013321</v>
      </c>
      <c r="BE48" s="49">
        <f t="shared" ca="1" si="151"/>
        <v>233267.27795041367</v>
      </c>
      <c r="BF48" s="49">
        <f t="shared" ca="1" si="151"/>
        <v>293640.49278330483</v>
      </c>
      <c r="BG48" s="49">
        <f t="shared" ca="1" si="151"/>
        <v>166280.11401657932</v>
      </c>
      <c r="BH48" s="49">
        <f t="shared" ca="1" si="151"/>
        <v>157610.43283816887</v>
      </c>
      <c r="BI48" s="49">
        <f t="shared" ca="1" si="151"/>
        <v>242730.7723920969</v>
      </c>
      <c r="BJ48" s="49">
        <f t="shared" ca="1" si="151"/>
        <v>305520.36688627693</v>
      </c>
      <c r="BK48" s="49">
        <f t="shared" ca="1" si="151"/>
        <v>173065.56457779827</v>
      </c>
      <c r="BL48" s="49">
        <f t="shared" ca="1" si="151"/>
        <v>164057.126082248</v>
      </c>
      <c r="BM48" s="49">
        <f t="shared" ca="1" si="151"/>
        <v>252583.86006200602</v>
      </c>
      <c r="BN48" s="49">
        <f t="shared" ca="1" si="151"/>
        <v>317886.61917962617</v>
      </c>
      <c r="BO48" s="49">
        <f t="shared" ca="1" si="151"/>
        <v>180133.62477880824</v>
      </c>
      <c r="BP48" s="49">
        <f t="shared" ca="1" si="151"/>
        <v>170761.68705609022</v>
      </c>
      <c r="BQ48" s="49">
        <f t="shared" ca="1" si="151"/>
        <v>262831.07123871124</v>
      </c>
      <c r="BR48" s="49">
        <f t="shared" ca="1" si="151"/>
        <v>330747.52156470908</v>
      </c>
      <c r="BS48" s="49">
        <f t="shared" ca="1" si="151"/>
        <v>187484.40738785846</v>
      </c>
      <c r="BT48" s="49">
        <f t="shared" ca="1" si="151"/>
        <v>179720.01286959837</v>
      </c>
      <c r="BU48" s="49">
        <f t="shared" ca="1" si="151"/>
        <v>273498.93541291653</v>
      </c>
      <c r="BV48" s="49">
        <f t="shared" ca="1" si="151"/>
        <v>344133.75223412126</v>
      </c>
      <c r="BW48" s="49">
        <f t="shared" ca="1" si="151"/>
        <v>195140.12292902506</v>
      </c>
      <c r="BX48" s="49">
        <f t="shared" ca="1" si="151"/>
        <v>184986.08361819404</v>
      </c>
      <c r="BY48" s="49">
        <f t="shared" ref="BY48:CO48" ca="1" si="152">SUM(BY46:BY47)</f>
        <v>284571.5544712093</v>
      </c>
      <c r="BZ48" s="49">
        <f t="shared" ca="1" si="152"/>
        <v>358033.21206490084</v>
      </c>
      <c r="CA48" s="49">
        <f t="shared" ca="1" si="152"/>
        <v>203079.82777121963</v>
      </c>
      <c r="CB48" s="49">
        <f t="shared" ca="1" si="152"/>
        <v>192527.80289347435</v>
      </c>
      <c r="CC48" s="49">
        <f t="shared" ca="1" si="152"/>
        <v>296098.27342428314</v>
      </c>
      <c r="CD48" s="49">
        <f t="shared" ca="1" si="152"/>
        <v>372499.97816539492</v>
      </c>
      <c r="CE48" s="49">
        <f t="shared" ca="1" si="152"/>
        <v>211348.45849996639</v>
      </c>
      <c r="CF48" s="49">
        <f t="shared" ca="1" si="152"/>
        <v>200371.19093976566</v>
      </c>
      <c r="CG48" s="49">
        <f t="shared" ca="1" si="152"/>
        <v>308086.06113547971</v>
      </c>
      <c r="CH48" s="49">
        <f t="shared" ca="1" si="152"/>
        <v>387545.41490990884</v>
      </c>
      <c r="CI48" s="49">
        <f t="shared" ca="1" si="152"/>
        <v>219947.83445786309</v>
      </c>
      <c r="CJ48" s="49">
        <f t="shared" ca="1" si="152"/>
        <v>210856.20899353587</v>
      </c>
      <c r="CK48" s="49">
        <f t="shared" ca="1" si="152"/>
        <v>320564.28427841322</v>
      </c>
      <c r="CL48" s="49">
        <f t="shared" ca="1" si="152"/>
        <v>403203.72402495932</v>
      </c>
      <c r="CM48" s="49">
        <f t="shared" ca="1" si="152"/>
        <v>228902.25139692597</v>
      </c>
      <c r="CN48" s="49">
        <f t="shared" ca="1" si="152"/>
        <v>217011.72301877721</v>
      </c>
      <c r="CO48" s="49">
        <f t="shared" ca="1" si="152"/>
        <v>333519.35154355399</v>
      </c>
    </row>
    <row r="49" spans="1:93" s="133" customFormat="1" ht="14">
      <c r="A49" s="10"/>
      <c r="B49" s="10"/>
      <c r="C49" s="17" t="s">
        <v>138</v>
      </c>
      <c r="D49" s="10"/>
      <c r="E49" s="10"/>
      <c r="F49" s="10"/>
      <c r="G49" s="134" t="str">
        <f t="shared" si="140"/>
        <v>тыс. руб.</v>
      </c>
      <c r="H49" s="10"/>
      <c r="I49" s="23">
        <f t="shared" si="141"/>
        <v>0</v>
      </c>
      <c r="J49" s="10"/>
      <c r="K49" s="10"/>
      <c r="L49" s="52">
        <f t="shared" ref="L49:BW49" si="153">L50</f>
        <v>0</v>
      </c>
      <c r="M49" s="52">
        <f t="shared" si="153"/>
        <v>0</v>
      </c>
      <c r="N49" s="52">
        <f t="shared" si="153"/>
        <v>0</v>
      </c>
      <c r="O49" s="52">
        <f t="shared" si="153"/>
        <v>0</v>
      </c>
      <c r="P49" s="52">
        <f t="shared" si="153"/>
        <v>0</v>
      </c>
      <c r="Q49" s="52">
        <f t="shared" si="153"/>
        <v>0</v>
      </c>
      <c r="R49" s="52">
        <f t="shared" si="153"/>
        <v>0</v>
      </c>
      <c r="S49" s="52">
        <f t="shared" si="153"/>
        <v>0</v>
      </c>
      <c r="T49" s="52">
        <f t="shared" si="153"/>
        <v>0</v>
      </c>
      <c r="U49" s="52">
        <f t="shared" si="153"/>
        <v>0</v>
      </c>
      <c r="V49" s="52">
        <f t="shared" si="153"/>
        <v>0</v>
      </c>
      <c r="W49" s="52">
        <f t="shared" si="153"/>
        <v>0</v>
      </c>
      <c r="X49" s="52">
        <f t="shared" si="153"/>
        <v>0</v>
      </c>
      <c r="Y49" s="52">
        <f t="shared" si="153"/>
        <v>0</v>
      </c>
      <c r="Z49" s="52">
        <f t="shared" si="153"/>
        <v>0</v>
      </c>
      <c r="AA49" s="52">
        <f t="shared" si="153"/>
        <v>0</v>
      </c>
      <c r="AB49" s="52">
        <f t="shared" si="153"/>
        <v>0</v>
      </c>
      <c r="AC49" s="52">
        <f t="shared" si="153"/>
        <v>0</v>
      </c>
      <c r="AD49" s="52">
        <f t="shared" si="153"/>
        <v>0</v>
      </c>
      <c r="AE49" s="52">
        <f t="shared" si="153"/>
        <v>0</v>
      </c>
      <c r="AF49" s="52">
        <f t="shared" si="153"/>
        <v>0</v>
      </c>
      <c r="AG49" s="52">
        <f t="shared" si="153"/>
        <v>0</v>
      </c>
      <c r="AH49" s="52">
        <f t="shared" si="153"/>
        <v>0</v>
      </c>
      <c r="AI49" s="52">
        <f t="shared" si="153"/>
        <v>0</v>
      </c>
      <c r="AJ49" s="52">
        <f t="shared" si="153"/>
        <v>0</v>
      </c>
      <c r="AK49" s="52">
        <f t="shared" si="153"/>
        <v>0</v>
      </c>
      <c r="AL49" s="52">
        <f t="shared" si="153"/>
        <v>0</v>
      </c>
      <c r="AM49" s="52">
        <f t="shared" si="153"/>
        <v>0</v>
      </c>
      <c r="AN49" s="52">
        <f t="shared" si="153"/>
        <v>0</v>
      </c>
      <c r="AO49" s="52">
        <f t="shared" si="153"/>
        <v>0</v>
      </c>
      <c r="AP49" s="52">
        <f t="shared" si="153"/>
        <v>0</v>
      </c>
      <c r="AQ49" s="52">
        <f t="shared" si="153"/>
        <v>0</v>
      </c>
      <c r="AR49" s="52">
        <f t="shared" si="153"/>
        <v>0</v>
      </c>
      <c r="AS49" s="52">
        <f t="shared" si="153"/>
        <v>0</v>
      </c>
      <c r="AT49" s="52">
        <f t="shared" si="153"/>
        <v>0</v>
      </c>
      <c r="AU49" s="52">
        <f t="shared" si="153"/>
        <v>0</v>
      </c>
      <c r="AV49" s="52">
        <f t="shared" si="153"/>
        <v>0</v>
      </c>
      <c r="AW49" s="52">
        <f t="shared" si="153"/>
        <v>0</v>
      </c>
      <c r="AX49" s="52">
        <f t="shared" si="153"/>
        <v>0</v>
      </c>
      <c r="AY49" s="52">
        <f t="shared" si="153"/>
        <v>0</v>
      </c>
      <c r="AZ49" s="52">
        <f t="shared" si="153"/>
        <v>0</v>
      </c>
      <c r="BA49" s="52">
        <f t="shared" si="153"/>
        <v>0</v>
      </c>
      <c r="BB49" s="52">
        <f t="shared" si="153"/>
        <v>0</v>
      </c>
      <c r="BC49" s="52">
        <f t="shared" si="153"/>
        <v>0</v>
      </c>
      <c r="BD49" s="52">
        <f t="shared" si="153"/>
        <v>0</v>
      </c>
      <c r="BE49" s="52">
        <f t="shared" si="153"/>
        <v>0</v>
      </c>
      <c r="BF49" s="52">
        <f t="shared" si="153"/>
        <v>0</v>
      </c>
      <c r="BG49" s="52">
        <f t="shared" si="153"/>
        <v>0</v>
      </c>
      <c r="BH49" s="52">
        <f t="shared" si="153"/>
        <v>0</v>
      </c>
      <c r="BI49" s="52">
        <f t="shared" si="153"/>
        <v>0</v>
      </c>
      <c r="BJ49" s="52">
        <f t="shared" si="153"/>
        <v>0</v>
      </c>
      <c r="BK49" s="52">
        <f t="shared" si="153"/>
        <v>0</v>
      </c>
      <c r="BL49" s="52">
        <f t="shared" si="153"/>
        <v>0</v>
      </c>
      <c r="BM49" s="52">
        <f t="shared" si="153"/>
        <v>0</v>
      </c>
      <c r="BN49" s="52">
        <f t="shared" si="153"/>
        <v>0</v>
      </c>
      <c r="BO49" s="52">
        <f t="shared" si="153"/>
        <v>0</v>
      </c>
      <c r="BP49" s="52">
        <f t="shared" si="153"/>
        <v>0</v>
      </c>
      <c r="BQ49" s="52">
        <f t="shared" si="153"/>
        <v>0</v>
      </c>
      <c r="BR49" s="52">
        <f t="shared" si="153"/>
        <v>0</v>
      </c>
      <c r="BS49" s="52">
        <f t="shared" si="153"/>
        <v>0</v>
      </c>
      <c r="BT49" s="52">
        <f t="shared" si="153"/>
        <v>0</v>
      </c>
      <c r="BU49" s="52">
        <f t="shared" si="153"/>
        <v>0</v>
      </c>
      <c r="BV49" s="52">
        <f t="shared" si="153"/>
        <v>0</v>
      </c>
      <c r="BW49" s="52">
        <f t="shared" si="153"/>
        <v>0</v>
      </c>
      <c r="BX49" s="52">
        <f t="shared" ref="BX49:CO49" si="154">BX50</f>
        <v>0</v>
      </c>
      <c r="BY49" s="52">
        <f t="shared" si="154"/>
        <v>0</v>
      </c>
      <c r="BZ49" s="52">
        <f t="shared" si="154"/>
        <v>0</v>
      </c>
      <c r="CA49" s="52">
        <f t="shared" si="154"/>
        <v>0</v>
      </c>
      <c r="CB49" s="52">
        <f t="shared" si="154"/>
        <v>0</v>
      </c>
      <c r="CC49" s="52">
        <f t="shared" si="154"/>
        <v>0</v>
      </c>
      <c r="CD49" s="52">
        <f t="shared" si="154"/>
        <v>0</v>
      </c>
      <c r="CE49" s="52">
        <f t="shared" si="154"/>
        <v>0</v>
      </c>
      <c r="CF49" s="52">
        <f t="shared" si="154"/>
        <v>0</v>
      </c>
      <c r="CG49" s="52">
        <f t="shared" si="154"/>
        <v>0</v>
      </c>
      <c r="CH49" s="52">
        <f t="shared" si="154"/>
        <v>0</v>
      </c>
      <c r="CI49" s="52">
        <f t="shared" si="154"/>
        <v>0</v>
      </c>
      <c r="CJ49" s="52">
        <f t="shared" si="154"/>
        <v>0</v>
      </c>
      <c r="CK49" s="52">
        <f t="shared" si="154"/>
        <v>0</v>
      </c>
      <c r="CL49" s="52">
        <f t="shared" si="154"/>
        <v>0</v>
      </c>
      <c r="CM49" s="52">
        <f t="shared" si="154"/>
        <v>0</v>
      </c>
      <c r="CN49" s="52">
        <f t="shared" si="154"/>
        <v>0</v>
      </c>
      <c r="CO49" s="52">
        <f t="shared" si="154"/>
        <v>0</v>
      </c>
    </row>
    <row r="50" spans="1:93" s="133" customFormat="1" ht="14">
      <c r="A50" s="10"/>
      <c r="B50" s="10"/>
      <c r="C50" s="138" t="s">
        <v>56</v>
      </c>
      <c r="D50" s="10"/>
      <c r="E50" s="10"/>
      <c r="F50" s="10"/>
      <c r="G50" s="134" t="str">
        <f t="shared" si="140"/>
        <v>тыс. руб.</v>
      </c>
      <c r="H50" s="10"/>
      <c r="I50" s="23">
        <f t="shared" si="141"/>
        <v>0</v>
      </c>
      <c r="J50" s="10"/>
      <c r="K50" s="10"/>
      <c r="L50" s="52">
        <f t="shared" ref="L50:BW50" si="155">Bank_Fees*Flag_Operations</f>
        <v>0</v>
      </c>
      <c r="M50" s="52">
        <f t="shared" si="155"/>
        <v>0</v>
      </c>
      <c r="N50" s="52">
        <f t="shared" si="155"/>
        <v>0</v>
      </c>
      <c r="O50" s="52">
        <f t="shared" si="155"/>
        <v>0</v>
      </c>
      <c r="P50" s="52">
        <f t="shared" si="155"/>
        <v>0</v>
      </c>
      <c r="Q50" s="52">
        <f t="shared" si="155"/>
        <v>0</v>
      </c>
      <c r="R50" s="52">
        <f t="shared" si="155"/>
        <v>0</v>
      </c>
      <c r="S50" s="52">
        <f t="shared" si="155"/>
        <v>0</v>
      </c>
      <c r="T50" s="52">
        <f t="shared" si="155"/>
        <v>0</v>
      </c>
      <c r="U50" s="52">
        <f t="shared" si="155"/>
        <v>0</v>
      </c>
      <c r="V50" s="52">
        <f t="shared" si="155"/>
        <v>0</v>
      </c>
      <c r="W50" s="52">
        <f t="shared" si="155"/>
        <v>0</v>
      </c>
      <c r="X50" s="52">
        <f t="shared" si="155"/>
        <v>0</v>
      </c>
      <c r="Y50" s="52">
        <f t="shared" si="155"/>
        <v>0</v>
      </c>
      <c r="Z50" s="52">
        <f t="shared" si="155"/>
        <v>0</v>
      </c>
      <c r="AA50" s="52">
        <f t="shared" si="155"/>
        <v>0</v>
      </c>
      <c r="AB50" s="52">
        <f t="shared" si="155"/>
        <v>0</v>
      </c>
      <c r="AC50" s="52">
        <f t="shared" si="155"/>
        <v>0</v>
      </c>
      <c r="AD50" s="52">
        <f t="shared" si="155"/>
        <v>0</v>
      </c>
      <c r="AE50" s="52">
        <f t="shared" si="155"/>
        <v>0</v>
      </c>
      <c r="AF50" s="52">
        <f t="shared" si="155"/>
        <v>0</v>
      </c>
      <c r="AG50" s="52">
        <f t="shared" si="155"/>
        <v>0</v>
      </c>
      <c r="AH50" s="52">
        <f t="shared" si="155"/>
        <v>0</v>
      </c>
      <c r="AI50" s="52">
        <f t="shared" si="155"/>
        <v>0</v>
      </c>
      <c r="AJ50" s="52">
        <f t="shared" si="155"/>
        <v>0</v>
      </c>
      <c r="AK50" s="52">
        <f t="shared" si="155"/>
        <v>0</v>
      </c>
      <c r="AL50" s="52">
        <f t="shared" si="155"/>
        <v>0</v>
      </c>
      <c r="AM50" s="52">
        <f t="shared" si="155"/>
        <v>0</v>
      </c>
      <c r="AN50" s="52">
        <f t="shared" si="155"/>
        <v>0</v>
      </c>
      <c r="AO50" s="52">
        <f t="shared" si="155"/>
        <v>0</v>
      </c>
      <c r="AP50" s="52">
        <f t="shared" si="155"/>
        <v>0</v>
      </c>
      <c r="AQ50" s="52">
        <f t="shared" si="155"/>
        <v>0</v>
      </c>
      <c r="AR50" s="52">
        <f t="shared" si="155"/>
        <v>0</v>
      </c>
      <c r="AS50" s="52">
        <f t="shared" si="155"/>
        <v>0</v>
      </c>
      <c r="AT50" s="52">
        <f t="shared" si="155"/>
        <v>0</v>
      </c>
      <c r="AU50" s="52">
        <f t="shared" si="155"/>
        <v>0</v>
      </c>
      <c r="AV50" s="52">
        <f t="shared" si="155"/>
        <v>0</v>
      </c>
      <c r="AW50" s="52">
        <f t="shared" si="155"/>
        <v>0</v>
      </c>
      <c r="AX50" s="52">
        <f t="shared" si="155"/>
        <v>0</v>
      </c>
      <c r="AY50" s="52">
        <f t="shared" si="155"/>
        <v>0</v>
      </c>
      <c r="AZ50" s="52">
        <f t="shared" si="155"/>
        <v>0</v>
      </c>
      <c r="BA50" s="52">
        <f t="shared" si="155"/>
        <v>0</v>
      </c>
      <c r="BB50" s="52">
        <f t="shared" si="155"/>
        <v>0</v>
      </c>
      <c r="BC50" s="52">
        <f t="shared" si="155"/>
        <v>0</v>
      </c>
      <c r="BD50" s="52">
        <f t="shared" si="155"/>
        <v>0</v>
      </c>
      <c r="BE50" s="52">
        <f t="shared" si="155"/>
        <v>0</v>
      </c>
      <c r="BF50" s="52">
        <f t="shared" si="155"/>
        <v>0</v>
      </c>
      <c r="BG50" s="52">
        <f t="shared" si="155"/>
        <v>0</v>
      </c>
      <c r="BH50" s="52">
        <f t="shared" si="155"/>
        <v>0</v>
      </c>
      <c r="BI50" s="52">
        <f t="shared" si="155"/>
        <v>0</v>
      </c>
      <c r="BJ50" s="52">
        <f t="shared" si="155"/>
        <v>0</v>
      </c>
      <c r="BK50" s="52">
        <f t="shared" si="155"/>
        <v>0</v>
      </c>
      <c r="BL50" s="52">
        <f t="shared" si="155"/>
        <v>0</v>
      </c>
      <c r="BM50" s="52">
        <f t="shared" si="155"/>
        <v>0</v>
      </c>
      <c r="BN50" s="52">
        <f t="shared" si="155"/>
        <v>0</v>
      </c>
      <c r="BO50" s="52">
        <f t="shared" si="155"/>
        <v>0</v>
      </c>
      <c r="BP50" s="52">
        <f t="shared" si="155"/>
        <v>0</v>
      </c>
      <c r="BQ50" s="52">
        <f t="shared" si="155"/>
        <v>0</v>
      </c>
      <c r="BR50" s="52">
        <f t="shared" si="155"/>
        <v>0</v>
      </c>
      <c r="BS50" s="52">
        <f t="shared" si="155"/>
        <v>0</v>
      </c>
      <c r="BT50" s="52">
        <f t="shared" si="155"/>
        <v>0</v>
      </c>
      <c r="BU50" s="52">
        <f t="shared" si="155"/>
        <v>0</v>
      </c>
      <c r="BV50" s="52">
        <f t="shared" si="155"/>
        <v>0</v>
      </c>
      <c r="BW50" s="52">
        <f t="shared" si="155"/>
        <v>0</v>
      </c>
      <c r="BX50" s="52">
        <f t="shared" ref="BX50:CO50" si="156">Bank_Fees*Flag_Operations</f>
        <v>0</v>
      </c>
      <c r="BY50" s="52">
        <f t="shared" si="156"/>
        <v>0</v>
      </c>
      <c r="BZ50" s="52">
        <f t="shared" si="156"/>
        <v>0</v>
      </c>
      <c r="CA50" s="52">
        <f t="shared" si="156"/>
        <v>0</v>
      </c>
      <c r="CB50" s="52">
        <f t="shared" si="156"/>
        <v>0</v>
      </c>
      <c r="CC50" s="52">
        <f t="shared" si="156"/>
        <v>0</v>
      </c>
      <c r="CD50" s="52">
        <f t="shared" si="156"/>
        <v>0</v>
      </c>
      <c r="CE50" s="52">
        <f t="shared" si="156"/>
        <v>0</v>
      </c>
      <c r="CF50" s="52">
        <f t="shared" si="156"/>
        <v>0</v>
      </c>
      <c r="CG50" s="52">
        <f t="shared" si="156"/>
        <v>0</v>
      </c>
      <c r="CH50" s="52">
        <f t="shared" si="156"/>
        <v>0</v>
      </c>
      <c r="CI50" s="52">
        <f t="shared" si="156"/>
        <v>0</v>
      </c>
      <c r="CJ50" s="52">
        <f t="shared" si="156"/>
        <v>0</v>
      </c>
      <c r="CK50" s="52">
        <f t="shared" si="156"/>
        <v>0</v>
      </c>
      <c r="CL50" s="52">
        <f t="shared" si="156"/>
        <v>0</v>
      </c>
      <c r="CM50" s="52">
        <f t="shared" si="156"/>
        <v>0</v>
      </c>
      <c r="CN50" s="52">
        <f t="shared" si="156"/>
        <v>0</v>
      </c>
      <c r="CO50" s="52">
        <f t="shared" si="156"/>
        <v>0</v>
      </c>
    </row>
    <row r="51" spans="1:93" s="133" customFormat="1" ht="14">
      <c r="A51" s="10"/>
      <c r="B51" s="10"/>
      <c r="C51" s="17" t="s">
        <v>299</v>
      </c>
      <c r="D51" s="10"/>
      <c r="E51" s="10"/>
      <c r="F51" s="10"/>
      <c r="G51" s="134" t="str">
        <f t="shared" si="140"/>
        <v>тыс. руб.</v>
      </c>
      <c r="H51" s="10"/>
      <c r="I51" s="23">
        <f t="shared" ca="1" si="141"/>
        <v>-3272632.6228087652</v>
      </c>
      <c r="J51" s="10"/>
      <c r="K51" s="10"/>
      <c r="L51" s="52">
        <f t="shared" ref="L51:BW51" ca="1" si="157">Depreciation_PL</f>
        <v>0</v>
      </c>
      <c r="M51" s="52">
        <f t="shared" ca="1" si="157"/>
        <v>0</v>
      </c>
      <c r="N51" s="52">
        <f t="shared" ca="1" si="157"/>
        <v>0</v>
      </c>
      <c r="O51" s="52">
        <f t="shared" ca="1" si="157"/>
        <v>0</v>
      </c>
      <c r="P51" s="52">
        <f t="shared" ca="1" si="157"/>
        <v>0</v>
      </c>
      <c r="Q51" s="52">
        <f t="shared" ca="1" si="157"/>
        <v>0</v>
      </c>
      <c r="R51" s="52">
        <f t="shared" ca="1" si="157"/>
        <v>0</v>
      </c>
      <c r="S51" s="52">
        <f t="shared" ca="1" si="157"/>
        <v>0</v>
      </c>
      <c r="T51" s="52">
        <f t="shared" ca="1" si="157"/>
        <v>0</v>
      </c>
      <c r="U51" s="52">
        <f t="shared" ca="1" si="157"/>
        <v>0</v>
      </c>
      <c r="V51" s="52">
        <f t="shared" ca="1" si="157"/>
        <v>0</v>
      </c>
      <c r="W51" s="52">
        <f t="shared" ca="1" si="157"/>
        <v>0</v>
      </c>
      <c r="X51" s="52">
        <f t="shared" ca="1" si="157"/>
        <v>0</v>
      </c>
      <c r="Y51" s="52">
        <f t="shared" ca="1" si="157"/>
        <v>0</v>
      </c>
      <c r="Z51" s="52">
        <f t="shared" ca="1" si="157"/>
        <v>0</v>
      </c>
      <c r="AA51" s="52">
        <f t="shared" ca="1" si="157"/>
        <v>0</v>
      </c>
      <c r="AB51" s="52">
        <f t="shared" ca="1" si="157"/>
        <v>0</v>
      </c>
      <c r="AC51" s="52">
        <f t="shared" ca="1" si="157"/>
        <v>-73845.686275933069</v>
      </c>
      <c r="AD51" s="52">
        <f t="shared" ca="1" si="157"/>
        <v>-73845.686275933069</v>
      </c>
      <c r="AE51" s="52">
        <f t="shared" ca="1" si="157"/>
        <v>-73845.686275933069</v>
      </c>
      <c r="AF51" s="52">
        <f t="shared" ca="1" si="157"/>
        <v>-73845.686275933069</v>
      </c>
      <c r="AG51" s="52">
        <f t="shared" ca="1" si="157"/>
        <v>-73845.686275933069</v>
      </c>
      <c r="AH51" s="52">
        <f t="shared" ca="1" si="157"/>
        <v>-73845.686275933069</v>
      </c>
      <c r="AI51" s="52">
        <f t="shared" ca="1" si="157"/>
        <v>-73845.686275933069</v>
      </c>
      <c r="AJ51" s="52">
        <f t="shared" ca="1" si="157"/>
        <v>-73845.686275933069</v>
      </c>
      <c r="AK51" s="52">
        <f t="shared" ca="1" si="157"/>
        <v>-73845.686275933069</v>
      </c>
      <c r="AL51" s="52">
        <f t="shared" ca="1" si="157"/>
        <v>-73845.686275933069</v>
      </c>
      <c r="AM51" s="52">
        <f t="shared" ca="1" si="157"/>
        <v>-73845.686275933069</v>
      </c>
      <c r="AN51" s="52">
        <f t="shared" ca="1" si="157"/>
        <v>-73845.686275933069</v>
      </c>
      <c r="AO51" s="52">
        <f t="shared" ca="1" si="157"/>
        <v>-73845.686275933069</v>
      </c>
      <c r="AP51" s="52">
        <f t="shared" ca="1" si="157"/>
        <v>-73845.686275933069</v>
      </c>
      <c r="AQ51" s="52">
        <f t="shared" ca="1" si="157"/>
        <v>-73845.686275933069</v>
      </c>
      <c r="AR51" s="52">
        <f t="shared" ca="1" si="157"/>
        <v>-73845.686275933069</v>
      </c>
      <c r="AS51" s="52">
        <f t="shared" ca="1" si="157"/>
        <v>-73845.686275933069</v>
      </c>
      <c r="AT51" s="52">
        <f t="shared" ca="1" si="157"/>
        <v>-73845.686275933069</v>
      </c>
      <c r="AU51" s="52">
        <f t="shared" ca="1" si="157"/>
        <v>-73845.686275933069</v>
      </c>
      <c r="AV51" s="52">
        <f t="shared" ca="1" si="157"/>
        <v>-73845.686275933069</v>
      </c>
      <c r="AW51" s="52">
        <f t="shared" ca="1" si="157"/>
        <v>-73845.686275933069</v>
      </c>
      <c r="AX51" s="52">
        <f t="shared" ca="1" si="157"/>
        <v>-73845.686275933069</v>
      </c>
      <c r="AY51" s="52">
        <f t="shared" ca="1" si="157"/>
        <v>-73845.686275933069</v>
      </c>
      <c r="AZ51" s="52">
        <f t="shared" ca="1" si="157"/>
        <v>-73845.686275933069</v>
      </c>
      <c r="BA51" s="52">
        <f t="shared" ca="1" si="157"/>
        <v>-73845.686275933069</v>
      </c>
      <c r="BB51" s="52">
        <f t="shared" ca="1" si="157"/>
        <v>-73845.686275933069</v>
      </c>
      <c r="BC51" s="52">
        <f t="shared" ca="1" si="157"/>
        <v>-73845.686275933069</v>
      </c>
      <c r="BD51" s="52">
        <f t="shared" ca="1" si="157"/>
        <v>-73845.686275932632</v>
      </c>
      <c r="BE51" s="52">
        <f t="shared" ca="1" si="157"/>
        <v>-32566.308299530971</v>
      </c>
      <c r="BF51" s="52">
        <f t="shared" ca="1" si="157"/>
        <v>-32566.308299530971</v>
      </c>
      <c r="BG51" s="52">
        <f t="shared" ca="1" si="157"/>
        <v>-32566.308299530971</v>
      </c>
      <c r="BH51" s="52">
        <f t="shared" ca="1" si="157"/>
        <v>-32566.308299530971</v>
      </c>
      <c r="BI51" s="52">
        <f t="shared" ca="1" si="157"/>
        <v>-32566.308299530971</v>
      </c>
      <c r="BJ51" s="52">
        <f t="shared" ca="1" si="157"/>
        <v>-32566.308299530971</v>
      </c>
      <c r="BK51" s="52">
        <f t="shared" ca="1" si="157"/>
        <v>-32566.308299530971</v>
      </c>
      <c r="BL51" s="52">
        <f t="shared" ca="1" si="157"/>
        <v>-32566.308299530971</v>
      </c>
      <c r="BM51" s="52">
        <f t="shared" ca="1" si="157"/>
        <v>-32566.308299530971</v>
      </c>
      <c r="BN51" s="52">
        <f t="shared" ca="1" si="157"/>
        <v>-32566.308299530971</v>
      </c>
      <c r="BO51" s="52">
        <f t="shared" ca="1" si="157"/>
        <v>-32566.308299530971</v>
      </c>
      <c r="BP51" s="52">
        <f t="shared" ca="1" si="157"/>
        <v>-32566.308299530971</v>
      </c>
      <c r="BQ51" s="52">
        <f t="shared" ca="1" si="157"/>
        <v>-32566.308299530971</v>
      </c>
      <c r="BR51" s="52">
        <f t="shared" ca="1" si="157"/>
        <v>-32566.308299530971</v>
      </c>
      <c r="BS51" s="52">
        <f t="shared" ca="1" si="157"/>
        <v>-32566.308299530971</v>
      </c>
      <c r="BT51" s="52">
        <f t="shared" ca="1" si="157"/>
        <v>-32566.308299530971</v>
      </c>
      <c r="BU51" s="52">
        <f t="shared" ca="1" si="157"/>
        <v>-32566.308299530971</v>
      </c>
      <c r="BV51" s="52">
        <f t="shared" ca="1" si="157"/>
        <v>-32566.308299530971</v>
      </c>
      <c r="BW51" s="52">
        <f t="shared" ca="1" si="157"/>
        <v>-32566.308299530971</v>
      </c>
      <c r="BX51" s="52">
        <f t="shared" ref="BX51:CO51" ca="1" si="158">Depreciation_PL</f>
        <v>-32566.308299530971</v>
      </c>
      <c r="BY51" s="52">
        <f t="shared" ca="1" si="158"/>
        <v>-32566.308299530971</v>
      </c>
      <c r="BZ51" s="52">
        <f t="shared" ca="1" si="158"/>
        <v>-32566.308299530971</v>
      </c>
      <c r="CA51" s="52">
        <f t="shared" ca="1" si="158"/>
        <v>-32566.308299530971</v>
      </c>
      <c r="CB51" s="52">
        <f t="shared" ca="1" si="158"/>
        <v>-32566.308299530971</v>
      </c>
      <c r="CC51" s="52">
        <f t="shared" ca="1" si="158"/>
        <v>-32566.308299530971</v>
      </c>
      <c r="CD51" s="52">
        <f t="shared" ca="1" si="158"/>
        <v>-32566.308299530971</v>
      </c>
      <c r="CE51" s="52">
        <f t="shared" ca="1" si="158"/>
        <v>-32566.308299530971</v>
      </c>
      <c r="CF51" s="52">
        <f t="shared" ca="1" si="158"/>
        <v>-32566.308299530971</v>
      </c>
      <c r="CG51" s="52">
        <f t="shared" ca="1" si="158"/>
        <v>-32566.308299530971</v>
      </c>
      <c r="CH51" s="52">
        <f t="shared" ca="1" si="158"/>
        <v>-32566.308299530971</v>
      </c>
      <c r="CI51" s="52">
        <f t="shared" ca="1" si="158"/>
        <v>-32566.308299530971</v>
      </c>
      <c r="CJ51" s="52">
        <f t="shared" ca="1" si="158"/>
        <v>-32566.308299530971</v>
      </c>
      <c r="CK51" s="52">
        <f t="shared" ca="1" si="158"/>
        <v>-32566.308299530971</v>
      </c>
      <c r="CL51" s="52">
        <f t="shared" ca="1" si="158"/>
        <v>-32566.308299530971</v>
      </c>
      <c r="CM51" s="52">
        <f t="shared" ca="1" si="158"/>
        <v>-32566.308299530971</v>
      </c>
      <c r="CN51" s="52">
        <f t="shared" ca="1" si="158"/>
        <v>-32566.308299530971</v>
      </c>
      <c r="CO51" s="52">
        <f t="shared" ca="1" si="158"/>
        <v>-32566.308299530971</v>
      </c>
    </row>
    <row r="52" spans="1:93" s="133" customFormat="1" ht="14">
      <c r="A52" s="10"/>
      <c r="B52" s="10"/>
      <c r="C52" s="17" t="s">
        <v>137</v>
      </c>
      <c r="D52" s="10"/>
      <c r="E52" s="10"/>
      <c r="F52" s="10"/>
      <c r="G52" s="134" t="str">
        <f t="shared" si="140"/>
        <v>тыс. руб.</v>
      </c>
      <c r="H52" s="10"/>
      <c r="I52" s="23">
        <f t="shared" ref="I52:I59" si="159">SUM(L52:CQ52)</f>
        <v>-1102330.2271229771</v>
      </c>
      <c r="J52" s="10"/>
      <c r="K52" s="10"/>
      <c r="L52" s="52">
        <f t="shared" ref="L52" si="160">SUM(L53:L54)</f>
        <v>0</v>
      </c>
      <c r="M52" s="52">
        <f t="shared" ref="M52:BX52" si="161">SUM(M53:M54)</f>
        <v>0</v>
      </c>
      <c r="N52" s="52">
        <f t="shared" si="161"/>
        <v>0</v>
      </c>
      <c r="O52" s="52">
        <f t="shared" si="161"/>
        <v>0</v>
      </c>
      <c r="P52" s="52">
        <f t="shared" si="161"/>
        <v>0</v>
      </c>
      <c r="Q52" s="52">
        <f t="shared" si="161"/>
        <v>0</v>
      </c>
      <c r="R52" s="52">
        <f t="shared" si="161"/>
        <v>0</v>
      </c>
      <c r="S52" s="52">
        <f t="shared" si="161"/>
        <v>0</v>
      </c>
      <c r="T52" s="52">
        <f t="shared" si="161"/>
        <v>0</v>
      </c>
      <c r="U52" s="52">
        <f t="shared" si="161"/>
        <v>0</v>
      </c>
      <c r="V52" s="52">
        <f t="shared" si="161"/>
        <v>0</v>
      </c>
      <c r="W52" s="52">
        <f t="shared" si="161"/>
        <v>0</v>
      </c>
      <c r="X52" s="52">
        <f t="shared" si="161"/>
        <v>0</v>
      </c>
      <c r="Y52" s="52">
        <f t="shared" si="161"/>
        <v>0</v>
      </c>
      <c r="Z52" s="52">
        <f t="shared" si="161"/>
        <v>0</v>
      </c>
      <c r="AA52" s="52">
        <f t="shared" si="161"/>
        <v>0</v>
      </c>
      <c r="AB52" s="52">
        <f t="shared" si="161"/>
        <v>0</v>
      </c>
      <c r="AC52" s="52">
        <f t="shared" si="161"/>
        <v>-63872.407755986169</v>
      </c>
      <c r="AD52" s="52">
        <f t="shared" si="161"/>
        <v>-62892.014193801202</v>
      </c>
      <c r="AE52" s="52">
        <f t="shared" si="161"/>
        <v>-61190.416445550276</v>
      </c>
      <c r="AF52" s="52">
        <f t="shared" si="161"/>
        <v>-58172.297254570709</v>
      </c>
      <c r="AG52" s="52">
        <f t="shared" si="161"/>
        <v>-57080.646529591679</v>
      </c>
      <c r="AH52" s="52">
        <f t="shared" si="161"/>
        <v>-55930.44209210058</v>
      </c>
      <c r="AI52" s="52">
        <f t="shared" si="161"/>
        <v>-54131.967215460383</v>
      </c>
      <c r="AJ52" s="52">
        <f t="shared" si="161"/>
        <v>-51171.195711258915</v>
      </c>
      <c r="AK52" s="52">
        <f t="shared" si="161"/>
        <v>-49904.037104946961</v>
      </c>
      <c r="AL52" s="52">
        <f t="shared" si="161"/>
        <v>-48574.405478010551</v>
      </c>
      <c r="AM52" s="52">
        <f t="shared" si="161"/>
        <v>-46673.54571622183</v>
      </c>
      <c r="AN52" s="52">
        <f t="shared" si="161"/>
        <v>-44138.79593852751</v>
      </c>
      <c r="AO52" s="52">
        <f t="shared" si="161"/>
        <v>-42207.308872000569</v>
      </c>
      <c r="AP52" s="52">
        <f t="shared" si="161"/>
        <v>-40691.467417603446</v>
      </c>
      <c r="AQ52" s="52">
        <f t="shared" si="161"/>
        <v>-38687.152626157636</v>
      </c>
      <c r="AR52" s="52">
        <f t="shared" si="161"/>
        <v>-35956.272041141216</v>
      </c>
      <c r="AS52" s="52">
        <f t="shared" si="161"/>
        <v>-34307.790947443333</v>
      </c>
      <c r="AT52" s="52">
        <f t="shared" si="161"/>
        <v>-32588.246953087979</v>
      </c>
      <c r="AU52" s="52">
        <f t="shared" si="161"/>
        <v>-30464.826714844134</v>
      </c>
      <c r="AV52" s="52">
        <f t="shared" si="161"/>
        <v>-27696.230071407623</v>
      </c>
      <c r="AW52" s="52">
        <f t="shared" si="161"/>
        <v>-25840.779998392045</v>
      </c>
      <c r="AX52" s="52">
        <f t="shared" si="161"/>
        <v>-23909.566331086633</v>
      </c>
      <c r="AY52" s="52">
        <f t="shared" si="161"/>
        <v>-21665.290095109085</v>
      </c>
      <c r="AZ52" s="52">
        <f t="shared" si="161"/>
        <v>-19681.963731898912</v>
      </c>
      <c r="BA52" s="52">
        <f t="shared" si="161"/>
        <v>-18383.593859474688</v>
      </c>
      <c r="BB52" s="52">
        <f t="shared" si="161"/>
        <v>-16318.017143793697</v>
      </c>
      <c r="BC52" s="52">
        <f t="shared" si="161"/>
        <v>-12367.118513902496</v>
      </c>
      <c r="BD52" s="52">
        <f t="shared" si="161"/>
        <v>-10428.969567379154</v>
      </c>
      <c r="BE52" s="52">
        <f t="shared" si="161"/>
        <v>-8645.0097615960913</v>
      </c>
      <c r="BF52" s="52">
        <f t="shared" si="161"/>
        <v>-6223.2947323180215</v>
      </c>
      <c r="BG52" s="52">
        <f t="shared" si="161"/>
        <v>-2535.1563083135316</v>
      </c>
      <c r="BH52" s="52">
        <f t="shared" si="161"/>
        <v>0</v>
      </c>
      <c r="BI52" s="52">
        <f t="shared" si="161"/>
        <v>0</v>
      </c>
      <c r="BJ52" s="52">
        <f t="shared" si="161"/>
        <v>0</v>
      </c>
      <c r="BK52" s="52">
        <f t="shared" si="161"/>
        <v>0</v>
      </c>
      <c r="BL52" s="52">
        <f t="shared" si="161"/>
        <v>0</v>
      </c>
      <c r="BM52" s="52">
        <f t="shared" si="161"/>
        <v>0</v>
      </c>
      <c r="BN52" s="52">
        <f t="shared" si="161"/>
        <v>0</v>
      </c>
      <c r="BO52" s="52">
        <f t="shared" si="161"/>
        <v>0</v>
      </c>
      <c r="BP52" s="52">
        <f t="shared" si="161"/>
        <v>0</v>
      </c>
      <c r="BQ52" s="52">
        <f t="shared" si="161"/>
        <v>0</v>
      </c>
      <c r="BR52" s="52">
        <f t="shared" si="161"/>
        <v>0</v>
      </c>
      <c r="BS52" s="52">
        <f t="shared" si="161"/>
        <v>0</v>
      </c>
      <c r="BT52" s="52">
        <f t="shared" si="161"/>
        <v>0</v>
      </c>
      <c r="BU52" s="52">
        <f t="shared" si="161"/>
        <v>0</v>
      </c>
      <c r="BV52" s="52">
        <f t="shared" si="161"/>
        <v>0</v>
      </c>
      <c r="BW52" s="52">
        <f t="shared" si="161"/>
        <v>0</v>
      </c>
      <c r="BX52" s="52">
        <f t="shared" si="161"/>
        <v>0</v>
      </c>
      <c r="BY52" s="52">
        <f t="shared" ref="BY52:CO52" si="162">SUM(BY53:BY54)</f>
        <v>0</v>
      </c>
      <c r="BZ52" s="52">
        <f t="shared" si="162"/>
        <v>0</v>
      </c>
      <c r="CA52" s="52">
        <f t="shared" si="162"/>
        <v>0</v>
      </c>
      <c r="CB52" s="52">
        <f t="shared" si="162"/>
        <v>0</v>
      </c>
      <c r="CC52" s="52">
        <f t="shared" si="162"/>
        <v>0</v>
      </c>
      <c r="CD52" s="52">
        <f t="shared" si="162"/>
        <v>0</v>
      </c>
      <c r="CE52" s="52">
        <f t="shared" si="162"/>
        <v>0</v>
      </c>
      <c r="CF52" s="52">
        <f t="shared" si="162"/>
        <v>0</v>
      </c>
      <c r="CG52" s="52">
        <f t="shared" si="162"/>
        <v>0</v>
      </c>
      <c r="CH52" s="52">
        <f t="shared" si="162"/>
        <v>0</v>
      </c>
      <c r="CI52" s="52">
        <f t="shared" si="162"/>
        <v>0</v>
      </c>
      <c r="CJ52" s="52">
        <f t="shared" si="162"/>
        <v>0</v>
      </c>
      <c r="CK52" s="52">
        <f t="shared" si="162"/>
        <v>0</v>
      </c>
      <c r="CL52" s="52">
        <f t="shared" si="162"/>
        <v>0</v>
      </c>
      <c r="CM52" s="52">
        <f t="shared" si="162"/>
        <v>0</v>
      </c>
      <c r="CN52" s="52">
        <f t="shared" si="162"/>
        <v>0</v>
      </c>
      <c r="CO52" s="52">
        <f t="shared" si="162"/>
        <v>0</v>
      </c>
    </row>
    <row r="53" spans="1:93" s="133" customFormat="1" ht="14">
      <c r="A53" s="10"/>
      <c r="B53" s="10"/>
      <c r="C53" s="138" t="s">
        <v>540</v>
      </c>
      <c r="D53" s="10"/>
      <c r="E53" s="10"/>
      <c r="F53" s="10"/>
      <c r="G53" s="134" t="str">
        <f t="shared" si="140"/>
        <v>тыс. руб.</v>
      </c>
      <c r="H53" s="10"/>
      <c r="I53" s="23">
        <f t="shared" si="159"/>
        <v>-1095533.0737940255</v>
      </c>
      <c r="J53" s="10"/>
      <c r="K53" s="10"/>
      <c r="L53" s="52">
        <f t="shared" ref="L53:BW53" si="163">Debt_Interest_PL</f>
        <v>0</v>
      </c>
      <c r="M53" s="52">
        <f t="shared" si="163"/>
        <v>0</v>
      </c>
      <c r="N53" s="52">
        <f t="shared" si="163"/>
        <v>0</v>
      </c>
      <c r="O53" s="52">
        <f t="shared" si="163"/>
        <v>0</v>
      </c>
      <c r="P53" s="52">
        <f t="shared" si="163"/>
        <v>0</v>
      </c>
      <c r="Q53" s="52">
        <f t="shared" si="163"/>
        <v>0</v>
      </c>
      <c r="R53" s="52">
        <f t="shared" si="163"/>
        <v>0</v>
      </c>
      <c r="S53" s="52">
        <f t="shared" si="163"/>
        <v>0</v>
      </c>
      <c r="T53" s="52">
        <f t="shared" si="163"/>
        <v>0</v>
      </c>
      <c r="U53" s="52">
        <f t="shared" si="163"/>
        <v>0</v>
      </c>
      <c r="V53" s="52">
        <f t="shared" si="163"/>
        <v>0</v>
      </c>
      <c r="W53" s="52">
        <f t="shared" si="163"/>
        <v>0</v>
      </c>
      <c r="X53" s="52">
        <f t="shared" si="163"/>
        <v>0</v>
      </c>
      <c r="Y53" s="52">
        <f t="shared" si="163"/>
        <v>0</v>
      </c>
      <c r="Z53" s="52">
        <f t="shared" si="163"/>
        <v>0</v>
      </c>
      <c r="AA53" s="52">
        <f t="shared" si="163"/>
        <v>0</v>
      </c>
      <c r="AB53" s="52">
        <f t="shared" si="163"/>
        <v>0</v>
      </c>
      <c r="AC53" s="52">
        <f t="shared" si="163"/>
        <v>-63872.407755986169</v>
      </c>
      <c r="AD53" s="52">
        <f t="shared" si="163"/>
        <v>-62892.014193801202</v>
      </c>
      <c r="AE53" s="52">
        <f t="shared" si="163"/>
        <v>-61190.416445550276</v>
      </c>
      <c r="AF53" s="52">
        <f t="shared" si="163"/>
        <v>-58172.297254570709</v>
      </c>
      <c r="AG53" s="52">
        <f t="shared" si="163"/>
        <v>-57080.646529591679</v>
      </c>
      <c r="AH53" s="52">
        <f t="shared" si="163"/>
        <v>-55930.44209210058</v>
      </c>
      <c r="AI53" s="52">
        <f t="shared" si="163"/>
        <v>-54131.967215460383</v>
      </c>
      <c r="AJ53" s="52">
        <f t="shared" si="163"/>
        <v>-51171.195711258915</v>
      </c>
      <c r="AK53" s="52">
        <f t="shared" si="163"/>
        <v>-49904.037104946961</v>
      </c>
      <c r="AL53" s="52">
        <f t="shared" si="163"/>
        <v>-48574.405478010551</v>
      </c>
      <c r="AM53" s="52">
        <f t="shared" si="163"/>
        <v>-46673.54571622183</v>
      </c>
      <c r="AN53" s="52">
        <f t="shared" si="163"/>
        <v>-44138.79593852751</v>
      </c>
      <c r="AO53" s="52">
        <f t="shared" si="163"/>
        <v>-42207.308872000569</v>
      </c>
      <c r="AP53" s="52">
        <f t="shared" si="163"/>
        <v>-40691.467417603446</v>
      </c>
      <c r="AQ53" s="52">
        <f t="shared" si="163"/>
        <v>-38687.152626157636</v>
      </c>
      <c r="AR53" s="52">
        <f t="shared" si="163"/>
        <v>-35956.272041141216</v>
      </c>
      <c r="AS53" s="52">
        <f t="shared" si="163"/>
        <v>-34307.790947443333</v>
      </c>
      <c r="AT53" s="52">
        <f t="shared" si="163"/>
        <v>-32588.246953087979</v>
      </c>
      <c r="AU53" s="52">
        <f t="shared" si="163"/>
        <v>-30464.826714844134</v>
      </c>
      <c r="AV53" s="52">
        <f t="shared" si="163"/>
        <v>-27696.230071407623</v>
      </c>
      <c r="AW53" s="52">
        <f t="shared" si="163"/>
        <v>-25840.779998392045</v>
      </c>
      <c r="AX53" s="52">
        <f t="shared" si="163"/>
        <v>-23909.566331086633</v>
      </c>
      <c r="AY53" s="52">
        <f t="shared" si="163"/>
        <v>-21665.290095109085</v>
      </c>
      <c r="AZ53" s="52">
        <f t="shared" si="163"/>
        <v>-18968.105120419892</v>
      </c>
      <c r="BA53" s="52">
        <f t="shared" si="163"/>
        <v>-16893.990510090218</v>
      </c>
      <c r="BB53" s="52">
        <f t="shared" si="163"/>
        <v>-14739.119607861281</v>
      </c>
      <c r="BC53" s="52">
        <f t="shared" si="163"/>
        <v>-12367.118513902496</v>
      </c>
      <c r="BD53" s="52">
        <f t="shared" si="163"/>
        <v>-9826.7309072529442</v>
      </c>
      <c r="BE53" s="52">
        <f t="shared" si="163"/>
        <v>-7420.3179551697622</v>
      </c>
      <c r="BF53" s="52">
        <f t="shared" si="163"/>
        <v>-5035.4313667147007</v>
      </c>
      <c r="BG53" s="52">
        <f t="shared" si="163"/>
        <v>-2535.1563083135316</v>
      </c>
      <c r="BH53" s="52">
        <f t="shared" si="163"/>
        <v>0</v>
      </c>
      <c r="BI53" s="52">
        <f t="shared" si="163"/>
        <v>0</v>
      </c>
      <c r="BJ53" s="52">
        <f t="shared" si="163"/>
        <v>0</v>
      </c>
      <c r="BK53" s="52">
        <f t="shared" si="163"/>
        <v>0</v>
      </c>
      <c r="BL53" s="52">
        <f t="shared" si="163"/>
        <v>0</v>
      </c>
      <c r="BM53" s="52">
        <f t="shared" si="163"/>
        <v>0</v>
      </c>
      <c r="BN53" s="52">
        <f t="shared" si="163"/>
        <v>0</v>
      </c>
      <c r="BO53" s="52">
        <f t="shared" si="163"/>
        <v>0</v>
      </c>
      <c r="BP53" s="52">
        <f t="shared" si="163"/>
        <v>0</v>
      </c>
      <c r="BQ53" s="52">
        <f t="shared" si="163"/>
        <v>0</v>
      </c>
      <c r="BR53" s="52">
        <f t="shared" si="163"/>
        <v>0</v>
      </c>
      <c r="BS53" s="52">
        <f t="shared" si="163"/>
        <v>0</v>
      </c>
      <c r="BT53" s="52">
        <f t="shared" si="163"/>
        <v>0</v>
      </c>
      <c r="BU53" s="52">
        <f t="shared" si="163"/>
        <v>0</v>
      </c>
      <c r="BV53" s="52">
        <f t="shared" si="163"/>
        <v>0</v>
      </c>
      <c r="BW53" s="52">
        <f t="shared" si="163"/>
        <v>0</v>
      </c>
      <c r="BX53" s="52">
        <f t="shared" ref="BX53:CO53" si="164">Debt_Interest_PL</f>
        <v>0</v>
      </c>
      <c r="BY53" s="52">
        <f t="shared" si="164"/>
        <v>0</v>
      </c>
      <c r="BZ53" s="52">
        <f t="shared" si="164"/>
        <v>0</v>
      </c>
      <c r="CA53" s="52">
        <f t="shared" si="164"/>
        <v>0</v>
      </c>
      <c r="CB53" s="52">
        <f t="shared" si="164"/>
        <v>0</v>
      </c>
      <c r="CC53" s="52">
        <f t="shared" si="164"/>
        <v>0</v>
      </c>
      <c r="CD53" s="52">
        <f t="shared" si="164"/>
        <v>0</v>
      </c>
      <c r="CE53" s="52">
        <f t="shared" si="164"/>
        <v>0</v>
      </c>
      <c r="CF53" s="52">
        <f t="shared" si="164"/>
        <v>0</v>
      </c>
      <c r="CG53" s="52">
        <f t="shared" si="164"/>
        <v>0</v>
      </c>
      <c r="CH53" s="52">
        <f t="shared" si="164"/>
        <v>0</v>
      </c>
      <c r="CI53" s="52">
        <f t="shared" si="164"/>
        <v>0</v>
      </c>
      <c r="CJ53" s="52">
        <f t="shared" si="164"/>
        <v>0</v>
      </c>
      <c r="CK53" s="52">
        <f t="shared" si="164"/>
        <v>0</v>
      </c>
      <c r="CL53" s="52">
        <f t="shared" si="164"/>
        <v>0</v>
      </c>
      <c r="CM53" s="52">
        <f t="shared" si="164"/>
        <v>0</v>
      </c>
      <c r="CN53" s="52">
        <f t="shared" si="164"/>
        <v>0</v>
      </c>
      <c r="CO53" s="52">
        <f t="shared" si="164"/>
        <v>0</v>
      </c>
    </row>
    <row r="54" spans="1:93" s="133" customFormat="1" thickBot="1">
      <c r="A54" s="10"/>
      <c r="B54" s="10"/>
      <c r="C54" s="138" t="s">
        <v>554</v>
      </c>
      <c r="D54" s="10"/>
      <c r="E54" s="10"/>
      <c r="F54" s="10"/>
      <c r="G54" s="134" t="str">
        <f t="shared" si="140"/>
        <v>тыс. руб.</v>
      </c>
      <c r="H54" s="10"/>
      <c r="I54" s="23">
        <f t="shared" si="159"/>
        <v>-6797.1533289517665</v>
      </c>
      <c r="J54" s="10"/>
      <c r="K54" s="10"/>
      <c r="L54" s="52">
        <f t="shared" ref="L54:BW54" si="165">-(Subord_Interest_Accrued) * (Flag_Operations)</f>
        <v>0</v>
      </c>
      <c r="M54" s="52">
        <f t="shared" si="165"/>
        <v>0</v>
      </c>
      <c r="N54" s="52">
        <f t="shared" si="165"/>
        <v>0</v>
      </c>
      <c r="O54" s="52">
        <f t="shared" si="165"/>
        <v>0</v>
      </c>
      <c r="P54" s="52">
        <f t="shared" si="165"/>
        <v>0</v>
      </c>
      <c r="Q54" s="52">
        <f t="shared" si="165"/>
        <v>0</v>
      </c>
      <c r="R54" s="52">
        <f t="shared" si="165"/>
        <v>0</v>
      </c>
      <c r="S54" s="52">
        <f t="shared" si="165"/>
        <v>0</v>
      </c>
      <c r="T54" s="52">
        <f t="shared" si="165"/>
        <v>0</v>
      </c>
      <c r="U54" s="52">
        <f t="shared" si="165"/>
        <v>0</v>
      </c>
      <c r="V54" s="52">
        <f t="shared" si="165"/>
        <v>0</v>
      </c>
      <c r="W54" s="52">
        <f t="shared" si="165"/>
        <v>0</v>
      </c>
      <c r="X54" s="52">
        <f t="shared" si="165"/>
        <v>0</v>
      </c>
      <c r="Y54" s="52">
        <f t="shared" si="165"/>
        <v>0</v>
      </c>
      <c r="Z54" s="52">
        <f t="shared" si="165"/>
        <v>0</v>
      </c>
      <c r="AA54" s="52">
        <f t="shared" si="165"/>
        <v>0</v>
      </c>
      <c r="AB54" s="52">
        <f t="shared" si="165"/>
        <v>0</v>
      </c>
      <c r="AC54" s="52">
        <f t="shared" si="165"/>
        <v>0</v>
      </c>
      <c r="AD54" s="52">
        <f t="shared" si="165"/>
        <v>0</v>
      </c>
      <c r="AE54" s="52">
        <f t="shared" si="165"/>
        <v>0</v>
      </c>
      <c r="AF54" s="52">
        <f t="shared" si="165"/>
        <v>0</v>
      </c>
      <c r="AG54" s="52">
        <f t="shared" si="165"/>
        <v>0</v>
      </c>
      <c r="AH54" s="52">
        <f t="shared" si="165"/>
        <v>0</v>
      </c>
      <c r="AI54" s="52">
        <f t="shared" si="165"/>
        <v>0</v>
      </c>
      <c r="AJ54" s="52">
        <f t="shared" si="165"/>
        <v>0</v>
      </c>
      <c r="AK54" s="52">
        <f t="shared" si="165"/>
        <v>0</v>
      </c>
      <c r="AL54" s="52">
        <f t="shared" si="165"/>
        <v>0</v>
      </c>
      <c r="AM54" s="52">
        <f t="shared" si="165"/>
        <v>0</v>
      </c>
      <c r="AN54" s="52">
        <f t="shared" si="165"/>
        <v>0</v>
      </c>
      <c r="AO54" s="52">
        <f t="shared" si="165"/>
        <v>0</v>
      </c>
      <c r="AP54" s="52">
        <f t="shared" si="165"/>
        <v>0</v>
      </c>
      <c r="AQ54" s="52">
        <f t="shared" si="165"/>
        <v>0</v>
      </c>
      <c r="AR54" s="52">
        <f t="shared" si="165"/>
        <v>0</v>
      </c>
      <c r="AS54" s="52">
        <f t="shared" si="165"/>
        <v>0</v>
      </c>
      <c r="AT54" s="52">
        <f t="shared" si="165"/>
        <v>0</v>
      </c>
      <c r="AU54" s="52">
        <f t="shared" si="165"/>
        <v>0</v>
      </c>
      <c r="AV54" s="52">
        <f t="shared" si="165"/>
        <v>0</v>
      </c>
      <c r="AW54" s="52">
        <f t="shared" si="165"/>
        <v>0</v>
      </c>
      <c r="AX54" s="52">
        <f t="shared" si="165"/>
        <v>0</v>
      </c>
      <c r="AY54" s="52">
        <f t="shared" si="165"/>
        <v>0</v>
      </c>
      <c r="AZ54" s="52">
        <f t="shared" si="165"/>
        <v>-713.85861147902028</v>
      </c>
      <c r="BA54" s="52">
        <f t="shared" si="165"/>
        <v>-1489.6033493844711</v>
      </c>
      <c r="BB54" s="52">
        <f t="shared" si="165"/>
        <v>-1578.8975359324165</v>
      </c>
      <c r="BC54" s="52">
        <f t="shared" si="165"/>
        <v>0</v>
      </c>
      <c r="BD54" s="52">
        <f t="shared" si="165"/>
        <v>-602.23866012620988</v>
      </c>
      <c r="BE54" s="52">
        <f t="shared" si="165"/>
        <v>-1224.6918064263284</v>
      </c>
      <c r="BF54" s="52">
        <f t="shared" si="165"/>
        <v>-1187.8633656033207</v>
      </c>
      <c r="BG54" s="52">
        <f t="shared" si="165"/>
        <v>0</v>
      </c>
      <c r="BH54" s="52">
        <f t="shared" si="165"/>
        <v>0</v>
      </c>
      <c r="BI54" s="52">
        <f t="shared" si="165"/>
        <v>0</v>
      </c>
      <c r="BJ54" s="52">
        <f t="shared" si="165"/>
        <v>0</v>
      </c>
      <c r="BK54" s="52">
        <f t="shared" si="165"/>
        <v>0</v>
      </c>
      <c r="BL54" s="52">
        <f t="shared" si="165"/>
        <v>0</v>
      </c>
      <c r="BM54" s="52">
        <f t="shared" si="165"/>
        <v>0</v>
      </c>
      <c r="BN54" s="52">
        <f t="shared" si="165"/>
        <v>0</v>
      </c>
      <c r="BO54" s="52">
        <f t="shared" si="165"/>
        <v>0</v>
      </c>
      <c r="BP54" s="52">
        <f t="shared" si="165"/>
        <v>0</v>
      </c>
      <c r="BQ54" s="52">
        <f t="shared" si="165"/>
        <v>0</v>
      </c>
      <c r="BR54" s="52">
        <f t="shared" si="165"/>
        <v>0</v>
      </c>
      <c r="BS54" s="52">
        <f t="shared" si="165"/>
        <v>0</v>
      </c>
      <c r="BT54" s="52">
        <f t="shared" si="165"/>
        <v>0</v>
      </c>
      <c r="BU54" s="52">
        <f t="shared" si="165"/>
        <v>0</v>
      </c>
      <c r="BV54" s="52">
        <f t="shared" si="165"/>
        <v>0</v>
      </c>
      <c r="BW54" s="52">
        <f t="shared" si="165"/>
        <v>0</v>
      </c>
      <c r="BX54" s="52">
        <f t="shared" ref="BX54:CO54" si="166">-(Subord_Interest_Accrued) * (Flag_Operations)</f>
        <v>0</v>
      </c>
      <c r="BY54" s="52">
        <f t="shared" si="166"/>
        <v>0</v>
      </c>
      <c r="BZ54" s="52">
        <f t="shared" si="166"/>
        <v>0</v>
      </c>
      <c r="CA54" s="52">
        <f t="shared" si="166"/>
        <v>0</v>
      </c>
      <c r="CB54" s="52">
        <f t="shared" si="166"/>
        <v>0</v>
      </c>
      <c r="CC54" s="52">
        <f t="shared" si="166"/>
        <v>0</v>
      </c>
      <c r="CD54" s="52">
        <f t="shared" si="166"/>
        <v>0</v>
      </c>
      <c r="CE54" s="52">
        <f t="shared" si="166"/>
        <v>0</v>
      </c>
      <c r="CF54" s="52">
        <f t="shared" si="166"/>
        <v>0</v>
      </c>
      <c r="CG54" s="52">
        <f t="shared" si="166"/>
        <v>0</v>
      </c>
      <c r="CH54" s="52">
        <f t="shared" si="166"/>
        <v>0</v>
      </c>
      <c r="CI54" s="52">
        <f t="shared" si="166"/>
        <v>0</v>
      </c>
      <c r="CJ54" s="52">
        <f t="shared" si="166"/>
        <v>0</v>
      </c>
      <c r="CK54" s="52">
        <f t="shared" si="166"/>
        <v>0</v>
      </c>
      <c r="CL54" s="52">
        <f t="shared" si="166"/>
        <v>0</v>
      </c>
      <c r="CM54" s="52">
        <f t="shared" si="166"/>
        <v>0</v>
      </c>
      <c r="CN54" s="52">
        <f t="shared" si="166"/>
        <v>0</v>
      </c>
      <c r="CO54" s="52">
        <f t="shared" si="166"/>
        <v>0</v>
      </c>
    </row>
    <row r="55" spans="1:93" s="133" customFormat="1" thickTop="1">
      <c r="A55" s="10"/>
      <c r="B55" s="10"/>
      <c r="C55" s="49" t="s">
        <v>139</v>
      </c>
      <c r="D55" s="136"/>
      <c r="E55" s="136"/>
      <c r="F55" s="136"/>
      <c r="G55" s="137" t="str">
        <f t="shared" si="140"/>
        <v>тыс. руб.</v>
      </c>
      <c r="H55" s="136"/>
      <c r="I55" s="23">
        <f t="shared" ca="1" si="159"/>
        <v>11693344.634698331</v>
      </c>
      <c r="J55" s="136"/>
      <c r="K55" s="136"/>
      <c r="L55" s="49">
        <f t="shared" ref="L55:AH55" ca="1" si="167">SUM(L48:L49,L51:L52)</f>
        <v>0</v>
      </c>
      <c r="M55" s="49">
        <f t="shared" ca="1" si="167"/>
        <v>0</v>
      </c>
      <c r="N55" s="49">
        <f t="shared" ca="1" si="167"/>
        <v>0</v>
      </c>
      <c r="O55" s="49">
        <f t="shared" ca="1" si="167"/>
        <v>0</v>
      </c>
      <c r="P55" s="49">
        <f t="shared" ca="1" si="167"/>
        <v>0</v>
      </c>
      <c r="Q55" s="49">
        <f t="shared" ca="1" si="167"/>
        <v>0</v>
      </c>
      <c r="R55" s="49">
        <f t="shared" ca="1" si="167"/>
        <v>0</v>
      </c>
      <c r="S55" s="49">
        <f t="shared" ca="1" si="167"/>
        <v>0</v>
      </c>
      <c r="T55" s="49">
        <f t="shared" ca="1" si="167"/>
        <v>0</v>
      </c>
      <c r="U55" s="49">
        <f t="shared" ca="1" si="167"/>
        <v>0</v>
      </c>
      <c r="V55" s="49">
        <f t="shared" ca="1" si="167"/>
        <v>0</v>
      </c>
      <c r="W55" s="49">
        <f t="shared" ca="1" si="167"/>
        <v>0</v>
      </c>
      <c r="X55" s="49">
        <f t="shared" ca="1" si="167"/>
        <v>0</v>
      </c>
      <c r="Y55" s="49">
        <f t="shared" ca="1" si="167"/>
        <v>0</v>
      </c>
      <c r="Z55" s="49">
        <f t="shared" ca="1" si="167"/>
        <v>0</v>
      </c>
      <c r="AA55" s="49">
        <f t="shared" ca="1" si="167"/>
        <v>0</v>
      </c>
      <c r="AB55" s="49">
        <f t="shared" ca="1" si="167"/>
        <v>0</v>
      </c>
      <c r="AC55" s="49">
        <f t="shared" ca="1" si="167"/>
        <v>59050.396968304172</v>
      </c>
      <c r="AD55" s="49">
        <f t="shared" ca="1" si="167"/>
        <v>120413.11899791798</v>
      </c>
      <c r="AE55" s="49">
        <f t="shared" ca="1" si="167"/>
        <v>15730.915336174934</v>
      </c>
      <c r="AF55" s="49">
        <f t="shared" ca="1" si="167"/>
        <v>15947.461976087659</v>
      </c>
      <c r="AG55" s="49">
        <f t="shared" ca="1" si="167"/>
        <v>104762.16196125388</v>
      </c>
      <c r="AH55" s="49">
        <f t="shared" ca="1" si="167"/>
        <v>176585.45915076567</v>
      </c>
      <c r="AI55" s="49">
        <f ca="1">SUM(AI48:AI49,AI51:AI52)</f>
        <v>51147.312413637126</v>
      </c>
      <c r="AJ55" s="49">
        <f t="shared" ref="AJ55:CO55" ca="1" si="168">SUM(AJ48:AJ49,AJ51:AJ52)</f>
        <v>50052.061331057615</v>
      </c>
      <c r="AK55" s="49">
        <f t="shared" ca="1" si="168"/>
        <v>153651.79159720888</v>
      </c>
      <c r="AL55" s="49">
        <f t="shared" ca="1" si="168"/>
        <v>236671.86644423014</v>
      </c>
      <c r="AM55" s="49">
        <f t="shared" ca="1" si="168"/>
        <v>88985.272854429641</v>
      </c>
      <c r="AN55" s="49">
        <f t="shared" ca="1" si="168"/>
        <v>88392.066891086113</v>
      </c>
      <c r="AO55" s="49">
        <f t="shared" ca="1" si="168"/>
        <v>206026.2376614325</v>
      </c>
      <c r="AP55" s="49">
        <f t="shared" ca="1" si="168"/>
        <v>290532.32091805735</v>
      </c>
      <c r="AQ55" s="49">
        <f t="shared" ca="1" si="168"/>
        <v>117503.85826082142</v>
      </c>
      <c r="AR55" s="49">
        <f t="shared" ca="1" si="168"/>
        <v>108292.45436452977</v>
      </c>
      <c r="AS55" s="49">
        <f t="shared" ca="1" si="168"/>
        <v>226941.84933230479</v>
      </c>
      <c r="AT55" s="49">
        <f t="shared" ca="1" si="168"/>
        <v>314972.69840629486</v>
      </c>
      <c r="AU55" s="49">
        <f t="shared" ca="1" si="168"/>
        <v>135062.02292517576</v>
      </c>
      <c r="AV55" s="49">
        <f t="shared" ca="1" si="168"/>
        <v>125418.54877207993</v>
      </c>
      <c r="AW55" s="49">
        <f t="shared" ca="1" si="168"/>
        <v>115701.0908754064</v>
      </c>
      <c r="AX55" s="49">
        <f t="shared" ca="1" si="168"/>
        <v>173447.6384253602</v>
      </c>
      <c r="AY55" s="49">
        <f t="shared" ca="1" si="168"/>
        <v>57940.07772062406</v>
      </c>
      <c r="AZ55" s="49">
        <f t="shared" ca="1" si="168"/>
        <v>51923.709034181782</v>
      </c>
      <c r="BA55" s="49">
        <f t="shared" ca="1" si="168"/>
        <v>131917.63607453834</v>
      </c>
      <c r="BB55" s="49">
        <f t="shared" ca="1" si="168"/>
        <v>192032.74087184586</v>
      </c>
      <c r="BC55" s="49">
        <f t="shared" ca="1" si="168"/>
        <v>73521.729083395156</v>
      </c>
      <c r="BD55" s="49">
        <f t="shared" ca="1" si="168"/>
        <v>68830.00608682142</v>
      </c>
      <c r="BE55" s="49">
        <f t="shared" ca="1" si="168"/>
        <v>192055.95988928661</v>
      </c>
      <c r="BF55" s="49">
        <f t="shared" ca="1" si="168"/>
        <v>254850.88975145583</v>
      </c>
      <c r="BG55" s="49">
        <f t="shared" ca="1" si="168"/>
        <v>131178.64940873481</v>
      </c>
      <c r="BH55" s="49">
        <f t="shared" ca="1" si="168"/>
        <v>125044.1245386379</v>
      </c>
      <c r="BI55" s="49">
        <f t="shared" ca="1" si="168"/>
        <v>210164.46409256593</v>
      </c>
      <c r="BJ55" s="49">
        <f t="shared" ca="1" si="168"/>
        <v>272954.05858674593</v>
      </c>
      <c r="BK55" s="49">
        <f t="shared" ca="1" si="168"/>
        <v>140499.2562782673</v>
      </c>
      <c r="BL55" s="49">
        <f t="shared" ca="1" si="168"/>
        <v>131490.81778271703</v>
      </c>
      <c r="BM55" s="49">
        <f t="shared" ca="1" si="168"/>
        <v>220017.55176247505</v>
      </c>
      <c r="BN55" s="49">
        <f t="shared" ca="1" si="168"/>
        <v>285320.31088009517</v>
      </c>
      <c r="BO55" s="49">
        <f t="shared" ca="1" si="168"/>
        <v>147567.31647927727</v>
      </c>
      <c r="BP55" s="49">
        <f t="shared" ca="1" si="168"/>
        <v>138195.37875655925</v>
      </c>
      <c r="BQ55" s="49">
        <f t="shared" ca="1" si="168"/>
        <v>230264.76293918028</v>
      </c>
      <c r="BR55" s="49">
        <f t="shared" ca="1" si="168"/>
        <v>298181.21326517808</v>
      </c>
      <c r="BS55" s="49">
        <f t="shared" ca="1" si="168"/>
        <v>154918.09908832749</v>
      </c>
      <c r="BT55" s="49">
        <f t="shared" ca="1" si="168"/>
        <v>147153.70457006741</v>
      </c>
      <c r="BU55" s="49">
        <f t="shared" ca="1" si="168"/>
        <v>240932.62711338556</v>
      </c>
      <c r="BV55" s="49">
        <f t="shared" ca="1" si="168"/>
        <v>311567.44393459026</v>
      </c>
      <c r="BW55" s="49">
        <f t="shared" ca="1" si="168"/>
        <v>162573.8146294941</v>
      </c>
      <c r="BX55" s="49">
        <f t="shared" ca="1" si="168"/>
        <v>152419.77531866307</v>
      </c>
      <c r="BY55" s="49">
        <f t="shared" ca="1" si="168"/>
        <v>252005.24617167833</v>
      </c>
      <c r="BZ55" s="49">
        <f t="shared" ca="1" si="168"/>
        <v>325466.90376536985</v>
      </c>
      <c r="CA55" s="49">
        <f t="shared" ca="1" si="168"/>
        <v>170513.51947168866</v>
      </c>
      <c r="CB55" s="49">
        <f t="shared" ca="1" si="168"/>
        <v>159961.49459394338</v>
      </c>
      <c r="CC55" s="49">
        <f t="shared" ca="1" si="168"/>
        <v>263531.96512475214</v>
      </c>
      <c r="CD55" s="49">
        <f t="shared" ca="1" si="168"/>
        <v>339933.66986586392</v>
      </c>
      <c r="CE55" s="49">
        <f t="shared" ca="1" si="168"/>
        <v>178782.15020043543</v>
      </c>
      <c r="CF55" s="49">
        <f t="shared" ca="1" si="168"/>
        <v>167804.88264023469</v>
      </c>
      <c r="CG55" s="49">
        <f t="shared" ca="1" si="168"/>
        <v>275519.75283594872</v>
      </c>
      <c r="CH55" s="49">
        <f t="shared" ca="1" si="168"/>
        <v>354979.10661037784</v>
      </c>
      <c r="CI55" s="49">
        <f t="shared" ca="1" si="168"/>
        <v>187381.52615833213</v>
      </c>
      <c r="CJ55" s="49">
        <f t="shared" ca="1" si="168"/>
        <v>178289.9006940049</v>
      </c>
      <c r="CK55" s="49">
        <f t="shared" ca="1" si="168"/>
        <v>287997.97597888223</v>
      </c>
      <c r="CL55" s="49">
        <f t="shared" ca="1" si="168"/>
        <v>370637.41572542832</v>
      </c>
      <c r="CM55" s="49">
        <f t="shared" ca="1" si="168"/>
        <v>196335.94309739501</v>
      </c>
      <c r="CN55" s="49">
        <f t="shared" ca="1" si="168"/>
        <v>184445.41471924624</v>
      </c>
      <c r="CO55" s="49">
        <f t="shared" ca="1" si="168"/>
        <v>300953.04324402299</v>
      </c>
    </row>
    <row r="56" spans="1:93" s="133" customFormat="1" thickBot="1">
      <c r="A56" s="10"/>
      <c r="B56" s="10"/>
      <c r="C56" s="17" t="s">
        <v>140</v>
      </c>
      <c r="D56" s="10"/>
      <c r="E56" s="10"/>
      <c r="F56" s="10"/>
      <c r="G56" s="134" t="str">
        <f t="shared" si="140"/>
        <v>тыс. руб.</v>
      </c>
      <c r="H56" s="10"/>
      <c r="I56" s="23">
        <f t="shared" ca="1" si="159"/>
        <v>-1246051.8709808199</v>
      </c>
      <c r="J56" s="10"/>
      <c r="K56" s="10"/>
      <c r="L56" s="52">
        <f t="shared" ref="L56:AQ56" ca="1" si="169">Profits_Tax</f>
        <v>0</v>
      </c>
      <c r="M56" s="52">
        <f t="shared" ca="1" si="169"/>
        <v>0</v>
      </c>
      <c r="N56" s="52">
        <f t="shared" ca="1" si="169"/>
        <v>0</v>
      </c>
      <c r="O56" s="52">
        <f t="shared" ca="1" si="169"/>
        <v>0</v>
      </c>
      <c r="P56" s="52">
        <f t="shared" ca="1" si="169"/>
        <v>0</v>
      </c>
      <c r="Q56" s="52">
        <f t="shared" ca="1" si="169"/>
        <v>0</v>
      </c>
      <c r="R56" s="52">
        <f t="shared" ca="1" si="169"/>
        <v>0</v>
      </c>
      <c r="S56" s="52">
        <f t="shared" ca="1" si="169"/>
        <v>0</v>
      </c>
      <c r="T56" s="52">
        <f t="shared" ca="1" si="169"/>
        <v>0</v>
      </c>
      <c r="U56" s="52">
        <f t="shared" ca="1" si="169"/>
        <v>0</v>
      </c>
      <c r="V56" s="52">
        <f t="shared" ca="1" si="169"/>
        <v>0</v>
      </c>
      <c r="W56" s="52">
        <f t="shared" ca="1" si="169"/>
        <v>0</v>
      </c>
      <c r="X56" s="52">
        <f t="shared" ca="1" si="169"/>
        <v>0</v>
      </c>
      <c r="Y56" s="52">
        <f t="shared" ca="1" si="169"/>
        <v>0</v>
      </c>
      <c r="Z56" s="52">
        <f t="shared" ca="1" si="169"/>
        <v>0</v>
      </c>
      <c r="AA56" s="52">
        <f t="shared" ca="1" si="169"/>
        <v>0</v>
      </c>
      <c r="AB56" s="52">
        <f t="shared" ca="1" si="169"/>
        <v>0</v>
      </c>
      <c r="AC56" s="52">
        <f t="shared" ca="1" si="169"/>
        <v>0</v>
      </c>
      <c r="AD56" s="52">
        <f t="shared" ca="1" si="169"/>
        <v>-1389.8901071001442</v>
      </c>
      <c r="AE56" s="52">
        <f t="shared" ca="1" si="169"/>
        <v>-343.06807048271355</v>
      </c>
      <c r="AF56" s="52">
        <f t="shared" ca="1" si="169"/>
        <v>-345.23353688184091</v>
      </c>
      <c r="AG56" s="52">
        <f t="shared" ca="1" si="169"/>
        <v>-1233.380536733503</v>
      </c>
      <c r="AH56" s="52">
        <f t="shared" ca="1" si="169"/>
        <v>-1951.6135086286208</v>
      </c>
      <c r="AI56" s="52">
        <f t="shared" ca="1" si="169"/>
        <v>-697.23204125733548</v>
      </c>
      <c r="AJ56" s="52">
        <f t="shared" ca="1" si="169"/>
        <v>-686.27953043154048</v>
      </c>
      <c r="AK56" s="52">
        <f t="shared" ca="1" si="169"/>
        <v>-1722.2768330930526</v>
      </c>
      <c r="AL56" s="52">
        <f t="shared" ca="1" si="169"/>
        <v>-2552.4775815632656</v>
      </c>
      <c r="AM56" s="52">
        <f t="shared" ca="1" si="169"/>
        <v>-1075.6116456652608</v>
      </c>
      <c r="AN56" s="52">
        <f t="shared" ca="1" si="169"/>
        <v>-1069.6795860318255</v>
      </c>
      <c r="AO56" s="52">
        <f t="shared" ca="1" si="169"/>
        <v>-2246.021293735289</v>
      </c>
      <c r="AP56" s="52">
        <f t="shared" ca="1" si="169"/>
        <v>-3871.5435878940275</v>
      </c>
      <c r="AQ56" s="52">
        <f t="shared" ca="1" si="169"/>
        <v>-2721.5949994583566</v>
      </c>
      <c r="AR56" s="52">
        <f t="shared" ref="AR56:BW56" ca="1" si="170">Profits_Tax</f>
        <v>-2537.3669215325235</v>
      </c>
      <c r="AS56" s="52">
        <f t="shared" ca="1" si="170"/>
        <v>-4910.3548208880238</v>
      </c>
      <c r="AT56" s="52">
        <f t="shared" ca="1" si="170"/>
        <v>-6670.9718023678251</v>
      </c>
      <c r="AU56" s="52">
        <f t="shared" ca="1" si="170"/>
        <v>-10754.654024609054</v>
      </c>
      <c r="AV56" s="52">
        <f t="shared" ca="1" si="170"/>
        <v>-10079.610833892344</v>
      </c>
      <c r="AW56" s="52">
        <f t="shared" ca="1" si="170"/>
        <v>-9399.3887811251989</v>
      </c>
      <c r="AX56" s="52">
        <f t="shared" ca="1" si="170"/>
        <v>-13441.647109621965</v>
      </c>
      <c r="AY56" s="52">
        <f t="shared" ca="1" si="170"/>
        <v>-5356.1178602904338</v>
      </c>
      <c r="AZ56" s="52">
        <f t="shared" ca="1" si="170"/>
        <v>-4934.9720522394755</v>
      </c>
      <c r="BA56" s="52">
        <f t="shared" ca="1" si="170"/>
        <v>-10534.546945064436</v>
      </c>
      <c r="BB56" s="52">
        <f t="shared" ca="1" si="170"/>
        <v>-14742.604280875961</v>
      </c>
      <c r="BC56" s="52">
        <f t="shared" ca="1" si="170"/>
        <v>-6446.8334556844102</v>
      </c>
      <c r="BD56" s="52">
        <f t="shared" ca="1" si="170"/>
        <v>-6118.4128459242202</v>
      </c>
      <c r="BE56" s="52">
        <f t="shared" ca="1" si="170"/>
        <v>-13775.352981547452</v>
      </c>
      <c r="BF56" s="52">
        <f t="shared" ca="1" si="170"/>
        <v>-18170.998071899296</v>
      </c>
      <c r="BG56" s="52">
        <f t="shared" ca="1" si="170"/>
        <v>-9513.941247908826</v>
      </c>
      <c r="BH56" s="52">
        <f t="shared" ca="1" si="170"/>
        <v>-9084.5245070020428</v>
      </c>
      <c r="BI56" s="52">
        <f t="shared" ca="1" si="170"/>
        <v>-15042.948275777006</v>
      </c>
      <c r="BJ56" s="52">
        <f t="shared" ca="1" si="170"/>
        <v>-19438.219890369604</v>
      </c>
      <c r="BK56" s="52">
        <f t="shared" ca="1" si="170"/>
        <v>-10166.3837287761</v>
      </c>
      <c r="BL56" s="52">
        <f t="shared" ca="1" si="170"/>
        <v>-9535.793034087581</v>
      </c>
      <c r="BM56" s="52">
        <f t="shared" ca="1" si="170"/>
        <v>-15732.664412670643</v>
      </c>
      <c r="BN56" s="52">
        <f t="shared" ca="1" si="170"/>
        <v>-20303.857550904053</v>
      </c>
      <c r="BO56" s="52">
        <f t="shared" ca="1" si="170"/>
        <v>-23606.827587732194</v>
      </c>
      <c r="BP56" s="52">
        <f t="shared" ca="1" si="170"/>
        <v>-22154.177240710902</v>
      </c>
      <c r="BQ56" s="52">
        <f t="shared" ca="1" si="170"/>
        <v>-36424.931789017159</v>
      </c>
      <c r="BR56" s="52">
        <f t="shared" ca="1" si="170"/>
        <v>-46951.98158954682</v>
      </c>
      <c r="BS56" s="52">
        <f t="shared" ca="1" si="170"/>
        <v>-24746.19889213498</v>
      </c>
      <c r="BT56" s="52">
        <f t="shared" ca="1" si="170"/>
        <v>-23542.717741804667</v>
      </c>
      <c r="BU56" s="52">
        <f t="shared" ca="1" si="170"/>
        <v>-38078.450736018975</v>
      </c>
      <c r="BV56" s="52">
        <f t="shared" ca="1" si="170"/>
        <v>-49026.847343305708</v>
      </c>
      <c r="BW56" s="52">
        <f t="shared" ca="1" si="170"/>
        <v>-25932.834801015801</v>
      </c>
      <c r="BX56" s="52">
        <f t="shared" ref="BX56:CO56" ca="1" si="171">Profits_Tax</f>
        <v>-24358.958707836995</v>
      </c>
      <c r="BY56" s="52">
        <f t="shared" ca="1" si="171"/>
        <v>-39794.70669005435</v>
      </c>
      <c r="BZ56" s="52">
        <f t="shared" ca="1" si="171"/>
        <v>-51181.26361707654</v>
      </c>
      <c r="CA56" s="52">
        <f t="shared" ca="1" si="171"/>
        <v>-27163.48905155596</v>
      </c>
      <c r="CB56" s="52">
        <f t="shared" ca="1" si="171"/>
        <v>-25527.925195505442</v>
      </c>
      <c r="CC56" s="52">
        <f t="shared" ca="1" si="171"/>
        <v>-41581.348127780795</v>
      </c>
      <c r="CD56" s="52">
        <f t="shared" ca="1" si="171"/>
        <v>-53423.612362653126</v>
      </c>
      <c r="CE56" s="52">
        <f t="shared" ca="1" si="171"/>
        <v>-28445.126814511706</v>
      </c>
      <c r="CF56" s="52">
        <f t="shared" ca="1" si="171"/>
        <v>-26743.650342680594</v>
      </c>
      <c r="CG56" s="52">
        <f t="shared" ca="1" si="171"/>
        <v>-43439.455223016266</v>
      </c>
      <c r="CH56" s="52">
        <f t="shared" ca="1" si="171"/>
        <v>-55755.655058052784</v>
      </c>
      <c r="CI56" s="52">
        <f t="shared" ca="1" si="171"/>
        <v>-29778.030087985695</v>
      </c>
      <c r="CJ56" s="52">
        <f t="shared" ca="1" si="171"/>
        <v>-28368.828141014976</v>
      </c>
      <c r="CK56" s="52">
        <f t="shared" ca="1" si="171"/>
        <v>-45373.579810170959</v>
      </c>
      <c r="CL56" s="52">
        <f t="shared" ca="1" si="171"/>
        <v>-58182.692970885604</v>
      </c>
      <c r="CM56" s="52">
        <f t="shared" ca="1" si="171"/>
        <v>-31165.964713540445</v>
      </c>
      <c r="CN56" s="52">
        <f t="shared" ca="1" si="171"/>
        <v>-29322.932814927386</v>
      </c>
      <c r="CO56" s="52">
        <f t="shared" ca="1" si="171"/>
        <v>-47381.615236267782</v>
      </c>
    </row>
    <row r="57" spans="1:93" s="133" customFormat="1" thickTop="1">
      <c r="A57" s="10"/>
      <c r="B57" s="10"/>
      <c r="C57" s="49" t="s">
        <v>543</v>
      </c>
      <c r="D57" s="136"/>
      <c r="E57" s="136"/>
      <c r="F57" s="136"/>
      <c r="G57" s="137" t="str">
        <f t="shared" si="140"/>
        <v>тыс. руб.</v>
      </c>
      <c r="H57" s="136"/>
      <c r="I57" s="23">
        <f t="shared" ca="1" si="159"/>
        <v>10447292.763717512</v>
      </c>
      <c r="J57" s="136"/>
      <c r="K57" s="136"/>
      <c r="L57" s="49">
        <f t="shared" ref="L57:BW57" ca="1" si="172">SUM(L55:L56)</f>
        <v>0</v>
      </c>
      <c r="M57" s="49">
        <f t="shared" ca="1" si="172"/>
        <v>0</v>
      </c>
      <c r="N57" s="49">
        <f t="shared" ca="1" si="172"/>
        <v>0</v>
      </c>
      <c r="O57" s="49">
        <f t="shared" ca="1" si="172"/>
        <v>0</v>
      </c>
      <c r="P57" s="49">
        <f t="shared" ca="1" si="172"/>
        <v>0</v>
      </c>
      <c r="Q57" s="49">
        <f t="shared" ca="1" si="172"/>
        <v>0</v>
      </c>
      <c r="R57" s="49">
        <f t="shared" ca="1" si="172"/>
        <v>0</v>
      </c>
      <c r="S57" s="49">
        <f t="shared" ca="1" si="172"/>
        <v>0</v>
      </c>
      <c r="T57" s="49">
        <f t="shared" ca="1" si="172"/>
        <v>0</v>
      </c>
      <c r="U57" s="49">
        <f t="shared" ca="1" si="172"/>
        <v>0</v>
      </c>
      <c r="V57" s="49">
        <f t="shared" ca="1" si="172"/>
        <v>0</v>
      </c>
      <c r="W57" s="49">
        <f t="shared" ca="1" si="172"/>
        <v>0</v>
      </c>
      <c r="X57" s="49">
        <f t="shared" ca="1" si="172"/>
        <v>0</v>
      </c>
      <c r="Y57" s="49">
        <f t="shared" ca="1" si="172"/>
        <v>0</v>
      </c>
      <c r="Z57" s="49">
        <f t="shared" ca="1" si="172"/>
        <v>0</v>
      </c>
      <c r="AA57" s="49">
        <f t="shared" ca="1" si="172"/>
        <v>0</v>
      </c>
      <c r="AB57" s="49">
        <f t="shared" ca="1" si="172"/>
        <v>0</v>
      </c>
      <c r="AC57" s="49">
        <f t="shared" ca="1" si="172"/>
        <v>59050.396968304172</v>
      </c>
      <c r="AD57" s="49">
        <f t="shared" ca="1" si="172"/>
        <v>119023.22889081783</v>
      </c>
      <c r="AE57" s="49">
        <f t="shared" ca="1" si="172"/>
        <v>15387.84726569222</v>
      </c>
      <c r="AF57" s="49">
        <f t="shared" ca="1" si="172"/>
        <v>15602.228439205819</v>
      </c>
      <c r="AG57" s="49">
        <f t="shared" ca="1" si="172"/>
        <v>103528.78142452038</v>
      </c>
      <c r="AH57" s="49">
        <f t="shared" ca="1" si="172"/>
        <v>174633.84564213705</v>
      </c>
      <c r="AI57" s="49">
        <f t="shared" ca="1" si="172"/>
        <v>50450.080372379787</v>
      </c>
      <c r="AJ57" s="49">
        <f t="shared" ca="1" si="172"/>
        <v>49365.781800626079</v>
      </c>
      <c r="AK57" s="49">
        <f t="shared" ca="1" si="172"/>
        <v>151929.51476411583</v>
      </c>
      <c r="AL57" s="49">
        <f t="shared" ca="1" si="172"/>
        <v>234119.38886266688</v>
      </c>
      <c r="AM57" s="49">
        <f t="shared" ca="1" si="172"/>
        <v>87909.661208764373</v>
      </c>
      <c r="AN57" s="49">
        <f t="shared" ca="1" si="172"/>
        <v>87322.38730505429</v>
      </c>
      <c r="AO57" s="49">
        <f t="shared" ca="1" si="172"/>
        <v>203780.21636769723</v>
      </c>
      <c r="AP57" s="49">
        <f t="shared" ca="1" si="172"/>
        <v>286660.77733016334</v>
      </c>
      <c r="AQ57" s="49">
        <f t="shared" ca="1" si="172"/>
        <v>114782.26326136307</v>
      </c>
      <c r="AR57" s="49">
        <f t="shared" ca="1" si="172"/>
        <v>105755.08744299725</v>
      </c>
      <c r="AS57" s="49">
        <f t="shared" ca="1" si="172"/>
        <v>222031.49451141676</v>
      </c>
      <c r="AT57" s="49">
        <f t="shared" ca="1" si="172"/>
        <v>308301.72660392703</v>
      </c>
      <c r="AU57" s="49">
        <f t="shared" ca="1" si="172"/>
        <v>124307.3689005667</v>
      </c>
      <c r="AV57" s="49">
        <f t="shared" ca="1" si="172"/>
        <v>115338.93793818759</v>
      </c>
      <c r="AW57" s="49">
        <f t="shared" ca="1" si="172"/>
        <v>106301.70209428121</v>
      </c>
      <c r="AX57" s="49">
        <f t="shared" ca="1" si="172"/>
        <v>160005.99131573824</v>
      </c>
      <c r="AY57" s="49">
        <f t="shared" ca="1" si="172"/>
        <v>52583.959860333627</v>
      </c>
      <c r="AZ57" s="49">
        <f t="shared" ca="1" si="172"/>
        <v>46988.736981942304</v>
      </c>
      <c r="BA57" s="49">
        <f t="shared" ca="1" si="172"/>
        <v>121383.08912947391</v>
      </c>
      <c r="BB57" s="49">
        <f t="shared" ca="1" si="172"/>
        <v>177290.13659096989</v>
      </c>
      <c r="BC57" s="49">
        <f t="shared" ca="1" si="172"/>
        <v>67074.89562771075</v>
      </c>
      <c r="BD57" s="49">
        <f t="shared" ca="1" si="172"/>
        <v>62711.5932408972</v>
      </c>
      <c r="BE57" s="49">
        <f t="shared" ca="1" si="172"/>
        <v>178280.60690773916</v>
      </c>
      <c r="BF57" s="49">
        <f t="shared" ca="1" si="172"/>
        <v>236679.89167955655</v>
      </c>
      <c r="BG57" s="49">
        <f t="shared" ca="1" si="172"/>
        <v>121664.70816082599</v>
      </c>
      <c r="BH57" s="49">
        <f t="shared" ca="1" si="172"/>
        <v>115959.60003163585</v>
      </c>
      <c r="BI57" s="49">
        <f t="shared" ca="1" si="172"/>
        <v>195121.51581678892</v>
      </c>
      <c r="BJ57" s="49">
        <f t="shared" ca="1" si="172"/>
        <v>253515.83869637633</v>
      </c>
      <c r="BK57" s="49">
        <f t="shared" ca="1" si="172"/>
        <v>130332.87254949121</v>
      </c>
      <c r="BL57" s="49">
        <f t="shared" ca="1" si="172"/>
        <v>121955.02474862945</v>
      </c>
      <c r="BM57" s="49">
        <f t="shared" ca="1" si="172"/>
        <v>204284.8873498044</v>
      </c>
      <c r="BN57" s="49">
        <f t="shared" ca="1" si="172"/>
        <v>265016.45332919114</v>
      </c>
      <c r="BO57" s="49">
        <f t="shared" ca="1" si="172"/>
        <v>123960.48889154507</v>
      </c>
      <c r="BP57" s="49">
        <f t="shared" ca="1" si="172"/>
        <v>116041.20151584834</v>
      </c>
      <c r="BQ57" s="49">
        <f t="shared" ca="1" si="172"/>
        <v>193839.83115016311</v>
      </c>
      <c r="BR57" s="49">
        <f t="shared" ca="1" si="172"/>
        <v>251229.23167563125</v>
      </c>
      <c r="BS57" s="49">
        <f t="shared" ca="1" si="172"/>
        <v>130171.90019619251</v>
      </c>
      <c r="BT57" s="49">
        <f t="shared" ca="1" si="172"/>
        <v>123610.98682826274</v>
      </c>
      <c r="BU57" s="49">
        <f t="shared" ca="1" si="172"/>
        <v>202854.17637736659</v>
      </c>
      <c r="BV57" s="49">
        <f t="shared" ca="1" si="172"/>
        <v>262540.59659128456</v>
      </c>
      <c r="BW57" s="49">
        <f t="shared" ca="1" si="172"/>
        <v>136640.9798284783</v>
      </c>
      <c r="BX57" s="49">
        <f t="shared" ref="BX57:CO57" ca="1" si="173">SUM(BX55:BX56)</f>
        <v>128060.81661082608</v>
      </c>
      <c r="BY57" s="49">
        <f t="shared" ca="1" si="173"/>
        <v>212210.53948162397</v>
      </c>
      <c r="BZ57" s="49">
        <f t="shared" ca="1" si="173"/>
        <v>274285.64014829329</v>
      </c>
      <c r="CA57" s="49">
        <f t="shared" ca="1" si="173"/>
        <v>143350.03042013271</v>
      </c>
      <c r="CB57" s="49">
        <f t="shared" ca="1" si="173"/>
        <v>134433.56939843795</v>
      </c>
      <c r="CC57" s="49">
        <f t="shared" ca="1" si="173"/>
        <v>221950.61699697134</v>
      </c>
      <c r="CD57" s="49">
        <f t="shared" ca="1" si="173"/>
        <v>286510.05750321079</v>
      </c>
      <c r="CE57" s="49">
        <f t="shared" ca="1" si="173"/>
        <v>150337.02338592371</v>
      </c>
      <c r="CF57" s="49">
        <f t="shared" ca="1" si="173"/>
        <v>141061.23229755409</v>
      </c>
      <c r="CG57" s="49">
        <f t="shared" ca="1" si="173"/>
        <v>232080.29761293245</v>
      </c>
      <c r="CH57" s="49">
        <f t="shared" ca="1" si="173"/>
        <v>299223.45155232504</v>
      </c>
      <c r="CI57" s="49">
        <f t="shared" ca="1" si="173"/>
        <v>157603.49607034645</v>
      </c>
      <c r="CJ57" s="49">
        <f t="shared" ca="1" si="173"/>
        <v>149921.07255298994</v>
      </c>
      <c r="CK57" s="49">
        <f t="shared" ca="1" si="173"/>
        <v>242624.39616871128</v>
      </c>
      <c r="CL57" s="49">
        <f t="shared" ca="1" si="173"/>
        <v>312454.72275454272</v>
      </c>
      <c r="CM57" s="49">
        <f t="shared" ca="1" si="173"/>
        <v>165169.97838385456</v>
      </c>
      <c r="CN57" s="49">
        <f t="shared" ca="1" si="173"/>
        <v>155122.48190431885</v>
      </c>
      <c r="CO57" s="49">
        <f t="shared" ca="1" si="173"/>
        <v>253571.4280077552</v>
      </c>
    </row>
    <row r="58" spans="1:93" s="133" customFormat="1" thickBot="1">
      <c r="A58" s="10"/>
      <c r="B58" s="10"/>
      <c r="C58" s="17" t="s">
        <v>141</v>
      </c>
      <c r="D58" s="10"/>
      <c r="E58" s="10"/>
      <c r="F58" s="10"/>
      <c r="G58" s="134" t="str">
        <f t="shared" si="140"/>
        <v>тыс. руб.</v>
      </c>
      <c r="H58" s="10"/>
      <c r="I58" s="23">
        <f t="shared" ca="1" si="159"/>
        <v>-9928390.6209045984</v>
      </c>
      <c r="J58" s="10"/>
      <c r="K58" s="10"/>
      <c r="L58" s="52">
        <f t="shared" ref="L58:BW58" ca="1" si="174">Dividends</f>
        <v>0</v>
      </c>
      <c r="M58" s="52">
        <f t="shared" ca="1" si="174"/>
        <v>0</v>
      </c>
      <c r="N58" s="52">
        <f t="shared" ca="1" si="174"/>
        <v>0</v>
      </c>
      <c r="O58" s="52">
        <f t="shared" ca="1" si="174"/>
        <v>0</v>
      </c>
      <c r="P58" s="52">
        <f t="shared" ca="1" si="174"/>
        <v>0</v>
      </c>
      <c r="Q58" s="52">
        <f t="shared" ca="1" si="174"/>
        <v>0</v>
      </c>
      <c r="R58" s="52">
        <f t="shared" ca="1" si="174"/>
        <v>0</v>
      </c>
      <c r="S58" s="52">
        <f t="shared" ca="1" si="174"/>
        <v>0</v>
      </c>
      <c r="T58" s="52">
        <f t="shared" ca="1" si="174"/>
        <v>0</v>
      </c>
      <c r="U58" s="52">
        <f t="shared" ca="1" si="174"/>
        <v>0</v>
      </c>
      <c r="V58" s="52">
        <f t="shared" ca="1" si="174"/>
        <v>0</v>
      </c>
      <c r="W58" s="52">
        <f t="shared" ca="1" si="174"/>
        <v>0</v>
      </c>
      <c r="X58" s="52">
        <f t="shared" ca="1" si="174"/>
        <v>0</v>
      </c>
      <c r="Y58" s="52">
        <f t="shared" ca="1" si="174"/>
        <v>0</v>
      </c>
      <c r="Z58" s="52">
        <f t="shared" ca="1" si="174"/>
        <v>0</v>
      </c>
      <c r="AA58" s="52">
        <f t="shared" ca="1" si="174"/>
        <v>0</v>
      </c>
      <c r="AB58" s="52">
        <f t="shared" ca="1" si="174"/>
        <v>0</v>
      </c>
      <c r="AC58" s="52">
        <f t="shared" ca="1" si="174"/>
        <v>-59050.396968304172</v>
      </c>
      <c r="AD58" s="52">
        <f t="shared" ca="1" si="174"/>
        <v>-119023.22889081783</v>
      </c>
      <c r="AE58" s="52">
        <f t="shared" ca="1" si="174"/>
        <v>-15387.84726569222</v>
      </c>
      <c r="AF58" s="52">
        <f t="shared" ca="1" si="174"/>
        <v>-15602.228439205819</v>
      </c>
      <c r="AG58" s="52">
        <f t="shared" ca="1" si="174"/>
        <v>-103528.78142452038</v>
      </c>
      <c r="AH58" s="52">
        <f t="shared" ca="1" si="174"/>
        <v>-174633.84564213705</v>
      </c>
      <c r="AI58" s="52">
        <f t="shared" ca="1" si="174"/>
        <v>-50450.080372379787</v>
      </c>
      <c r="AJ58" s="52">
        <f t="shared" ca="1" si="174"/>
        <v>-49365.781800626079</v>
      </c>
      <c r="AK58" s="52">
        <f t="shared" ca="1" si="174"/>
        <v>-151929.51476411583</v>
      </c>
      <c r="AL58" s="52">
        <f t="shared" ca="1" si="174"/>
        <v>-234119.38886266688</v>
      </c>
      <c r="AM58" s="52">
        <f t="shared" ca="1" si="174"/>
        <v>-87909.661208764373</v>
      </c>
      <c r="AN58" s="52">
        <f t="shared" ca="1" si="174"/>
        <v>-87322.38730505429</v>
      </c>
      <c r="AO58" s="52">
        <f t="shared" ca="1" si="174"/>
        <v>-154300.24168308536</v>
      </c>
      <c r="AP58" s="52">
        <f t="shared" ca="1" si="174"/>
        <v>-141729.88994279964</v>
      </c>
      <c r="AQ58" s="52">
        <f t="shared" ca="1" si="174"/>
        <v>-160798.98248832178</v>
      </c>
      <c r="AR58" s="52">
        <f t="shared" ca="1" si="174"/>
        <v>-61597.462780265138</v>
      </c>
      <c r="AS58" s="52">
        <f t="shared" ca="1" si="174"/>
        <v>-61934.838676213985</v>
      </c>
      <c r="AT58" s="52">
        <f t="shared" ca="1" si="174"/>
        <v>-152696.91451470894</v>
      </c>
      <c r="AU58" s="52">
        <f t="shared" ca="1" si="174"/>
        <v>-166797.13908820559</v>
      </c>
      <c r="AV58" s="52">
        <f t="shared" ca="1" si="174"/>
        <v>-64056.714336277917</v>
      </c>
      <c r="AW58" s="52">
        <f t="shared" ca="1" si="174"/>
        <v>-107973.36274285452</v>
      </c>
      <c r="AX58" s="52">
        <f t="shared" ca="1" si="174"/>
        <v>-84851.201995847252</v>
      </c>
      <c r="AY58" s="52">
        <f t="shared" ca="1" si="174"/>
        <v>-10608.520906129328</v>
      </c>
      <c r="AZ58" s="52">
        <f t="shared" ca="1" si="174"/>
        <v>0</v>
      </c>
      <c r="BA58" s="52">
        <f t="shared" ca="1" si="174"/>
        <v>0</v>
      </c>
      <c r="BB58" s="52">
        <f t="shared" ca="1" si="174"/>
        <v>-13965.406815549846</v>
      </c>
      <c r="BC58" s="52">
        <f t="shared" ca="1" si="174"/>
        <v>-17715.546658842039</v>
      </c>
      <c r="BD58" s="52">
        <f t="shared" ca="1" si="174"/>
        <v>0</v>
      </c>
      <c r="BE58" s="52">
        <f t="shared" ca="1" si="174"/>
        <v>0</v>
      </c>
      <c r="BF58" s="52">
        <f t="shared" ca="1" si="174"/>
        <v>-32964.281449141898</v>
      </c>
      <c r="BG58" s="52">
        <f t="shared" ca="1" si="174"/>
        <v>-23187.540176706039</v>
      </c>
      <c r="BH58" s="52">
        <f t="shared" ca="1" si="174"/>
        <v>-149271.3857948205</v>
      </c>
      <c r="BI58" s="52">
        <f t="shared" ca="1" si="174"/>
        <v>-194467.00727934242</v>
      </c>
      <c r="BJ58" s="52">
        <f t="shared" ca="1" si="174"/>
        <v>-263143.28819603729</v>
      </c>
      <c r="BK58" s="52">
        <f t="shared" ca="1" si="174"/>
        <v>-215603.7609729098</v>
      </c>
      <c r="BL58" s="52">
        <f t="shared" ca="1" si="174"/>
        <v>-155296.66139235115</v>
      </c>
      <c r="BM58" s="52">
        <f t="shared" ca="1" si="174"/>
        <v>-202301.54613887856</v>
      </c>
      <c r="BN58" s="52">
        <f t="shared" ca="1" si="174"/>
        <v>-273726.34847685776</v>
      </c>
      <c r="BO58" s="52">
        <f t="shared" ca="1" si="174"/>
        <v>-211339.56051991874</v>
      </c>
      <c r="BP58" s="52">
        <f t="shared" ca="1" si="174"/>
        <v>-149413.85129333788</v>
      </c>
      <c r="BQ58" s="52">
        <f t="shared" ca="1" si="174"/>
        <v>-190474.5039588192</v>
      </c>
      <c r="BR58" s="52">
        <f t="shared" ca="1" si="174"/>
        <v>-258984.87029722304</v>
      </c>
      <c r="BS58" s="52">
        <f t="shared" ca="1" si="174"/>
        <v>-219743.48235772018</v>
      </c>
      <c r="BT58" s="52">
        <f t="shared" ca="1" si="174"/>
        <v>-157749.91729861218</v>
      </c>
      <c r="BU58" s="52">
        <f t="shared" ca="1" si="174"/>
        <v>-197317.58972668709</v>
      </c>
      <c r="BV58" s="52">
        <f t="shared" ca="1" si="174"/>
        <v>-269303.81083330908</v>
      </c>
      <c r="BW58" s="52">
        <f t="shared" ca="1" si="174"/>
        <v>-228492.77329331194</v>
      </c>
      <c r="BX58" s="52">
        <f t="shared" ref="BX58:CO58" ca="1" si="175">Dividends</f>
        <v>-161499.22810249944</v>
      </c>
      <c r="BY58" s="52">
        <f t="shared" ca="1" si="175"/>
        <v>-205913.19083422472</v>
      </c>
      <c r="BZ58" s="52">
        <f t="shared" ca="1" si="175"/>
        <v>-280016.72812416521</v>
      </c>
      <c r="CA58" s="52">
        <f t="shared" ca="1" si="175"/>
        <v>-237573.24292879915</v>
      </c>
      <c r="CB58" s="52">
        <f t="shared" ca="1" si="175"/>
        <v>-167906.9021982312</v>
      </c>
      <c r="CC58" s="52">
        <f t="shared" ca="1" si="175"/>
        <v>-214098.72207169505</v>
      </c>
      <c r="CD58" s="52">
        <f t="shared" ca="1" si="175"/>
        <v>-291167.7366661366</v>
      </c>
      <c r="CE58" s="52">
        <f t="shared" ca="1" si="175"/>
        <v>-247026.51206295507</v>
      </c>
      <c r="CF58" s="52">
        <f t="shared" ca="1" si="175"/>
        <v>-174570.84607735806</v>
      </c>
      <c r="CG58" s="52">
        <f t="shared" ca="1" si="175"/>
        <v>-222611.67455866357</v>
      </c>
      <c r="CH58" s="52">
        <f t="shared" ca="1" si="175"/>
        <v>-302764.78554978635</v>
      </c>
      <c r="CI58" s="52">
        <f t="shared" ca="1" si="175"/>
        <v>-256857.91196247865</v>
      </c>
      <c r="CJ58" s="52">
        <f t="shared" ca="1" si="175"/>
        <v>-184327.12636069866</v>
      </c>
      <c r="CK58" s="52">
        <f t="shared" ca="1" si="175"/>
        <v>-230615.70664995754</v>
      </c>
      <c r="CL58" s="52">
        <f t="shared" ca="1" si="175"/>
        <v>-314835.06059641473</v>
      </c>
      <c r="CM58" s="52">
        <f t="shared" ca="1" si="175"/>
        <v>-267091.91898776783</v>
      </c>
      <c r="CN58" s="52">
        <f t="shared" ca="1" si="175"/>
        <v>-188709.02758838091</v>
      </c>
      <c r="CO58" s="52">
        <f t="shared" ca="1" si="175"/>
        <v>-240672.75455501606</v>
      </c>
    </row>
    <row r="59" spans="1:93" s="133" customFormat="1" thickTop="1">
      <c r="A59" s="10"/>
      <c r="B59" s="10"/>
      <c r="C59" s="49" t="s">
        <v>142</v>
      </c>
      <c r="D59" s="136"/>
      <c r="E59" s="136"/>
      <c r="F59" s="136"/>
      <c r="G59" s="137" t="str">
        <f t="shared" si="140"/>
        <v>тыс. руб.</v>
      </c>
      <c r="H59" s="136"/>
      <c r="I59" s="23">
        <f t="shared" ca="1" si="159"/>
        <v>518902.14281291328</v>
      </c>
      <c r="J59" s="136"/>
      <c r="K59" s="136"/>
      <c r="L59" s="49">
        <f t="shared" ref="L59:BW59" ca="1" si="176">SUM(L57:L58)</f>
        <v>0</v>
      </c>
      <c r="M59" s="49">
        <f t="shared" ca="1" si="176"/>
        <v>0</v>
      </c>
      <c r="N59" s="49">
        <f t="shared" ca="1" si="176"/>
        <v>0</v>
      </c>
      <c r="O59" s="49">
        <f t="shared" ca="1" si="176"/>
        <v>0</v>
      </c>
      <c r="P59" s="49">
        <f t="shared" ca="1" si="176"/>
        <v>0</v>
      </c>
      <c r="Q59" s="49">
        <f t="shared" ca="1" si="176"/>
        <v>0</v>
      </c>
      <c r="R59" s="49">
        <f t="shared" ca="1" si="176"/>
        <v>0</v>
      </c>
      <c r="S59" s="49">
        <f t="shared" ca="1" si="176"/>
        <v>0</v>
      </c>
      <c r="T59" s="49">
        <f t="shared" ca="1" si="176"/>
        <v>0</v>
      </c>
      <c r="U59" s="49">
        <f t="shared" ca="1" si="176"/>
        <v>0</v>
      </c>
      <c r="V59" s="49">
        <f t="shared" ca="1" si="176"/>
        <v>0</v>
      </c>
      <c r="W59" s="49">
        <f t="shared" ca="1" si="176"/>
        <v>0</v>
      </c>
      <c r="X59" s="49">
        <f t="shared" ca="1" si="176"/>
        <v>0</v>
      </c>
      <c r="Y59" s="49">
        <f t="shared" ca="1" si="176"/>
        <v>0</v>
      </c>
      <c r="Z59" s="49">
        <f t="shared" ca="1" si="176"/>
        <v>0</v>
      </c>
      <c r="AA59" s="49">
        <f t="shared" ca="1" si="176"/>
        <v>0</v>
      </c>
      <c r="AB59" s="49">
        <f t="shared" ca="1" si="176"/>
        <v>0</v>
      </c>
      <c r="AC59" s="49">
        <f t="shared" ca="1" si="176"/>
        <v>0</v>
      </c>
      <c r="AD59" s="49">
        <f t="shared" ca="1" si="176"/>
        <v>0</v>
      </c>
      <c r="AE59" s="49">
        <f t="shared" ca="1" si="176"/>
        <v>0</v>
      </c>
      <c r="AF59" s="49">
        <f t="shared" ca="1" si="176"/>
        <v>0</v>
      </c>
      <c r="AG59" s="49">
        <f t="shared" ca="1" si="176"/>
        <v>0</v>
      </c>
      <c r="AH59" s="49">
        <f t="shared" ca="1" si="176"/>
        <v>0</v>
      </c>
      <c r="AI59" s="49">
        <f t="shared" ca="1" si="176"/>
        <v>0</v>
      </c>
      <c r="AJ59" s="49">
        <f t="shared" ca="1" si="176"/>
        <v>0</v>
      </c>
      <c r="AK59" s="49">
        <f t="shared" ca="1" si="176"/>
        <v>0</v>
      </c>
      <c r="AL59" s="49">
        <f t="shared" ca="1" si="176"/>
        <v>0</v>
      </c>
      <c r="AM59" s="49">
        <f t="shared" ca="1" si="176"/>
        <v>0</v>
      </c>
      <c r="AN59" s="49">
        <f t="shared" ca="1" si="176"/>
        <v>0</v>
      </c>
      <c r="AO59" s="49">
        <f t="shared" ca="1" si="176"/>
        <v>49479.974684611865</v>
      </c>
      <c r="AP59" s="49">
        <f t="shared" ca="1" si="176"/>
        <v>144930.88738736371</v>
      </c>
      <c r="AQ59" s="49">
        <f t="shared" ca="1" si="176"/>
        <v>-46016.71922695871</v>
      </c>
      <c r="AR59" s="49">
        <f t="shared" ca="1" si="176"/>
        <v>44157.624662732109</v>
      </c>
      <c r="AS59" s="49">
        <f t="shared" ca="1" si="176"/>
        <v>160096.65583520278</v>
      </c>
      <c r="AT59" s="49">
        <f t="shared" ca="1" si="176"/>
        <v>155604.81208921809</v>
      </c>
      <c r="AU59" s="49">
        <f t="shared" ca="1" si="176"/>
        <v>-42489.770187638889</v>
      </c>
      <c r="AV59" s="49">
        <f t="shared" ca="1" si="176"/>
        <v>51282.223601909674</v>
      </c>
      <c r="AW59" s="49">
        <f t="shared" ca="1" si="176"/>
        <v>-1671.6606485733064</v>
      </c>
      <c r="AX59" s="49">
        <f t="shared" ca="1" si="176"/>
        <v>75154.789319890988</v>
      </c>
      <c r="AY59" s="49">
        <f t="shared" ca="1" si="176"/>
        <v>41975.438954204299</v>
      </c>
      <c r="AZ59" s="49">
        <f t="shared" ca="1" si="176"/>
        <v>46988.736981942304</v>
      </c>
      <c r="BA59" s="49">
        <f t="shared" ca="1" si="176"/>
        <v>121383.08912947391</v>
      </c>
      <c r="BB59" s="49">
        <f t="shared" ca="1" si="176"/>
        <v>163324.72977542004</v>
      </c>
      <c r="BC59" s="49">
        <f t="shared" ca="1" si="176"/>
        <v>49359.348968868711</v>
      </c>
      <c r="BD59" s="49">
        <f t="shared" ca="1" si="176"/>
        <v>62711.5932408972</v>
      </c>
      <c r="BE59" s="49">
        <f t="shared" ca="1" si="176"/>
        <v>178280.60690773916</v>
      </c>
      <c r="BF59" s="49">
        <f t="shared" ca="1" si="176"/>
        <v>203715.61023041466</v>
      </c>
      <c r="BG59" s="49">
        <f t="shared" ca="1" si="176"/>
        <v>98477.167984119951</v>
      </c>
      <c r="BH59" s="49">
        <f t="shared" ca="1" si="176"/>
        <v>-33311.785763184642</v>
      </c>
      <c r="BI59" s="49">
        <f t="shared" ca="1" si="176"/>
        <v>654.50853744649794</v>
      </c>
      <c r="BJ59" s="49">
        <f t="shared" ca="1" si="176"/>
        <v>-9627.4494996609574</v>
      </c>
      <c r="BK59" s="49">
        <f t="shared" ca="1" si="176"/>
        <v>-85270.888423418597</v>
      </c>
      <c r="BL59" s="49">
        <f t="shared" ca="1" si="176"/>
        <v>-33341.636643721693</v>
      </c>
      <c r="BM59" s="49">
        <f t="shared" ca="1" si="176"/>
        <v>1983.3412109258352</v>
      </c>
      <c r="BN59" s="49">
        <f t="shared" ca="1" si="176"/>
        <v>-8709.8951476666261</v>
      </c>
      <c r="BO59" s="49">
        <f t="shared" ca="1" si="176"/>
        <v>-87379.071628373669</v>
      </c>
      <c r="BP59" s="49">
        <f t="shared" ca="1" si="176"/>
        <v>-33372.64977748954</v>
      </c>
      <c r="BQ59" s="49">
        <f t="shared" ca="1" si="176"/>
        <v>3365.3271913439094</v>
      </c>
      <c r="BR59" s="49">
        <f t="shared" ca="1" si="176"/>
        <v>-7755.6386215917883</v>
      </c>
      <c r="BS59" s="49">
        <f t="shared" ca="1" si="176"/>
        <v>-89571.582161527665</v>
      </c>
      <c r="BT59" s="49">
        <f t="shared" ca="1" si="176"/>
        <v>-34138.930470349442</v>
      </c>
      <c r="BU59" s="49">
        <f t="shared" ca="1" si="176"/>
        <v>5536.5866506794991</v>
      </c>
      <c r="BV59" s="49">
        <f t="shared" ca="1" si="176"/>
        <v>-6763.2142420245218</v>
      </c>
      <c r="BW59" s="49">
        <f t="shared" ca="1" si="176"/>
        <v>-91851.793464833638</v>
      </c>
      <c r="BX59" s="49">
        <f t="shared" ref="BX59:CO59" ca="1" si="177">SUM(BX57:BX58)</f>
        <v>-33438.411491673367</v>
      </c>
      <c r="BY59" s="49">
        <f t="shared" ca="1" si="177"/>
        <v>6297.3486473992525</v>
      </c>
      <c r="BZ59" s="49">
        <f t="shared" ca="1" si="177"/>
        <v>-5731.0879758719238</v>
      </c>
      <c r="CA59" s="49">
        <f t="shared" ca="1" si="177"/>
        <v>-94223.212508666446</v>
      </c>
      <c r="CB59" s="49">
        <f t="shared" ca="1" si="177"/>
        <v>-33473.33279979325</v>
      </c>
      <c r="CC59" s="49">
        <f t="shared" ca="1" si="177"/>
        <v>7851.8949252762832</v>
      </c>
      <c r="CD59" s="49">
        <f t="shared" ca="1" si="177"/>
        <v>-4657.6791629258078</v>
      </c>
      <c r="CE59" s="49">
        <f t="shared" ca="1" si="177"/>
        <v>-96689.488677031361</v>
      </c>
      <c r="CF59" s="49">
        <f t="shared" ca="1" si="177"/>
        <v>-33509.613779803971</v>
      </c>
      <c r="CG59" s="49">
        <f t="shared" ca="1" si="177"/>
        <v>9468.6230542688863</v>
      </c>
      <c r="CH59" s="49">
        <f t="shared" ca="1" si="177"/>
        <v>-3541.3339974613045</v>
      </c>
      <c r="CI59" s="49">
        <f t="shared" ca="1" si="177"/>
        <v>-99254.415892132209</v>
      </c>
      <c r="CJ59" s="49">
        <f t="shared" ca="1" si="177"/>
        <v>-34406.053807708726</v>
      </c>
      <c r="CK59" s="49">
        <f t="shared" ca="1" si="177"/>
        <v>12008.68951875373</v>
      </c>
      <c r="CL59" s="49">
        <f t="shared" ca="1" si="177"/>
        <v>-2380.3378418720094</v>
      </c>
      <c r="CM59" s="49">
        <f t="shared" ca="1" si="177"/>
        <v>-101921.94060391327</v>
      </c>
      <c r="CN59" s="49">
        <f t="shared" ca="1" si="177"/>
        <v>-33586.545684062061</v>
      </c>
      <c r="CO59" s="49">
        <f t="shared" ca="1" si="177"/>
        <v>12898.673452739138</v>
      </c>
    </row>
    <row r="60" spans="1:93" s="133" customFormat="1" ht="14">
      <c r="A60" s="10"/>
      <c r="B60" s="10"/>
      <c r="C60" s="17"/>
      <c r="D60" s="10"/>
      <c r="E60" s="10"/>
      <c r="F60" s="10"/>
      <c r="G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</row>
    <row r="61" spans="1:93" s="133" customFormat="1" ht="14">
      <c r="A61" s="10"/>
      <c r="B61" s="10"/>
      <c r="C61" s="17" t="s">
        <v>81</v>
      </c>
      <c r="D61" s="10"/>
      <c r="E61" s="10"/>
      <c r="F61" s="10"/>
      <c r="G61" s="134" t="str">
        <f>Monetary_Unit</f>
        <v>тыс. руб.</v>
      </c>
      <c r="H61" s="10"/>
      <c r="I61" s="23">
        <f ca="1">SUM(L61:CQ61)</f>
        <v>16068307.484630087</v>
      </c>
      <c r="J61" s="10"/>
      <c r="K61" s="10"/>
      <c r="L61" s="52">
        <f ca="1">SUM(L44:L45,L47)</f>
        <v>0</v>
      </c>
      <c r="M61" s="52">
        <f t="shared" ref="M61:BX61" ca="1" si="178">SUM(M44:M45,M47)</f>
        <v>0</v>
      </c>
      <c r="N61" s="52">
        <f t="shared" ca="1" si="178"/>
        <v>0</v>
      </c>
      <c r="O61" s="52">
        <f t="shared" ca="1" si="178"/>
        <v>0</v>
      </c>
      <c r="P61" s="52">
        <f t="shared" ca="1" si="178"/>
        <v>0</v>
      </c>
      <c r="Q61" s="52">
        <f t="shared" ca="1" si="178"/>
        <v>0</v>
      </c>
      <c r="R61" s="52">
        <f t="shared" ca="1" si="178"/>
        <v>0</v>
      </c>
      <c r="S61" s="52">
        <f ca="1">SUM(S44:S45,S47)</f>
        <v>0</v>
      </c>
      <c r="T61" s="52">
        <f t="shared" ca="1" si="178"/>
        <v>0</v>
      </c>
      <c r="U61" s="52">
        <f t="shared" ca="1" si="178"/>
        <v>0</v>
      </c>
      <c r="V61" s="52">
        <f t="shared" ca="1" si="178"/>
        <v>0</v>
      </c>
      <c r="W61" s="52">
        <f t="shared" ca="1" si="178"/>
        <v>0</v>
      </c>
      <c r="X61" s="52">
        <f t="shared" ca="1" si="178"/>
        <v>0</v>
      </c>
      <c r="Y61" s="52">
        <f t="shared" ca="1" si="178"/>
        <v>0</v>
      </c>
      <c r="Z61" s="52">
        <f t="shared" ca="1" si="178"/>
        <v>0</v>
      </c>
      <c r="AA61" s="52">
        <f t="shared" ca="1" si="178"/>
        <v>0</v>
      </c>
      <c r="AB61" s="52">
        <f t="shared" ca="1" si="178"/>
        <v>0</v>
      </c>
      <c r="AC61" s="52">
        <f t="shared" ca="1" si="178"/>
        <v>196768.49100022341</v>
      </c>
      <c r="AD61" s="52">
        <f t="shared" ca="1" si="178"/>
        <v>257150.81946765227</v>
      </c>
      <c r="AE61" s="52">
        <f t="shared" ca="1" si="178"/>
        <v>150767.01805765828</v>
      </c>
      <c r="AF61" s="52">
        <f t="shared" ca="1" si="178"/>
        <v>147965.44550659144</v>
      </c>
      <c r="AG61" s="52">
        <f t="shared" ca="1" si="178"/>
        <v>235688.49476677863</v>
      </c>
      <c r="AH61" s="52">
        <f t="shared" ca="1" si="178"/>
        <v>306361.58751879929</v>
      </c>
      <c r="AI61" s="52">
        <f t="shared" ca="1" si="178"/>
        <v>179124.96590503058</v>
      </c>
      <c r="AJ61" s="52">
        <f t="shared" ca="1" si="178"/>
        <v>175068.9433182496</v>
      </c>
      <c r="AK61" s="52">
        <f t="shared" ca="1" si="178"/>
        <v>277401.5149780889</v>
      </c>
      <c r="AL61" s="52">
        <f t="shared" ca="1" si="178"/>
        <v>359091.95819817373</v>
      </c>
      <c r="AM61" s="52">
        <f t="shared" ca="1" si="178"/>
        <v>209504.50484658455</v>
      </c>
      <c r="AN61" s="52">
        <f t="shared" ca="1" si="178"/>
        <v>206376.5491055467</v>
      </c>
      <c r="AO61" s="52">
        <f t="shared" ca="1" si="178"/>
        <v>322079.23280936613</v>
      </c>
      <c r="AP61" s="52">
        <f t="shared" ca="1" si="178"/>
        <v>405069.47461159382</v>
      </c>
      <c r="AQ61" s="52">
        <f t="shared" ca="1" si="178"/>
        <v>230036.69716291214</v>
      </c>
      <c r="AR61" s="52">
        <f t="shared" ca="1" si="178"/>
        <v>218094.41268160404</v>
      </c>
      <c r="AS61" s="52">
        <f t="shared" ca="1" si="178"/>
        <v>335095.32655568118</v>
      </c>
      <c r="AT61" s="52">
        <f t="shared" ca="1" si="178"/>
        <v>421406.63163531589</v>
      </c>
      <c r="AU61" s="52">
        <f t="shared" ca="1" si="178"/>
        <v>239372.53591595296</v>
      </c>
      <c r="AV61" s="52">
        <f t="shared" ca="1" si="178"/>
        <v>226960.46511942061</v>
      </c>
      <c r="AW61" s="52">
        <f t="shared" ca="1" si="178"/>
        <v>215387.55714973152</v>
      </c>
      <c r="AX61" s="52">
        <f t="shared" ca="1" si="178"/>
        <v>271202.89103237988</v>
      </c>
      <c r="AY61" s="52">
        <f t="shared" ca="1" si="178"/>
        <v>153451.05409166621</v>
      </c>
      <c r="AZ61" s="52">
        <f t="shared" ca="1" si="178"/>
        <v>145451.35904201376</v>
      </c>
      <c r="BA61" s="52">
        <f t="shared" ca="1" si="178"/>
        <v>224146.91620994612</v>
      </c>
      <c r="BB61" s="52">
        <f t="shared" ca="1" si="178"/>
        <v>282196.44429157261</v>
      </c>
      <c r="BC61" s="52">
        <f t="shared" ca="1" si="178"/>
        <v>159734.53387323071</v>
      </c>
      <c r="BD61" s="52">
        <f t="shared" ca="1" si="178"/>
        <v>153104.66193013321</v>
      </c>
      <c r="BE61" s="52">
        <f t="shared" ca="1" si="178"/>
        <v>233267.27795041367</v>
      </c>
      <c r="BF61" s="52">
        <f t="shared" ca="1" si="178"/>
        <v>293640.49278330483</v>
      </c>
      <c r="BG61" s="52">
        <f t="shared" ca="1" si="178"/>
        <v>166280.11401657932</v>
      </c>
      <c r="BH61" s="52">
        <f t="shared" ca="1" si="178"/>
        <v>157610.43283816887</v>
      </c>
      <c r="BI61" s="52">
        <f t="shared" ca="1" si="178"/>
        <v>242730.7723920969</v>
      </c>
      <c r="BJ61" s="52">
        <f t="shared" ca="1" si="178"/>
        <v>305520.36688627693</v>
      </c>
      <c r="BK61" s="52">
        <f t="shared" ca="1" si="178"/>
        <v>173065.56457779827</v>
      </c>
      <c r="BL61" s="52">
        <f t="shared" ca="1" si="178"/>
        <v>164057.126082248</v>
      </c>
      <c r="BM61" s="52">
        <f t="shared" ca="1" si="178"/>
        <v>252583.86006200602</v>
      </c>
      <c r="BN61" s="52">
        <f t="shared" ca="1" si="178"/>
        <v>317886.61917962617</v>
      </c>
      <c r="BO61" s="52">
        <f t="shared" ca="1" si="178"/>
        <v>180133.62477880824</v>
      </c>
      <c r="BP61" s="52">
        <f t="shared" ca="1" si="178"/>
        <v>170761.68705609022</v>
      </c>
      <c r="BQ61" s="52">
        <f t="shared" ca="1" si="178"/>
        <v>262831.07123871124</v>
      </c>
      <c r="BR61" s="52">
        <f t="shared" ca="1" si="178"/>
        <v>330747.52156470908</v>
      </c>
      <c r="BS61" s="52">
        <f t="shared" ca="1" si="178"/>
        <v>187484.40738785846</v>
      </c>
      <c r="BT61" s="52">
        <f t="shared" ca="1" si="178"/>
        <v>179720.01286959837</v>
      </c>
      <c r="BU61" s="52">
        <f t="shared" ca="1" si="178"/>
        <v>273498.93541291653</v>
      </c>
      <c r="BV61" s="52">
        <f t="shared" ca="1" si="178"/>
        <v>344133.75223412126</v>
      </c>
      <c r="BW61" s="52">
        <f t="shared" ca="1" si="178"/>
        <v>195140.12292902506</v>
      </c>
      <c r="BX61" s="52">
        <f t="shared" ca="1" si="178"/>
        <v>184986.08361819404</v>
      </c>
      <c r="BY61" s="52">
        <f t="shared" ref="BY61:CO61" ca="1" si="179">SUM(BY44:BY45,BY47)</f>
        <v>284571.5544712093</v>
      </c>
      <c r="BZ61" s="52">
        <f t="shared" ca="1" si="179"/>
        <v>358033.21206490084</v>
      </c>
      <c r="CA61" s="52">
        <f t="shared" ca="1" si="179"/>
        <v>203079.82777121963</v>
      </c>
      <c r="CB61" s="52">
        <f t="shared" ca="1" si="179"/>
        <v>192527.80289347435</v>
      </c>
      <c r="CC61" s="52">
        <f t="shared" ca="1" si="179"/>
        <v>296098.27342428314</v>
      </c>
      <c r="CD61" s="52">
        <f t="shared" ca="1" si="179"/>
        <v>372499.97816539492</v>
      </c>
      <c r="CE61" s="52">
        <f t="shared" ca="1" si="179"/>
        <v>211348.45849996639</v>
      </c>
      <c r="CF61" s="52">
        <f t="shared" ca="1" si="179"/>
        <v>200371.19093976566</v>
      </c>
      <c r="CG61" s="52">
        <f t="shared" ca="1" si="179"/>
        <v>308086.06113547971</v>
      </c>
      <c r="CH61" s="52">
        <f t="shared" ca="1" si="179"/>
        <v>387545.41490990884</v>
      </c>
      <c r="CI61" s="52">
        <f t="shared" ca="1" si="179"/>
        <v>219947.83445786309</v>
      </c>
      <c r="CJ61" s="52">
        <f t="shared" ca="1" si="179"/>
        <v>210856.20899353587</v>
      </c>
      <c r="CK61" s="52">
        <f t="shared" ca="1" si="179"/>
        <v>320564.28427841322</v>
      </c>
      <c r="CL61" s="52">
        <f t="shared" ca="1" si="179"/>
        <v>403203.72402495932</v>
      </c>
      <c r="CM61" s="52">
        <f t="shared" ca="1" si="179"/>
        <v>228902.25139692597</v>
      </c>
      <c r="CN61" s="52">
        <f t="shared" ca="1" si="179"/>
        <v>217011.72301877721</v>
      </c>
      <c r="CO61" s="52">
        <f t="shared" ca="1" si="179"/>
        <v>333519.35154355399</v>
      </c>
    </row>
    <row r="62" spans="1:93" s="133" customFormat="1" ht="14">
      <c r="A62" s="10"/>
      <c r="B62" s="10"/>
      <c r="C62" s="17" t="s">
        <v>82</v>
      </c>
      <c r="D62" s="10"/>
      <c r="E62" s="10"/>
      <c r="F62" s="10"/>
      <c r="G62" s="134" t="str">
        <f>Monetary_Unit</f>
        <v>тыс. руб.</v>
      </c>
      <c r="H62" s="10"/>
      <c r="I62" s="23">
        <f ca="1">SUM(L62:CQ62)</f>
        <v>12795674.861821305</v>
      </c>
      <c r="J62" s="10"/>
      <c r="K62" s="10"/>
      <c r="L62" s="52">
        <f ca="1">SUM(L44:L45,L47,L51)</f>
        <v>0</v>
      </c>
      <c r="M62" s="52">
        <f t="shared" ref="M62:BX62" ca="1" si="180">SUM(M44:M45,M47,M51)</f>
        <v>0</v>
      </c>
      <c r="N62" s="52">
        <f t="shared" ca="1" si="180"/>
        <v>0</v>
      </c>
      <c r="O62" s="52">
        <f t="shared" ca="1" si="180"/>
        <v>0</v>
      </c>
      <c r="P62" s="52">
        <f t="shared" ca="1" si="180"/>
        <v>0</v>
      </c>
      <c r="Q62" s="52">
        <f t="shared" ca="1" si="180"/>
        <v>0</v>
      </c>
      <c r="R62" s="52">
        <f t="shared" ca="1" si="180"/>
        <v>0</v>
      </c>
      <c r="S62" s="52">
        <f t="shared" ca="1" si="180"/>
        <v>0</v>
      </c>
      <c r="T62" s="52">
        <f t="shared" ca="1" si="180"/>
        <v>0</v>
      </c>
      <c r="U62" s="52">
        <f t="shared" ca="1" si="180"/>
        <v>0</v>
      </c>
      <c r="V62" s="52">
        <f t="shared" ca="1" si="180"/>
        <v>0</v>
      </c>
      <c r="W62" s="52">
        <f t="shared" ca="1" si="180"/>
        <v>0</v>
      </c>
      <c r="X62" s="52">
        <f t="shared" ca="1" si="180"/>
        <v>0</v>
      </c>
      <c r="Y62" s="52">
        <f t="shared" ca="1" si="180"/>
        <v>0</v>
      </c>
      <c r="Z62" s="52">
        <f t="shared" ca="1" si="180"/>
        <v>0</v>
      </c>
      <c r="AA62" s="52">
        <f t="shared" ca="1" si="180"/>
        <v>0</v>
      </c>
      <c r="AB62" s="52">
        <f t="shared" ca="1" si="180"/>
        <v>0</v>
      </c>
      <c r="AC62" s="52">
        <f t="shared" ca="1" si="180"/>
        <v>122922.80472429034</v>
      </c>
      <c r="AD62" s="52">
        <f t="shared" ca="1" si="180"/>
        <v>183305.13319171919</v>
      </c>
      <c r="AE62" s="52">
        <f t="shared" ca="1" si="180"/>
        <v>76921.33178172521</v>
      </c>
      <c r="AF62" s="52">
        <f t="shared" ca="1" si="180"/>
        <v>74119.759230658368</v>
      </c>
      <c r="AG62" s="52">
        <f t="shared" ca="1" si="180"/>
        <v>161842.80849084555</v>
      </c>
      <c r="AH62" s="52">
        <f t="shared" ca="1" si="180"/>
        <v>232515.90124286624</v>
      </c>
      <c r="AI62" s="52">
        <f t="shared" ca="1" si="180"/>
        <v>105279.27962909751</v>
      </c>
      <c r="AJ62" s="52">
        <f t="shared" ca="1" si="180"/>
        <v>101223.25704231653</v>
      </c>
      <c r="AK62" s="52">
        <f t="shared" ca="1" si="180"/>
        <v>203555.82870215585</v>
      </c>
      <c r="AL62" s="52">
        <f t="shared" ca="1" si="180"/>
        <v>285246.27192224067</v>
      </c>
      <c r="AM62" s="52">
        <f t="shared" ca="1" si="180"/>
        <v>135658.81857065146</v>
      </c>
      <c r="AN62" s="52">
        <f t="shared" ca="1" si="180"/>
        <v>132530.86282961362</v>
      </c>
      <c r="AO62" s="52">
        <f t="shared" ca="1" si="180"/>
        <v>248233.54653343308</v>
      </c>
      <c r="AP62" s="52">
        <f t="shared" ca="1" si="180"/>
        <v>331223.78833566076</v>
      </c>
      <c r="AQ62" s="52">
        <f t="shared" ca="1" si="180"/>
        <v>156191.01088697906</v>
      </c>
      <c r="AR62" s="52">
        <f t="shared" ca="1" si="180"/>
        <v>144248.72640567098</v>
      </c>
      <c r="AS62" s="52">
        <f t="shared" ca="1" si="180"/>
        <v>261249.64027974813</v>
      </c>
      <c r="AT62" s="52">
        <f t="shared" ca="1" si="180"/>
        <v>347560.94535938284</v>
      </c>
      <c r="AU62" s="52">
        <f t="shared" ca="1" si="180"/>
        <v>165526.84964001988</v>
      </c>
      <c r="AV62" s="52">
        <f t="shared" ca="1" si="180"/>
        <v>153114.77884348755</v>
      </c>
      <c r="AW62" s="52">
        <f t="shared" ca="1" si="180"/>
        <v>141541.87087379844</v>
      </c>
      <c r="AX62" s="52">
        <f t="shared" ca="1" si="180"/>
        <v>197357.20475644682</v>
      </c>
      <c r="AY62" s="52">
        <f t="shared" ca="1" si="180"/>
        <v>79605.367815733145</v>
      </c>
      <c r="AZ62" s="52">
        <f t="shared" ca="1" si="180"/>
        <v>71605.672766080694</v>
      </c>
      <c r="BA62" s="52">
        <f t="shared" ca="1" si="180"/>
        <v>150301.22993401304</v>
      </c>
      <c r="BB62" s="52">
        <f t="shared" ca="1" si="180"/>
        <v>208350.75801563956</v>
      </c>
      <c r="BC62" s="52">
        <f t="shared" ca="1" si="180"/>
        <v>85888.847597297645</v>
      </c>
      <c r="BD62" s="52">
        <f t="shared" ca="1" si="180"/>
        <v>79258.975654200578</v>
      </c>
      <c r="BE62" s="52">
        <f t="shared" ca="1" si="180"/>
        <v>200700.9696508827</v>
      </c>
      <c r="BF62" s="52">
        <f t="shared" ca="1" si="180"/>
        <v>261074.18448377386</v>
      </c>
      <c r="BG62" s="52">
        <f t="shared" ca="1" si="180"/>
        <v>133713.80571704835</v>
      </c>
      <c r="BH62" s="52">
        <f t="shared" ca="1" si="180"/>
        <v>125044.1245386379</v>
      </c>
      <c r="BI62" s="52">
        <f t="shared" ca="1" si="180"/>
        <v>210164.46409256593</v>
      </c>
      <c r="BJ62" s="52">
        <f t="shared" ca="1" si="180"/>
        <v>272954.05858674593</v>
      </c>
      <c r="BK62" s="52">
        <f t="shared" ca="1" si="180"/>
        <v>140499.2562782673</v>
      </c>
      <c r="BL62" s="52">
        <f t="shared" ca="1" si="180"/>
        <v>131490.81778271703</v>
      </c>
      <c r="BM62" s="52">
        <f t="shared" ca="1" si="180"/>
        <v>220017.55176247505</v>
      </c>
      <c r="BN62" s="52">
        <f t="shared" ca="1" si="180"/>
        <v>285320.31088009517</v>
      </c>
      <c r="BO62" s="52">
        <f t="shared" ca="1" si="180"/>
        <v>147567.31647927727</v>
      </c>
      <c r="BP62" s="52">
        <f t="shared" ca="1" si="180"/>
        <v>138195.37875655925</v>
      </c>
      <c r="BQ62" s="52">
        <f t="shared" ca="1" si="180"/>
        <v>230264.76293918028</v>
      </c>
      <c r="BR62" s="52">
        <f t="shared" ca="1" si="180"/>
        <v>298181.21326517808</v>
      </c>
      <c r="BS62" s="52">
        <f t="shared" ca="1" si="180"/>
        <v>154918.09908832749</v>
      </c>
      <c r="BT62" s="52">
        <f t="shared" ca="1" si="180"/>
        <v>147153.70457006741</v>
      </c>
      <c r="BU62" s="52">
        <f t="shared" ca="1" si="180"/>
        <v>240932.62711338556</v>
      </c>
      <c r="BV62" s="52">
        <f t="shared" ca="1" si="180"/>
        <v>311567.44393459026</v>
      </c>
      <c r="BW62" s="52">
        <f t="shared" ca="1" si="180"/>
        <v>162573.8146294941</v>
      </c>
      <c r="BX62" s="52">
        <f t="shared" ca="1" si="180"/>
        <v>152419.77531866307</v>
      </c>
      <c r="BY62" s="52">
        <f t="shared" ref="BY62:CO62" ca="1" si="181">SUM(BY44:BY45,BY47,BY51)</f>
        <v>252005.24617167833</v>
      </c>
      <c r="BZ62" s="52">
        <f t="shared" ca="1" si="181"/>
        <v>325466.90376536985</v>
      </c>
      <c r="CA62" s="52">
        <f t="shared" ca="1" si="181"/>
        <v>170513.51947168866</v>
      </c>
      <c r="CB62" s="52">
        <f t="shared" ca="1" si="181"/>
        <v>159961.49459394338</v>
      </c>
      <c r="CC62" s="52">
        <f t="shared" ca="1" si="181"/>
        <v>263531.96512475214</v>
      </c>
      <c r="CD62" s="52">
        <f t="shared" ca="1" si="181"/>
        <v>339933.66986586392</v>
      </c>
      <c r="CE62" s="52">
        <f t="shared" ca="1" si="181"/>
        <v>178782.15020043543</v>
      </c>
      <c r="CF62" s="52">
        <f t="shared" ca="1" si="181"/>
        <v>167804.88264023469</v>
      </c>
      <c r="CG62" s="52">
        <f t="shared" ca="1" si="181"/>
        <v>275519.75283594872</v>
      </c>
      <c r="CH62" s="52">
        <f t="shared" ca="1" si="181"/>
        <v>354979.10661037784</v>
      </c>
      <c r="CI62" s="52">
        <f t="shared" ca="1" si="181"/>
        <v>187381.52615833213</v>
      </c>
      <c r="CJ62" s="52">
        <f t="shared" ca="1" si="181"/>
        <v>178289.9006940049</v>
      </c>
      <c r="CK62" s="52">
        <f t="shared" ca="1" si="181"/>
        <v>287997.97597888223</v>
      </c>
      <c r="CL62" s="52">
        <f t="shared" ca="1" si="181"/>
        <v>370637.41572542832</v>
      </c>
      <c r="CM62" s="52">
        <f t="shared" ca="1" si="181"/>
        <v>196335.94309739501</v>
      </c>
      <c r="CN62" s="52">
        <f t="shared" ca="1" si="181"/>
        <v>184445.41471924624</v>
      </c>
      <c r="CO62" s="52">
        <f t="shared" ca="1" si="181"/>
        <v>300953.04324402299</v>
      </c>
    </row>
    <row r="63" spans="1:93" s="133" customFormat="1" ht="14">
      <c r="A63" s="10"/>
      <c r="B63" s="10"/>
      <c r="C63" s="17" t="s">
        <v>513</v>
      </c>
      <c r="D63" s="10"/>
      <c r="E63" s="10"/>
      <c r="F63" s="10"/>
      <c r="G63" s="134" t="s">
        <v>28</v>
      </c>
      <c r="H63" s="10"/>
      <c r="I63" s="10"/>
      <c r="J63" s="10"/>
      <c r="K63" s="10"/>
      <c r="L63" s="43">
        <f t="shared" ref="L63:BW63" ca="1" si="182">IFERROR(EBITDA/Revenue,0)</f>
        <v>0</v>
      </c>
      <c r="M63" s="43">
        <f t="shared" ca="1" si="182"/>
        <v>0</v>
      </c>
      <c r="N63" s="43">
        <f t="shared" ca="1" si="182"/>
        <v>0</v>
      </c>
      <c r="O63" s="43">
        <f t="shared" ca="1" si="182"/>
        <v>0</v>
      </c>
      <c r="P63" s="43">
        <f t="shared" ca="1" si="182"/>
        <v>0</v>
      </c>
      <c r="Q63" s="43">
        <f t="shared" ca="1" si="182"/>
        <v>0</v>
      </c>
      <c r="R63" s="43">
        <f t="shared" ca="1" si="182"/>
        <v>0</v>
      </c>
      <c r="S63" s="43">
        <f t="shared" ca="1" si="182"/>
        <v>0</v>
      </c>
      <c r="T63" s="43">
        <f t="shared" ca="1" si="182"/>
        <v>0</v>
      </c>
      <c r="U63" s="43">
        <f t="shared" ca="1" si="182"/>
        <v>0</v>
      </c>
      <c r="V63" s="43">
        <f t="shared" ca="1" si="182"/>
        <v>0</v>
      </c>
      <c r="W63" s="43">
        <f t="shared" ca="1" si="182"/>
        <v>0</v>
      </c>
      <c r="X63" s="43">
        <f t="shared" ca="1" si="182"/>
        <v>0</v>
      </c>
      <c r="Y63" s="43">
        <f t="shared" ca="1" si="182"/>
        <v>0</v>
      </c>
      <c r="Z63" s="43">
        <f t="shared" ca="1" si="182"/>
        <v>0</v>
      </c>
      <c r="AA63" s="43">
        <f t="shared" ca="1" si="182"/>
        <v>0</v>
      </c>
      <c r="AB63" s="43">
        <f t="shared" ca="1" si="182"/>
        <v>0</v>
      </c>
      <c r="AC63" s="43">
        <f t="shared" ca="1" si="182"/>
        <v>0.36524536464739144</v>
      </c>
      <c r="AD63" s="43">
        <f t="shared" ca="1" si="182"/>
        <v>0.36682365721064863</v>
      </c>
      <c r="AE63" s="43">
        <f t="shared" ca="1" si="182"/>
        <v>0.36302654192000994</v>
      </c>
      <c r="AF63" s="43">
        <f t="shared" ca="1" si="182"/>
        <v>0.36305043555847549</v>
      </c>
      <c r="AG63" s="43">
        <f t="shared" ca="1" si="182"/>
        <v>0.36638380761424294</v>
      </c>
      <c r="AH63" s="43">
        <f t="shared" ca="1" si="182"/>
        <v>0.36768714704512756</v>
      </c>
      <c r="AI63" s="43">
        <f t="shared" ca="1" si="182"/>
        <v>0.36445077069108567</v>
      </c>
      <c r="AJ63" s="43">
        <f t="shared" ca="1" si="182"/>
        <v>0.36443893166574443</v>
      </c>
      <c r="AK63" s="43">
        <f t="shared" ca="1" si="182"/>
        <v>0.3672544169135567</v>
      </c>
      <c r="AL63" s="43">
        <f t="shared" ca="1" si="182"/>
        <v>0.36835278271410471</v>
      </c>
      <c r="AM63" s="43">
        <f t="shared" ca="1" si="182"/>
        <v>0.36555690735062146</v>
      </c>
      <c r="AN63" s="43">
        <f t="shared" ca="1" si="182"/>
        <v>0.36554352782250615</v>
      </c>
      <c r="AO63" s="43">
        <f t="shared" ca="1" si="182"/>
        <v>0.36795187489254161</v>
      </c>
      <c r="AP63" s="43">
        <f t="shared" ca="1" si="182"/>
        <v>0.36880121819183964</v>
      </c>
      <c r="AQ63" s="43">
        <f t="shared" ca="1" si="182"/>
        <v>0.36615294359777756</v>
      </c>
      <c r="AR63" s="43">
        <f t="shared" ca="1" si="182"/>
        <v>0.36593826567343574</v>
      </c>
      <c r="AS63" s="43">
        <f t="shared" ca="1" si="182"/>
        <v>0.36809789066737958</v>
      </c>
      <c r="AT63" s="43">
        <f t="shared" ca="1" si="182"/>
        <v>0.36891885894352378</v>
      </c>
      <c r="AU63" s="43">
        <f t="shared" ca="1" si="182"/>
        <v>0.3663585976091327</v>
      </c>
      <c r="AV63" s="43">
        <f t="shared" ca="1" si="182"/>
        <v>0.36616780726116999</v>
      </c>
      <c r="AW63" s="43">
        <f t="shared" ca="1" si="182"/>
        <v>0.26741279067722329</v>
      </c>
      <c r="AX63" s="43">
        <f t="shared" ca="1" si="182"/>
        <v>0.26834308818191643</v>
      </c>
      <c r="AY63" s="43">
        <f t="shared" ca="1" si="182"/>
        <v>0.26544133380026008</v>
      </c>
      <c r="AZ63" s="43">
        <f t="shared" ca="1" si="182"/>
        <v>0.26522492651385576</v>
      </c>
      <c r="BA63" s="43">
        <f t="shared" ca="1" si="182"/>
        <v>0.26758452557026607</v>
      </c>
      <c r="BB63" s="43">
        <f t="shared" ca="1" si="182"/>
        <v>0.26848145740805301</v>
      </c>
      <c r="BC63" s="43">
        <f t="shared" ca="1" si="182"/>
        <v>0.26568323726475357</v>
      </c>
      <c r="BD63" s="43">
        <f t="shared" ca="1" si="182"/>
        <v>0.26549279949301241</v>
      </c>
      <c r="BE63" s="43">
        <f t="shared" ca="1" si="182"/>
        <v>0.2677618552635973</v>
      </c>
      <c r="BF63" s="43">
        <f t="shared" ca="1" si="182"/>
        <v>0.2686243417526773</v>
      </c>
      <c r="BG63" s="43">
        <f t="shared" ca="1" si="182"/>
        <v>0.26593304717145544</v>
      </c>
      <c r="BH63" s="43">
        <f t="shared" ca="1" si="182"/>
        <v>0.26571424483599443</v>
      </c>
      <c r="BI63" s="43">
        <f t="shared" ca="1" si="182"/>
        <v>0.26790843383746876</v>
      </c>
      <c r="BJ63" s="43">
        <f t="shared" ca="1" si="182"/>
        <v>0.26874243486859239</v>
      </c>
      <c r="BK63" s="43">
        <f t="shared" ca="1" si="182"/>
        <v>0.26613949010089183</v>
      </c>
      <c r="BL63" s="43">
        <f t="shared" ca="1" si="182"/>
        <v>0.26594488130004929</v>
      </c>
      <c r="BM63" s="43">
        <f t="shared" ca="1" si="182"/>
        <v>0.26806110553204038</v>
      </c>
      <c r="BN63" s="43">
        <f t="shared" ca="1" si="182"/>
        <v>0.26886544460678036</v>
      </c>
      <c r="BO63" s="43">
        <f t="shared" ca="1" si="182"/>
        <v>0.26635454139997666</v>
      </c>
      <c r="BP63" s="43">
        <f t="shared" ca="1" si="182"/>
        <v>0.26616664713087118</v>
      </c>
      <c r="BQ63" s="43">
        <f t="shared" ca="1" si="182"/>
        <v>0.26820790523835897</v>
      </c>
      <c r="BR63" s="43">
        <f t="shared" ca="1" si="182"/>
        <v>0.26898372320119168</v>
      </c>
      <c r="BS63" s="43">
        <f t="shared" ca="1" si="182"/>
        <v>0.26656132149525047</v>
      </c>
      <c r="BT63" s="43">
        <f t="shared" ca="1" si="182"/>
        <v>0.26639582604095968</v>
      </c>
      <c r="BU63" s="43">
        <f t="shared" ca="1" si="182"/>
        <v>0.26835962107605521</v>
      </c>
      <c r="BV63" s="43">
        <f t="shared" ca="1" si="182"/>
        <v>0.26910597010097392</v>
      </c>
      <c r="BW63" s="43">
        <f t="shared" ca="1" si="182"/>
        <v>0.26677505206881608</v>
      </c>
      <c r="BX63" s="43">
        <f t="shared" ref="BX63:CO63" ca="1" si="183">IFERROR(EBITDA/Revenue,0)</f>
        <v>0.26658491848338306</v>
      </c>
      <c r="BY63" s="43">
        <f t="shared" ca="1" si="183"/>
        <v>0.26848478338267318</v>
      </c>
      <c r="BZ63" s="43">
        <f t="shared" ca="1" si="183"/>
        <v>0.2692068078282247</v>
      </c>
      <c r="CA63" s="43">
        <f t="shared" ca="1" si="183"/>
        <v>0.26695132833175061</v>
      </c>
      <c r="CB63" s="43">
        <f t="shared" ca="1" si="183"/>
        <v>0.26678206749946165</v>
      </c>
      <c r="CC63" s="43">
        <f t="shared" ca="1" si="183"/>
        <v>0.26861528778704469</v>
      </c>
      <c r="CD63" s="43">
        <f t="shared" ca="1" si="183"/>
        <v>0.26931195706796518</v>
      </c>
      <c r="CE63" s="43">
        <f t="shared" ca="1" si="183"/>
        <v>0.26713515508349461</v>
      </c>
      <c r="CF63" s="43">
        <f t="shared" ca="1" si="183"/>
        <v>0.26697163386107536</v>
      </c>
      <c r="CG63" s="43">
        <f t="shared" ca="1" si="183"/>
        <v>0.26874077279124797</v>
      </c>
      <c r="CH63" s="43">
        <f t="shared" ca="1" si="183"/>
        <v>0.26941306210617727</v>
      </c>
      <c r="CI63" s="43">
        <f t="shared" ca="1" si="183"/>
        <v>0.26731191157555617</v>
      </c>
      <c r="CJ63" s="43">
        <f t="shared" ca="1" si="183"/>
        <v>0.26716773691875628</v>
      </c>
      <c r="CK63" s="43">
        <f t="shared" ca="1" si="183"/>
        <v>0.26887059379779837</v>
      </c>
      <c r="CL63" s="43">
        <f t="shared" ca="1" si="183"/>
        <v>0.2695176680316162</v>
      </c>
      <c r="CM63" s="43">
        <f t="shared" ca="1" si="183"/>
        <v>0.26749480138394732</v>
      </c>
      <c r="CN63" s="43">
        <f t="shared" ca="1" si="183"/>
        <v>0.26732917396618999</v>
      </c>
      <c r="CO63" s="43">
        <f t="shared" ca="1" si="183"/>
        <v>0.26897744938941215</v>
      </c>
    </row>
    <row r="64" spans="1:93" s="133" customFormat="1" ht="14">
      <c r="A64" s="10"/>
      <c r="B64" s="10"/>
      <c r="C64" s="17" t="s">
        <v>514</v>
      </c>
      <c r="D64" s="10"/>
      <c r="E64" s="10"/>
      <c r="F64" s="10"/>
      <c r="G64" s="134" t="s">
        <v>28</v>
      </c>
      <c r="H64" s="10"/>
      <c r="I64" s="10"/>
      <c r="J64" s="10"/>
      <c r="K64" s="10"/>
      <c r="L64" s="43">
        <f t="shared" ref="L64:BW64" ca="1" si="184">IFERROR(EBIT/Revenue,0)</f>
        <v>0</v>
      </c>
      <c r="M64" s="43">
        <f t="shared" ca="1" si="184"/>
        <v>0</v>
      </c>
      <c r="N64" s="43">
        <f t="shared" ca="1" si="184"/>
        <v>0</v>
      </c>
      <c r="O64" s="43">
        <f t="shared" ca="1" si="184"/>
        <v>0</v>
      </c>
      <c r="P64" s="43">
        <f t="shared" ca="1" si="184"/>
        <v>0</v>
      </c>
      <c r="Q64" s="43">
        <f t="shared" ca="1" si="184"/>
        <v>0</v>
      </c>
      <c r="R64" s="43">
        <f t="shared" ca="1" si="184"/>
        <v>0</v>
      </c>
      <c r="S64" s="43">
        <f t="shared" ca="1" si="184"/>
        <v>0</v>
      </c>
      <c r="T64" s="43">
        <f t="shared" ca="1" si="184"/>
        <v>0</v>
      </c>
      <c r="U64" s="43">
        <f t="shared" ca="1" si="184"/>
        <v>0</v>
      </c>
      <c r="V64" s="43">
        <f t="shared" ca="1" si="184"/>
        <v>0</v>
      </c>
      <c r="W64" s="43">
        <f t="shared" ca="1" si="184"/>
        <v>0</v>
      </c>
      <c r="X64" s="43">
        <f t="shared" ca="1" si="184"/>
        <v>0</v>
      </c>
      <c r="Y64" s="43">
        <f t="shared" ca="1" si="184"/>
        <v>0</v>
      </c>
      <c r="Z64" s="43">
        <f t="shared" ca="1" si="184"/>
        <v>0</v>
      </c>
      <c r="AA64" s="43">
        <f t="shared" ca="1" si="184"/>
        <v>0</v>
      </c>
      <c r="AB64" s="43">
        <f t="shared" ca="1" si="184"/>
        <v>0</v>
      </c>
      <c r="AC64" s="43">
        <f t="shared" ca="1" si="184"/>
        <v>0.22817161633339222</v>
      </c>
      <c r="AD64" s="43">
        <f t="shared" ca="1" si="184"/>
        <v>0.26148335627345681</v>
      </c>
      <c r="AE64" s="43">
        <f t="shared" ca="1" si="184"/>
        <v>0.18521613968595052</v>
      </c>
      <c r="AF64" s="43">
        <f t="shared" ca="1" si="184"/>
        <v>0.1818614527199266</v>
      </c>
      <c r="AG64" s="43">
        <f t="shared" ca="1" si="184"/>
        <v>0.25158879506839993</v>
      </c>
      <c r="AH64" s="43">
        <f t="shared" ca="1" si="184"/>
        <v>0.27905949000662494</v>
      </c>
      <c r="AI64" s="43">
        <f t="shared" ca="1" si="184"/>
        <v>0.21420305318561594</v>
      </c>
      <c r="AJ64" s="43">
        <f t="shared" ca="1" si="184"/>
        <v>0.21071524713077655</v>
      </c>
      <c r="AK64" s="43">
        <f t="shared" ca="1" si="184"/>
        <v>0.26948943370143774</v>
      </c>
      <c r="AL64" s="43">
        <f t="shared" ca="1" si="184"/>
        <v>0.29260264849316225</v>
      </c>
      <c r="AM64" s="43">
        <f t="shared" ca="1" si="184"/>
        <v>0.23670621406370615</v>
      </c>
      <c r="AN64" s="43">
        <f t="shared" ca="1" si="184"/>
        <v>0.23474469048962093</v>
      </c>
      <c r="AO64" s="43">
        <f t="shared" ca="1" si="184"/>
        <v>0.28358860042449019</v>
      </c>
      <c r="AP64" s="43">
        <f t="shared" ca="1" si="184"/>
        <v>0.30156737125017474</v>
      </c>
      <c r="AQ64" s="43">
        <f t="shared" ca="1" si="184"/>
        <v>0.24861163068811604</v>
      </c>
      <c r="AR64" s="43">
        <f t="shared" ca="1" si="184"/>
        <v>0.24203338415439199</v>
      </c>
      <c r="AS64" s="43">
        <f t="shared" ca="1" si="184"/>
        <v>0.28697935752502246</v>
      </c>
      <c r="AT64" s="43">
        <f t="shared" ca="1" si="184"/>
        <v>0.30427092919192289</v>
      </c>
      <c r="AU64" s="43">
        <f t="shared" ca="1" si="184"/>
        <v>0.25333810442676591</v>
      </c>
      <c r="AV64" s="43">
        <f t="shared" ca="1" si="184"/>
        <v>0.24702849810824334</v>
      </c>
      <c r="AW64" s="43">
        <f t="shared" ca="1" si="184"/>
        <v>0.17573023803656992</v>
      </c>
      <c r="AX64" s="43">
        <f t="shared" ca="1" si="184"/>
        <v>0.19527609605375751</v>
      </c>
      <c r="AY64" s="43">
        <f t="shared" ca="1" si="184"/>
        <v>0.13770224737619499</v>
      </c>
      <c r="AZ64" s="43">
        <f t="shared" ca="1" si="184"/>
        <v>0.1305701742661147</v>
      </c>
      <c r="BA64" s="43">
        <f t="shared" ca="1" si="184"/>
        <v>0.17942822495425317</v>
      </c>
      <c r="BB64" s="43">
        <f t="shared" ca="1" si="184"/>
        <v>0.19822473420790016</v>
      </c>
      <c r="BC64" s="43">
        <f t="shared" ca="1" si="184"/>
        <v>0.14285719262622942</v>
      </c>
      <c r="BD64" s="43">
        <f t="shared" ca="1" si="184"/>
        <v>0.13743988632419771</v>
      </c>
      <c r="BE64" s="43">
        <f t="shared" ca="1" si="184"/>
        <v>0.23037977919194899</v>
      </c>
      <c r="BF64" s="43">
        <f t="shared" ca="1" si="184"/>
        <v>0.23883245900736391</v>
      </c>
      <c r="BG64" s="43">
        <f t="shared" ca="1" si="184"/>
        <v>0.21384950337285172</v>
      </c>
      <c r="BH64" s="43">
        <f t="shared" ca="1" si="184"/>
        <v>0.21081095029462921</v>
      </c>
      <c r="BI64" s="43">
        <f t="shared" ca="1" si="184"/>
        <v>0.2319641299224223</v>
      </c>
      <c r="BJ64" s="43">
        <f t="shared" ca="1" si="184"/>
        <v>0.2400963937673295</v>
      </c>
      <c r="BK64" s="43">
        <f t="shared" ca="1" si="184"/>
        <v>0.21605915952531132</v>
      </c>
      <c r="BL64" s="43">
        <f t="shared" ca="1" si="184"/>
        <v>0.21315325193335194</v>
      </c>
      <c r="BM64" s="43">
        <f t="shared" ca="1" si="184"/>
        <v>0.23349927484449567</v>
      </c>
      <c r="BN64" s="43">
        <f t="shared" ca="1" si="184"/>
        <v>0.24132117431710448</v>
      </c>
      <c r="BO64" s="43">
        <f t="shared" ca="1" si="184"/>
        <v>0.2182003773849954</v>
      </c>
      <c r="BP64" s="43">
        <f t="shared" ca="1" si="184"/>
        <v>0.21540546504750832</v>
      </c>
      <c r="BQ64" s="43">
        <f t="shared" ca="1" si="184"/>
        <v>0.23497537573110447</v>
      </c>
      <c r="BR64" s="43">
        <f t="shared" ca="1" si="184"/>
        <v>0.24249884792265716</v>
      </c>
      <c r="BS64" s="43">
        <f t="shared" ca="1" si="184"/>
        <v>0.2202592407116146</v>
      </c>
      <c r="BT64" s="43">
        <f t="shared" ca="1" si="184"/>
        <v>0.21812335787208123</v>
      </c>
      <c r="BU64" s="43">
        <f t="shared" ca="1" si="184"/>
        <v>0.23640526578061816</v>
      </c>
      <c r="BV64" s="43">
        <f t="shared" ca="1" si="184"/>
        <v>0.2436397438716138</v>
      </c>
      <c r="BW64" s="43">
        <f t="shared" ca="1" si="184"/>
        <v>0.2222538205460893</v>
      </c>
      <c r="BX64" s="43">
        <f t="shared" ref="BX64:CO64" ca="1" si="185">IFERROR(EBIT/Revenue,0)</f>
        <v>0.21965335220808457</v>
      </c>
      <c r="BY64" s="43">
        <f t="shared" ca="1" si="185"/>
        <v>0.23775944175244523</v>
      </c>
      <c r="BZ64" s="43">
        <f t="shared" ca="1" si="185"/>
        <v>0.24472005183845541</v>
      </c>
      <c r="CA64" s="43">
        <f t="shared" ca="1" si="185"/>
        <v>0.22414245186759024</v>
      </c>
      <c r="CB64" s="43">
        <f t="shared" ca="1" si="185"/>
        <v>0.22165556146552076</v>
      </c>
      <c r="CC64" s="43">
        <f t="shared" ca="1" si="185"/>
        <v>0.23907169006567164</v>
      </c>
      <c r="CD64" s="43">
        <f t="shared" ca="1" si="185"/>
        <v>0.24576699938549468</v>
      </c>
      <c r="CE64" s="43">
        <f t="shared" ca="1" si="185"/>
        <v>0.22597277386795578</v>
      </c>
      <c r="CF64" s="43">
        <f t="shared" ca="1" si="185"/>
        <v>0.22358076267459379</v>
      </c>
      <c r="CG64" s="43">
        <f t="shared" ca="1" si="185"/>
        <v>0.24033346728992774</v>
      </c>
      <c r="CH64" s="43">
        <f t="shared" ca="1" si="185"/>
        <v>0.2467736797191864</v>
      </c>
      <c r="CI64" s="43">
        <f t="shared" ca="1" si="185"/>
        <v>0.22773269886830733</v>
      </c>
      <c r="CJ64" s="43">
        <f t="shared" ca="1" si="185"/>
        <v>0.22590422881664993</v>
      </c>
      <c r="CK64" s="43">
        <f t="shared" ca="1" si="185"/>
        <v>0.24155587696960584</v>
      </c>
      <c r="CL64" s="43">
        <f t="shared" ca="1" si="185"/>
        <v>0.24774903112104807</v>
      </c>
      <c r="CM64" s="43">
        <f t="shared" ca="1" si="185"/>
        <v>0.22943786608851569</v>
      </c>
      <c r="CN64" s="43">
        <f t="shared" ca="1" si="185"/>
        <v>0.22721187442247548</v>
      </c>
      <c r="CO64" s="43">
        <f t="shared" ca="1" si="185"/>
        <v>0.24271329859307317</v>
      </c>
    </row>
    <row r="65" spans="1:93" s="75" customFormat="1">
      <c r="A65" s="73"/>
      <c r="B65" s="72"/>
      <c r="C65" s="73"/>
      <c r="D65" s="73"/>
      <c r="E65" s="44"/>
      <c r="F65" s="73"/>
      <c r="G65" s="72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</row>
    <row r="66" spans="1:93" ht="22.5" customHeight="1">
      <c r="A66" s="10"/>
      <c r="B66" s="34" t="s">
        <v>313</v>
      </c>
      <c r="C66" s="5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</row>
    <row r="67" spans="1:93" s="75" customFormat="1">
      <c r="A67" s="73"/>
      <c r="B67" s="72"/>
      <c r="C67" s="73"/>
      <c r="D67" s="73"/>
      <c r="E67" s="44"/>
      <c r="F67" s="73"/>
      <c r="G67" s="72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</row>
    <row r="68" spans="1:93" s="133" customFormat="1" ht="14">
      <c r="A68" s="10"/>
      <c r="B68" s="11"/>
      <c r="C68" s="139" t="s">
        <v>83</v>
      </c>
      <c r="D68" s="10"/>
      <c r="E68" s="140"/>
      <c r="F68" s="10"/>
      <c r="G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</row>
    <row r="69" spans="1:93" s="133" customFormat="1" ht="14">
      <c r="A69" s="10"/>
      <c r="B69" s="11"/>
      <c r="C69" s="17" t="s">
        <v>84</v>
      </c>
      <c r="D69" s="10"/>
      <c r="E69" s="140"/>
      <c r="F69" s="10"/>
      <c r="G69" s="134" t="str">
        <f t="shared" ref="G69:G78" si="186">Monetary_Unit</f>
        <v>тыс. руб.</v>
      </c>
      <c r="H69" s="10"/>
      <c r="I69" s="23">
        <f t="shared" ref="I69:I78" ca="1" si="187">SUM(L69:CQ69)</f>
        <v>54850086.519837193</v>
      </c>
      <c r="J69" s="10"/>
      <c r="K69" s="10"/>
      <c r="L69" s="52">
        <f t="shared" ref="L69:BW69" ca="1" si="188">Revenue</f>
        <v>0</v>
      </c>
      <c r="M69" s="52">
        <f t="shared" ca="1" si="188"/>
        <v>0</v>
      </c>
      <c r="N69" s="52">
        <f t="shared" ca="1" si="188"/>
        <v>0</v>
      </c>
      <c r="O69" s="52">
        <f t="shared" ca="1" si="188"/>
        <v>0</v>
      </c>
      <c r="P69" s="52">
        <f t="shared" ca="1" si="188"/>
        <v>0</v>
      </c>
      <c r="Q69" s="52">
        <f t="shared" ca="1" si="188"/>
        <v>0</v>
      </c>
      <c r="R69" s="52">
        <f t="shared" ca="1" si="188"/>
        <v>0</v>
      </c>
      <c r="S69" s="52">
        <f t="shared" ca="1" si="188"/>
        <v>0</v>
      </c>
      <c r="T69" s="52">
        <f t="shared" ca="1" si="188"/>
        <v>0</v>
      </c>
      <c r="U69" s="52">
        <f t="shared" ca="1" si="188"/>
        <v>0</v>
      </c>
      <c r="V69" s="52">
        <f t="shared" ca="1" si="188"/>
        <v>0</v>
      </c>
      <c r="W69" s="52">
        <f t="shared" ca="1" si="188"/>
        <v>0</v>
      </c>
      <c r="X69" s="52">
        <f t="shared" ca="1" si="188"/>
        <v>0</v>
      </c>
      <c r="Y69" s="52">
        <f t="shared" ca="1" si="188"/>
        <v>0</v>
      </c>
      <c r="Z69" s="52">
        <f t="shared" ca="1" si="188"/>
        <v>0</v>
      </c>
      <c r="AA69" s="52">
        <f t="shared" ca="1" si="188"/>
        <v>0</v>
      </c>
      <c r="AB69" s="52">
        <f t="shared" ca="1" si="188"/>
        <v>0</v>
      </c>
      <c r="AC69" s="52">
        <f t="shared" ca="1" si="188"/>
        <v>538729.60493334138</v>
      </c>
      <c r="AD69" s="52">
        <f t="shared" ca="1" si="188"/>
        <v>701020.27067459095</v>
      </c>
      <c r="AE69" s="52">
        <f t="shared" ca="1" si="188"/>
        <v>415305.77147408307</v>
      </c>
      <c r="AF69" s="52">
        <f t="shared" ca="1" si="188"/>
        <v>407561.6801808218</v>
      </c>
      <c r="AG69" s="52">
        <f t="shared" ca="1" si="188"/>
        <v>643283.05418707151</v>
      </c>
      <c r="AH69" s="52">
        <f t="shared" ca="1" si="188"/>
        <v>833212.66457322869</v>
      </c>
      <c r="AI69" s="52">
        <f t="shared" ca="1" si="188"/>
        <v>491492.89920657012</v>
      </c>
      <c r="AJ69" s="52">
        <f t="shared" ca="1" si="188"/>
        <v>480379.3670397955</v>
      </c>
      <c r="AK69" s="52">
        <f t="shared" ca="1" si="188"/>
        <v>755338.81201320689</v>
      </c>
      <c r="AL69" s="52">
        <f t="shared" ca="1" si="188"/>
        <v>974858.81755067746</v>
      </c>
      <c r="AM69" s="52">
        <f t="shared" ca="1" si="188"/>
        <v>573110.5079232977</v>
      </c>
      <c r="AN69" s="52">
        <f t="shared" ca="1" si="188"/>
        <v>564574.48538318858</v>
      </c>
      <c r="AO69" s="52">
        <f t="shared" ca="1" si="188"/>
        <v>875329.7775787327</v>
      </c>
      <c r="AP69" s="52">
        <f t="shared" ca="1" si="188"/>
        <v>1098340.9344404293</v>
      </c>
      <c r="AQ69" s="52">
        <f t="shared" ca="1" si="188"/>
        <v>628253.03246943059</v>
      </c>
      <c r="AR69" s="52">
        <f t="shared" ca="1" si="188"/>
        <v>595986.90035939578</v>
      </c>
      <c r="AS69" s="52">
        <f t="shared" ca="1" si="188"/>
        <v>910342.96868188202</v>
      </c>
      <c r="AT69" s="52">
        <f t="shared" ca="1" si="188"/>
        <v>1142274.5718180465</v>
      </c>
      <c r="AU69" s="52">
        <f t="shared" ca="1" si="188"/>
        <v>653383.15376820788</v>
      </c>
      <c r="AV69" s="52">
        <f t="shared" ca="1" si="188"/>
        <v>619826.37637377158</v>
      </c>
      <c r="AW69" s="52">
        <f t="shared" ca="1" si="188"/>
        <v>805449.71915614884</v>
      </c>
      <c r="AX69" s="52">
        <f t="shared" ca="1" si="188"/>
        <v>1010657.2629458774</v>
      </c>
      <c r="AY69" s="461">
        <f t="shared" ca="1" si="188"/>
        <v>578097.81127431884</v>
      </c>
      <c r="AZ69" s="461">
        <f t="shared" ca="1" si="188"/>
        <v>548407.57599159959</v>
      </c>
      <c r="BA69" s="461">
        <f t="shared" ca="1" si="188"/>
        <v>837667.7079223945</v>
      </c>
      <c r="BB69" s="461">
        <f t="shared" ca="1" si="188"/>
        <v>1051083.5534637121</v>
      </c>
      <c r="BC69" s="52">
        <f t="shared" ca="1" si="188"/>
        <v>601221.72372529143</v>
      </c>
      <c r="BD69" s="52">
        <f t="shared" ca="1" si="188"/>
        <v>576681.03324272193</v>
      </c>
      <c r="BE69" s="52">
        <f t="shared" ca="1" si="188"/>
        <v>871174.41623929003</v>
      </c>
      <c r="BF69" s="52">
        <f t="shared" ca="1" si="188"/>
        <v>1093126.8956022605</v>
      </c>
      <c r="BG69" s="52">
        <f t="shared" ca="1" si="188"/>
        <v>625270.59267430298</v>
      </c>
      <c r="BH69" s="52">
        <f t="shared" ca="1" si="188"/>
        <v>593157.63419251388</v>
      </c>
      <c r="BI69" s="52">
        <f t="shared" ca="1" si="188"/>
        <v>906021.39288886171</v>
      </c>
      <c r="BJ69" s="52">
        <f t="shared" ca="1" si="188"/>
        <v>1136851.9714263508</v>
      </c>
      <c r="BK69" s="52">
        <f t="shared" ca="1" si="188"/>
        <v>650281.41638127505</v>
      </c>
      <c r="BL69" s="52">
        <f t="shared" ca="1" si="188"/>
        <v>616883.93956021441</v>
      </c>
      <c r="BM69" s="52">
        <f t="shared" ca="1" si="188"/>
        <v>942262.24860441603</v>
      </c>
      <c r="BN69" s="52">
        <f t="shared" ca="1" si="188"/>
        <v>1182326.0502834048</v>
      </c>
      <c r="BO69" s="52">
        <f t="shared" ca="1" si="188"/>
        <v>676292.67303652596</v>
      </c>
      <c r="BP69" s="52">
        <f t="shared" ca="1" si="188"/>
        <v>641559.29714262288</v>
      </c>
      <c r="BQ69" s="52">
        <f t="shared" ca="1" si="188"/>
        <v>979952.73854859243</v>
      </c>
      <c r="BR69" s="52">
        <f t="shared" ca="1" si="188"/>
        <v>1229619.0922947407</v>
      </c>
      <c r="BS69" s="52">
        <f t="shared" ca="1" si="188"/>
        <v>703344.37995798665</v>
      </c>
      <c r="BT69" s="52">
        <f t="shared" ca="1" si="188"/>
        <v>674635.24312864244</v>
      </c>
      <c r="BU69" s="52">
        <f t="shared" ca="1" si="188"/>
        <v>1019150.848090536</v>
      </c>
      <c r="BV69" s="52">
        <f t="shared" ca="1" si="188"/>
        <v>1278803.85598653</v>
      </c>
      <c r="BW69" s="52">
        <f t="shared" ca="1" si="188"/>
        <v>731478.15515630599</v>
      </c>
      <c r="BX69" s="52">
        <f t="shared" ref="BX69:CO69" ca="1" si="189">Revenue</f>
        <v>693910.53578946064</v>
      </c>
      <c r="BY69" s="52">
        <f t="shared" ca="1" si="189"/>
        <v>1059916.882014157</v>
      </c>
      <c r="BZ69" s="52">
        <f t="shared" ca="1" si="189"/>
        <v>1329956.010225991</v>
      </c>
      <c r="CA69" s="52">
        <f t="shared" ca="1" si="189"/>
        <v>760737.28136255825</v>
      </c>
      <c r="CB69" s="52">
        <f t="shared" ca="1" si="189"/>
        <v>721666.95722103911</v>
      </c>
      <c r="CC69" s="52">
        <f t="shared" ca="1" si="189"/>
        <v>1102313.5572947236</v>
      </c>
      <c r="CD69" s="52">
        <f t="shared" ca="1" si="189"/>
        <v>1383154.2506350307</v>
      </c>
      <c r="CE69" s="52">
        <f t="shared" ca="1" si="189"/>
        <v>791166.77261706057</v>
      </c>
      <c r="CF69" s="52">
        <f t="shared" ca="1" si="189"/>
        <v>750533.63550988061</v>
      </c>
      <c r="CG69" s="52">
        <f t="shared" ca="1" si="189"/>
        <v>1146406.0995865124</v>
      </c>
      <c r="CH69" s="52">
        <f t="shared" ca="1" si="189"/>
        <v>1438480.4206604315</v>
      </c>
      <c r="CI69" s="52">
        <f t="shared" ca="1" si="189"/>
        <v>822813.44352174317</v>
      </c>
      <c r="CJ69" s="52">
        <f t="shared" ca="1" si="189"/>
        <v>789227.81405172311</v>
      </c>
      <c r="CK69" s="52">
        <f t="shared" ca="1" si="189"/>
        <v>1192262.3435699726</v>
      </c>
      <c r="CL69" s="52">
        <f t="shared" ca="1" si="189"/>
        <v>1496019.6374868487</v>
      </c>
      <c r="CM69" s="52">
        <f t="shared" ca="1" si="189"/>
        <v>855725.98126261262</v>
      </c>
      <c r="CN69" s="52">
        <f t="shared" ca="1" si="189"/>
        <v>811777.18016748666</v>
      </c>
      <c r="CO69" s="52">
        <f t="shared" ca="1" si="189"/>
        <v>1239952.8373127715</v>
      </c>
    </row>
    <row r="70" spans="1:93" s="133" customFormat="1" ht="14">
      <c r="A70" s="10"/>
      <c r="B70" s="11"/>
      <c r="C70" s="17" t="s">
        <v>80</v>
      </c>
      <c r="D70" s="10"/>
      <c r="E70" s="140"/>
      <c r="F70" s="10"/>
      <c r="G70" s="134" t="str">
        <f t="shared" si="186"/>
        <v>тыс. руб.</v>
      </c>
      <c r="H70" s="10"/>
      <c r="I70" s="23">
        <f t="shared" ca="1" si="187"/>
        <v>-38547379.439622067</v>
      </c>
      <c r="J70" s="10"/>
      <c r="K70" s="10"/>
      <c r="L70" s="52">
        <f t="shared" ref="L70:BW70" ca="1" si="190">COGS</f>
        <v>0</v>
      </c>
      <c r="M70" s="52">
        <f t="shared" ca="1" si="190"/>
        <v>0</v>
      </c>
      <c r="N70" s="52">
        <f t="shared" ca="1" si="190"/>
        <v>0</v>
      </c>
      <c r="O70" s="52">
        <f t="shared" ca="1" si="190"/>
        <v>0</v>
      </c>
      <c r="P70" s="52">
        <f t="shared" ca="1" si="190"/>
        <v>0</v>
      </c>
      <c r="Q70" s="52">
        <f t="shared" ca="1" si="190"/>
        <v>0</v>
      </c>
      <c r="R70" s="52">
        <f t="shared" ca="1" si="190"/>
        <v>0</v>
      </c>
      <c r="S70" s="52">
        <f t="shared" ca="1" si="190"/>
        <v>0</v>
      </c>
      <c r="T70" s="52">
        <f t="shared" ca="1" si="190"/>
        <v>0</v>
      </c>
      <c r="U70" s="52">
        <f t="shared" ca="1" si="190"/>
        <v>0</v>
      </c>
      <c r="V70" s="52">
        <f t="shared" ca="1" si="190"/>
        <v>0</v>
      </c>
      <c r="W70" s="52">
        <f t="shared" ca="1" si="190"/>
        <v>0</v>
      </c>
      <c r="X70" s="52">
        <f t="shared" ca="1" si="190"/>
        <v>0</v>
      </c>
      <c r="Y70" s="52">
        <f t="shared" ca="1" si="190"/>
        <v>0</v>
      </c>
      <c r="Z70" s="52">
        <f t="shared" ca="1" si="190"/>
        <v>0</v>
      </c>
      <c r="AA70" s="52">
        <f t="shared" ca="1" si="190"/>
        <v>0</v>
      </c>
      <c r="AB70" s="52">
        <f t="shared" ca="1" si="190"/>
        <v>0</v>
      </c>
      <c r="AC70" s="52">
        <f t="shared" ca="1" si="190"/>
        <v>-338364.69457748812</v>
      </c>
      <c r="AD70" s="52">
        <f t="shared" ca="1" si="190"/>
        <v>-440233.51075948874</v>
      </c>
      <c r="AE70" s="52">
        <f t="shared" ca="1" si="190"/>
        <v>-260902.81296897485</v>
      </c>
      <c r="AF70" s="52">
        <f t="shared" ca="1" si="190"/>
        <v>-256039.33641042063</v>
      </c>
      <c r="AG70" s="52">
        <f t="shared" ca="1" si="190"/>
        <v>-403998.14006466302</v>
      </c>
      <c r="AH70" s="52">
        <f t="shared" ca="1" si="190"/>
        <v>-523215.13660697942</v>
      </c>
      <c r="AI70" s="52">
        <f t="shared" ca="1" si="190"/>
        <v>-308731.99285408959</v>
      </c>
      <c r="AJ70" s="52">
        <f t="shared" ca="1" si="190"/>
        <v>-301753.52545773616</v>
      </c>
      <c r="AK70" s="52">
        <f t="shared" ca="1" si="190"/>
        <v>-474340.87767948816</v>
      </c>
      <c r="AL70" s="52">
        <f t="shared" ca="1" si="190"/>
        <v>-612130.91890505375</v>
      </c>
      <c r="AM70" s="52">
        <f t="shared" ca="1" si="190"/>
        <v>-359970.06262926321</v>
      </c>
      <c r="AN70" s="52">
        <f t="shared" ca="1" si="190"/>
        <v>-354611.34320440446</v>
      </c>
      <c r="AO70" s="52">
        <f t="shared" ca="1" si="190"/>
        <v>-549663.95169612917</v>
      </c>
      <c r="AP70" s="52">
        <f t="shared" ca="1" si="190"/>
        <v>-689645.45364490314</v>
      </c>
      <c r="AQ70" s="52">
        <f t="shared" ca="1" si="190"/>
        <v>-394590.32912258612</v>
      </c>
      <c r="AR70" s="52">
        <f t="shared" ca="1" si="190"/>
        <v>-374335.589413982</v>
      </c>
      <c r="AS70" s="52">
        <f t="shared" ca="1" si="190"/>
        <v>-571651.22277057101</v>
      </c>
      <c r="AT70" s="52">
        <f t="shared" ca="1" si="190"/>
        <v>-717231.99973528064</v>
      </c>
      <c r="AU70" s="52">
        <f t="shared" ca="1" si="190"/>
        <v>-410374.67740480497</v>
      </c>
      <c r="AV70" s="52">
        <f t="shared" ca="1" si="190"/>
        <v>-389309.01299054123</v>
      </c>
      <c r="AW70" s="52">
        <f t="shared" ca="1" si="190"/>
        <v>-586465.74265078746</v>
      </c>
      <c r="AX70" s="52">
        <f t="shared" ca="1" si="190"/>
        <v>-735818.43146604754</v>
      </c>
      <c r="AY70" s="461">
        <f t="shared" ca="1" si="190"/>
        <v>-421010.81673520268</v>
      </c>
      <c r="AZ70" s="461">
        <f t="shared" ca="1" si="190"/>
        <v>-399399.31868577609</v>
      </c>
      <c r="BA70" s="461">
        <f t="shared" ca="1" si="190"/>
        <v>-609924.37235681852</v>
      </c>
      <c r="BB70" s="461">
        <f t="shared" ca="1" si="190"/>
        <v>-765251.16872468952</v>
      </c>
      <c r="BC70" s="52">
        <f t="shared" ca="1" si="190"/>
        <v>-437851.24940461077</v>
      </c>
      <c r="BD70" s="52">
        <f t="shared" ca="1" si="190"/>
        <v>-419989.77823935129</v>
      </c>
      <c r="BE70" s="52">
        <f t="shared" ca="1" si="190"/>
        <v>-634320.54521563894</v>
      </c>
      <c r="BF70" s="52">
        <f t="shared" ca="1" si="190"/>
        <v>-795860.39663502329</v>
      </c>
      <c r="BG70" s="52">
        <f t="shared" ca="1" si="190"/>
        <v>-455364.47247379133</v>
      </c>
      <c r="BH70" s="52">
        <f t="shared" ca="1" si="190"/>
        <v>-431990.30309053528</v>
      </c>
      <c r="BI70" s="52">
        <f t="shared" ca="1" si="190"/>
        <v>-659694.20114113495</v>
      </c>
      <c r="BJ70" s="52">
        <f t="shared" ca="1" si="190"/>
        <v>-827695.66409262386</v>
      </c>
      <c r="BK70" s="52">
        <f t="shared" ca="1" si="190"/>
        <v>-473579.91135602683</v>
      </c>
      <c r="BL70" s="52">
        <f t="shared" ca="1" si="190"/>
        <v>-449269.91521415667</v>
      </c>
      <c r="BM70" s="52">
        <f t="shared" ca="1" si="190"/>
        <v>-686081.96918678016</v>
      </c>
      <c r="BN70" s="52">
        <f t="shared" ca="1" si="190"/>
        <v>-860803.49065632862</v>
      </c>
      <c r="BO70" s="52">
        <f t="shared" ca="1" si="190"/>
        <v>-492523.10781026777</v>
      </c>
      <c r="BP70" s="52">
        <f t="shared" ca="1" si="190"/>
        <v>-467240.71182272292</v>
      </c>
      <c r="BQ70" s="52">
        <f t="shared" ca="1" si="190"/>
        <v>-713525.24795425136</v>
      </c>
      <c r="BR70" s="52">
        <f t="shared" ca="1" si="190"/>
        <v>-895235.63028258167</v>
      </c>
      <c r="BS70" s="52">
        <f t="shared" ca="1" si="190"/>
        <v>-512224.03212267824</v>
      </c>
      <c r="BT70" s="52">
        <f t="shared" ca="1" si="190"/>
        <v>-491328.63718580664</v>
      </c>
      <c r="BU70" s="52">
        <f t="shared" ca="1" si="190"/>
        <v>-742065.31960438204</v>
      </c>
      <c r="BV70" s="52">
        <f t="shared" ca="1" si="190"/>
        <v>-931044.09756847634</v>
      </c>
      <c r="BW70" s="52">
        <f t="shared" ca="1" si="190"/>
        <v>-532712.0260433486</v>
      </c>
      <c r="BX70" s="52">
        <f t="shared" ref="BX70:CO70" ca="1" si="191">COGS</f>
        <v>-505367.55390745687</v>
      </c>
      <c r="BY70" s="52">
        <f t="shared" ca="1" si="191"/>
        <v>-771748.90818731789</v>
      </c>
      <c r="BZ70" s="52">
        <f t="shared" ca="1" si="191"/>
        <v>-968286.8577136402</v>
      </c>
      <c r="CA70" s="52">
        <f t="shared" ca="1" si="191"/>
        <v>-554021.51314388867</v>
      </c>
      <c r="CB70" s="52">
        <f t="shared" ca="1" si="191"/>
        <v>-525582.25606375502</v>
      </c>
      <c r="CC70" s="52">
        <f t="shared" ca="1" si="191"/>
        <v>-802618.86451481062</v>
      </c>
      <c r="CD70" s="52">
        <f t="shared" ca="1" si="191"/>
        <v>-1007018.3320221858</v>
      </c>
      <c r="CE70" s="52">
        <f t="shared" ca="1" si="191"/>
        <v>-576182.37366964424</v>
      </c>
      <c r="CF70" s="52">
        <f t="shared" ca="1" si="191"/>
        <v>-546605.54630630522</v>
      </c>
      <c r="CG70" s="52">
        <f t="shared" ca="1" si="191"/>
        <v>-834723.61909540289</v>
      </c>
      <c r="CH70" s="52">
        <f t="shared" ca="1" si="191"/>
        <v>-1047299.0653030727</v>
      </c>
      <c r="CI70" s="52">
        <f t="shared" ca="1" si="191"/>
        <v>-599229.66861643014</v>
      </c>
      <c r="CJ70" s="52">
        <f t="shared" ca="1" si="191"/>
        <v>-574785.01198494982</v>
      </c>
      <c r="CK70" s="52">
        <f t="shared" ca="1" si="191"/>
        <v>-868111.46621832193</v>
      </c>
      <c r="CL70" s="52">
        <f t="shared" ca="1" si="191"/>
        <v>-1089189.9072779571</v>
      </c>
      <c r="CM70" s="52">
        <f t="shared" ca="1" si="191"/>
        <v>-623197.72368175432</v>
      </c>
      <c r="CN70" s="52">
        <f t="shared" ca="1" si="191"/>
        <v>-591208.55888489971</v>
      </c>
      <c r="CO70" s="52">
        <f t="shared" ca="1" si="191"/>
        <v>-902837.06641358766</v>
      </c>
    </row>
    <row r="71" spans="1:93" s="133" customFormat="1" ht="14">
      <c r="A71" s="10"/>
      <c r="B71" s="11"/>
      <c r="C71" s="17" t="s">
        <v>758</v>
      </c>
      <c r="D71" s="10"/>
      <c r="E71" s="10"/>
      <c r="F71" s="10"/>
      <c r="G71" s="134" t="str">
        <f t="shared" si="186"/>
        <v>тыс. руб.</v>
      </c>
      <c r="H71" s="10"/>
      <c r="I71" s="23">
        <f t="shared" ca="1" si="187"/>
        <v>-234399.59558506194</v>
      </c>
      <c r="J71" s="10"/>
      <c r="K71" s="10"/>
      <c r="L71" s="52">
        <f t="shared" ref="L71:BW71" ca="1" si="192">SGA</f>
        <v>0</v>
      </c>
      <c r="M71" s="52">
        <f t="shared" ca="1" si="192"/>
        <v>0</v>
      </c>
      <c r="N71" s="52">
        <f t="shared" ca="1" si="192"/>
        <v>0</v>
      </c>
      <c r="O71" s="52">
        <f t="shared" ca="1" si="192"/>
        <v>0</v>
      </c>
      <c r="P71" s="52">
        <f t="shared" ca="1" si="192"/>
        <v>0</v>
      </c>
      <c r="Q71" s="52">
        <f t="shared" ca="1" si="192"/>
        <v>0</v>
      </c>
      <c r="R71" s="52">
        <f t="shared" ca="1" si="192"/>
        <v>0</v>
      </c>
      <c r="S71" s="52">
        <f t="shared" ca="1" si="192"/>
        <v>0</v>
      </c>
      <c r="T71" s="52">
        <f t="shared" ca="1" si="192"/>
        <v>0</v>
      </c>
      <c r="U71" s="52">
        <f t="shared" ca="1" si="192"/>
        <v>0</v>
      </c>
      <c r="V71" s="52">
        <f t="shared" ca="1" si="192"/>
        <v>0</v>
      </c>
      <c r="W71" s="52">
        <f t="shared" ca="1" si="192"/>
        <v>0</v>
      </c>
      <c r="X71" s="52">
        <f t="shared" ca="1" si="192"/>
        <v>0</v>
      </c>
      <c r="Y71" s="52">
        <f t="shared" ca="1" si="192"/>
        <v>0</v>
      </c>
      <c r="Z71" s="52">
        <f t="shared" ca="1" si="192"/>
        <v>0</v>
      </c>
      <c r="AA71" s="52">
        <f t="shared" ca="1" si="192"/>
        <v>0</v>
      </c>
      <c r="AB71" s="52">
        <f t="shared" ca="1" si="192"/>
        <v>0</v>
      </c>
      <c r="AC71" s="52">
        <f t="shared" ca="1" si="192"/>
        <v>-3596.4193556298515</v>
      </c>
      <c r="AD71" s="52">
        <f t="shared" ca="1" si="192"/>
        <v>-3635.9404474499602</v>
      </c>
      <c r="AE71" s="52">
        <f t="shared" ca="1" si="192"/>
        <v>-3635.9404474499602</v>
      </c>
      <c r="AF71" s="52">
        <f t="shared" ca="1" si="192"/>
        <v>-3556.8982638097432</v>
      </c>
      <c r="AG71" s="52">
        <f t="shared" ca="1" si="192"/>
        <v>-3596.4193556298515</v>
      </c>
      <c r="AH71" s="52">
        <f t="shared" ca="1" si="192"/>
        <v>-3635.9404474499602</v>
      </c>
      <c r="AI71" s="52">
        <f t="shared" ca="1" si="192"/>
        <v>-3635.9404474499602</v>
      </c>
      <c r="AJ71" s="52">
        <f t="shared" ca="1" si="192"/>
        <v>-3556.8982638097432</v>
      </c>
      <c r="AK71" s="52">
        <f t="shared" ca="1" si="192"/>
        <v>-3596.4193556298515</v>
      </c>
      <c r="AL71" s="52">
        <f t="shared" ca="1" si="192"/>
        <v>-3635.9404474499602</v>
      </c>
      <c r="AM71" s="52">
        <f t="shared" ca="1" si="192"/>
        <v>-3635.9404474499602</v>
      </c>
      <c r="AN71" s="52">
        <f t="shared" ca="1" si="192"/>
        <v>-3586.59307323742</v>
      </c>
      <c r="AO71" s="52">
        <f t="shared" ca="1" si="192"/>
        <v>-3586.59307323742</v>
      </c>
      <c r="AP71" s="52">
        <f t="shared" ca="1" si="192"/>
        <v>-3626.0061839323371</v>
      </c>
      <c r="AQ71" s="52">
        <f t="shared" ca="1" si="192"/>
        <v>-3626.0061839323371</v>
      </c>
      <c r="AR71" s="52">
        <f t="shared" ca="1" si="192"/>
        <v>-3556.8982638097432</v>
      </c>
      <c r="AS71" s="52">
        <f t="shared" ca="1" si="192"/>
        <v>-3596.4193556298515</v>
      </c>
      <c r="AT71" s="52">
        <f t="shared" ca="1" si="192"/>
        <v>-3635.9404474499602</v>
      </c>
      <c r="AU71" s="52">
        <f t="shared" ca="1" si="192"/>
        <v>-3635.9404474499602</v>
      </c>
      <c r="AV71" s="52">
        <f t="shared" ca="1" si="192"/>
        <v>-3556.8982638097432</v>
      </c>
      <c r="AW71" s="52">
        <f t="shared" ca="1" si="192"/>
        <v>-3596.4193556298515</v>
      </c>
      <c r="AX71" s="52">
        <f t="shared" ca="1" si="192"/>
        <v>-3635.9404474499602</v>
      </c>
      <c r="AY71" s="461">
        <f t="shared" ca="1" si="192"/>
        <v>-3635.9404474499602</v>
      </c>
      <c r="AZ71" s="461">
        <f t="shared" ca="1" si="192"/>
        <v>-3556.8982638097432</v>
      </c>
      <c r="BA71" s="461">
        <f t="shared" ca="1" si="192"/>
        <v>-3596.4193556298515</v>
      </c>
      <c r="BB71" s="461">
        <f t="shared" ca="1" si="192"/>
        <v>-3635.9404474499602</v>
      </c>
      <c r="BC71" s="52">
        <f t="shared" ca="1" si="192"/>
        <v>-3635.9404474499602</v>
      </c>
      <c r="BD71" s="52">
        <f t="shared" ca="1" si="192"/>
        <v>-3586.59307323742</v>
      </c>
      <c r="BE71" s="52">
        <f t="shared" ca="1" si="192"/>
        <v>-3586.59307323742</v>
      </c>
      <c r="BF71" s="52">
        <f t="shared" ca="1" si="192"/>
        <v>-3626.0061839323371</v>
      </c>
      <c r="BG71" s="52">
        <f t="shared" ca="1" si="192"/>
        <v>-3626.0061839323371</v>
      </c>
      <c r="BH71" s="52">
        <f t="shared" ca="1" si="192"/>
        <v>-3556.8982638097432</v>
      </c>
      <c r="BI71" s="52">
        <f t="shared" ca="1" si="192"/>
        <v>-3596.4193556298515</v>
      </c>
      <c r="BJ71" s="52">
        <f t="shared" ca="1" si="192"/>
        <v>-3635.9404474499602</v>
      </c>
      <c r="BK71" s="52">
        <f t="shared" ca="1" si="192"/>
        <v>-3635.9404474499602</v>
      </c>
      <c r="BL71" s="52">
        <f t="shared" ca="1" si="192"/>
        <v>-3556.8982638097432</v>
      </c>
      <c r="BM71" s="52">
        <f t="shared" ca="1" si="192"/>
        <v>-3596.4193556298515</v>
      </c>
      <c r="BN71" s="52">
        <f t="shared" ca="1" si="192"/>
        <v>-3635.9404474499602</v>
      </c>
      <c r="BO71" s="52">
        <f t="shared" ca="1" si="192"/>
        <v>-3635.9404474499602</v>
      </c>
      <c r="BP71" s="52">
        <f t="shared" ca="1" si="192"/>
        <v>-3556.8982638097432</v>
      </c>
      <c r="BQ71" s="52">
        <f t="shared" ca="1" si="192"/>
        <v>-3596.4193556298515</v>
      </c>
      <c r="BR71" s="52">
        <f t="shared" ca="1" si="192"/>
        <v>-3635.9404474499602</v>
      </c>
      <c r="BS71" s="52">
        <f t="shared" ca="1" si="192"/>
        <v>-3635.9404474499602</v>
      </c>
      <c r="BT71" s="52">
        <f t="shared" ca="1" si="192"/>
        <v>-3586.59307323742</v>
      </c>
      <c r="BU71" s="52">
        <f t="shared" ca="1" si="192"/>
        <v>-3586.59307323742</v>
      </c>
      <c r="BV71" s="52">
        <f t="shared" ca="1" si="192"/>
        <v>-3626.0061839323371</v>
      </c>
      <c r="BW71" s="52">
        <f t="shared" ca="1" si="192"/>
        <v>-3626.0061839323371</v>
      </c>
      <c r="BX71" s="52">
        <f t="shared" ref="BX71:CO71" ca="1" si="193">SGA</f>
        <v>-3556.8982638097432</v>
      </c>
      <c r="BY71" s="52">
        <f t="shared" ca="1" si="193"/>
        <v>-3596.4193556298515</v>
      </c>
      <c r="BZ71" s="52">
        <f t="shared" ca="1" si="193"/>
        <v>-3635.9404474499602</v>
      </c>
      <c r="CA71" s="52">
        <f t="shared" ca="1" si="193"/>
        <v>-3635.9404474499602</v>
      </c>
      <c r="CB71" s="52">
        <f t="shared" ca="1" si="193"/>
        <v>-3556.8982638097432</v>
      </c>
      <c r="CC71" s="52">
        <f t="shared" ca="1" si="193"/>
        <v>-3596.4193556298515</v>
      </c>
      <c r="CD71" s="52">
        <f t="shared" ca="1" si="193"/>
        <v>-3635.9404474499602</v>
      </c>
      <c r="CE71" s="52">
        <f t="shared" ca="1" si="193"/>
        <v>-3635.9404474499602</v>
      </c>
      <c r="CF71" s="52">
        <f t="shared" ca="1" si="193"/>
        <v>-3556.8982638097432</v>
      </c>
      <c r="CG71" s="52">
        <f t="shared" ca="1" si="193"/>
        <v>-3596.4193556298515</v>
      </c>
      <c r="CH71" s="52">
        <f t="shared" ca="1" si="193"/>
        <v>-3635.9404474499602</v>
      </c>
      <c r="CI71" s="52">
        <f t="shared" ca="1" si="193"/>
        <v>-3635.9404474499602</v>
      </c>
      <c r="CJ71" s="52">
        <f t="shared" ca="1" si="193"/>
        <v>-3586.59307323742</v>
      </c>
      <c r="CK71" s="52">
        <f t="shared" ca="1" si="193"/>
        <v>-3586.59307323742</v>
      </c>
      <c r="CL71" s="52">
        <f t="shared" ca="1" si="193"/>
        <v>-3626.0061839323371</v>
      </c>
      <c r="CM71" s="52">
        <f t="shared" ca="1" si="193"/>
        <v>-3626.0061839323371</v>
      </c>
      <c r="CN71" s="52">
        <f t="shared" ca="1" si="193"/>
        <v>-3556.8982638097432</v>
      </c>
      <c r="CO71" s="52">
        <f t="shared" ca="1" si="193"/>
        <v>-3596.4193556298515</v>
      </c>
    </row>
    <row r="72" spans="1:93" s="133" customFormat="1" ht="14">
      <c r="A72" s="10"/>
      <c r="B72" s="11"/>
      <c r="C72" s="17" t="s">
        <v>85</v>
      </c>
      <c r="D72" s="10"/>
      <c r="E72" s="10"/>
      <c r="F72" s="10"/>
      <c r="G72" s="134" t="str">
        <f t="shared" si="186"/>
        <v>тыс. руб.</v>
      </c>
      <c r="H72" s="10"/>
      <c r="I72" s="23">
        <f t="shared" si="187"/>
        <v>-20126.474624454266</v>
      </c>
      <c r="J72" s="10"/>
      <c r="K72" s="10"/>
      <c r="L72" s="52">
        <f t="shared" ref="L72:BW72" si="194">Bank_Fees</f>
        <v>0</v>
      </c>
      <c r="M72" s="52">
        <f t="shared" si="194"/>
        <v>0</v>
      </c>
      <c r="N72" s="52">
        <f t="shared" si="194"/>
        <v>0</v>
      </c>
      <c r="O72" s="52">
        <f t="shared" si="194"/>
        <v>0</v>
      </c>
      <c r="P72" s="52">
        <f t="shared" si="194"/>
        <v>0</v>
      </c>
      <c r="Q72" s="52">
        <f t="shared" si="194"/>
        <v>0</v>
      </c>
      <c r="R72" s="52">
        <f t="shared" si="194"/>
        <v>0</v>
      </c>
      <c r="S72" s="52">
        <f t="shared" si="194"/>
        <v>0</v>
      </c>
      <c r="T72" s="52">
        <f t="shared" si="194"/>
        <v>-3345.7721709148877</v>
      </c>
      <c r="U72" s="52">
        <f t="shared" si="194"/>
        <v>-3168.5750091153564</v>
      </c>
      <c r="V72" s="52">
        <f t="shared" si="194"/>
        <v>-2984.5308552565393</v>
      </c>
      <c r="W72" s="52">
        <f t="shared" si="194"/>
        <v>-2763.5106431876575</v>
      </c>
      <c r="X72" s="52">
        <f t="shared" si="194"/>
        <v>-2505.8352333099388</v>
      </c>
      <c r="Y72" s="52">
        <f t="shared" si="194"/>
        <v>-2041.5022126606673</v>
      </c>
      <c r="Z72" s="52">
        <f t="shared" si="194"/>
        <v>-1589.8751819626839</v>
      </c>
      <c r="AA72" s="52">
        <f t="shared" si="194"/>
        <v>-1111.1429440619313</v>
      </c>
      <c r="AB72" s="52">
        <f t="shared" si="194"/>
        <v>-615.73037398460076</v>
      </c>
      <c r="AC72" s="52">
        <f t="shared" si="194"/>
        <v>0</v>
      </c>
      <c r="AD72" s="52">
        <f t="shared" si="194"/>
        <v>0</v>
      </c>
      <c r="AE72" s="52">
        <f t="shared" si="194"/>
        <v>0</v>
      </c>
      <c r="AF72" s="52">
        <f t="shared" si="194"/>
        <v>0</v>
      </c>
      <c r="AG72" s="52">
        <f t="shared" si="194"/>
        <v>0</v>
      </c>
      <c r="AH72" s="52">
        <f t="shared" si="194"/>
        <v>0</v>
      </c>
      <c r="AI72" s="52">
        <f t="shared" si="194"/>
        <v>0</v>
      </c>
      <c r="AJ72" s="52">
        <f t="shared" si="194"/>
        <v>0</v>
      </c>
      <c r="AK72" s="52">
        <f t="shared" si="194"/>
        <v>0</v>
      </c>
      <c r="AL72" s="52">
        <f t="shared" si="194"/>
        <v>0</v>
      </c>
      <c r="AM72" s="52">
        <f t="shared" si="194"/>
        <v>0</v>
      </c>
      <c r="AN72" s="52">
        <f t="shared" si="194"/>
        <v>0</v>
      </c>
      <c r="AO72" s="52">
        <f t="shared" si="194"/>
        <v>0</v>
      </c>
      <c r="AP72" s="52">
        <f t="shared" si="194"/>
        <v>0</v>
      </c>
      <c r="AQ72" s="52">
        <f t="shared" si="194"/>
        <v>0</v>
      </c>
      <c r="AR72" s="52">
        <f t="shared" si="194"/>
        <v>0</v>
      </c>
      <c r="AS72" s="52">
        <f t="shared" si="194"/>
        <v>0</v>
      </c>
      <c r="AT72" s="52">
        <f t="shared" si="194"/>
        <v>0</v>
      </c>
      <c r="AU72" s="52">
        <f t="shared" si="194"/>
        <v>0</v>
      </c>
      <c r="AV72" s="52">
        <f t="shared" si="194"/>
        <v>0</v>
      </c>
      <c r="AW72" s="52">
        <f t="shared" si="194"/>
        <v>0</v>
      </c>
      <c r="AX72" s="52">
        <f t="shared" si="194"/>
        <v>0</v>
      </c>
      <c r="AY72" s="461">
        <f t="shared" si="194"/>
        <v>0</v>
      </c>
      <c r="AZ72" s="461">
        <f t="shared" si="194"/>
        <v>0</v>
      </c>
      <c r="BA72" s="461">
        <f t="shared" si="194"/>
        <v>0</v>
      </c>
      <c r="BB72" s="461">
        <f t="shared" si="194"/>
        <v>0</v>
      </c>
      <c r="BC72" s="52">
        <f t="shared" si="194"/>
        <v>0</v>
      </c>
      <c r="BD72" s="52">
        <f t="shared" si="194"/>
        <v>0</v>
      </c>
      <c r="BE72" s="52">
        <f t="shared" si="194"/>
        <v>0</v>
      </c>
      <c r="BF72" s="52">
        <f t="shared" si="194"/>
        <v>0</v>
      </c>
      <c r="BG72" s="52">
        <f t="shared" si="194"/>
        <v>0</v>
      </c>
      <c r="BH72" s="52">
        <f t="shared" si="194"/>
        <v>0</v>
      </c>
      <c r="BI72" s="52">
        <f t="shared" si="194"/>
        <v>0</v>
      </c>
      <c r="BJ72" s="52">
        <f t="shared" si="194"/>
        <v>0</v>
      </c>
      <c r="BK72" s="52">
        <f t="shared" si="194"/>
        <v>0</v>
      </c>
      <c r="BL72" s="52">
        <f t="shared" si="194"/>
        <v>0</v>
      </c>
      <c r="BM72" s="52">
        <f t="shared" si="194"/>
        <v>0</v>
      </c>
      <c r="BN72" s="52">
        <f t="shared" si="194"/>
        <v>0</v>
      </c>
      <c r="BO72" s="52">
        <f t="shared" si="194"/>
        <v>0</v>
      </c>
      <c r="BP72" s="52">
        <f t="shared" si="194"/>
        <v>0</v>
      </c>
      <c r="BQ72" s="52">
        <f t="shared" si="194"/>
        <v>0</v>
      </c>
      <c r="BR72" s="52">
        <f t="shared" si="194"/>
        <v>0</v>
      </c>
      <c r="BS72" s="52">
        <f t="shared" si="194"/>
        <v>0</v>
      </c>
      <c r="BT72" s="52">
        <f t="shared" si="194"/>
        <v>0</v>
      </c>
      <c r="BU72" s="52">
        <f t="shared" si="194"/>
        <v>0</v>
      </c>
      <c r="BV72" s="52">
        <f t="shared" si="194"/>
        <v>0</v>
      </c>
      <c r="BW72" s="52">
        <f t="shared" si="194"/>
        <v>0</v>
      </c>
      <c r="BX72" s="52">
        <f t="shared" ref="BX72:CO72" si="195">Bank_Fees</f>
        <v>0</v>
      </c>
      <c r="BY72" s="52">
        <f t="shared" si="195"/>
        <v>0</v>
      </c>
      <c r="BZ72" s="52">
        <f t="shared" si="195"/>
        <v>0</v>
      </c>
      <c r="CA72" s="52">
        <f t="shared" si="195"/>
        <v>0</v>
      </c>
      <c r="CB72" s="52">
        <f t="shared" si="195"/>
        <v>0</v>
      </c>
      <c r="CC72" s="52">
        <f t="shared" si="195"/>
        <v>0</v>
      </c>
      <c r="CD72" s="52">
        <f t="shared" si="195"/>
        <v>0</v>
      </c>
      <c r="CE72" s="52">
        <f t="shared" si="195"/>
        <v>0</v>
      </c>
      <c r="CF72" s="52">
        <f t="shared" si="195"/>
        <v>0</v>
      </c>
      <c r="CG72" s="52">
        <f t="shared" si="195"/>
        <v>0</v>
      </c>
      <c r="CH72" s="52">
        <f t="shared" si="195"/>
        <v>0</v>
      </c>
      <c r="CI72" s="52">
        <f t="shared" si="195"/>
        <v>0</v>
      </c>
      <c r="CJ72" s="52">
        <f t="shared" si="195"/>
        <v>0</v>
      </c>
      <c r="CK72" s="52">
        <f t="shared" si="195"/>
        <v>0</v>
      </c>
      <c r="CL72" s="52">
        <f t="shared" si="195"/>
        <v>0</v>
      </c>
      <c r="CM72" s="52">
        <f t="shared" si="195"/>
        <v>0</v>
      </c>
      <c r="CN72" s="52">
        <f t="shared" si="195"/>
        <v>0</v>
      </c>
      <c r="CO72" s="52">
        <f t="shared" si="195"/>
        <v>0</v>
      </c>
    </row>
    <row r="73" spans="1:93" s="133" customFormat="1" ht="14">
      <c r="A73" s="10"/>
      <c r="B73" s="11"/>
      <c r="C73" s="17" t="s">
        <v>86</v>
      </c>
      <c r="D73" s="10"/>
      <c r="E73" s="10"/>
      <c r="F73" s="10"/>
      <c r="G73" s="134" t="str">
        <f t="shared" si="186"/>
        <v>тыс. руб.</v>
      </c>
      <c r="H73" s="10"/>
      <c r="I73" s="23">
        <f t="shared" si="187"/>
        <v>-1330786.673672708</v>
      </c>
      <c r="J73" s="10"/>
      <c r="K73" s="10"/>
      <c r="L73" s="52">
        <f t="shared" ref="L73:BW73" si="196">Debt_Interest_Paid</f>
        <v>0</v>
      </c>
      <c r="M73" s="52">
        <f t="shared" si="196"/>
        <v>0</v>
      </c>
      <c r="N73" s="52">
        <f t="shared" si="196"/>
        <v>0</v>
      </c>
      <c r="O73" s="52">
        <f t="shared" si="196"/>
        <v>0</v>
      </c>
      <c r="P73" s="52">
        <f t="shared" si="196"/>
        <v>0</v>
      </c>
      <c r="Q73" s="52">
        <f t="shared" si="196"/>
        <v>0</v>
      </c>
      <c r="R73" s="52">
        <f t="shared" si="196"/>
        <v>0</v>
      </c>
      <c r="S73" s="52">
        <f t="shared" si="196"/>
        <v>-738.99174247580174</v>
      </c>
      <c r="T73" s="52">
        <f t="shared" si="196"/>
        <v>-3234.8821767320223</v>
      </c>
      <c r="U73" s="52">
        <f t="shared" si="196"/>
        <v>-7256.2536237105141</v>
      </c>
      <c r="V73" s="52">
        <f t="shared" si="196"/>
        <v>-11404.918486102473</v>
      </c>
      <c r="W73" s="52">
        <f t="shared" si="196"/>
        <v>-15513.937077923534</v>
      </c>
      <c r="X73" s="52">
        <f t="shared" si="196"/>
        <v>-21635.021605468475</v>
      </c>
      <c r="Y73" s="52">
        <f t="shared" si="196"/>
        <v>-30267.503661225743</v>
      </c>
      <c r="Z73" s="52">
        <f t="shared" si="196"/>
        <v>-39413.452160910616</v>
      </c>
      <c r="AA73" s="52">
        <f t="shared" si="196"/>
        <v>-48313.632138229776</v>
      </c>
      <c r="AB73" s="52">
        <f t="shared" si="196"/>
        <v>-57475.007205903479</v>
      </c>
      <c r="AC73" s="52">
        <f t="shared" si="196"/>
        <v>-63872.407755986169</v>
      </c>
      <c r="AD73" s="52">
        <f t="shared" si="196"/>
        <v>-62892.014193801202</v>
      </c>
      <c r="AE73" s="52">
        <f t="shared" si="196"/>
        <v>-61190.416445550276</v>
      </c>
      <c r="AF73" s="52">
        <f t="shared" si="196"/>
        <v>-58172.297254570709</v>
      </c>
      <c r="AG73" s="52">
        <f t="shared" si="196"/>
        <v>-57080.646529591679</v>
      </c>
      <c r="AH73" s="52">
        <f t="shared" si="196"/>
        <v>-55930.44209210058</v>
      </c>
      <c r="AI73" s="52">
        <f t="shared" si="196"/>
        <v>-54131.967215460383</v>
      </c>
      <c r="AJ73" s="52">
        <f t="shared" si="196"/>
        <v>-51171.195711258915</v>
      </c>
      <c r="AK73" s="52">
        <f t="shared" si="196"/>
        <v>-49904.037104946961</v>
      </c>
      <c r="AL73" s="52">
        <f t="shared" si="196"/>
        <v>-48574.405478010551</v>
      </c>
      <c r="AM73" s="52">
        <f t="shared" si="196"/>
        <v>-46673.54571622183</v>
      </c>
      <c r="AN73" s="52">
        <f t="shared" si="196"/>
        <v>-44138.79593852751</v>
      </c>
      <c r="AO73" s="52">
        <f t="shared" si="196"/>
        <v>-42207.308872000569</v>
      </c>
      <c r="AP73" s="52">
        <f t="shared" si="196"/>
        <v>-40691.467417603446</v>
      </c>
      <c r="AQ73" s="52">
        <f t="shared" si="196"/>
        <v>-38687.152626157636</v>
      </c>
      <c r="AR73" s="52">
        <f t="shared" si="196"/>
        <v>-35956.272041141216</v>
      </c>
      <c r="AS73" s="52">
        <f t="shared" si="196"/>
        <v>-34307.790947443333</v>
      </c>
      <c r="AT73" s="52">
        <f t="shared" si="196"/>
        <v>-32588.246953087979</v>
      </c>
      <c r="AU73" s="52">
        <f t="shared" si="196"/>
        <v>-30464.826714844134</v>
      </c>
      <c r="AV73" s="52">
        <f t="shared" si="196"/>
        <v>-27696.230071407623</v>
      </c>
      <c r="AW73" s="52">
        <f t="shared" si="196"/>
        <v>-25840.779998392045</v>
      </c>
      <c r="AX73" s="52">
        <f t="shared" si="196"/>
        <v>-23909.566331086633</v>
      </c>
      <c r="AY73" s="461">
        <f t="shared" si="196"/>
        <v>-21665.290095109085</v>
      </c>
      <c r="AZ73" s="461">
        <f t="shared" si="196"/>
        <v>-18968.105120419892</v>
      </c>
      <c r="BA73" s="461">
        <f t="shared" si="196"/>
        <v>-16893.990510090218</v>
      </c>
      <c r="BB73" s="461">
        <f t="shared" si="196"/>
        <v>-14739.119607861281</v>
      </c>
      <c r="BC73" s="52">
        <f t="shared" si="196"/>
        <v>-12367.118513902496</v>
      </c>
      <c r="BD73" s="52">
        <f t="shared" si="196"/>
        <v>-9826.7309072529442</v>
      </c>
      <c r="BE73" s="52">
        <f t="shared" si="196"/>
        <v>-7420.3179551697622</v>
      </c>
      <c r="BF73" s="52">
        <f t="shared" si="196"/>
        <v>-5035.4313667147007</v>
      </c>
      <c r="BG73" s="52">
        <f t="shared" si="196"/>
        <v>-2535.1563083135316</v>
      </c>
      <c r="BH73" s="52">
        <f t="shared" si="196"/>
        <v>0</v>
      </c>
      <c r="BI73" s="52">
        <f t="shared" si="196"/>
        <v>0</v>
      </c>
      <c r="BJ73" s="52">
        <f t="shared" si="196"/>
        <v>0</v>
      </c>
      <c r="BK73" s="52">
        <f t="shared" si="196"/>
        <v>0</v>
      </c>
      <c r="BL73" s="52">
        <f t="shared" si="196"/>
        <v>0</v>
      </c>
      <c r="BM73" s="52">
        <f t="shared" si="196"/>
        <v>0</v>
      </c>
      <c r="BN73" s="52">
        <f t="shared" si="196"/>
        <v>0</v>
      </c>
      <c r="BO73" s="52">
        <f t="shared" si="196"/>
        <v>0</v>
      </c>
      <c r="BP73" s="52">
        <f t="shared" si="196"/>
        <v>0</v>
      </c>
      <c r="BQ73" s="52">
        <f t="shared" si="196"/>
        <v>0</v>
      </c>
      <c r="BR73" s="52">
        <f t="shared" si="196"/>
        <v>0</v>
      </c>
      <c r="BS73" s="52">
        <f t="shared" si="196"/>
        <v>0</v>
      </c>
      <c r="BT73" s="52">
        <f t="shared" si="196"/>
        <v>0</v>
      </c>
      <c r="BU73" s="52">
        <f t="shared" si="196"/>
        <v>0</v>
      </c>
      <c r="BV73" s="52">
        <f t="shared" si="196"/>
        <v>0</v>
      </c>
      <c r="BW73" s="52">
        <f t="shared" si="196"/>
        <v>0</v>
      </c>
      <c r="BX73" s="52">
        <f t="shared" ref="BX73:CO73" si="197">Debt_Interest_Paid</f>
        <v>0</v>
      </c>
      <c r="BY73" s="52">
        <f t="shared" si="197"/>
        <v>0</v>
      </c>
      <c r="BZ73" s="52">
        <f t="shared" si="197"/>
        <v>0</v>
      </c>
      <c r="CA73" s="52">
        <f t="shared" si="197"/>
        <v>0</v>
      </c>
      <c r="CB73" s="52">
        <f t="shared" si="197"/>
        <v>0</v>
      </c>
      <c r="CC73" s="52">
        <f t="shared" si="197"/>
        <v>0</v>
      </c>
      <c r="CD73" s="52">
        <f t="shared" si="197"/>
        <v>0</v>
      </c>
      <c r="CE73" s="52">
        <f t="shared" si="197"/>
        <v>0</v>
      </c>
      <c r="CF73" s="52">
        <f t="shared" si="197"/>
        <v>0</v>
      </c>
      <c r="CG73" s="52">
        <f t="shared" si="197"/>
        <v>0</v>
      </c>
      <c r="CH73" s="52">
        <f t="shared" si="197"/>
        <v>0</v>
      </c>
      <c r="CI73" s="52">
        <f t="shared" si="197"/>
        <v>0</v>
      </c>
      <c r="CJ73" s="52">
        <f t="shared" si="197"/>
        <v>0</v>
      </c>
      <c r="CK73" s="52">
        <f t="shared" si="197"/>
        <v>0</v>
      </c>
      <c r="CL73" s="52">
        <f t="shared" si="197"/>
        <v>0</v>
      </c>
      <c r="CM73" s="52">
        <f t="shared" si="197"/>
        <v>0</v>
      </c>
      <c r="CN73" s="52">
        <f t="shared" si="197"/>
        <v>0</v>
      </c>
      <c r="CO73" s="52">
        <f t="shared" si="197"/>
        <v>0</v>
      </c>
    </row>
    <row r="74" spans="1:93" s="133" customFormat="1" ht="14">
      <c r="A74" s="10"/>
      <c r="B74" s="11"/>
      <c r="C74" s="17" t="s">
        <v>355</v>
      </c>
      <c r="D74" s="10"/>
      <c r="E74" s="10"/>
      <c r="F74" s="10"/>
      <c r="G74" s="134" t="str">
        <f t="shared" si="186"/>
        <v>тыс. руб.</v>
      </c>
      <c r="H74" s="10"/>
      <c r="I74" s="23">
        <f t="shared" ca="1" si="187"/>
        <v>-3991.4527079620657</v>
      </c>
      <c r="J74" s="10"/>
      <c r="K74" s="10"/>
      <c r="L74" s="52">
        <f t="shared" ref="L74:BW74" ca="1" si="198">Subord_Interest_Paid</f>
        <v>0</v>
      </c>
      <c r="M74" s="52">
        <f t="shared" ca="1" si="198"/>
        <v>0</v>
      </c>
      <c r="N74" s="52">
        <f t="shared" ca="1" si="198"/>
        <v>0</v>
      </c>
      <c r="O74" s="52">
        <f t="shared" ca="1" si="198"/>
        <v>0</v>
      </c>
      <c r="P74" s="52">
        <f t="shared" ca="1" si="198"/>
        <v>0</v>
      </c>
      <c r="Q74" s="52">
        <f t="shared" ca="1" si="198"/>
        <v>0</v>
      </c>
      <c r="R74" s="52">
        <f t="shared" ca="1" si="198"/>
        <v>0</v>
      </c>
      <c r="S74" s="52">
        <f t="shared" ca="1" si="198"/>
        <v>0</v>
      </c>
      <c r="T74" s="52">
        <f t="shared" ca="1" si="198"/>
        <v>0</v>
      </c>
      <c r="U74" s="52">
        <f t="shared" ca="1" si="198"/>
        <v>0</v>
      </c>
      <c r="V74" s="52">
        <f t="shared" ca="1" si="198"/>
        <v>0</v>
      </c>
      <c r="W74" s="52">
        <f t="shared" ca="1" si="198"/>
        <v>0</v>
      </c>
      <c r="X74" s="52">
        <f t="shared" ca="1" si="198"/>
        <v>0</v>
      </c>
      <c r="Y74" s="52">
        <f t="shared" ca="1" si="198"/>
        <v>0</v>
      </c>
      <c r="Z74" s="52">
        <f t="shared" ca="1" si="198"/>
        <v>0</v>
      </c>
      <c r="AA74" s="52">
        <f t="shared" ca="1" si="198"/>
        <v>0</v>
      </c>
      <c r="AB74" s="52">
        <f t="shared" ca="1" si="198"/>
        <v>0</v>
      </c>
      <c r="AC74" s="52">
        <f t="shared" ca="1" si="198"/>
        <v>0</v>
      </c>
      <c r="AD74" s="52">
        <f t="shared" ca="1" si="198"/>
        <v>0</v>
      </c>
      <c r="AE74" s="52">
        <f t="shared" ca="1" si="198"/>
        <v>0</v>
      </c>
      <c r="AF74" s="52">
        <f t="shared" ca="1" si="198"/>
        <v>0</v>
      </c>
      <c r="AG74" s="52">
        <f t="shared" ca="1" si="198"/>
        <v>0</v>
      </c>
      <c r="AH74" s="52">
        <f t="shared" ca="1" si="198"/>
        <v>0</v>
      </c>
      <c r="AI74" s="52">
        <f t="shared" ca="1" si="198"/>
        <v>0</v>
      </c>
      <c r="AJ74" s="52">
        <f t="shared" ca="1" si="198"/>
        <v>0</v>
      </c>
      <c r="AK74" s="52">
        <f t="shared" ca="1" si="198"/>
        <v>0</v>
      </c>
      <c r="AL74" s="52">
        <f t="shared" ca="1" si="198"/>
        <v>0</v>
      </c>
      <c r="AM74" s="52">
        <f t="shared" ca="1" si="198"/>
        <v>0</v>
      </c>
      <c r="AN74" s="52">
        <f t="shared" ca="1" si="198"/>
        <v>0</v>
      </c>
      <c r="AO74" s="52">
        <f t="shared" ca="1" si="198"/>
        <v>0</v>
      </c>
      <c r="AP74" s="52">
        <f t="shared" ca="1" si="198"/>
        <v>0</v>
      </c>
      <c r="AQ74" s="52">
        <f t="shared" ca="1" si="198"/>
        <v>0</v>
      </c>
      <c r="AR74" s="52">
        <f t="shared" ca="1" si="198"/>
        <v>0</v>
      </c>
      <c r="AS74" s="52">
        <f t="shared" ca="1" si="198"/>
        <v>0</v>
      </c>
      <c r="AT74" s="52">
        <f t="shared" ca="1" si="198"/>
        <v>0</v>
      </c>
      <c r="AU74" s="52">
        <f t="shared" ca="1" si="198"/>
        <v>0</v>
      </c>
      <c r="AV74" s="52">
        <f t="shared" ca="1" si="198"/>
        <v>0</v>
      </c>
      <c r="AW74" s="52">
        <f t="shared" ca="1" si="198"/>
        <v>0</v>
      </c>
      <c r="AX74" s="52">
        <f t="shared" ca="1" si="198"/>
        <v>0</v>
      </c>
      <c r="AY74" s="461">
        <f t="shared" ca="1" si="198"/>
        <v>0</v>
      </c>
      <c r="AZ74" s="461">
        <f t="shared" ca="1" si="198"/>
        <v>0</v>
      </c>
      <c r="BA74" s="461">
        <f t="shared" ca="1" si="198"/>
        <v>0</v>
      </c>
      <c r="BB74" s="461">
        <f t="shared" ca="1" si="198"/>
        <v>-1578.8975359324165</v>
      </c>
      <c r="BC74" s="52">
        <f t="shared" ca="1" si="198"/>
        <v>0</v>
      </c>
      <c r="BD74" s="52">
        <f t="shared" ca="1" si="198"/>
        <v>0</v>
      </c>
      <c r="BE74" s="52">
        <f t="shared" ca="1" si="198"/>
        <v>-1224.6918064263284</v>
      </c>
      <c r="BF74" s="52">
        <f t="shared" ca="1" si="198"/>
        <v>-1187.8633656033207</v>
      </c>
      <c r="BG74" s="52">
        <f t="shared" ca="1" si="198"/>
        <v>0</v>
      </c>
      <c r="BH74" s="52">
        <f t="shared" ca="1" si="198"/>
        <v>0</v>
      </c>
      <c r="BI74" s="52">
        <f t="shared" ca="1" si="198"/>
        <v>0</v>
      </c>
      <c r="BJ74" s="52">
        <f t="shared" ca="1" si="198"/>
        <v>0</v>
      </c>
      <c r="BK74" s="52">
        <f t="shared" ca="1" si="198"/>
        <v>0</v>
      </c>
      <c r="BL74" s="52">
        <f t="shared" ca="1" si="198"/>
        <v>0</v>
      </c>
      <c r="BM74" s="52">
        <f t="shared" ca="1" si="198"/>
        <v>0</v>
      </c>
      <c r="BN74" s="52">
        <f t="shared" ca="1" si="198"/>
        <v>0</v>
      </c>
      <c r="BO74" s="52">
        <f t="shared" ca="1" si="198"/>
        <v>0</v>
      </c>
      <c r="BP74" s="52">
        <f t="shared" ca="1" si="198"/>
        <v>0</v>
      </c>
      <c r="BQ74" s="52">
        <f t="shared" ca="1" si="198"/>
        <v>0</v>
      </c>
      <c r="BR74" s="52">
        <f t="shared" ca="1" si="198"/>
        <v>0</v>
      </c>
      <c r="BS74" s="52">
        <f t="shared" ca="1" si="198"/>
        <v>0</v>
      </c>
      <c r="BT74" s="52">
        <f t="shared" ca="1" si="198"/>
        <v>0</v>
      </c>
      <c r="BU74" s="52">
        <f t="shared" ca="1" si="198"/>
        <v>0</v>
      </c>
      <c r="BV74" s="52">
        <f t="shared" ca="1" si="198"/>
        <v>0</v>
      </c>
      <c r="BW74" s="52">
        <f t="shared" ca="1" si="198"/>
        <v>0</v>
      </c>
      <c r="BX74" s="52">
        <f t="shared" ref="BX74:CO74" ca="1" si="199">Subord_Interest_Paid</f>
        <v>0</v>
      </c>
      <c r="BY74" s="52">
        <f t="shared" ca="1" si="199"/>
        <v>0</v>
      </c>
      <c r="BZ74" s="52">
        <f t="shared" ca="1" si="199"/>
        <v>0</v>
      </c>
      <c r="CA74" s="52">
        <f t="shared" ca="1" si="199"/>
        <v>0</v>
      </c>
      <c r="CB74" s="52">
        <f t="shared" ca="1" si="199"/>
        <v>0</v>
      </c>
      <c r="CC74" s="52">
        <f t="shared" ca="1" si="199"/>
        <v>0</v>
      </c>
      <c r="CD74" s="52">
        <f t="shared" ca="1" si="199"/>
        <v>0</v>
      </c>
      <c r="CE74" s="52">
        <f t="shared" ca="1" si="199"/>
        <v>0</v>
      </c>
      <c r="CF74" s="52">
        <f t="shared" ca="1" si="199"/>
        <v>0</v>
      </c>
      <c r="CG74" s="52">
        <f t="shared" ca="1" si="199"/>
        <v>0</v>
      </c>
      <c r="CH74" s="52">
        <f t="shared" ca="1" si="199"/>
        <v>0</v>
      </c>
      <c r="CI74" s="52">
        <f t="shared" ca="1" si="199"/>
        <v>0</v>
      </c>
      <c r="CJ74" s="52">
        <f t="shared" ca="1" si="199"/>
        <v>0</v>
      </c>
      <c r="CK74" s="52">
        <f t="shared" ca="1" si="199"/>
        <v>0</v>
      </c>
      <c r="CL74" s="52">
        <f t="shared" ca="1" si="199"/>
        <v>0</v>
      </c>
      <c r="CM74" s="52">
        <f t="shared" ca="1" si="199"/>
        <v>0</v>
      </c>
      <c r="CN74" s="52">
        <f t="shared" ca="1" si="199"/>
        <v>0</v>
      </c>
      <c r="CO74" s="52">
        <f t="shared" ca="1" si="199"/>
        <v>0</v>
      </c>
    </row>
    <row r="75" spans="1:93" s="133" customFormat="1" ht="14">
      <c r="A75" s="10"/>
      <c r="B75" s="11"/>
      <c r="C75" s="17" t="s">
        <v>87</v>
      </c>
      <c r="D75" s="10"/>
      <c r="E75" s="10"/>
      <c r="F75" s="10"/>
      <c r="G75" s="134" t="str">
        <f t="shared" si="186"/>
        <v>тыс. руб.</v>
      </c>
      <c r="H75" s="10"/>
      <c r="I75" s="23">
        <f t="shared" ca="1" si="187"/>
        <v>-1246051.8709808199</v>
      </c>
      <c r="J75" s="10"/>
      <c r="K75" s="10"/>
      <c r="L75" s="52">
        <f t="shared" ref="L75:BW75" ca="1" si="200">Profits_Tax</f>
        <v>0</v>
      </c>
      <c r="M75" s="52">
        <f t="shared" ca="1" si="200"/>
        <v>0</v>
      </c>
      <c r="N75" s="52">
        <f t="shared" ca="1" si="200"/>
        <v>0</v>
      </c>
      <c r="O75" s="52">
        <f t="shared" ca="1" si="200"/>
        <v>0</v>
      </c>
      <c r="P75" s="52">
        <f t="shared" ca="1" si="200"/>
        <v>0</v>
      </c>
      <c r="Q75" s="52">
        <f t="shared" ca="1" si="200"/>
        <v>0</v>
      </c>
      <c r="R75" s="52">
        <f t="shared" ca="1" si="200"/>
        <v>0</v>
      </c>
      <c r="S75" s="52">
        <f t="shared" ca="1" si="200"/>
        <v>0</v>
      </c>
      <c r="T75" s="52">
        <f t="shared" ca="1" si="200"/>
        <v>0</v>
      </c>
      <c r="U75" s="52">
        <f t="shared" ca="1" si="200"/>
        <v>0</v>
      </c>
      <c r="V75" s="52">
        <f t="shared" ca="1" si="200"/>
        <v>0</v>
      </c>
      <c r="W75" s="52">
        <f t="shared" ca="1" si="200"/>
        <v>0</v>
      </c>
      <c r="X75" s="52">
        <f t="shared" ca="1" si="200"/>
        <v>0</v>
      </c>
      <c r="Y75" s="52">
        <f t="shared" ca="1" si="200"/>
        <v>0</v>
      </c>
      <c r="Z75" s="52">
        <f t="shared" ca="1" si="200"/>
        <v>0</v>
      </c>
      <c r="AA75" s="52">
        <f t="shared" ca="1" si="200"/>
        <v>0</v>
      </c>
      <c r="AB75" s="52">
        <f t="shared" ca="1" si="200"/>
        <v>0</v>
      </c>
      <c r="AC75" s="52">
        <f t="shared" ca="1" si="200"/>
        <v>0</v>
      </c>
      <c r="AD75" s="52">
        <f t="shared" ca="1" si="200"/>
        <v>-1389.8901071001442</v>
      </c>
      <c r="AE75" s="52">
        <f t="shared" ca="1" si="200"/>
        <v>-343.06807048271355</v>
      </c>
      <c r="AF75" s="52">
        <f t="shared" ca="1" si="200"/>
        <v>-345.23353688184091</v>
      </c>
      <c r="AG75" s="52">
        <f t="shared" ca="1" si="200"/>
        <v>-1233.380536733503</v>
      </c>
      <c r="AH75" s="52">
        <f t="shared" ca="1" si="200"/>
        <v>-1951.6135086286208</v>
      </c>
      <c r="AI75" s="52">
        <f t="shared" ca="1" si="200"/>
        <v>-697.23204125733548</v>
      </c>
      <c r="AJ75" s="52">
        <f t="shared" ca="1" si="200"/>
        <v>-686.27953043154048</v>
      </c>
      <c r="AK75" s="52">
        <f t="shared" ca="1" si="200"/>
        <v>-1722.2768330930526</v>
      </c>
      <c r="AL75" s="52">
        <f t="shared" ca="1" si="200"/>
        <v>-2552.4775815632656</v>
      </c>
      <c r="AM75" s="52">
        <f t="shared" ca="1" si="200"/>
        <v>-1075.6116456652608</v>
      </c>
      <c r="AN75" s="52">
        <f t="shared" ca="1" si="200"/>
        <v>-1069.6795860318255</v>
      </c>
      <c r="AO75" s="52">
        <f t="shared" ca="1" si="200"/>
        <v>-2246.021293735289</v>
      </c>
      <c r="AP75" s="52">
        <f t="shared" ca="1" si="200"/>
        <v>-3871.5435878940275</v>
      </c>
      <c r="AQ75" s="52">
        <f t="shared" ca="1" si="200"/>
        <v>-2721.5949994583566</v>
      </c>
      <c r="AR75" s="52">
        <f t="shared" ca="1" si="200"/>
        <v>-2537.3669215325235</v>
      </c>
      <c r="AS75" s="52">
        <f t="shared" ca="1" si="200"/>
        <v>-4910.3548208880238</v>
      </c>
      <c r="AT75" s="52">
        <f t="shared" ca="1" si="200"/>
        <v>-6670.9718023678251</v>
      </c>
      <c r="AU75" s="52">
        <f t="shared" ca="1" si="200"/>
        <v>-10754.654024609054</v>
      </c>
      <c r="AV75" s="52">
        <f t="shared" ca="1" si="200"/>
        <v>-10079.610833892344</v>
      </c>
      <c r="AW75" s="52">
        <f t="shared" ca="1" si="200"/>
        <v>-9399.3887811251989</v>
      </c>
      <c r="AX75" s="52">
        <f t="shared" ca="1" si="200"/>
        <v>-13441.647109621965</v>
      </c>
      <c r="AY75" s="461">
        <f t="shared" ca="1" si="200"/>
        <v>-5356.1178602904338</v>
      </c>
      <c r="AZ75" s="461">
        <f t="shared" ca="1" si="200"/>
        <v>-4934.9720522394755</v>
      </c>
      <c r="BA75" s="461">
        <f t="shared" ca="1" si="200"/>
        <v>-10534.546945064436</v>
      </c>
      <c r="BB75" s="461">
        <f t="shared" ca="1" si="200"/>
        <v>-14742.604280875961</v>
      </c>
      <c r="BC75" s="52">
        <f t="shared" ca="1" si="200"/>
        <v>-6446.8334556844102</v>
      </c>
      <c r="BD75" s="52">
        <f t="shared" ca="1" si="200"/>
        <v>-6118.4128459242202</v>
      </c>
      <c r="BE75" s="52">
        <f t="shared" ca="1" si="200"/>
        <v>-13775.352981547452</v>
      </c>
      <c r="BF75" s="52">
        <f t="shared" ca="1" si="200"/>
        <v>-18170.998071899296</v>
      </c>
      <c r="BG75" s="52">
        <f t="shared" ca="1" si="200"/>
        <v>-9513.941247908826</v>
      </c>
      <c r="BH75" s="52">
        <f t="shared" ca="1" si="200"/>
        <v>-9084.5245070020428</v>
      </c>
      <c r="BI75" s="52">
        <f t="shared" ca="1" si="200"/>
        <v>-15042.948275777006</v>
      </c>
      <c r="BJ75" s="52">
        <f t="shared" ca="1" si="200"/>
        <v>-19438.219890369604</v>
      </c>
      <c r="BK75" s="52">
        <f t="shared" ca="1" si="200"/>
        <v>-10166.3837287761</v>
      </c>
      <c r="BL75" s="52">
        <f t="shared" ca="1" si="200"/>
        <v>-9535.793034087581</v>
      </c>
      <c r="BM75" s="52">
        <f t="shared" ca="1" si="200"/>
        <v>-15732.664412670643</v>
      </c>
      <c r="BN75" s="52">
        <f t="shared" ca="1" si="200"/>
        <v>-20303.857550904053</v>
      </c>
      <c r="BO75" s="52">
        <f t="shared" ca="1" si="200"/>
        <v>-23606.827587732194</v>
      </c>
      <c r="BP75" s="52">
        <f t="shared" ca="1" si="200"/>
        <v>-22154.177240710902</v>
      </c>
      <c r="BQ75" s="52">
        <f t="shared" ca="1" si="200"/>
        <v>-36424.931789017159</v>
      </c>
      <c r="BR75" s="52">
        <f t="shared" ca="1" si="200"/>
        <v>-46951.98158954682</v>
      </c>
      <c r="BS75" s="52">
        <f t="shared" ca="1" si="200"/>
        <v>-24746.19889213498</v>
      </c>
      <c r="BT75" s="52">
        <f t="shared" ca="1" si="200"/>
        <v>-23542.717741804667</v>
      </c>
      <c r="BU75" s="52">
        <f t="shared" ca="1" si="200"/>
        <v>-38078.450736018975</v>
      </c>
      <c r="BV75" s="52">
        <f t="shared" ca="1" si="200"/>
        <v>-49026.847343305708</v>
      </c>
      <c r="BW75" s="52">
        <f t="shared" ca="1" si="200"/>
        <v>-25932.834801015801</v>
      </c>
      <c r="BX75" s="52">
        <f t="shared" ref="BX75:CO75" ca="1" si="201">Profits_Tax</f>
        <v>-24358.958707836995</v>
      </c>
      <c r="BY75" s="52">
        <f t="shared" ca="1" si="201"/>
        <v>-39794.70669005435</v>
      </c>
      <c r="BZ75" s="52">
        <f t="shared" ca="1" si="201"/>
        <v>-51181.26361707654</v>
      </c>
      <c r="CA75" s="52">
        <f t="shared" ca="1" si="201"/>
        <v>-27163.48905155596</v>
      </c>
      <c r="CB75" s="52">
        <f t="shared" ca="1" si="201"/>
        <v>-25527.925195505442</v>
      </c>
      <c r="CC75" s="52">
        <f t="shared" ca="1" si="201"/>
        <v>-41581.348127780795</v>
      </c>
      <c r="CD75" s="52">
        <f t="shared" ca="1" si="201"/>
        <v>-53423.612362653126</v>
      </c>
      <c r="CE75" s="52">
        <f t="shared" ca="1" si="201"/>
        <v>-28445.126814511706</v>
      </c>
      <c r="CF75" s="52">
        <f t="shared" ca="1" si="201"/>
        <v>-26743.650342680594</v>
      </c>
      <c r="CG75" s="52">
        <f t="shared" ca="1" si="201"/>
        <v>-43439.455223016266</v>
      </c>
      <c r="CH75" s="52">
        <f t="shared" ca="1" si="201"/>
        <v>-55755.655058052784</v>
      </c>
      <c r="CI75" s="52">
        <f t="shared" ca="1" si="201"/>
        <v>-29778.030087985695</v>
      </c>
      <c r="CJ75" s="52">
        <f t="shared" ca="1" si="201"/>
        <v>-28368.828141014976</v>
      </c>
      <c r="CK75" s="52">
        <f t="shared" ca="1" si="201"/>
        <v>-45373.579810170959</v>
      </c>
      <c r="CL75" s="52">
        <f t="shared" ca="1" si="201"/>
        <v>-58182.692970885604</v>
      </c>
      <c r="CM75" s="52">
        <f t="shared" ca="1" si="201"/>
        <v>-31165.964713540445</v>
      </c>
      <c r="CN75" s="52">
        <f t="shared" ca="1" si="201"/>
        <v>-29322.932814927386</v>
      </c>
      <c r="CO75" s="52">
        <f t="shared" ca="1" si="201"/>
        <v>-47381.615236267782</v>
      </c>
    </row>
    <row r="76" spans="1:93" s="133" customFormat="1" ht="14">
      <c r="A76" s="10"/>
      <c r="B76" s="11"/>
      <c r="C76" s="17" t="s">
        <v>112</v>
      </c>
      <c r="D76" s="10"/>
      <c r="E76" s="10"/>
      <c r="F76" s="10"/>
      <c r="G76" s="134" t="str">
        <f t="shared" si="186"/>
        <v>тыс. руб.</v>
      </c>
      <c r="H76" s="10"/>
      <c r="I76" s="23">
        <f t="shared" ca="1" si="187"/>
        <v>122805.22200197342</v>
      </c>
      <c r="J76" s="10"/>
      <c r="K76" s="10"/>
      <c r="L76" s="52">
        <f t="shared" ref="L76:BW76" ca="1" si="202">VAT_Cash_Flow</f>
        <v>-5234.3588965478193</v>
      </c>
      <c r="M76" s="52">
        <f t="shared" ca="1" si="202"/>
        <v>-5308.6600317512566</v>
      </c>
      <c r="N76" s="52">
        <f t="shared" ca="1" si="202"/>
        <v>-5384.015863203389</v>
      </c>
      <c r="O76" s="52">
        <f t="shared" ca="1" si="202"/>
        <v>-5460.4413621987187</v>
      </c>
      <c r="P76" s="52">
        <f t="shared" ca="1" si="202"/>
        <v>-45931.910967999196</v>
      </c>
      <c r="Q76" s="52">
        <f t="shared" ca="1" si="202"/>
        <v>-46384.496760337934</v>
      </c>
      <c r="R76" s="52">
        <f t="shared" ca="1" si="202"/>
        <v>-46841.542064486872</v>
      </c>
      <c r="S76" s="52">
        <f t="shared" ca="1" si="202"/>
        <v>-47303.090821828868</v>
      </c>
      <c r="T76" s="52">
        <f t="shared" ca="1" si="202"/>
        <v>-47769.187406719167</v>
      </c>
      <c r="U76" s="52">
        <f t="shared" ca="1" si="202"/>
        <v>-48239.876630751445</v>
      </c>
      <c r="V76" s="52">
        <f t="shared" ca="1" si="202"/>
        <v>-48715.20374706632</v>
      </c>
      <c r="W76" s="52">
        <f t="shared" ca="1" si="202"/>
        <v>-49195.214454702043</v>
      </c>
      <c r="X76" s="52">
        <f t="shared" ca="1" si="202"/>
        <v>-103752.06688500196</v>
      </c>
      <c r="Y76" s="52">
        <f t="shared" ca="1" si="202"/>
        <v>-104774.37818031572</v>
      </c>
      <c r="Z76" s="52">
        <f t="shared" ca="1" si="202"/>
        <v>-105806.76272444171</v>
      </c>
      <c r="AA76" s="52">
        <f t="shared" ca="1" si="202"/>
        <v>-106849.31977319589</v>
      </c>
      <c r="AB76" s="52">
        <f t="shared" ca="1" si="202"/>
        <v>-138729.3743854193</v>
      </c>
      <c r="AC76" s="52">
        <f t="shared" ca="1" si="202"/>
        <v>795292.67184082465</v>
      </c>
      <c r="AD76" s="52">
        <f t="shared" ca="1" si="202"/>
        <v>102752.17962665751</v>
      </c>
      <c r="AE76" s="52">
        <f t="shared" ca="1" si="202"/>
        <v>6324.8550992254313</v>
      </c>
      <c r="AF76" s="52">
        <f t="shared" ca="1" si="202"/>
        <v>15041.684506971134</v>
      </c>
      <c r="AG76" s="52">
        <f t="shared" ca="1" si="202"/>
        <v>-11685.653784310161</v>
      </c>
      <c r="AH76" s="52">
        <f t="shared" ca="1" si="202"/>
        <v>-21819.188282335046</v>
      </c>
      <c r="AI76" s="52">
        <f t="shared" ca="1" si="202"/>
        <v>7778.7500474506378</v>
      </c>
      <c r="AJ76" s="52">
        <f t="shared" ca="1" si="202"/>
        <v>18085.011595617747</v>
      </c>
      <c r="AK76" s="52">
        <f t="shared" ca="1" si="202"/>
        <v>-13524.160059774644</v>
      </c>
      <c r="AL76" s="52">
        <f t="shared" ca="1" si="202"/>
        <v>-25347.152161396705</v>
      </c>
      <c r="AM76" s="52">
        <f t="shared" ca="1" si="202"/>
        <v>9338.8368233751535</v>
      </c>
      <c r="AN76" s="52">
        <f t="shared" ca="1" si="202"/>
        <v>21029.328368872833</v>
      </c>
      <c r="AO76" s="52">
        <f t="shared" ca="1" si="202"/>
        <v>-15490.912674568193</v>
      </c>
      <c r="AP76" s="52">
        <f t="shared" ca="1" si="202"/>
        <v>-27360.384990569291</v>
      </c>
      <c r="AQ76" s="52">
        <f t="shared" ca="1" si="202"/>
        <v>12662.666886245715</v>
      </c>
      <c r="AR76" s="52">
        <f t="shared" ca="1" si="202"/>
        <v>25748.747842885976</v>
      </c>
      <c r="AS76" s="52">
        <f t="shared" ca="1" si="202"/>
        <v>-14459.455058697989</v>
      </c>
      <c r="AT76" s="52">
        <f t="shared" ca="1" si="202"/>
        <v>-28002.809260666356</v>
      </c>
      <c r="AU76" s="52">
        <f t="shared" ca="1" si="202"/>
        <v>13169.169139551756</v>
      </c>
      <c r="AV76" s="52">
        <f t="shared" ca="1" si="202"/>
        <v>26778.843345517751</v>
      </c>
      <c r="AW76" s="52">
        <f t="shared" ca="1" si="202"/>
        <v>113315.68882010193</v>
      </c>
      <c r="AX76" s="52">
        <f t="shared" ca="1" si="202"/>
        <v>52159.609287581647</v>
      </c>
      <c r="AY76" s="52">
        <f t="shared" ca="1" si="202"/>
        <v>-42870.486806150671</v>
      </c>
      <c r="AZ76" s="52">
        <f t="shared" ca="1" si="202"/>
        <v>-2941.8516133672383</v>
      </c>
      <c r="BA76" s="52">
        <f t="shared" ca="1" si="202"/>
        <v>28666.720146155043</v>
      </c>
      <c r="BB76" s="52">
        <f t="shared" ca="1" si="202"/>
        <v>21149.955313466562</v>
      </c>
      <c r="BC76" s="52">
        <f t="shared" ca="1" si="202"/>
        <v>-44585.306278396616</v>
      </c>
      <c r="BD76" s="52">
        <f t="shared" ca="1" si="202"/>
        <v>-2431.9453794303263</v>
      </c>
      <c r="BE76" s="52">
        <f t="shared" ca="1" si="202"/>
        <v>29185.969060620017</v>
      </c>
      <c r="BF76" s="52">
        <f t="shared" ca="1" si="202"/>
        <v>21995.956886645596</v>
      </c>
      <c r="BG76" s="52">
        <f t="shared" ca="1" si="202"/>
        <v>-46368.716915862504</v>
      </c>
      <c r="BH76" s="52">
        <f t="shared" ca="1" si="202"/>
        <v>-3182.0720864187897</v>
      </c>
      <c r="BI76" s="52">
        <f t="shared" ca="1" si="202"/>
        <v>31005.924510081284</v>
      </c>
      <c r="BJ76" s="52">
        <f t="shared" ca="1" si="202"/>
        <v>22875.791667045443</v>
      </c>
      <c r="BK76" s="52">
        <f t="shared" ca="1" si="202"/>
        <v>-48223.467270713765</v>
      </c>
      <c r="BL76" s="52">
        <f t="shared" ca="1" si="202"/>
        <v>-3309.1829732187325</v>
      </c>
      <c r="BM76" s="52">
        <f t="shared" ca="1" si="202"/>
        <v>32246.161490484519</v>
      </c>
      <c r="BN76" s="52">
        <f t="shared" ca="1" si="202"/>
        <v>23790.823333727283</v>
      </c>
      <c r="BO76" s="52">
        <f t="shared" ca="1" si="202"/>
        <v>-50152.40596154239</v>
      </c>
      <c r="BP76" s="52">
        <f t="shared" ca="1" si="202"/>
        <v>-3441.550292147469</v>
      </c>
      <c r="BQ76" s="52">
        <f t="shared" ca="1" si="202"/>
        <v>33536.007950103871</v>
      </c>
      <c r="BR76" s="52">
        <f t="shared" ca="1" si="202"/>
        <v>24742.456267076399</v>
      </c>
      <c r="BS76" s="52">
        <f t="shared" ca="1" si="202"/>
        <v>-52158.502200004092</v>
      </c>
      <c r="BT76" s="52">
        <f t="shared" ca="1" si="202"/>
        <v>-2845.0321195789875</v>
      </c>
      <c r="BU76" s="52">
        <f t="shared" ca="1" si="202"/>
        <v>34143.455737461496</v>
      </c>
      <c r="BV76" s="52">
        <f t="shared" ca="1" si="202"/>
        <v>25732.158449233219</v>
      </c>
      <c r="BW76" s="52">
        <f t="shared" ca="1" si="202"/>
        <v>-54244.840400238492</v>
      </c>
      <c r="BX76" s="52">
        <f t="shared" ref="BX76:CO76" ca="1" si="203">VAT_Cash_Flow</f>
        <v>-3722.5742688340397</v>
      </c>
      <c r="BY76" s="52">
        <f t="shared" ca="1" si="203"/>
        <v>36272.546198832322</v>
      </c>
      <c r="BZ76" s="52">
        <f t="shared" ca="1" si="203"/>
        <v>26761.440698469785</v>
      </c>
      <c r="CA76" s="52">
        <f t="shared" ca="1" si="203"/>
        <v>-56414.635979524319</v>
      </c>
      <c r="CB76" s="52">
        <f t="shared" ca="1" si="203"/>
        <v>-3871.2760278261849</v>
      </c>
      <c r="CC76" s="52">
        <f t="shared" ca="1" si="203"/>
        <v>37723.448046785692</v>
      </c>
      <c r="CD76" s="52">
        <f t="shared" ca="1" si="203"/>
        <v>27831.898326408584</v>
      </c>
      <c r="CE76" s="52">
        <f t="shared" ca="1" si="203"/>
        <v>-58671.221418705361</v>
      </c>
      <c r="CF76" s="52">
        <f t="shared" ca="1" si="203"/>
        <v>-4026.1270689392404</v>
      </c>
      <c r="CG76" s="52">
        <f t="shared" ca="1" si="203"/>
        <v>39232.38596865708</v>
      </c>
      <c r="CH76" s="52">
        <f t="shared" ca="1" si="203"/>
        <v>28945.174259464882</v>
      </c>
      <c r="CI76" s="52">
        <f t="shared" ca="1" si="203"/>
        <v>-61018.070275453501</v>
      </c>
      <c r="CJ76" s="52">
        <f t="shared" ca="1" si="203"/>
        <v>-3328.2851785645034</v>
      </c>
      <c r="CK76" s="52">
        <f t="shared" ca="1" si="203"/>
        <v>39943.013962450466</v>
      </c>
      <c r="CL76" s="52">
        <f t="shared" ca="1" si="203"/>
        <v>30102.985829111756</v>
      </c>
      <c r="CM76" s="52">
        <f t="shared" ca="1" si="203"/>
        <v>-63458.790878052765</v>
      </c>
      <c r="CN76" s="52">
        <f t="shared" ca="1" si="203"/>
        <v>-4354.8853736312303</v>
      </c>
      <c r="CO76" s="52">
        <f t="shared" ca="1" si="203"/>
        <v>42433.748663699458</v>
      </c>
    </row>
    <row r="77" spans="1:93" s="133" customFormat="1" thickBot="1">
      <c r="A77" s="10"/>
      <c r="B77" s="11"/>
      <c r="C77" s="17" t="s">
        <v>88</v>
      </c>
      <c r="D77" s="10"/>
      <c r="E77" s="10"/>
      <c r="F77" s="10"/>
      <c r="G77" s="134" t="str">
        <f t="shared" si="186"/>
        <v>тыс. руб.</v>
      </c>
      <c r="H77" s="10"/>
      <c r="I77" s="23">
        <f t="shared" ca="1" si="187"/>
        <v>-259956.36399098195</v>
      </c>
      <c r="J77" s="10"/>
      <c r="K77" s="10"/>
      <c r="L77" s="52">
        <f t="shared" ref="L77:BW77" ca="1" si="204">WC_Cash_Flow</f>
        <v>0</v>
      </c>
      <c r="M77" s="52">
        <f t="shared" ca="1" si="204"/>
        <v>0</v>
      </c>
      <c r="N77" s="52">
        <f t="shared" ca="1" si="204"/>
        <v>0</v>
      </c>
      <c r="O77" s="52">
        <f t="shared" ca="1" si="204"/>
        <v>0</v>
      </c>
      <c r="P77" s="52">
        <f t="shared" ca="1" si="204"/>
        <v>0</v>
      </c>
      <c r="Q77" s="52">
        <f t="shared" ca="1" si="204"/>
        <v>0</v>
      </c>
      <c r="R77" s="52">
        <f t="shared" ca="1" si="204"/>
        <v>0</v>
      </c>
      <c r="S77" s="52">
        <f t="shared" ca="1" si="204"/>
        <v>0</v>
      </c>
      <c r="T77" s="52">
        <f t="shared" ca="1" si="204"/>
        <v>0</v>
      </c>
      <c r="U77" s="52">
        <f t="shared" ca="1" si="204"/>
        <v>0</v>
      </c>
      <c r="V77" s="52">
        <f t="shared" ca="1" si="204"/>
        <v>0</v>
      </c>
      <c r="W77" s="52">
        <f t="shared" ca="1" si="204"/>
        <v>0</v>
      </c>
      <c r="X77" s="52">
        <f t="shared" ca="1" si="204"/>
        <v>0</v>
      </c>
      <c r="Y77" s="52">
        <f t="shared" ca="1" si="204"/>
        <v>0</v>
      </c>
      <c r="Z77" s="52">
        <f t="shared" ca="1" si="204"/>
        <v>0</v>
      </c>
      <c r="AA77" s="52">
        <f t="shared" ca="1" si="204"/>
        <v>0</v>
      </c>
      <c r="AB77" s="52">
        <f t="shared" ca="1" si="204"/>
        <v>0</v>
      </c>
      <c r="AC77" s="52">
        <f t="shared" ca="1" si="204"/>
        <v>-121828.76625646069</v>
      </c>
      <c r="AD77" s="52">
        <f t="shared" ca="1" si="204"/>
        <v>-34987.597426641441</v>
      </c>
      <c r="AE77" s="52">
        <f t="shared" ca="1" si="204"/>
        <v>63929.070751712134</v>
      </c>
      <c r="AF77" s="52">
        <f t="shared" ca="1" si="204"/>
        <v>-293.37772714710445</v>
      </c>
      <c r="AG77" s="52">
        <f t="shared" ca="1" si="204"/>
        <v>-52297.565875992674</v>
      </c>
      <c r="AH77" s="52">
        <f t="shared" ca="1" si="204"/>
        <v>-40914.729640385252</v>
      </c>
      <c r="AI77" s="52">
        <f t="shared" ca="1" si="204"/>
        <v>76460.280485939467</v>
      </c>
      <c r="AJ77" s="52">
        <f t="shared" ca="1" si="204"/>
        <v>98.484251999761909</v>
      </c>
      <c r="AK77" s="52">
        <f t="shared" ca="1" si="204"/>
        <v>-60990.536971858121</v>
      </c>
      <c r="AL77" s="52">
        <f t="shared" ca="1" si="204"/>
        <v>-47260.052275345603</v>
      </c>
      <c r="AM77" s="52">
        <f t="shared" ca="1" si="204"/>
        <v>89891.700485701382</v>
      </c>
      <c r="AN77" s="52">
        <f t="shared" ca="1" si="204"/>
        <v>522.05268826289102</v>
      </c>
      <c r="AO77" s="52">
        <f t="shared" ca="1" si="204"/>
        <v>-70295.270752642537</v>
      </c>
      <c r="AP77" s="52">
        <f t="shared" ca="1" si="204"/>
        <v>-47746.150743004575</v>
      </c>
      <c r="AQ77" s="52">
        <f t="shared" ca="1" si="204"/>
        <v>105182.71947060019</v>
      </c>
      <c r="AR77" s="52">
        <f t="shared" ca="1" si="204"/>
        <v>4256.704317794065</v>
      </c>
      <c r="AS77" s="52">
        <f t="shared" ca="1" si="204"/>
        <v>-69611.807847343909</v>
      </c>
      <c r="AT77" s="52">
        <f t="shared" ca="1" si="204"/>
        <v>-49655.995614668354</v>
      </c>
      <c r="AU77" s="52">
        <f t="shared" ca="1" si="204"/>
        <v>109390.02941889165</v>
      </c>
      <c r="AV77" s="52">
        <f t="shared" ca="1" si="204"/>
        <v>4426.8526344216079</v>
      </c>
      <c r="AW77" s="52">
        <f t="shared" ca="1" si="204"/>
        <v>-27138.740460894944</v>
      </c>
      <c r="AX77" s="52">
        <f t="shared" ca="1" si="204"/>
        <v>-40729.057438868564</v>
      </c>
      <c r="AY77" s="52">
        <f t="shared" ca="1" si="204"/>
        <v>89724.666621566168</v>
      </c>
      <c r="AZ77" s="52">
        <f t="shared" ca="1" si="204"/>
        <v>3631.1156881273491</v>
      </c>
      <c r="BA77" s="52">
        <f t="shared" ca="1" si="204"/>
        <v>-59381.232754307508</v>
      </c>
      <c r="BB77" s="52">
        <f t="shared" ca="1" si="204"/>
        <v>-42358.219736423169</v>
      </c>
      <c r="BC77" s="52">
        <f t="shared" ca="1" si="204"/>
        <v>93313.653286428773</v>
      </c>
      <c r="BD77" s="52">
        <f t="shared" ca="1" si="204"/>
        <v>3776.2294019522378</v>
      </c>
      <c r="BE77" s="52">
        <f t="shared" ca="1" si="204"/>
        <v>-61756.483354425523</v>
      </c>
      <c r="BF77" s="52">
        <f t="shared" ca="1" si="204"/>
        <v>-44052.549828536459</v>
      </c>
      <c r="BG77" s="52">
        <f t="shared" ca="1" si="204"/>
        <v>97046.198102394235</v>
      </c>
      <c r="BH77" s="52">
        <f t="shared" ca="1" si="204"/>
        <v>3927.5495500724646</v>
      </c>
      <c r="BI77" s="52">
        <f t="shared" ca="1" si="204"/>
        <v>-64226.741347058734</v>
      </c>
      <c r="BJ77" s="52">
        <f t="shared" ca="1" si="204"/>
        <v>-45814.650466915453</v>
      </c>
      <c r="BK77" s="52">
        <f t="shared" ca="1" si="204"/>
        <v>100928.0473946014</v>
      </c>
      <c r="BL77" s="52">
        <f t="shared" ca="1" si="204"/>
        <v>4084.5113174094586</v>
      </c>
      <c r="BM77" s="52">
        <f t="shared" ca="1" si="204"/>
        <v>-66795.811000941321</v>
      </c>
      <c r="BN77" s="52">
        <f t="shared" ca="1" si="204"/>
        <v>-47647.236485591624</v>
      </c>
      <c r="BO77" s="52">
        <f t="shared" ca="1" si="204"/>
        <v>104965.16929038509</v>
      </c>
      <c r="BP77" s="52">
        <f t="shared" ca="1" si="204"/>
        <v>4247.8917701060418</v>
      </c>
      <c r="BQ77" s="52">
        <f t="shared" ca="1" si="204"/>
        <v>-69467.643440978718</v>
      </c>
      <c r="BR77" s="52">
        <f t="shared" ca="1" si="204"/>
        <v>-49553.125945015578</v>
      </c>
      <c r="BS77" s="52">
        <f t="shared" ca="1" si="204"/>
        <v>109163.77606200078</v>
      </c>
      <c r="BT77" s="52">
        <f t="shared" ca="1" si="204"/>
        <v>4417.6542903974769</v>
      </c>
      <c r="BU77" s="52">
        <f t="shared" ca="1" si="204"/>
        <v>-72246.350687671977</v>
      </c>
      <c r="BV77" s="52">
        <f t="shared" ca="1" si="204"/>
        <v>-51535.252506739693</v>
      </c>
      <c r="BW77" s="52">
        <f t="shared" ca="1" si="204"/>
        <v>113530.32556554116</v>
      </c>
      <c r="BX77" s="52">
        <f t="shared" ref="BX77:CO77" ca="1" si="205">WC_Cash_Flow</f>
        <v>4594.6774609764107</v>
      </c>
      <c r="BY77" s="52">
        <f t="shared" ca="1" si="205"/>
        <v>-75136.203145762556</v>
      </c>
      <c r="BZ77" s="52">
        <f t="shared" ca="1" si="205"/>
        <v>-53596.661022128887</v>
      </c>
      <c r="CA77" s="52">
        <f t="shared" ca="1" si="205"/>
        <v>118071.5401886598</v>
      </c>
      <c r="CB77" s="52">
        <f t="shared" ca="1" si="205"/>
        <v>4778.3005280884681</v>
      </c>
      <c r="CC77" s="52">
        <f t="shared" ca="1" si="205"/>
        <v>-78141.651271592942</v>
      </c>
      <c r="CD77" s="52">
        <f t="shared" ca="1" si="205"/>
        <v>-55740.527463013772</v>
      </c>
      <c r="CE77" s="52">
        <f t="shared" ca="1" si="205"/>
        <v>122794.40179620578</v>
      </c>
      <c r="CF77" s="52">
        <f t="shared" ca="1" si="205"/>
        <v>4969.4325492122443</v>
      </c>
      <c r="CG77" s="52">
        <f t="shared" ca="1" si="205"/>
        <v>-81267.317322456976</v>
      </c>
      <c r="CH77" s="52">
        <f t="shared" ca="1" si="205"/>
        <v>-57970.148561534588</v>
      </c>
      <c r="CI77" s="52">
        <f t="shared" ca="1" si="205"/>
        <v>127706.17786805471</v>
      </c>
      <c r="CJ77" s="52">
        <f t="shared" ca="1" si="205"/>
        <v>5168.0306867422769</v>
      </c>
      <c r="CK77" s="52">
        <f t="shared" ca="1" si="205"/>
        <v>-84518.011780735222</v>
      </c>
      <c r="CL77" s="52">
        <f t="shared" ca="1" si="205"/>
        <v>-60288.956286770757</v>
      </c>
      <c r="CM77" s="52">
        <f t="shared" ca="1" si="205"/>
        <v>132814.4231824351</v>
      </c>
      <c r="CN77" s="52">
        <f t="shared" ca="1" si="205"/>
        <v>5375.1227581623243</v>
      </c>
      <c r="CO77" s="52">
        <f t="shared" ca="1" si="205"/>
        <v>-87898.730415969621</v>
      </c>
    </row>
    <row r="78" spans="1:93" s="133" customFormat="1" thickTop="1">
      <c r="A78" s="10"/>
      <c r="B78" s="11"/>
      <c r="C78" s="49" t="s">
        <v>494</v>
      </c>
      <c r="D78" s="136"/>
      <c r="E78" s="136"/>
      <c r="F78" s="136"/>
      <c r="G78" s="137" t="str">
        <f t="shared" si="186"/>
        <v>тыс. руб.</v>
      </c>
      <c r="H78" s="136"/>
      <c r="I78" s="23">
        <f t="shared" ca="1" si="187"/>
        <v>13330199.870655131</v>
      </c>
      <c r="J78" s="136"/>
      <c r="K78" s="136"/>
      <c r="L78" s="136">
        <f ca="1">SUM(L69:L77)</f>
        <v>-5234.3588965478193</v>
      </c>
      <c r="M78" s="136">
        <f t="shared" ref="M78:BX78" ca="1" si="206">SUM(M69:M77)</f>
        <v>-5308.6600317512566</v>
      </c>
      <c r="N78" s="136">
        <f t="shared" ca="1" si="206"/>
        <v>-5384.015863203389</v>
      </c>
      <c r="O78" s="136">
        <f t="shared" ca="1" si="206"/>
        <v>-5460.4413621987187</v>
      </c>
      <c r="P78" s="136">
        <f t="shared" ca="1" si="206"/>
        <v>-45931.910967999196</v>
      </c>
      <c r="Q78" s="136">
        <f t="shared" ca="1" si="206"/>
        <v>-46384.496760337934</v>
      </c>
      <c r="R78" s="136">
        <f t="shared" ca="1" si="206"/>
        <v>-46841.542064486872</v>
      </c>
      <c r="S78" s="136">
        <f t="shared" ca="1" si="206"/>
        <v>-48042.08256430467</v>
      </c>
      <c r="T78" s="136">
        <f t="shared" ca="1" si="206"/>
        <v>-54349.841754366076</v>
      </c>
      <c r="U78" s="136">
        <f t="shared" ca="1" si="206"/>
        <v>-58664.705263577314</v>
      </c>
      <c r="V78" s="136">
        <f t="shared" ca="1" si="206"/>
        <v>-63104.65308842533</v>
      </c>
      <c r="W78" s="136">
        <f t="shared" ca="1" si="206"/>
        <v>-67472.662175813239</v>
      </c>
      <c r="X78" s="136">
        <f t="shared" ca="1" si="206"/>
        <v>-127892.92372378038</v>
      </c>
      <c r="Y78" s="136">
        <f t="shared" ca="1" si="206"/>
        <v>-137083.38405420212</v>
      </c>
      <c r="Z78" s="136">
        <f t="shared" ca="1" si="206"/>
        <v>-146810.090067315</v>
      </c>
      <c r="AA78" s="136">
        <f t="shared" ca="1" si="206"/>
        <v>-156274.09485548761</v>
      </c>
      <c r="AB78" s="136">
        <f t="shared" ca="1" si="206"/>
        <v>-196820.11196530738</v>
      </c>
      <c r="AC78" s="136">
        <f t="shared" ca="1" si="206"/>
        <v>806359.9888286012</v>
      </c>
      <c r="AD78" s="136">
        <f t="shared" ca="1" si="206"/>
        <v>260633.49736676697</v>
      </c>
      <c r="AE78" s="136">
        <f t="shared" ca="1" si="206"/>
        <v>159487.45939256286</v>
      </c>
      <c r="AF78" s="136">
        <f t="shared" ca="1" si="206"/>
        <v>104196.22149496293</v>
      </c>
      <c r="AG78" s="136">
        <f t="shared" ca="1" si="206"/>
        <v>113391.24804015062</v>
      </c>
      <c r="AH78" s="136">
        <f t="shared" ca="1" si="206"/>
        <v>185745.61399534979</v>
      </c>
      <c r="AI78" s="136">
        <f t="shared" ca="1" si="206"/>
        <v>208534.79718170298</v>
      </c>
      <c r="AJ78" s="136">
        <f t="shared" ca="1" si="206"/>
        <v>141394.96392417664</v>
      </c>
      <c r="AK78" s="136">
        <f t="shared" ca="1" si="206"/>
        <v>151260.50400841612</v>
      </c>
      <c r="AL78" s="136">
        <f t="shared" ca="1" si="206"/>
        <v>235357.87070185761</v>
      </c>
      <c r="AM78" s="136">
        <f t="shared" ca="1" si="206"/>
        <v>260985.88479377399</v>
      </c>
      <c r="AN78" s="136">
        <f t="shared" ca="1" si="206"/>
        <v>182719.4546381231</v>
      </c>
      <c r="AO78" s="136">
        <f t="shared" ca="1" si="206"/>
        <v>191839.71921641956</v>
      </c>
      <c r="AP78" s="136">
        <f t="shared" ca="1" si="206"/>
        <v>285399.92787252256</v>
      </c>
      <c r="AQ78" s="136">
        <f t="shared" ca="1" si="206"/>
        <v>306473.33589414204</v>
      </c>
      <c r="AR78" s="136">
        <f t="shared" ca="1" si="206"/>
        <v>209606.22587961034</v>
      </c>
      <c r="AS78" s="136">
        <f t="shared" ca="1" si="206"/>
        <v>211805.91788130795</v>
      </c>
      <c r="AT78" s="136">
        <f t="shared" ca="1" si="206"/>
        <v>304488.60800452536</v>
      </c>
      <c r="AU78" s="136">
        <f t="shared" ca="1" si="206"/>
        <v>320712.25373494322</v>
      </c>
      <c r="AV78" s="136">
        <f t="shared" ca="1" si="206"/>
        <v>220390.32019406001</v>
      </c>
      <c r="AW78" s="136">
        <f t="shared" ca="1" si="206"/>
        <v>266324.33672942128</v>
      </c>
      <c r="AX78" s="136">
        <f t="shared" ca="1" si="206"/>
        <v>245282.22944038437</v>
      </c>
      <c r="AY78" s="136">
        <f t="shared" ca="1" si="206"/>
        <v>173283.82595168217</v>
      </c>
      <c r="AZ78" s="136">
        <f t="shared" ca="1" si="206"/>
        <v>122237.54594411451</v>
      </c>
      <c r="BA78" s="136">
        <f t="shared" ca="1" si="206"/>
        <v>166003.86614663899</v>
      </c>
      <c r="BB78" s="136">
        <f t="shared" ca="1" si="206"/>
        <v>229927.55844394636</v>
      </c>
      <c r="BC78" s="136">
        <f t="shared" ca="1" si="206"/>
        <v>189648.92891167593</v>
      </c>
      <c r="BD78" s="136">
        <f t="shared" ca="1" si="206"/>
        <v>138503.80219947797</v>
      </c>
      <c r="BE78" s="136">
        <f t="shared" ca="1" si="206"/>
        <v>178276.4009134646</v>
      </c>
      <c r="BF78" s="136">
        <f t="shared" ca="1" si="206"/>
        <v>247189.60703719663</v>
      </c>
      <c r="BG78" s="136">
        <f t="shared" ca="1" si="206"/>
        <v>204908.49764688866</v>
      </c>
      <c r="BH78" s="136">
        <f t="shared" ca="1" si="206"/>
        <v>149271.3857948205</v>
      </c>
      <c r="BI78" s="136">
        <f t="shared" ca="1" si="206"/>
        <v>194467.00727934245</v>
      </c>
      <c r="BJ78" s="136">
        <f t="shared" ca="1" si="206"/>
        <v>263143.28819603729</v>
      </c>
      <c r="BK78" s="136">
        <f t="shared" ca="1" si="206"/>
        <v>215603.7609729098</v>
      </c>
      <c r="BL78" s="136">
        <f t="shared" ca="1" si="206"/>
        <v>155296.66139235115</v>
      </c>
      <c r="BM78" s="136">
        <f t="shared" ca="1" si="206"/>
        <v>202301.54613887856</v>
      </c>
      <c r="BN78" s="136">
        <f t="shared" ca="1" si="206"/>
        <v>273726.34847685776</v>
      </c>
      <c r="BO78" s="136">
        <f t="shared" ca="1" si="206"/>
        <v>211339.56051991874</v>
      </c>
      <c r="BP78" s="136">
        <f t="shared" ca="1" si="206"/>
        <v>149413.85129333788</v>
      </c>
      <c r="BQ78" s="136">
        <f t="shared" ca="1" si="206"/>
        <v>190474.50395881923</v>
      </c>
      <c r="BR78" s="136">
        <f t="shared" ca="1" si="206"/>
        <v>258984.8702972231</v>
      </c>
      <c r="BS78" s="136">
        <f t="shared" ca="1" si="206"/>
        <v>219743.48235772018</v>
      </c>
      <c r="BT78" s="136">
        <f t="shared" ca="1" si="206"/>
        <v>157749.91729861218</v>
      </c>
      <c r="BU78" s="136">
        <f t="shared" ca="1" si="206"/>
        <v>197317.58972668706</v>
      </c>
      <c r="BV78" s="136">
        <f t="shared" ca="1" si="206"/>
        <v>269303.81083330908</v>
      </c>
      <c r="BW78" s="136">
        <f t="shared" ca="1" si="206"/>
        <v>228492.77329331194</v>
      </c>
      <c r="BX78" s="136">
        <f t="shared" ca="1" si="206"/>
        <v>161499.22810249944</v>
      </c>
      <c r="BY78" s="136">
        <f t="shared" ref="BY78:CO78" ca="1" si="207">SUM(BY69:BY77)</f>
        <v>205913.19083422469</v>
      </c>
      <c r="BZ78" s="136">
        <f t="shared" ca="1" si="207"/>
        <v>280016.72812416521</v>
      </c>
      <c r="CA78" s="136">
        <f t="shared" ca="1" si="207"/>
        <v>237573.24292879915</v>
      </c>
      <c r="CB78" s="136">
        <f t="shared" ca="1" si="207"/>
        <v>167906.9021982312</v>
      </c>
      <c r="CC78" s="136">
        <f t="shared" ca="1" si="207"/>
        <v>214098.72207169508</v>
      </c>
      <c r="CD78" s="136">
        <f t="shared" ca="1" si="207"/>
        <v>291167.7366661366</v>
      </c>
      <c r="CE78" s="136">
        <f t="shared" ca="1" si="207"/>
        <v>247026.51206295512</v>
      </c>
      <c r="CF78" s="136">
        <f t="shared" ca="1" si="207"/>
        <v>174570.84607735806</v>
      </c>
      <c r="CG78" s="136">
        <f t="shared" ca="1" si="207"/>
        <v>222611.67455866357</v>
      </c>
      <c r="CH78" s="136">
        <f t="shared" ca="1" si="207"/>
        <v>302764.78554978635</v>
      </c>
      <c r="CI78" s="136">
        <f t="shared" ca="1" si="207"/>
        <v>256857.9119624786</v>
      </c>
      <c r="CJ78" s="136">
        <f t="shared" ca="1" si="207"/>
        <v>184327.12636069866</v>
      </c>
      <c r="CK78" s="136">
        <f t="shared" ca="1" si="207"/>
        <v>230615.70664995746</v>
      </c>
      <c r="CL78" s="136">
        <f t="shared" ca="1" si="207"/>
        <v>314835.06059641473</v>
      </c>
      <c r="CM78" s="136">
        <f t="shared" ca="1" si="207"/>
        <v>267091.91898776789</v>
      </c>
      <c r="CN78" s="136">
        <f t="shared" ca="1" si="207"/>
        <v>188709.02758838091</v>
      </c>
      <c r="CO78" s="136">
        <f t="shared" ca="1" si="207"/>
        <v>240672.75455501606</v>
      </c>
    </row>
    <row r="79" spans="1:93" s="133" customFormat="1" ht="14">
      <c r="A79" s="10"/>
      <c r="B79" s="11"/>
      <c r="C79" s="10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s="10" customFormat="1" ht="14">
      <c r="C80" s="139" t="s">
        <v>89</v>
      </c>
      <c r="G80" s="11"/>
    </row>
    <row r="81" spans="1:93" s="133" customFormat="1" thickBot="1">
      <c r="A81" s="10"/>
      <c r="B81" s="11"/>
      <c r="C81" s="17" t="s">
        <v>538</v>
      </c>
      <c r="D81" s="10"/>
      <c r="E81" s="10"/>
      <c r="F81" s="10"/>
      <c r="G81" s="134" t="str">
        <f>Monetary_Unit</f>
        <v>тыс. руб.</v>
      </c>
      <c r="H81" s="10"/>
      <c r="I81" s="23">
        <f ca="1">SUM(L81:CQ81)</f>
        <v>-4808399.504779838</v>
      </c>
      <c r="J81" s="10"/>
      <c r="K81" s="10"/>
      <c r="L81" s="52">
        <f t="shared" ref="L81:BW81" ca="1" si="208">-CAPEX</f>
        <v>-26171.794482739097</v>
      </c>
      <c r="M81" s="52">
        <f t="shared" ca="1" si="208"/>
        <v>-26543.300158756276</v>
      </c>
      <c r="N81" s="52">
        <f t="shared" ca="1" si="208"/>
        <v>-26920.079316016938</v>
      </c>
      <c r="O81" s="52">
        <f t="shared" ca="1" si="208"/>
        <v>-27302.20681099359</v>
      </c>
      <c r="P81" s="52">
        <f t="shared" ca="1" si="208"/>
        <v>-229659.55483999598</v>
      </c>
      <c r="Q81" s="52">
        <f t="shared" ca="1" si="208"/>
        <v>-231922.48380168967</v>
      </c>
      <c r="R81" s="52">
        <f t="shared" ca="1" si="208"/>
        <v>-234207.71032243437</v>
      </c>
      <c r="S81" s="52">
        <f t="shared" ca="1" si="208"/>
        <v>-236515.4541091444</v>
      </c>
      <c r="T81" s="52">
        <f t="shared" ca="1" si="208"/>
        <v>-238845.93703359578</v>
      </c>
      <c r="U81" s="52">
        <f t="shared" ca="1" si="208"/>
        <v>-241199.38315375723</v>
      </c>
      <c r="V81" s="52">
        <f t="shared" ca="1" si="208"/>
        <v>-243576.01873533166</v>
      </c>
      <c r="W81" s="52">
        <f t="shared" ca="1" si="208"/>
        <v>-245976.07227351013</v>
      </c>
      <c r="X81" s="52">
        <f t="shared" ca="1" si="208"/>
        <v>-518760.33442500973</v>
      </c>
      <c r="Y81" s="52">
        <f t="shared" ca="1" si="208"/>
        <v>-523871.89090157853</v>
      </c>
      <c r="Z81" s="52">
        <f t="shared" ca="1" si="208"/>
        <v>-529033.81362220866</v>
      </c>
      <c r="AA81" s="52">
        <f t="shared" ca="1" si="208"/>
        <v>-534246.59886597958</v>
      </c>
      <c r="AB81" s="52">
        <f t="shared" ca="1" si="208"/>
        <v>-693646.87192709628</v>
      </c>
      <c r="AC81" s="52">
        <f t="shared" ca="1" si="208"/>
        <v>0</v>
      </c>
      <c r="AD81" s="52">
        <f t="shared" ca="1" si="208"/>
        <v>0</v>
      </c>
      <c r="AE81" s="52">
        <f t="shared" ca="1" si="208"/>
        <v>0</v>
      </c>
      <c r="AF81" s="52">
        <f t="shared" ca="1" si="208"/>
        <v>0</v>
      </c>
      <c r="AG81" s="52">
        <f t="shared" ca="1" si="208"/>
        <v>0</v>
      </c>
      <c r="AH81" s="52">
        <f t="shared" ca="1" si="208"/>
        <v>0</v>
      </c>
      <c r="AI81" s="52">
        <f t="shared" ca="1" si="208"/>
        <v>0</v>
      </c>
      <c r="AJ81" s="52">
        <f t="shared" ca="1" si="208"/>
        <v>0</v>
      </c>
      <c r="AK81" s="52">
        <f t="shared" ca="1" si="208"/>
        <v>0</v>
      </c>
      <c r="AL81" s="52">
        <f t="shared" ca="1" si="208"/>
        <v>0</v>
      </c>
      <c r="AM81" s="52">
        <f t="shared" ca="1" si="208"/>
        <v>0</v>
      </c>
      <c r="AN81" s="52">
        <f t="shared" ca="1" si="208"/>
        <v>0</v>
      </c>
      <c r="AO81" s="52">
        <f t="shared" ca="1" si="208"/>
        <v>0</v>
      </c>
      <c r="AP81" s="52">
        <f t="shared" ca="1" si="208"/>
        <v>0</v>
      </c>
      <c r="AQ81" s="52">
        <f t="shared" ca="1" si="208"/>
        <v>0</v>
      </c>
      <c r="AR81" s="52">
        <f t="shared" ca="1" si="208"/>
        <v>0</v>
      </c>
      <c r="AS81" s="52">
        <f t="shared" ca="1" si="208"/>
        <v>0</v>
      </c>
      <c r="AT81" s="52">
        <f t="shared" ca="1" si="208"/>
        <v>0</v>
      </c>
      <c r="AU81" s="52">
        <f t="shared" ca="1" si="208"/>
        <v>0</v>
      </c>
      <c r="AV81" s="52">
        <f t="shared" ca="1" si="208"/>
        <v>0</v>
      </c>
      <c r="AW81" s="52">
        <f t="shared" ca="1" si="208"/>
        <v>0</v>
      </c>
      <c r="AX81" s="52">
        <f t="shared" ca="1" si="208"/>
        <v>0</v>
      </c>
      <c r="AY81" s="52">
        <f t="shared" ca="1" si="208"/>
        <v>0</v>
      </c>
      <c r="AZ81" s="52">
        <f t="shared" ca="1" si="208"/>
        <v>0</v>
      </c>
      <c r="BA81" s="52">
        <f t="shared" ca="1" si="208"/>
        <v>0</v>
      </c>
      <c r="BB81" s="52">
        <f t="shared" ca="1" si="208"/>
        <v>0</v>
      </c>
      <c r="BC81" s="52">
        <f t="shared" ca="1" si="208"/>
        <v>0</v>
      </c>
      <c r="BD81" s="52">
        <f t="shared" ca="1" si="208"/>
        <v>0</v>
      </c>
      <c r="BE81" s="52">
        <f t="shared" ca="1" si="208"/>
        <v>0</v>
      </c>
      <c r="BF81" s="52">
        <f t="shared" ca="1" si="208"/>
        <v>0</v>
      </c>
      <c r="BG81" s="52">
        <f t="shared" ca="1" si="208"/>
        <v>0</v>
      </c>
      <c r="BH81" s="52">
        <f t="shared" ca="1" si="208"/>
        <v>0</v>
      </c>
      <c r="BI81" s="52">
        <f t="shared" ca="1" si="208"/>
        <v>0</v>
      </c>
      <c r="BJ81" s="52">
        <f t="shared" ca="1" si="208"/>
        <v>0</v>
      </c>
      <c r="BK81" s="52">
        <f t="shared" ca="1" si="208"/>
        <v>0</v>
      </c>
      <c r="BL81" s="52">
        <f t="shared" ca="1" si="208"/>
        <v>0</v>
      </c>
      <c r="BM81" s="52">
        <f t="shared" ca="1" si="208"/>
        <v>0</v>
      </c>
      <c r="BN81" s="52">
        <f t="shared" ca="1" si="208"/>
        <v>0</v>
      </c>
      <c r="BO81" s="52">
        <f t="shared" ca="1" si="208"/>
        <v>0</v>
      </c>
      <c r="BP81" s="52">
        <f t="shared" ca="1" si="208"/>
        <v>0</v>
      </c>
      <c r="BQ81" s="52">
        <f t="shared" ca="1" si="208"/>
        <v>0</v>
      </c>
      <c r="BR81" s="52">
        <f t="shared" ca="1" si="208"/>
        <v>0</v>
      </c>
      <c r="BS81" s="52">
        <f t="shared" ca="1" si="208"/>
        <v>0</v>
      </c>
      <c r="BT81" s="52">
        <f t="shared" ca="1" si="208"/>
        <v>0</v>
      </c>
      <c r="BU81" s="52">
        <f t="shared" ca="1" si="208"/>
        <v>0</v>
      </c>
      <c r="BV81" s="52">
        <f t="shared" ca="1" si="208"/>
        <v>0</v>
      </c>
      <c r="BW81" s="52">
        <f t="shared" ca="1" si="208"/>
        <v>0</v>
      </c>
      <c r="BX81" s="52">
        <f t="shared" ref="BX81:CO81" ca="1" si="209">-CAPEX</f>
        <v>0</v>
      </c>
      <c r="BY81" s="52">
        <f t="shared" ca="1" si="209"/>
        <v>0</v>
      </c>
      <c r="BZ81" s="52">
        <f t="shared" ca="1" si="209"/>
        <v>0</v>
      </c>
      <c r="CA81" s="52">
        <f t="shared" ca="1" si="209"/>
        <v>0</v>
      </c>
      <c r="CB81" s="52">
        <f t="shared" ca="1" si="209"/>
        <v>0</v>
      </c>
      <c r="CC81" s="52">
        <f t="shared" ca="1" si="209"/>
        <v>0</v>
      </c>
      <c r="CD81" s="52">
        <f t="shared" ca="1" si="209"/>
        <v>0</v>
      </c>
      <c r="CE81" s="52">
        <f t="shared" ca="1" si="209"/>
        <v>0</v>
      </c>
      <c r="CF81" s="52">
        <f t="shared" ca="1" si="209"/>
        <v>0</v>
      </c>
      <c r="CG81" s="52">
        <f t="shared" ca="1" si="209"/>
        <v>0</v>
      </c>
      <c r="CH81" s="52">
        <f t="shared" ca="1" si="209"/>
        <v>0</v>
      </c>
      <c r="CI81" s="52">
        <f t="shared" ca="1" si="209"/>
        <v>0</v>
      </c>
      <c r="CJ81" s="52">
        <f t="shared" ca="1" si="209"/>
        <v>0</v>
      </c>
      <c r="CK81" s="52">
        <f t="shared" ca="1" si="209"/>
        <v>0</v>
      </c>
      <c r="CL81" s="52">
        <f t="shared" ca="1" si="209"/>
        <v>0</v>
      </c>
      <c r="CM81" s="52">
        <f t="shared" ca="1" si="209"/>
        <v>0</v>
      </c>
      <c r="CN81" s="52">
        <f t="shared" ca="1" si="209"/>
        <v>0</v>
      </c>
      <c r="CO81" s="52">
        <f t="shared" ca="1" si="209"/>
        <v>0</v>
      </c>
    </row>
    <row r="82" spans="1:93" s="133" customFormat="1" thickTop="1">
      <c r="A82" s="10"/>
      <c r="B82" s="11"/>
      <c r="C82" s="49" t="s">
        <v>495</v>
      </c>
      <c r="D82" s="136"/>
      <c r="E82" s="136"/>
      <c r="F82" s="136"/>
      <c r="G82" s="137" t="str">
        <f>Monetary_Unit</f>
        <v>тыс. руб.</v>
      </c>
      <c r="H82" s="136"/>
      <c r="I82" s="23">
        <f ca="1">SUM(L82:CQ82)</f>
        <v>-4808399.504779838</v>
      </c>
      <c r="J82" s="136"/>
      <c r="K82" s="136"/>
      <c r="L82" s="136">
        <f t="shared" ref="L82" ca="1" si="210">SUM(L81:L81)</f>
        <v>-26171.794482739097</v>
      </c>
      <c r="M82" s="136">
        <f t="shared" ref="M82:BX82" ca="1" si="211">SUM(M81:M81)</f>
        <v>-26543.300158756276</v>
      </c>
      <c r="N82" s="136">
        <f t="shared" ca="1" si="211"/>
        <v>-26920.079316016938</v>
      </c>
      <c r="O82" s="136">
        <f t="shared" ca="1" si="211"/>
        <v>-27302.20681099359</v>
      </c>
      <c r="P82" s="136">
        <f t="shared" ca="1" si="211"/>
        <v>-229659.55483999598</v>
      </c>
      <c r="Q82" s="136">
        <f t="shared" ca="1" si="211"/>
        <v>-231922.48380168967</v>
      </c>
      <c r="R82" s="136">
        <f t="shared" ca="1" si="211"/>
        <v>-234207.71032243437</v>
      </c>
      <c r="S82" s="136">
        <f t="shared" ca="1" si="211"/>
        <v>-236515.4541091444</v>
      </c>
      <c r="T82" s="136">
        <f t="shared" ca="1" si="211"/>
        <v>-238845.93703359578</v>
      </c>
      <c r="U82" s="136">
        <f t="shared" ca="1" si="211"/>
        <v>-241199.38315375723</v>
      </c>
      <c r="V82" s="136">
        <f t="shared" ca="1" si="211"/>
        <v>-243576.01873533166</v>
      </c>
      <c r="W82" s="136">
        <f t="shared" ca="1" si="211"/>
        <v>-245976.07227351013</v>
      </c>
      <c r="X82" s="136">
        <f t="shared" ca="1" si="211"/>
        <v>-518760.33442500973</v>
      </c>
      <c r="Y82" s="136">
        <f t="shared" ca="1" si="211"/>
        <v>-523871.89090157853</v>
      </c>
      <c r="Z82" s="136">
        <f t="shared" ca="1" si="211"/>
        <v>-529033.81362220866</v>
      </c>
      <c r="AA82" s="136">
        <f t="shared" ca="1" si="211"/>
        <v>-534246.59886597958</v>
      </c>
      <c r="AB82" s="136">
        <f t="shared" ca="1" si="211"/>
        <v>-693646.87192709628</v>
      </c>
      <c r="AC82" s="136">
        <f t="shared" ca="1" si="211"/>
        <v>0</v>
      </c>
      <c r="AD82" s="136">
        <f t="shared" ca="1" si="211"/>
        <v>0</v>
      </c>
      <c r="AE82" s="136">
        <f t="shared" ca="1" si="211"/>
        <v>0</v>
      </c>
      <c r="AF82" s="136">
        <f t="shared" ca="1" si="211"/>
        <v>0</v>
      </c>
      <c r="AG82" s="136">
        <f t="shared" ca="1" si="211"/>
        <v>0</v>
      </c>
      <c r="AH82" s="136">
        <f t="shared" ca="1" si="211"/>
        <v>0</v>
      </c>
      <c r="AI82" s="136">
        <f t="shared" ca="1" si="211"/>
        <v>0</v>
      </c>
      <c r="AJ82" s="136">
        <f t="shared" ca="1" si="211"/>
        <v>0</v>
      </c>
      <c r="AK82" s="136">
        <f t="shared" ca="1" si="211"/>
        <v>0</v>
      </c>
      <c r="AL82" s="136">
        <f t="shared" ca="1" si="211"/>
        <v>0</v>
      </c>
      <c r="AM82" s="136">
        <f t="shared" ca="1" si="211"/>
        <v>0</v>
      </c>
      <c r="AN82" s="136">
        <f t="shared" ca="1" si="211"/>
        <v>0</v>
      </c>
      <c r="AO82" s="136">
        <f t="shared" ca="1" si="211"/>
        <v>0</v>
      </c>
      <c r="AP82" s="136">
        <f t="shared" ca="1" si="211"/>
        <v>0</v>
      </c>
      <c r="AQ82" s="136">
        <f t="shared" ca="1" si="211"/>
        <v>0</v>
      </c>
      <c r="AR82" s="136">
        <f t="shared" ca="1" si="211"/>
        <v>0</v>
      </c>
      <c r="AS82" s="136">
        <f t="shared" ca="1" si="211"/>
        <v>0</v>
      </c>
      <c r="AT82" s="136">
        <f t="shared" ca="1" si="211"/>
        <v>0</v>
      </c>
      <c r="AU82" s="136">
        <f t="shared" ca="1" si="211"/>
        <v>0</v>
      </c>
      <c r="AV82" s="136">
        <f t="shared" ca="1" si="211"/>
        <v>0</v>
      </c>
      <c r="AW82" s="136">
        <f t="shared" ca="1" si="211"/>
        <v>0</v>
      </c>
      <c r="AX82" s="136">
        <f t="shared" ca="1" si="211"/>
        <v>0</v>
      </c>
      <c r="AY82" s="136">
        <f t="shared" ca="1" si="211"/>
        <v>0</v>
      </c>
      <c r="AZ82" s="136">
        <f t="shared" ca="1" si="211"/>
        <v>0</v>
      </c>
      <c r="BA82" s="136">
        <f t="shared" ca="1" si="211"/>
        <v>0</v>
      </c>
      <c r="BB82" s="136">
        <f t="shared" ca="1" si="211"/>
        <v>0</v>
      </c>
      <c r="BC82" s="136">
        <f t="shared" ca="1" si="211"/>
        <v>0</v>
      </c>
      <c r="BD82" s="136">
        <f t="shared" ca="1" si="211"/>
        <v>0</v>
      </c>
      <c r="BE82" s="136">
        <f t="shared" ca="1" si="211"/>
        <v>0</v>
      </c>
      <c r="BF82" s="136">
        <f t="shared" ca="1" si="211"/>
        <v>0</v>
      </c>
      <c r="BG82" s="136">
        <f t="shared" ca="1" si="211"/>
        <v>0</v>
      </c>
      <c r="BH82" s="136">
        <f t="shared" ca="1" si="211"/>
        <v>0</v>
      </c>
      <c r="BI82" s="136">
        <f t="shared" ca="1" si="211"/>
        <v>0</v>
      </c>
      <c r="BJ82" s="136">
        <f t="shared" ca="1" si="211"/>
        <v>0</v>
      </c>
      <c r="BK82" s="136">
        <f t="shared" ca="1" si="211"/>
        <v>0</v>
      </c>
      <c r="BL82" s="136">
        <f t="shared" ca="1" si="211"/>
        <v>0</v>
      </c>
      <c r="BM82" s="136">
        <f t="shared" ca="1" si="211"/>
        <v>0</v>
      </c>
      <c r="BN82" s="136">
        <f t="shared" ca="1" si="211"/>
        <v>0</v>
      </c>
      <c r="BO82" s="136">
        <f t="shared" ca="1" si="211"/>
        <v>0</v>
      </c>
      <c r="BP82" s="136">
        <f t="shared" ca="1" si="211"/>
        <v>0</v>
      </c>
      <c r="BQ82" s="136">
        <f t="shared" ca="1" si="211"/>
        <v>0</v>
      </c>
      <c r="BR82" s="136">
        <f t="shared" ca="1" si="211"/>
        <v>0</v>
      </c>
      <c r="BS82" s="136">
        <f t="shared" ca="1" si="211"/>
        <v>0</v>
      </c>
      <c r="BT82" s="136">
        <f t="shared" ca="1" si="211"/>
        <v>0</v>
      </c>
      <c r="BU82" s="136">
        <f t="shared" ca="1" si="211"/>
        <v>0</v>
      </c>
      <c r="BV82" s="136">
        <f t="shared" ca="1" si="211"/>
        <v>0</v>
      </c>
      <c r="BW82" s="136">
        <f t="shared" ca="1" si="211"/>
        <v>0</v>
      </c>
      <c r="BX82" s="136">
        <f t="shared" ca="1" si="211"/>
        <v>0</v>
      </c>
      <c r="BY82" s="136">
        <f t="shared" ref="BY82:CO82" ca="1" si="212">SUM(BY81:BY81)</f>
        <v>0</v>
      </c>
      <c r="BZ82" s="136">
        <f t="shared" ca="1" si="212"/>
        <v>0</v>
      </c>
      <c r="CA82" s="136">
        <f t="shared" ca="1" si="212"/>
        <v>0</v>
      </c>
      <c r="CB82" s="136">
        <f t="shared" ca="1" si="212"/>
        <v>0</v>
      </c>
      <c r="CC82" s="136">
        <f t="shared" ca="1" si="212"/>
        <v>0</v>
      </c>
      <c r="CD82" s="136">
        <f t="shared" ca="1" si="212"/>
        <v>0</v>
      </c>
      <c r="CE82" s="136">
        <f t="shared" ca="1" si="212"/>
        <v>0</v>
      </c>
      <c r="CF82" s="136">
        <f t="shared" ca="1" si="212"/>
        <v>0</v>
      </c>
      <c r="CG82" s="136">
        <f t="shared" ca="1" si="212"/>
        <v>0</v>
      </c>
      <c r="CH82" s="136">
        <f t="shared" ca="1" si="212"/>
        <v>0</v>
      </c>
      <c r="CI82" s="136">
        <f t="shared" ca="1" si="212"/>
        <v>0</v>
      </c>
      <c r="CJ82" s="136">
        <f t="shared" ca="1" si="212"/>
        <v>0</v>
      </c>
      <c r="CK82" s="136">
        <f t="shared" ca="1" si="212"/>
        <v>0</v>
      </c>
      <c r="CL82" s="136">
        <f t="shared" ca="1" si="212"/>
        <v>0</v>
      </c>
      <c r="CM82" s="136">
        <f t="shared" ca="1" si="212"/>
        <v>0</v>
      </c>
      <c r="CN82" s="136">
        <f t="shared" ca="1" si="212"/>
        <v>0</v>
      </c>
      <c r="CO82" s="136">
        <f t="shared" ca="1" si="212"/>
        <v>0</v>
      </c>
    </row>
    <row r="83" spans="1:93" s="10" customFormat="1" ht="12.5">
      <c r="G83" s="11"/>
    </row>
    <row r="84" spans="1:93" s="133" customFormat="1" ht="14">
      <c r="A84" s="10"/>
      <c r="B84" s="11"/>
      <c r="C84" s="139" t="s">
        <v>90</v>
      </c>
      <c r="D84" s="10"/>
      <c r="E84" s="10"/>
      <c r="F84" s="10"/>
      <c r="G84" s="11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s="133" customFormat="1" ht="14">
      <c r="A85" s="10"/>
      <c r="B85" s="11"/>
      <c r="C85" s="17" t="s">
        <v>91</v>
      </c>
      <c r="D85" s="10"/>
      <c r="E85" s="10"/>
      <c r="F85" s="10"/>
      <c r="G85" s="134" t="str">
        <f t="shared" ref="G85:G91" si="213">Monetary_Unit</f>
        <v>тыс. руб.</v>
      </c>
      <c r="H85" s="10"/>
      <c r="I85" s="23">
        <f t="shared" ref="I85:I91" si="214">SUM(L85:CQ85)</f>
        <v>1409395.9556502979</v>
      </c>
      <c r="J85" s="10"/>
      <c r="K85" s="10"/>
      <c r="L85" s="52">
        <f t="shared" ref="L85:BW85" si="215">Equity_Drawdown</f>
        <v>31406.153379286916</v>
      </c>
      <c r="M85" s="52">
        <f t="shared" si="215"/>
        <v>31851.960190507532</v>
      </c>
      <c r="N85" s="52">
        <f t="shared" si="215"/>
        <v>32304.095179220327</v>
      </c>
      <c r="O85" s="52">
        <f t="shared" si="215"/>
        <v>32762.648173192309</v>
      </c>
      <c r="P85" s="52">
        <f t="shared" si="215"/>
        <v>275591.46580799518</v>
      </c>
      <c r="Q85" s="52">
        <f t="shared" si="215"/>
        <v>278306.9805620276</v>
      </c>
      <c r="R85" s="52">
        <f t="shared" si="215"/>
        <v>281049.25238692126</v>
      </c>
      <c r="S85" s="52">
        <f t="shared" si="215"/>
        <v>191482.31721048584</v>
      </c>
      <c r="T85" s="52">
        <f t="shared" si="215"/>
        <v>6580.6543476469105</v>
      </c>
      <c r="U85" s="52">
        <f t="shared" si="215"/>
        <v>10424.828632825871</v>
      </c>
      <c r="V85" s="52">
        <f t="shared" si="215"/>
        <v>14389.449341359013</v>
      </c>
      <c r="W85" s="52">
        <f t="shared" si="215"/>
        <v>18277.447721111192</v>
      </c>
      <c r="X85" s="52">
        <f t="shared" si="215"/>
        <v>24140.856838778414</v>
      </c>
      <c r="Y85" s="52">
        <f t="shared" si="215"/>
        <v>32309.00587388641</v>
      </c>
      <c r="Z85" s="52">
        <f t="shared" si="215"/>
        <v>41003.327342873301</v>
      </c>
      <c r="AA85" s="52">
        <f t="shared" si="215"/>
        <v>49424.775082291708</v>
      </c>
      <c r="AB85" s="52">
        <f t="shared" si="215"/>
        <v>58090.737579888082</v>
      </c>
      <c r="AC85" s="52">
        <f t="shared" si="215"/>
        <v>0</v>
      </c>
      <c r="AD85" s="52">
        <f t="shared" si="215"/>
        <v>0</v>
      </c>
      <c r="AE85" s="52">
        <f t="shared" si="215"/>
        <v>0</v>
      </c>
      <c r="AF85" s="52">
        <f t="shared" si="215"/>
        <v>0</v>
      </c>
      <c r="AG85" s="52">
        <f t="shared" si="215"/>
        <v>0</v>
      </c>
      <c r="AH85" s="52">
        <f t="shared" si="215"/>
        <v>0</v>
      </c>
      <c r="AI85" s="52">
        <f t="shared" si="215"/>
        <v>0</v>
      </c>
      <c r="AJ85" s="52">
        <f t="shared" si="215"/>
        <v>0</v>
      </c>
      <c r="AK85" s="52">
        <f t="shared" si="215"/>
        <v>0</v>
      </c>
      <c r="AL85" s="52">
        <f t="shared" si="215"/>
        <v>0</v>
      </c>
      <c r="AM85" s="52">
        <f t="shared" si="215"/>
        <v>0</v>
      </c>
      <c r="AN85" s="52">
        <f t="shared" si="215"/>
        <v>0</v>
      </c>
      <c r="AO85" s="52">
        <f t="shared" si="215"/>
        <v>0</v>
      </c>
      <c r="AP85" s="52">
        <f t="shared" si="215"/>
        <v>0</v>
      </c>
      <c r="AQ85" s="52">
        <f t="shared" si="215"/>
        <v>0</v>
      </c>
      <c r="AR85" s="52">
        <f t="shared" si="215"/>
        <v>0</v>
      </c>
      <c r="AS85" s="52">
        <f t="shared" si="215"/>
        <v>0</v>
      </c>
      <c r="AT85" s="52">
        <f t="shared" si="215"/>
        <v>0</v>
      </c>
      <c r="AU85" s="52">
        <f t="shared" si="215"/>
        <v>0</v>
      </c>
      <c r="AV85" s="52">
        <f t="shared" si="215"/>
        <v>0</v>
      </c>
      <c r="AW85" s="52">
        <f t="shared" si="215"/>
        <v>0</v>
      </c>
      <c r="AX85" s="52">
        <f t="shared" si="215"/>
        <v>0</v>
      </c>
      <c r="AY85" s="52">
        <f t="shared" si="215"/>
        <v>0</v>
      </c>
      <c r="AZ85" s="52">
        <f t="shared" si="215"/>
        <v>0</v>
      </c>
      <c r="BA85" s="52">
        <f t="shared" si="215"/>
        <v>0</v>
      </c>
      <c r="BB85" s="52">
        <f t="shared" si="215"/>
        <v>0</v>
      </c>
      <c r="BC85" s="52">
        <f t="shared" si="215"/>
        <v>0</v>
      </c>
      <c r="BD85" s="52">
        <f t="shared" si="215"/>
        <v>0</v>
      </c>
      <c r="BE85" s="52">
        <f t="shared" si="215"/>
        <v>0</v>
      </c>
      <c r="BF85" s="52">
        <f t="shared" si="215"/>
        <v>0</v>
      </c>
      <c r="BG85" s="52">
        <f t="shared" si="215"/>
        <v>0</v>
      </c>
      <c r="BH85" s="52">
        <f t="shared" si="215"/>
        <v>0</v>
      </c>
      <c r="BI85" s="52">
        <f t="shared" si="215"/>
        <v>0</v>
      </c>
      <c r="BJ85" s="52">
        <f t="shared" si="215"/>
        <v>0</v>
      </c>
      <c r="BK85" s="52">
        <f t="shared" si="215"/>
        <v>0</v>
      </c>
      <c r="BL85" s="52">
        <f t="shared" si="215"/>
        <v>0</v>
      </c>
      <c r="BM85" s="52">
        <f t="shared" si="215"/>
        <v>0</v>
      </c>
      <c r="BN85" s="52">
        <f t="shared" si="215"/>
        <v>0</v>
      </c>
      <c r="BO85" s="52">
        <f t="shared" si="215"/>
        <v>0</v>
      </c>
      <c r="BP85" s="52">
        <f t="shared" si="215"/>
        <v>0</v>
      </c>
      <c r="BQ85" s="52">
        <f t="shared" si="215"/>
        <v>0</v>
      </c>
      <c r="BR85" s="52">
        <f t="shared" si="215"/>
        <v>0</v>
      </c>
      <c r="BS85" s="52">
        <f t="shared" si="215"/>
        <v>0</v>
      </c>
      <c r="BT85" s="52">
        <f t="shared" si="215"/>
        <v>0</v>
      </c>
      <c r="BU85" s="52">
        <f t="shared" si="215"/>
        <v>0</v>
      </c>
      <c r="BV85" s="52">
        <f t="shared" si="215"/>
        <v>0</v>
      </c>
      <c r="BW85" s="52">
        <f t="shared" si="215"/>
        <v>0</v>
      </c>
      <c r="BX85" s="52">
        <f t="shared" ref="BX85:CO85" si="216">Equity_Drawdown</f>
        <v>0</v>
      </c>
      <c r="BY85" s="52">
        <f t="shared" si="216"/>
        <v>0</v>
      </c>
      <c r="BZ85" s="52">
        <f t="shared" si="216"/>
        <v>0</v>
      </c>
      <c r="CA85" s="52">
        <f t="shared" si="216"/>
        <v>0</v>
      </c>
      <c r="CB85" s="52">
        <f t="shared" si="216"/>
        <v>0</v>
      </c>
      <c r="CC85" s="52">
        <f t="shared" si="216"/>
        <v>0</v>
      </c>
      <c r="CD85" s="52">
        <f t="shared" si="216"/>
        <v>0</v>
      </c>
      <c r="CE85" s="52">
        <f t="shared" si="216"/>
        <v>0</v>
      </c>
      <c r="CF85" s="52">
        <f t="shared" si="216"/>
        <v>0</v>
      </c>
      <c r="CG85" s="52">
        <f t="shared" si="216"/>
        <v>0</v>
      </c>
      <c r="CH85" s="52">
        <f t="shared" si="216"/>
        <v>0</v>
      </c>
      <c r="CI85" s="52">
        <f t="shared" si="216"/>
        <v>0</v>
      </c>
      <c r="CJ85" s="52">
        <f t="shared" si="216"/>
        <v>0</v>
      </c>
      <c r="CK85" s="52">
        <f t="shared" si="216"/>
        <v>0</v>
      </c>
      <c r="CL85" s="52">
        <f t="shared" si="216"/>
        <v>0</v>
      </c>
      <c r="CM85" s="52">
        <f t="shared" si="216"/>
        <v>0</v>
      </c>
      <c r="CN85" s="52">
        <f t="shared" si="216"/>
        <v>0</v>
      </c>
      <c r="CO85" s="52">
        <f t="shared" si="216"/>
        <v>0</v>
      </c>
    </row>
    <row r="86" spans="1:93" s="133" customFormat="1" ht="14">
      <c r="A86" s="10"/>
      <c r="B86" s="11"/>
      <c r="C86" s="17" t="s">
        <v>545</v>
      </c>
      <c r="D86" s="10"/>
      <c r="E86" s="10"/>
      <c r="F86" s="10"/>
      <c r="G86" s="134" t="str">
        <f t="shared" si="213"/>
        <v>тыс. руб.</v>
      </c>
      <c r="H86" s="10"/>
      <c r="I86" s="23">
        <f t="shared" ca="1" si="214"/>
        <v>80081.617035734249</v>
      </c>
      <c r="J86" s="10"/>
      <c r="K86" s="10"/>
      <c r="L86" s="52">
        <f t="shared" ref="L86:BW86" ca="1" si="217">Subord_Drawdown</f>
        <v>0</v>
      </c>
      <c r="M86" s="52">
        <f t="shared" ca="1" si="217"/>
        <v>0</v>
      </c>
      <c r="N86" s="52">
        <f t="shared" ca="1" si="217"/>
        <v>0</v>
      </c>
      <c r="O86" s="52">
        <f t="shared" ca="1" si="217"/>
        <v>0</v>
      </c>
      <c r="P86" s="52">
        <f t="shared" ca="1" si="217"/>
        <v>0</v>
      </c>
      <c r="Q86" s="52">
        <f t="shared" ca="1" si="217"/>
        <v>0</v>
      </c>
      <c r="R86" s="52">
        <f t="shared" ca="1" si="217"/>
        <v>0</v>
      </c>
      <c r="S86" s="52">
        <f t="shared" ca="1" si="217"/>
        <v>0</v>
      </c>
      <c r="T86" s="52">
        <f t="shared" ca="1" si="217"/>
        <v>0</v>
      </c>
      <c r="U86" s="52">
        <f t="shared" ca="1" si="217"/>
        <v>0</v>
      </c>
      <c r="V86" s="52">
        <f t="shared" ca="1" si="217"/>
        <v>0</v>
      </c>
      <c r="W86" s="52">
        <f t="shared" ca="1" si="217"/>
        <v>0</v>
      </c>
      <c r="X86" s="52">
        <f t="shared" ca="1" si="217"/>
        <v>0</v>
      </c>
      <c r="Y86" s="52">
        <f t="shared" ca="1" si="217"/>
        <v>0</v>
      </c>
      <c r="Z86" s="52">
        <f t="shared" ca="1" si="217"/>
        <v>0</v>
      </c>
      <c r="AA86" s="52">
        <f t="shared" ca="1" si="217"/>
        <v>0</v>
      </c>
      <c r="AB86" s="52">
        <f t="shared" ca="1" si="217"/>
        <v>0</v>
      </c>
      <c r="AC86" s="52">
        <f t="shared" ca="1" si="217"/>
        <v>0</v>
      </c>
      <c r="AD86" s="52">
        <f t="shared" ca="1" si="217"/>
        <v>0</v>
      </c>
      <c r="AE86" s="52">
        <f t="shared" ca="1" si="217"/>
        <v>0</v>
      </c>
      <c r="AF86" s="52">
        <f t="shared" ca="1" si="217"/>
        <v>0</v>
      </c>
      <c r="AG86" s="52">
        <f t="shared" ca="1" si="217"/>
        <v>0</v>
      </c>
      <c r="AH86" s="52">
        <f t="shared" ca="1" si="217"/>
        <v>0</v>
      </c>
      <c r="AI86" s="52">
        <f t="shared" ca="1" si="217"/>
        <v>0</v>
      </c>
      <c r="AJ86" s="52">
        <f t="shared" ca="1" si="217"/>
        <v>0</v>
      </c>
      <c r="AK86" s="52">
        <f t="shared" ca="1" si="217"/>
        <v>0</v>
      </c>
      <c r="AL86" s="52">
        <f t="shared" ca="1" si="217"/>
        <v>0</v>
      </c>
      <c r="AM86" s="52">
        <f t="shared" ca="1" si="217"/>
        <v>0</v>
      </c>
      <c r="AN86" s="52">
        <f t="shared" ca="1" si="217"/>
        <v>0</v>
      </c>
      <c r="AO86" s="52">
        <f t="shared" ca="1" si="217"/>
        <v>0</v>
      </c>
      <c r="AP86" s="52">
        <f t="shared" ca="1" si="217"/>
        <v>0</v>
      </c>
      <c r="AQ86" s="52">
        <f t="shared" ca="1" si="217"/>
        <v>0</v>
      </c>
      <c r="AR86" s="52">
        <f t="shared" ca="1" si="217"/>
        <v>0</v>
      </c>
      <c r="AS86" s="52">
        <f t="shared" ca="1" si="217"/>
        <v>0</v>
      </c>
      <c r="AT86" s="52">
        <f t="shared" ca="1" si="217"/>
        <v>0</v>
      </c>
      <c r="AU86" s="52">
        <f t="shared" ca="1" si="217"/>
        <v>0</v>
      </c>
      <c r="AV86" s="52">
        <f t="shared" ca="1" si="217"/>
        <v>0</v>
      </c>
      <c r="AW86" s="52">
        <f t="shared" ca="1" si="217"/>
        <v>0</v>
      </c>
      <c r="AX86" s="52">
        <f t="shared" ca="1" si="217"/>
        <v>0</v>
      </c>
      <c r="AY86" s="52">
        <f t="shared" ca="1" si="217"/>
        <v>0</v>
      </c>
      <c r="AZ86" s="52">
        <f t="shared" ca="1" si="217"/>
        <v>42890.270483924673</v>
      </c>
      <c r="BA86" s="52">
        <f t="shared" ca="1" si="217"/>
        <v>1307.0405516153842</v>
      </c>
      <c r="BB86" s="52">
        <f t="shared" ca="1" si="217"/>
        <v>0</v>
      </c>
      <c r="BC86" s="52">
        <f t="shared" ca="1" si="217"/>
        <v>0</v>
      </c>
      <c r="BD86" s="52">
        <f t="shared" ca="1" si="217"/>
        <v>35884.306000194192</v>
      </c>
      <c r="BE86" s="52">
        <f t="shared" ca="1" si="217"/>
        <v>0</v>
      </c>
      <c r="BF86" s="52">
        <f t="shared" ca="1" si="217"/>
        <v>0</v>
      </c>
      <c r="BG86" s="52">
        <f t="shared" ca="1" si="217"/>
        <v>0</v>
      </c>
      <c r="BH86" s="52">
        <f t="shared" ca="1" si="217"/>
        <v>0</v>
      </c>
      <c r="BI86" s="52">
        <f t="shared" ca="1" si="217"/>
        <v>0</v>
      </c>
      <c r="BJ86" s="52">
        <f t="shared" ca="1" si="217"/>
        <v>0</v>
      </c>
      <c r="BK86" s="52">
        <f t="shared" ca="1" si="217"/>
        <v>0</v>
      </c>
      <c r="BL86" s="52">
        <f t="shared" ca="1" si="217"/>
        <v>0</v>
      </c>
      <c r="BM86" s="52">
        <f t="shared" ca="1" si="217"/>
        <v>0</v>
      </c>
      <c r="BN86" s="52">
        <f t="shared" ca="1" si="217"/>
        <v>0</v>
      </c>
      <c r="BO86" s="52">
        <f t="shared" ca="1" si="217"/>
        <v>0</v>
      </c>
      <c r="BP86" s="52">
        <f t="shared" ca="1" si="217"/>
        <v>0</v>
      </c>
      <c r="BQ86" s="52">
        <f t="shared" ca="1" si="217"/>
        <v>0</v>
      </c>
      <c r="BR86" s="52">
        <f t="shared" ca="1" si="217"/>
        <v>0</v>
      </c>
      <c r="BS86" s="52">
        <f t="shared" ca="1" si="217"/>
        <v>0</v>
      </c>
      <c r="BT86" s="52">
        <f t="shared" ca="1" si="217"/>
        <v>0</v>
      </c>
      <c r="BU86" s="52">
        <f t="shared" ca="1" si="217"/>
        <v>0</v>
      </c>
      <c r="BV86" s="52">
        <f t="shared" ca="1" si="217"/>
        <v>0</v>
      </c>
      <c r="BW86" s="52">
        <f t="shared" ca="1" si="217"/>
        <v>0</v>
      </c>
      <c r="BX86" s="52">
        <f t="shared" ref="BX86:CO86" ca="1" si="218">Subord_Drawdown</f>
        <v>0</v>
      </c>
      <c r="BY86" s="52">
        <f t="shared" ca="1" si="218"/>
        <v>0</v>
      </c>
      <c r="BZ86" s="52">
        <f t="shared" ca="1" si="218"/>
        <v>0</v>
      </c>
      <c r="CA86" s="52">
        <f t="shared" ca="1" si="218"/>
        <v>0</v>
      </c>
      <c r="CB86" s="52">
        <f t="shared" ca="1" si="218"/>
        <v>0</v>
      </c>
      <c r="CC86" s="52">
        <f t="shared" ca="1" si="218"/>
        <v>0</v>
      </c>
      <c r="CD86" s="52">
        <f t="shared" ca="1" si="218"/>
        <v>0</v>
      </c>
      <c r="CE86" s="52">
        <f t="shared" ca="1" si="218"/>
        <v>0</v>
      </c>
      <c r="CF86" s="52">
        <f t="shared" ca="1" si="218"/>
        <v>0</v>
      </c>
      <c r="CG86" s="52">
        <f t="shared" ca="1" si="218"/>
        <v>0</v>
      </c>
      <c r="CH86" s="52">
        <f t="shared" ca="1" si="218"/>
        <v>0</v>
      </c>
      <c r="CI86" s="52">
        <f t="shared" ca="1" si="218"/>
        <v>0</v>
      </c>
      <c r="CJ86" s="52">
        <f t="shared" ca="1" si="218"/>
        <v>0</v>
      </c>
      <c r="CK86" s="52">
        <f t="shared" ca="1" si="218"/>
        <v>0</v>
      </c>
      <c r="CL86" s="52">
        <f t="shared" ca="1" si="218"/>
        <v>0</v>
      </c>
      <c r="CM86" s="52">
        <f t="shared" ca="1" si="218"/>
        <v>0</v>
      </c>
      <c r="CN86" s="52">
        <f t="shared" ca="1" si="218"/>
        <v>0</v>
      </c>
      <c r="CO86" s="52">
        <f t="shared" ca="1" si="218"/>
        <v>0</v>
      </c>
    </row>
    <row r="87" spans="1:93" s="133" customFormat="1" ht="14">
      <c r="A87" s="10"/>
      <c r="B87" s="11"/>
      <c r="C87" s="17" t="s">
        <v>541</v>
      </c>
      <c r="D87" s="10"/>
      <c r="E87" s="10"/>
      <c r="F87" s="10"/>
      <c r="G87" s="134" t="str">
        <f t="shared" si="213"/>
        <v>тыс. руб.</v>
      </c>
      <c r="H87" s="10"/>
      <c r="I87" s="23">
        <f t="shared" si="214"/>
        <v>4616063.5245886445</v>
      </c>
      <c r="J87" s="10"/>
      <c r="K87" s="10"/>
      <c r="L87" s="52">
        <f t="shared" ref="L87:BW87" si="219">Debt_Drawdown</f>
        <v>0</v>
      </c>
      <c r="M87" s="52">
        <f t="shared" si="219"/>
        <v>0</v>
      </c>
      <c r="N87" s="52">
        <f t="shared" si="219"/>
        <v>0</v>
      </c>
      <c r="O87" s="52">
        <f t="shared" si="219"/>
        <v>0</v>
      </c>
      <c r="P87" s="52">
        <f t="shared" si="219"/>
        <v>0</v>
      </c>
      <c r="Q87" s="52">
        <f t="shared" si="219"/>
        <v>0</v>
      </c>
      <c r="R87" s="52">
        <f t="shared" si="219"/>
        <v>0</v>
      </c>
      <c r="S87" s="52">
        <f t="shared" si="219"/>
        <v>93075.219462963287</v>
      </c>
      <c r="T87" s="52">
        <f t="shared" si="219"/>
        <v>286615.12444031495</v>
      </c>
      <c r="U87" s="52">
        <f t="shared" si="219"/>
        <v>289439.25978450867</v>
      </c>
      <c r="V87" s="52">
        <f t="shared" si="219"/>
        <v>292291.22248239798</v>
      </c>
      <c r="W87" s="52">
        <f t="shared" si="219"/>
        <v>295171.2867282122</v>
      </c>
      <c r="X87" s="52">
        <f t="shared" si="219"/>
        <v>622512.40131001174</v>
      </c>
      <c r="Y87" s="52">
        <f t="shared" si="219"/>
        <v>628646.26908189419</v>
      </c>
      <c r="Z87" s="52">
        <f t="shared" si="219"/>
        <v>634840.57634665037</v>
      </c>
      <c r="AA87" s="52">
        <f t="shared" si="219"/>
        <v>641095.91863917548</v>
      </c>
      <c r="AB87" s="52">
        <f t="shared" si="219"/>
        <v>832376.24631251558</v>
      </c>
      <c r="AC87" s="52">
        <f t="shared" si="219"/>
        <v>0</v>
      </c>
      <c r="AD87" s="52">
        <f t="shared" si="219"/>
        <v>0</v>
      </c>
      <c r="AE87" s="52">
        <f t="shared" si="219"/>
        <v>0</v>
      </c>
      <c r="AF87" s="52">
        <f t="shared" si="219"/>
        <v>0</v>
      </c>
      <c r="AG87" s="52">
        <f t="shared" si="219"/>
        <v>0</v>
      </c>
      <c r="AH87" s="52">
        <f t="shared" si="219"/>
        <v>0</v>
      </c>
      <c r="AI87" s="52">
        <f t="shared" si="219"/>
        <v>0</v>
      </c>
      <c r="AJ87" s="52">
        <f t="shared" si="219"/>
        <v>0</v>
      </c>
      <c r="AK87" s="52">
        <f t="shared" si="219"/>
        <v>0</v>
      </c>
      <c r="AL87" s="52">
        <f t="shared" si="219"/>
        <v>0</v>
      </c>
      <c r="AM87" s="52">
        <f t="shared" si="219"/>
        <v>0</v>
      </c>
      <c r="AN87" s="52">
        <f t="shared" si="219"/>
        <v>0</v>
      </c>
      <c r="AO87" s="52">
        <f t="shared" si="219"/>
        <v>0</v>
      </c>
      <c r="AP87" s="52">
        <f t="shared" si="219"/>
        <v>0</v>
      </c>
      <c r="AQ87" s="52">
        <f t="shared" si="219"/>
        <v>0</v>
      </c>
      <c r="AR87" s="52">
        <f t="shared" si="219"/>
        <v>0</v>
      </c>
      <c r="AS87" s="52">
        <f t="shared" si="219"/>
        <v>0</v>
      </c>
      <c r="AT87" s="52">
        <f t="shared" si="219"/>
        <v>0</v>
      </c>
      <c r="AU87" s="52">
        <f t="shared" si="219"/>
        <v>0</v>
      </c>
      <c r="AV87" s="52">
        <f t="shared" si="219"/>
        <v>0</v>
      </c>
      <c r="AW87" s="52">
        <f t="shared" si="219"/>
        <v>0</v>
      </c>
      <c r="AX87" s="52">
        <f t="shared" si="219"/>
        <v>0</v>
      </c>
      <c r="AY87" s="52">
        <f t="shared" si="219"/>
        <v>0</v>
      </c>
      <c r="AZ87" s="52">
        <f t="shared" si="219"/>
        <v>0</v>
      </c>
      <c r="BA87" s="52">
        <f t="shared" si="219"/>
        <v>0</v>
      </c>
      <c r="BB87" s="52">
        <f t="shared" si="219"/>
        <v>0</v>
      </c>
      <c r="BC87" s="52">
        <f t="shared" si="219"/>
        <v>0</v>
      </c>
      <c r="BD87" s="52">
        <f t="shared" si="219"/>
        <v>0</v>
      </c>
      <c r="BE87" s="52">
        <f t="shared" si="219"/>
        <v>0</v>
      </c>
      <c r="BF87" s="52">
        <f t="shared" si="219"/>
        <v>0</v>
      </c>
      <c r="BG87" s="52">
        <f t="shared" si="219"/>
        <v>0</v>
      </c>
      <c r="BH87" s="52">
        <f t="shared" si="219"/>
        <v>0</v>
      </c>
      <c r="BI87" s="52">
        <f t="shared" si="219"/>
        <v>0</v>
      </c>
      <c r="BJ87" s="52">
        <f t="shared" si="219"/>
        <v>0</v>
      </c>
      <c r="BK87" s="52">
        <f t="shared" si="219"/>
        <v>0</v>
      </c>
      <c r="BL87" s="52">
        <f t="shared" si="219"/>
        <v>0</v>
      </c>
      <c r="BM87" s="52">
        <f t="shared" si="219"/>
        <v>0</v>
      </c>
      <c r="BN87" s="52">
        <f t="shared" si="219"/>
        <v>0</v>
      </c>
      <c r="BO87" s="52">
        <f t="shared" si="219"/>
        <v>0</v>
      </c>
      <c r="BP87" s="52">
        <f t="shared" si="219"/>
        <v>0</v>
      </c>
      <c r="BQ87" s="52">
        <f t="shared" si="219"/>
        <v>0</v>
      </c>
      <c r="BR87" s="52">
        <f t="shared" si="219"/>
        <v>0</v>
      </c>
      <c r="BS87" s="52">
        <f t="shared" si="219"/>
        <v>0</v>
      </c>
      <c r="BT87" s="52">
        <f t="shared" si="219"/>
        <v>0</v>
      </c>
      <c r="BU87" s="52">
        <f t="shared" si="219"/>
        <v>0</v>
      </c>
      <c r="BV87" s="52">
        <f t="shared" si="219"/>
        <v>0</v>
      </c>
      <c r="BW87" s="52">
        <f t="shared" si="219"/>
        <v>0</v>
      </c>
      <c r="BX87" s="52">
        <f t="shared" ref="BX87:CO87" si="220">Debt_Drawdown</f>
        <v>0</v>
      </c>
      <c r="BY87" s="52">
        <f t="shared" si="220"/>
        <v>0</v>
      </c>
      <c r="BZ87" s="52">
        <f t="shared" si="220"/>
        <v>0</v>
      </c>
      <c r="CA87" s="52">
        <f t="shared" si="220"/>
        <v>0</v>
      </c>
      <c r="CB87" s="52">
        <f t="shared" si="220"/>
        <v>0</v>
      </c>
      <c r="CC87" s="52">
        <f t="shared" si="220"/>
        <v>0</v>
      </c>
      <c r="CD87" s="52">
        <f t="shared" si="220"/>
        <v>0</v>
      </c>
      <c r="CE87" s="52">
        <f t="shared" si="220"/>
        <v>0</v>
      </c>
      <c r="CF87" s="52">
        <f t="shared" si="220"/>
        <v>0</v>
      </c>
      <c r="CG87" s="52">
        <f t="shared" si="220"/>
        <v>0</v>
      </c>
      <c r="CH87" s="52">
        <f t="shared" si="220"/>
        <v>0</v>
      </c>
      <c r="CI87" s="52">
        <f t="shared" si="220"/>
        <v>0</v>
      </c>
      <c r="CJ87" s="52">
        <f t="shared" si="220"/>
        <v>0</v>
      </c>
      <c r="CK87" s="52">
        <f t="shared" si="220"/>
        <v>0</v>
      </c>
      <c r="CL87" s="52">
        <f t="shared" si="220"/>
        <v>0</v>
      </c>
      <c r="CM87" s="52">
        <f t="shared" si="220"/>
        <v>0</v>
      </c>
      <c r="CN87" s="52">
        <f t="shared" si="220"/>
        <v>0</v>
      </c>
      <c r="CO87" s="52">
        <f t="shared" si="220"/>
        <v>0</v>
      </c>
    </row>
    <row r="88" spans="1:93" s="133" customFormat="1" ht="14">
      <c r="A88" s="10"/>
      <c r="B88" s="11"/>
      <c r="C88" s="17" t="s">
        <v>542</v>
      </c>
      <c r="D88" s="10"/>
      <c r="E88" s="10"/>
      <c r="F88" s="10"/>
      <c r="G88" s="134" t="str">
        <f t="shared" si="213"/>
        <v>тыс. руб.</v>
      </c>
      <c r="H88" s="10"/>
      <c r="I88" s="23">
        <f t="shared" si="214"/>
        <v>-4616063.5245886445</v>
      </c>
      <c r="J88" s="10"/>
      <c r="K88" s="10"/>
      <c r="L88" s="52">
        <f t="shared" ref="L88:BW88" si="221">Debt_Repaiment</f>
        <v>0</v>
      </c>
      <c r="M88" s="52">
        <f t="shared" si="221"/>
        <v>0</v>
      </c>
      <c r="N88" s="52">
        <f t="shared" si="221"/>
        <v>0</v>
      </c>
      <c r="O88" s="52">
        <f t="shared" si="221"/>
        <v>0</v>
      </c>
      <c r="P88" s="52">
        <f t="shared" si="221"/>
        <v>0</v>
      </c>
      <c r="Q88" s="52">
        <f t="shared" si="221"/>
        <v>0</v>
      </c>
      <c r="R88" s="52">
        <f t="shared" si="221"/>
        <v>0</v>
      </c>
      <c r="S88" s="52">
        <f t="shared" si="221"/>
        <v>0</v>
      </c>
      <c r="T88" s="52">
        <f t="shared" si="221"/>
        <v>0</v>
      </c>
      <c r="U88" s="52">
        <f t="shared" si="221"/>
        <v>0</v>
      </c>
      <c r="V88" s="52">
        <f t="shared" si="221"/>
        <v>0</v>
      </c>
      <c r="W88" s="52">
        <f t="shared" si="221"/>
        <v>0</v>
      </c>
      <c r="X88" s="52">
        <f t="shared" si="221"/>
        <v>0</v>
      </c>
      <c r="Y88" s="52">
        <f t="shared" si="221"/>
        <v>0</v>
      </c>
      <c r="Z88" s="52">
        <f t="shared" si="221"/>
        <v>0</v>
      </c>
      <c r="AA88" s="52">
        <f t="shared" si="221"/>
        <v>0</v>
      </c>
      <c r="AB88" s="52">
        <f t="shared" si="221"/>
        <v>0</v>
      </c>
      <c r="AC88" s="52">
        <f t="shared" si="221"/>
        <v>-120257.5745813126</v>
      </c>
      <c r="AD88" s="52">
        <f t="shared" si="221"/>
        <v>-121637.91189024376</v>
      </c>
      <c r="AE88" s="52">
        <f t="shared" si="221"/>
        <v>-123339.51000531408</v>
      </c>
      <c r="AF88" s="52">
        <f t="shared" si="221"/>
        <v>-125606.07819573313</v>
      </c>
      <c r="AG88" s="52">
        <f t="shared" si="221"/>
        <v>-127061.19578037452</v>
      </c>
      <c r="AH88" s="52">
        <f t="shared" si="221"/>
        <v>-128563.12768775418</v>
      </c>
      <c r="AI88" s="52">
        <f t="shared" si="221"/>
        <v>-130361.60300256562</v>
      </c>
      <c r="AJ88" s="52">
        <f t="shared" si="221"/>
        <v>-132668.15530246156</v>
      </c>
      <c r="AK88" s="52">
        <f t="shared" si="221"/>
        <v>-134249.91936226428</v>
      </c>
      <c r="AL88" s="52">
        <f t="shared" si="221"/>
        <v>-135882.06287757197</v>
      </c>
      <c r="AM88" s="52">
        <f t="shared" si="221"/>
        <v>-137782.92317637434</v>
      </c>
      <c r="AN88" s="52">
        <f t="shared" si="221"/>
        <v>-139971.14470821922</v>
      </c>
      <c r="AO88" s="52">
        <f t="shared" si="221"/>
        <v>-141902.63238530574</v>
      </c>
      <c r="AP88" s="52">
        <f t="shared" si="221"/>
        <v>-143670.03792972286</v>
      </c>
      <c r="AQ88" s="52">
        <f t="shared" si="221"/>
        <v>-145674.35340582032</v>
      </c>
      <c r="AR88" s="52">
        <f t="shared" si="221"/>
        <v>-148008.7630993452</v>
      </c>
      <c r="AS88" s="52">
        <f t="shared" si="221"/>
        <v>-149871.07920509396</v>
      </c>
      <c r="AT88" s="52">
        <f t="shared" si="221"/>
        <v>-151791.69348981642</v>
      </c>
      <c r="AU88" s="52">
        <f t="shared" si="221"/>
        <v>-153915.11464673752</v>
      </c>
      <c r="AV88" s="52">
        <f t="shared" si="221"/>
        <v>-156333.60585778209</v>
      </c>
      <c r="AW88" s="52">
        <f t="shared" si="221"/>
        <v>-158350.97398656677</v>
      </c>
      <c r="AX88" s="52">
        <f t="shared" si="221"/>
        <v>-160431.02744453712</v>
      </c>
      <c r="AY88" s="52">
        <f t="shared" si="221"/>
        <v>-162675.30504555287</v>
      </c>
      <c r="AZ88" s="52">
        <f t="shared" si="221"/>
        <v>-165127.81642803919</v>
      </c>
      <c r="BA88" s="52">
        <f t="shared" si="221"/>
        <v>-167310.90669825437</v>
      </c>
      <c r="BB88" s="52">
        <f t="shared" si="221"/>
        <v>-169561.37863199293</v>
      </c>
      <c r="BC88" s="52">
        <f t="shared" si="221"/>
        <v>-171933.38225283392</v>
      </c>
      <c r="BD88" s="52">
        <f t="shared" si="221"/>
        <v>-174388.10819967216</v>
      </c>
      <c r="BE88" s="52">
        <f t="shared" si="221"/>
        <v>-176794.52548106818</v>
      </c>
      <c r="BF88" s="52">
        <f t="shared" si="221"/>
        <v>-179220.65636013079</v>
      </c>
      <c r="BG88" s="52">
        <f t="shared" si="221"/>
        <v>-181720.95747018265</v>
      </c>
      <c r="BH88" s="52">
        <f t="shared" si="221"/>
        <v>0</v>
      </c>
      <c r="BI88" s="52">
        <f t="shared" si="221"/>
        <v>0</v>
      </c>
      <c r="BJ88" s="52">
        <f t="shared" si="221"/>
        <v>0</v>
      </c>
      <c r="BK88" s="52">
        <f t="shared" si="221"/>
        <v>0</v>
      </c>
      <c r="BL88" s="52">
        <f t="shared" si="221"/>
        <v>0</v>
      </c>
      <c r="BM88" s="52">
        <f t="shared" si="221"/>
        <v>0</v>
      </c>
      <c r="BN88" s="52">
        <f t="shared" si="221"/>
        <v>0</v>
      </c>
      <c r="BO88" s="52">
        <f t="shared" si="221"/>
        <v>0</v>
      </c>
      <c r="BP88" s="52">
        <f t="shared" si="221"/>
        <v>0</v>
      </c>
      <c r="BQ88" s="52">
        <f t="shared" si="221"/>
        <v>0</v>
      </c>
      <c r="BR88" s="52">
        <f t="shared" si="221"/>
        <v>0</v>
      </c>
      <c r="BS88" s="52">
        <f t="shared" si="221"/>
        <v>0</v>
      </c>
      <c r="BT88" s="52">
        <f t="shared" si="221"/>
        <v>0</v>
      </c>
      <c r="BU88" s="52">
        <f t="shared" si="221"/>
        <v>0</v>
      </c>
      <c r="BV88" s="52">
        <f t="shared" si="221"/>
        <v>0</v>
      </c>
      <c r="BW88" s="52">
        <f t="shared" si="221"/>
        <v>0</v>
      </c>
      <c r="BX88" s="52">
        <f t="shared" ref="BX88:CO88" si="222">Debt_Repaiment</f>
        <v>0</v>
      </c>
      <c r="BY88" s="52">
        <f t="shared" si="222"/>
        <v>0</v>
      </c>
      <c r="BZ88" s="52">
        <f t="shared" si="222"/>
        <v>0</v>
      </c>
      <c r="CA88" s="52">
        <f t="shared" si="222"/>
        <v>0</v>
      </c>
      <c r="CB88" s="52">
        <f t="shared" si="222"/>
        <v>0</v>
      </c>
      <c r="CC88" s="52">
        <f t="shared" si="222"/>
        <v>0</v>
      </c>
      <c r="CD88" s="52">
        <f t="shared" si="222"/>
        <v>0</v>
      </c>
      <c r="CE88" s="52">
        <f t="shared" si="222"/>
        <v>0</v>
      </c>
      <c r="CF88" s="52">
        <f t="shared" si="222"/>
        <v>0</v>
      </c>
      <c r="CG88" s="52">
        <f t="shared" si="222"/>
        <v>0</v>
      </c>
      <c r="CH88" s="52">
        <f t="shared" si="222"/>
        <v>0</v>
      </c>
      <c r="CI88" s="52">
        <f t="shared" si="222"/>
        <v>0</v>
      </c>
      <c r="CJ88" s="52">
        <f t="shared" si="222"/>
        <v>0</v>
      </c>
      <c r="CK88" s="52">
        <f t="shared" si="222"/>
        <v>0</v>
      </c>
      <c r="CL88" s="52">
        <f t="shared" si="222"/>
        <v>0</v>
      </c>
      <c r="CM88" s="52">
        <f t="shared" si="222"/>
        <v>0</v>
      </c>
      <c r="CN88" s="52">
        <f t="shared" si="222"/>
        <v>0</v>
      </c>
      <c r="CO88" s="52">
        <f t="shared" si="222"/>
        <v>0</v>
      </c>
    </row>
    <row r="89" spans="1:93" s="133" customFormat="1" ht="14">
      <c r="A89" s="10"/>
      <c r="B89" s="11"/>
      <c r="C89" s="17" t="s">
        <v>551</v>
      </c>
      <c r="D89" s="10"/>
      <c r="E89" s="10"/>
      <c r="F89" s="10"/>
      <c r="G89" s="134" t="str">
        <f t="shared" si="213"/>
        <v>тыс. руб.</v>
      </c>
      <c r="H89" s="10"/>
      <c r="I89" s="23">
        <f t="shared" ca="1" si="214"/>
        <v>-82887.317656723957</v>
      </c>
      <c r="J89" s="10"/>
      <c r="K89" s="10"/>
      <c r="L89" s="52">
        <f t="shared" ref="L89:BW89" ca="1" si="223">Subord_Repayment</f>
        <v>0</v>
      </c>
      <c r="M89" s="52">
        <f t="shared" ca="1" si="223"/>
        <v>0</v>
      </c>
      <c r="N89" s="52">
        <f t="shared" ca="1" si="223"/>
        <v>0</v>
      </c>
      <c r="O89" s="52">
        <f t="shared" ca="1" si="223"/>
        <v>0</v>
      </c>
      <c r="P89" s="52">
        <f t="shared" ca="1" si="223"/>
        <v>0</v>
      </c>
      <c r="Q89" s="52">
        <f t="shared" ca="1" si="223"/>
        <v>0</v>
      </c>
      <c r="R89" s="52">
        <f t="shared" ca="1" si="223"/>
        <v>0</v>
      </c>
      <c r="S89" s="52">
        <f t="shared" ca="1" si="223"/>
        <v>0</v>
      </c>
      <c r="T89" s="52">
        <f t="shared" ca="1" si="223"/>
        <v>0</v>
      </c>
      <c r="U89" s="52">
        <f t="shared" ca="1" si="223"/>
        <v>0</v>
      </c>
      <c r="V89" s="52">
        <f t="shared" ca="1" si="223"/>
        <v>0</v>
      </c>
      <c r="W89" s="52">
        <f t="shared" ca="1" si="223"/>
        <v>0</v>
      </c>
      <c r="X89" s="52">
        <f t="shared" ca="1" si="223"/>
        <v>0</v>
      </c>
      <c r="Y89" s="52">
        <f t="shared" ca="1" si="223"/>
        <v>0</v>
      </c>
      <c r="Z89" s="52">
        <f t="shared" ca="1" si="223"/>
        <v>0</v>
      </c>
      <c r="AA89" s="52">
        <f t="shared" ca="1" si="223"/>
        <v>0</v>
      </c>
      <c r="AB89" s="52">
        <f t="shared" ca="1" si="223"/>
        <v>0</v>
      </c>
      <c r="AC89" s="52">
        <f t="shared" ca="1" si="223"/>
        <v>0</v>
      </c>
      <c r="AD89" s="52">
        <f t="shared" ca="1" si="223"/>
        <v>0</v>
      </c>
      <c r="AE89" s="52">
        <f t="shared" ca="1" si="223"/>
        <v>0</v>
      </c>
      <c r="AF89" s="52">
        <f t="shared" ca="1" si="223"/>
        <v>0</v>
      </c>
      <c r="AG89" s="52">
        <f t="shared" ca="1" si="223"/>
        <v>0</v>
      </c>
      <c r="AH89" s="52">
        <f t="shared" ca="1" si="223"/>
        <v>0</v>
      </c>
      <c r="AI89" s="52">
        <f t="shared" ca="1" si="223"/>
        <v>0</v>
      </c>
      <c r="AJ89" s="52">
        <f t="shared" ca="1" si="223"/>
        <v>0</v>
      </c>
      <c r="AK89" s="52">
        <f t="shared" ca="1" si="223"/>
        <v>0</v>
      </c>
      <c r="AL89" s="52">
        <f t="shared" ca="1" si="223"/>
        <v>0</v>
      </c>
      <c r="AM89" s="52">
        <f t="shared" ca="1" si="223"/>
        <v>0</v>
      </c>
      <c r="AN89" s="52">
        <f t="shared" ca="1" si="223"/>
        <v>0</v>
      </c>
      <c r="AO89" s="52">
        <f t="shared" ca="1" si="223"/>
        <v>0</v>
      </c>
      <c r="AP89" s="52">
        <f t="shared" ca="1" si="223"/>
        <v>0</v>
      </c>
      <c r="AQ89" s="52">
        <f t="shared" ca="1" si="223"/>
        <v>0</v>
      </c>
      <c r="AR89" s="52">
        <f t="shared" ca="1" si="223"/>
        <v>0</v>
      </c>
      <c r="AS89" s="52">
        <f t="shared" ca="1" si="223"/>
        <v>0</v>
      </c>
      <c r="AT89" s="52">
        <f t="shared" ca="1" si="223"/>
        <v>0</v>
      </c>
      <c r="AU89" s="52">
        <f t="shared" ca="1" si="223"/>
        <v>0</v>
      </c>
      <c r="AV89" s="52">
        <f t="shared" ca="1" si="223"/>
        <v>0</v>
      </c>
      <c r="AW89" s="52">
        <f t="shared" ca="1" si="223"/>
        <v>0</v>
      </c>
      <c r="AX89" s="52">
        <f t="shared" ca="1" si="223"/>
        <v>0</v>
      </c>
      <c r="AY89" s="52">
        <f t="shared" ca="1" si="223"/>
        <v>0</v>
      </c>
      <c r="AZ89" s="52">
        <f t="shared" ca="1" si="223"/>
        <v>0</v>
      </c>
      <c r="BA89" s="52">
        <f t="shared" ca="1" si="223"/>
        <v>0</v>
      </c>
      <c r="BB89" s="52">
        <f t="shared" ca="1" si="223"/>
        <v>-46400.772996403553</v>
      </c>
      <c r="BC89" s="52">
        <f t="shared" ca="1" si="223"/>
        <v>0</v>
      </c>
      <c r="BD89" s="52">
        <f t="shared" ca="1" si="223"/>
        <v>0</v>
      </c>
      <c r="BE89" s="52">
        <f t="shared" ca="1" si="223"/>
        <v>-1481.8754323964547</v>
      </c>
      <c r="BF89" s="52">
        <f t="shared" ca="1" si="223"/>
        <v>-35004.669227923951</v>
      </c>
      <c r="BG89" s="52">
        <f t="shared" ca="1" si="223"/>
        <v>0</v>
      </c>
      <c r="BH89" s="52">
        <f t="shared" ca="1" si="223"/>
        <v>0</v>
      </c>
      <c r="BI89" s="52">
        <f t="shared" ca="1" si="223"/>
        <v>0</v>
      </c>
      <c r="BJ89" s="52">
        <f t="shared" ca="1" si="223"/>
        <v>0</v>
      </c>
      <c r="BK89" s="52">
        <f t="shared" ca="1" si="223"/>
        <v>0</v>
      </c>
      <c r="BL89" s="52">
        <f t="shared" ca="1" si="223"/>
        <v>0</v>
      </c>
      <c r="BM89" s="52">
        <f t="shared" ca="1" si="223"/>
        <v>0</v>
      </c>
      <c r="BN89" s="52">
        <f t="shared" ca="1" si="223"/>
        <v>0</v>
      </c>
      <c r="BO89" s="52">
        <f t="shared" ca="1" si="223"/>
        <v>0</v>
      </c>
      <c r="BP89" s="52">
        <f t="shared" ca="1" si="223"/>
        <v>0</v>
      </c>
      <c r="BQ89" s="52">
        <f t="shared" ca="1" si="223"/>
        <v>0</v>
      </c>
      <c r="BR89" s="52">
        <f t="shared" ca="1" si="223"/>
        <v>0</v>
      </c>
      <c r="BS89" s="52">
        <f t="shared" ca="1" si="223"/>
        <v>0</v>
      </c>
      <c r="BT89" s="52">
        <f t="shared" ca="1" si="223"/>
        <v>0</v>
      </c>
      <c r="BU89" s="52">
        <f t="shared" ca="1" si="223"/>
        <v>0</v>
      </c>
      <c r="BV89" s="52">
        <f t="shared" ca="1" si="223"/>
        <v>0</v>
      </c>
      <c r="BW89" s="52">
        <f t="shared" ca="1" si="223"/>
        <v>0</v>
      </c>
      <c r="BX89" s="52">
        <f t="shared" ref="BX89:CO89" ca="1" si="224">Subord_Repayment</f>
        <v>0</v>
      </c>
      <c r="BY89" s="52">
        <f t="shared" ca="1" si="224"/>
        <v>0</v>
      </c>
      <c r="BZ89" s="52">
        <f t="shared" ca="1" si="224"/>
        <v>0</v>
      </c>
      <c r="CA89" s="52">
        <f t="shared" ca="1" si="224"/>
        <v>0</v>
      </c>
      <c r="CB89" s="52">
        <f t="shared" ca="1" si="224"/>
        <v>0</v>
      </c>
      <c r="CC89" s="52">
        <f t="shared" ca="1" si="224"/>
        <v>0</v>
      </c>
      <c r="CD89" s="52">
        <f t="shared" ca="1" si="224"/>
        <v>0</v>
      </c>
      <c r="CE89" s="52">
        <f t="shared" ca="1" si="224"/>
        <v>0</v>
      </c>
      <c r="CF89" s="52">
        <f t="shared" ca="1" si="224"/>
        <v>0</v>
      </c>
      <c r="CG89" s="52">
        <f t="shared" ca="1" si="224"/>
        <v>0</v>
      </c>
      <c r="CH89" s="52">
        <f t="shared" ca="1" si="224"/>
        <v>0</v>
      </c>
      <c r="CI89" s="52">
        <f t="shared" ca="1" si="224"/>
        <v>0</v>
      </c>
      <c r="CJ89" s="52">
        <f t="shared" ca="1" si="224"/>
        <v>0</v>
      </c>
      <c r="CK89" s="52">
        <f t="shared" ca="1" si="224"/>
        <v>0</v>
      </c>
      <c r="CL89" s="52">
        <f t="shared" ca="1" si="224"/>
        <v>0</v>
      </c>
      <c r="CM89" s="52">
        <f t="shared" ca="1" si="224"/>
        <v>0</v>
      </c>
      <c r="CN89" s="52">
        <f t="shared" ca="1" si="224"/>
        <v>0</v>
      </c>
      <c r="CO89" s="52">
        <f t="shared" ca="1" si="224"/>
        <v>0</v>
      </c>
    </row>
    <row r="90" spans="1:93" s="133" customFormat="1" thickBot="1">
      <c r="A90" s="10"/>
      <c r="B90" s="11"/>
      <c r="C90" s="17" t="s">
        <v>92</v>
      </c>
      <c r="D90" s="10"/>
      <c r="E90" s="10"/>
      <c r="F90" s="10"/>
      <c r="G90" s="134" t="str">
        <f t="shared" si="213"/>
        <v>тыс. руб.</v>
      </c>
      <c r="H90" s="10"/>
      <c r="I90" s="23">
        <f t="shared" ca="1" si="214"/>
        <v>-9928390.6209045984</v>
      </c>
      <c r="J90" s="10"/>
      <c r="K90" s="10"/>
      <c r="L90" s="52">
        <f t="shared" ref="L90:BW90" ca="1" si="225">Dividends</f>
        <v>0</v>
      </c>
      <c r="M90" s="52">
        <f t="shared" ca="1" si="225"/>
        <v>0</v>
      </c>
      <c r="N90" s="52">
        <f t="shared" ca="1" si="225"/>
        <v>0</v>
      </c>
      <c r="O90" s="52">
        <f t="shared" ca="1" si="225"/>
        <v>0</v>
      </c>
      <c r="P90" s="52">
        <f t="shared" ca="1" si="225"/>
        <v>0</v>
      </c>
      <c r="Q90" s="52">
        <f t="shared" ca="1" si="225"/>
        <v>0</v>
      </c>
      <c r="R90" s="52">
        <f t="shared" ca="1" si="225"/>
        <v>0</v>
      </c>
      <c r="S90" s="52">
        <f t="shared" ca="1" si="225"/>
        <v>0</v>
      </c>
      <c r="T90" s="52">
        <f t="shared" ca="1" si="225"/>
        <v>0</v>
      </c>
      <c r="U90" s="52">
        <f t="shared" ca="1" si="225"/>
        <v>0</v>
      </c>
      <c r="V90" s="52">
        <f t="shared" ca="1" si="225"/>
        <v>0</v>
      </c>
      <c r="W90" s="52">
        <f t="shared" ca="1" si="225"/>
        <v>0</v>
      </c>
      <c r="X90" s="52">
        <f t="shared" ca="1" si="225"/>
        <v>0</v>
      </c>
      <c r="Y90" s="52">
        <f t="shared" ca="1" si="225"/>
        <v>0</v>
      </c>
      <c r="Z90" s="52">
        <f t="shared" ca="1" si="225"/>
        <v>0</v>
      </c>
      <c r="AA90" s="52">
        <f t="shared" ca="1" si="225"/>
        <v>0</v>
      </c>
      <c r="AB90" s="52">
        <f t="shared" ca="1" si="225"/>
        <v>0</v>
      </c>
      <c r="AC90" s="52">
        <f t="shared" ca="1" si="225"/>
        <v>-59050.396968304172</v>
      </c>
      <c r="AD90" s="52">
        <f t="shared" ca="1" si="225"/>
        <v>-119023.22889081783</v>
      </c>
      <c r="AE90" s="52">
        <f t="shared" ca="1" si="225"/>
        <v>-15387.84726569222</v>
      </c>
      <c r="AF90" s="52">
        <f t="shared" ca="1" si="225"/>
        <v>-15602.228439205819</v>
      </c>
      <c r="AG90" s="52">
        <f t="shared" ca="1" si="225"/>
        <v>-103528.78142452038</v>
      </c>
      <c r="AH90" s="52">
        <f t="shared" ca="1" si="225"/>
        <v>-174633.84564213705</v>
      </c>
      <c r="AI90" s="52">
        <f t="shared" ca="1" si="225"/>
        <v>-50450.080372379787</v>
      </c>
      <c r="AJ90" s="52">
        <f t="shared" ca="1" si="225"/>
        <v>-49365.781800626079</v>
      </c>
      <c r="AK90" s="52">
        <f t="shared" ca="1" si="225"/>
        <v>-151929.51476411583</v>
      </c>
      <c r="AL90" s="52">
        <f t="shared" ca="1" si="225"/>
        <v>-234119.38886266688</v>
      </c>
      <c r="AM90" s="52">
        <f t="shared" ca="1" si="225"/>
        <v>-87909.661208764373</v>
      </c>
      <c r="AN90" s="52">
        <f t="shared" ca="1" si="225"/>
        <v>-87322.38730505429</v>
      </c>
      <c r="AO90" s="52">
        <f t="shared" ca="1" si="225"/>
        <v>-154300.24168308536</v>
      </c>
      <c r="AP90" s="52">
        <f t="shared" ca="1" si="225"/>
        <v>-141729.88994279964</v>
      </c>
      <c r="AQ90" s="52">
        <f t="shared" ca="1" si="225"/>
        <v>-160798.98248832178</v>
      </c>
      <c r="AR90" s="52">
        <f t="shared" ca="1" si="225"/>
        <v>-61597.462780265138</v>
      </c>
      <c r="AS90" s="52">
        <f t="shared" ca="1" si="225"/>
        <v>-61934.838676213985</v>
      </c>
      <c r="AT90" s="52">
        <f t="shared" ca="1" si="225"/>
        <v>-152696.91451470894</v>
      </c>
      <c r="AU90" s="52">
        <f t="shared" ca="1" si="225"/>
        <v>-166797.13908820559</v>
      </c>
      <c r="AV90" s="52">
        <f t="shared" ca="1" si="225"/>
        <v>-64056.714336277917</v>
      </c>
      <c r="AW90" s="52">
        <f t="shared" ca="1" si="225"/>
        <v>-107973.36274285452</v>
      </c>
      <c r="AX90" s="52">
        <f t="shared" ca="1" si="225"/>
        <v>-84851.201995847252</v>
      </c>
      <c r="AY90" s="52">
        <f t="shared" ca="1" si="225"/>
        <v>-10608.520906129328</v>
      </c>
      <c r="AZ90" s="52">
        <f t="shared" ca="1" si="225"/>
        <v>0</v>
      </c>
      <c r="BA90" s="52">
        <f t="shared" ca="1" si="225"/>
        <v>0</v>
      </c>
      <c r="BB90" s="52">
        <f t="shared" ca="1" si="225"/>
        <v>-13965.406815549846</v>
      </c>
      <c r="BC90" s="52">
        <f t="shared" ca="1" si="225"/>
        <v>-17715.546658842039</v>
      </c>
      <c r="BD90" s="52">
        <f t="shared" ca="1" si="225"/>
        <v>0</v>
      </c>
      <c r="BE90" s="52">
        <f t="shared" ca="1" si="225"/>
        <v>0</v>
      </c>
      <c r="BF90" s="52">
        <f t="shared" ca="1" si="225"/>
        <v>-32964.281449141898</v>
      </c>
      <c r="BG90" s="52">
        <f t="shared" ca="1" si="225"/>
        <v>-23187.540176706039</v>
      </c>
      <c r="BH90" s="52">
        <f t="shared" ca="1" si="225"/>
        <v>-149271.3857948205</v>
      </c>
      <c r="BI90" s="52">
        <f t="shared" ca="1" si="225"/>
        <v>-194467.00727934242</v>
      </c>
      <c r="BJ90" s="52">
        <f t="shared" ca="1" si="225"/>
        <v>-263143.28819603729</v>
      </c>
      <c r="BK90" s="52">
        <f t="shared" ca="1" si="225"/>
        <v>-215603.7609729098</v>
      </c>
      <c r="BL90" s="52">
        <f t="shared" ca="1" si="225"/>
        <v>-155296.66139235115</v>
      </c>
      <c r="BM90" s="52">
        <f t="shared" ca="1" si="225"/>
        <v>-202301.54613887856</v>
      </c>
      <c r="BN90" s="52">
        <f t="shared" ca="1" si="225"/>
        <v>-273726.34847685776</v>
      </c>
      <c r="BO90" s="52">
        <f t="shared" ca="1" si="225"/>
        <v>-211339.56051991874</v>
      </c>
      <c r="BP90" s="52">
        <f t="shared" ca="1" si="225"/>
        <v>-149413.85129333788</v>
      </c>
      <c r="BQ90" s="52">
        <f t="shared" ca="1" si="225"/>
        <v>-190474.5039588192</v>
      </c>
      <c r="BR90" s="52">
        <f t="shared" ca="1" si="225"/>
        <v>-258984.87029722304</v>
      </c>
      <c r="BS90" s="52">
        <f t="shared" ca="1" si="225"/>
        <v>-219743.48235772018</v>
      </c>
      <c r="BT90" s="52">
        <f t="shared" ca="1" si="225"/>
        <v>-157749.91729861218</v>
      </c>
      <c r="BU90" s="52">
        <f t="shared" ca="1" si="225"/>
        <v>-197317.58972668709</v>
      </c>
      <c r="BV90" s="52">
        <f t="shared" ca="1" si="225"/>
        <v>-269303.81083330908</v>
      </c>
      <c r="BW90" s="52">
        <f t="shared" ca="1" si="225"/>
        <v>-228492.77329331194</v>
      </c>
      <c r="BX90" s="52">
        <f t="shared" ref="BX90:CO90" ca="1" si="226">Dividends</f>
        <v>-161499.22810249944</v>
      </c>
      <c r="BY90" s="52">
        <f t="shared" ca="1" si="226"/>
        <v>-205913.19083422472</v>
      </c>
      <c r="BZ90" s="52">
        <f t="shared" ca="1" si="226"/>
        <v>-280016.72812416521</v>
      </c>
      <c r="CA90" s="52">
        <f t="shared" ca="1" si="226"/>
        <v>-237573.24292879915</v>
      </c>
      <c r="CB90" s="52">
        <f t="shared" ca="1" si="226"/>
        <v>-167906.9021982312</v>
      </c>
      <c r="CC90" s="52">
        <f t="shared" ca="1" si="226"/>
        <v>-214098.72207169505</v>
      </c>
      <c r="CD90" s="52">
        <f t="shared" ca="1" si="226"/>
        <v>-291167.7366661366</v>
      </c>
      <c r="CE90" s="52">
        <f t="shared" ca="1" si="226"/>
        <v>-247026.51206295507</v>
      </c>
      <c r="CF90" s="52">
        <f t="shared" ca="1" si="226"/>
        <v>-174570.84607735806</v>
      </c>
      <c r="CG90" s="52">
        <f t="shared" ca="1" si="226"/>
        <v>-222611.67455866357</v>
      </c>
      <c r="CH90" s="52">
        <f t="shared" ca="1" si="226"/>
        <v>-302764.78554978635</v>
      </c>
      <c r="CI90" s="52">
        <f t="shared" ca="1" si="226"/>
        <v>-256857.91196247865</v>
      </c>
      <c r="CJ90" s="52">
        <f t="shared" ca="1" si="226"/>
        <v>-184327.12636069866</v>
      </c>
      <c r="CK90" s="52">
        <f t="shared" ca="1" si="226"/>
        <v>-230615.70664995754</v>
      </c>
      <c r="CL90" s="52">
        <f t="shared" ca="1" si="226"/>
        <v>-314835.06059641473</v>
      </c>
      <c r="CM90" s="52">
        <f t="shared" ca="1" si="226"/>
        <v>-267091.91898776783</v>
      </c>
      <c r="CN90" s="52">
        <f t="shared" ca="1" si="226"/>
        <v>-188709.02758838091</v>
      </c>
      <c r="CO90" s="52">
        <f t="shared" ca="1" si="226"/>
        <v>-240672.75455501606</v>
      </c>
    </row>
    <row r="91" spans="1:93" s="133" customFormat="1" thickTop="1">
      <c r="A91" s="10"/>
      <c r="B91" s="11"/>
      <c r="C91" s="49" t="s">
        <v>496</v>
      </c>
      <c r="D91" s="136"/>
      <c r="E91" s="136"/>
      <c r="F91" s="136"/>
      <c r="G91" s="137" t="str">
        <f t="shared" si="213"/>
        <v>тыс. руб.</v>
      </c>
      <c r="H91" s="136"/>
      <c r="I91" s="23">
        <f t="shared" ca="1" si="214"/>
        <v>-8521800.3658752907</v>
      </c>
      <c r="J91" s="136"/>
      <c r="K91" s="136"/>
      <c r="L91" s="136">
        <f t="shared" ref="L91" ca="1" si="227">SUM(L85:L90)</f>
        <v>31406.153379286916</v>
      </c>
      <c r="M91" s="136">
        <f t="shared" ref="M91:BX91" ca="1" si="228">SUM(M85:M90)</f>
        <v>31851.960190507532</v>
      </c>
      <c r="N91" s="136">
        <f t="shared" ca="1" si="228"/>
        <v>32304.095179220327</v>
      </c>
      <c r="O91" s="136">
        <f t="shared" ca="1" si="228"/>
        <v>32762.648173192309</v>
      </c>
      <c r="P91" s="136">
        <f t="shared" ca="1" si="228"/>
        <v>275591.46580799518</v>
      </c>
      <c r="Q91" s="136">
        <f t="shared" ca="1" si="228"/>
        <v>278306.9805620276</v>
      </c>
      <c r="R91" s="136">
        <f t="shared" ca="1" si="228"/>
        <v>281049.25238692126</v>
      </c>
      <c r="S91" s="136">
        <f t="shared" ca="1" si="228"/>
        <v>284557.5366734491</v>
      </c>
      <c r="T91" s="136">
        <f t="shared" ca="1" si="228"/>
        <v>293195.77878796187</v>
      </c>
      <c r="U91" s="136">
        <f t="shared" ca="1" si="228"/>
        <v>299864.08841733454</v>
      </c>
      <c r="V91" s="136">
        <f t="shared" ca="1" si="228"/>
        <v>306680.671823757</v>
      </c>
      <c r="W91" s="136">
        <f t="shared" ca="1" si="228"/>
        <v>313448.73444932338</v>
      </c>
      <c r="X91" s="136">
        <f t="shared" ca="1" si="228"/>
        <v>646653.2581487901</v>
      </c>
      <c r="Y91" s="136">
        <f t="shared" ca="1" si="228"/>
        <v>660955.27495578059</v>
      </c>
      <c r="Z91" s="136">
        <f t="shared" ca="1" si="228"/>
        <v>675843.90368952369</v>
      </c>
      <c r="AA91" s="136">
        <f t="shared" ca="1" si="228"/>
        <v>690520.69372146716</v>
      </c>
      <c r="AB91" s="136">
        <f t="shared" ca="1" si="228"/>
        <v>890466.98389240366</v>
      </c>
      <c r="AC91" s="136">
        <f t="shared" ca="1" si="228"/>
        <v>-179307.97154961678</v>
      </c>
      <c r="AD91" s="136">
        <f t="shared" ca="1" si="228"/>
        <v>-240661.14078106161</v>
      </c>
      <c r="AE91" s="136">
        <f t="shared" ca="1" si="228"/>
        <v>-138727.3572710063</v>
      </c>
      <c r="AF91" s="136">
        <f t="shared" ca="1" si="228"/>
        <v>-141208.30663493896</v>
      </c>
      <c r="AG91" s="136">
        <f t="shared" ca="1" si="228"/>
        <v>-230589.97720489488</v>
      </c>
      <c r="AH91" s="136">
        <f t="shared" ca="1" si="228"/>
        <v>-303196.97332989122</v>
      </c>
      <c r="AI91" s="136">
        <f t="shared" ca="1" si="228"/>
        <v>-180811.68337494542</v>
      </c>
      <c r="AJ91" s="136">
        <f t="shared" ca="1" si="228"/>
        <v>-182033.93710308764</v>
      </c>
      <c r="AK91" s="136">
        <f t="shared" ca="1" si="228"/>
        <v>-286179.43412638013</v>
      </c>
      <c r="AL91" s="136">
        <f t="shared" ca="1" si="228"/>
        <v>-370001.45174023882</v>
      </c>
      <c r="AM91" s="136">
        <f t="shared" ca="1" si="228"/>
        <v>-225692.5843851387</v>
      </c>
      <c r="AN91" s="136">
        <f t="shared" ca="1" si="228"/>
        <v>-227293.53201327351</v>
      </c>
      <c r="AO91" s="136">
        <f t="shared" ca="1" si="228"/>
        <v>-296202.8740683911</v>
      </c>
      <c r="AP91" s="136">
        <f t="shared" ca="1" si="228"/>
        <v>-285399.9278725225</v>
      </c>
      <c r="AQ91" s="136">
        <f t="shared" ca="1" si="228"/>
        <v>-306473.3358941421</v>
      </c>
      <c r="AR91" s="136">
        <f t="shared" ca="1" si="228"/>
        <v>-209606.22587961034</v>
      </c>
      <c r="AS91" s="136">
        <f t="shared" ca="1" si="228"/>
        <v>-211805.91788130795</v>
      </c>
      <c r="AT91" s="136">
        <f t="shared" ca="1" si="228"/>
        <v>-304488.60800452536</v>
      </c>
      <c r="AU91" s="136">
        <f t="shared" ca="1" si="228"/>
        <v>-320712.25373494311</v>
      </c>
      <c r="AV91" s="136">
        <f t="shared" ca="1" si="228"/>
        <v>-220390.32019406001</v>
      </c>
      <c r="AW91" s="136">
        <f t="shared" ca="1" si="228"/>
        <v>-266324.33672942128</v>
      </c>
      <c r="AX91" s="136">
        <f t="shared" ca="1" si="228"/>
        <v>-245282.22944038437</v>
      </c>
      <c r="AY91" s="136">
        <f t="shared" ca="1" si="228"/>
        <v>-173283.8259516822</v>
      </c>
      <c r="AZ91" s="136">
        <f t="shared" ca="1" si="228"/>
        <v>-122237.54594411452</v>
      </c>
      <c r="BA91" s="136">
        <f t="shared" ca="1" si="228"/>
        <v>-166003.86614663899</v>
      </c>
      <c r="BB91" s="136">
        <f t="shared" ca="1" si="228"/>
        <v>-229927.55844394633</v>
      </c>
      <c r="BC91" s="136">
        <f t="shared" ca="1" si="228"/>
        <v>-189648.92891167596</v>
      </c>
      <c r="BD91" s="136">
        <f t="shared" ca="1" si="228"/>
        <v>-138503.80219947797</v>
      </c>
      <c r="BE91" s="136">
        <f t="shared" ca="1" si="228"/>
        <v>-178276.40091346463</v>
      </c>
      <c r="BF91" s="136">
        <f t="shared" ca="1" si="228"/>
        <v>-247189.60703719663</v>
      </c>
      <c r="BG91" s="136">
        <f t="shared" ca="1" si="228"/>
        <v>-204908.49764688869</v>
      </c>
      <c r="BH91" s="136">
        <f t="shared" ca="1" si="228"/>
        <v>-149271.3857948205</v>
      </c>
      <c r="BI91" s="136">
        <f t="shared" ca="1" si="228"/>
        <v>-194467.00727934242</v>
      </c>
      <c r="BJ91" s="136">
        <f t="shared" ca="1" si="228"/>
        <v>-263143.28819603729</v>
      </c>
      <c r="BK91" s="136">
        <f t="shared" ca="1" si="228"/>
        <v>-215603.7609729098</v>
      </c>
      <c r="BL91" s="136">
        <f t="shared" ca="1" si="228"/>
        <v>-155296.66139235115</v>
      </c>
      <c r="BM91" s="136">
        <f t="shared" ca="1" si="228"/>
        <v>-202301.54613887856</v>
      </c>
      <c r="BN91" s="136">
        <f t="shared" ca="1" si="228"/>
        <v>-273726.34847685776</v>
      </c>
      <c r="BO91" s="136">
        <f t="shared" ca="1" si="228"/>
        <v>-211339.56051991874</v>
      </c>
      <c r="BP91" s="136">
        <f t="shared" ca="1" si="228"/>
        <v>-149413.85129333788</v>
      </c>
      <c r="BQ91" s="136">
        <f t="shared" ca="1" si="228"/>
        <v>-190474.5039588192</v>
      </c>
      <c r="BR91" s="136">
        <f t="shared" ca="1" si="228"/>
        <v>-258984.87029722304</v>
      </c>
      <c r="BS91" s="136">
        <f t="shared" ca="1" si="228"/>
        <v>-219743.48235772018</v>
      </c>
      <c r="BT91" s="136">
        <f t="shared" ca="1" si="228"/>
        <v>-157749.91729861218</v>
      </c>
      <c r="BU91" s="136">
        <f t="shared" ca="1" si="228"/>
        <v>-197317.58972668709</v>
      </c>
      <c r="BV91" s="136">
        <f t="shared" ca="1" si="228"/>
        <v>-269303.81083330908</v>
      </c>
      <c r="BW91" s="136">
        <f t="shared" ca="1" si="228"/>
        <v>-228492.77329331194</v>
      </c>
      <c r="BX91" s="136">
        <f t="shared" ca="1" si="228"/>
        <v>-161499.22810249944</v>
      </c>
      <c r="BY91" s="136">
        <f t="shared" ref="BY91:CO91" ca="1" si="229">SUM(BY85:BY90)</f>
        <v>-205913.19083422472</v>
      </c>
      <c r="BZ91" s="136">
        <f t="shared" ca="1" si="229"/>
        <v>-280016.72812416521</v>
      </c>
      <c r="CA91" s="136">
        <f t="shared" ca="1" si="229"/>
        <v>-237573.24292879915</v>
      </c>
      <c r="CB91" s="136">
        <f t="shared" ca="1" si="229"/>
        <v>-167906.9021982312</v>
      </c>
      <c r="CC91" s="136">
        <f t="shared" ca="1" si="229"/>
        <v>-214098.72207169505</v>
      </c>
      <c r="CD91" s="136">
        <f t="shared" ca="1" si="229"/>
        <v>-291167.7366661366</v>
      </c>
      <c r="CE91" s="136">
        <f t="shared" ca="1" si="229"/>
        <v>-247026.51206295507</v>
      </c>
      <c r="CF91" s="136">
        <f t="shared" ca="1" si="229"/>
        <v>-174570.84607735806</v>
      </c>
      <c r="CG91" s="136">
        <f t="shared" ca="1" si="229"/>
        <v>-222611.67455866357</v>
      </c>
      <c r="CH91" s="136">
        <f t="shared" ca="1" si="229"/>
        <v>-302764.78554978635</v>
      </c>
      <c r="CI91" s="136">
        <f t="shared" ca="1" si="229"/>
        <v>-256857.91196247865</v>
      </c>
      <c r="CJ91" s="136">
        <f t="shared" ca="1" si="229"/>
        <v>-184327.12636069866</v>
      </c>
      <c r="CK91" s="136">
        <f t="shared" ca="1" si="229"/>
        <v>-230615.70664995754</v>
      </c>
      <c r="CL91" s="136">
        <f t="shared" ca="1" si="229"/>
        <v>-314835.06059641473</v>
      </c>
      <c r="CM91" s="136">
        <f t="shared" ca="1" si="229"/>
        <v>-267091.91898776783</v>
      </c>
      <c r="CN91" s="136">
        <f t="shared" ca="1" si="229"/>
        <v>-188709.02758838091</v>
      </c>
      <c r="CO91" s="136">
        <f t="shared" ca="1" si="229"/>
        <v>-240672.75455501606</v>
      </c>
    </row>
    <row r="92" spans="1:93" s="133" customFormat="1" ht="14">
      <c r="A92" s="10"/>
      <c r="B92" s="11"/>
      <c r="C92" s="10"/>
      <c r="D92" s="10"/>
      <c r="E92" s="10"/>
      <c r="F92" s="10"/>
      <c r="G92" s="11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</row>
    <row r="93" spans="1:93" s="133" customFormat="1" ht="14">
      <c r="A93" s="10"/>
      <c r="B93" s="11"/>
      <c r="C93" s="24" t="s">
        <v>331</v>
      </c>
      <c r="D93" s="24"/>
      <c r="E93" s="24"/>
      <c r="F93" s="24"/>
      <c r="G93" s="135" t="str">
        <f>Monetary_Unit</f>
        <v>тыс. руб.</v>
      </c>
      <c r="H93" s="24"/>
      <c r="I93" s="24"/>
      <c r="J93" s="24"/>
      <c r="K93" s="24"/>
      <c r="L93" s="24">
        <f t="shared" ref="L93:BW93" ca="1" si="230">IF(ABS(OCF+ICF+FCF)&lt;Accuracy,0,OCF+ICF+FCF)</f>
        <v>0</v>
      </c>
      <c r="M93" s="24">
        <f t="shared" ca="1" si="230"/>
        <v>0</v>
      </c>
      <c r="N93" s="24">
        <f t="shared" ca="1" si="230"/>
        <v>0</v>
      </c>
      <c r="O93" s="24">
        <f t="shared" ca="1" si="230"/>
        <v>0</v>
      </c>
      <c r="P93" s="24">
        <f t="shared" ca="1" si="230"/>
        <v>0</v>
      </c>
      <c r="Q93" s="24">
        <f t="shared" ca="1" si="230"/>
        <v>0</v>
      </c>
      <c r="R93" s="24">
        <f t="shared" ca="1" si="230"/>
        <v>0</v>
      </c>
      <c r="S93" s="24">
        <f t="shared" ca="1" si="230"/>
        <v>0</v>
      </c>
      <c r="T93" s="24">
        <f t="shared" ca="1" si="230"/>
        <v>0</v>
      </c>
      <c r="U93" s="24">
        <f t="shared" ca="1" si="230"/>
        <v>0</v>
      </c>
      <c r="V93" s="24">
        <f t="shared" ca="1" si="230"/>
        <v>0</v>
      </c>
      <c r="W93" s="24">
        <f t="shared" ca="1" si="230"/>
        <v>0</v>
      </c>
      <c r="X93" s="24">
        <f t="shared" ca="1" si="230"/>
        <v>0</v>
      </c>
      <c r="Y93" s="24">
        <f t="shared" ca="1" si="230"/>
        <v>0</v>
      </c>
      <c r="Z93" s="24">
        <f t="shared" ca="1" si="230"/>
        <v>0</v>
      </c>
      <c r="AA93" s="24">
        <f t="shared" ca="1" si="230"/>
        <v>0</v>
      </c>
      <c r="AB93" s="24">
        <f t="shared" ca="1" si="230"/>
        <v>0</v>
      </c>
      <c r="AC93" s="24">
        <f t="shared" ca="1" si="230"/>
        <v>627052.01727898442</v>
      </c>
      <c r="AD93" s="24">
        <f t="shared" ca="1" si="230"/>
        <v>19972.356585705362</v>
      </c>
      <c r="AE93" s="24">
        <f t="shared" ca="1" si="230"/>
        <v>20760.102121556556</v>
      </c>
      <c r="AF93" s="24">
        <f t="shared" ca="1" si="230"/>
        <v>-37012.085139976029</v>
      </c>
      <c r="AG93" s="24">
        <f t="shared" ca="1" si="230"/>
        <v>-117198.72916474426</v>
      </c>
      <c r="AH93" s="24">
        <f t="shared" ca="1" si="230"/>
        <v>-117451.35933454143</v>
      </c>
      <c r="AI93" s="24">
        <f t="shared" ca="1" si="230"/>
        <v>27723.113806757552</v>
      </c>
      <c r="AJ93" s="24">
        <f t="shared" ca="1" si="230"/>
        <v>-40638.973178910994</v>
      </c>
      <c r="AK93" s="24">
        <f t="shared" ca="1" si="230"/>
        <v>-134918.93011796402</v>
      </c>
      <c r="AL93" s="24">
        <f t="shared" ca="1" si="230"/>
        <v>-134643.58103838121</v>
      </c>
      <c r="AM93" s="24">
        <f t="shared" ca="1" si="230"/>
        <v>35293.300408635288</v>
      </c>
      <c r="AN93" s="24">
        <f t="shared" ca="1" si="230"/>
        <v>-44574.077375150402</v>
      </c>
      <c r="AO93" s="24">
        <f t="shared" ca="1" si="230"/>
        <v>-104363.15485197154</v>
      </c>
      <c r="AP93" s="24">
        <f t="shared" ca="1" si="230"/>
        <v>0</v>
      </c>
      <c r="AQ93" s="24">
        <f t="shared" ca="1" si="230"/>
        <v>0</v>
      </c>
      <c r="AR93" s="24">
        <f t="shared" ca="1" si="230"/>
        <v>0</v>
      </c>
      <c r="AS93" s="24">
        <f t="shared" ca="1" si="230"/>
        <v>0</v>
      </c>
      <c r="AT93" s="24">
        <f t="shared" ca="1" si="230"/>
        <v>0</v>
      </c>
      <c r="AU93" s="24">
        <f t="shared" ca="1" si="230"/>
        <v>0</v>
      </c>
      <c r="AV93" s="24">
        <f t="shared" ca="1" si="230"/>
        <v>0</v>
      </c>
      <c r="AW93" s="24">
        <f t="shared" ca="1" si="230"/>
        <v>0</v>
      </c>
      <c r="AX93" s="24">
        <f t="shared" ca="1" si="230"/>
        <v>0</v>
      </c>
      <c r="AY93" s="24">
        <f t="shared" ca="1" si="230"/>
        <v>0</v>
      </c>
      <c r="AZ93" s="24">
        <f t="shared" ca="1" si="230"/>
        <v>0</v>
      </c>
      <c r="BA93" s="24">
        <f t="shared" ca="1" si="230"/>
        <v>0</v>
      </c>
      <c r="BB93" s="24">
        <f t="shared" ca="1" si="230"/>
        <v>0</v>
      </c>
      <c r="BC93" s="24">
        <f t="shared" ca="1" si="230"/>
        <v>0</v>
      </c>
      <c r="BD93" s="24">
        <f t="shared" ca="1" si="230"/>
        <v>0</v>
      </c>
      <c r="BE93" s="24">
        <f t="shared" ca="1" si="230"/>
        <v>0</v>
      </c>
      <c r="BF93" s="24">
        <f t="shared" ca="1" si="230"/>
        <v>0</v>
      </c>
      <c r="BG93" s="24">
        <f t="shared" ca="1" si="230"/>
        <v>0</v>
      </c>
      <c r="BH93" s="24">
        <f t="shared" ca="1" si="230"/>
        <v>0</v>
      </c>
      <c r="BI93" s="24">
        <f t="shared" ca="1" si="230"/>
        <v>0</v>
      </c>
      <c r="BJ93" s="24">
        <f t="shared" ca="1" si="230"/>
        <v>0</v>
      </c>
      <c r="BK93" s="24">
        <f t="shared" ca="1" si="230"/>
        <v>0</v>
      </c>
      <c r="BL93" s="24">
        <f t="shared" ca="1" si="230"/>
        <v>0</v>
      </c>
      <c r="BM93" s="24">
        <f t="shared" ca="1" si="230"/>
        <v>0</v>
      </c>
      <c r="BN93" s="24">
        <f t="shared" ca="1" si="230"/>
        <v>0</v>
      </c>
      <c r="BO93" s="24">
        <f t="shared" ca="1" si="230"/>
        <v>0</v>
      </c>
      <c r="BP93" s="24">
        <f t="shared" ca="1" si="230"/>
        <v>0</v>
      </c>
      <c r="BQ93" s="24">
        <f t="shared" ca="1" si="230"/>
        <v>0</v>
      </c>
      <c r="BR93" s="24">
        <f t="shared" ca="1" si="230"/>
        <v>0</v>
      </c>
      <c r="BS93" s="24">
        <f t="shared" ca="1" si="230"/>
        <v>0</v>
      </c>
      <c r="BT93" s="24">
        <f t="shared" ca="1" si="230"/>
        <v>0</v>
      </c>
      <c r="BU93" s="24">
        <f t="shared" ca="1" si="230"/>
        <v>0</v>
      </c>
      <c r="BV93" s="24">
        <f t="shared" ca="1" si="230"/>
        <v>0</v>
      </c>
      <c r="BW93" s="24">
        <f t="shared" ca="1" si="230"/>
        <v>0</v>
      </c>
      <c r="BX93" s="24">
        <f t="shared" ref="BX93:CO93" ca="1" si="231">IF(ABS(OCF+ICF+FCF)&lt;Accuracy,0,OCF+ICF+FCF)</f>
        <v>0</v>
      </c>
      <c r="BY93" s="24">
        <f t="shared" ca="1" si="231"/>
        <v>0</v>
      </c>
      <c r="BZ93" s="24">
        <f t="shared" ca="1" si="231"/>
        <v>0</v>
      </c>
      <c r="CA93" s="24">
        <f t="shared" ca="1" si="231"/>
        <v>0</v>
      </c>
      <c r="CB93" s="24">
        <f t="shared" ca="1" si="231"/>
        <v>0</v>
      </c>
      <c r="CC93" s="24">
        <f t="shared" ca="1" si="231"/>
        <v>0</v>
      </c>
      <c r="CD93" s="24">
        <f t="shared" ca="1" si="231"/>
        <v>0</v>
      </c>
      <c r="CE93" s="24">
        <f t="shared" ca="1" si="231"/>
        <v>0</v>
      </c>
      <c r="CF93" s="24">
        <f t="shared" ca="1" si="231"/>
        <v>0</v>
      </c>
      <c r="CG93" s="24">
        <f t="shared" ca="1" si="231"/>
        <v>0</v>
      </c>
      <c r="CH93" s="24">
        <f t="shared" ca="1" si="231"/>
        <v>0</v>
      </c>
      <c r="CI93" s="24">
        <f t="shared" ca="1" si="231"/>
        <v>0</v>
      </c>
      <c r="CJ93" s="24">
        <f t="shared" ca="1" si="231"/>
        <v>0</v>
      </c>
      <c r="CK93" s="24">
        <f t="shared" ca="1" si="231"/>
        <v>0</v>
      </c>
      <c r="CL93" s="24">
        <f t="shared" ca="1" si="231"/>
        <v>0</v>
      </c>
      <c r="CM93" s="24">
        <f t="shared" ca="1" si="231"/>
        <v>0</v>
      </c>
      <c r="CN93" s="24">
        <f t="shared" ca="1" si="231"/>
        <v>0</v>
      </c>
      <c r="CO93" s="24">
        <f t="shared" ca="1" si="231"/>
        <v>0</v>
      </c>
    </row>
    <row r="94" spans="1:93" s="133" customFormat="1" ht="14">
      <c r="A94" s="10"/>
      <c r="B94" s="10"/>
      <c r="C94" s="10"/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">
      <c r="A95" s="10"/>
      <c r="B95" s="10"/>
      <c r="C95" s="10" t="s">
        <v>491</v>
      </c>
      <c r="D95" s="10"/>
      <c r="E95" s="10"/>
      <c r="F95" s="10"/>
      <c r="G95" s="134" t="str">
        <f>Monetary_Unit</f>
        <v>тыс. руб.</v>
      </c>
      <c r="H95" s="10"/>
      <c r="I95" s="10"/>
      <c r="J95" s="10"/>
      <c r="K95" s="10"/>
      <c r="L95" s="52">
        <f t="shared" ref="L95:AQ95" si="232">K97*Flag_Forecast</f>
        <v>0</v>
      </c>
      <c r="M95" s="52">
        <f t="shared" ca="1" si="232"/>
        <v>0</v>
      </c>
      <c r="N95" s="52">
        <f t="shared" ca="1" si="232"/>
        <v>0</v>
      </c>
      <c r="O95" s="52">
        <f t="shared" ca="1" si="232"/>
        <v>0</v>
      </c>
      <c r="P95" s="52">
        <f t="shared" ca="1" si="232"/>
        <v>0</v>
      </c>
      <c r="Q95" s="52">
        <f t="shared" ca="1" si="232"/>
        <v>0</v>
      </c>
      <c r="R95" s="52">
        <f t="shared" ca="1" si="232"/>
        <v>0</v>
      </c>
      <c r="S95" s="52">
        <f t="shared" ca="1" si="232"/>
        <v>0</v>
      </c>
      <c r="T95" s="52">
        <f t="shared" ca="1" si="232"/>
        <v>0</v>
      </c>
      <c r="U95" s="52">
        <f t="shared" ca="1" si="232"/>
        <v>0</v>
      </c>
      <c r="V95" s="52">
        <f t="shared" ca="1" si="232"/>
        <v>0</v>
      </c>
      <c r="W95" s="52">
        <f t="shared" ca="1" si="232"/>
        <v>0</v>
      </c>
      <c r="X95" s="52">
        <f t="shared" ca="1" si="232"/>
        <v>0</v>
      </c>
      <c r="Y95" s="52">
        <f t="shared" ca="1" si="232"/>
        <v>0</v>
      </c>
      <c r="Z95" s="52">
        <f t="shared" ca="1" si="232"/>
        <v>0</v>
      </c>
      <c r="AA95" s="52">
        <f t="shared" ca="1" si="232"/>
        <v>0</v>
      </c>
      <c r="AB95" s="52">
        <f t="shared" ca="1" si="232"/>
        <v>0</v>
      </c>
      <c r="AC95" s="52">
        <f t="shared" ca="1" si="232"/>
        <v>0</v>
      </c>
      <c r="AD95" s="52">
        <f t="shared" ca="1" si="232"/>
        <v>627052.01727898442</v>
      </c>
      <c r="AE95" s="52">
        <f t="shared" ca="1" si="232"/>
        <v>647024.37386468984</v>
      </c>
      <c r="AF95" s="52">
        <f t="shared" ca="1" si="232"/>
        <v>667784.47598624637</v>
      </c>
      <c r="AG95" s="52">
        <f t="shared" ca="1" si="232"/>
        <v>630772.39084627037</v>
      </c>
      <c r="AH95" s="52">
        <f t="shared" ca="1" si="232"/>
        <v>513573.66168152611</v>
      </c>
      <c r="AI95" s="52">
        <f t="shared" ca="1" si="232"/>
        <v>396122.30234698468</v>
      </c>
      <c r="AJ95" s="52">
        <f t="shared" ca="1" si="232"/>
        <v>423845.41615374223</v>
      </c>
      <c r="AK95" s="52">
        <f t="shared" ca="1" si="232"/>
        <v>383206.44297483121</v>
      </c>
      <c r="AL95" s="52">
        <f t="shared" ca="1" si="232"/>
        <v>248287.51285686719</v>
      </c>
      <c r="AM95" s="52">
        <f t="shared" ca="1" si="232"/>
        <v>113643.93181848599</v>
      </c>
      <c r="AN95" s="52">
        <f t="shared" ca="1" si="232"/>
        <v>148937.23222712128</v>
      </c>
      <c r="AO95" s="52">
        <f t="shared" ca="1" si="232"/>
        <v>104363.15485197087</v>
      </c>
      <c r="AP95" s="52">
        <f t="shared" ca="1" si="232"/>
        <v>0</v>
      </c>
      <c r="AQ95" s="52">
        <f t="shared" ca="1" si="232"/>
        <v>0</v>
      </c>
      <c r="AR95" s="52">
        <f t="shared" ref="AR95:BW95" ca="1" si="233">AQ97*Flag_Forecast</f>
        <v>0</v>
      </c>
      <c r="AS95" s="52">
        <f t="shared" ca="1" si="233"/>
        <v>0</v>
      </c>
      <c r="AT95" s="52">
        <f t="shared" ca="1" si="233"/>
        <v>0</v>
      </c>
      <c r="AU95" s="52">
        <f t="shared" ca="1" si="233"/>
        <v>0</v>
      </c>
      <c r="AV95" s="52">
        <f t="shared" ca="1" si="233"/>
        <v>0</v>
      </c>
      <c r="AW95" s="52">
        <f t="shared" ca="1" si="233"/>
        <v>0</v>
      </c>
      <c r="AX95" s="52">
        <f t="shared" ca="1" si="233"/>
        <v>0</v>
      </c>
      <c r="AY95" s="52">
        <f t="shared" ca="1" si="233"/>
        <v>0</v>
      </c>
      <c r="AZ95" s="52">
        <f t="shared" ca="1" si="233"/>
        <v>0</v>
      </c>
      <c r="BA95" s="52">
        <f t="shared" ca="1" si="233"/>
        <v>0</v>
      </c>
      <c r="BB95" s="52">
        <f t="shared" ca="1" si="233"/>
        <v>0</v>
      </c>
      <c r="BC95" s="52">
        <f t="shared" ca="1" si="233"/>
        <v>0</v>
      </c>
      <c r="BD95" s="52">
        <f t="shared" ca="1" si="233"/>
        <v>0</v>
      </c>
      <c r="BE95" s="52">
        <f t="shared" ca="1" si="233"/>
        <v>0</v>
      </c>
      <c r="BF95" s="52">
        <f t="shared" ca="1" si="233"/>
        <v>0</v>
      </c>
      <c r="BG95" s="52">
        <f t="shared" ca="1" si="233"/>
        <v>0</v>
      </c>
      <c r="BH95" s="52">
        <f t="shared" ca="1" si="233"/>
        <v>0</v>
      </c>
      <c r="BI95" s="52">
        <f t="shared" ca="1" si="233"/>
        <v>0</v>
      </c>
      <c r="BJ95" s="52">
        <f t="shared" ca="1" si="233"/>
        <v>0</v>
      </c>
      <c r="BK95" s="52">
        <f t="shared" ca="1" si="233"/>
        <v>0</v>
      </c>
      <c r="BL95" s="52">
        <f t="shared" ca="1" si="233"/>
        <v>0</v>
      </c>
      <c r="BM95" s="52">
        <f t="shared" ca="1" si="233"/>
        <v>0</v>
      </c>
      <c r="BN95" s="52">
        <f t="shared" ca="1" si="233"/>
        <v>0</v>
      </c>
      <c r="BO95" s="52">
        <f t="shared" ca="1" si="233"/>
        <v>0</v>
      </c>
      <c r="BP95" s="52">
        <f t="shared" ca="1" si="233"/>
        <v>0</v>
      </c>
      <c r="BQ95" s="52">
        <f t="shared" ca="1" si="233"/>
        <v>0</v>
      </c>
      <c r="BR95" s="52">
        <f t="shared" ca="1" si="233"/>
        <v>0</v>
      </c>
      <c r="BS95" s="52">
        <f t="shared" ca="1" si="233"/>
        <v>0</v>
      </c>
      <c r="BT95" s="52">
        <f t="shared" ca="1" si="233"/>
        <v>0</v>
      </c>
      <c r="BU95" s="52">
        <f t="shared" ca="1" si="233"/>
        <v>0</v>
      </c>
      <c r="BV95" s="52">
        <f t="shared" ca="1" si="233"/>
        <v>0</v>
      </c>
      <c r="BW95" s="52">
        <f t="shared" ca="1" si="233"/>
        <v>0</v>
      </c>
      <c r="BX95" s="52">
        <f t="shared" ref="BX95:CO95" ca="1" si="234">BW97*Flag_Forecast</f>
        <v>0</v>
      </c>
      <c r="BY95" s="52">
        <f t="shared" ca="1" si="234"/>
        <v>0</v>
      </c>
      <c r="BZ95" s="52">
        <f t="shared" ca="1" si="234"/>
        <v>0</v>
      </c>
      <c r="CA95" s="52">
        <f t="shared" ca="1" si="234"/>
        <v>0</v>
      </c>
      <c r="CB95" s="52">
        <f t="shared" ca="1" si="234"/>
        <v>0</v>
      </c>
      <c r="CC95" s="52">
        <f t="shared" ca="1" si="234"/>
        <v>0</v>
      </c>
      <c r="CD95" s="52">
        <f t="shared" ca="1" si="234"/>
        <v>0</v>
      </c>
      <c r="CE95" s="52">
        <f t="shared" ca="1" si="234"/>
        <v>0</v>
      </c>
      <c r="CF95" s="52">
        <f t="shared" ca="1" si="234"/>
        <v>0</v>
      </c>
      <c r="CG95" s="52">
        <f t="shared" ca="1" si="234"/>
        <v>0</v>
      </c>
      <c r="CH95" s="52">
        <f t="shared" ca="1" si="234"/>
        <v>0</v>
      </c>
      <c r="CI95" s="52">
        <f t="shared" ca="1" si="234"/>
        <v>0</v>
      </c>
      <c r="CJ95" s="52">
        <f t="shared" ca="1" si="234"/>
        <v>0</v>
      </c>
      <c r="CK95" s="52">
        <f t="shared" ca="1" si="234"/>
        <v>0</v>
      </c>
      <c r="CL95" s="52">
        <f t="shared" ca="1" si="234"/>
        <v>0</v>
      </c>
      <c r="CM95" s="52">
        <f t="shared" ca="1" si="234"/>
        <v>0</v>
      </c>
      <c r="CN95" s="52">
        <f t="shared" ca="1" si="234"/>
        <v>0</v>
      </c>
      <c r="CO95" s="52">
        <f t="shared" ca="1" si="234"/>
        <v>0</v>
      </c>
    </row>
    <row r="96" spans="1:93" s="133" customFormat="1" ht="14">
      <c r="A96" s="10"/>
      <c r="B96" s="10"/>
      <c r="C96" s="10" t="s">
        <v>492</v>
      </c>
      <c r="D96" s="10"/>
      <c r="E96" s="10"/>
      <c r="F96" s="10"/>
      <c r="G96" s="134" t="str">
        <f>Monetary_Unit</f>
        <v>тыс. руб.</v>
      </c>
      <c r="H96" s="10"/>
      <c r="I96" s="10"/>
      <c r="J96" s="10"/>
      <c r="K96" s="10"/>
      <c r="L96" s="52">
        <f t="shared" ref="L96" ca="1" si="235">L93</f>
        <v>0</v>
      </c>
      <c r="M96" s="52">
        <f t="shared" ref="M96:BX96" ca="1" si="236">M93</f>
        <v>0</v>
      </c>
      <c r="N96" s="52">
        <f t="shared" ca="1" si="236"/>
        <v>0</v>
      </c>
      <c r="O96" s="52">
        <f t="shared" ca="1" si="236"/>
        <v>0</v>
      </c>
      <c r="P96" s="52">
        <f t="shared" ca="1" si="236"/>
        <v>0</v>
      </c>
      <c r="Q96" s="52">
        <f t="shared" ca="1" si="236"/>
        <v>0</v>
      </c>
      <c r="R96" s="52">
        <f t="shared" ca="1" si="236"/>
        <v>0</v>
      </c>
      <c r="S96" s="52">
        <f t="shared" ca="1" si="236"/>
        <v>0</v>
      </c>
      <c r="T96" s="52">
        <f t="shared" ca="1" si="236"/>
        <v>0</v>
      </c>
      <c r="U96" s="52">
        <f t="shared" ca="1" si="236"/>
        <v>0</v>
      </c>
      <c r="V96" s="52">
        <f t="shared" ca="1" si="236"/>
        <v>0</v>
      </c>
      <c r="W96" s="52">
        <f t="shared" ca="1" si="236"/>
        <v>0</v>
      </c>
      <c r="X96" s="52">
        <f t="shared" ca="1" si="236"/>
        <v>0</v>
      </c>
      <c r="Y96" s="52">
        <f t="shared" ca="1" si="236"/>
        <v>0</v>
      </c>
      <c r="Z96" s="52">
        <f t="shared" ca="1" si="236"/>
        <v>0</v>
      </c>
      <c r="AA96" s="52">
        <f t="shared" ca="1" si="236"/>
        <v>0</v>
      </c>
      <c r="AB96" s="52">
        <f t="shared" ca="1" si="236"/>
        <v>0</v>
      </c>
      <c r="AC96" s="52">
        <f t="shared" ca="1" si="236"/>
        <v>627052.01727898442</v>
      </c>
      <c r="AD96" s="52">
        <f t="shared" ca="1" si="236"/>
        <v>19972.356585705362</v>
      </c>
      <c r="AE96" s="52">
        <f t="shared" ca="1" si="236"/>
        <v>20760.102121556556</v>
      </c>
      <c r="AF96" s="52">
        <f t="shared" ca="1" si="236"/>
        <v>-37012.085139976029</v>
      </c>
      <c r="AG96" s="52">
        <f t="shared" ca="1" si="236"/>
        <v>-117198.72916474426</v>
      </c>
      <c r="AH96" s="52">
        <f t="shared" ca="1" si="236"/>
        <v>-117451.35933454143</v>
      </c>
      <c r="AI96" s="52">
        <f t="shared" ca="1" si="236"/>
        <v>27723.113806757552</v>
      </c>
      <c r="AJ96" s="52">
        <f t="shared" ca="1" si="236"/>
        <v>-40638.973178910994</v>
      </c>
      <c r="AK96" s="52">
        <f t="shared" ca="1" si="236"/>
        <v>-134918.93011796402</v>
      </c>
      <c r="AL96" s="52">
        <f t="shared" ca="1" si="236"/>
        <v>-134643.58103838121</v>
      </c>
      <c r="AM96" s="52">
        <f t="shared" ca="1" si="236"/>
        <v>35293.300408635288</v>
      </c>
      <c r="AN96" s="52">
        <f t="shared" ca="1" si="236"/>
        <v>-44574.077375150402</v>
      </c>
      <c r="AO96" s="52">
        <f t="shared" ca="1" si="236"/>
        <v>-104363.15485197154</v>
      </c>
      <c r="AP96" s="52">
        <f t="shared" ca="1" si="236"/>
        <v>0</v>
      </c>
      <c r="AQ96" s="52">
        <f t="shared" ca="1" si="236"/>
        <v>0</v>
      </c>
      <c r="AR96" s="52">
        <f t="shared" ca="1" si="236"/>
        <v>0</v>
      </c>
      <c r="AS96" s="52">
        <f t="shared" ca="1" si="236"/>
        <v>0</v>
      </c>
      <c r="AT96" s="52">
        <f t="shared" ca="1" si="236"/>
        <v>0</v>
      </c>
      <c r="AU96" s="52">
        <f t="shared" ca="1" si="236"/>
        <v>0</v>
      </c>
      <c r="AV96" s="52">
        <f t="shared" ca="1" si="236"/>
        <v>0</v>
      </c>
      <c r="AW96" s="52">
        <f t="shared" ca="1" si="236"/>
        <v>0</v>
      </c>
      <c r="AX96" s="52">
        <f t="shared" ca="1" si="236"/>
        <v>0</v>
      </c>
      <c r="AY96" s="52">
        <f t="shared" ca="1" si="236"/>
        <v>0</v>
      </c>
      <c r="AZ96" s="52">
        <f t="shared" ca="1" si="236"/>
        <v>0</v>
      </c>
      <c r="BA96" s="52">
        <f t="shared" ca="1" si="236"/>
        <v>0</v>
      </c>
      <c r="BB96" s="52">
        <f t="shared" ca="1" si="236"/>
        <v>0</v>
      </c>
      <c r="BC96" s="52">
        <f t="shared" ca="1" si="236"/>
        <v>0</v>
      </c>
      <c r="BD96" s="52">
        <f t="shared" ca="1" si="236"/>
        <v>0</v>
      </c>
      <c r="BE96" s="52">
        <f t="shared" ca="1" si="236"/>
        <v>0</v>
      </c>
      <c r="BF96" s="52">
        <f t="shared" ca="1" si="236"/>
        <v>0</v>
      </c>
      <c r="BG96" s="52">
        <f t="shared" ca="1" si="236"/>
        <v>0</v>
      </c>
      <c r="BH96" s="52">
        <f t="shared" ca="1" si="236"/>
        <v>0</v>
      </c>
      <c r="BI96" s="52">
        <f t="shared" ca="1" si="236"/>
        <v>0</v>
      </c>
      <c r="BJ96" s="52">
        <f t="shared" ca="1" si="236"/>
        <v>0</v>
      </c>
      <c r="BK96" s="52">
        <f t="shared" ca="1" si="236"/>
        <v>0</v>
      </c>
      <c r="BL96" s="52">
        <f t="shared" ca="1" si="236"/>
        <v>0</v>
      </c>
      <c r="BM96" s="52">
        <f t="shared" ca="1" si="236"/>
        <v>0</v>
      </c>
      <c r="BN96" s="52">
        <f t="shared" ca="1" si="236"/>
        <v>0</v>
      </c>
      <c r="BO96" s="52">
        <f t="shared" ca="1" si="236"/>
        <v>0</v>
      </c>
      <c r="BP96" s="52">
        <f t="shared" ca="1" si="236"/>
        <v>0</v>
      </c>
      <c r="BQ96" s="52">
        <f t="shared" ca="1" si="236"/>
        <v>0</v>
      </c>
      <c r="BR96" s="52">
        <f t="shared" ca="1" si="236"/>
        <v>0</v>
      </c>
      <c r="BS96" s="52">
        <f t="shared" ca="1" si="236"/>
        <v>0</v>
      </c>
      <c r="BT96" s="52">
        <f t="shared" ca="1" si="236"/>
        <v>0</v>
      </c>
      <c r="BU96" s="52">
        <f t="shared" ca="1" si="236"/>
        <v>0</v>
      </c>
      <c r="BV96" s="52">
        <f t="shared" ca="1" si="236"/>
        <v>0</v>
      </c>
      <c r="BW96" s="52">
        <f t="shared" ca="1" si="236"/>
        <v>0</v>
      </c>
      <c r="BX96" s="52">
        <f t="shared" ca="1" si="236"/>
        <v>0</v>
      </c>
      <c r="BY96" s="52">
        <f t="shared" ref="BY96:CO96" ca="1" si="237">BY93</f>
        <v>0</v>
      </c>
      <c r="BZ96" s="52">
        <f t="shared" ca="1" si="237"/>
        <v>0</v>
      </c>
      <c r="CA96" s="52">
        <f t="shared" ca="1" si="237"/>
        <v>0</v>
      </c>
      <c r="CB96" s="52">
        <f t="shared" ca="1" si="237"/>
        <v>0</v>
      </c>
      <c r="CC96" s="52">
        <f t="shared" ca="1" si="237"/>
        <v>0</v>
      </c>
      <c r="CD96" s="52">
        <f t="shared" ca="1" si="237"/>
        <v>0</v>
      </c>
      <c r="CE96" s="52">
        <f t="shared" ca="1" si="237"/>
        <v>0</v>
      </c>
      <c r="CF96" s="52">
        <f t="shared" ca="1" si="237"/>
        <v>0</v>
      </c>
      <c r="CG96" s="52">
        <f t="shared" ca="1" si="237"/>
        <v>0</v>
      </c>
      <c r="CH96" s="52">
        <f t="shared" ca="1" si="237"/>
        <v>0</v>
      </c>
      <c r="CI96" s="52">
        <f t="shared" ca="1" si="237"/>
        <v>0</v>
      </c>
      <c r="CJ96" s="52">
        <f t="shared" ca="1" si="237"/>
        <v>0</v>
      </c>
      <c r="CK96" s="52">
        <f t="shared" ca="1" si="237"/>
        <v>0</v>
      </c>
      <c r="CL96" s="52">
        <f t="shared" ca="1" si="237"/>
        <v>0</v>
      </c>
      <c r="CM96" s="52">
        <f t="shared" ca="1" si="237"/>
        <v>0</v>
      </c>
      <c r="CN96" s="52">
        <f t="shared" ca="1" si="237"/>
        <v>0</v>
      </c>
      <c r="CO96" s="52">
        <f t="shared" ca="1" si="237"/>
        <v>0</v>
      </c>
    </row>
    <row r="97" spans="1:93" s="133" customFormat="1" ht="14">
      <c r="A97" s="10"/>
      <c r="B97" s="10"/>
      <c r="C97" s="10" t="s">
        <v>493</v>
      </c>
      <c r="D97" s="10"/>
      <c r="E97" s="10"/>
      <c r="F97" s="10"/>
      <c r="G97" s="134" t="str">
        <f>Monetary_Unit</f>
        <v>тыс. руб.</v>
      </c>
      <c r="H97" s="10"/>
      <c r="I97" s="10"/>
      <c r="J97" s="10"/>
      <c r="K97" s="10"/>
      <c r="L97" s="52">
        <f t="shared" ref="L97" ca="1" si="238">IF(ABS(SUM(L95:L96))&lt;Accuracy,0,SUM(L95:L96))</f>
        <v>0</v>
      </c>
      <c r="M97" s="52">
        <f t="shared" ref="M97:BX97" ca="1" si="239">IF(ABS(SUM(M95:M96))&lt;Accuracy,0,SUM(M95:M96))</f>
        <v>0</v>
      </c>
      <c r="N97" s="52">
        <f t="shared" ca="1" si="239"/>
        <v>0</v>
      </c>
      <c r="O97" s="52">
        <f t="shared" ca="1" si="239"/>
        <v>0</v>
      </c>
      <c r="P97" s="52">
        <f t="shared" ca="1" si="239"/>
        <v>0</v>
      </c>
      <c r="Q97" s="52">
        <f t="shared" ca="1" si="239"/>
        <v>0</v>
      </c>
      <c r="R97" s="52">
        <f t="shared" ca="1" si="239"/>
        <v>0</v>
      </c>
      <c r="S97" s="52">
        <f t="shared" ca="1" si="239"/>
        <v>0</v>
      </c>
      <c r="T97" s="52">
        <f t="shared" ca="1" si="239"/>
        <v>0</v>
      </c>
      <c r="U97" s="52">
        <f t="shared" ca="1" si="239"/>
        <v>0</v>
      </c>
      <c r="V97" s="52">
        <f t="shared" ca="1" si="239"/>
        <v>0</v>
      </c>
      <c r="W97" s="52">
        <f t="shared" ca="1" si="239"/>
        <v>0</v>
      </c>
      <c r="X97" s="52">
        <f t="shared" ca="1" si="239"/>
        <v>0</v>
      </c>
      <c r="Y97" s="52">
        <f t="shared" ca="1" si="239"/>
        <v>0</v>
      </c>
      <c r="Z97" s="52">
        <f t="shared" ca="1" si="239"/>
        <v>0</v>
      </c>
      <c r="AA97" s="52">
        <f t="shared" ca="1" si="239"/>
        <v>0</v>
      </c>
      <c r="AB97" s="52">
        <f t="shared" ca="1" si="239"/>
        <v>0</v>
      </c>
      <c r="AC97" s="52">
        <f t="shared" ca="1" si="239"/>
        <v>627052.01727898442</v>
      </c>
      <c r="AD97" s="52">
        <f t="shared" ca="1" si="239"/>
        <v>647024.37386468984</v>
      </c>
      <c r="AE97" s="52">
        <f t="shared" ca="1" si="239"/>
        <v>667784.47598624637</v>
      </c>
      <c r="AF97" s="52">
        <f t="shared" ca="1" si="239"/>
        <v>630772.39084627037</v>
      </c>
      <c r="AG97" s="52">
        <f t="shared" ca="1" si="239"/>
        <v>513573.66168152611</v>
      </c>
      <c r="AH97" s="52">
        <f t="shared" ca="1" si="239"/>
        <v>396122.30234698468</v>
      </c>
      <c r="AI97" s="52">
        <f t="shared" ca="1" si="239"/>
        <v>423845.41615374223</v>
      </c>
      <c r="AJ97" s="52">
        <f t="shared" ca="1" si="239"/>
        <v>383206.44297483121</v>
      </c>
      <c r="AK97" s="52">
        <f t="shared" ca="1" si="239"/>
        <v>248287.51285686719</v>
      </c>
      <c r="AL97" s="52">
        <f t="shared" ca="1" si="239"/>
        <v>113643.93181848599</v>
      </c>
      <c r="AM97" s="52">
        <f t="shared" ca="1" si="239"/>
        <v>148937.23222712128</v>
      </c>
      <c r="AN97" s="52">
        <f t="shared" ca="1" si="239"/>
        <v>104363.15485197087</v>
      </c>
      <c r="AO97" s="52">
        <f t="shared" ca="1" si="239"/>
        <v>0</v>
      </c>
      <c r="AP97" s="52">
        <f t="shared" ca="1" si="239"/>
        <v>0</v>
      </c>
      <c r="AQ97" s="52">
        <f t="shared" ca="1" si="239"/>
        <v>0</v>
      </c>
      <c r="AR97" s="52">
        <f t="shared" ca="1" si="239"/>
        <v>0</v>
      </c>
      <c r="AS97" s="52">
        <f t="shared" ca="1" si="239"/>
        <v>0</v>
      </c>
      <c r="AT97" s="52">
        <f t="shared" ca="1" si="239"/>
        <v>0</v>
      </c>
      <c r="AU97" s="52">
        <f t="shared" ca="1" si="239"/>
        <v>0</v>
      </c>
      <c r="AV97" s="52">
        <f t="shared" ca="1" si="239"/>
        <v>0</v>
      </c>
      <c r="AW97" s="52">
        <f t="shared" ca="1" si="239"/>
        <v>0</v>
      </c>
      <c r="AX97" s="52">
        <f t="shared" ca="1" si="239"/>
        <v>0</v>
      </c>
      <c r="AY97" s="52">
        <f t="shared" ca="1" si="239"/>
        <v>0</v>
      </c>
      <c r="AZ97" s="52">
        <f t="shared" ca="1" si="239"/>
        <v>0</v>
      </c>
      <c r="BA97" s="52">
        <f t="shared" ca="1" si="239"/>
        <v>0</v>
      </c>
      <c r="BB97" s="52">
        <f t="shared" ca="1" si="239"/>
        <v>0</v>
      </c>
      <c r="BC97" s="52">
        <f t="shared" ca="1" si="239"/>
        <v>0</v>
      </c>
      <c r="BD97" s="52">
        <f t="shared" ca="1" si="239"/>
        <v>0</v>
      </c>
      <c r="BE97" s="52">
        <f t="shared" ca="1" si="239"/>
        <v>0</v>
      </c>
      <c r="BF97" s="52">
        <f t="shared" ca="1" si="239"/>
        <v>0</v>
      </c>
      <c r="BG97" s="52">
        <f t="shared" ca="1" si="239"/>
        <v>0</v>
      </c>
      <c r="BH97" s="52">
        <f t="shared" ca="1" si="239"/>
        <v>0</v>
      </c>
      <c r="BI97" s="52">
        <f t="shared" ca="1" si="239"/>
        <v>0</v>
      </c>
      <c r="BJ97" s="52">
        <f t="shared" ca="1" si="239"/>
        <v>0</v>
      </c>
      <c r="BK97" s="52">
        <f t="shared" ca="1" si="239"/>
        <v>0</v>
      </c>
      <c r="BL97" s="52">
        <f t="shared" ca="1" si="239"/>
        <v>0</v>
      </c>
      <c r="BM97" s="52">
        <f t="shared" ca="1" si="239"/>
        <v>0</v>
      </c>
      <c r="BN97" s="52">
        <f t="shared" ca="1" si="239"/>
        <v>0</v>
      </c>
      <c r="BO97" s="52">
        <f t="shared" ca="1" si="239"/>
        <v>0</v>
      </c>
      <c r="BP97" s="52">
        <f t="shared" ca="1" si="239"/>
        <v>0</v>
      </c>
      <c r="BQ97" s="52">
        <f t="shared" ca="1" si="239"/>
        <v>0</v>
      </c>
      <c r="BR97" s="52">
        <f t="shared" ca="1" si="239"/>
        <v>0</v>
      </c>
      <c r="BS97" s="52">
        <f t="shared" ca="1" si="239"/>
        <v>0</v>
      </c>
      <c r="BT97" s="52">
        <f t="shared" ca="1" si="239"/>
        <v>0</v>
      </c>
      <c r="BU97" s="52">
        <f t="shared" ca="1" si="239"/>
        <v>0</v>
      </c>
      <c r="BV97" s="52">
        <f t="shared" ca="1" si="239"/>
        <v>0</v>
      </c>
      <c r="BW97" s="52">
        <f t="shared" ca="1" si="239"/>
        <v>0</v>
      </c>
      <c r="BX97" s="52">
        <f t="shared" ca="1" si="239"/>
        <v>0</v>
      </c>
      <c r="BY97" s="52">
        <f t="shared" ref="BY97:CO97" ca="1" si="240">IF(ABS(SUM(BY95:BY96))&lt;Accuracy,0,SUM(BY95:BY96))</f>
        <v>0</v>
      </c>
      <c r="BZ97" s="52">
        <f t="shared" ca="1" si="240"/>
        <v>0</v>
      </c>
      <c r="CA97" s="52">
        <f t="shared" ca="1" si="240"/>
        <v>0</v>
      </c>
      <c r="CB97" s="52">
        <f t="shared" ca="1" si="240"/>
        <v>0</v>
      </c>
      <c r="CC97" s="52">
        <f t="shared" ca="1" si="240"/>
        <v>0</v>
      </c>
      <c r="CD97" s="52">
        <f t="shared" ca="1" si="240"/>
        <v>0</v>
      </c>
      <c r="CE97" s="52">
        <f t="shared" ca="1" si="240"/>
        <v>0</v>
      </c>
      <c r="CF97" s="52">
        <f t="shared" ca="1" si="240"/>
        <v>0</v>
      </c>
      <c r="CG97" s="52">
        <f t="shared" ca="1" si="240"/>
        <v>0</v>
      </c>
      <c r="CH97" s="52">
        <f t="shared" ca="1" si="240"/>
        <v>0</v>
      </c>
      <c r="CI97" s="52">
        <f t="shared" ca="1" si="240"/>
        <v>0</v>
      </c>
      <c r="CJ97" s="52">
        <f t="shared" ca="1" si="240"/>
        <v>0</v>
      </c>
      <c r="CK97" s="52">
        <f t="shared" ca="1" si="240"/>
        <v>0</v>
      </c>
      <c r="CL97" s="52">
        <f t="shared" ca="1" si="240"/>
        <v>0</v>
      </c>
      <c r="CM97" s="52">
        <f t="shared" ca="1" si="240"/>
        <v>0</v>
      </c>
      <c r="CN97" s="52">
        <f t="shared" ca="1" si="240"/>
        <v>0</v>
      </c>
      <c r="CO97" s="52">
        <f t="shared" ca="1" si="240"/>
        <v>0</v>
      </c>
    </row>
    <row r="98" spans="1:93" s="141" customFormat="1" ht="12.5">
      <c r="A98" s="10"/>
      <c r="B98" s="10"/>
      <c r="C98" s="10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46" customFormat="1" ht="12.5">
      <c r="C99" s="46" t="s">
        <v>326</v>
      </c>
      <c r="G99" s="89" t="str">
        <f>Monetary_Unit</f>
        <v>тыс. руб.</v>
      </c>
      <c r="I99" s="46">
        <f ca="1">SUM(L99:CQ99)</f>
        <v>0</v>
      </c>
      <c r="L99" s="46">
        <f t="shared" ref="L99:AQ99" ca="1" si="241">(L97-L21)*(ABS(L97-L21)&gt;Accuracy)</f>
        <v>0</v>
      </c>
      <c r="M99" s="46">
        <f t="shared" ca="1" si="241"/>
        <v>0</v>
      </c>
      <c r="N99" s="46">
        <f t="shared" ca="1" si="241"/>
        <v>0</v>
      </c>
      <c r="O99" s="46">
        <f t="shared" ca="1" si="241"/>
        <v>0</v>
      </c>
      <c r="P99" s="46">
        <f t="shared" ca="1" si="241"/>
        <v>0</v>
      </c>
      <c r="Q99" s="46">
        <f t="shared" ca="1" si="241"/>
        <v>0</v>
      </c>
      <c r="R99" s="46">
        <f t="shared" ca="1" si="241"/>
        <v>0</v>
      </c>
      <c r="S99" s="46">
        <f t="shared" ca="1" si="241"/>
        <v>0</v>
      </c>
      <c r="T99" s="46">
        <f t="shared" ca="1" si="241"/>
        <v>0</v>
      </c>
      <c r="U99" s="46">
        <f t="shared" ca="1" si="241"/>
        <v>0</v>
      </c>
      <c r="V99" s="46">
        <f t="shared" ca="1" si="241"/>
        <v>0</v>
      </c>
      <c r="W99" s="46">
        <f t="shared" ca="1" si="241"/>
        <v>0</v>
      </c>
      <c r="X99" s="46">
        <f t="shared" ca="1" si="241"/>
        <v>0</v>
      </c>
      <c r="Y99" s="46">
        <f t="shared" ca="1" si="241"/>
        <v>0</v>
      </c>
      <c r="Z99" s="46">
        <f t="shared" ca="1" si="241"/>
        <v>0</v>
      </c>
      <c r="AA99" s="46">
        <f t="shared" ca="1" si="241"/>
        <v>0</v>
      </c>
      <c r="AB99" s="46">
        <f t="shared" ca="1" si="241"/>
        <v>0</v>
      </c>
      <c r="AC99" s="46">
        <f t="shared" ca="1" si="241"/>
        <v>0</v>
      </c>
      <c r="AD99" s="46">
        <f t="shared" ca="1" si="241"/>
        <v>0</v>
      </c>
      <c r="AE99" s="46">
        <f t="shared" ca="1" si="241"/>
        <v>0</v>
      </c>
      <c r="AF99" s="46">
        <f t="shared" ca="1" si="241"/>
        <v>0</v>
      </c>
      <c r="AG99" s="46">
        <f t="shared" ca="1" si="241"/>
        <v>0</v>
      </c>
      <c r="AH99" s="46">
        <f t="shared" ca="1" si="241"/>
        <v>0</v>
      </c>
      <c r="AI99" s="46">
        <f t="shared" ca="1" si="241"/>
        <v>0</v>
      </c>
      <c r="AJ99" s="46">
        <f t="shared" ca="1" si="241"/>
        <v>0</v>
      </c>
      <c r="AK99" s="46">
        <f t="shared" ca="1" si="241"/>
        <v>0</v>
      </c>
      <c r="AL99" s="46">
        <f t="shared" ca="1" si="241"/>
        <v>0</v>
      </c>
      <c r="AM99" s="46">
        <f t="shared" ca="1" si="241"/>
        <v>0</v>
      </c>
      <c r="AN99" s="46">
        <f t="shared" ca="1" si="241"/>
        <v>0</v>
      </c>
      <c r="AO99" s="46">
        <f t="shared" ca="1" si="241"/>
        <v>0</v>
      </c>
      <c r="AP99" s="46">
        <f t="shared" ca="1" si="241"/>
        <v>0</v>
      </c>
      <c r="AQ99" s="46">
        <f t="shared" ca="1" si="241"/>
        <v>0</v>
      </c>
      <c r="AR99" s="46">
        <f t="shared" ref="AR99:BW99" ca="1" si="242">(AR97-AR21)*(ABS(AR97-AR21)&gt;Accuracy)</f>
        <v>0</v>
      </c>
      <c r="AS99" s="46">
        <f t="shared" ca="1" si="242"/>
        <v>0</v>
      </c>
      <c r="AT99" s="46">
        <f t="shared" ca="1" si="242"/>
        <v>0</v>
      </c>
      <c r="AU99" s="46">
        <f t="shared" ca="1" si="242"/>
        <v>0</v>
      </c>
      <c r="AV99" s="46">
        <f t="shared" ca="1" si="242"/>
        <v>0</v>
      </c>
      <c r="AW99" s="46">
        <f t="shared" ca="1" si="242"/>
        <v>0</v>
      </c>
      <c r="AX99" s="46">
        <f t="shared" ca="1" si="242"/>
        <v>0</v>
      </c>
      <c r="AY99" s="46">
        <f t="shared" ca="1" si="242"/>
        <v>0</v>
      </c>
      <c r="AZ99" s="46">
        <f t="shared" ca="1" si="242"/>
        <v>0</v>
      </c>
      <c r="BA99" s="46">
        <f t="shared" ca="1" si="242"/>
        <v>0</v>
      </c>
      <c r="BB99" s="46">
        <f t="shared" ca="1" si="242"/>
        <v>0</v>
      </c>
      <c r="BC99" s="46">
        <f t="shared" ca="1" si="242"/>
        <v>0</v>
      </c>
      <c r="BD99" s="46">
        <f t="shared" ca="1" si="242"/>
        <v>0</v>
      </c>
      <c r="BE99" s="46">
        <f t="shared" ca="1" si="242"/>
        <v>0</v>
      </c>
      <c r="BF99" s="46">
        <f t="shared" ca="1" si="242"/>
        <v>0</v>
      </c>
      <c r="BG99" s="46">
        <f t="shared" ca="1" si="242"/>
        <v>0</v>
      </c>
      <c r="BH99" s="46">
        <f t="shared" ca="1" si="242"/>
        <v>0</v>
      </c>
      <c r="BI99" s="46">
        <f t="shared" ca="1" si="242"/>
        <v>0</v>
      </c>
      <c r="BJ99" s="46">
        <f t="shared" ca="1" si="242"/>
        <v>0</v>
      </c>
      <c r="BK99" s="46">
        <f t="shared" ca="1" si="242"/>
        <v>0</v>
      </c>
      <c r="BL99" s="46">
        <f t="shared" ca="1" si="242"/>
        <v>0</v>
      </c>
      <c r="BM99" s="46">
        <f t="shared" ca="1" si="242"/>
        <v>0</v>
      </c>
      <c r="BN99" s="46">
        <f t="shared" ca="1" si="242"/>
        <v>0</v>
      </c>
      <c r="BO99" s="46">
        <f t="shared" ca="1" si="242"/>
        <v>0</v>
      </c>
      <c r="BP99" s="46">
        <f t="shared" ca="1" si="242"/>
        <v>0</v>
      </c>
      <c r="BQ99" s="46">
        <f t="shared" ca="1" si="242"/>
        <v>0</v>
      </c>
      <c r="BR99" s="46">
        <f t="shared" ca="1" si="242"/>
        <v>0</v>
      </c>
      <c r="BS99" s="46">
        <f t="shared" ca="1" si="242"/>
        <v>0</v>
      </c>
      <c r="BT99" s="46">
        <f t="shared" ca="1" si="242"/>
        <v>0</v>
      </c>
      <c r="BU99" s="46">
        <f t="shared" ca="1" si="242"/>
        <v>0</v>
      </c>
      <c r="BV99" s="46">
        <f t="shared" ca="1" si="242"/>
        <v>0</v>
      </c>
      <c r="BW99" s="46">
        <f t="shared" ca="1" si="242"/>
        <v>0</v>
      </c>
      <c r="BX99" s="46">
        <f t="shared" ref="BX99:CO99" ca="1" si="243">(BX97-BX21)*(ABS(BX97-BX21)&gt;Accuracy)</f>
        <v>0</v>
      </c>
      <c r="BY99" s="46">
        <f t="shared" ca="1" si="243"/>
        <v>0</v>
      </c>
      <c r="BZ99" s="46">
        <f t="shared" ca="1" si="243"/>
        <v>0</v>
      </c>
      <c r="CA99" s="46">
        <f t="shared" ca="1" si="243"/>
        <v>0</v>
      </c>
      <c r="CB99" s="46">
        <f t="shared" ca="1" si="243"/>
        <v>0</v>
      </c>
      <c r="CC99" s="46">
        <f t="shared" ca="1" si="243"/>
        <v>0</v>
      </c>
      <c r="CD99" s="46">
        <f t="shared" ca="1" si="243"/>
        <v>0</v>
      </c>
      <c r="CE99" s="46">
        <f t="shared" ca="1" si="243"/>
        <v>0</v>
      </c>
      <c r="CF99" s="46">
        <f t="shared" ca="1" si="243"/>
        <v>0</v>
      </c>
      <c r="CG99" s="46">
        <f t="shared" ca="1" si="243"/>
        <v>0</v>
      </c>
      <c r="CH99" s="46">
        <f t="shared" ca="1" si="243"/>
        <v>0</v>
      </c>
      <c r="CI99" s="46">
        <f t="shared" ca="1" si="243"/>
        <v>0</v>
      </c>
      <c r="CJ99" s="46">
        <f t="shared" ca="1" si="243"/>
        <v>0</v>
      </c>
      <c r="CK99" s="46">
        <f t="shared" ca="1" si="243"/>
        <v>0</v>
      </c>
      <c r="CL99" s="46">
        <f t="shared" ca="1" si="243"/>
        <v>0</v>
      </c>
      <c r="CM99" s="46">
        <f t="shared" ca="1" si="243"/>
        <v>0</v>
      </c>
      <c r="CN99" s="46">
        <f t="shared" ca="1" si="243"/>
        <v>0</v>
      </c>
      <c r="CO99" s="46">
        <f t="shared" ca="1" si="243"/>
        <v>0</v>
      </c>
    </row>
    <row r="100" spans="1:93" s="46" customFormat="1" ht="12.5">
      <c r="C100" s="46" t="s">
        <v>327</v>
      </c>
      <c r="G100" s="89" t="str">
        <f>Monetary_Unit</f>
        <v>тыс. руб.</v>
      </c>
      <c r="I100" s="46">
        <f ca="1">SUM(L100:CQ100)</f>
        <v>0</v>
      </c>
      <c r="L100" s="46">
        <f t="shared" ref="L100:BW100" ca="1" si="244">IF(ABS(Cash_EoP)&lt;Accuracy,0,Cash_EoP&lt;0)*1</f>
        <v>0</v>
      </c>
      <c r="M100" s="46">
        <f t="shared" ca="1" si="244"/>
        <v>0</v>
      </c>
      <c r="N100" s="46">
        <f t="shared" ca="1" si="244"/>
        <v>0</v>
      </c>
      <c r="O100" s="46">
        <f t="shared" ca="1" si="244"/>
        <v>0</v>
      </c>
      <c r="P100" s="46">
        <f t="shared" ca="1" si="244"/>
        <v>0</v>
      </c>
      <c r="Q100" s="46">
        <f t="shared" ca="1" si="244"/>
        <v>0</v>
      </c>
      <c r="R100" s="46">
        <f t="shared" ca="1" si="244"/>
        <v>0</v>
      </c>
      <c r="S100" s="46">
        <f t="shared" ca="1" si="244"/>
        <v>0</v>
      </c>
      <c r="T100" s="46">
        <f t="shared" ca="1" si="244"/>
        <v>0</v>
      </c>
      <c r="U100" s="46">
        <f t="shared" ca="1" si="244"/>
        <v>0</v>
      </c>
      <c r="V100" s="46">
        <f t="shared" ca="1" si="244"/>
        <v>0</v>
      </c>
      <c r="W100" s="46">
        <f t="shared" ca="1" si="244"/>
        <v>0</v>
      </c>
      <c r="X100" s="46">
        <f t="shared" ca="1" si="244"/>
        <v>0</v>
      </c>
      <c r="Y100" s="46">
        <f t="shared" ca="1" si="244"/>
        <v>0</v>
      </c>
      <c r="Z100" s="46">
        <f t="shared" ca="1" si="244"/>
        <v>0</v>
      </c>
      <c r="AA100" s="46">
        <f t="shared" ca="1" si="244"/>
        <v>0</v>
      </c>
      <c r="AB100" s="46">
        <f t="shared" ca="1" si="244"/>
        <v>0</v>
      </c>
      <c r="AC100" s="46">
        <f t="shared" ca="1" si="244"/>
        <v>0</v>
      </c>
      <c r="AD100" s="46">
        <f t="shared" ca="1" si="244"/>
        <v>0</v>
      </c>
      <c r="AE100" s="46">
        <f t="shared" ca="1" si="244"/>
        <v>0</v>
      </c>
      <c r="AF100" s="46">
        <f t="shared" ca="1" si="244"/>
        <v>0</v>
      </c>
      <c r="AG100" s="46">
        <f t="shared" ca="1" si="244"/>
        <v>0</v>
      </c>
      <c r="AH100" s="46">
        <f t="shared" ca="1" si="244"/>
        <v>0</v>
      </c>
      <c r="AI100" s="46">
        <f t="shared" ca="1" si="244"/>
        <v>0</v>
      </c>
      <c r="AJ100" s="46">
        <f t="shared" ca="1" si="244"/>
        <v>0</v>
      </c>
      <c r="AK100" s="46">
        <f t="shared" ca="1" si="244"/>
        <v>0</v>
      </c>
      <c r="AL100" s="46">
        <f t="shared" ca="1" si="244"/>
        <v>0</v>
      </c>
      <c r="AM100" s="46">
        <f t="shared" ca="1" si="244"/>
        <v>0</v>
      </c>
      <c r="AN100" s="46">
        <f t="shared" ca="1" si="244"/>
        <v>0</v>
      </c>
      <c r="AO100" s="46">
        <f t="shared" ca="1" si="244"/>
        <v>0</v>
      </c>
      <c r="AP100" s="46">
        <f t="shared" ca="1" si="244"/>
        <v>0</v>
      </c>
      <c r="AQ100" s="46">
        <f t="shared" ca="1" si="244"/>
        <v>0</v>
      </c>
      <c r="AR100" s="46">
        <f t="shared" ca="1" si="244"/>
        <v>0</v>
      </c>
      <c r="AS100" s="46">
        <f t="shared" ca="1" si="244"/>
        <v>0</v>
      </c>
      <c r="AT100" s="46">
        <f t="shared" ca="1" si="244"/>
        <v>0</v>
      </c>
      <c r="AU100" s="46">
        <f t="shared" ca="1" si="244"/>
        <v>0</v>
      </c>
      <c r="AV100" s="46">
        <f t="shared" ca="1" si="244"/>
        <v>0</v>
      </c>
      <c r="AW100" s="46">
        <f t="shared" ca="1" si="244"/>
        <v>0</v>
      </c>
      <c r="AX100" s="46">
        <f t="shared" ca="1" si="244"/>
        <v>0</v>
      </c>
      <c r="AY100" s="46">
        <f t="shared" ca="1" si="244"/>
        <v>0</v>
      </c>
      <c r="AZ100" s="46">
        <f t="shared" ca="1" si="244"/>
        <v>0</v>
      </c>
      <c r="BA100" s="46">
        <f t="shared" ca="1" si="244"/>
        <v>0</v>
      </c>
      <c r="BB100" s="46">
        <f t="shared" ca="1" si="244"/>
        <v>0</v>
      </c>
      <c r="BC100" s="46">
        <f t="shared" ca="1" si="244"/>
        <v>0</v>
      </c>
      <c r="BD100" s="46">
        <f t="shared" ca="1" si="244"/>
        <v>0</v>
      </c>
      <c r="BE100" s="46">
        <f t="shared" ca="1" si="244"/>
        <v>0</v>
      </c>
      <c r="BF100" s="46">
        <f t="shared" ca="1" si="244"/>
        <v>0</v>
      </c>
      <c r="BG100" s="46">
        <f t="shared" ca="1" si="244"/>
        <v>0</v>
      </c>
      <c r="BH100" s="46">
        <f t="shared" ca="1" si="244"/>
        <v>0</v>
      </c>
      <c r="BI100" s="46">
        <f t="shared" ca="1" si="244"/>
        <v>0</v>
      </c>
      <c r="BJ100" s="46">
        <f t="shared" ca="1" si="244"/>
        <v>0</v>
      </c>
      <c r="BK100" s="46">
        <f t="shared" ca="1" si="244"/>
        <v>0</v>
      </c>
      <c r="BL100" s="46">
        <f t="shared" ca="1" si="244"/>
        <v>0</v>
      </c>
      <c r="BM100" s="46">
        <f t="shared" ca="1" si="244"/>
        <v>0</v>
      </c>
      <c r="BN100" s="46">
        <f t="shared" ca="1" si="244"/>
        <v>0</v>
      </c>
      <c r="BO100" s="46">
        <f t="shared" ca="1" si="244"/>
        <v>0</v>
      </c>
      <c r="BP100" s="46">
        <f t="shared" ca="1" si="244"/>
        <v>0</v>
      </c>
      <c r="BQ100" s="46">
        <f t="shared" ca="1" si="244"/>
        <v>0</v>
      </c>
      <c r="BR100" s="46">
        <f t="shared" ca="1" si="244"/>
        <v>0</v>
      </c>
      <c r="BS100" s="46">
        <f t="shared" ca="1" si="244"/>
        <v>0</v>
      </c>
      <c r="BT100" s="46">
        <f t="shared" ca="1" si="244"/>
        <v>0</v>
      </c>
      <c r="BU100" s="46">
        <f t="shared" ca="1" si="244"/>
        <v>0</v>
      </c>
      <c r="BV100" s="46">
        <f t="shared" ca="1" si="244"/>
        <v>0</v>
      </c>
      <c r="BW100" s="46">
        <f t="shared" ca="1" si="244"/>
        <v>0</v>
      </c>
      <c r="BX100" s="46">
        <f t="shared" ref="BX100:CO100" ca="1" si="245">IF(ABS(Cash_EoP)&lt;Accuracy,0,Cash_EoP&lt;0)*1</f>
        <v>0</v>
      </c>
      <c r="BY100" s="46">
        <f t="shared" ca="1" si="245"/>
        <v>0</v>
      </c>
      <c r="BZ100" s="46">
        <f t="shared" ca="1" si="245"/>
        <v>0</v>
      </c>
      <c r="CA100" s="46">
        <f t="shared" ca="1" si="245"/>
        <v>0</v>
      </c>
      <c r="CB100" s="46">
        <f t="shared" ca="1" si="245"/>
        <v>0</v>
      </c>
      <c r="CC100" s="46">
        <f t="shared" ca="1" si="245"/>
        <v>0</v>
      </c>
      <c r="CD100" s="46">
        <f t="shared" ca="1" si="245"/>
        <v>0</v>
      </c>
      <c r="CE100" s="46">
        <f t="shared" ca="1" si="245"/>
        <v>0</v>
      </c>
      <c r="CF100" s="46">
        <f t="shared" ca="1" si="245"/>
        <v>0</v>
      </c>
      <c r="CG100" s="46">
        <f t="shared" ca="1" si="245"/>
        <v>0</v>
      </c>
      <c r="CH100" s="46">
        <f t="shared" ca="1" si="245"/>
        <v>0</v>
      </c>
      <c r="CI100" s="46">
        <f t="shared" ca="1" si="245"/>
        <v>0</v>
      </c>
      <c r="CJ100" s="46">
        <f t="shared" ca="1" si="245"/>
        <v>0</v>
      </c>
      <c r="CK100" s="46">
        <f t="shared" ca="1" si="245"/>
        <v>0</v>
      </c>
      <c r="CL100" s="46">
        <f t="shared" ca="1" si="245"/>
        <v>0</v>
      </c>
      <c r="CM100" s="46">
        <f t="shared" ca="1" si="245"/>
        <v>0</v>
      </c>
      <c r="CN100" s="46">
        <f t="shared" ca="1" si="245"/>
        <v>0</v>
      </c>
      <c r="CO100" s="46">
        <f t="shared" ca="1" si="245"/>
        <v>0</v>
      </c>
    </row>
    <row r="101" spans="1:93" s="46" customFormat="1" ht="12.5">
      <c r="C101" s="46" t="s">
        <v>328</v>
      </c>
      <c r="G101" s="89" t="str">
        <f>Monetary_Unit</f>
        <v>тыс. руб.</v>
      </c>
      <c r="I101" s="46">
        <f ca="1">SUM(L101:CQ101)</f>
        <v>0</v>
      </c>
      <c r="L101" s="46">
        <f ca="1">(Cash_EoP-Расчеты!L1311)*(ABS(Cash_EoP-Расчеты!L1311)&gt;Accuracy)</f>
        <v>0</v>
      </c>
      <c r="M101" s="46">
        <f ca="1">(Cash_EoP-Расчеты!M1311)*(ABS(Cash_EoP-Расчеты!M1311)&gt;Accuracy)</f>
        <v>0</v>
      </c>
      <c r="N101" s="46">
        <f ca="1">(Cash_EoP-Расчеты!N1311)*(ABS(Cash_EoP-Расчеты!N1311)&gt;Accuracy)</f>
        <v>0</v>
      </c>
      <c r="O101" s="46">
        <f ca="1">(Cash_EoP-Расчеты!O1311)*(ABS(Cash_EoP-Расчеты!O1311)&gt;Accuracy)</f>
        <v>0</v>
      </c>
      <c r="P101" s="46">
        <f ca="1">(Cash_EoP-Расчеты!P1311)*(ABS(Cash_EoP-Расчеты!P1311)&gt;Accuracy)</f>
        <v>0</v>
      </c>
      <c r="Q101" s="46">
        <f ca="1">(Cash_EoP-Расчеты!Q1311)*(ABS(Cash_EoP-Расчеты!Q1311)&gt;Accuracy)</f>
        <v>0</v>
      </c>
      <c r="R101" s="46">
        <f ca="1">(Cash_EoP-Расчеты!R1311)*(ABS(Cash_EoP-Расчеты!R1311)&gt;Accuracy)</f>
        <v>0</v>
      </c>
      <c r="S101" s="46">
        <f ca="1">(Cash_EoP-Расчеты!S1311)*(ABS(Cash_EoP-Расчеты!S1311)&gt;Accuracy)</f>
        <v>0</v>
      </c>
      <c r="T101" s="46">
        <f ca="1">(Cash_EoP-Расчеты!T1311)*(ABS(Cash_EoP-Расчеты!T1311)&gt;Accuracy)</f>
        <v>0</v>
      </c>
      <c r="U101" s="46">
        <f ca="1">(Cash_EoP-Расчеты!U1311)*(ABS(Cash_EoP-Расчеты!U1311)&gt;Accuracy)</f>
        <v>0</v>
      </c>
      <c r="V101" s="46">
        <f ca="1">(Cash_EoP-Расчеты!V1311)*(ABS(Cash_EoP-Расчеты!V1311)&gt;Accuracy)</f>
        <v>0</v>
      </c>
      <c r="W101" s="46">
        <f ca="1">(Cash_EoP-Расчеты!W1311)*(ABS(Cash_EoP-Расчеты!W1311)&gt;Accuracy)</f>
        <v>0</v>
      </c>
      <c r="X101" s="46">
        <f ca="1">(Cash_EoP-Расчеты!X1311)*(ABS(Cash_EoP-Расчеты!X1311)&gt;Accuracy)</f>
        <v>0</v>
      </c>
      <c r="Y101" s="46">
        <f ca="1">(Cash_EoP-Расчеты!Y1311)*(ABS(Cash_EoP-Расчеты!Y1311)&gt;Accuracy)</f>
        <v>0</v>
      </c>
      <c r="Z101" s="46">
        <f ca="1">(Cash_EoP-Расчеты!Z1311)*(ABS(Cash_EoP-Расчеты!Z1311)&gt;Accuracy)</f>
        <v>0</v>
      </c>
      <c r="AA101" s="46">
        <f ca="1">(Cash_EoP-Расчеты!AA1311)*(ABS(Cash_EoP-Расчеты!AA1311)&gt;Accuracy)</f>
        <v>0</v>
      </c>
      <c r="AB101" s="46">
        <f ca="1">(Cash_EoP-Расчеты!AB1311)*(ABS(Cash_EoP-Расчеты!AB1311)&gt;Accuracy)</f>
        <v>0</v>
      </c>
      <c r="AC101" s="46">
        <f ca="1">(Cash_EoP-Расчеты!AC1311)*(ABS(Cash_EoP-Расчеты!AC1311)&gt;Accuracy)</f>
        <v>0</v>
      </c>
      <c r="AD101" s="46">
        <f ca="1">(Cash_EoP-Расчеты!AD1311)*(ABS(Cash_EoP-Расчеты!AD1311)&gt;Accuracy)</f>
        <v>0</v>
      </c>
      <c r="AE101" s="46">
        <f ca="1">(Cash_EoP-Расчеты!AE1311)*(ABS(Cash_EoP-Расчеты!AE1311)&gt;Accuracy)</f>
        <v>0</v>
      </c>
      <c r="AF101" s="46">
        <f ca="1">(Cash_EoP-Расчеты!AF1311)*(ABS(Cash_EoP-Расчеты!AF1311)&gt;Accuracy)</f>
        <v>0</v>
      </c>
      <c r="AG101" s="46">
        <f ca="1">(Cash_EoP-Расчеты!AG1311)*(ABS(Cash_EoP-Расчеты!AG1311)&gt;Accuracy)</f>
        <v>0</v>
      </c>
      <c r="AH101" s="46">
        <f ca="1">(Cash_EoP-Расчеты!AH1311)*(ABS(Cash_EoP-Расчеты!AH1311)&gt;Accuracy)</f>
        <v>0</v>
      </c>
      <c r="AI101" s="46">
        <f ca="1">(Cash_EoP-Расчеты!AI1311)*(ABS(Cash_EoP-Расчеты!AI1311)&gt;Accuracy)</f>
        <v>0</v>
      </c>
      <c r="AJ101" s="46">
        <f ca="1">(Cash_EoP-Расчеты!AJ1311)*(ABS(Cash_EoP-Расчеты!AJ1311)&gt;Accuracy)</f>
        <v>0</v>
      </c>
      <c r="AK101" s="46">
        <f ca="1">(Cash_EoP-Расчеты!AK1311)*(ABS(Cash_EoP-Расчеты!AK1311)&gt;Accuracy)</f>
        <v>0</v>
      </c>
      <c r="AL101" s="46">
        <f ca="1">(Cash_EoP-Расчеты!AL1311)*(ABS(Cash_EoP-Расчеты!AL1311)&gt;Accuracy)</f>
        <v>0</v>
      </c>
      <c r="AM101" s="46">
        <f ca="1">(Cash_EoP-Расчеты!AM1311)*(ABS(Cash_EoP-Расчеты!AM1311)&gt;Accuracy)</f>
        <v>0</v>
      </c>
      <c r="AN101" s="46">
        <f ca="1">(Cash_EoP-Расчеты!AN1311)*(ABS(Cash_EoP-Расчеты!AN1311)&gt;Accuracy)</f>
        <v>0</v>
      </c>
      <c r="AO101" s="46">
        <f ca="1">(Cash_EoP-Расчеты!AO1311)*(ABS(Cash_EoP-Расчеты!AO1311)&gt;Accuracy)</f>
        <v>0</v>
      </c>
      <c r="AP101" s="46">
        <f ca="1">(Cash_EoP-Расчеты!AP1311)*(ABS(Cash_EoP-Расчеты!AP1311)&gt;Accuracy)</f>
        <v>0</v>
      </c>
      <c r="AQ101" s="46">
        <f ca="1">(Cash_EoP-Расчеты!AQ1311)*(ABS(Cash_EoP-Расчеты!AQ1311)&gt;Accuracy)</f>
        <v>0</v>
      </c>
      <c r="AR101" s="46">
        <f ca="1">(Cash_EoP-Расчеты!AR1311)*(ABS(Cash_EoP-Расчеты!AR1311)&gt;Accuracy)</f>
        <v>0</v>
      </c>
      <c r="AS101" s="46">
        <f ca="1">(Cash_EoP-Расчеты!AS1311)*(ABS(Cash_EoP-Расчеты!AS1311)&gt;Accuracy)</f>
        <v>0</v>
      </c>
      <c r="AT101" s="46">
        <f ca="1">(Cash_EoP-Расчеты!AT1311)*(ABS(Cash_EoP-Расчеты!AT1311)&gt;Accuracy)</f>
        <v>0</v>
      </c>
      <c r="AU101" s="46">
        <f ca="1">(Cash_EoP-Расчеты!AU1311)*(ABS(Cash_EoP-Расчеты!AU1311)&gt;Accuracy)</f>
        <v>0</v>
      </c>
      <c r="AV101" s="46">
        <f ca="1">(Cash_EoP-Расчеты!AV1311)*(ABS(Cash_EoP-Расчеты!AV1311)&gt;Accuracy)</f>
        <v>0</v>
      </c>
      <c r="AW101" s="46">
        <f ca="1">(Cash_EoP-Расчеты!AW1311)*(ABS(Cash_EoP-Расчеты!AW1311)&gt;Accuracy)</f>
        <v>0</v>
      </c>
      <c r="AX101" s="46">
        <f ca="1">(Cash_EoP-Расчеты!AX1311)*(ABS(Cash_EoP-Расчеты!AX1311)&gt;Accuracy)</f>
        <v>0</v>
      </c>
      <c r="AY101" s="46">
        <f ca="1">(Cash_EoP-Расчеты!AY1311)*(ABS(Cash_EoP-Расчеты!AY1311)&gt;Accuracy)</f>
        <v>0</v>
      </c>
      <c r="AZ101" s="46">
        <f ca="1">(Cash_EoP-Расчеты!AZ1311)*(ABS(Cash_EoP-Расчеты!AZ1311)&gt;Accuracy)</f>
        <v>0</v>
      </c>
      <c r="BA101" s="46">
        <f ca="1">(Cash_EoP-Расчеты!BA1311)*(ABS(Cash_EoP-Расчеты!BA1311)&gt;Accuracy)</f>
        <v>0</v>
      </c>
      <c r="BB101" s="46">
        <f ca="1">(Cash_EoP-Расчеты!BB1311)*(ABS(Cash_EoP-Расчеты!BB1311)&gt;Accuracy)</f>
        <v>0</v>
      </c>
      <c r="BC101" s="46">
        <f ca="1">(Cash_EoP-Расчеты!BC1311)*(ABS(Cash_EoP-Расчеты!BC1311)&gt;Accuracy)</f>
        <v>0</v>
      </c>
      <c r="BD101" s="46">
        <f ca="1">(Cash_EoP-Расчеты!BD1311)*(ABS(Cash_EoP-Расчеты!BD1311)&gt;Accuracy)</f>
        <v>0</v>
      </c>
      <c r="BE101" s="46">
        <f ca="1">(Cash_EoP-Расчеты!BE1311)*(ABS(Cash_EoP-Расчеты!BE1311)&gt;Accuracy)</f>
        <v>0</v>
      </c>
      <c r="BF101" s="46">
        <f ca="1">(Cash_EoP-Расчеты!BF1311)*(ABS(Cash_EoP-Расчеты!BF1311)&gt;Accuracy)</f>
        <v>0</v>
      </c>
      <c r="BG101" s="46">
        <f ca="1">(Cash_EoP-Расчеты!BG1311)*(ABS(Cash_EoP-Расчеты!BG1311)&gt;Accuracy)</f>
        <v>0</v>
      </c>
      <c r="BH101" s="46">
        <f ca="1">(Cash_EoP-Расчеты!BH1311)*(ABS(Cash_EoP-Расчеты!BH1311)&gt;Accuracy)</f>
        <v>0</v>
      </c>
      <c r="BI101" s="46">
        <f ca="1">(Cash_EoP-Расчеты!BI1311)*(ABS(Cash_EoP-Расчеты!BI1311)&gt;Accuracy)</f>
        <v>0</v>
      </c>
      <c r="BJ101" s="46">
        <f ca="1">(Cash_EoP-Расчеты!BJ1311)*(ABS(Cash_EoP-Расчеты!BJ1311)&gt;Accuracy)</f>
        <v>0</v>
      </c>
      <c r="BK101" s="46">
        <f ca="1">(Cash_EoP-Расчеты!BK1311)*(ABS(Cash_EoP-Расчеты!BK1311)&gt;Accuracy)</f>
        <v>0</v>
      </c>
      <c r="BL101" s="46">
        <f ca="1">(Cash_EoP-Расчеты!BL1311)*(ABS(Cash_EoP-Расчеты!BL1311)&gt;Accuracy)</f>
        <v>0</v>
      </c>
      <c r="BM101" s="46">
        <f ca="1">(Cash_EoP-Расчеты!BM1311)*(ABS(Cash_EoP-Расчеты!BM1311)&gt;Accuracy)</f>
        <v>0</v>
      </c>
      <c r="BN101" s="46">
        <f ca="1">(Cash_EoP-Расчеты!BN1311)*(ABS(Cash_EoP-Расчеты!BN1311)&gt;Accuracy)</f>
        <v>0</v>
      </c>
      <c r="BO101" s="46">
        <f ca="1">(Cash_EoP-Расчеты!BO1311)*(ABS(Cash_EoP-Расчеты!BO1311)&gt;Accuracy)</f>
        <v>0</v>
      </c>
      <c r="BP101" s="46">
        <f ca="1">(Cash_EoP-Расчеты!BP1311)*(ABS(Cash_EoP-Расчеты!BP1311)&gt;Accuracy)</f>
        <v>0</v>
      </c>
      <c r="BQ101" s="46">
        <f ca="1">(Cash_EoP-Расчеты!BQ1311)*(ABS(Cash_EoP-Расчеты!BQ1311)&gt;Accuracy)</f>
        <v>0</v>
      </c>
      <c r="BR101" s="46">
        <f ca="1">(Cash_EoP-Расчеты!BR1311)*(ABS(Cash_EoP-Расчеты!BR1311)&gt;Accuracy)</f>
        <v>0</v>
      </c>
      <c r="BS101" s="46">
        <f ca="1">(Cash_EoP-Расчеты!BS1311)*(ABS(Cash_EoP-Расчеты!BS1311)&gt;Accuracy)</f>
        <v>0</v>
      </c>
      <c r="BT101" s="46">
        <f ca="1">(Cash_EoP-Расчеты!BT1311)*(ABS(Cash_EoP-Расчеты!BT1311)&gt;Accuracy)</f>
        <v>0</v>
      </c>
      <c r="BU101" s="46">
        <f ca="1">(Cash_EoP-Расчеты!BU1311)*(ABS(Cash_EoP-Расчеты!BU1311)&gt;Accuracy)</f>
        <v>0</v>
      </c>
      <c r="BV101" s="46">
        <f ca="1">(Cash_EoP-Расчеты!BV1311)*(ABS(Cash_EoP-Расчеты!BV1311)&gt;Accuracy)</f>
        <v>0</v>
      </c>
      <c r="BW101" s="46">
        <f ca="1">(Cash_EoP-Расчеты!BW1311)*(ABS(Cash_EoP-Расчеты!BW1311)&gt;Accuracy)</f>
        <v>0</v>
      </c>
      <c r="BX101" s="46">
        <f ca="1">(Cash_EoP-Расчеты!BX1311)*(ABS(Cash_EoP-Расчеты!BX1311)&gt;Accuracy)</f>
        <v>0</v>
      </c>
      <c r="BY101" s="46">
        <f ca="1">(Cash_EoP-Расчеты!BY1311)*(ABS(Cash_EoP-Расчеты!BY1311)&gt;Accuracy)</f>
        <v>0</v>
      </c>
      <c r="BZ101" s="46">
        <f ca="1">(Cash_EoP-Расчеты!BZ1311)*(ABS(Cash_EoP-Расчеты!BZ1311)&gt;Accuracy)</f>
        <v>0</v>
      </c>
      <c r="CA101" s="46">
        <f ca="1">(Cash_EoP-Расчеты!CA1311)*(ABS(Cash_EoP-Расчеты!CA1311)&gt;Accuracy)</f>
        <v>0</v>
      </c>
      <c r="CB101" s="46">
        <f ca="1">(Cash_EoP-Расчеты!CB1311)*(ABS(Cash_EoP-Расчеты!CB1311)&gt;Accuracy)</f>
        <v>0</v>
      </c>
      <c r="CC101" s="46">
        <f ca="1">(Cash_EoP-Расчеты!CC1311)*(ABS(Cash_EoP-Расчеты!CC1311)&gt;Accuracy)</f>
        <v>0</v>
      </c>
      <c r="CD101" s="46">
        <f ca="1">(Cash_EoP-Расчеты!CD1311)*(ABS(Cash_EoP-Расчеты!CD1311)&gt;Accuracy)</f>
        <v>0</v>
      </c>
      <c r="CE101" s="46">
        <f ca="1">(Cash_EoP-Расчеты!CE1311)*(ABS(Cash_EoP-Расчеты!CE1311)&gt;Accuracy)</f>
        <v>0</v>
      </c>
      <c r="CF101" s="46">
        <f ca="1">(Cash_EoP-Расчеты!CF1311)*(ABS(Cash_EoP-Расчеты!CF1311)&gt;Accuracy)</f>
        <v>0</v>
      </c>
      <c r="CG101" s="46">
        <f ca="1">(Cash_EoP-Расчеты!CG1311)*(ABS(Cash_EoP-Расчеты!CG1311)&gt;Accuracy)</f>
        <v>0</v>
      </c>
      <c r="CH101" s="46">
        <f ca="1">(Cash_EoP-Расчеты!CH1311)*(ABS(Cash_EoP-Расчеты!CH1311)&gt;Accuracy)</f>
        <v>0</v>
      </c>
      <c r="CI101" s="46">
        <f ca="1">(Cash_EoP-Расчеты!CI1311)*(ABS(Cash_EoP-Расчеты!CI1311)&gt;Accuracy)</f>
        <v>0</v>
      </c>
      <c r="CJ101" s="46">
        <f ca="1">(Cash_EoP-Расчеты!CJ1311)*(ABS(Cash_EoP-Расчеты!CJ1311)&gt;Accuracy)</f>
        <v>0</v>
      </c>
      <c r="CK101" s="46">
        <f ca="1">(Cash_EoP-Расчеты!CK1311)*(ABS(Cash_EoP-Расчеты!CK1311)&gt;Accuracy)</f>
        <v>0</v>
      </c>
      <c r="CL101" s="46">
        <f ca="1">(Cash_EoP-Расчеты!CL1311)*(ABS(Cash_EoP-Расчеты!CL1311)&gt;Accuracy)</f>
        <v>0</v>
      </c>
      <c r="CM101" s="46">
        <f ca="1">(Cash_EoP-Расчеты!CM1311)*(ABS(Cash_EoP-Расчеты!CM1311)&gt;Accuracy)</f>
        <v>0</v>
      </c>
      <c r="CN101" s="46">
        <f ca="1">(Cash_EoP-Расчеты!CN1311)*(ABS(Cash_EoP-Расчеты!CN1311)&gt;Accuracy)</f>
        <v>0</v>
      </c>
      <c r="CO101" s="46">
        <f ca="1">(Cash_EoP-Расчеты!CO1311)*(ABS(Cash_EoP-Расчеты!CO1311)&gt;Accuracy)</f>
        <v>0</v>
      </c>
    </row>
    <row r="102" spans="1:93" s="76" customFormat="1" ht="13">
      <c r="A102" s="73"/>
      <c r="B102" s="73"/>
      <c r="C102" s="73"/>
      <c r="D102" s="73"/>
      <c r="E102" s="73"/>
      <c r="F102" s="73"/>
      <c r="G102" s="72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</row>
  </sheetData>
  <phoneticPr fontId="19" type="noConversion"/>
  <conditionalFormatting sqref="L9:CO9">
    <cfRule type="cellIs" dxfId="26" priority="7" operator="equal">
      <formula>2</formula>
    </cfRule>
    <cfRule type="cellIs" dxfId="25" priority="8" operator="equal">
      <formula>1</formula>
    </cfRule>
  </conditionalFormatting>
  <conditionalFormatting sqref="E4">
    <cfRule type="cellIs" dxfId="24" priority="3" operator="equal">
      <formula>FALSE</formula>
    </cfRule>
    <cfRule type="cellIs" dxfId="23" priority="4" operator="equal">
      <formula>TRUE</formula>
    </cfRule>
  </conditionalFormatting>
  <pageMargins left="0.11811023622047245" right="0.11811023622047245" top="0.74803149606299213" bottom="0.74803149606299213" header="0.31496062992125984" footer="0.31496062992125984"/>
  <pageSetup paperSize="9" scale="33" fitToWidth="3" fitToHeight="0" pageOrder="overThenDown" orientation="landscape" r:id="rId1"/>
  <rowBreaks count="2" manualBreakCount="2">
    <brk id="40" max="16383" man="1"/>
    <brk id="64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/>
    <pageSetUpPr fitToPage="1"/>
  </sheetPr>
  <dimension ref="A1:KF102"/>
  <sheetViews>
    <sheetView view="pageBreakPreview" zoomScale="70" zoomScaleNormal="60" zoomScaleSheetLayoutView="70" workbookViewId="0">
      <pane xSplit="10" ySplit="9" topLeftCell="O48" activePane="bottomRight" state="frozen"/>
      <selection pane="topRight" activeCell="K1" sqref="K1"/>
      <selection pane="bottomLeft" activeCell="A10" sqref="A10"/>
      <selection pane="bottomRight" activeCell="P57" sqref="P57:AF57"/>
    </sheetView>
  </sheetViews>
  <sheetFormatPr defaultColWidth="0" defaultRowHeight="15" customHeight="1" zeroHeight="1"/>
  <cols>
    <col min="1" max="1" width="2.26953125" customWidth="1"/>
    <col min="2" max="2" width="2.453125" customWidth="1"/>
    <col min="3" max="3" width="52.453125" customWidth="1"/>
    <col min="4" max="5" width="10.453125" customWidth="1"/>
    <col min="6" max="6" width="2.26953125" customWidth="1"/>
    <col min="7" max="7" width="9.26953125" style="25" customWidth="1"/>
    <col min="8" max="8" width="10.54296875" customWidth="1"/>
    <col min="9" max="9" width="13.453125" customWidth="1"/>
    <col min="10" max="11" width="2.26953125" customWidth="1"/>
    <col min="12" max="93" width="12.453125" customWidth="1"/>
    <col min="94" max="106" width="0" hidden="1" customWidth="1"/>
    <col min="107" max="114" width="12.453125" hidden="1" customWidth="1"/>
    <col min="115" max="126" width="0" hidden="1" customWidth="1"/>
    <col min="127" max="134" width="12.453125" hidden="1" customWidth="1"/>
    <col min="135" max="146" width="0" hidden="1" customWidth="1"/>
    <col min="147" max="155" width="12.453125" hidden="1" customWidth="1"/>
    <col min="156" max="211" width="0" hidden="1" customWidth="1"/>
    <col min="212" max="219" width="12.453125" hidden="1" customWidth="1"/>
    <col min="220" max="243" width="0" hidden="1" customWidth="1"/>
    <col min="244" max="251" width="12.453125" hidden="1" customWidth="1"/>
    <col min="252" max="263" width="0" hidden="1" customWidth="1"/>
    <col min="264" max="271" width="12.453125" hidden="1" customWidth="1"/>
    <col min="272" max="283" width="0" hidden="1" customWidth="1"/>
    <col min="284" max="292" width="12.453125" hidden="1" customWidth="1"/>
    <col min="293" max="16384" width="8.7265625" hidden="1"/>
  </cols>
  <sheetData>
    <row r="1" spans="1:93" ht="14.5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1200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472">
        <f>IF(L7,YEAR(L7),"")</f>
        <v>2025</v>
      </c>
      <c r="M6" s="472">
        <f t="shared" ref="M6:BX6" si="0">IF(M7,YEAR(M7),"")</f>
        <v>2026</v>
      </c>
      <c r="N6" s="472">
        <f t="shared" si="0"/>
        <v>2027</v>
      </c>
      <c r="O6" s="472">
        <f t="shared" si="0"/>
        <v>2028</v>
      </c>
      <c r="P6" s="472">
        <f t="shared" si="0"/>
        <v>2029</v>
      </c>
      <c r="Q6" s="472">
        <f t="shared" si="0"/>
        <v>2030</v>
      </c>
      <c r="R6" s="472">
        <f t="shared" si="0"/>
        <v>2031</v>
      </c>
      <c r="S6" s="472">
        <f t="shared" si="0"/>
        <v>2032</v>
      </c>
      <c r="T6" s="472">
        <f t="shared" si="0"/>
        <v>2033</v>
      </c>
      <c r="U6" s="472">
        <f t="shared" si="0"/>
        <v>2034</v>
      </c>
      <c r="V6" s="472">
        <f t="shared" si="0"/>
        <v>2035</v>
      </c>
      <c r="W6" s="472">
        <f t="shared" si="0"/>
        <v>2036</v>
      </c>
      <c r="X6" s="472">
        <f t="shared" si="0"/>
        <v>2037</v>
      </c>
      <c r="Y6" s="472">
        <f t="shared" si="0"/>
        <v>2038</v>
      </c>
      <c r="Z6" s="472">
        <f t="shared" si="0"/>
        <v>2039</v>
      </c>
      <c r="AA6" s="472">
        <f t="shared" si="0"/>
        <v>2040</v>
      </c>
      <c r="AB6" s="472">
        <f t="shared" si="0"/>
        <v>2041</v>
      </c>
      <c r="AC6" s="472">
        <f t="shared" si="0"/>
        <v>2042</v>
      </c>
      <c r="AD6" s="472">
        <f t="shared" si="0"/>
        <v>2043</v>
      </c>
      <c r="AE6" s="472">
        <f t="shared" si="0"/>
        <v>2044</v>
      </c>
      <c r="AF6" s="472">
        <f t="shared" si="0"/>
        <v>2045</v>
      </c>
      <c r="AG6" s="472">
        <f t="shared" si="0"/>
        <v>2046</v>
      </c>
      <c r="AH6" s="472">
        <f t="shared" si="0"/>
        <v>2047</v>
      </c>
      <c r="AI6" s="472">
        <f t="shared" si="0"/>
        <v>2048</v>
      </c>
      <c r="AJ6" s="472">
        <f t="shared" si="0"/>
        <v>2049</v>
      </c>
      <c r="AK6" s="472" t="str">
        <f t="shared" si="0"/>
        <v/>
      </c>
      <c r="AL6" s="472" t="str">
        <f t="shared" si="0"/>
        <v/>
      </c>
      <c r="AM6" s="472" t="str">
        <f t="shared" si="0"/>
        <v/>
      </c>
      <c r="AN6" s="472" t="str">
        <f t="shared" si="0"/>
        <v/>
      </c>
      <c r="AO6" s="472" t="str">
        <f t="shared" si="0"/>
        <v/>
      </c>
      <c r="AP6" s="472" t="str">
        <f t="shared" si="0"/>
        <v/>
      </c>
      <c r="AQ6" s="472" t="str">
        <f t="shared" si="0"/>
        <v/>
      </c>
      <c r="AR6" s="472" t="str">
        <f t="shared" si="0"/>
        <v/>
      </c>
      <c r="AS6" s="472" t="str">
        <f t="shared" si="0"/>
        <v/>
      </c>
      <c r="AT6" s="472" t="str">
        <f t="shared" si="0"/>
        <v/>
      </c>
      <c r="AU6" s="472" t="str">
        <f t="shared" si="0"/>
        <v/>
      </c>
      <c r="AV6" s="472" t="str">
        <f t="shared" si="0"/>
        <v/>
      </c>
      <c r="AW6" s="472" t="str">
        <f t="shared" si="0"/>
        <v/>
      </c>
      <c r="AX6" s="472" t="str">
        <f t="shared" si="0"/>
        <v/>
      </c>
      <c r="AY6" s="472" t="str">
        <f t="shared" si="0"/>
        <v/>
      </c>
      <c r="AZ6" s="472" t="str">
        <f t="shared" si="0"/>
        <v/>
      </c>
      <c r="BA6" s="472" t="str">
        <f t="shared" si="0"/>
        <v/>
      </c>
      <c r="BB6" s="472" t="str">
        <f t="shared" si="0"/>
        <v/>
      </c>
      <c r="BC6" s="472" t="str">
        <f t="shared" si="0"/>
        <v/>
      </c>
      <c r="BD6" s="472" t="str">
        <f t="shared" si="0"/>
        <v/>
      </c>
      <c r="BE6" s="472" t="str">
        <f t="shared" si="0"/>
        <v/>
      </c>
      <c r="BF6" s="472" t="str">
        <f t="shared" si="0"/>
        <v/>
      </c>
      <c r="BG6" s="472" t="str">
        <f t="shared" si="0"/>
        <v/>
      </c>
      <c r="BH6" s="472" t="str">
        <f t="shared" si="0"/>
        <v/>
      </c>
      <c r="BI6" s="472" t="str">
        <f t="shared" si="0"/>
        <v/>
      </c>
      <c r="BJ6" s="472" t="str">
        <f t="shared" si="0"/>
        <v/>
      </c>
      <c r="BK6" s="472" t="str">
        <f t="shared" si="0"/>
        <v/>
      </c>
      <c r="BL6" s="472" t="str">
        <f t="shared" si="0"/>
        <v/>
      </c>
      <c r="BM6" s="472" t="str">
        <f t="shared" si="0"/>
        <v/>
      </c>
      <c r="BN6" s="472" t="str">
        <f t="shared" si="0"/>
        <v/>
      </c>
      <c r="BO6" s="472" t="str">
        <f t="shared" si="0"/>
        <v/>
      </c>
      <c r="BP6" s="472" t="str">
        <f t="shared" si="0"/>
        <v/>
      </c>
      <c r="BQ6" s="472" t="str">
        <f t="shared" si="0"/>
        <v/>
      </c>
      <c r="BR6" s="472" t="str">
        <f t="shared" si="0"/>
        <v/>
      </c>
      <c r="BS6" s="472" t="str">
        <f t="shared" si="0"/>
        <v/>
      </c>
      <c r="BT6" s="472" t="str">
        <f t="shared" si="0"/>
        <v/>
      </c>
      <c r="BU6" s="472" t="str">
        <f t="shared" si="0"/>
        <v/>
      </c>
      <c r="BV6" s="472" t="str">
        <f t="shared" si="0"/>
        <v/>
      </c>
      <c r="BW6" s="472" t="str">
        <f t="shared" si="0"/>
        <v/>
      </c>
      <c r="BX6" s="472" t="str">
        <f t="shared" si="0"/>
        <v/>
      </c>
      <c r="BY6" s="472" t="str">
        <f t="shared" ref="BY6:CO6" si="1">IF(BY7,YEAR(BY7),"")</f>
        <v/>
      </c>
      <c r="BZ6" s="472" t="str">
        <f t="shared" si="1"/>
        <v/>
      </c>
      <c r="CA6" s="472" t="str">
        <f t="shared" si="1"/>
        <v/>
      </c>
      <c r="CB6" s="472" t="str">
        <f t="shared" si="1"/>
        <v/>
      </c>
      <c r="CC6" s="472" t="str">
        <f t="shared" si="1"/>
        <v/>
      </c>
      <c r="CD6" s="472" t="str">
        <f t="shared" si="1"/>
        <v/>
      </c>
      <c r="CE6" s="472" t="str">
        <f t="shared" si="1"/>
        <v/>
      </c>
      <c r="CF6" s="472" t="str">
        <f t="shared" si="1"/>
        <v/>
      </c>
      <c r="CG6" s="472" t="str">
        <f t="shared" si="1"/>
        <v/>
      </c>
      <c r="CH6" s="472" t="str">
        <f t="shared" si="1"/>
        <v/>
      </c>
      <c r="CI6" s="472" t="str">
        <f t="shared" si="1"/>
        <v/>
      </c>
      <c r="CJ6" s="472" t="str">
        <f t="shared" si="1"/>
        <v/>
      </c>
      <c r="CK6" s="472" t="str">
        <f t="shared" si="1"/>
        <v/>
      </c>
      <c r="CL6" s="472" t="str">
        <f t="shared" si="1"/>
        <v/>
      </c>
      <c r="CM6" s="472" t="str">
        <f t="shared" si="1"/>
        <v/>
      </c>
      <c r="CN6" s="472" t="str">
        <f t="shared" si="1"/>
        <v/>
      </c>
      <c r="CO6" s="472" t="str">
        <f t="shared" si="1"/>
        <v/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471">
        <f>IF(SUM($K7:K7)=0,DATE(YEAR(Date_Model_Start),1,1),IF(K7,IF(K8+1&lt;=Date_Operations_End,K8+1)))</f>
        <v>45658</v>
      </c>
      <c r="M7" s="471">
        <f>IF(SUM($K7:L7)=0,DATE(YEAR(Date_Model_Start),1,1),IF(L7,IF(L8+1&lt;=Date_Operations_End,L8+1)))</f>
        <v>46023</v>
      </c>
      <c r="N7" s="471">
        <f>IF(SUM($K7:M7)=0,DATE(YEAR(Date_Model_Start),1,1),IF(M7,IF(M8+1&lt;=Date_Operations_End,M8+1)))</f>
        <v>46388</v>
      </c>
      <c r="O7" s="471">
        <f>IF(SUM($K7:N7)=0,DATE(YEAR(Date_Model_Start),1,1),IF(N7,IF(N8+1&lt;=Date_Operations_End,N8+1)))</f>
        <v>46753</v>
      </c>
      <c r="P7" s="471">
        <f>IF(SUM($K7:O7)=0,DATE(YEAR(Date_Model_Start),1,1),IF(O7,IF(O8+1&lt;=Date_Operations_End,O8+1)))</f>
        <v>47119</v>
      </c>
      <c r="Q7" s="471">
        <f>IF(SUM($K7:P7)=0,DATE(YEAR(Date_Model_Start),1,1),IF(P7,IF(P8+1&lt;=Date_Operations_End,P8+1)))</f>
        <v>47484</v>
      </c>
      <c r="R7" s="471">
        <f>IF(SUM($K7:Q7)=0,DATE(YEAR(Date_Model_Start),1,1),IF(Q7,IF(Q8+1&lt;=Date_Operations_End,Q8+1)))</f>
        <v>47849</v>
      </c>
      <c r="S7" s="471">
        <f>IF(SUM($K7:R7)=0,DATE(YEAR(Date_Model_Start),1,1),IF(R7,IF(R8+1&lt;=Date_Operations_End,R8+1)))</f>
        <v>48214</v>
      </c>
      <c r="T7" s="471">
        <f>IF(SUM($K7:S7)=0,DATE(YEAR(Date_Model_Start),1,1),IF(S7,IF(S8+1&lt;=Date_Operations_End,S8+1)))</f>
        <v>48580</v>
      </c>
      <c r="U7" s="471">
        <f>IF(SUM($K7:T7)=0,DATE(YEAR(Date_Model_Start),1,1),IF(T7,IF(T8+1&lt;=Date_Operations_End,T8+1)))</f>
        <v>48945</v>
      </c>
      <c r="V7" s="471">
        <f>IF(SUM($K7:U7)=0,DATE(YEAR(Date_Model_Start),1,1),IF(U7,IF(U8+1&lt;=Date_Operations_End,U8+1)))</f>
        <v>49310</v>
      </c>
      <c r="W7" s="471">
        <f>IF(SUM($K7:V7)=0,DATE(YEAR(Date_Model_Start),1,1),IF(V7,IF(V8+1&lt;=Date_Operations_End,V8+1)))</f>
        <v>49675</v>
      </c>
      <c r="X7" s="471">
        <f>IF(SUM($K7:W7)=0,DATE(YEAR(Date_Model_Start),1,1),IF(W7,IF(W8+1&lt;=Date_Operations_End,W8+1)))</f>
        <v>50041</v>
      </c>
      <c r="Y7" s="471">
        <f>IF(SUM($K7:X7)=0,DATE(YEAR(Date_Model_Start),1,1),IF(X7,IF(X8+1&lt;=Date_Operations_End,X8+1)))</f>
        <v>50406</v>
      </c>
      <c r="Z7" s="471">
        <f>IF(SUM($K7:Y7)=0,DATE(YEAR(Date_Model_Start),1,1),IF(Y7,IF(Y8+1&lt;=Date_Operations_End,Y8+1)))</f>
        <v>50771</v>
      </c>
      <c r="AA7" s="471">
        <f>IF(SUM($K7:Z7)=0,DATE(YEAR(Date_Model_Start),1,1),IF(Z7,IF(Z8+1&lt;=Date_Operations_End,Z8+1)))</f>
        <v>51136</v>
      </c>
      <c r="AB7" s="471">
        <f>IF(SUM($K7:AA7)=0,DATE(YEAR(Date_Model_Start),1,1),IF(AA7,IF(AA8+1&lt;=Date_Operations_End,AA8+1)))</f>
        <v>51502</v>
      </c>
      <c r="AC7" s="471">
        <f>IF(SUM($K7:AB7)=0,DATE(YEAR(Date_Model_Start),1,1),IF(AB7,IF(AB8+1&lt;=Date_Operations_End,AB8+1)))</f>
        <v>51867</v>
      </c>
      <c r="AD7" s="471">
        <f>IF(SUM($K7:AC7)=0,DATE(YEAR(Date_Model_Start),1,1),IF(AC7,IF(AC8+1&lt;=Date_Operations_End,AC8+1)))</f>
        <v>52232</v>
      </c>
      <c r="AE7" s="471">
        <f>IF(SUM($K7:AD7)=0,DATE(YEAR(Date_Model_Start),1,1),IF(AD7,IF(AD8+1&lt;=Date_Operations_End,AD8+1)))</f>
        <v>52597</v>
      </c>
      <c r="AF7" s="471">
        <f>IF(SUM($K7:AE7)=0,DATE(YEAR(Date_Model_Start),1,1),IF(AE7,IF(AE8+1&lt;=Date_Operations_End,AE8+1)))</f>
        <v>52963</v>
      </c>
      <c r="AG7" s="471">
        <f>IF(SUM($K7:AF7)=0,DATE(YEAR(Date_Model_Start),1,1),IF(AF7,IF(AF8+1&lt;=Date_Operations_End,AF8+1)))</f>
        <v>53328</v>
      </c>
      <c r="AH7" s="471">
        <f>IF(SUM($K7:AG7)=0,DATE(YEAR(Date_Model_Start),1,1),IF(AG7,IF(AG8+1&lt;=Date_Operations_End,AG8+1)))</f>
        <v>53693</v>
      </c>
      <c r="AI7" s="471">
        <f>IF(SUM($K7:AH7)=0,DATE(YEAR(Date_Model_Start),1,1),IF(AH7,IF(AH8+1&lt;=Date_Operations_End,AH8+1)))</f>
        <v>54058</v>
      </c>
      <c r="AJ7" s="471">
        <f>IF(SUM($K7:AI7)=0,DATE(YEAR(Date_Model_Start),1,1),IF(AI7,IF(AI8+1&lt;=Date_Operations_End,AI8+1)))</f>
        <v>54424</v>
      </c>
      <c r="AK7" s="471" t="b">
        <f>IF(SUM($K7:AJ7)=0,DATE(YEAR(Date_Model_Start),1,1),IF(AJ7,IF(AJ8+1&lt;=Date_Operations_End,AJ8+1)))</f>
        <v>0</v>
      </c>
      <c r="AL7" s="471" t="b">
        <f>IF(SUM($K7:AK7)=0,DATE(YEAR(Date_Model_Start),1,1),IF(AK7,IF(AK8+1&lt;=Date_Operations_End,AK8+1)))</f>
        <v>0</v>
      </c>
      <c r="AM7" s="471" t="b">
        <f>IF(SUM($K7:AL7)=0,DATE(YEAR(Date_Model_Start),1,1),IF(AL7,IF(AL8+1&lt;=Date_Operations_End,AL8+1)))</f>
        <v>0</v>
      </c>
      <c r="AN7" s="471" t="b">
        <f>IF(SUM($K7:AM7)=0,DATE(YEAR(Date_Model_Start),1,1),IF(AM7,IF(AM8+1&lt;=Date_Operations_End,AM8+1)))</f>
        <v>0</v>
      </c>
      <c r="AO7" s="471" t="b">
        <f>IF(SUM($K7:AN7)=0,DATE(YEAR(Date_Model_Start),1,1),IF(AN7,IF(AN8+1&lt;=Date_Operations_End,AN8+1)))</f>
        <v>0</v>
      </c>
      <c r="AP7" s="471" t="b">
        <f>IF(SUM($K7:AO7)=0,DATE(YEAR(Date_Model_Start),1,1),IF(AO7,IF(AO8+1&lt;=Date_Operations_End,AO8+1)))</f>
        <v>0</v>
      </c>
      <c r="AQ7" s="471" t="b">
        <f>IF(SUM($K7:AP7)=0,DATE(YEAR(Date_Model_Start),1,1),IF(AP7,IF(AP8+1&lt;=Date_Operations_End,AP8+1)))</f>
        <v>0</v>
      </c>
      <c r="AR7" s="471" t="b">
        <f>IF(SUM($K7:AQ7)=0,DATE(YEAR(Date_Model_Start),1,1),IF(AQ7,IF(AQ8+1&lt;=Date_Operations_End,AQ8+1)))</f>
        <v>0</v>
      </c>
      <c r="AS7" s="471" t="b">
        <f>IF(SUM($K7:AR7)=0,DATE(YEAR(Date_Model_Start),1,1),IF(AR7,IF(AR8+1&lt;=Date_Operations_End,AR8+1)))</f>
        <v>0</v>
      </c>
      <c r="AT7" s="471" t="b">
        <f>IF(SUM($K7:AS7)=0,DATE(YEAR(Date_Model_Start),1,1),IF(AS7,IF(AS8+1&lt;=Date_Operations_End,AS8+1)))</f>
        <v>0</v>
      </c>
      <c r="AU7" s="471" t="b">
        <f>IF(SUM($K7:AT7)=0,DATE(YEAR(Date_Model_Start),1,1),IF(AT7,IF(AT8+1&lt;=Date_Operations_End,AT8+1)))</f>
        <v>0</v>
      </c>
      <c r="AV7" s="471" t="b">
        <f>IF(SUM($K7:AU7)=0,DATE(YEAR(Date_Model_Start),1,1),IF(AU7,IF(AU8+1&lt;=Date_Operations_End,AU8+1)))</f>
        <v>0</v>
      </c>
      <c r="AW7" s="471" t="b">
        <f>IF(SUM($K7:AV7)=0,DATE(YEAR(Date_Model_Start),1,1),IF(AV7,IF(AV8+1&lt;=Date_Operations_End,AV8+1)))</f>
        <v>0</v>
      </c>
      <c r="AX7" s="471" t="b">
        <f>IF(SUM($K7:AW7)=0,DATE(YEAR(Date_Model_Start),1,1),IF(AW7,IF(AW8+1&lt;=Date_Operations_End,AW8+1)))</f>
        <v>0</v>
      </c>
      <c r="AY7" s="471" t="b">
        <f>IF(SUM($K7:AX7)=0,DATE(YEAR(Date_Model_Start),1,1),IF(AX7,IF(AX8+1&lt;=Date_Operations_End,AX8+1)))</f>
        <v>0</v>
      </c>
      <c r="AZ7" s="471" t="b">
        <f>IF(SUM($K7:AY7)=0,DATE(YEAR(Date_Model_Start),1,1),IF(AY7,IF(AY8+1&lt;=Date_Operations_End,AY8+1)))</f>
        <v>0</v>
      </c>
      <c r="BA7" s="471" t="b">
        <f>IF(SUM($K7:AZ7)=0,DATE(YEAR(Date_Model_Start),1,1),IF(AZ7,IF(AZ8+1&lt;=Date_Operations_End,AZ8+1)))</f>
        <v>0</v>
      </c>
      <c r="BB7" s="471" t="b">
        <f>IF(SUM($K7:BA7)=0,DATE(YEAR(Date_Model_Start),1,1),IF(BA7,IF(BA8+1&lt;=Date_Operations_End,BA8+1)))</f>
        <v>0</v>
      </c>
      <c r="BC7" s="471" t="b">
        <f>IF(SUM($K7:BB7)=0,DATE(YEAR(Date_Model_Start),1,1),IF(BB7,IF(BB8+1&lt;=Date_Operations_End,BB8+1)))</f>
        <v>0</v>
      </c>
      <c r="BD7" s="471" t="b">
        <f>IF(SUM($K7:BC7)=0,DATE(YEAR(Date_Model_Start),1,1),IF(BC7,IF(BC8+1&lt;=Date_Operations_End,BC8+1)))</f>
        <v>0</v>
      </c>
      <c r="BE7" s="471" t="b">
        <f>IF(SUM($K7:BD7)=0,DATE(YEAR(Date_Model_Start),1,1),IF(BD7,IF(BD8+1&lt;=Date_Operations_End,BD8+1)))</f>
        <v>0</v>
      </c>
      <c r="BF7" s="471" t="b">
        <f>IF(SUM($K7:BE7)=0,DATE(YEAR(Date_Model_Start),1,1),IF(BE7,IF(BE8+1&lt;=Date_Operations_End,BE8+1)))</f>
        <v>0</v>
      </c>
      <c r="BG7" s="471" t="b">
        <f>IF(SUM($K7:BF7)=0,DATE(YEAR(Date_Model_Start),1,1),IF(BF7,IF(BF8+1&lt;=Date_Operations_End,BF8+1)))</f>
        <v>0</v>
      </c>
      <c r="BH7" s="471" t="b">
        <f>IF(SUM($K7:BG7)=0,DATE(YEAR(Date_Model_Start),1,1),IF(BG7,IF(BG8+1&lt;=Date_Operations_End,BG8+1)))</f>
        <v>0</v>
      </c>
      <c r="BI7" s="471" t="b">
        <f>IF(SUM($K7:BH7)=0,DATE(YEAR(Date_Model_Start),1,1),IF(BH7,IF(BH8+1&lt;=Date_Operations_End,BH8+1)))</f>
        <v>0</v>
      </c>
      <c r="BJ7" s="471" t="b">
        <f>IF(SUM($K7:BI7)=0,DATE(YEAR(Date_Model_Start),1,1),IF(BI7,IF(BI8+1&lt;=Date_Operations_End,BI8+1)))</f>
        <v>0</v>
      </c>
      <c r="BK7" s="471" t="b">
        <f>IF(SUM($K7:BJ7)=0,DATE(YEAR(Date_Model_Start),1,1),IF(BJ7,IF(BJ8+1&lt;=Date_Operations_End,BJ8+1)))</f>
        <v>0</v>
      </c>
      <c r="BL7" s="471" t="b">
        <f>IF(SUM($K7:BK7)=0,DATE(YEAR(Date_Model_Start),1,1),IF(BK7,IF(BK8+1&lt;=Date_Operations_End,BK8+1)))</f>
        <v>0</v>
      </c>
      <c r="BM7" s="471" t="b">
        <f>IF(SUM($K7:BL7)=0,DATE(YEAR(Date_Model_Start),1,1),IF(BL7,IF(BL8+1&lt;=Date_Operations_End,BL8+1)))</f>
        <v>0</v>
      </c>
      <c r="BN7" s="471" t="b">
        <f>IF(SUM($K7:BM7)=0,DATE(YEAR(Date_Model_Start),1,1),IF(BM7,IF(BM8+1&lt;=Date_Operations_End,BM8+1)))</f>
        <v>0</v>
      </c>
      <c r="BO7" s="471" t="b">
        <f>IF(SUM($K7:BN7)=0,DATE(YEAR(Date_Model_Start),1,1),IF(BN7,IF(BN8+1&lt;=Date_Operations_End,BN8+1)))</f>
        <v>0</v>
      </c>
      <c r="BP7" s="471" t="b">
        <f>IF(SUM($K7:BO7)=0,DATE(YEAR(Date_Model_Start),1,1),IF(BO7,IF(BO8+1&lt;=Date_Operations_End,BO8+1)))</f>
        <v>0</v>
      </c>
      <c r="BQ7" s="471" t="b">
        <f>IF(SUM($K7:BP7)=0,DATE(YEAR(Date_Model_Start),1,1),IF(BP7,IF(BP8+1&lt;=Date_Operations_End,BP8+1)))</f>
        <v>0</v>
      </c>
      <c r="BR7" s="471" t="b">
        <f>IF(SUM($K7:BQ7)=0,DATE(YEAR(Date_Model_Start),1,1),IF(BQ7,IF(BQ8+1&lt;=Date_Operations_End,BQ8+1)))</f>
        <v>0</v>
      </c>
      <c r="BS7" s="471" t="b">
        <f>IF(SUM($K7:BR7)=0,DATE(YEAR(Date_Model_Start),1,1),IF(BR7,IF(BR8+1&lt;=Date_Operations_End,BR8+1)))</f>
        <v>0</v>
      </c>
      <c r="BT7" s="471" t="b">
        <f>IF(SUM($K7:BS7)=0,DATE(YEAR(Date_Model_Start),1,1),IF(BS7,IF(BS8+1&lt;=Date_Operations_End,BS8+1)))</f>
        <v>0</v>
      </c>
      <c r="BU7" s="471" t="b">
        <f>IF(SUM($K7:BT7)=0,DATE(YEAR(Date_Model_Start),1,1),IF(BT7,IF(BT8+1&lt;=Date_Operations_End,BT8+1)))</f>
        <v>0</v>
      </c>
      <c r="BV7" s="471" t="b">
        <f>IF(SUM($K7:BU7)=0,DATE(YEAR(Date_Model_Start),1,1),IF(BU7,IF(BU8+1&lt;=Date_Operations_End,BU8+1)))</f>
        <v>0</v>
      </c>
      <c r="BW7" s="471" t="b">
        <f>IF(SUM($K7:BV7)=0,DATE(YEAR(Date_Model_Start),1,1),IF(BV7,IF(BV8+1&lt;=Date_Operations_End,BV8+1)))</f>
        <v>0</v>
      </c>
      <c r="BX7" s="471" t="b">
        <f>IF(SUM($K7:BW7)=0,DATE(YEAR(Date_Model_Start),1,1),IF(BW7,IF(BW8+1&lt;=Date_Operations_End,BW8+1)))</f>
        <v>0</v>
      </c>
      <c r="BY7" s="471" t="b">
        <f>IF(SUM($K7:BX7)=0,DATE(YEAR(Date_Model_Start),1,1),IF(BX7,IF(BX8+1&lt;=Date_Operations_End,BX8+1)))</f>
        <v>0</v>
      </c>
      <c r="BZ7" s="471" t="b">
        <f>IF(SUM($K7:BY7)=0,DATE(YEAR(Date_Model_Start),1,1),IF(BY7,IF(BY8+1&lt;=Date_Operations_End,BY8+1)))</f>
        <v>0</v>
      </c>
      <c r="CA7" s="471" t="b">
        <f>IF(SUM($K7:BZ7)=0,DATE(YEAR(Date_Model_Start),1,1),IF(BZ7,IF(BZ8+1&lt;=Date_Operations_End,BZ8+1)))</f>
        <v>0</v>
      </c>
      <c r="CB7" s="471" t="b">
        <f>IF(SUM($K7:CA7)=0,DATE(YEAR(Date_Model_Start),1,1),IF(CA7,IF(CA8+1&lt;=Date_Operations_End,CA8+1)))</f>
        <v>0</v>
      </c>
      <c r="CC7" s="471" t="b">
        <f>IF(SUM($K7:CB7)=0,DATE(YEAR(Date_Model_Start),1,1),IF(CB7,IF(CB8+1&lt;=Date_Operations_End,CB8+1)))</f>
        <v>0</v>
      </c>
      <c r="CD7" s="471" t="b">
        <f>IF(SUM($K7:CC7)=0,DATE(YEAR(Date_Model_Start),1,1),IF(CC7,IF(CC8+1&lt;=Date_Operations_End,CC8+1)))</f>
        <v>0</v>
      </c>
      <c r="CE7" s="471" t="b">
        <f>IF(SUM($K7:CD7)=0,DATE(YEAR(Date_Model_Start),1,1),IF(CD7,IF(CD8+1&lt;=Date_Operations_End,CD8+1)))</f>
        <v>0</v>
      </c>
      <c r="CF7" s="471" t="b">
        <f>IF(SUM($K7:CE7)=0,DATE(YEAR(Date_Model_Start),1,1),IF(CE7,IF(CE8+1&lt;=Date_Operations_End,CE8+1)))</f>
        <v>0</v>
      </c>
      <c r="CG7" s="471" t="b">
        <f>IF(SUM($K7:CF7)=0,DATE(YEAR(Date_Model_Start),1,1),IF(CF7,IF(CF8+1&lt;=Date_Operations_End,CF8+1)))</f>
        <v>0</v>
      </c>
      <c r="CH7" s="471" t="b">
        <f>IF(SUM($K7:CG7)=0,DATE(YEAR(Date_Model_Start),1,1),IF(CG7,IF(CG8+1&lt;=Date_Operations_End,CG8+1)))</f>
        <v>0</v>
      </c>
      <c r="CI7" s="471" t="b">
        <f>IF(SUM($K7:CH7)=0,DATE(YEAR(Date_Model_Start),1,1),IF(CH7,IF(CH8+1&lt;=Date_Operations_End,CH8+1)))</f>
        <v>0</v>
      </c>
      <c r="CJ7" s="471" t="b">
        <f>IF(SUM($K7:CI7)=0,DATE(YEAR(Date_Model_Start),1,1),IF(CI7,IF(CI8+1&lt;=Date_Operations_End,CI8+1)))</f>
        <v>0</v>
      </c>
      <c r="CK7" s="471" t="b">
        <f>IF(SUM($K7:CJ7)=0,DATE(YEAR(Date_Model_Start),1,1),IF(CJ7,IF(CJ8+1&lt;=Date_Operations_End,CJ8+1)))</f>
        <v>0</v>
      </c>
      <c r="CL7" s="471" t="b">
        <f>IF(SUM($K7:CK7)=0,DATE(YEAR(Date_Model_Start),1,1),IF(CK7,IF(CK8+1&lt;=Date_Operations_End,CK8+1)))</f>
        <v>0</v>
      </c>
      <c r="CM7" s="471" t="b">
        <f>IF(SUM($K7:CL7)=0,DATE(YEAR(Date_Model_Start),1,1),IF(CL7,IF(CL8+1&lt;=Date_Operations_End,CL8+1)))</f>
        <v>0</v>
      </c>
      <c r="CN7" s="471" t="b">
        <f>IF(SUM($K7:CM7)=0,DATE(YEAR(Date_Model_Start),1,1),IF(CM7,IF(CM8+1&lt;=Date_Operations_End,CM8+1)))</f>
        <v>0</v>
      </c>
      <c r="CO7" s="471" t="b">
        <f>IF(SUM($K7:CN7)=0,DATE(YEAR(Date_Model_Start),1,1),IF(CN7,IF(CN8+1&lt;=Date_Operations_End,CN8+1)))</f>
        <v>0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471">
        <f t="shared" ref="L8:AQ8" si="2">MIN(IF(L7,EOMONTH(L$7,Months_in_Year-1)),Date_Operations_End)</f>
        <v>46022</v>
      </c>
      <c r="M8" s="471">
        <f t="shared" si="2"/>
        <v>46387</v>
      </c>
      <c r="N8" s="471">
        <f t="shared" si="2"/>
        <v>46752</v>
      </c>
      <c r="O8" s="471">
        <f t="shared" si="2"/>
        <v>47118</v>
      </c>
      <c r="P8" s="471">
        <f t="shared" si="2"/>
        <v>47483</v>
      </c>
      <c r="Q8" s="471">
        <f t="shared" si="2"/>
        <v>47848</v>
      </c>
      <c r="R8" s="471">
        <f t="shared" si="2"/>
        <v>48213</v>
      </c>
      <c r="S8" s="471">
        <f t="shared" si="2"/>
        <v>48579</v>
      </c>
      <c r="T8" s="471">
        <f t="shared" si="2"/>
        <v>48944</v>
      </c>
      <c r="U8" s="471">
        <f t="shared" si="2"/>
        <v>49309</v>
      </c>
      <c r="V8" s="471">
        <f t="shared" si="2"/>
        <v>49674</v>
      </c>
      <c r="W8" s="471">
        <f t="shared" si="2"/>
        <v>50040</v>
      </c>
      <c r="X8" s="471">
        <f t="shared" si="2"/>
        <v>50405</v>
      </c>
      <c r="Y8" s="471">
        <f t="shared" si="2"/>
        <v>50770</v>
      </c>
      <c r="Z8" s="471">
        <f t="shared" si="2"/>
        <v>51135</v>
      </c>
      <c r="AA8" s="471">
        <f t="shared" si="2"/>
        <v>51501</v>
      </c>
      <c r="AB8" s="471">
        <f t="shared" si="2"/>
        <v>51866</v>
      </c>
      <c r="AC8" s="471">
        <f t="shared" si="2"/>
        <v>52231</v>
      </c>
      <c r="AD8" s="471">
        <f t="shared" si="2"/>
        <v>52596</v>
      </c>
      <c r="AE8" s="471">
        <f t="shared" si="2"/>
        <v>52962</v>
      </c>
      <c r="AF8" s="471">
        <f t="shared" si="2"/>
        <v>53327</v>
      </c>
      <c r="AG8" s="471">
        <f t="shared" si="2"/>
        <v>53692</v>
      </c>
      <c r="AH8" s="471">
        <f t="shared" si="2"/>
        <v>54057</v>
      </c>
      <c r="AI8" s="471">
        <f t="shared" si="2"/>
        <v>54423</v>
      </c>
      <c r="AJ8" s="471">
        <f t="shared" si="2"/>
        <v>54513</v>
      </c>
      <c r="AK8" s="471">
        <f t="shared" si="2"/>
        <v>0</v>
      </c>
      <c r="AL8" s="471">
        <f t="shared" si="2"/>
        <v>0</v>
      </c>
      <c r="AM8" s="471">
        <f t="shared" si="2"/>
        <v>0</v>
      </c>
      <c r="AN8" s="471">
        <f t="shared" si="2"/>
        <v>0</v>
      </c>
      <c r="AO8" s="471">
        <f t="shared" si="2"/>
        <v>0</v>
      </c>
      <c r="AP8" s="471">
        <f t="shared" si="2"/>
        <v>0</v>
      </c>
      <c r="AQ8" s="471">
        <f t="shared" si="2"/>
        <v>0</v>
      </c>
      <c r="AR8" s="471">
        <f t="shared" ref="AR8:BW8" si="3">MIN(IF(AR7,EOMONTH(AR$7,Months_in_Year-1)),Date_Operations_End)</f>
        <v>0</v>
      </c>
      <c r="AS8" s="471">
        <f t="shared" si="3"/>
        <v>0</v>
      </c>
      <c r="AT8" s="471">
        <f t="shared" si="3"/>
        <v>0</v>
      </c>
      <c r="AU8" s="471">
        <f t="shared" si="3"/>
        <v>0</v>
      </c>
      <c r="AV8" s="471">
        <f t="shared" si="3"/>
        <v>0</v>
      </c>
      <c r="AW8" s="471">
        <f t="shared" si="3"/>
        <v>0</v>
      </c>
      <c r="AX8" s="471">
        <f t="shared" si="3"/>
        <v>0</v>
      </c>
      <c r="AY8" s="471">
        <f t="shared" si="3"/>
        <v>0</v>
      </c>
      <c r="AZ8" s="471">
        <f t="shared" si="3"/>
        <v>0</v>
      </c>
      <c r="BA8" s="471">
        <f t="shared" si="3"/>
        <v>0</v>
      </c>
      <c r="BB8" s="471">
        <f t="shared" si="3"/>
        <v>0</v>
      </c>
      <c r="BC8" s="471">
        <f t="shared" si="3"/>
        <v>0</v>
      </c>
      <c r="BD8" s="471">
        <f t="shared" si="3"/>
        <v>0</v>
      </c>
      <c r="BE8" s="471">
        <f t="shared" si="3"/>
        <v>0</v>
      </c>
      <c r="BF8" s="471">
        <f t="shared" si="3"/>
        <v>0</v>
      </c>
      <c r="BG8" s="471">
        <f t="shared" si="3"/>
        <v>0</v>
      </c>
      <c r="BH8" s="471">
        <f t="shared" si="3"/>
        <v>0</v>
      </c>
      <c r="BI8" s="471">
        <f t="shared" si="3"/>
        <v>0</v>
      </c>
      <c r="BJ8" s="471">
        <f t="shared" si="3"/>
        <v>0</v>
      </c>
      <c r="BK8" s="471">
        <f t="shared" si="3"/>
        <v>0</v>
      </c>
      <c r="BL8" s="471">
        <f t="shared" si="3"/>
        <v>0</v>
      </c>
      <c r="BM8" s="471">
        <f t="shared" si="3"/>
        <v>0</v>
      </c>
      <c r="BN8" s="471">
        <f t="shared" si="3"/>
        <v>0</v>
      </c>
      <c r="BO8" s="471">
        <f t="shared" si="3"/>
        <v>0</v>
      </c>
      <c r="BP8" s="471">
        <f t="shared" si="3"/>
        <v>0</v>
      </c>
      <c r="BQ8" s="471">
        <f t="shared" si="3"/>
        <v>0</v>
      </c>
      <c r="BR8" s="471">
        <f t="shared" si="3"/>
        <v>0</v>
      </c>
      <c r="BS8" s="471">
        <f t="shared" si="3"/>
        <v>0</v>
      </c>
      <c r="BT8" s="471">
        <f t="shared" si="3"/>
        <v>0</v>
      </c>
      <c r="BU8" s="471">
        <f t="shared" si="3"/>
        <v>0</v>
      </c>
      <c r="BV8" s="471">
        <f t="shared" si="3"/>
        <v>0</v>
      </c>
      <c r="BW8" s="471">
        <f t="shared" si="3"/>
        <v>0</v>
      </c>
      <c r="BX8" s="471">
        <f t="shared" ref="BX8:CO8" si="4">MIN(IF(BX7,EOMONTH(BX$7,Months_in_Year-1)),Date_Operations_End)</f>
        <v>0</v>
      </c>
      <c r="BY8" s="471">
        <f t="shared" si="4"/>
        <v>0</v>
      </c>
      <c r="BZ8" s="471">
        <f t="shared" si="4"/>
        <v>0</v>
      </c>
      <c r="CA8" s="471">
        <f t="shared" si="4"/>
        <v>0</v>
      </c>
      <c r="CB8" s="471">
        <f t="shared" si="4"/>
        <v>0</v>
      </c>
      <c r="CC8" s="471">
        <f t="shared" si="4"/>
        <v>0</v>
      </c>
      <c r="CD8" s="471">
        <f t="shared" si="4"/>
        <v>0</v>
      </c>
      <c r="CE8" s="471">
        <f t="shared" si="4"/>
        <v>0</v>
      </c>
      <c r="CF8" s="471">
        <f t="shared" si="4"/>
        <v>0</v>
      </c>
      <c r="CG8" s="471">
        <f t="shared" si="4"/>
        <v>0</v>
      </c>
      <c r="CH8" s="471">
        <f t="shared" si="4"/>
        <v>0</v>
      </c>
      <c r="CI8" s="471">
        <f t="shared" si="4"/>
        <v>0</v>
      </c>
      <c r="CJ8" s="471">
        <f t="shared" si="4"/>
        <v>0</v>
      </c>
      <c r="CK8" s="471">
        <f t="shared" si="4"/>
        <v>0</v>
      </c>
      <c r="CL8" s="471">
        <f t="shared" si="4"/>
        <v>0</v>
      </c>
      <c r="CM8" s="471">
        <f t="shared" si="4"/>
        <v>0</v>
      </c>
      <c r="CN8" s="471">
        <f t="shared" si="4"/>
        <v>0</v>
      </c>
      <c r="CO8" s="471">
        <f t="shared" si="4"/>
        <v>0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>SUMIF(End_of_period,L$8,Отчетность!$L9:$CO9)</f>
        <v>1</v>
      </c>
      <c r="M9" s="152">
        <f>SUMIF(End_of_period,M$8,Отчетность!$L9:$CO9)</f>
        <v>1</v>
      </c>
      <c r="N9" s="152">
        <f>SUMIF(End_of_period,N$8,Отчетность!$L9:$CO9)</f>
        <v>1</v>
      </c>
      <c r="O9" s="152">
        <f>SUMIF(End_of_period,O$8,Отчетность!$L9:$CO9)</f>
        <v>1</v>
      </c>
      <c r="P9" s="152">
        <f>SUMIF(End_of_period,P$8,Отчетность!$L9:$CO9)</f>
        <v>2</v>
      </c>
      <c r="Q9" s="152">
        <f>SUMIF(End_of_period,Q$8,Отчетность!$L9:$CO9)</f>
        <v>2</v>
      </c>
      <c r="R9" s="152">
        <f>SUMIF(End_of_period,R$8,Отчетность!$L9:$CO9)</f>
        <v>2</v>
      </c>
      <c r="S9" s="152">
        <f>SUMIF(End_of_period,S$8,Отчетность!$L9:$CO9)</f>
        <v>2</v>
      </c>
      <c r="T9" s="152">
        <f>SUMIF(End_of_period,T$8,Отчетность!$L9:$CO9)</f>
        <v>2</v>
      </c>
      <c r="U9" s="152">
        <f>SUMIF(End_of_period,U$8,Отчетность!$L9:$CO9)</f>
        <v>2</v>
      </c>
      <c r="V9" s="152">
        <f>SUMIF(End_of_period,V$8,Отчетность!$L9:$CO9)</f>
        <v>2</v>
      </c>
      <c r="W9" s="152">
        <f>SUMIF(End_of_period,W$8,Отчетность!$L9:$CO9)</f>
        <v>2</v>
      </c>
      <c r="X9" s="152">
        <f>SUMIF(End_of_period,X$8,Отчетность!$L9:$CO9)</f>
        <v>2</v>
      </c>
      <c r="Y9" s="152">
        <f>SUMIF(End_of_period,Y$8,Отчетность!$L9:$CO9)</f>
        <v>2</v>
      </c>
      <c r="Z9" s="152">
        <f>SUMIF(End_of_period,Z$8,Отчетность!$L9:$CO9)</f>
        <v>2</v>
      </c>
      <c r="AA9" s="152">
        <f>SUMIF(End_of_period,AA$8,Отчетность!$L9:$CO9)</f>
        <v>2</v>
      </c>
      <c r="AB9" s="152">
        <f>SUMIF(End_of_period,AB$8,Отчетность!$L9:$CO9)</f>
        <v>2</v>
      </c>
      <c r="AC9" s="152">
        <f>SUMIF(End_of_period,AC$8,Отчетность!$L9:$CO9)</f>
        <v>2</v>
      </c>
      <c r="AD9" s="152">
        <f>SUMIF(End_of_period,AD$8,Отчетность!$L9:$CO9)</f>
        <v>2</v>
      </c>
      <c r="AE9" s="152">
        <f>SUMIF(End_of_period,AE$8,Отчетность!$L9:$CO9)</f>
        <v>2</v>
      </c>
      <c r="AF9" s="152">
        <f>SUMIF(End_of_period,AF$8,Отчетность!$L9:$CO9)</f>
        <v>0</v>
      </c>
      <c r="AG9" s="152">
        <f>SUMIF(End_of_period,AG$8,Отчетность!$L9:$CO9)</f>
        <v>0</v>
      </c>
      <c r="AH9" s="152">
        <f>SUMIF(End_of_period,AH$8,Отчетность!$L9:$CO9)</f>
        <v>0</v>
      </c>
      <c r="AI9" s="152">
        <f>SUMIF(End_of_period,AI$8,Отчетность!$L9:$CO9)</f>
        <v>0</v>
      </c>
      <c r="AJ9" s="152">
        <f>SUMIF(End_of_period,AJ$8,Отчетность!$L9:$CO9)</f>
        <v>0</v>
      </c>
      <c r="AK9" s="152">
        <f>SUMIF(End_of_period,AK$8,Отчетность!$L9:$CO9)</f>
        <v>0</v>
      </c>
      <c r="AL9" s="152">
        <f>SUMIF(End_of_period,AL$8,Отчетность!$L9:$CO9)</f>
        <v>0</v>
      </c>
      <c r="AM9" s="152">
        <f>SUMIF(End_of_period,AM$8,Отчетность!$L9:$CO9)</f>
        <v>0</v>
      </c>
      <c r="AN9" s="152">
        <f>SUMIF(End_of_period,AN$8,Отчетность!$L9:$CO9)</f>
        <v>0</v>
      </c>
      <c r="AO9" s="152">
        <f>SUMIF(End_of_period,AO$8,Отчетность!$L9:$CO9)</f>
        <v>0</v>
      </c>
      <c r="AP9" s="152">
        <f>SUMIF(End_of_period,AP$8,Отчетность!$L9:$CO9)</f>
        <v>0</v>
      </c>
      <c r="AQ9" s="152">
        <f>SUMIF(End_of_period,AQ$8,Отчетность!$L9:$CO9)</f>
        <v>0</v>
      </c>
      <c r="AR9" s="152">
        <f>SUMIF(End_of_period,AR$8,Отчетность!$L9:$CO9)</f>
        <v>0</v>
      </c>
      <c r="AS9" s="152">
        <f>SUMIF(End_of_period,AS$8,Отчетность!$L9:$CO9)</f>
        <v>0</v>
      </c>
      <c r="AT9" s="152">
        <f>SUMIF(End_of_period,AT$8,Отчетность!$L9:$CO9)</f>
        <v>0</v>
      </c>
      <c r="AU9" s="152">
        <f>SUMIF(End_of_period,AU$8,Отчетность!$L9:$CO9)</f>
        <v>0</v>
      </c>
      <c r="AV9" s="152">
        <f>SUMIF(End_of_period,AV$8,Отчетность!$L9:$CO9)</f>
        <v>0</v>
      </c>
      <c r="AW9" s="152">
        <f>SUMIF(End_of_period,AW$8,Отчетность!$L9:$CO9)</f>
        <v>0</v>
      </c>
      <c r="AX9" s="152">
        <f>SUMIF(End_of_period,AX$8,Отчетность!$L9:$CO9)</f>
        <v>0</v>
      </c>
      <c r="AY9" s="152">
        <f>SUMIF(End_of_period,AY$8,Отчетность!$L9:$CO9)</f>
        <v>0</v>
      </c>
      <c r="AZ9" s="152">
        <f>SUMIF(End_of_period,AZ$8,Отчетность!$L9:$CO9)</f>
        <v>0</v>
      </c>
      <c r="BA9" s="152">
        <f>SUMIF(End_of_period,BA$8,Отчетность!$L9:$CO9)</f>
        <v>0</v>
      </c>
      <c r="BB9" s="152">
        <f>SUMIF(End_of_period,BB$8,Отчетность!$L9:$CO9)</f>
        <v>0</v>
      </c>
      <c r="BC9" s="152">
        <f>SUMIF(End_of_period,BC$8,Отчетность!$L9:$CO9)</f>
        <v>0</v>
      </c>
      <c r="BD9" s="152">
        <f>SUMIF(End_of_period,BD$8,Отчетность!$L9:$CO9)</f>
        <v>0</v>
      </c>
      <c r="BE9" s="152">
        <f>SUMIF(End_of_period,BE$8,Отчетность!$L9:$CO9)</f>
        <v>0</v>
      </c>
      <c r="BF9" s="152">
        <f>SUMIF(End_of_period,BF$8,Отчетность!$L9:$CO9)</f>
        <v>0</v>
      </c>
      <c r="BG9" s="152">
        <f>SUMIF(End_of_period,BG$8,Отчетность!$L9:$CO9)</f>
        <v>0</v>
      </c>
      <c r="BH9" s="152">
        <f>SUMIF(End_of_period,BH$8,Отчетность!$L9:$CO9)</f>
        <v>0</v>
      </c>
      <c r="BI9" s="152">
        <f>SUMIF(End_of_period,BI$8,Отчетность!$L9:$CO9)</f>
        <v>0</v>
      </c>
      <c r="BJ9" s="152">
        <f>SUMIF(End_of_period,BJ$8,Отчетность!$L9:$CO9)</f>
        <v>0</v>
      </c>
      <c r="BK9" s="152">
        <f>SUMIF(End_of_period,BK$8,Отчетность!$L9:$CO9)</f>
        <v>0</v>
      </c>
      <c r="BL9" s="152">
        <f>SUMIF(End_of_period,BL$8,Отчетность!$L9:$CO9)</f>
        <v>0</v>
      </c>
      <c r="BM9" s="152">
        <f>SUMIF(End_of_period,BM$8,Отчетность!$L9:$CO9)</f>
        <v>0</v>
      </c>
      <c r="BN9" s="152">
        <f>SUMIF(End_of_period,BN$8,Отчетность!$L9:$CO9)</f>
        <v>0</v>
      </c>
      <c r="BO9" s="152">
        <f>SUMIF(End_of_period,BO$8,Отчетность!$L9:$CO9)</f>
        <v>0</v>
      </c>
      <c r="BP9" s="152">
        <f>SUMIF(End_of_period,BP$8,Отчетность!$L9:$CO9)</f>
        <v>0</v>
      </c>
      <c r="BQ9" s="152">
        <f>SUMIF(End_of_period,BQ$8,Отчетность!$L9:$CO9)</f>
        <v>0</v>
      </c>
      <c r="BR9" s="152">
        <f>SUMIF(End_of_period,BR$8,Отчетность!$L9:$CO9)</f>
        <v>0</v>
      </c>
      <c r="BS9" s="152">
        <f>SUMIF(End_of_period,BS$8,Отчетность!$L9:$CO9)</f>
        <v>0</v>
      </c>
      <c r="BT9" s="152">
        <f>SUMIF(End_of_period,BT$8,Отчетность!$L9:$CO9)</f>
        <v>0</v>
      </c>
      <c r="BU9" s="152">
        <f>SUMIF(End_of_period,BU$8,Отчетность!$L9:$CO9)</f>
        <v>0</v>
      </c>
      <c r="BV9" s="152">
        <f>SUMIF(End_of_period,BV$8,Отчетность!$L9:$CO9)</f>
        <v>0</v>
      </c>
      <c r="BW9" s="152">
        <f>SUMIF(End_of_period,BW$8,Отчетность!$L9:$CO9)</f>
        <v>0</v>
      </c>
      <c r="BX9" s="152">
        <f>SUMIF(End_of_period,BX$8,Отчетность!$L9:$CO9)</f>
        <v>0</v>
      </c>
      <c r="BY9" s="152">
        <f>SUMIF(End_of_period,BY$8,Отчетность!$L9:$CO9)</f>
        <v>0</v>
      </c>
      <c r="BZ9" s="152">
        <f>SUMIF(End_of_period,BZ$8,Отчетность!$L9:$CO9)</f>
        <v>0</v>
      </c>
      <c r="CA9" s="152">
        <f>SUMIF(End_of_period,CA$8,Отчетность!$L9:$CO9)</f>
        <v>0</v>
      </c>
      <c r="CB9" s="152">
        <f>SUMIF(End_of_period,CB$8,Отчетность!$L9:$CO9)</f>
        <v>0</v>
      </c>
      <c r="CC9" s="152">
        <f>SUMIF(End_of_period,CC$8,Отчетность!$L9:$CO9)</f>
        <v>0</v>
      </c>
      <c r="CD9" s="152">
        <f>SUMIF(End_of_period,CD$8,Отчетность!$L9:$CO9)</f>
        <v>0</v>
      </c>
      <c r="CE9" s="152">
        <f>SUMIF(End_of_period,CE$8,Отчетность!$L9:$CO9)</f>
        <v>0</v>
      </c>
      <c r="CF9" s="152">
        <f>SUMIF(End_of_period,CF$8,Отчетность!$L9:$CO9)</f>
        <v>0</v>
      </c>
      <c r="CG9" s="152">
        <f>SUMIF(End_of_period,CG$8,Отчетность!$L9:$CO9)</f>
        <v>0</v>
      </c>
      <c r="CH9" s="152">
        <f>SUMIF(End_of_period,CH$8,Отчетность!$L9:$CO9)</f>
        <v>0</v>
      </c>
      <c r="CI9" s="152">
        <f>SUMIF(End_of_period,CI$8,Отчетность!$L9:$CO9)</f>
        <v>0</v>
      </c>
      <c r="CJ9" s="152">
        <f>SUMIF(End_of_period,CJ$8,Отчетность!$L9:$CO9)</f>
        <v>0</v>
      </c>
      <c r="CK9" s="152">
        <f>SUMIF(End_of_period,CK$8,Отчетность!$L9:$CO9)</f>
        <v>0</v>
      </c>
      <c r="CL9" s="152">
        <f>SUMIF(End_of_period,CL$8,Отчетность!$L9:$CO9)</f>
        <v>0</v>
      </c>
      <c r="CM9" s="152">
        <f>SUMIF(End_of_period,CM$8,Отчетность!$L9:$CO9)</f>
        <v>0</v>
      </c>
      <c r="CN9" s="152">
        <f>SUMIF(End_of_period,CN$8,Отчетность!$L9:$CO9)</f>
        <v>0</v>
      </c>
      <c r="CO9" s="152">
        <f>SUMIF(End_of_period,CO$8,Отчетность!$L9:$CO9)</f>
        <v>0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3"/>
      <c r="B11" s="5" t="s">
        <v>311</v>
      </c>
      <c r="C11" s="5"/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 ht="14.5">
      <c r="A12" s="73"/>
      <c r="B12" s="73"/>
      <c r="C12" s="73"/>
      <c r="D12" s="73"/>
      <c r="E12" s="74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133" customFormat="1" ht="14">
      <c r="A13" s="10"/>
      <c r="B13" s="130" t="s">
        <v>62</v>
      </c>
      <c r="C13" s="35" t="s">
        <v>63</v>
      </c>
      <c r="D13" s="130"/>
      <c r="E13" s="47"/>
      <c r="F13" s="130"/>
      <c r="G13" s="131" t="str">
        <f>Monetary_Unit</f>
        <v>тыс. руб.</v>
      </c>
      <c r="H13" s="130"/>
      <c r="I13" s="10"/>
      <c r="J13" s="10"/>
      <c r="K13" s="10"/>
      <c r="L13" s="132">
        <f t="shared" ref="L13:AQ13" ca="1" si="5">SUM(L14:L15)</f>
        <v>106937.38076850591</v>
      </c>
      <c r="M13" s="132">
        <f t="shared" ca="1" si="5"/>
        <v>1039981.5755842461</v>
      </c>
      <c r="N13" s="132">
        <f t="shared" ca="1" si="5"/>
        <v>2059251.3668233838</v>
      </c>
      <c r="O13" s="132">
        <f t="shared" ca="1" si="5"/>
        <v>4312041.9697759915</v>
      </c>
      <c r="P13" s="132">
        <f t="shared" ca="1" si="5"/>
        <v>4842242.520455176</v>
      </c>
      <c r="Q13" s="132">
        <f t="shared" ca="1" si="5"/>
        <v>4546859.7753514443</v>
      </c>
      <c r="R13" s="132">
        <f t="shared" ca="1" si="5"/>
        <v>4251477.0302477125</v>
      </c>
      <c r="S13" s="132">
        <f t="shared" ca="1" si="5"/>
        <v>3956094.2851439808</v>
      </c>
      <c r="T13" s="132">
        <f t="shared" ca="1" si="5"/>
        <v>3660711.540040249</v>
      </c>
      <c r="U13" s="132">
        <f t="shared" ca="1" si="5"/>
        <v>3365328.7949365173</v>
      </c>
      <c r="V13" s="132">
        <f t="shared" ca="1" si="5"/>
        <v>3069946.0498327855</v>
      </c>
      <c r="W13" s="132">
        <f t="shared" ca="1" si="5"/>
        <v>2898401.4386582607</v>
      </c>
      <c r="X13" s="132">
        <f t="shared" ca="1" si="5"/>
        <v>2768136.2054601377</v>
      </c>
      <c r="Y13" s="132">
        <f t="shared" ca="1" si="5"/>
        <v>2637870.9722620146</v>
      </c>
      <c r="Z13" s="132">
        <f t="shared" ca="1" si="5"/>
        <v>2507605.7390638916</v>
      </c>
      <c r="AA13" s="132">
        <f t="shared" ca="1" si="5"/>
        <v>2377340.5058657685</v>
      </c>
      <c r="AB13" s="132">
        <f t="shared" ca="1" si="5"/>
        <v>2247075.2726676455</v>
      </c>
      <c r="AC13" s="132">
        <f t="shared" ca="1" si="5"/>
        <v>2116810.0394695224</v>
      </c>
      <c r="AD13" s="132">
        <f t="shared" ca="1" si="5"/>
        <v>1986544.8062713984</v>
      </c>
      <c r="AE13" s="132">
        <f t="shared" ca="1" si="5"/>
        <v>1856279.5730732745</v>
      </c>
      <c r="AF13" s="132">
        <f t="shared" si="5"/>
        <v>0</v>
      </c>
      <c r="AG13" s="132">
        <f t="shared" si="5"/>
        <v>0</v>
      </c>
      <c r="AH13" s="132">
        <f t="shared" si="5"/>
        <v>0</v>
      </c>
      <c r="AI13" s="132">
        <f t="shared" si="5"/>
        <v>0</v>
      </c>
      <c r="AJ13" s="132">
        <f t="shared" si="5"/>
        <v>0</v>
      </c>
      <c r="AK13" s="132">
        <f t="shared" si="5"/>
        <v>0</v>
      </c>
      <c r="AL13" s="132">
        <f t="shared" si="5"/>
        <v>0</v>
      </c>
      <c r="AM13" s="132">
        <f t="shared" si="5"/>
        <v>0</v>
      </c>
      <c r="AN13" s="132">
        <f t="shared" si="5"/>
        <v>0</v>
      </c>
      <c r="AO13" s="132">
        <f t="shared" si="5"/>
        <v>0</v>
      </c>
      <c r="AP13" s="132">
        <f t="shared" si="5"/>
        <v>0</v>
      </c>
      <c r="AQ13" s="132">
        <f t="shared" si="5"/>
        <v>0</v>
      </c>
      <c r="AR13" s="132">
        <f t="shared" ref="AR13:CO13" si="6">SUM(AR14:AR15)</f>
        <v>0</v>
      </c>
      <c r="AS13" s="132">
        <f t="shared" si="6"/>
        <v>0</v>
      </c>
      <c r="AT13" s="132">
        <f t="shared" si="6"/>
        <v>0</v>
      </c>
      <c r="AU13" s="132">
        <f t="shared" si="6"/>
        <v>0</v>
      </c>
      <c r="AV13" s="132">
        <f t="shared" si="6"/>
        <v>0</v>
      </c>
      <c r="AW13" s="132">
        <f t="shared" si="6"/>
        <v>0</v>
      </c>
      <c r="AX13" s="132">
        <f t="shared" si="6"/>
        <v>0</v>
      </c>
      <c r="AY13" s="132">
        <f t="shared" si="6"/>
        <v>0</v>
      </c>
      <c r="AZ13" s="132">
        <f t="shared" si="6"/>
        <v>0</v>
      </c>
      <c r="BA13" s="132">
        <f t="shared" si="6"/>
        <v>0</v>
      </c>
      <c r="BB13" s="132">
        <f t="shared" si="6"/>
        <v>0</v>
      </c>
      <c r="BC13" s="132">
        <f t="shared" si="6"/>
        <v>0</v>
      </c>
      <c r="BD13" s="132">
        <f t="shared" si="6"/>
        <v>0</v>
      </c>
      <c r="BE13" s="132">
        <f t="shared" si="6"/>
        <v>0</v>
      </c>
      <c r="BF13" s="132">
        <f t="shared" si="6"/>
        <v>0</v>
      </c>
      <c r="BG13" s="132">
        <f t="shared" si="6"/>
        <v>0</v>
      </c>
      <c r="BH13" s="132">
        <f t="shared" si="6"/>
        <v>0</v>
      </c>
      <c r="BI13" s="132">
        <f t="shared" si="6"/>
        <v>0</v>
      </c>
      <c r="BJ13" s="132">
        <f t="shared" si="6"/>
        <v>0</v>
      </c>
      <c r="BK13" s="132">
        <f t="shared" si="6"/>
        <v>0</v>
      </c>
      <c r="BL13" s="132">
        <f t="shared" si="6"/>
        <v>0</v>
      </c>
      <c r="BM13" s="132">
        <f t="shared" si="6"/>
        <v>0</v>
      </c>
      <c r="BN13" s="132">
        <f t="shared" si="6"/>
        <v>0</v>
      </c>
      <c r="BO13" s="132">
        <f t="shared" si="6"/>
        <v>0</v>
      </c>
      <c r="BP13" s="132">
        <f t="shared" si="6"/>
        <v>0</v>
      </c>
      <c r="BQ13" s="132">
        <f t="shared" si="6"/>
        <v>0</v>
      </c>
      <c r="BR13" s="132">
        <f t="shared" si="6"/>
        <v>0</v>
      </c>
      <c r="BS13" s="132">
        <f t="shared" si="6"/>
        <v>0</v>
      </c>
      <c r="BT13" s="132">
        <f t="shared" si="6"/>
        <v>0</v>
      </c>
      <c r="BU13" s="132">
        <f t="shared" si="6"/>
        <v>0</v>
      </c>
      <c r="BV13" s="132">
        <f t="shared" si="6"/>
        <v>0</v>
      </c>
      <c r="BW13" s="132">
        <f t="shared" si="6"/>
        <v>0</v>
      </c>
      <c r="BX13" s="132">
        <f t="shared" si="6"/>
        <v>0</v>
      </c>
      <c r="BY13" s="132">
        <f t="shared" si="6"/>
        <v>0</v>
      </c>
      <c r="BZ13" s="132">
        <f t="shared" si="6"/>
        <v>0</v>
      </c>
      <c r="CA13" s="132">
        <f t="shared" si="6"/>
        <v>0</v>
      </c>
      <c r="CB13" s="132">
        <f t="shared" si="6"/>
        <v>0</v>
      </c>
      <c r="CC13" s="132">
        <f t="shared" si="6"/>
        <v>0</v>
      </c>
      <c r="CD13" s="132">
        <f t="shared" si="6"/>
        <v>0</v>
      </c>
      <c r="CE13" s="132">
        <f t="shared" si="6"/>
        <v>0</v>
      </c>
      <c r="CF13" s="132">
        <f t="shared" si="6"/>
        <v>0</v>
      </c>
      <c r="CG13" s="132">
        <f t="shared" si="6"/>
        <v>0</v>
      </c>
      <c r="CH13" s="132">
        <f t="shared" si="6"/>
        <v>0</v>
      </c>
      <c r="CI13" s="132">
        <f t="shared" si="6"/>
        <v>0</v>
      </c>
      <c r="CJ13" s="132">
        <f t="shared" si="6"/>
        <v>0</v>
      </c>
      <c r="CK13" s="132">
        <f t="shared" si="6"/>
        <v>0</v>
      </c>
      <c r="CL13" s="132">
        <f t="shared" si="6"/>
        <v>0</v>
      </c>
      <c r="CM13" s="132">
        <f t="shared" si="6"/>
        <v>0</v>
      </c>
      <c r="CN13" s="132">
        <f t="shared" si="6"/>
        <v>0</v>
      </c>
      <c r="CO13" s="132">
        <f t="shared" si="6"/>
        <v>0</v>
      </c>
    </row>
    <row r="14" spans="1:93" s="133" customFormat="1" ht="14">
      <c r="A14" s="10"/>
      <c r="B14" s="10"/>
      <c r="C14" s="10" t="s">
        <v>64</v>
      </c>
      <c r="D14" s="10"/>
      <c r="E14" s="10"/>
      <c r="F14" s="10"/>
      <c r="G14" s="134" t="str">
        <f>Monetary_Unit</f>
        <v>тыс. руб.</v>
      </c>
      <c r="H14" s="10"/>
      <c r="I14" s="10"/>
      <c r="J14" s="10"/>
      <c r="K14" s="10"/>
      <c r="L14" s="10">
        <f t="shared" ref="L14:AQ14" ca="1" si="7">SUMIF(End_of_period,L$8,CIP_EoP)</f>
        <v>106937.38076850591</v>
      </c>
      <c r="M14" s="10">
        <f t="shared" ca="1" si="7"/>
        <v>1039981.5755842461</v>
      </c>
      <c r="N14" s="10">
        <f t="shared" ca="1" si="7"/>
        <v>2059251.3668233838</v>
      </c>
      <c r="O14" s="10">
        <f t="shared" ca="1" si="7"/>
        <v>4312041.9697759915</v>
      </c>
      <c r="P14" s="10">
        <f t="shared" ca="1" si="7"/>
        <v>0</v>
      </c>
      <c r="Q14" s="10">
        <f t="shared" ca="1" si="7"/>
        <v>0</v>
      </c>
      <c r="R14" s="10">
        <f t="shared" ca="1" si="7"/>
        <v>0</v>
      </c>
      <c r="S14" s="10">
        <f t="shared" ca="1" si="7"/>
        <v>0</v>
      </c>
      <c r="T14" s="10">
        <f t="shared" ca="1" si="7"/>
        <v>0</v>
      </c>
      <c r="U14" s="10">
        <f t="shared" ca="1" si="7"/>
        <v>0</v>
      </c>
      <c r="V14" s="10">
        <f t="shared" ca="1" si="7"/>
        <v>0</v>
      </c>
      <c r="W14" s="10">
        <f t="shared" ca="1" si="7"/>
        <v>0</v>
      </c>
      <c r="X14" s="10">
        <f t="shared" ca="1" si="7"/>
        <v>0</v>
      </c>
      <c r="Y14" s="10">
        <f t="shared" ca="1" si="7"/>
        <v>0</v>
      </c>
      <c r="Z14" s="10">
        <f t="shared" ca="1" si="7"/>
        <v>0</v>
      </c>
      <c r="AA14" s="10">
        <f t="shared" ca="1" si="7"/>
        <v>0</v>
      </c>
      <c r="AB14" s="10">
        <f t="shared" ca="1" si="7"/>
        <v>0</v>
      </c>
      <c r="AC14" s="10">
        <f t="shared" ca="1" si="7"/>
        <v>0</v>
      </c>
      <c r="AD14" s="10">
        <f t="shared" ca="1" si="7"/>
        <v>0</v>
      </c>
      <c r="AE14" s="10">
        <f t="shared" ca="1" si="7"/>
        <v>0</v>
      </c>
      <c r="AF14" s="10">
        <f t="shared" si="7"/>
        <v>0</v>
      </c>
      <c r="AG14" s="10">
        <f t="shared" si="7"/>
        <v>0</v>
      </c>
      <c r="AH14" s="10">
        <f t="shared" si="7"/>
        <v>0</v>
      </c>
      <c r="AI14" s="10">
        <f t="shared" si="7"/>
        <v>0</v>
      </c>
      <c r="AJ14" s="10">
        <f t="shared" si="7"/>
        <v>0</v>
      </c>
      <c r="AK14" s="10">
        <f t="shared" si="7"/>
        <v>0</v>
      </c>
      <c r="AL14" s="10">
        <f t="shared" si="7"/>
        <v>0</v>
      </c>
      <c r="AM14" s="10">
        <f t="shared" si="7"/>
        <v>0</v>
      </c>
      <c r="AN14" s="10">
        <f t="shared" si="7"/>
        <v>0</v>
      </c>
      <c r="AO14" s="10">
        <f t="shared" si="7"/>
        <v>0</v>
      </c>
      <c r="AP14" s="10">
        <f t="shared" si="7"/>
        <v>0</v>
      </c>
      <c r="AQ14" s="10">
        <f t="shared" si="7"/>
        <v>0</v>
      </c>
      <c r="AR14" s="10">
        <f t="shared" ref="AR14:BW14" si="8">SUMIF(End_of_period,AR$8,CIP_EoP)</f>
        <v>0</v>
      </c>
      <c r="AS14" s="10">
        <f t="shared" si="8"/>
        <v>0</v>
      </c>
      <c r="AT14" s="10">
        <f t="shared" si="8"/>
        <v>0</v>
      </c>
      <c r="AU14" s="10">
        <f t="shared" si="8"/>
        <v>0</v>
      </c>
      <c r="AV14" s="10">
        <f t="shared" si="8"/>
        <v>0</v>
      </c>
      <c r="AW14" s="10">
        <f t="shared" si="8"/>
        <v>0</v>
      </c>
      <c r="AX14" s="10">
        <f t="shared" si="8"/>
        <v>0</v>
      </c>
      <c r="AY14" s="10">
        <f t="shared" si="8"/>
        <v>0</v>
      </c>
      <c r="AZ14" s="10">
        <f t="shared" si="8"/>
        <v>0</v>
      </c>
      <c r="BA14" s="10">
        <f t="shared" si="8"/>
        <v>0</v>
      </c>
      <c r="BB14" s="10">
        <f t="shared" si="8"/>
        <v>0</v>
      </c>
      <c r="BC14" s="10">
        <f t="shared" si="8"/>
        <v>0</v>
      </c>
      <c r="BD14" s="10">
        <f t="shared" si="8"/>
        <v>0</v>
      </c>
      <c r="BE14" s="10">
        <f t="shared" si="8"/>
        <v>0</v>
      </c>
      <c r="BF14" s="10">
        <f t="shared" si="8"/>
        <v>0</v>
      </c>
      <c r="BG14" s="10">
        <f t="shared" si="8"/>
        <v>0</v>
      </c>
      <c r="BH14" s="10">
        <f t="shared" si="8"/>
        <v>0</v>
      </c>
      <c r="BI14" s="10">
        <f t="shared" si="8"/>
        <v>0</v>
      </c>
      <c r="BJ14" s="10">
        <f t="shared" si="8"/>
        <v>0</v>
      </c>
      <c r="BK14" s="10">
        <f t="shared" si="8"/>
        <v>0</v>
      </c>
      <c r="BL14" s="10">
        <f t="shared" si="8"/>
        <v>0</v>
      </c>
      <c r="BM14" s="10">
        <f t="shared" si="8"/>
        <v>0</v>
      </c>
      <c r="BN14" s="10">
        <f t="shared" si="8"/>
        <v>0</v>
      </c>
      <c r="BO14" s="10">
        <f t="shared" si="8"/>
        <v>0</v>
      </c>
      <c r="BP14" s="10">
        <f t="shared" si="8"/>
        <v>0</v>
      </c>
      <c r="BQ14" s="10">
        <f t="shared" si="8"/>
        <v>0</v>
      </c>
      <c r="BR14" s="10">
        <f t="shared" si="8"/>
        <v>0</v>
      </c>
      <c r="BS14" s="10">
        <f t="shared" si="8"/>
        <v>0</v>
      </c>
      <c r="BT14" s="10">
        <f t="shared" si="8"/>
        <v>0</v>
      </c>
      <c r="BU14" s="10">
        <f t="shared" si="8"/>
        <v>0</v>
      </c>
      <c r="BV14" s="10">
        <f t="shared" si="8"/>
        <v>0</v>
      </c>
      <c r="BW14" s="10">
        <f t="shared" si="8"/>
        <v>0</v>
      </c>
      <c r="BX14" s="10">
        <f t="shared" ref="BX14:CO14" si="9">SUMIF(End_of_period,BX$8,CIP_EoP)</f>
        <v>0</v>
      </c>
      <c r="BY14" s="10">
        <f t="shared" si="9"/>
        <v>0</v>
      </c>
      <c r="BZ14" s="10">
        <f t="shared" si="9"/>
        <v>0</v>
      </c>
      <c r="CA14" s="10">
        <f t="shared" si="9"/>
        <v>0</v>
      </c>
      <c r="CB14" s="10">
        <f t="shared" si="9"/>
        <v>0</v>
      </c>
      <c r="CC14" s="10">
        <f t="shared" si="9"/>
        <v>0</v>
      </c>
      <c r="CD14" s="10">
        <f t="shared" si="9"/>
        <v>0</v>
      </c>
      <c r="CE14" s="10">
        <f t="shared" si="9"/>
        <v>0</v>
      </c>
      <c r="CF14" s="10">
        <f t="shared" si="9"/>
        <v>0</v>
      </c>
      <c r="CG14" s="10">
        <f t="shared" si="9"/>
        <v>0</v>
      </c>
      <c r="CH14" s="10">
        <f t="shared" si="9"/>
        <v>0</v>
      </c>
      <c r="CI14" s="10">
        <f t="shared" si="9"/>
        <v>0</v>
      </c>
      <c r="CJ14" s="10">
        <f t="shared" si="9"/>
        <v>0</v>
      </c>
      <c r="CK14" s="10">
        <f t="shared" si="9"/>
        <v>0</v>
      </c>
      <c r="CL14" s="10">
        <f t="shared" si="9"/>
        <v>0</v>
      </c>
      <c r="CM14" s="10">
        <f t="shared" si="9"/>
        <v>0</v>
      </c>
      <c r="CN14" s="10">
        <f t="shared" si="9"/>
        <v>0</v>
      </c>
      <c r="CO14" s="10">
        <f t="shared" si="9"/>
        <v>0</v>
      </c>
    </row>
    <row r="15" spans="1:93" s="133" customFormat="1" ht="14">
      <c r="A15" s="10"/>
      <c r="B15" s="10"/>
      <c r="C15" s="10" t="s">
        <v>65</v>
      </c>
      <c r="D15" s="10"/>
      <c r="E15" s="10"/>
      <c r="F15" s="10"/>
      <c r="G15" s="134" t="str">
        <f>Monetary_Unit</f>
        <v>тыс. руб.</v>
      </c>
      <c r="H15" s="10"/>
      <c r="I15" s="10"/>
      <c r="J15" s="10"/>
      <c r="K15" s="10"/>
      <c r="L15" s="10">
        <f t="shared" ref="L15:AQ15" ca="1" si="10">SUMIF(End_of_period,L$8,FA_EoP)</f>
        <v>0</v>
      </c>
      <c r="M15" s="10">
        <f t="shared" ca="1" si="10"/>
        <v>0</v>
      </c>
      <c r="N15" s="10">
        <f t="shared" ca="1" si="10"/>
        <v>0</v>
      </c>
      <c r="O15" s="10">
        <f t="shared" ca="1" si="10"/>
        <v>0</v>
      </c>
      <c r="P15" s="10">
        <f t="shared" ca="1" si="10"/>
        <v>4842242.520455176</v>
      </c>
      <c r="Q15" s="10">
        <f t="shared" ca="1" si="10"/>
        <v>4546859.7753514443</v>
      </c>
      <c r="R15" s="10">
        <f t="shared" ca="1" si="10"/>
        <v>4251477.0302477125</v>
      </c>
      <c r="S15" s="10">
        <f t="shared" ca="1" si="10"/>
        <v>3956094.2851439808</v>
      </c>
      <c r="T15" s="10">
        <f t="shared" ca="1" si="10"/>
        <v>3660711.540040249</v>
      </c>
      <c r="U15" s="10">
        <f t="shared" ca="1" si="10"/>
        <v>3365328.7949365173</v>
      </c>
      <c r="V15" s="10">
        <f t="shared" ca="1" si="10"/>
        <v>3069946.0498327855</v>
      </c>
      <c r="W15" s="10">
        <f t="shared" ca="1" si="10"/>
        <v>2898401.4386582607</v>
      </c>
      <c r="X15" s="10">
        <f t="shared" ca="1" si="10"/>
        <v>2768136.2054601377</v>
      </c>
      <c r="Y15" s="10">
        <f t="shared" ca="1" si="10"/>
        <v>2637870.9722620146</v>
      </c>
      <c r="Z15" s="10">
        <f t="shared" ca="1" si="10"/>
        <v>2507605.7390638916</v>
      </c>
      <c r="AA15" s="10">
        <f t="shared" ca="1" si="10"/>
        <v>2377340.5058657685</v>
      </c>
      <c r="AB15" s="10">
        <f t="shared" ca="1" si="10"/>
        <v>2247075.2726676455</v>
      </c>
      <c r="AC15" s="10">
        <f t="shared" ca="1" si="10"/>
        <v>2116810.0394695224</v>
      </c>
      <c r="AD15" s="10">
        <f t="shared" ca="1" si="10"/>
        <v>1986544.8062713984</v>
      </c>
      <c r="AE15" s="10">
        <f t="shared" ca="1" si="10"/>
        <v>1856279.5730732745</v>
      </c>
      <c r="AF15" s="10">
        <f t="shared" si="10"/>
        <v>0</v>
      </c>
      <c r="AG15" s="10">
        <f t="shared" si="10"/>
        <v>0</v>
      </c>
      <c r="AH15" s="10">
        <f t="shared" si="10"/>
        <v>0</v>
      </c>
      <c r="AI15" s="10">
        <f t="shared" si="10"/>
        <v>0</v>
      </c>
      <c r="AJ15" s="10">
        <f t="shared" si="10"/>
        <v>0</v>
      </c>
      <c r="AK15" s="10">
        <f t="shared" si="10"/>
        <v>0</v>
      </c>
      <c r="AL15" s="10">
        <f t="shared" si="10"/>
        <v>0</v>
      </c>
      <c r="AM15" s="10">
        <f t="shared" si="10"/>
        <v>0</v>
      </c>
      <c r="AN15" s="10">
        <f t="shared" si="10"/>
        <v>0</v>
      </c>
      <c r="AO15" s="10">
        <f t="shared" si="10"/>
        <v>0</v>
      </c>
      <c r="AP15" s="10">
        <f t="shared" si="10"/>
        <v>0</v>
      </c>
      <c r="AQ15" s="10">
        <f t="shared" si="10"/>
        <v>0</v>
      </c>
      <c r="AR15" s="10">
        <f t="shared" ref="AR15:BW15" si="11">SUMIF(End_of_period,AR$8,FA_EoP)</f>
        <v>0</v>
      </c>
      <c r="AS15" s="10">
        <f t="shared" si="11"/>
        <v>0</v>
      </c>
      <c r="AT15" s="10">
        <f t="shared" si="11"/>
        <v>0</v>
      </c>
      <c r="AU15" s="10">
        <f t="shared" si="11"/>
        <v>0</v>
      </c>
      <c r="AV15" s="10">
        <f t="shared" si="11"/>
        <v>0</v>
      </c>
      <c r="AW15" s="10">
        <f t="shared" si="11"/>
        <v>0</v>
      </c>
      <c r="AX15" s="10">
        <f t="shared" si="11"/>
        <v>0</v>
      </c>
      <c r="AY15" s="10">
        <f t="shared" si="11"/>
        <v>0</v>
      </c>
      <c r="AZ15" s="10">
        <f t="shared" si="11"/>
        <v>0</v>
      </c>
      <c r="BA15" s="10">
        <f t="shared" si="11"/>
        <v>0</v>
      </c>
      <c r="BB15" s="10">
        <f t="shared" si="11"/>
        <v>0</v>
      </c>
      <c r="BC15" s="10">
        <f t="shared" si="11"/>
        <v>0</v>
      </c>
      <c r="BD15" s="10">
        <f t="shared" si="11"/>
        <v>0</v>
      </c>
      <c r="BE15" s="10">
        <f t="shared" si="11"/>
        <v>0</v>
      </c>
      <c r="BF15" s="10">
        <f t="shared" si="11"/>
        <v>0</v>
      </c>
      <c r="BG15" s="10">
        <f t="shared" si="11"/>
        <v>0</v>
      </c>
      <c r="BH15" s="10">
        <f t="shared" si="11"/>
        <v>0</v>
      </c>
      <c r="BI15" s="10">
        <f t="shared" si="11"/>
        <v>0</v>
      </c>
      <c r="BJ15" s="10">
        <f t="shared" si="11"/>
        <v>0</v>
      </c>
      <c r="BK15" s="10">
        <f t="shared" si="11"/>
        <v>0</v>
      </c>
      <c r="BL15" s="10">
        <f t="shared" si="11"/>
        <v>0</v>
      </c>
      <c r="BM15" s="10">
        <f t="shared" si="11"/>
        <v>0</v>
      </c>
      <c r="BN15" s="10">
        <f t="shared" si="11"/>
        <v>0</v>
      </c>
      <c r="BO15" s="10">
        <f t="shared" si="11"/>
        <v>0</v>
      </c>
      <c r="BP15" s="10">
        <f t="shared" si="11"/>
        <v>0</v>
      </c>
      <c r="BQ15" s="10">
        <f t="shared" si="11"/>
        <v>0</v>
      </c>
      <c r="BR15" s="10">
        <f t="shared" si="11"/>
        <v>0</v>
      </c>
      <c r="BS15" s="10">
        <f t="shared" si="11"/>
        <v>0</v>
      </c>
      <c r="BT15" s="10">
        <f t="shared" si="11"/>
        <v>0</v>
      </c>
      <c r="BU15" s="10">
        <f t="shared" si="11"/>
        <v>0</v>
      </c>
      <c r="BV15" s="10">
        <f t="shared" si="11"/>
        <v>0</v>
      </c>
      <c r="BW15" s="10">
        <f t="shared" si="11"/>
        <v>0</v>
      </c>
      <c r="BX15" s="10">
        <f t="shared" ref="BX15:CO15" si="12">SUMIF(End_of_period,BX$8,FA_EoP)</f>
        <v>0</v>
      </c>
      <c r="BY15" s="10">
        <f t="shared" si="12"/>
        <v>0</v>
      </c>
      <c r="BZ15" s="10">
        <f t="shared" si="12"/>
        <v>0</v>
      </c>
      <c r="CA15" s="10">
        <f t="shared" si="12"/>
        <v>0</v>
      </c>
      <c r="CB15" s="10">
        <f t="shared" si="12"/>
        <v>0</v>
      </c>
      <c r="CC15" s="10">
        <f t="shared" si="12"/>
        <v>0</v>
      </c>
      <c r="CD15" s="10">
        <f t="shared" si="12"/>
        <v>0</v>
      </c>
      <c r="CE15" s="10">
        <f t="shared" si="12"/>
        <v>0</v>
      </c>
      <c r="CF15" s="10">
        <f t="shared" si="12"/>
        <v>0</v>
      </c>
      <c r="CG15" s="10">
        <f t="shared" si="12"/>
        <v>0</v>
      </c>
      <c r="CH15" s="10">
        <f t="shared" si="12"/>
        <v>0</v>
      </c>
      <c r="CI15" s="10">
        <f t="shared" si="12"/>
        <v>0</v>
      </c>
      <c r="CJ15" s="10">
        <f t="shared" si="12"/>
        <v>0</v>
      </c>
      <c r="CK15" s="10">
        <f t="shared" si="12"/>
        <v>0</v>
      </c>
      <c r="CL15" s="10">
        <f t="shared" si="12"/>
        <v>0</v>
      </c>
      <c r="CM15" s="10">
        <f t="shared" si="12"/>
        <v>0</v>
      </c>
      <c r="CN15" s="10">
        <f t="shared" si="12"/>
        <v>0</v>
      </c>
      <c r="CO15" s="10">
        <f t="shared" si="12"/>
        <v>0</v>
      </c>
    </row>
    <row r="16" spans="1:93" s="133" customFormat="1" ht="14">
      <c r="A16" s="10"/>
      <c r="B16" s="10"/>
      <c r="C16" s="10"/>
      <c r="D16" s="10"/>
      <c r="E16" s="10"/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33" customFormat="1" ht="14">
      <c r="A17" s="10"/>
      <c r="B17" s="130" t="s">
        <v>66</v>
      </c>
      <c r="C17" s="35" t="s">
        <v>67</v>
      </c>
      <c r="D17" s="130"/>
      <c r="E17" s="130"/>
      <c r="F17" s="130"/>
      <c r="G17" s="131" t="str">
        <f t="shared" ref="G17:G21" si="13">Monetary_Unit</f>
        <v>тыс. руб.</v>
      </c>
      <c r="H17" s="130"/>
      <c r="I17" s="10"/>
      <c r="J17" s="10"/>
      <c r="K17" s="10"/>
      <c r="L17" s="132">
        <f t="shared" ref="L17:BX17" ca="1" si="14">SUM(L18:L21)</f>
        <v>21387.476153701184</v>
      </c>
      <c r="M17" s="132">
        <f t="shared" ca="1" si="14"/>
        <v>207848.51676835405</v>
      </c>
      <c r="N17" s="132">
        <f t="shared" ca="1" si="14"/>
        <v>401767.99900759303</v>
      </c>
      <c r="O17" s="132">
        <f t="shared" ca="1" si="14"/>
        <v>822950.5265705483</v>
      </c>
      <c r="P17" s="132">
        <f t="shared" ca="1" si="14"/>
        <v>945597.46965041663</v>
      </c>
      <c r="Q17" s="132">
        <f t="shared" ca="1" si="14"/>
        <v>752782.9176402234</v>
      </c>
      <c r="R17" s="132">
        <f t="shared" ca="1" si="14"/>
        <v>532644.70137183566</v>
      </c>
      <c r="S17" s="132">
        <f t="shared" ca="1" si="14"/>
        <v>422137.24689368624</v>
      </c>
      <c r="T17" s="132">
        <f t="shared" ca="1" si="14"/>
        <v>439023.26909398125</v>
      </c>
      <c r="U17" s="132">
        <f t="shared" ca="1" si="14"/>
        <v>325796.29174223531</v>
      </c>
      <c r="V17" s="132">
        <f t="shared" ca="1" si="14"/>
        <v>338828.14341192471</v>
      </c>
      <c r="W17" s="132">
        <f t="shared" ca="1" si="14"/>
        <v>352380.99950481334</v>
      </c>
      <c r="X17" s="132">
        <f t="shared" ca="1" si="14"/>
        <v>366476.51991433755</v>
      </c>
      <c r="Y17" s="132">
        <f t="shared" ca="1" si="14"/>
        <v>381135.58071091108</v>
      </c>
      <c r="Z17" s="132">
        <f t="shared" ca="1" si="14"/>
        <v>396381.00393934723</v>
      </c>
      <c r="AA17" s="132">
        <f t="shared" ca="1" si="14"/>
        <v>412235.92865206127</v>
      </c>
      <c r="AB17" s="132">
        <f t="shared" ca="1" si="14"/>
        <v>428725.69386079803</v>
      </c>
      <c r="AC17" s="132">
        <f t="shared" ca="1" si="14"/>
        <v>445874.72161522997</v>
      </c>
      <c r="AD17" s="132">
        <f t="shared" ca="1" si="14"/>
        <v>463709.71047983901</v>
      </c>
      <c r="AE17" s="132">
        <f t="shared" ca="1" si="14"/>
        <v>482257.72987316316</v>
      </c>
      <c r="AF17" s="132">
        <f t="shared" si="14"/>
        <v>0</v>
      </c>
      <c r="AG17" s="132">
        <f t="shared" si="14"/>
        <v>0</v>
      </c>
      <c r="AH17" s="132">
        <f t="shared" si="14"/>
        <v>0</v>
      </c>
      <c r="AI17" s="132">
        <f t="shared" si="14"/>
        <v>0</v>
      </c>
      <c r="AJ17" s="132">
        <f t="shared" si="14"/>
        <v>0</v>
      </c>
      <c r="AK17" s="132">
        <f t="shared" si="14"/>
        <v>0</v>
      </c>
      <c r="AL17" s="132">
        <f t="shared" si="14"/>
        <v>0</v>
      </c>
      <c r="AM17" s="132">
        <f t="shared" si="14"/>
        <v>0</v>
      </c>
      <c r="AN17" s="132">
        <f t="shared" si="14"/>
        <v>0</v>
      </c>
      <c r="AO17" s="132">
        <f t="shared" si="14"/>
        <v>0</v>
      </c>
      <c r="AP17" s="132">
        <f t="shared" si="14"/>
        <v>0</v>
      </c>
      <c r="AQ17" s="132">
        <f t="shared" si="14"/>
        <v>0</v>
      </c>
      <c r="AR17" s="132">
        <f t="shared" si="14"/>
        <v>0</v>
      </c>
      <c r="AS17" s="132">
        <f t="shared" si="14"/>
        <v>0</v>
      </c>
      <c r="AT17" s="132">
        <f t="shared" si="14"/>
        <v>0</v>
      </c>
      <c r="AU17" s="132">
        <f t="shared" si="14"/>
        <v>0</v>
      </c>
      <c r="AV17" s="132">
        <f t="shared" si="14"/>
        <v>0</v>
      </c>
      <c r="AW17" s="132">
        <f t="shared" si="14"/>
        <v>0</v>
      </c>
      <c r="AX17" s="132">
        <f t="shared" si="14"/>
        <v>0</v>
      </c>
      <c r="AY17" s="132">
        <f t="shared" si="14"/>
        <v>0</v>
      </c>
      <c r="AZ17" s="132">
        <f t="shared" si="14"/>
        <v>0</v>
      </c>
      <c r="BA17" s="132">
        <f t="shared" si="14"/>
        <v>0</v>
      </c>
      <c r="BB17" s="132">
        <f t="shared" si="14"/>
        <v>0</v>
      </c>
      <c r="BC17" s="132">
        <f t="shared" si="14"/>
        <v>0</v>
      </c>
      <c r="BD17" s="132">
        <f t="shared" si="14"/>
        <v>0</v>
      </c>
      <c r="BE17" s="132">
        <f t="shared" si="14"/>
        <v>0</v>
      </c>
      <c r="BF17" s="132">
        <f t="shared" si="14"/>
        <v>0</v>
      </c>
      <c r="BG17" s="132">
        <f t="shared" si="14"/>
        <v>0</v>
      </c>
      <c r="BH17" s="132">
        <f t="shared" si="14"/>
        <v>0</v>
      </c>
      <c r="BI17" s="132">
        <f t="shared" si="14"/>
        <v>0</v>
      </c>
      <c r="BJ17" s="132">
        <f t="shared" si="14"/>
        <v>0</v>
      </c>
      <c r="BK17" s="132">
        <f t="shared" si="14"/>
        <v>0</v>
      </c>
      <c r="BL17" s="132">
        <f t="shared" si="14"/>
        <v>0</v>
      </c>
      <c r="BM17" s="132">
        <f t="shared" si="14"/>
        <v>0</v>
      </c>
      <c r="BN17" s="132">
        <f t="shared" si="14"/>
        <v>0</v>
      </c>
      <c r="BO17" s="132">
        <f t="shared" si="14"/>
        <v>0</v>
      </c>
      <c r="BP17" s="132">
        <f t="shared" si="14"/>
        <v>0</v>
      </c>
      <c r="BQ17" s="132">
        <f t="shared" si="14"/>
        <v>0</v>
      </c>
      <c r="BR17" s="132">
        <f t="shared" si="14"/>
        <v>0</v>
      </c>
      <c r="BS17" s="132">
        <f t="shared" si="14"/>
        <v>0</v>
      </c>
      <c r="BT17" s="132">
        <f t="shared" si="14"/>
        <v>0</v>
      </c>
      <c r="BU17" s="132">
        <f t="shared" si="14"/>
        <v>0</v>
      </c>
      <c r="BV17" s="132">
        <f t="shared" si="14"/>
        <v>0</v>
      </c>
      <c r="BW17" s="132">
        <f t="shared" si="14"/>
        <v>0</v>
      </c>
      <c r="BX17" s="132">
        <f t="shared" si="14"/>
        <v>0</v>
      </c>
      <c r="BY17" s="132">
        <f t="shared" ref="BY17:CO17" si="15">SUM(BY18:BY21)</f>
        <v>0</v>
      </c>
      <c r="BZ17" s="132">
        <f t="shared" si="15"/>
        <v>0</v>
      </c>
      <c r="CA17" s="132">
        <f t="shared" si="15"/>
        <v>0</v>
      </c>
      <c r="CB17" s="132">
        <f t="shared" si="15"/>
        <v>0</v>
      </c>
      <c r="CC17" s="132">
        <f t="shared" si="15"/>
        <v>0</v>
      </c>
      <c r="CD17" s="132">
        <f t="shared" si="15"/>
        <v>0</v>
      </c>
      <c r="CE17" s="132">
        <f t="shared" si="15"/>
        <v>0</v>
      </c>
      <c r="CF17" s="132">
        <f t="shared" si="15"/>
        <v>0</v>
      </c>
      <c r="CG17" s="132">
        <f t="shared" si="15"/>
        <v>0</v>
      </c>
      <c r="CH17" s="132">
        <f t="shared" si="15"/>
        <v>0</v>
      </c>
      <c r="CI17" s="132">
        <f t="shared" si="15"/>
        <v>0</v>
      </c>
      <c r="CJ17" s="132">
        <f t="shared" si="15"/>
        <v>0</v>
      </c>
      <c r="CK17" s="132">
        <f t="shared" si="15"/>
        <v>0</v>
      </c>
      <c r="CL17" s="132">
        <f t="shared" si="15"/>
        <v>0</v>
      </c>
      <c r="CM17" s="132">
        <f t="shared" si="15"/>
        <v>0</v>
      </c>
      <c r="CN17" s="132">
        <f t="shared" si="15"/>
        <v>0</v>
      </c>
      <c r="CO17" s="132">
        <f t="shared" si="15"/>
        <v>0</v>
      </c>
    </row>
    <row r="18" spans="1:93" s="133" customFormat="1" ht="14">
      <c r="A18" s="10"/>
      <c r="B18" s="10"/>
      <c r="C18" s="10" t="s">
        <v>68</v>
      </c>
      <c r="D18" s="10"/>
      <c r="E18" s="10"/>
      <c r="F18" s="10"/>
      <c r="G18" s="134" t="str">
        <f t="shared" si="13"/>
        <v>тыс. руб.</v>
      </c>
      <c r="H18" s="10"/>
      <c r="I18" s="10"/>
      <c r="J18" s="10"/>
      <c r="K18" s="10"/>
      <c r="L18" s="10">
        <f t="shared" ref="L18:AQ18" ca="1" si="16">SUMIF(End_of_period,L$8,Inventories_EoP)</f>
        <v>0</v>
      </c>
      <c r="M18" s="10">
        <f t="shared" ca="1" si="16"/>
        <v>0</v>
      </c>
      <c r="N18" s="10">
        <f t="shared" ca="1" si="16"/>
        <v>0</v>
      </c>
      <c r="O18" s="10">
        <f t="shared" ca="1" si="16"/>
        <v>0</v>
      </c>
      <c r="P18" s="10">
        <f t="shared" ca="1" si="16"/>
        <v>85077.004229013575</v>
      </c>
      <c r="Q18" s="10">
        <f t="shared" ca="1" si="16"/>
        <v>100673.47593068139</v>
      </c>
      <c r="R18" s="10">
        <f t="shared" ca="1" si="16"/>
        <v>117381.54216171621</v>
      </c>
      <c r="S18" s="10">
        <f t="shared" ca="1" si="16"/>
        <v>128670.75949649554</v>
      </c>
      <c r="T18" s="10">
        <f t="shared" ca="1" si="16"/>
        <v>133817.82958852337</v>
      </c>
      <c r="U18" s="10">
        <f t="shared" ca="1" si="16"/>
        <v>137286.1358919139</v>
      </c>
      <c r="V18" s="10">
        <f t="shared" ca="1" si="16"/>
        <v>142777.58132759051</v>
      </c>
      <c r="W18" s="10">
        <f t="shared" ca="1" si="16"/>
        <v>148488.41493710584</v>
      </c>
      <c r="X18" s="10">
        <f t="shared" ca="1" si="16"/>
        <v>154428.2319639218</v>
      </c>
      <c r="Y18" s="10">
        <f t="shared" ca="1" si="16"/>
        <v>160605.3612424786</v>
      </c>
      <c r="Z18" s="10">
        <f t="shared" ca="1" si="16"/>
        <v>167029.57569217763</v>
      </c>
      <c r="AA18" s="10">
        <f t="shared" ca="1" si="16"/>
        <v>173710.44327500497</v>
      </c>
      <c r="AB18" s="10">
        <f t="shared" ca="1" si="16"/>
        <v>180659.18906865944</v>
      </c>
      <c r="AC18" s="10">
        <f t="shared" ca="1" si="16"/>
        <v>187885.55663140572</v>
      </c>
      <c r="AD18" s="10">
        <f t="shared" ca="1" si="16"/>
        <v>195400.97889666189</v>
      </c>
      <c r="AE18" s="10">
        <f t="shared" ca="1" si="16"/>
        <v>203216.64902665908</v>
      </c>
      <c r="AF18" s="10">
        <f t="shared" si="16"/>
        <v>0</v>
      </c>
      <c r="AG18" s="10">
        <f t="shared" si="16"/>
        <v>0</v>
      </c>
      <c r="AH18" s="10">
        <f t="shared" si="16"/>
        <v>0</v>
      </c>
      <c r="AI18" s="10">
        <f t="shared" si="16"/>
        <v>0</v>
      </c>
      <c r="AJ18" s="10">
        <f t="shared" si="16"/>
        <v>0</v>
      </c>
      <c r="AK18" s="10">
        <f t="shared" si="16"/>
        <v>0</v>
      </c>
      <c r="AL18" s="10">
        <f t="shared" si="16"/>
        <v>0</v>
      </c>
      <c r="AM18" s="10">
        <f t="shared" si="16"/>
        <v>0</v>
      </c>
      <c r="AN18" s="10">
        <f t="shared" si="16"/>
        <v>0</v>
      </c>
      <c r="AO18" s="10">
        <f t="shared" si="16"/>
        <v>0</v>
      </c>
      <c r="AP18" s="10">
        <f t="shared" si="16"/>
        <v>0</v>
      </c>
      <c r="AQ18" s="10">
        <f t="shared" si="16"/>
        <v>0</v>
      </c>
      <c r="AR18" s="10">
        <f t="shared" ref="AR18:BW18" si="17">SUMIF(End_of_period,AR$8,Inventories_EoP)</f>
        <v>0</v>
      </c>
      <c r="AS18" s="10">
        <f t="shared" si="17"/>
        <v>0</v>
      </c>
      <c r="AT18" s="10">
        <f t="shared" si="17"/>
        <v>0</v>
      </c>
      <c r="AU18" s="10">
        <f t="shared" si="17"/>
        <v>0</v>
      </c>
      <c r="AV18" s="10">
        <f t="shared" si="17"/>
        <v>0</v>
      </c>
      <c r="AW18" s="10">
        <f t="shared" si="17"/>
        <v>0</v>
      </c>
      <c r="AX18" s="10">
        <f t="shared" si="17"/>
        <v>0</v>
      </c>
      <c r="AY18" s="10">
        <f t="shared" si="17"/>
        <v>0</v>
      </c>
      <c r="AZ18" s="10">
        <f t="shared" si="17"/>
        <v>0</v>
      </c>
      <c r="BA18" s="10">
        <f t="shared" si="17"/>
        <v>0</v>
      </c>
      <c r="BB18" s="10">
        <f t="shared" si="17"/>
        <v>0</v>
      </c>
      <c r="BC18" s="10">
        <f t="shared" si="17"/>
        <v>0</v>
      </c>
      <c r="BD18" s="10">
        <f t="shared" si="17"/>
        <v>0</v>
      </c>
      <c r="BE18" s="10">
        <f t="shared" si="17"/>
        <v>0</v>
      </c>
      <c r="BF18" s="10">
        <f t="shared" si="17"/>
        <v>0</v>
      </c>
      <c r="BG18" s="10">
        <f t="shared" si="17"/>
        <v>0</v>
      </c>
      <c r="BH18" s="10">
        <f t="shared" si="17"/>
        <v>0</v>
      </c>
      <c r="BI18" s="10">
        <f t="shared" si="17"/>
        <v>0</v>
      </c>
      <c r="BJ18" s="10">
        <f t="shared" si="17"/>
        <v>0</v>
      </c>
      <c r="BK18" s="10">
        <f t="shared" si="17"/>
        <v>0</v>
      </c>
      <c r="BL18" s="10">
        <f t="shared" si="17"/>
        <v>0</v>
      </c>
      <c r="BM18" s="10">
        <f t="shared" si="17"/>
        <v>0</v>
      </c>
      <c r="BN18" s="10">
        <f t="shared" si="17"/>
        <v>0</v>
      </c>
      <c r="BO18" s="10">
        <f t="shared" si="17"/>
        <v>0</v>
      </c>
      <c r="BP18" s="10">
        <f t="shared" si="17"/>
        <v>0</v>
      </c>
      <c r="BQ18" s="10">
        <f t="shared" si="17"/>
        <v>0</v>
      </c>
      <c r="BR18" s="10">
        <f t="shared" si="17"/>
        <v>0</v>
      </c>
      <c r="BS18" s="10">
        <f t="shared" si="17"/>
        <v>0</v>
      </c>
      <c r="BT18" s="10">
        <f t="shared" si="17"/>
        <v>0</v>
      </c>
      <c r="BU18" s="10">
        <f t="shared" si="17"/>
        <v>0</v>
      </c>
      <c r="BV18" s="10">
        <f t="shared" si="17"/>
        <v>0</v>
      </c>
      <c r="BW18" s="10">
        <f t="shared" si="17"/>
        <v>0</v>
      </c>
      <c r="BX18" s="10">
        <f t="shared" ref="BX18:CO18" si="18">SUMIF(End_of_period,BX$8,Inventories_EoP)</f>
        <v>0</v>
      </c>
      <c r="BY18" s="10">
        <f t="shared" si="18"/>
        <v>0</v>
      </c>
      <c r="BZ18" s="10">
        <f t="shared" si="18"/>
        <v>0</v>
      </c>
      <c r="CA18" s="10">
        <f t="shared" si="18"/>
        <v>0</v>
      </c>
      <c r="CB18" s="10">
        <f t="shared" si="18"/>
        <v>0</v>
      </c>
      <c r="CC18" s="10">
        <f t="shared" si="18"/>
        <v>0</v>
      </c>
      <c r="CD18" s="10">
        <f t="shared" si="18"/>
        <v>0</v>
      </c>
      <c r="CE18" s="10">
        <f t="shared" si="18"/>
        <v>0</v>
      </c>
      <c r="CF18" s="10">
        <f t="shared" si="18"/>
        <v>0</v>
      </c>
      <c r="CG18" s="10">
        <f t="shared" si="18"/>
        <v>0</v>
      </c>
      <c r="CH18" s="10">
        <f t="shared" si="18"/>
        <v>0</v>
      </c>
      <c r="CI18" s="10">
        <f t="shared" si="18"/>
        <v>0</v>
      </c>
      <c r="CJ18" s="10">
        <f t="shared" si="18"/>
        <v>0</v>
      </c>
      <c r="CK18" s="10">
        <f t="shared" si="18"/>
        <v>0</v>
      </c>
      <c r="CL18" s="10">
        <f t="shared" si="18"/>
        <v>0</v>
      </c>
      <c r="CM18" s="10">
        <f t="shared" si="18"/>
        <v>0</v>
      </c>
      <c r="CN18" s="10">
        <f t="shared" si="18"/>
        <v>0</v>
      </c>
      <c r="CO18" s="10">
        <f t="shared" si="18"/>
        <v>0</v>
      </c>
    </row>
    <row r="19" spans="1:93" s="133" customFormat="1" ht="14">
      <c r="A19" s="10"/>
      <c r="B19" s="10"/>
      <c r="C19" s="10" t="s">
        <v>69</v>
      </c>
      <c r="D19" s="10"/>
      <c r="E19" s="10"/>
      <c r="F19" s="10"/>
      <c r="G19" s="134" t="str">
        <f t="shared" si="13"/>
        <v>тыс. руб.</v>
      </c>
      <c r="H19" s="10"/>
      <c r="I19" s="10"/>
      <c r="J19" s="10"/>
      <c r="K19" s="10"/>
      <c r="L19" s="10">
        <f t="shared" ref="L19:AQ19" ca="1" si="19">SUMIF(End_of_period,L$8,Accounts_Receivable_EoP)</f>
        <v>0</v>
      </c>
      <c r="M19" s="10">
        <f t="shared" ca="1" si="19"/>
        <v>0</v>
      </c>
      <c r="N19" s="10">
        <f t="shared" ca="1" si="19"/>
        <v>0</v>
      </c>
      <c r="O19" s="10">
        <f t="shared" ca="1" si="19"/>
        <v>0</v>
      </c>
      <c r="P19" s="10">
        <f t="shared" ca="1" si="19"/>
        <v>135425.79504589667</v>
      </c>
      <c r="Q19" s="10">
        <f t="shared" ca="1" si="19"/>
        <v>160269.42365431634</v>
      </c>
      <c r="R19" s="10">
        <f t="shared" ca="1" si="19"/>
        <v>186883.86127933627</v>
      </c>
      <c r="S19" s="10">
        <f t="shared" ca="1" si="19"/>
        <v>204865.11928350991</v>
      </c>
      <c r="T19" s="10">
        <f t="shared" ca="1" si="19"/>
        <v>213059.72405485041</v>
      </c>
      <c r="U19" s="10">
        <f t="shared" ca="1" si="19"/>
        <v>188510.1558503214</v>
      </c>
      <c r="V19" s="10">
        <f t="shared" ca="1" si="19"/>
        <v>196050.5620843342</v>
      </c>
      <c r="W19" s="10">
        <f t="shared" ca="1" si="19"/>
        <v>203892.5845677075</v>
      </c>
      <c r="X19" s="10">
        <f t="shared" ca="1" si="19"/>
        <v>212048.28795041575</v>
      </c>
      <c r="Y19" s="10">
        <f t="shared" ca="1" si="19"/>
        <v>220530.21946843248</v>
      </c>
      <c r="Z19" s="10">
        <f t="shared" ca="1" si="19"/>
        <v>229351.42824716959</v>
      </c>
      <c r="AA19" s="10">
        <f t="shared" ca="1" si="19"/>
        <v>238525.48537705629</v>
      </c>
      <c r="AB19" s="10">
        <f t="shared" ca="1" si="19"/>
        <v>248066.50479213858</v>
      </c>
      <c r="AC19" s="10">
        <f t="shared" ca="1" si="19"/>
        <v>257989.16498382424</v>
      </c>
      <c r="AD19" s="10">
        <f t="shared" ca="1" si="19"/>
        <v>268308.73158317711</v>
      </c>
      <c r="AE19" s="10">
        <f t="shared" ca="1" si="19"/>
        <v>279041.08084650408</v>
      </c>
      <c r="AF19" s="10">
        <f t="shared" si="19"/>
        <v>0</v>
      </c>
      <c r="AG19" s="10">
        <f t="shared" si="19"/>
        <v>0</v>
      </c>
      <c r="AH19" s="10">
        <f t="shared" si="19"/>
        <v>0</v>
      </c>
      <c r="AI19" s="10">
        <f t="shared" si="19"/>
        <v>0</v>
      </c>
      <c r="AJ19" s="10">
        <f t="shared" si="19"/>
        <v>0</v>
      </c>
      <c r="AK19" s="10">
        <f t="shared" si="19"/>
        <v>0</v>
      </c>
      <c r="AL19" s="10">
        <f t="shared" si="19"/>
        <v>0</v>
      </c>
      <c r="AM19" s="10">
        <f t="shared" si="19"/>
        <v>0</v>
      </c>
      <c r="AN19" s="10">
        <f t="shared" si="19"/>
        <v>0</v>
      </c>
      <c r="AO19" s="10">
        <f t="shared" si="19"/>
        <v>0</v>
      </c>
      <c r="AP19" s="10">
        <f t="shared" si="19"/>
        <v>0</v>
      </c>
      <c r="AQ19" s="10">
        <f t="shared" si="19"/>
        <v>0</v>
      </c>
      <c r="AR19" s="10">
        <f t="shared" ref="AR19:BW19" si="20">SUMIF(End_of_period,AR$8,Accounts_Receivable_EoP)</f>
        <v>0</v>
      </c>
      <c r="AS19" s="10">
        <f t="shared" si="20"/>
        <v>0</v>
      </c>
      <c r="AT19" s="10">
        <f t="shared" si="20"/>
        <v>0</v>
      </c>
      <c r="AU19" s="10">
        <f t="shared" si="20"/>
        <v>0</v>
      </c>
      <c r="AV19" s="10">
        <f t="shared" si="20"/>
        <v>0</v>
      </c>
      <c r="AW19" s="10">
        <f t="shared" si="20"/>
        <v>0</v>
      </c>
      <c r="AX19" s="10">
        <f t="shared" si="20"/>
        <v>0</v>
      </c>
      <c r="AY19" s="10">
        <f t="shared" si="20"/>
        <v>0</v>
      </c>
      <c r="AZ19" s="10">
        <f t="shared" si="20"/>
        <v>0</v>
      </c>
      <c r="BA19" s="10">
        <f t="shared" si="20"/>
        <v>0</v>
      </c>
      <c r="BB19" s="10">
        <f t="shared" si="20"/>
        <v>0</v>
      </c>
      <c r="BC19" s="10">
        <f t="shared" si="20"/>
        <v>0</v>
      </c>
      <c r="BD19" s="10">
        <f t="shared" si="20"/>
        <v>0</v>
      </c>
      <c r="BE19" s="10">
        <f t="shared" si="20"/>
        <v>0</v>
      </c>
      <c r="BF19" s="10">
        <f t="shared" si="20"/>
        <v>0</v>
      </c>
      <c r="BG19" s="10">
        <f t="shared" si="20"/>
        <v>0</v>
      </c>
      <c r="BH19" s="10">
        <f t="shared" si="20"/>
        <v>0</v>
      </c>
      <c r="BI19" s="10">
        <f t="shared" si="20"/>
        <v>0</v>
      </c>
      <c r="BJ19" s="10">
        <f t="shared" si="20"/>
        <v>0</v>
      </c>
      <c r="BK19" s="10">
        <f t="shared" si="20"/>
        <v>0</v>
      </c>
      <c r="BL19" s="10">
        <f t="shared" si="20"/>
        <v>0</v>
      </c>
      <c r="BM19" s="10">
        <f t="shared" si="20"/>
        <v>0</v>
      </c>
      <c r="BN19" s="10">
        <f t="shared" si="20"/>
        <v>0</v>
      </c>
      <c r="BO19" s="10">
        <f t="shared" si="20"/>
        <v>0</v>
      </c>
      <c r="BP19" s="10">
        <f t="shared" si="20"/>
        <v>0</v>
      </c>
      <c r="BQ19" s="10">
        <f t="shared" si="20"/>
        <v>0</v>
      </c>
      <c r="BR19" s="10">
        <f t="shared" si="20"/>
        <v>0</v>
      </c>
      <c r="BS19" s="10">
        <f t="shared" si="20"/>
        <v>0</v>
      </c>
      <c r="BT19" s="10">
        <f t="shared" si="20"/>
        <v>0</v>
      </c>
      <c r="BU19" s="10">
        <f t="shared" si="20"/>
        <v>0</v>
      </c>
      <c r="BV19" s="10">
        <f t="shared" si="20"/>
        <v>0</v>
      </c>
      <c r="BW19" s="10">
        <f t="shared" si="20"/>
        <v>0</v>
      </c>
      <c r="BX19" s="10">
        <f t="shared" ref="BX19:CO19" si="21">SUMIF(End_of_period,BX$8,Accounts_Receivable_EoP)</f>
        <v>0</v>
      </c>
      <c r="BY19" s="10">
        <f t="shared" si="21"/>
        <v>0</v>
      </c>
      <c r="BZ19" s="10">
        <f t="shared" si="21"/>
        <v>0</v>
      </c>
      <c r="CA19" s="10">
        <f t="shared" si="21"/>
        <v>0</v>
      </c>
      <c r="CB19" s="10">
        <f t="shared" si="21"/>
        <v>0</v>
      </c>
      <c r="CC19" s="10">
        <f t="shared" si="21"/>
        <v>0</v>
      </c>
      <c r="CD19" s="10">
        <f t="shared" si="21"/>
        <v>0</v>
      </c>
      <c r="CE19" s="10">
        <f t="shared" si="21"/>
        <v>0</v>
      </c>
      <c r="CF19" s="10">
        <f t="shared" si="21"/>
        <v>0</v>
      </c>
      <c r="CG19" s="10">
        <f t="shared" si="21"/>
        <v>0</v>
      </c>
      <c r="CH19" s="10">
        <f t="shared" si="21"/>
        <v>0</v>
      </c>
      <c r="CI19" s="10">
        <f t="shared" si="21"/>
        <v>0</v>
      </c>
      <c r="CJ19" s="10">
        <f t="shared" si="21"/>
        <v>0</v>
      </c>
      <c r="CK19" s="10">
        <f t="shared" si="21"/>
        <v>0</v>
      </c>
      <c r="CL19" s="10">
        <f t="shared" si="21"/>
        <v>0</v>
      </c>
      <c r="CM19" s="10">
        <f t="shared" si="21"/>
        <v>0</v>
      </c>
      <c r="CN19" s="10">
        <f t="shared" si="21"/>
        <v>0</v>
      </c>
      <c r="CO19" s="10">
        <f t="shared" si="21"/>
        <v>0</v>
      </c>
    </row>
    <row r="20" spans="1:93" s="133" customFormat="1" ht="14">
      <c r="A20" s="10"/>
      <c r="B20" s="10"/>
      <c r="C20" s="10" t="s">
        <v>151</v>
      </c>
      <c r="D20" s="10"/>
      <c r="E20" s="10"/>
      <c r="F20" s="10"/>
      <c r="G20" s="134" t="str">
        <f t="shared" si="13"/>
        <v>тыс. руб.</v>
      </c>
      <c r="H20" s="10"/>
      <c r="I20" s="10"/>
      <c r="J20" s="10"/>
      <c r="K20" s="10"/>
      <c r="L20" s="10">
        <f ca="1">SUMIF(End_of_period,L$8,Отчетность!$L20:$CO20)</f>
        <v>21387.476153701184</v>
      </c>
      <c r="M20" s="10">
        <f ca="1">SUMIF(End_of_period,M$8,Отчетность!$L20:$CO20)</f>
        <v>207848.51676835405</v>
      </c>
      <c r="N20" s="10">
        <f ca="1">SUMIF(End_of_period,N$8,Отчетность!$L20:$CO20)</f>
        <v>401767.99900759303</v>
      </c>
      <c r="O20" s="10">
        <f ca="1">SUMIF(End_of_period,O$8,Отчетность!$L20:$CO20)</f>
        <v>822950.5265705483</v>
      </c>
      <c r="P20" s="10">
        <f ca="1">SUMIF(End_of_period,P$8,Отчетность!$L20:$CO20)</f>
        <v>57310.19438926001</v>
      </c>
      <c r="Q20" s="10">
        <f ca="1">SUMIF(End_of_period,Q$8,Отчетность!$L20:$CO20)</f>
        <v>67994.601901483446</v>
      </c>
      <c r="R20" s="10">
        <f ca="1">SUMIF(End_of_period,R$8,Отчетность!$L20:$CO20)</f>
        <v>79442.065703661894</v>
      </c>
      <c r="S20" s="10">
        <f ca="1">SUMIF(End_of_period,S$8,Отчетность!$L20:$CO20)</f>
        <v>88601.36811368083</v>
      </c>
      <c r="T20" s="10">
        <f ca="1">SUMIF(End_of_period,T$8,Отчетность!$L20:$CO20)</f>
        <v>92145.715450607444</v>
      </c>
      <c r="U20" s="10">
        <f ca="1">SUMIF(End_of_period,U$8,Отчетность!$L20:$CO20)</f>
        <v>0</v>
      </c>
      <c r="V20" s="10">
        <f ca="1">SUMIF(End_of_period,V$8,Отчетность!$L20:$CO20)</f>
        <v>0</v>
      </c>
      <c r="W20" s="10">
        <f ca="1">SUMIF(End_of_period,W$8,Отчетность!$L20:$CO20)</f>
        <v>0</v>
      </c>
      <c r="X20" s="10">
        <f ca="1">SUMIF(End_of_period,X$8,Отчетность!$L20:$CO20)</f>
        <v>0</v>
      </c>
      <c r="Y20" s="10">
        <f ca="1">SUMIF(End_of_period,Y$8,Отчетность!$L20:$CO20)</f>
        <v>0</v>
      </c>
      <c r="Z20" s="10">
        <f ca="1">SUMIF(End_of_period,Z$8,Отчетность!$L20:$CO20)</f>
        <v>0</v>
      </c>
      <c r="AA20" s="10">
        <f ca="1">SUMIF(End_of_period,AA$8,Отчетность!$L20:$CO20)</f>
        <v>0</v>
      </c>
      <c r="AB20" s="10">
        <f ca="1">SUMIF(End_of_period,AB$8,Отчетность!$L20:$CO20)</f>
        <v>0</v>
      </c>
      <c r="AC20" s="10">
        <f ca="1">SUMIF(End_of_period,AC$8,Отчетность!$L20:$CO20)</f>
        <v>0</v>
      </c>
      <c r="AD20" s="10">
        <f ca="1">SUMIF(End_of_period,AD$8,Отчетность!$L20:$CO20)</f>
        <v>0</v>
      </c>
      <c r="AE20" s="10">
        <f ca="1">SUMIF(End_of_period,AE$8,Отчетность!$L20:$CO20)</f>
        <v>0</v>
      </c>
      <c r="AF20" s="10">
        <f>SUMIF(End_of_period,AF$8,Отчетность!$L20:$CO20)</f>
        <v>0</v>
      </c>
      <c r="AG20" s="10">
        <f>SUMIF(End_of_period,AG$8,Отчетность!$L20:$CO20)</f>
        <v>0</v>
      </c>
      <c r="AH20" s="10">
        <f>SUMIF(End_of_period,AH$8,Отчетность!$L20:$CO20)</f>
        <v>0</v>
      </c>
      <c r="AI20" s="10">
        <f>SUMIF(End_of_period,AI$8,Отчетность!$L20:$CO20)</f>
        <v>0</v>
      </c>
      <c r="AJ20" s="10">
        <f>SUMIF(End_of_period,AJ$8,Отчетность!$L20:$CO20)</f>
        <v>0</v>
      </c>
      <c r="AK20" s="10">
        <f>SUMIF(End_of_period,AK$8,Отчетность!$L20:$CO20)</f>
        <v>0</v>
      </c>
      <c r="AL20" s="10">
        <f>SUMIF(End_of_period,AL$8,Отчетность!$L20:$CO20)</f>
        <v>0</v>
      </c>
      <c r="AM20" s="10">
        <f>SUMIF(End_of_period,AM$8,Отчетность!$L20:$CO20)</f>
        <v>0</v>
      </c>
      <c r="AN20" s="10">
        <f>SUMIF(End_of_period,AN$8,Отчетность!$L20:$CO20)</f>
        <v>0</v>
      </c>
      <c r="AO20" s="10">
        <f>SUMIF(End_of_period,AO$8,Отчетность!$L20:$CO20)</f>
        <v>0</v>
      </c>
      <c r="AP20" s="10">
        <f>SUMIF(End_of_period,AP$8,Отчетность!$L20:$CO20)</f>
        <v>0</v>
      </c>
      <c r="AQ20" s="10">
        <f>SUMIF(End_of_period,AQ$8,Отчетность!$L20:$CO20)</f>
        <v>0</v>
      </c>
      <c r="AR20" s="10">
        <f>SUMIF(End_of_period,AR$8,Отчетность!$L20:$CO20)</f>
        <v>0</v>
      </c>
      <c r="AS20" s="10">
        <f>SUMIF(End_of_period,AS$8,Отчетность!$L20:$CO20)</f>
        <v>0</v>
      </c>
      <c r="AT20" s="10">
        <f>SUMIF(End_of_period,AT$8,Отчетность!$L20:$CO20)</f>
        <v>0</v>
      </c>
      <c r="AU20" s="10">
        <f>SUMIF(End_of_period,AU$8,Отчетность!$L20:$CO20)</f>
        <v>0</v>
      </c>
      <c r="AV20" s="10">
        <f>SUMIF(End_of_period,AV$8,Отчетность!$L20:$CO20)</f>
        <v>0</v>
      </c>
      <c r="AW20" s="10">
        <f>SUMIF(End_of_period,AW$8,Отчетность!$L20:$CO20)</f>
        <v>0</v>
      </c>
      <c r="AX20" s="10">
        <f>SUMIF(End_of_period,AX$8,Отчетность!$L20:$CO20)</f>
        <v>0</v>
      </c>
      <c r="AY20" s="10">
        <f>SUMIF(End_of_period,AY$8,Отчетность!$L20:$CO20)</f>
        <v>0</v>
      </c>
      <c r="AZ20" s="10">
        <f>SUMIF(End_of_period,AZ$8,Отчетность!$L20:$CO20)</f>
        <v>0</v>
      </c>
      <c r="BA20" s="10">
        <f>SUMIF(End_of_period,BA$8,Отчетность!$L20:$CO20)</f>
        <v>0</v>
      </c>
      <c r="BB20" s="10">
        <f>SUMIF(End_of_period,BB$8,Отчетность!$L20:$CO20)</f>
        <v>0</v>
      </c>
      <c r="BC20" s="10">
        <f>SUMIF(End_of_period,BC$8,Отчетность!$L20:$CO20)</f>
        <v>0</v>
      </c>
      <c r="BD20" s="10">
        <f>SUMIF(End_of_period,BD$8,Отчетность!$L20:$CO20)</f>
        <v>0</v>
      </c>
      <c r="BE20" s="10">
        <f>SUMIF(End_of_period,BE$8,Отчетность!$L20:$CO20)</f>
        <v>0</v>
      </c>
      <c r="BF20" s="10">
        <f>SUMIF(End_of_period,BF$8,Отчетность!$L20:$CO20)</f>
        <v>0</v>
      </c>
      <c r="BG20" s="10">
        <f>SUMIF(End_of_period,BG$8,Отчетность!$L20:$CO20)</f>
        <v>0</v>
      </c>
      <c r="BH20" s="10">
        <f>SUMIF(End_of_period,BH$8,Отчетность!$L20:$CO20)</f>
        <v>0</v>
      </c>
      <c r="BI20" s="10">
        <f>SUMIF(End_of_period,BI$8,Отчетность!$L20:$CO20)</f>
        <v>0</v>
      </c>
      <c r="BJ20" s="10">
        <f>SUMIF(End_of_period,BJ$8,Отчетность!$L20:$CO20)</f>
        <v>0</v>
      </c>
      <c r="BK20" s="10">
        <f>SUMIF(End_of_period,BK$8,Отчетность!$L20:$CO20)</f>
        <v>0</v>
      </c>
      <c r="BL20" s="10">
        <f>SUMIF(End_of_period,BL$8,Отчетность!$L20:$CO20)</f>
        <v>0</v>
      </c>
      <c r="BM20" s="10">
        <f>SUMIF(End_of_period,BM$8,Отчетность!$L20:$CO20)</f>
        <v>0</v>
      </c>
      <c r="BN20" s="10">
        <f>SUMIF(End_of_period,BN$8,Отчетность!$L20:$CO20)</f>
        <v>0</v>
      </c>
      <c r="BO20" s="10">
        <f>SUMIF(End_of_period,BO$8,Отчетность!$L20:$CO20)</f>
        <v>0</v>
      </c>
      <c r="BP20" s="10">
        <f>SUMIF(End_of_period,BP$8,Отчетность!$L20:$CO20)</f>
        <v>0</v>
      </c>
      <c r="BQ20" s="10">
        <f>SUMIF(End_of_period,BQ$8,Отчетность!$L20:$CO20)</f>
        <v>0</v>
      </c>
      <c r="BR20" s="10">
        <f>SUMIF(End_of_period,BR$8,Отчетность!$L20:$CO20)</f>
        <v>0</v>
      </c>
      <c r="BS20" s="10">
        <f>SUMIF(End_of_period,BS$8,Отчетность!$L20:$CO20)</f>
        <v>0</v>
      </c>
      <c r="BT20" s="10">
        <f>SUMIF(End_of_period,BT$8,Отчетность!$L20:$CO20)</f>
        <v>0</v>
      </c>
      <c r="BU20" s="10">
        <f>SUMIF(End_of_period,BU$8,Отчетность!$L20:$CO20)</f>
        <v>0</v>
      </c>
      <c r="BV20" s="10">
        <f>SUMIF(End_of_period,BV$8,Отчетность!$L20:$CO20)</f>
        <v>0</v>
      </c>
      <c r="BW20" s="10">
        <f>SUMIF(End_of_period,BW$8,Отчетность!$L20:$CO20)</f>
        <v>0</v>
      </c>
      <c r="BX20" s="10">
        <f>SUMIF(End_of_period,BX$8,Отчетность!$L20:$CO20)</f>
        <v>0</v>
      </c>
      <c r="BY20" s="10">
        <f>SUMIF(End_of_period,BY$8,Отчетность!$L20:$CO20)</f>
        <v>0</v>
      </c>
      <c r="BZ20" s="10">
        <f>SUMIF(End_of_period,BZ$8,Отчетность!$L20:$CO20)</f>
        <v>0</v>
      </c>
      <c r="CA20" s="10">
        <f>SUMIF(End_of_period,CA$8,Отчетность!$L20:$CO20)</f>
        <v>0</v>
      </c>
      <c r="CB20" s="10">
        <f>SUMIF(End_of_period,CB$8,Отчетность!$L20:$CO20)</f>
        <v>0</v>
      </c>
      <c r="CC20" s="10">
        <f>SUMIF(End_of_period,CC$8,Отчетность!$L20:$CO20)</f>
        <v>0</v>
      </c>
      <c r="CD20" s="10">
        <f>SUMIF(End_of_period,CD$8,Отчетность!$L20:$CO20)</f>
        <v>0</v>
      </c>
      <c r="CE20" s="10">
        <f>SUMIF(End_of_period,CE$8,Отчетность!$L20:$CO20)</f>
        <v>0</v>
      </c>
      <c r="CF20" s="10">
        <f>SUMIF(End_of_period,CF$8,Отчетность!$L20:$CO20)</f>
        <v>0</v>
      </c>
      <c r="CG20" s="10">
        <f>SUMIF(End_of_period,CG$8,Отчетность!$L20:$CO20)</f>
        <v>0</v>
      </c>
      <c r="CH20" s="10">
        <f>SUMIF(End_of_period,CH$8,Отчетность!$L20:$CO20)</f>
        <v>0</v>
      </c>
      <c r="CI20" s="10">
        <f>SUMIF(End_of_period,CI$8,Отчетность!$L20:$CO20)</f>
        <v>0</v>
      </c>
      <c r="CJ20" s="10">
        <f>SUMIF(End_of_period,CJ$8,Отчетность!$L20:$CO20)</f>
        <v>0</v>
      </c>
      <c r="CK20" s="10">
        <f>SUMIF(End_of_period,CK$8,Отчетность!$L20:$CO20)</f>
        <v>0</v>
      </c>
      <c r="CL20" s="10">
        <f>SUMIF(End_of_period,CL$8,Отчетность!$L20:$CO20)</f>
        <v>0</v>
      </c>
      <c r="CM20" s="10">
        <f>SUMIF(End_of_period,CM$8,Отчетность!$L20:$CO20)</f>
        <v>0</v>
      </c>
      <c r="CN20" s="10">
        <f>SUMIF(End_of_period,CN$8,Отчетность!$L20:$CO20)</f>
        <v>0</v>
      </c>
      <c r="CO20" s="10">
        <f>SUMIF(End_of_period,CO$8,Отчетность!$L20:$CO20)</f>
        <v>0</v>
      </c>
    </row>
    <row r="21" spans="1:93" s="133" customFormat="1" ht="14">
      <c r="A21" s="10"/>
      <c r="B21" s="10"/>
      <c r="C21" s="10" t="s">
        <v>70</v>
      </c>
      <c r="D21" s="10"/>
      <c r="E21" s="10"/>
      <c r="F21" s="10"/>
      <c r="G21" s="134" t="str">
        <f t="shared" si="13"/>
        <v>тыс. руб.</v>
      </c>
      <c r="H21" s="10"/>
      <c r="I21" s="10"/>
      <c r="J21" s="10"/>
      <c r="K21" s="10"/>
      <c r="L21" s="10">
        <f t="shared" ref="L21:AQ21" ca="1" si="22">SUMIF(End_of_period,L$8,Cash_EoP)</f>
        <v>0</v>
      </c>
      <c r="M21" s="10">
        <f t="shared" ca="1" si="22"/>
        <v>0</v>
      </c>
      <c r="N21" s="10">
        <f t="shared" ca="1" si="22"/>
        <v>0</v>
      </c>
      <c r="O21" s="10">
        <f t="shared" ca="1" si="22"/>
        <v>0</v>
      </c>
      <c r="P21" s="10">
        <f t="shared" ca="1" si="22"/>
        <v>667784.47598624637</v>
      </c>
      <c r="Q21" s="10">
        <f t="shared" ca="1" si="22"/>
        <v>423845.41615374223</v>
      </c>
      <c r="R21" s="10">
        <f t="shared" ca="1" si="22"/>
        <v>148937.23222712128</v>
      </c>
      <c r="S21" s="10">
        <f t="shared" ca="1" si="22"/>
        <v>0</v>
      </c>
      <c r="T21" s="10">
        <f t="shared" ca="1" si="22"/>
        <v>0</v>
      </c>
      <c r="U21" s="10">
        <f t="shared" ca="1" si="22"/>
        <v>0</v>
      </c>
      <c r="V21" s="10">
        <f t="shared" ca="1" si="22"/>
        <v>0</v>
      </c>
      <c r="W21" s="10">
        <f t="shared" ca="1" si="22"/>
        <v>0</v>
      </c>
      <c r="X21" s="10">
        <f t="shared" ca="1" si="22"/>
        <v>0</v>
      </c>
      <c r="Y21" s="10">
        <f t="shared" ca="1" si="22"/>
        <v>0</v>
      </c>
      <c r="Z21" s="10">
        <f t="shared" ca="1" si="22"/>
        <v>0</v>
      </c>
      <c r="AA21" s="10">
        <f t="shared" ca="1" si="22"/>
        <v>0</v>
      </c>
      <c r="AB21" s="10">
        <f t="shared" ca="1" si="22"/>
        <v>0</v>
      </c>
      <c r="AC21" s="10">
        <f t="shared" ca="1" si="22"/>
        <v>0</v>
      </c>
      <c r="AD21" s="10">
        <f t="shared" ca="1" si="22"/>
        <v>0</v>
      </c>
      <c r="AE21" s="10">
        <f t="shared" ca="1" si="22"/>
        <v>0</v>
      </c>
      <c r="AF21" s="10">
        <f t="shared" si="22"/>
        <v>0</v>
      </c>
      <c r="AG21" s="10">
        <f t="shared" si="22"/>
        <v>0</v>
      </c>
      <c r="AH21" s="10">
        <f t="shared" si="22"/>
        <v>0</v>
      </c>
      <c r="AI21" s="10">
        <f t="shared" si="22"/>
        <v>0</v>
      </c>
      <c r="AJ21" s="10">
        <f t="shared" si="22"/>
        <v>0</v>
      </c>
      <c r="AK21" s="10">
        <f t="shared" si="22"/>
        <v>0</v>
      </c>
      <c r="AL21" s="10">
        <f t="shared" si="22"/>
        <v>0</v>
      </c>
      <c r="AM21" s="10">
        <f t="shared" si="22"/>
        <v>0</v>
      </c>
      <c r="AN21" s="10">
        <f t="shared" si="22"/>
        <v>0</v>
      </c>
      <c r="AO21" s="10">
        <f t="shared" si="22"/>
        <v>0</v>
      </c>
      <c r="AP21" s="10">
        <f t="shared" si="22"/>
        <v>0</v>
      </c>
      <c r="AQ21" s="10">
        <f t="shared" si="22"/>
        <v>0</v>
      </c>
      <c r="AR21" s="10">
        <f t="shared" ref="AR21:BW21" si="23">SUMIF(End_of_period,AR$8,Cash_EoP)</f>
        <v>0</v>
      </c>
      <c r="AS21" s="10">
        <f t="shared" si="23"/>
        <v>0</v>
      </c>
      <c r="AT21" s="10">
        <f t="shared" si="23"/>
        <v>0</v>
      </c>
      <c r="AU21" s="10">
        <f t="shared" si="23"/>
        <v>0</v>
      </c>
      <c r="AV21" s="10">
        <f t="shared" si="23"/>
        <v>0</v>
      </c>
      <c r="AW21" s="10">
        <f t="shared" si="23"/>
        <v>0</v>
      </c>
      <c r="AX21" s="10">
        <f t="shared" si="23"/>
        <v>0</v>
      </c>
      <c r="AY21" s="10">
        <f t="shared" si="23"/>
        <v>0</v>
      </c>
      <c r="AZ21" s="10">
        <f t="shared" si="23"/>
        <v>0</v>
      </c>
      <c r="BA21" s="10">
        <f t="shared" si="23"/>
        <v>0</v>
      </c>
      <c r="BB21" s="10">
        <f t="shared" si="23"/>
        <v>0</v>
      </c>
      <c r="BC21" s="10">
        <f t="shared" si="23"/>
        <v>0</v>
      </c>
      <c r="BD21" s="10">
        <f t="shared" si="23"/>
        <v>0</v>
      </c>
      <c r="BE21" s="10">
        <f t="shared" si="23"/>
        <v>0</v>
      </c>
      <c r="BF21" s="10">
        <f t="shared" si="23"/>
        <v>0</v>
      </c>
      <c r="BG21" s="10">
        <f t="shared" si="23"/>
        <v>0</v>
      </c>
      <c r="BH21" s="10">
        <f t="shared" si="23"/>
        <v>0</v>
      </c>
      <c r="BI21" s="10">
        <f t="shared" si="23"/>
        <v>0</v>
      </c>
      <c r="BJ21" s="10">
        <f t="shared" si="23"/>
        <v>0</v>
      </c>
      <c r="BK21" s="10">
        <f t="shared" si="23"/>
        <v>0</v>
      </c>
      <c r="BL21" s="10">
        <f t="shared" si="23"/>
        <v>0</v>
      </c>
      <c r="BM21" s="10">
        <f t="shared" si="23"/>
        <v>0</v>
      </c>
      <c r="BN21" s="10">
        <f t="shared" si="23"/>
        <v>0</v>
      </c>
      <c r="BO21" s="10">
        <f t="shared" si="23"/>
        <v>0</v>
      </c>
      <c r="BP21" s="10">
        <f t="shared" si="23"/>
        <v>0</v>
      </c>
      <c r="BQ21" s="10">
        <f t="shared" si="23"/>
        <v>0</v>
      </c>
      <c r="BR21" s="10">
        <f t="shared" si="23"/>
        <v>0</v>
      </c>
      <c r="BS21" s="10">
        <f t="shared" si="23"/>
        <v>0</v>
      </c>
      <c r="BT21" s="10">
        <f t="shared" si="23"/>
        <v>0</v>
      </c>
      <c r="BU21" s="10">
        <f t="shared" si="23"/>
        <v>0</v>
      </c>
      <c r="BV21" s="10">
        <f t="shared" si="23"/>
        <v>0</v>
      </c>
      <c r="BW21" s="10">
        <f t="shared" si="23"/>
        <v>0</v>
      </c>
      <c r="BX21" s="10">
        <f t="shared" ref="BX21:CO21" si="24">SUMIF(End_of_period,BX$8,Cash_EoP)</f>
        <v>0</v>
      </c>
      <c r="BY21" s="10">
        <f t="shared" si="24"/>
        <v>0</v>
      </c>
      <c r="BZ21" s="10">
        <f t="shared" si="24"/>
        <v>0</v>
      </c>
      <c r="CA21" s="10">
        <f t="shared" si="24"/>
        <v>0</v>
      </c>
      <c r="CB21" s="10">
        <f t="shared" si="24"/>
        <v>0</v>
      </c>
      <c r="CC21" s="10">
        <f t="shared" si="24"/>
        <v>0</v>
      </c>
      <c r="CD21" s="10">
        <f t="shared" si="24"/>
        <v>0</v>
      </c>
      <c r="CE21" s="10">
        <f t="shared" si="24"/>
        <v>0</v>
      </c>
      <c r="CF21" s="10">
        <f t="shared" si="24"/>
        <v>0</v>
      </c>
      <c r="CG21" s="10">
        <f t="shared" si="24"/>
        <v>0</v>
      </c>
      <c r="CH21" s="10">
        <f t="shared" si="24"/>
        <v>0</v>
      </c>
      <c r="CI21" s="10">
        <f t="shared" si="24"/>
        <v>0</v>
      </c>
      <c r="CJ21" s="10">
        <f t="shared" si="24"/>
        <v>0</v>
      </c>
      <c r="CK21" s="10">
        <f t="shared" si="24"/>
        <v>0</v>
      </c>
      <c r="CL21" s="10">
        <f t="shared" si="24"/>
        <v>0</v>
      </c>
      <c r="CM21" s="10">
        <f t="shared" si="24"/>
        <v>0</v>
      </c>
      <c r="CN21" s="10">
        <f t="shared" si="24"/>
        <v>0</v>
      </c>
      <c r="CO21" s="10">
        <f t="shared" si="24"/>
        <v>0</v>
      </c>
    </row>
    <row r="22" spans="1:93" s="133" customFormat="1" ht="14">
      <c r="A22" s="10"/>
      <c r="B22" s="10"/>
      <c r="C22" s="10"/>
      <c r="D22" s="10"/>
      <c r="E22" s="10"/>
      <c r="F22" s="10"/>
      <c r="G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s="133" customFormat="1" ht="14">
      <c r="A23" s="10"/>
      <c r="B23" s="10"/>
      <c r="C23" s="24" t="s">
        <v>329</v>
      </c>
      <c r="D23" s="24"/>
      <c r="E23" s="24"/>
      <c r="F23" s="24"/>
      <c r="G23" s="135"/>
      <c r="H23" s="24"/>
      <c r="I23" s="24"/>
      <c r="J23" s="24"/>
      <c r="K23" s="24"/>
      <c r="L23" s="24">
        <f t="shared" ref="L23:BW23" ca="1" si="25">SUM(L13,L17)</f>
        <v>128324.85692220709</v>
      </c>
      <c r="M23" s="24">
        <f t="shared" ca="1" si="25"/>
        <v>1247830.0923526001</v>
      </c>
      <c r="N23" s="24">
        <f t="shared" ca="1" si="25"/>
        <v>2461019.365830977</v>
      </c>
      <c r="O23" s="24">
        <f t="shared" ca="1" si="25"/>
        <v>5134992.4963465398</v>
      </c>
      <c r="P23" s="24">
        <f t="shared" ca="1" si="25"/>
        <v>5787839.9901055926</v>
      </c>
      <c r="Q23" s="24">
        <f t="shared" ca="1" si="25"/>
        <v>5299642.6929916674</v>
      </c>
      <c r="R23" s="24">
        <f t="shared" ca="1" si="25"/>
        <v>4784121.7316195481</v>
      </c>
      <c r="S23" s="24">
        <f t="shared" ca="1" si="25"/>
        <v>4378231.532037667</v>
      </c>
      <c r="T23" s="24">
        <f t="shared" ca="1" si="25"/>
        <v>4099734.80913423</v>
      </c>
      <c r="U23" s="24">
        <f t="shared" ca="1" si="25"/>
        <v>3691125.0866787527</v>
      </c>
      <c r="V23" s="24">
        <f t="shared" ca="1" si="25"/>
        <v>3408774.1932447101</v>
      </c>
      <c r="W23" s="24">
        <f t="shared" ca="1" si="25"/>
        <v>3250782.4381630742</v>
      </c>
      <c r="X23" s="24">
        <f t="shared" ca="1" si="25"/>
        <v>3134612.7253744751</v>
      </c>
      <c r="Y23" s="24">
        <f t="shared" ca="1" si="25"/>
        <v>3019006.5529729258</v>
      </c>
      <c r="Z23" s="24">
        <f t="shared" ca="1" si="25"/>
        <v>2903986.7430032389</v>
      </c>
      <c r="AA23" s="24">
        <f t="shared" ca="1" si="25"/>
        <v>2789576.4345178297</v>
      </c>
      <c r="AB23" s="24">
        <f t="shared" ca="1" si="25"/>
        <v>2675800.9665284436</v>
      </c>
      <c r="AC23" s="24">
        <f t="shared" ca="1" si="25"/>
        <v>2562684.7610847522</v>
      </c>
      <c r="AD23" s="24">
        <f t="shared" ca="1" si="25"/>
        <v>2450254.5167512372</v>
      </c>
      <c r="AE23" s="24">
        <f t="shared" ca="1" si="25"/>
        <v>2338537.3029464376</v>
      </c>
      <c r="AF23" s="24">
        <f t="shared" si="25"/>
        <v>0</v>
      </c>
      <c r="AG23" s="24">
        <f t="shared" si="25"/>
        <v>0</v>
      </c>
      <c r="AH23" s="24">
        <f t="shared" si="25"/>
        <v>0</v>
      </c>
      <c r="AI23" s="24">
        <f t="shared" si="25"/>
        <v>0</v>
      </c>
      <c r="AJ23" s="24">
        <f t="shared" si="25"/>
        <v>0</v>
      </c>
      <c r="AK23" s="24">
        <f t="shared" si="25"/>
        <v>0</v>
      </c>
      <c r="AL23" s="24">
        <f t="shared" si="25"/>
        <v>0</v>
      </c>
      <c r="AM23" s="24">
        <f t="shared" si="25"/>
        <v>0</v>
      </c>
      <c r="AN23" s="24">
        <f t="shared" si="25"/>
        <v>0</v>
      </c>
      <c r="AO23" s="24">
        <f t="shared" si="25"/>
        <v>0</v>
      </c>
      <c r="AP23" s="24">
        <f t="shared" si="25"/>
        <v>0</v>
      </c>
      <c r="AQ23" s="24">
        <f t="shared" si="25"/>
        <v>0</v>
      </c>
      <c r="AR23" s="24">
        <f t="shared" si="25"/>
        <v>0</v>
      </c>
      <c r="AS23" s="24">
        <f t="shared" si="25"/>
        <v>0</v>
      </c>
      <c r="AT23" s="24">
        <f t="shared" si="25"/>
        <v>0</v>
      </c>
      <c r="AU23" s="24">
        <f t="shared" si="25"/>
        <v>0</v>
      </c>
      <c r="AV23" s="24">
        <f t="shared" si="25"/>
        <v>0</v>
      </c>
      <c r="AW23" s="24">
        <f t="shared" si="25"/>
        <v>0</v>
      </c>
      <c r="AX23" s="24">
        <f t="shared" si="25"/>
        <v>0</v>
      </c>
      <c r="AY23" s="24">
        <f t="shared" si="25"/>
        <v>0</v>
      </c>
      <c r="AZ23" s="24">
        <f t="shared" si="25"/>
        <v>0</v>
      </c>
      <c r="BA23" s="24">
        <f t="shared" si="25"/>
        <v>0</v>
      </c>
      <c r="BB23" s="24">
        <f t="shared" si="25"/>
        <v>0</v>
      </c>
      <c r="BC23" s="24">
        <f t="shared" si="25"/>
        <v>0</v>
      </c>
      <c r="BD23" s="24">
        <f t="shared" si="25"/>
        <v>0</v>
      </c>
      <c r="BE23" s="24">
        <f t="shared" si="25"/>
        <v>0</v>
      </c>
      <c r="BF23" s="24">
        <f t="shared" si="25"/>
        <v>0</v>
      </c>
      <c r="BG23" s="24">
        <f t="shared" si="25"/>
        <v>0</v>
      </c>
      <c r="BH23" s="24">
        <f t="shared" si="25"/>
        <v>0</v>
      </c>
      <c r="BI23" s="24">
        <f t="shared" si="25"/>
        <v>0</v>
      </c>
      <c r="BJ23" s="24">
        <f t="shared" si="25"/>
        <v>0</v>
      </c>
      <c r="BK23" s="24">
        <f t="shared" si="25"/>
        <v>0</v>
      </c>
      <c r="BL23" s="24">
        <f t="shared" si="25"/>
        <v>0</v>
      </c>
      <c r="BM23" s="24">
        <f t="shared" si="25"/>
        <v>0</v>
      </c>
      <c r="BN23" s="24">
        <f t="shared" si="25"/>
        <v>0</v>
      </c>
      <c r="BO23" s="24">
        <f t="shared" si="25"/>
        <v>0</v>
      </c>
      <c r="BP23" s="24">
        <f t="shared" si="25"/>
        <v>0</v>
      </c>
      <c r="BQ23" s="24">
        <f t="shared" si="25"/>
        <v>0</v>
      </c>
      <c r="BR23" s="24">
        <f t="shared" si="25"/>
        <v>0</v>
      </c>
      <c r="BS23" s="24">
        <f t="shared" si="25"/>
        <v>0</v>
      </c>
      <c r="BT23" s="24">
        <f t="shared" si="25"/>
        <v>0</v>
      </c>
      <c r="BU23" s="24">
        <f t="shared" si="25"/>
        <v>0</v>
      </c>
      <c r="BV23" s="24">
        <f t="shared" si="25"/>
        <v>0</v>
      </c>
      <c r="BW23" s="24">
        <f t="shared" si="25"/>
        <v>0</v>
      </c>
      <c r="BX23" s="24">
        <f t="shared" ref="BX23:CO23" si="26">SUM(BX13,BX17)</f>
        <v>0</v>
      </c>
      <c r="BY23" s="24">
        <f t="shared" si="26"/>
        <v>0</v>
      </c>
      <c r="BZ23" s="24">
        <f t="shared" si="26"/>
        <v>0</v>
      </c>
      <c r="CA23" s="24">
        <f t="shared" si="26"/>
        <v>0</v>
      </c>
      <c r="CB23" s="24">
        <f t="shared" si="26"/>
        <v>0</v>
      </c>
      <c r="CC23" s="24">
        <f t="shared" si="26"/>
        <v>0</v>
      </c>
      <c r="CD23" s="24">
        <f t="shared" si="26"/>
        <v>0</v>
      </c>
      <c r="CE23" s="24">
        <f t="shared" si="26"/>
        <v>0</v>
      </c>
      <c r="CF23" s="24">
        <f t="shared" si="26"/>
        <v>0</v>
      </c>
      <c r="CG23" s="24">
        <f t="shared" si="26"/>
        <v>0</v>
      </c>
      <c r="CH23" s="24">
        <f t="shared" si="26"/>
        <v>0</v>
      </c>
      <c r="CI23" s="24">
        <f t="shared" si="26"/>
        <v>0</v>
      </c>
      <c r="CJ23" s="24">
        <f t="shared" si="26"/>
        <v>0</v>
      </c>
      <c r="CK23" s="24">
        <f t="shared" si="26"/>
        <v>0</v>
      </c>
      <c r="CL23" s="24">
        <f t="shared" si="26"/>
        <v>0</v>
      </c>
      <c r="CM23" s="24">
        <f t="shared" si="26"/>
        <v>0</v>
      </c>
      <c r="CN23" s="24">
        <f t="shared" si="26"/>
        <v>0</v>
      </c>
      <c r="CO23" s="24">
        <f t="shared" si="26"/>
        <v>0</v>
      </c>
    </row>
    <row r="24" spans="1:93" s="133" customFormat="1" ht="14">
      <c r="A24" s="10"/>
      <c r="B24" s="10"/>
      <c r="C24" s="10"/>
      <c r="D24" s="10"/>
      <c r="E24" s="10"/>
      <c r="F24" s="10"/>
      <c r="G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93" s="133" customFormat="1" ht="14">
      <c r="A25" s="10"/>
      <c r="B25" s="130" t="s">
        <v>71</v>
      </c>
      <c r="C25" s="35" t="s">
        <v>72</v>
      </c>
      <c r="D25" s="130"/>
      <c r="E25" s="130"/>
      <c r="F25" s="130"/>
      <c r="G25" s="131" t="str">
        <f>Monetary_Unit</f>
        <v>тыс. руб.</v>
      </c>
      <c r="H25" s="130"/>
      <c r="I25" s="10"/>
      <c r="J25" s="10"/>
      <c r="K25" s="10"/>
      <c r="L25" s="132">
        <f t="shared" ref="L25" ca="1" si="27">SUM(L26:L28)</f>
        <v>128324.85692220708</v>
      </c>
      <c r="M25" s="132">
        <f t="shared" ref="M25:BX25" ca="1" si="28">SUM(M26:M28)</f>
        <v>1154754.872889637</v>
      </c>
      <c r="N25" s="132">
        <f t="shared" ca="1" si="28"/>
        <v>1204427.2529325802</v>
      </c>
      <c r="O25" s="132">
        <f t="shared" ca="1" si="28"/>
        <v>1351305.21807041</v>
      </c>
      <c r="P25" s="132">
        <f t="shared" ca="1" si="28"/>
        <v>1409395.9556502979</v>
      </c>
      <c r="Q25" s="132">
        <f t="shared" ca="1" si="28"/>
        <v>1409395.9556502979</v>
      </c>
      <c r="R25" s="132">
        <f t="shared" ca="1" si="28"/>
        <v>1409395.9556502979</v>
      </c>
      <c r="S25" s="132">
        <f t="shared" ca="1" si="28"/>
        <v>1557790.0984953148</v>
      </c>
      <c r="T25" s="132">
        <f t="shared" ca="1" si="28"/>
        <v>1875159.4208948289</v>
      </c>
      <c r="U25" s="132">
        <f t="shared" ca="1" si="28"/>
        <v>2041900.2121222606</v>
      </c>
      <c r="V25" s="132">
        <f t="shared" ca="1" si="28"/>
        <v>2422956.1169779655</v>
      </c>
      <c r="W25" s="132">
        <f t="shared" ca="1" si="28"/>
        <v>2966141.0953411367</v>
      </c>
      <c r="X25" s="132">
        <f t="shared" ca="1" si="28"/>
        <v>2838585.4801923186</v>
      </c>
      <c r="Y25" s="132">
        <f t="shared" ca="1" si="28"/>
        <v>2711138.2179834824</v>
      </c>
      <c r="Z25" s="132">
        <f t="shared" ca="1" si="28"/>
        <v>2583803.6746142181</v>
      </c>
      <c r="AA25" s="132">
        <f t="shared" ca="1" si="28"/>
        <v>2456586.3230876895</v>
      </c>
      <c r="AB25" s="132">
        <f t="shared" ca="1" si="28"/>
        <v>2329490.9597588773</v>
      </c>
      <c r="AC25" s="132">
        <f t="shared" ca="1" si="28"/>
        <v>2202522.3540444029</v>
      </c>
      <c r="AD25" s="132">
        <f t="shared" ca="1" si="28"/>
        <v>2075685.6134292744</v>
      </c>
      <c r="AE25" s="132">
        <f t="shared" ca="1" si="28"/>
        <v>1948985.970694534</v>
      </c>
      <c r="AF25" s="132">
        <f t="shared" si="28"/>
        <v>0</v>
      </c>
      <c r="AG25" s="132">
        <f t="shared" si="28"/>
        <v>0</v>
      </c>
      <c r="AH25" s="132">
        <f t="shared" si="28"/>
        <v>0</v>
      </c>
      <c r="AI25" s="132">
        <f t="shared" si="28"/>
        <v>0</v>
      </c>
      <c r="AJ25" s="132">
        <f t="shared" si="28"/>
        <v>0</v>
      </c>
      <c r="AK25" s="132">
        <f t="shared" si="28"/>
        <v>0</v>
      </c>
      <c r="AL25" s="132">
        <f t="shared" si="28"/>
        <v>0</v>
      </c>
      <c r="AM25" s="132">
        <f t="shared" si="28"/>
        <v>0</v>
      </c>
      <c r="AN25" s="132">
        <f t="shared" si="28"/>
        <v>0</v>
      </c>
      <c r="AO25" s="132">
        <f t="shared" si="28"/>
        <v>0</v>
      </c>
      <c r="AP25" s="132">
        <f t="shared" si="28"/>
        <v>0</v>
      </c>
      <c r="AQ25" s="132">
        <f t="shared" si="28"/>
        <v>0</v>
      </c>
      <c r="AR25" s="132">
        <f t="shared" si="28"/>
        <v>0</v>
      </c>
      <c r="AS25" s="132">
        <f t="shared" si="28"/>
        <v>0</v>
      </c>
      <c r="AT25" s="132">
        <f t="shared" si="28"/>
        <v>0</v>
      </c>
      <c r="AU25" s="132">
        <f t="shared" si="28"/>
        <v>0</v>
      </c>
      <c r="AV25" s="132">
        <f t="shared" si="28"/>
        <v>0</v>
      </c>
      <c r="AW25" s="132">
        <f t="shared" si="28"/>
        <v>0</v>
      </c>
      <c r="AX25" s="132">
        <f t="shared" si="28"/>
        <v>0</v>
      </c>
      <c r="AY25" s="132">
        <f t="shared" si="28"/>
        <v>0</v>
      </c>
      <c r="AZ25" s="132">
        <f t="shared" si="28"/>
        <v>0</v>
      </c>
      <c r="BA25" s="132">
        <f t="shared" si="28"/>
        <v>0</v>
      </c>
      <c r="BB25" s="132">
        <f t="shared" si="28"/>
        <v>0</v>
      </c>
      <c r="BC25" s="132">
        <f t="shared" si="28"/>
        <v>0</v>
      </c>
      <c r="BD25" s="132">
        <f t="shared" si="28"/>
        <v>0</v>
      </c>
      <c r="BE25" s="132">
        <f t="shared" si="28"/>
        <v>0</v>
      </c>
      <c r="BF25" s="132">
        <f t="shared" si="28"/>
        <v>0</v>
      </c>
      <c r="BG25" s="132">
        <f t="shared" si="28"/>
        <v>0</v>
      </c>
      <c r="BH25" s="132">
        <f t="shared" si="28"/>
        <v>0</v>
      </c>
      <c r="BI25" s="132">
        <f t="shared" si="28"/>
        <v>0</v>
      </c>
      <c r="BJ25" s="132">
        <f t="shared" si="28"/>
        <v>0</v>
      </c>
      <c r="BK25" s="132">
        <f t="shared" si="28"/>
        <v>0</v>
      </c>
      <c r="BL25" s="132">
        <f t="shared" si="28"/>
        <v>0</v>
      </c>
      <c r="BM25" s="132">
        <f t="shared" si="28"/>
        <v>0</v>
      </c>
      <c r="BN25" s="132">
        <f t="shared" si="28"/>
        <v>0</v>
      </c>
      <c r="BO25" s="132">
        <f t="shared" si="28"/>
        <v>0</v>
      </c>
      <c r="BP25" s="132">
        <f t="shared" si="28"/>
        <v>0</v>
      </c>
      <c r="BQ25" s="132">
        <f t="shared" si="28"/>
        <v>0</v>
      </c>
      <c r="BR25" s="132">
        <f t="shared" si="28"/>
        <v>0</v>
      </c>
      <c r="BS25" s="132">
        <f t="shared" si="28"/>
        <v>0</v>
      </c>
      <c r="BT25" s="132">
        <f t="shared" si="28"/>
        <v>0</v>
      </c>
      <c r="BU25" s="132">
        <f t="shared" si="28"/>
        <v>0</v>
      </c>
      <c r="BV25" s="132">
        <f t="shared" si="28"/>
        <v>0</v>
      </c>
      <c r="BW25" s="132">
        <f t="shared" si="28"/>
        <v>0</v>
      </c>
      <c r="BX25" s="132">
        <f t="shared" si="28"/>
        <v>0</v>
      </c>
      <c r="BY25" s="132">
        <f t="shared" ref="BY25:CO25" si="29">SUM(BY26:BY28)</f>
        <v>0</v>
      </c>
      <c r="BZ25" s="132">
        <f t="shared" si="29"/>
        <v>0</v>
      </c>
      <c r="CA25" s="132">
        <f t="shared" si="29"/>
        <v>0</v>
      </c>
      <c r="CB25" s="132">
        <f t="shared" si="29"/>
        <v>0</v>
      </c>
      <c r="CC25" s="132">
        <f t="shared" si="29"/>
        <v>0</v>
      </c>
      <c r="CD25" s="132">
        <f t="shared" si="29"/>
        <v>0</v>
      </c>
      <c r="CE25" s="132">
        <f t="shared" si="29"/>
        <v>0</v>
      </c>
      <c r="CF25" s="132">
        <f t="shared" si="29"/>
        <v>0</v>
      </c>
      <c r="CG25" s="132">
        <f t="shared" si="29"/>
        <v>0</v>
      </c>
      <c r="CH25" s="132">
        <f t="shared" si="29"/>
        <v>0</v>
      </c>
      <c r="CI25" s="132">
        <f t="shared" si="29"/>
        <v>0</v>
      </c>
      <c r="CJ25" s="132">
        <f t="shared" si="29"/>
        <v>0</v>
      </c>
      <c r="CK25" s="132">
        <f t="shared" si="29"/>
        <v>0</v>
      </c>
      <c r="CL25" s="132">
        <f t="shared" si="29"/>
        <v>0</v>
      </c>
      <c r="CM25" s="132">
        <f t="shared" si="29"/>
        <v>0</v>
      </c>
      <c r="CN25" s="132">
        <f t="shared" si="29"/>
        <v>0</v>
      </c>
      <c r="CO25" s="132">
        <f t="shared" si="29"/>
        <v>0</v>
      </c>
    </row>
    <row r="26" spans="1:93" s="133" customFormat="1" ht="14">
      <c r="A26" s="10"/>
      <c r="B26" s="10"/>
      <c r="C26" s="10" t="s">
        <v>73</v>
      </c>
      <c r="D26" s="10"/>
      <c r="E26" s="10"/>
      <c r="F26" s="10"/>
      <c r="G26" s="134" t="str">
        <f>Monetary_Unit</f>
        <v>тыс. руб.</v>
      </c>
      <c r="H26" s="10"/>
      <c r="I26" s="10"/>
      <c r="J26" s="10"/>
      <c r="K26" s="10"/>
      <c r="L26" s="10">
        <f t="shared" ref="L26:AQ26" si="30">SUMIF(End_of_period,L$8,Equity_EoP)</f>
        <v>128324.85692220708</v>
      </c>
      <c r="M26" s="10">
        <f t="shared" si="30"/>
        <v>1154754.872889637</v>
      </c>
      <c r="N26" s="10">
        <f t="shared" si="30"/>
        <v>1204427.2529325802</v>
      </c>
      <c r="O26" s="10">
        <f t="shared" si="30"/>
        <v>1351305.21807041</v>
      </c>
      <c r="P26" s="10">
        <f t="shared" si="30"/>
        <v>1409395.9556502979</v>
      </c>
      <c r="Q26" s="10">
        <f t="shared" si="30"/>
        <v>1409395.9556502979</v>
      </c>
      <c r="R26" s="10">
        <f t="shared" si="30"/>
        <v>1409395.9556502979</v>
      </c>
      <c r="S26" s="10">
        <f t="shared" si="30"/>
        <v>1409395.9556502979</v>
      </c>
      <c r="T26" s="10">
        <f t="shared" si="30"/>
        <v>1409395.9556502979</v>
      </c>
      <c r="U26" s="10">
        <f t="shared" si="30"/>
        <v>1409395.9556502979</v>
      </c>
      <c r="V26" s="10">
        <f t="shared" si="30"/>
        <v>1409395.9556502979</v>
      </c>
      <c r="W26" s="10">
        <f t="shared" si="30"/>
        <v>1409395.9556502979</v>
      </c>
      <c r="X26" s="10">
        <f t="shared" si="30"/>
        <v>1409395.9556502979</v>
      </c>
      <c r="Y26" s="10">
        <f t="shared" si="30"/>
        <v>1409395.9556502979</v>
      </c>
      <c r="Z26" s="10">
        <f t="shared" si="30"/>
        <v>1409395.9556502979</v>
      </c>
      <c r="AA26" s="10">
        <f t="shared" si="30"/>
        <v>1409395.9556502979</v>
      </c>
      <c r="AB26" s="10">
        <f t="shared" si="30"/>
        <v>1409395.9556502979</v>
      </c>
      <c r="AC26" s="10">
        <f t="shared" si="30"/>
        <v>1409395.9556502979</v>
      </c>
      <c r="AD26" s="10">
        <f t="shared" si="30"/>
        <v>1409395.9556502979</v>
      </c>
      <c r="AE26" s="10">
        <f t="shared" si="30"/>
        <v>1409395.9556502979</v>
      </c>
      <c r="AF26" s="10">
        <f t="shared" si="30"/>
        <v>0</v>
      </c>
      <c r="AG26" s="10">
        <f t="shared" si="30"/>
        <v>0</v>
      </c>
      <c r="AH26" s="10">
        <f t="shared" si="30"/>
        <v>0</v>
      </c>
      <c r="AI26" s="10">
        <f t="shared" si="30"/>
        <v>0</v>
      </c>
      <c r="AJ26" s="10">
        <f t="shared" si="30"/>
        <v>0</v>
      </c>
      <c r="AK26" s="10">
        <f t="shared" si="30"/>
        <v>0</v>
      </c>
      <c r="AL26" s="10">
        <f t="shared" si="30"/>
        <v>0</v>
      </c>
      <c r="AM26" s="10">
        <f t="shared" si="30"/>
        <v>0</v>
      </c>
      <c r="AN26" s="10">
        <f t="shared" si="30"/>
        <v>0</v>
      </c>
      <c r="AO26" s="10">
        <f t="shared" si="30"/>
        <v>0</v>
      </c>
      <c r="AP26" s="10">
        <f t="shared" si="30"/>
        <v>0</v>
      </c>
      <c r="AQ26" s="10">
        <f t="shared" si="30"/>
        <v>0</v>
      </c>
      <c r="AR26" s="10">
        <f t="shared" ref="AR26:BW26" si="31">SUMIF(End_of_period,AR$8,Equity_EoP)</f>
        <v>0</v>
      </c>
      <c r="AS26" s="10">
        <f t="shared" si="31"/>
        <v>0</v>
      </c>
      <c r="AT26" s="10">
        <f t="shared" si="31"/>
        <v>0</v>
      </c>
      <c r="AU26" s="10">
        <f t="shared" si="31"/>
        <v>0</v>
      </c>
      <c r="AV26" s="10">
        <f t="shared" si="31"/>
        <v>0</v>
      </c>
      <c r="AW26" s="10">
        <f t="shared" si="31"/>
        <v>0</v>
      </c>
      <c r="AX26" s="10">
        <f t="shared" si="31"/>
        <v>0</v>
      </c>
      <c r="AY26" s="10">
        <f t="shared" si="31"/>
        <v>0</v>
      </c>
      <c r="AZ26" s="10">
        <f t="shared" si="31"/>
        <v>0</v>
      </c>
      <c r="BA26" s="10">
        <f t="shared" si="31"/>
        <v>0</v>
      </c>
      <c r="BB26" s="10">
        <f t="shared" si="31"/>
        <v>0</v>
      </c>
      <c r="BC26" s="10">
        <f t="shared" si="31"/>
        <v>0</v>
      </c>
      <c r="BD26" s="10">
        <f t="shared" si="31"/>
        <v>0</v>
      </c>
      <c r="BE26" s="10">
        <f t="shared" si="31"/>
        <v>0</v>
      </c>
      <c r="BF26" s="10">
        <f t="shared" si="31"/>
        <v>0</v>
      </c>
      <c r="BG26" s="10">
        <f t="shared" si="31"/>
        <v>0</v>
      </c>
      <c r="BH26" s="10">
        <f t="shared" si="31"/>
        <v>0</v>
      </c>
      <c r="BI26" s="10">
        <f t="shared" si="31"/>
        <v>0</v>
      </c>
      <c r="BJ26" s="10">
        <f t="shared" si="31"/>
        <v>0</v>
      </c>
      <c r="BK26" s="10">
        <f t="shared" si="31"/>
        <v>0</v>
      </c>
      <c r="BL26" s="10">
        <f t="shared" si="31"/>
        <v>0</v>
      </c>
      <c r="BM26" s="10">
        <f t="shared" si="31"/>
        <v>0</v>
      </c>
      <c r="BN26" s="10">
        <f t="shared" si="31"/>
        <v>0</v>
      </c>
      <c r="BO26" s="10">
        <f t="shared" si="31"/>
        <v>0</v>
      </c>
      <c r="BP26" s="10">
        <f t="shared" si="31"/>
        <v>0</v>
      </c>
      <c r="BQ26" s="10">
        <f t="shared" si="31"/>
        <v>0</v>
      </c>
      <c r="BR26" s="10">
        <f t="shared" si="31"/>
        <v>0</v>
      </c>
      <c r="BS26" s="10">
        <f t="shared" si="31"/>
        <v>0</v>
      </c>
      <c r="BT26" s="10">
        <f t="shared" si="31"/>
        <v>0</v>
      </c>
      <c r="BU26" s="10">
        <f t="shared" si="31"/>
        <v>0</v>
      </c>
      <c r="BV26" s="10">
        <f t="shared" si="31"/>
        <v>0</v>
      </c>
      <c r="BW26" s="10">
        <f t="shared" si="31"/>
        <v>0</v>
      </c>
      <c r="BX26" s="10">
        <f t="shared" ref="BX26:CO26" si="32">SUMIF(End_of_period,BX$8,Equity_EoP)</f>
        <v>0</v>
      </c>
      <c r="BY26" s="10">
        <f t="shared" si="32"/>
        <v>0</v>
      </c>
      <c r="BZ26" s="10">
        <f t="shared" si="32"/>
        <v>0</v>
      </c>
      <c r="CA26" s="10">
        <f t="shared" si="32"/>
        <v>0</v>
      </c>
      <c r="CB26" s="10">
        <f t="shared" si="32"/>
        <v>0</v>
      </c>
      <c r="CC26" s="10">
        <f t="shared" si="32"/>
        <v>0</v>
      </c>
      <c r="CD26" s="10">
        <f t="shared" si="32"/>
        <v>0</v>
      </c>
      <c r="CE26" s="10">
        <f t="shared" si="32"/>
        <v>0</v>
      </c>
      <c r="CF26" s="10">
        <f t="shared" si="32"/>
        <v>0</v>
      </c>
      <c r="CG26" s="10">
        <f t="shared" si="32"/>
        <v>0</v>
      </c>
      <c r="CH26" s="10">
        <f t="shared" si="32"/>
        <v>0</v>
      </c>
      <c r="CI26" s="10">
        <f t="shared" si="32"/>
        <v>0</v>
      </c>
      <c r="CJ26" s="10">
        <f t="shared" si="32"/>
        <v>0</v>
      </c>
      <c r="CK26" s="10">
        <f t="shared" si="32"/>
        <v>0</v>
      </c>
      <c r="CL26" s="10">
        <f t="shared" si="32"/>
        <v>0</v>
      </c>
      <c r="CM26" s="10">
        <f t="shared" si="32"/>
        <v>0</v>
      </c>
      <c r="CN26" s="10">
        <f t="shared" si="32"/>
        <v>0</v>
      </c>
      <c r="CO26" s="10">
        <f t="shared" si="32"/>
        <v>0</v>
      </c>
    </row>
    <row r="27" spans="1:93" s="133" customFormat="1" ht="14">
      <c r="A27" s="10"/>
      <c r="B27" s="10"/>
      <c r="C27" s="10" t="s">
        <v>553</v>
      </c>
      <c r="D27" s="10"/>
      <c r="E27" s="10"/>
      <c r="F27" s="10"/>
      <c r="G27" s="134" t="str">
        <f>Monetary_Unit</f>
        <v>тыс. руб.</v>
      </c>
      <c r="H27" s="10"/>
      <c r="I27" s="10"/>
      <c r="J27" s="10"/>
      <c r="K27" s="10"/>
      <c r="L27" s="10">
        <f t="shared" ref="L27:AQ27" ca="1" si="33">SUMIF(End_of_period,L$8,Subord_EoP)</f>
        <v>0</v>
      </c>
      <c r="M27" s="10">
        <f t="shared" ca="1" si="33"/>
        <v>0</v>
      </c>
      <c r="N27" s="10">
        <f t="shared" ca="1" si="33"/>
        <v>0</v>
      </c>
      <c r="O27" s="10">
        <f t="shared" ca="1" si="33"/>
        <v>0</v>
      </c>
      <c r="P27" s="10">
        <f t="shared" ca="1" si="33"/>
        <v>0</v>
      </c>
      <c r="Q27" s="10">
        <f t="shared" ca="1" si="33"/>
        <v>0</v>
      </c>
      <c r="R27" s="10">
        <f t="shared" ca="1" si="33"/>
        <v>0</v>
      </c>
      <c r="S27" s="10">
        <f t="shared" ca="1" si="33"/>
        <v>0</v>
      </c>
      <c r="T27" s="10">
        <f t="shared" ca="1" si="33"/>
        <v>0</v>
      </c>
      <c r="U27" s="10">
        <f t="shared" ca="1" si="33"/>
        <v>0</v>
      </c>
      <c r="V27" s="10">
        <f t="shared" ca="1" si="33"/>
        <v>0</v>
      </c>
      <c r="W27" s="10">
        <f t="shared" ca="1" si="33"/>
        <v>0</v>
      </c>
      <c r="X27" s="10">
        <f t="shared" ca="1" si="33"/>
        <v>0</v>
      </c>
      <c r="Y27" s="10">
        <f t="shared" ca="1" si="33"/>
        <v>0</v>
      </c>
      <c r="Z27" s="10">
        <f t="shared" ca="1" si="33"/>
        <v>0</v>
      </c>
      <c r="AA27" s="10">
        <f t="shared" ca="1" si="33"/>
        <v>0</v>
      </c>
      <c r="AB27" s="10">
        <f t="shared" ca="1" si="33"/>
        <v>0</v>
      </c>
      <c r="AC27" s="10">
        <f t="shared" ca="1" si="33"/>
        <v>0</v>
      </c>
      <c r="AD27" s="10">
        <f t="shared" ca="1" si="33"/>
        <v>0</v>
      </c>
      <c r="AE27" s="10">
        <f t="shared" ca="1" si="33"/>
        <v>0</v>
      </c>
      <c r="AF27" s="10">
        <f t="shared" si="33"/>
        <v>0</v>
      </c>
      <c r="AG27" s="10">
        <f t="shared" si="33"/>
        <v>0</v>
      </c>
      <c r="AH27" s="10">
        <f t="shared" si="33"/>
        <v>0</v>
      </c>
      <c r="AI27" s="10">
        <f t="shared" si="33"/>
        <v>0</v>
      </c>
      <c r="AJ27" s="10">
        <f t="shared" si="33"/>
        <v>0</v>
      </c>
      <c r="AK27" s="10">
        <f t="shared" si="33"/>
        <v>0</v>
      </c>
      <c r="AL27" s="10">
        <f t="shared" si="33"/>
        <v>0</v>
      </c>
      <c r="AM27" s="10">
        <f t="shared" si="33"/>
        <v>0</v>
      </c>
      <c r="AN27" s="10">
        <f t="shared" si="33"/>
        <v>0</v>
      </c>
      <c r="AO27" s="10">
        <f t="shared" si="33"/>
        <v>0</v>
      </c>
      <c r="AP27" s="10">
        <f t="shared" si="33"/>
        <v>0</v>
      </c>
      <c r="AQ27" s="10">
        <f t="shared" si="33"/>
        <v>0</v>
      </c>
      <c r="AR27" s="10">
        <f t="shared" ref="AR27:BW27" si="34">SUMIF(End_of_period,AR$8,Subord_EoP)</f>
        <v>0</v>
      </c>
      <c r="AS27" s="10">
        <f t="shared" si="34"/>
        <v>0</v>
      </c>
      <c r="AT27" s="10">
        <f t="shared" si="34"/>
        <v>0</v>
      </c>
      <c r="AU27" s="10">
        <f t="shared" si="34"/>
        <v>0</v>
      </c>
      <c r="AV27" s="10">
        <f t="shared" si="34"/>
        <v>0</v>
      </c>
      <c r="AW27" s="10">
        <f t="shared" si="34"/>
        <v>0</v>
      </c>
      <c r="AX27" s="10">
        <f t="shared" si="34"/>
        <v>0</v>
      </c>
      <c r="AY27" s="10">
        <f t="shared" si="34"/>
        <v>0</v>
      </c>
      <c r="AZ27" s="10">
        <f t="shared" si="34"/>
        <v>0</v>
      </c>
      <c r="BA27" s="10">
        <f t="shared" si="34"/>
        <v>0</v>
      </c>
      <c r="BB27" s="10">
        <f t="shared" si="34"/>
        <v>0</v>
      </c>
      <c r="BC27" s="10">
        <f t="shared" si="34"/>
        <v>0</v>
      </c>
      <c r="BD27" s="10">
        <f t="shared" si="34"/>
        <v>0</v>
      </c>
      <c r="BE27" s="10">
        <f t="shared" si="34"/>
        <v>0</v>
      </c>
      <c r="BF27" s="10">
        <f t="shared" si="34"/>
        <v>0</v>
      </c>
      <c r="BG27" s="10">
        <f t="shared" si="34"/>
        <v>0</v>
      </c>
      <c r="BH27" s="10">
        <f t="shared" si="34"/>
        <v>0</v>
      </c>
      <c r="BI27" s="10">
        <f t="shared" si="34"/>
        <v>0</v>
      </c>
      <c r="BJ27" s="10">
        <f t="shared" si="34"/>
        <v>0</v>
      </c>
      <c r="BK27" s="10">
        <f t="shared" si="34"/>
        <v>0</v>
      </c>
      <c r="BL27" s="10">
        <f t="shared" si="34"/>
        <v>0</v>
      </c>
      <c r="BM27" s="10">
        <f t="shared" si="34"/>
        <v>0</v>
      </c>
      <c r="BN27" s="10">
        <f t="shared" si="34"/>
        <v>0</v>
      </c>
      <c r="BO27" s="10">
        <f t="shared" si="34"/>
        <v>0</v>
      </c>
      <c r="BP27" s="10">
        <f t="shared" si="34"/>
        <v>0</v>
      </c>
      <c r="BQ27" s="10">
        <f t="shared" si="34"/>
        <v>0</v>
      </c>
      <c r="BR27" s="10">
        <f t="shared" si="34"/>
        <v>0</v>
      </c>
      <c r="BS27" s="10">
        <f t="shared" si="34"/>
        <v>0</v>
      </c>
      <c r="BT27" s="10">
        <f t="shared" si="34"/>
        <v>0</v>
      </c>
      <c r="BU27" s="10">
        <f t="shared" si="34"/>
        <v>0</v>
      </c>
      <c r="BV27" s="10">
        <f t="shared" si="34"/>
        <v>0</v>
      </c>
      <c r="BW27" s="10">
        <f t="shared" si="34"/>
        <v>0</v>
      </c>
      <c r="BX27" s="10">
        <f t="shared" ref="BX27:CO27" si="35">SUMIF(End_of_period,BX$8,Subord_EoP)</f>
        <v>0</v>
      </c>
      <c r="BY27" s="10">
        <f t="shared" si="35"/>
        <v>0</v>
      </c>
      <c r="BZ27" s="10">
        <f t="shared" si="35"/>
        <v>0</v>
      </c>
      <c r="CA27" s="10">
        <f t="shared" si="35"/>
        <v>0</v>
      </c>
      <c r="CB27" s="10">
        <f t="shared" si="35"/>
        <v>0</v>
      </c>
      <c r="CC27" s="10">
        <f t="shared" si="35"/>
        <v>0</v>
      </c>
      <c r="CD27" s="10">
        <f t="shared" si="35"/>
        <v>0</v>
      </c>
      <c r="CE27" s="10">
        <f t="shared" si="35"/>
        <v>0</v>
      </c>
      <c r="CF27" s="10">
        <f t="shared" si="35"/>
        <v>0</v>
      </c>
      <c r="CG27" s="10">
        <f t="shared" si="35"/>
        <v>0</v>
      </c>
      <c r="CH27" s="10">
        <f t="shared" si="35"/>
        <v>0</v>
      </c>
      <c r="CI27" s="10">
        <f t="shared" si="35"/>
        <v>0</v>
      </c>
      <c r="CJ27" s="10">
        <f t="shared" si="35"/>
        <v>0</v>
      </c>
      <c r="CK27" s="10">
        <f t="shared" si="35"/>
        <v>0</v>
      </c>
      <c r="CL27" s="10">
        <f t="shared" si="35"/>
        <v>0</v>
      </c>
      <c r="CM27" s="10">
        <f t="shared" si="35"/>
        <v>0</v>
      </c>
      <c r="CN27" s="10">
        <f t="shared" si="35"/>
        <v>0</v>
      </c>
      <c r="CO27" s="10">
        <f t="shared" si="35"/>
        <v>0</v>
      </c>
    </row>
    <row r="28" spans="1:93" s="133" customFormat="1" ht="14">
      <c r="A28" s="10"/>
      <c r="B28" s="10"/>
      <c r="C28" s="10" t="s">
        <v>74</v>
      </c>
      <c r="D28" s="10"/>
      <c r="E28" s="10"/>
      <c r="F28" s="10"/>
      <c r="G28" s="134" t="str">
        <f>Monetary_Unit</f>
        <v>тыс. руб.</v>
      </c>
      <c r="H28" s="10"/>
      <c r="I28" s="10"/>
      <c r="J28" s="10"/>
      <c r="K28" s="10"/>
      <c r="L28" s="10">
        <f ca="1">SUMIF(End_of_period,L$8,Отчетность!$L28:$CO28)</f>
        <v>0</v>
      </c>
      <c r="M28" s="10">
        <f ca="1">SUMIF(End_of_period,M$8,Отчетность!$L28:$CO28)</f>
        <v>0</v>
      </c>
      <c r="N28" s="10">
        <f ca="1">SUMIF(End_of_period,N$8,Отчетность!$L28:$CO28)</f>
        <v>0</v>
      </c>
      <c r="O28" s="10">
        <f ca="1">SUMIF(End_of_period,O$8,Отчетность!$L28:$CO28)</f>
        <v>0</v>
      </c>
      <c r="P28" s="10">
        <f ca="1">SUMIF(End_of_period,P$8,Отчетность!$L28:$CO28)</f>
        <v>0</v>
      </c>
      <c r="Q28" s="10">
        <f ca="1">SUMIF(End_of_period,Q$8,Отчетность!$L28:$CO28)</f>
        <v>0</v>
      </c>
      <c r="R28" s="10">
        <f ca="1">SUMIF(End_of_period,R$8,Отчетность!$L28:$CO28)</f>
        <v>0</v>
      </c>
      <c r="S28" s="10">
        <f ca="1">SUMIF(End_of_period,S$8,Отчетность!$L28:$CO28)</f>
        <v>148394.14284501685</v>
      </c>
      <c r="T28" s="10">
        <f ca="1">SUMIF(End_of_period,T$8,Отчетность!$L28:$CO28)</f>
        <v>465763.46524453099</v>
      </c>
      <c r="U28" s="10">
        <f ca="1">SUMIF(End_of_period,U$8,Отчетность!$L28:$CO28)</f>
        <v>632504.25647196267</v>
      </c>
      <c r="V28" s="10">
        <f ca="1">SUMIF(End_of_period,V$8,Отчетность!$L28:$CO28)</f>
        <v>1013560.1613276677</v>
      </c>
      <c r="W28" s="10">
        <f ca="1">SUMIF(End_of_period,W$8,Отчетность!$L28:$CO28)</f>
        <v>1556745.1396908385</v>
      </c>
      <c r="X28" s="10">
        <f ca="1">SUMIF(End_of_period,X$8,Отчетность!$L28:$CO28)</f>
        <v>1429189.5245420209</v>
      </c>
      <c r="Y28" s="10">
        <f ca="1">SUMIF(End_of_period,Y$8,Отчетность!$L28:$CO28)</f>
        <v>1301742.2623331847</v>
      </c>
      <c r="Z28" s="10">
        <f ca="1">SUMIF(End_of_period,Z$8,Отчетность!$L28:$CO28)</f>
        <v>1174407.7189639199</v>
      </c>
      <c r="AA28" s="10">
        <f ca="1">SUMIF(End_of_period,AA$8,Отчетность!$L28:$CO28)</f>
        <v>1047190.3674373918</v>
      </c>
      <c r="AB28" s="10">
        <f ca="1">SUMIF(End_of_period,AB$8,Отчетность!$L28:$CO28)</f>
        <v>920095.00410857925</v>
      </c>
      <c r="AC28" s="10">
        <f ca="1">SUMIF(End_of_period,AC$8,Отчетность!$L28:$CO28)</f>
        <v>793126.39839410514</v>
      </c>
      <c r="AD28" s="10">
        <f ca="1">SUMIF(End_of_period,AD$8,Отчетность!$L28:$CO28)</f>
        <v>666289.6577789766</v>
      </c>
      <c r="AE28" s="10">
        <f ca="1">SUMIF(End_of_period,AE$8,Отчетность!$L28:$CO28)</f>
        <v>539590.01504423621</v>
      </c>
      <c r="AF28" s="10">
        <f>SUMIF(End_of_period,AF$8,Отчетность!$L28:$CO28)</f>
        <v>0</v>
      </c>
      <c r="AG28" s="10">
        <f>SUMIF(End_of_period,AG$8,Отчетность!$L28:$CO28)</f>
        <v>0</v>
      </c>
      <c r="AH28" s="10">
        <f>SUMIF(End_of_period,AH$8,Отчетность!$L28:$CO28)</f>
        <v>0</v>
      </c>
      <c r="AI28" s="10">
        <f>SUMIF(End_of_period,AI$8,Отчетность!$L28:$CO28)</f>
        <v>0</v>
      </c>
      <c r="AJ28" s="10">
        <f>SUMIF(End_of_period,AJ$8,Отчетность!$L28:$CO28)</f>
        <v>0</v>
      </c>
      <c r="AK28" s="10">
        <f>SUMIF(End_of_period,AK$8,Отчетность!$L28:$CO28)</f>
        <v>0</v>
      </c>
      <c r="AL28" s="10">
        <f>SUMIF(End_of_period,AL$8,Отчетность!$L28:$CO28)</f>
        <v>0</v>
      </c>
      <c r="AM28" s="10">
        <f>SUMIF(End_of_period,AM$8,Отчетность!$L28:$CO28)</f>
        <v>0</v>
      </c>
      <c r="AN28" s="10">
        <f>SUMIF(End_of_period,AN$8,Отчетность!$L28:$CO28)</f>
        <v>0</v>
      </c>
      <c r="AO28" s="10">
        <f>SUMIF(End_of_period,AO$8,Отчетность!$L28:$CO28)</f>
        <v>0</v>
      </c>
      <c r="AP28" s="10">
        <f>SUMIF(End_of_period,AP$8,Отчетность!$L28:$CO28)</f>
        <v>0</v>
      </c>
      <c r="AQ28" s="10">
        <f>SUMIF(End_of_period,AQ$8,Отчетность!$L28:$CO28)</f>
        <v>0</v>
      </c>
      <c r="AR28" s="10">
        <f>SUMIF(End_of_period,AR$8,Отчетность!$L28:$CO28)</f>
        <v>0</v>
      </c>
      <c r="AS28" s="10">
        <f>SUMIF(End_of_period,AS$8,Отчетность!$L28:$CO28)</f>
        <v>0</v>
      </c>
      <c r="AT28" s="10">
        <f>SUMIF(End_of_period,AT$8,Отчетность!$L28:$CO28)</f>
        <v>0</v>
      </c>
      <c r="AU28" s="10">
        <f>SUMIF(End_of_period,AU$8,Отчетность!$L28:$CO28)</f>
        <v>0</v>
      </c>
      <c r="AV28" s="10">
        <f>SUMIF(End_of_period,AV$8,Отчетность!$L28:$CO28)</f>
        <v>0</v>
      </c>
      <c r="AW28" s="10">
        <f>SUMIF(End_of_period,AW$8,Отчетность!$L28:$CO28)</f>
        <v>0</v>
      </c>
      <c r="AX28" s="10">
        <f>SUMIF(End_of_period,AX$8,Отчетность!$L28:$CO28)</f>
        <v>0</v>
      </c>
      <c r="AY28" s="10">
        <f>SUMIF(End_of_period,AY$8,Отчетность!$L28:$CO28)</f>
        <v>0</v>
      </c>
      <c r="AZ28" s="10">
        <f>SUMIF(End_of_period,AZ$8,Отчетность!$L28:$CO28)</f>
        <v>0</v>
      </c>
      <c r="BA28" s="10">
        <f>SUMIF(End_of_period,BA$8,Отчетность!$L28:$CO28)</f>
        <v>0</v>
      </c>
      <c r="BB28" s="10">
        <f>SUMIF(End_of_period,BB$8,Отчетность!$L28:$CO28)</f>
        <v>0</v>
      </c>
      <c r="BC28" s="10">
        <f>SUMIF(End_of_period,BC$8,Отчетность!$L28:$CO28)</f>
        <v>0</v>
      </c>
      <c r="BD28" s="10">
        <f>SUMIF(End_of_period,BD$8,Отчетность!$L28:$CO28)</f>
        <v>0</v>
      </c>
      <c r="BE28" s="10">
        <f>SUMIF(End_of_period,BE$8,Отчетность!$L28:$CO28)</f>
        <v>0</v>
      </c>
      <c r="BF28" s="10">
        <f>SUMIF(End_of_period,BF$8,Отчетность!$L28:$CO28)</f>
        <v>0</v>
      </c>
      <c r="BG28" s="10">
        <f>SUMIF(End_of_period,BG$8,Отчетность!$L28:$CO28)</f>
        <v>0</v>
      </c>
      <c r="BH28" s="10">
        <f>SUMIF(End_of_period,BH$8,Отчетность!$L28:$CO28)</f>
        <v>0</v>
      </c>
      <c r="BI28" s="10">
        <f>SUMIF(End_of_period,BI$8,Отчетность!$L28:$CO28)</f>
        <v>0</v>
      </c>
      <c r="BJ28" s="10">
        <f>SUMIF(End_of_period,BJ$8,Отчетность!$L28:$CO28)</f>
        <v>0</v>
      </c>
      <c r="BK28" s="10">
        <f>SUMIF(End_of_period,BK$8,Отчетность!$L28:$CO28)</f>
        <v>0</v>
      </c>
      <c r="BL28" s="10">
        <f>SUMIF(End_of_period,BL$8,Отчетность!$L28:$CO28)</f>
        <v>0</v>
      </c>
      <c r="BM28" s="10">
        <f>SUMIF(End_of_period,BM$8,Отчетность!$L28:$CO28)</f>
        <v>0</v>
      </c>
      <c r="BN28" s="10">
        <f>SUMIF(End_of_period,BN$8,Отчетность!$L28:$CO28)</f>
        <v>0</v>
      </c>
      <c r="BO28" s="10">
        <f>SUMIF(End_of_period,BO$8,Отчетность!$L28:$CO28)</f>
        <v>0</v>
      </c>
      <c r="BP28" s="10">
        <f>SUMIF(End_of_period,BP$8,Отчетность!$L28:$CO28)</f>
        <v>0</v>
      </c>
      <c r="BQ28" s="10">
        <f>SUMIF(End_of_period,BQ$8,Отчетность!$L28:$CO28)</f>
        <v>0</v>
      </c>
      <c r="BR28" s="10">
        <f>SUMIF(End_of_period,BR$8,Отчетность!$L28:$CO28)</f>
        <v>0</v>
      </c>
      <c r="BS28" s="10">
        <f>SUMIF(End_of_period,BS$8,Отчетность!$L28:$CO28)</f>
        <v>0</v>
      </c>
      <c r="BT28" s="10">
        <f>SUMIF(End_of_period,BT$8,Отчетность!$L28:$CO28)</f>
        <v>0</v>
      </c>
      <c r="BU28" s="10">
        <f>SUMIF(End_of_period,BU$8,Отчетность!$L28:$CO28)</f>
        <v>0</v>
      </c>
      <c r="BV28" s="10">
        <f>SUMIF(End_of_period,BV$8,Отчетность!$L28:$CO28)</f>
        <v>0</v>
      </c>
      <c r="BW28" s="10">
        <f>SUMIF(End_of_period,BW$8,Отчетность!$L28:$CO28)</f>
        <v>0</v>
      </c>
      <c r="BX28" s="10">
        <f>SUMIF(End_of_period,BX$8,Отчетность!$L28:$CO28)</f>
        <v>0</v>
      </c>
      <c r="BY28" s="10">
        <f>SUMIF(End_of_period,BY$8,Отчетность!$L28:$CO28)</f>
        <v>0</v>
      </c>
      <c r="BZ28" s="10">
        <f>SUMIF(End_of_period,BZ$8,Отчетность!$L28:$CO28)</f>
        <v>0</v>
      </c>
      <c r="CA28" s="10">
        <f>SUMIF(End_of_period,CA$8,Отчетность!$L28:$CO28)</f>
        <v>0</v>
      </c>
      <c r="CB28" s="10">
        <f>SUMIF(End_of_period,CB$8,Отчетность!$L28:$CO28)</f>
        <v>0</v>
      </c>
      <c r="CC28" s="10">
        <f>SUMIF(End_of_period,CC$8,Отчетность!$L28:$CO28)</f>
        <v>0</v>
      </c>
      <c r="CD28" s="10">
        <f>SUMIF(End_of_period,CD$8,Отчетность!$L28:$CO28)</f>
        <v>0</v>
      </c>
      <c r="CE28" s="10">
        <f>SUMIF(End_of_period,CE$8,Отчетность!$L28:$CO28)</f>
        <v>0</v>
      </c>
      <c r="CF28" s="10">
        <f>SUMIF(End_of_period,CF$8,Отчетность!$L28:$CO28)</f>
        <v>0</v>
      </c>
      <c r="CG28" s="10">
        <f>SUMIF(End_of_period,CG$8,Отчетность!$L28:$CO28)</f>
        <v>0</v>
      </c>
      <c r="CH28" s="10">
        <f>SUMIF(End_of_period,CH$8,Отчетность!$L28:$CO28)</f>
        <v>0</v>
      </c>
      <c r="CI28" s="10">
        <f>SUMIF(End_of_period,CI$8,Отчетность!$L28:$CO28)</f>
        <v>0</v>
      </c>
      <c r="CJ28" s="10">
        <f>SUMIF(End_of_period,CJ$8,Отчетность!$L28:$CO28)</f>
        <v>0</v>
      </c>
      <c r="CK28" s="10">
        <f>SUMIF(End_of_period,CK$8,Отчетность!$L28:$CO28)</f>
        <v>0</v>
      </c>
      <c r="CL28" s="10">
        <f>SUMIF(End_of_period,CL$8,Отчетность!$L28:$CO28)</f>
        <v>0</v>
      </c>
      <c r="CM28" s="10">
        <f>SUMIF(End_of_period,CM$8,Отчетность!$L28:$CO28)</f>
        <v>0</v>
      </c>
      <c r="CN28" s="10">
        <f>SUMIF(End_of_period,CN$8,Отчетность!$L28:$CO28)</f>
        <v>0</v>
      </c>
      <c r="CO28" s="10">
        <f>SUMIF(End_of_period,CO$8,Отчетность!$L28:$CO28)</f>
        <v>0</v>
      </c>
    </row>
    <row r="29" spans="1:93" s="133" customFormat="1" ht="14">
      <c r="A29" s="10"/>
      <c r="B29" s="10"/>
      <c r="C29" s="10"/>
      <c r="D29" s="10"/>
      <c r="E29" s="10"/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s="133" customFormat="1" ht="14">
      <c r="A30" s="10"/>
      <c r="B30" s="130" t="s">
        <v>75</v>
      </c>
      <c r="C30" s="35" t="s">
        <v>76</v>
      </c>
      <c r="D30" s="130"/>
      <c r="E30" s="130"/>
      <c r="F30" s="130"/>
      <c r="G30" s="131" t="str">
        <f>Monetary_Unit</f>
        <v>тыс. руб.</v>
      </c>
      <c r="H30" s="130"/>
      <c r="I30" s="10"/>
      <c r="J30" s="10"/>
      <c r="K30" s="10"/>
      <c r="L30" s="132">
        <f t="shared" ref="L30:AQ30" si="36">SUM(L31:L31)</f>
        <v>0</v>
      </c>
      <c r="M30" s="132">
        <f t="shared" si="36"/>
        <v>93075.219462963287</v>
      </c>
      <c r="N30" s="132">
        <f t="shared" si="36"/>
        <v>1256592.112898397</v>
      </c>
      <c r="O30" s="132">
        <f t="shared" si="36"/>
        <v>3783687.2782761287</v>
      </c>
      <c r="P30" s="132">
        <f t="shared" si="36"/>
        <v>4250828.5281117735</v>
      </c>
      <c r="Q30" s="132">
        <f t="shared" si="36"/>
        <v>3739236.5234453464</v>
      </c>
      <c r="R30" s="132">
        <f t="shared" si="36"/>
        <v>3198653.462726674</v>
      </c>
      <c r="S30" s="132">
        <f t="shared" si="36"/>
        <v>2627435.2942976062</v>
      </c>
      <c r="T30" s="132">
        <f t="shared" si="36"/>
        <v>2023848.643856613</v>
      </c>
      <c r="U30" s="132">
        <f t="shared" si="36"/>
        <v>1386057.7315221743</v>
      </c>
      <c r="V30" s="132">
        <f t="shared" si="36"/>
        <v>712124.24751105381</v>
      </c>
      <c r="W30" s="132">
        <f t="shared" si="36"/>
        <v>0</v>
      </c>
      <c r="X30" s="132">
        <f t="shared" si="36"/>
        <v>0</v>
      </c>
      <c r="Y30" s="132">
        <f t="shared" si="36"/>
        <v>0</v>
      </c>
      <c r="Z30" s="132">
        <f t="shared" si="36"/>
        <v>0</v>
      </c>
      <c r="AA30" s="132">
        <f t="shared" si="36"/>
        <v>0</v>
      </c>
      <c r="AB30" s="132">
        <f t="shared" si="36"/>
        <v>0</v>
      </c>
      <c r="AC30" s="132">
        <f t="shared" si="36"/>
        <v>0</v>
      </c>
      <c r="AD30" s="132">
        <f t="shared" si="36"/>
        <v>0</v>
      </c>
      <c r="AE30" s="132">
        <f t="shared" si="36"/>
        <v>0</v>
      </c>
      <c r="AF30" s="132">
        <f t="shared" si="36"/>
        <v>0</v>
      </c>
      <c r="AG30" s="132">
        <f t="shared" si="36"/>
        <v>0</v>
      </c>
      <c r="AH30" s="132">
        <f t="shared" si="36"/>
        <v>0</v>
      </c>
      <c r="AI30" s="132">
        <f t="shared" si="36"/>
        <v>0</v>
      </c>
      <c r="AJ30" s="132">
        <f t="shared" si="36"/>
        <v>0</v>
      </c>
      <c r="AK30" s="132">
        <f t="shared" si="36"/>
        <v>0</v>
      </c>
      <c r="AL30" s="132">
        <f t="shared" si="36"/>
        <v>0</v>
      </c>
      <c r="AM30" s="132">
        <f t="shared" si="36"/>
        <v>0</v>
      </c>
      <c r="AN30" s="132">
        <f t="shared" si="36"/>
        <v>0</v>
      </c>
      <c r="AO30" s="132">
        <f t="shared" si="36"/>
        <v>0</v>
      </c>
      <c r="AP30" s="132">
        <f t="shared" si="36"/>
        <v>0</v>
      </c>
      <c r="AQ30" s="132">
        <f t="shared" si="36"/>
        <v>0</v>
      </c>
      <c r="AR30" s="132">
        <f t="shared" ref="AR30:CO30" si="37">SUM(AR31:AR31)</f>
        <v>0</v>
      </c>
      <c r="AS30" s="132">
        <f t="shared" si="37"/>
        <v>0</v>
      </c>
      <c r="AT30" s="132">
        <f t="shared" si="37"/>
        <v>0</v>
      </c>
      <c r="AU30" s="132">
        <f t="shared" si="37"/>
        <v>0</v>
      </c>
      <c r="AV30" s="132">
        <f t="shared" si="37"/>
        <v>0</v>
      </c>
      <c r="AW30" s="132">
        <f t="shared" si="37"/>
        <v>0</v>
      </c>
      <c r="AX30" s="132">
        <f t="shared" si="37"/>
        <v>0</v>
      </c>
      <c r="AY30" s="132">
        <f t="shared" si="37"/>
        <v>0</v>
      </c>
      <c r="AZ30" s="132">
        <f t="shared" si="37"/>
        <v>0</v>
      </c>
      <c r="BA30" s="132">
        <f t="shared" si="37"/>
        <v>0</v>
      </c>
      <c r="BB30" s="132">
        <f t="shared" si="37"/>
        <v>0</v>
      </c>
      <c r="BC30" s="132">
        <f t="shared" si="37"/>
        <v>0</v>
      </c>
      <c r="BD30" s="132">
        <f t="shared" si="37"/>
        <v>0</v>
      </c>
      <c r="BE30" s="132">
        <f t="shared" si="37"/>
        <v>0</v>
      </c>
      <c r="BF30" s="132">
        <f t="shared" si="37"/>
        <v>0</v>
      </c>
      <c r="BG30" s="132">
        <f t="shared" si="37"/>
        <v>0</v>
      </c>
      <c r="BH30" s="132">
        <f t="shared" si="37"/>
        <v>0</v>
      </c>
      <c r="BI30" s="132">
        <f t="shared" si="37"/>
        <v>0</v>
      </c>
      <c r="BJ30" s="132">
        <f t="shared" si="37"/>
        <v>0</v>
      </c>
      <c r="BK30" s="132">
        <f t="shared" si="37"/>
        <v>0</v>
      </c>
      <c r="BL30" s="132">
        <f t="shared" si="37"/>
        <v>0</v>
      </c>
      <c r="BM30" s="132">
        <f t="shared" si="37"/>
        <v>0</v>
      </c>
      <c r="BN30" s="132">
        <f t="shared" si="37"/>
        <v>0</v>
      </c>
      <c r="BO30" s="132">
        <f t="shared" si="37"/>
        <v>0</v>
      </c>
      <c r="BP30" s="132">
        <f t="shared" si="37"/>
        <v>0</v>
      </c>
      <c r="BQ30" s="132">
        <f t="shared" si="37"/>
        <v>0</v>
      </c>
      <c r="BR30" s="132">
        <f t="shared" si="37"/>
        <v>0</v>
      </c>
      <c r="BS30" s="132">
        <f t="shared" si="37"/>
        <v>0</v>
      </c>
      <c r="BT30" s="132">
        <f t="shared" si="37"/>
        <v>0</v>
      </c>
      <c r="BU30" s="132">
        <f t="shared" si="37"/>
        <v>0</v>
      </c>
      <c r="BV30" s="132">
        <f t="shared" si="37"/>
        <v>0</v>
      </c>
      <c r="BW30" s="132">
        <f t="shared" si="37"/>
        <v>0</v>
      </c>
      <c r="BX30" s="132">
        <f t="shared" si="37"/>
        <v>0</v>
      </c>
      <c r="BY30" s="132">
        <f t="shared" si="37"/>
        <v>0</v>
      </c>
      <c r="BZ30" s="132">
        <f t="shared" si="37"/>
        <v>0</v>
      </c>
      <c r="CA30" s="132">
        <f t="shared" si="37"/>
        <v>0</v>
      </c>
      <c r="CB30" s="132">
        <f t="shared" si="37"/>
        <v>0</v>
      </c>
      <c r="CC30" s="132">
        <f t="shared" si="37"/>
        <v>0</v>
      </c>
      <c r="CD30" s="132">
        <f t="shared" si="37"/>
        <v>0</v>
      </c>
      <c r="CE30" s="132">
        <f t="shared" si="37"/>
        <v>0</v>
      </c>
      <c r="CF30" s="132">
        <f t="shared" si="37"/>
        <v>0</v>
      </c>
      <c r="CG30" s="132">
        <f t="shared" si="37"/>
        <v>0</v>
      </c>
      <c r="CH30" s="132">
        <f t="shared" si="37"/>
        <v>0</v>
      </c>
      <c r="CI30" s="132">
        <f t="shared" si="37"/>
        <v>0</v>
      </c>
      <c r="CJ30" s="132">
        <f t="shared" si="37"/>
        <v>0</v>
      </c>
      <c r="CK30" s="132">
        <f t="shared" si="37"/>
        <v>0</v>
      </c>
      <c r="CL30" s="132">
        <f t="shared" si="37"/>
        <v>0</v>
      </c>
      <c r="CM30" s="132">
        <f t="shared" si="37"/>
        <v>0</v>
      </c>
      <c r="CN30" s="132">
        <f t="shared" si="37"/>
        <v>0</v>
      </c>
      <c r="CO30" s="132">
        <f t="shared" si="37"/>
        <v>0</v>
      </c>
    </row>
    <row r="31" spans="1:93" s="133" customFormat="1" ht="14">
      <c r="A31" s="10"/>
      <c r="B31" s="10"/>
      <c r="C31" s="10" t="s">
        <v>539</v>
      </c>
      <c r="D31" s="10"/>
      <c r="E31" s="10"/>
      <c r="F31" s="10"/>
      <c r="G31" s="134" t="str">
        <f>Monetary_Unit</f>
        <v>тыс. руб.</v>
      </c>
      <c r="H31" s="10"/>
      <c r="I31" s="10"/>
      <c r="J31" s="10"/>
      <c r="K31" s="10"/>
      <c r="L31" s="10">
        <f t="shared" ref="L31:AQ31" si="38">SUMIF(End_of_period,L$8,Debt_EoP)</f>
        <v>0</v>
      </c>
      <c r="M31" s="10">
        <f t="shared" si="38"/>
        <v>93075.219462963287</v>
      </c>
      <c r="N31" s="10">
        <f t="shared" si="38"/>
        <v>1256592.112898397</v>
      </c>
      <c r="O31" s="10">
        <f t="shared" si="38"/>
        <v>3783687.2782761287</v>
      </c>
      <c r="P31" s="10">
        <f t="shared" si="38"/>
        <v>4250828.5281117735</v>
      </c>
      <c r="Q31" s="10">
        <f t="shared" si="38"/>
        <v>3739236.5234453464</v>
      </c>
      <c r="R31" s="10">
        <f t="shared" si="38"/>
        <v>3198653.462726674</v>
      </c>
      <c r="S31" s="10">
        <f t="shared" si="38"/>
        <v>2627435.2942976062</v>
      </c>
      <c r="T31" s="10">
        <f t="shared" si="38"/>
        <v>2023848.643856613</v>
      </c>
      <c r="U31" s="10">
        <f t="shared" si="38"/>
        <v>1386057.7315221743</v>
      </c>
      <c r="V31" s="10">
        <f t="shared" si="38"/>
        <v>712124.24751105381</v>
      </c>
      <c r="W31" s="10">
        <f t="shared" si="38"/>
        <v>0</v>
      </c>
      <c r="X31" s="10">
        <f t="shared" si="38"/>
        <v>0</v>
      </c>
      <c r="Y31" s="10">
        <f t="shared" si="38"/>
        <v>0</v>
      </c>
      <c r="Z31" s="10">
        <f t="shared" si="38"/>
        <v>0</v>
      </c>
      <c r="AA31" s="10">
        <f t="shared" si="38"/>
        <v>0</v>
      </c>
      <c r="AB31" s="10">
        <f t="shared" si="38"/>
        <v>0</v>
      </c>
      <c r="AC31" s="10">
        <f t="shared" si="38"/>
        <v>0</v>
      </c>
      <c r="AD31" s="10">
        <f t="shared" si="38"/>
        <v>0</v>
      </c>
      <c r="AE31" s="10">
        <f t="shared" si="38"/>
        <v>0</v>
      </c>
      <c r="AF31" s="10">
        <f t="shared" si="38"/>
        <v>0</v>
      </c>
      <c r="AG31" s="10">
        <f t="shared" si="38"/>
        <v>0</v>
      </c>
      <c r="AH31" s="10">
        <f t="shared" si="38"/>
        <v>0</v>
      </c>
      <c r="AI31" s="10">
        <f t="shared" si="38"/>
        <v>0</v>
      </c>
      <c r="AJ31" s="10">
        <f t="shared" si="38"/>
        <v>0</v>
      </c>
      <c r="AK31" s="10">
        <f t="shared" si="38"/>
        <v>0</v>
      </c>
      <c r="AL31" s="10">
        <f t="shared" si="38"/>
        <v>0</v>
      </c>
      <c r="AM31" s="10">
        <f t="shared" si="38"/>
        <v>0</v>
      </c>
      <c r="AN31" s="10">
        <f t="shared" si="38"/>
        <v>0</v>
      </c>
      <c r="AO31" s="10">
        <f t="shared" si="38"/>
        <v>0</v>
      </c>
      <c r="AP31" s="10">
        <f t="shared" si="38"/>
        <v>0</v>
      </c>
      <c r="AQ31" s="10">
        <f t="shared" si="38"/>
        <v>0</v>
      </c>
      <c r="AR31" s="10">
        <f t="shared" ref="AR31:BW31" si="39">SUMIF(End_of_period,AR$8,Debt_EoP)</f>
        <v>0</v>
      </c>
      <c r="AS31" s="10">
        <f t="shared" si="39"/>
        <v>0</v>
      </c>
      <c r="AT31" s="10">
        <f t="shared" si="39"/>
        <v>0</v>
      </c>
      <c r="AU31" s="10">
        <f t="shared" si="39"/>
        <v>0</v>
      </c>
      <c r="AV31" s="10">
        <f t="shared" si="39"/>
        <v>0</v>
      </c>
      <c r="AW31" s="10">
        <f t="shared" si="39"/>
        <v>0</v>
      </c>
      <c r="AX31" s="10">
        <f t="shared" si="39"/>
        <v>0</v>
      </c>
      <c r="AY31" s="10">
        <f t="shared" si="39"/>
        <v>0</v>
      </c>
      <c r="AZ31" s="10">
        <f t="shared" si="39"/>
        <v>0</v>
      </c>
      <c r="BA31" s="10">
        <f t="shared" si="39"/>
        <v>0</v>
      </c>
      <c r="BB31" s="10">
        <f t="shared" si="39"/>
        <v>0</v>
      </c>
      <c r="BC31" s="10">
        <f t="shared" si="39"/>
        <v>0</v>
      </c>
      <c r="BD31" s="10">
        <f t="shared" si="39"/>
        <v>0</v>
      </c>
      <c r="BE31" s="10">
        <f t="shared" si="39"/>
        <v>0</v>
      </c>
      <c r="BF31" s="10">
        <f t="shared" si="39"/>
        <v>0</v>
      </c>
      <c r="BG31" s="10">
        <f t="shared" si="39"/>
        <v>0</v>
      </c>
      <c r="BH31" s="10">
        <f t="shared" si="39"/>
        <v>0</v>
      </c>
      <c r="BI31" s="10">
        <f t="shared" si="39"/>
        <v>0</v>
      </c>
      <c r="BJ31" s="10">
        <f t="shared" si="39"/>
        <v>0</v>
      </c>
      <c r="BK31" s="10">
        <f t="shared" si="39"/>
        <v>0</v>
      </c>
      <c r="BL31" s="10">
        <f t="shared" si="39"/>
        <v>0</v>
      </c>
      <c r="BM31" s="10">
        <f t="shared" si="39"/>
        <v>0</v>
      </c>
      <c r="BN31" s="10">
        <f t="shared" si="39"/>
        <v>0</v>
      </c>
      <c r="BO31" s="10">
        <f t="shared" si="39"/>
        <v>0</v>
      </c>
      <c r="BP31" s="10">
        <f t="shared" si="39"/>
        <v>0</v>
      </c>
      <c r="BQ31" s="10">
        <f t="shared" si="39"/>
        <v>0</v>
      </c>
      <c r="BR31" s="10">
        <f t="shared" si="39"/>
        <v>0</v>
      </c>
      <c r="BS31" s="10">
        <f t="shared" si="39"/>
        <v>0</v>
      </c>
      <c r="BT31" s="10">
        <f t="shared" si="39"/>
        <v>0</v>
      </c>
      <c r="BU31" s="10">
        <f t="shared" si="39"/>
        <v>0</v>
      </c>
      <c r="BV31" s="10">
        <f t="shared" si="39"/>
        <v>0</v>
      </c>
      <c r="BW31" s="10">
        <f t="shared" si="39"/>
        <v>0</v>
      </c>
      <c r="BX31" s="10">
        <f t="shared" ref="BX31:CO31" si="40">SUMIF(End_of_period,BX$8,Debt_EoP)</f>
        <v>0</v>
      </c>
      <c r="BY31" s="10">
        <f t="shared" si="40"/>
        <v>0</v>
      </c>
      <c r="BZ31" s="10">
        <f t="shared" si="40"/>
        <v>0</v>
      </c>
      <c r="CA31" s="10">
        <f t="shared" si="40"/>
        <v>0</v>
      </c>
      <c r="CB31" s="10">
        <f t="shared" si="40"/>
        <v>0</v>
      </c>
      <c r="CC31" s="10">
        <f t="shared" si="40"/>
        <v>0</v>
      </c>
      <c r="CD31" s="10">
        <f t="shared" si="40"/>
        <v>0</v>
      </c>
      <c r="CE31" s="10">
        <f t="shared" si="40"/>
        <v>0</v>
      </c>
      <c r="CF31" s="10">
        <f t="shared" si="40"/>
        <v>0</v>
      </c>
      <c r="CG31" s="10">
        <f t="shared" si="40"/>
        <v>0</v>
      </c>
      <c r="CH31" s="10">
        <f t="shared" si="40"/>
        <v>0</v>
      </c>
      <c r="CI31" s="10">
        <f t="shared" si="40"/>
        <v>0</v>
      </c>
      <c r="CJ31" s="10">
        <f t="shared" si="40"/>
        <v>0</v>
      </c>
      <c r="CK31" s="10">
        <f t="shared" si="40"/>
        <v>0</v>
      </c>
      <c r="CL31" s="10">
        <f t="shared" si="40"/>
        <v>0</v>
      </c>
      <c r="CM31" s="10">
        <f t="shared" si="40"/>
        <v>0</v>
      </c>
      <c r="CN31" s="10">
        <f t="shared" si="40"/>
        <v>0</v>
      </c>
      <c r="CO31" s="10">
        <f t="shared" si="40"/>
        <v>0</v>
      </c>
    </row>
    <row r="32" spans="1:93" s="133" customFormat="1" ht="14">
      <c r="A32" s="10"/>
      <c r="B32" s="10"/>
      <c r="C32" s="10"/>
      <c r="D32" s="10"/>
      <c r="E32" s="10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</row>
    <row r="33" spans="1:93" s="133" customFormat="1" ht="14">
      <c r="A33" s="10"/>
      <c r="B33" s="130" t="s">
        <v>77</v>
      </c>
      <c r="C33" s="35" t="s">
        <v>78</v>
      </c>
      <c r="D33" s="130"/>
      <c r="E33" s="130"/>
      <c r="F33" s="130"/>
      <c r="G33" s="131" t="str">
        <f>Monetary_Unit</f>
        <v>тыс. руб.</v>
      </c>
      <c r="H33" s="130"/>
      <c r="I33" s="10"/>
      <c r="J33" s="10"/>
      <c r="K33" s="10"/>
      <c r="L33" s="132">
        <f ca="1">SUM(L34:L35)</f>
        <v>0</v>
      </c>
      <c r="M33" s="132">
        <f t="shared" ref="M33:BX33" ca="1" si="41">SUM(M34:M35)</f>
        <v>0</v>
      </c>
      <c r="N33" s="132">
        <f t="shared" ca="1" si="41"/>
        <v>0</v>
      </c>
      <c r="O33" s="132">
        <f t="shared" ca="1" si="41"/>
        <v>0</v>
      </c>
      <c r="P33" s="132">
        <f t="shared" ca="1" si="41"/>
        <v>127615.50634352025</v>
      </c>
      <c r="Q33" s="132">
        <f t="shared" ca="1" si="41"/>
        <v>151010.21389602218</v>
      </c>
      <c r="R33" s="132">
        <f t="shared" ca="1" si="41"/>
        <v>176072.31324257434</v>
      </c>
      <c r="S33" s="132">
        <f t="shared" ca="1" si="41"/>
        <v>193006.13924474327</v>
      </c>
      <c r="T33" s="132">
        <f t="shared" ca="1" si="41"/>
        <v>200726.74438278505</v>
      </c>
      <c r="U33" s="132">
        <f t="shared" ca="1" si="41"/>
        <v>263167.14303431404</v>
      </c>
      <c r="V33" s="132">
        <f t="shared" ca="1" si="41"/>
        <v>273693.82875568664</v>
      </c>
      <c r="W33" s="132">
        <f t="shared" ca="1" si="41"/>
        <v>284641.34282193257</v>
      </c>
      <c r="X33" s="132">
        <f t="shared" ca="1" si="41"/>
        <v>296027.24518215063</v>
      </c>
      <c r="Y33" s="132">
        <f t="shared" ca="1" si="41"/>
        <v>307868.33498943644</v>
      </c>
      <c r="Z33" s="132">
        <f t="shared" ca="1" si="41"/>
        <v>320183.06838901382</v>
      </c>
      <c r="AA33" s="132">
        <f t="shared" ca="1" si="41"/>
        <v>332990.11143013206</v>
      </c>
      <c r="AB33" s="132">
        <f t="shared" ca="1" si="41"/>
        <v>346310.00676955737</v>
      </c>
      <c r="AC33" s="132">
        <f t="shared" ca="1" si="41"/>
        <v>360162.40704033955</v>
      </c>
      <c r="AD33" s="132">
        <f t="shared" ca="1" si="41"/>
        <v>374568.9033219532</v>
      </c>
      <c r="AE33" s="132">
        <f t="shared" ca="1" si="41"/>
        <v>389551.33225189371</v>
      </c>
      <c r="AF33" s="132">
        <f t="shared" si="41"/>
        <v>0</v>
      </c>
      <c r="AG33" s="132">
        <f t="shared" si="41"/>
        <v>0</v>
      </c>
      <c r="AH33" s="132">
        <f t="shared" si="41"/>
        <v>0</v>
      </c>
      <c r="AI33" s="132">
        <f t="shared" si="41"/>
        <v>0</v>
      </c>
      <c r="AJ33" s="132">
        <f t="shared" si="41"/>
        <v>0</v>
      </c>
      <c r="AK33" s="132">
        <f t="shared" si="41"/>
        <v>0</v>
      </c>
      <c r="AL33" s="132">
        <f t="shared" si="41"/>
        <v>0</v>
      </c>
      <c r="AM33" s="132">
        <f t="shared" si="41"/>
        <v>0</v>
      </c>
      <c r="AN33" s="132">
        <f t="shared" si="41"/>
        <v>0</v>
      </c>
      <c r="AO33" s="132">
        <f t="shared" si="41"/>
        <v>0</v>
      </c>
      <c r="AP33" s="132">
        <f t="shared" si="41"/>
        <v>0</v>
      </c>
      <c r="AQ33" s="132">
        <f t="shared" si="41"/>
        <v>0</v>
      </c>
      <c r="AR33" s="132">
        <f t="shared" si="41"/>
        <v>0</v>
      </c>
      <c r="AS33" s="132">
        <f t="shared" si="41"/>
        <v>0</v>
      </c>
      <c r="AT33" s="132">
        <f t="shared" si="41"/>
        <v>0</v>
      </c>
      <c r="AU33" s="132">
        <f t="shared" si="41"/>
        <v>0</v>
      </c>
      <c r="AV33" s="132">
        <f t="shared" si="41"/>
        <v>0</v>
      </c>
      <c r="AW33" s="132">
        <f t="shared" si="41"/>
        <v>0</v>
      </c>
      <c r="AX33" s="132">
        <f t="shared" si="41"/>
        <v>0</v>
      </c>
      <c r="AY33" s="132">
        <f t="shared" si="41"/>
        <v>0</v>
      </c>
      <c r="AZ33" s="132">
        <f t="shared" si="41"/>
        <v>0</v>
      </c>
      <c r="BA33" s="132">
        <f t="shared" si="41"/>
        <v>0</v>
      </c>
      <c r="BB33" s="132">
        <f t="shared" si="41"/>
        <v>0</v>
      </c>
      <c r="BC33" s="132">
        <f t="shared" si="41"/>
        <v>0</v>
      </c>
      <c r="BD33" s="132">
        <f t="shared" si="41"/>
        <v>0</v>
      </c>
      <c r="BE33" s="132">
        <f t="shared" si="41"/>
        <v>0</v>
      </c>
      <c r="BF33" s="132">
        <f t="shared" si="41"/>
        <v>0</v>
      </c>
      <c r="BG33" s="132">
        <f t="shared" si="41"/>
        <v>0</v>
      </c>
      <c r="BH33" s="132">
        <f t="shared" si="41"/>
        <v>0</v>
      </c>
      <c r="BI33" s="132">
        <f t="shared" si="41"/>
        <v>0</v>
      </c>
      <c r="BJ33" s="132">
        <f t="shared" si="41"/>
        <v>0</v>
      </c>
      <c r="BK33" s="132">
        <f t="shared" si="41"/>
        <v>0</v>
      </c>
      <c r="BL33" s="132">
        <f t="shared" si="41"/>
        <v>0</v>
      </c>
      <c r="BM33" s="132">
        <f t="shared" si="41"/>
        <v>0</v>
      </c>
      <c r="BN33" s="132">
        <f t="shared" si="41"/>
        <v>0</v>
      </c>
      <c r="BO33" s="132">
        <f t="shared" si="41"/>
        <v>0</v>
      </c>
      <c r="BP33" s="132">
        <f t="shared" si="41"/>
        <v>0</v>
      </c>
      <c r="BQ33" s="132">
        <f t="shared" si="41"/>
        <v>0</v>
      </c>
      <c r="BR33" s="132">
        <f t="shared" si="41"/>
        <v>0</v>
      </c>
      <c r="BS33" s="132">
        <f t="shared" si="41"/>
        <v>0</v>
      </c>
      <c r="BT33" s="132">
        <f t="shared" si="41"/>
        <v>0</v>
      </c>
      <c r="BU33" s="132">
        <f t="shared" si="41"/>
        <v>0</v>
      </c>
      <c r="BV33" s="132">
        <f t="shared" si="41"/>
        <v>0</v>
      </c>
      <c r="BW33" s="132">
        <f t="shared" si="41"/>
        <v>0</v>
      </c>
      <c r="BX33" s="132">
        <f t="shared" si="41"/>
        <v>0</v>
      </c>
      <c r="BY33" s="132">
        <f t="shared" ref="BY33:CO33" si="42">SUM(BY34:BY35)</f>
        <v>0</v>
      </c>
      <c r="BZ33" s="132">
        <f t="shared" si="42"/>
        <v>0</v>
      </c>
      <c r="CA33" s="132">
        <f t="shared" si="42"/>
        <v>0</v>
      </c>
      <c r="CB33" s="132">
        <f t="shared" si="42"/>
        <v>0</v>
      </c>
      <c r="CC33" s="132">
        <f t="shared" si="42"/>
        <v>0</v>
      </c>
      <c r="CD33" s="132">
        <f t="shared" si="42"/>
        <v>0</v>
      </c>
      <c r="CE33" s="132">
        <f t="shared" si="42"/>
        <v>0</v>
      </c>
      <c r="CF33" s="132">
        <f t="shared" si="42"/>
        <v>0</v>
      </c>
      <c r="CG33" s="132">
        <f t="shared" si="42"/>
        <v>0</v>
      </c>
      <c r="CH33" s="132">
        <f t="shared" si="42"/>
        <v>0</v>
      </c>
      <c r="CI33" s="132">
        <f t="shared" si="42"/>
        <v>0</v>
      </c>
      <c r="CJ33" s="132">
        <f t="shared" si="42"/>
        <v>0</v>
      </c>
      <c r="CK33" s="132">
        <f t="shared" si="42"/>
        <v>0</v>
      </c>
      <c r="CL33" s="132">
        <f t="shared" si="42"/>
        <v>0</v>
      </c>
      <c r="CM33" s="132">
        <f t="shared" si="42"/>
        <v>0</v>
      </c>
      <c r="CN33" s="132">
        <f t="shared" si="42"/>
        <v>0</v>
      </c>
      <c r="CO33" s="132">
        <f t="shared" si="42"/>
        <v>0</v>
      </c>
    </row>
    <row r="34" spans="1:93" s="133" customFormat="1" ht="14">
      <c r="A34" s="10"/>
      <c r="B34" s="10"/>
      <c r="C34" s="10" t="s">
        <v>79</v>
      </c>
      <c r="D34" s="10"/>
      <c r="E34" s="10"/>
      <c r="F34" s="10"/>
      <c r="G34" s="134" t="str">
        <f>Monetary_Unit</f>
        <v>тыс. руб.</v>
      </c>
      <c r="H34" s="10"/>
      <c r="I34" s="10"/>
      <c r="J34" s="10"/>
      <c r="K34" s="10"/>
      <c r="L34" s="10">
        <f t="shared" ref="L34:AQ34" ca="1" si="43">SUMIF(End_of_period,L$8,Accounts_Payable_EoP)</f>
        <v>0</v>
      </c>
      <c r="M34" s="10">
        <f t="shared" ca="1" si="43"/>
        <v>0</v>
      </c>
      <c r="N34" s="10">
        <f t="shared" ca="1" si="43"/>
        <v>0</v>
      </c>
      <c r="O34" s="10">
        <f t="shared" ca="1" si="43"/>
        <v>0</v>
      </c>
      <c r="P34" s="10">
        <f t="shared" ca="1" si="43"/>
        <v>127615.50634352025</v>
      </c>
      <c r="Q34" s="10">
        <f t="shared" ca="1" si="43"/>
        <v>151010.21389602218</v>
      </c>
      <c r="R34" s="10">
        <f t="shared" ca="1" si="43"/>
        <v>176072.31324257434</v>
      </c>
      <c r="S34" s="10">
        <f t="shared" ca="1" si="43"/>
        <v>193006.13924474327</v>
      </c>
      <c r="T34" s="10">
        <f t="shared" ca="1" si="43"/>
        <v>200726.74438278505</v>
      </c>
      <c r="U34" s="10">
        <f t="shared" ca="1" si="43"/>
        <v>205929.20383787085</v>
      </c>
      <c r="V34" s="10">
        <f t="shared" ca="1" si="43"/>
        <v>214166.37199138571</v>
      </c>
      <c r="W34" s="10">
        <f t="shared" ca="1" si="43"/>
        <v>222732.62240565883</v>
      </c>
      <c r="X34" s="10">
        <f t="shared" ca="1" si="43"/>
        <v>231642.34794588271</v>
      </c>
      <c r="Y34" s="10">
        <f t="shared" ca="1" si="43"/>
        <v>240908.04186371784</v>
      </c>
      <c r="Z34" s="10">
        <f t="shared" ca="1" si="43"/>
        <v>250544.36353826651</v>
      </c>
      <c r="AA34" s="10">
        <f t="shared" ca="1" si="43"/>
        <v>260565.66491250752</v>
      </c>
      <c r="AB34" s="10">
        <f t="shared" ca="1" si="43"/>
        <v>270988.78360298905</v>
      </c>
      <c r="AC34" s="10">
        <f t="shared" ca="1" si="43"/>
        <v>281828.33494710852</v>
      </c>
      <c r="AD34" s="10">
        <f t="shared" ca="1" si="43"/>
        <v>293101.46834499296</v>
      </c>
      <c r="AE34" s="10">
        <f t="shared" ca="1" si="43"/>
        <v>304824.97353998851</v>
      </c>
      <c r="AF34" s="10">
        <f t="shared" si="43"/>
        <v>0</v>
      </c>
      <c r="AG34" s="10">
        <f t="shared" si="43"/>
        <v>0</v>
      </c>
      <c r="AH34" s="10">
        <f t="shared" si="43"/>
        <v>0</v>
      </c>
      <c r="AI34" s="10">
        <f t="shared" si="43"/>
        <v>0</v>
      </c>
      <c r="AJ34" s="10">
        <f t="shared" si="43"/>
        <v>0</v>
      </c>
      <c r="AK34" s="10">
        <f t="shared" si="43"/>
        <v>0</v>
      </c>
      <c r="AL34" s="10">
        <f t="shared" si="43"/>
        <v>0</v>
      </c>
      <c r="AM34" s="10">
        <f t="shared" si="43"/>
        <v>0</v>
      </c>
      <c r="AN34" s="10">
        <f t="shared" si="43"/>
        <v>0</v>
      </c>
      <c r="AO34" s="10">
        <f t="shared" si="43"/>
        <v>0</v>
      </c>
      <c r="AP34" s="10">
        <f t="shared" si="43"/>
        <v>0</v>
      </c>
      <c r="AQ34" s="10">
        <f t="shared" si="43"/>
        <v>0</v>
      </c>
      <c r="AR34" s="10">
        <f t="shared" ref="AR34:BW34" si="44">SUMIF(End_of_period,AR$8,Accounts_Payable_EoP)</f>
        <v>0</v>
      </c>
      <c r="AS34" s="10">
        <f t="shared" si="44"/>
        <v>0</v>
      </c>
      <c r="AT34" s="10">
        <f t="shared" si="44"/>
        <v>0</v>
      </c>
      <c r="AU34" s="10">
        <f t="shared" si="44"/>
        <v>0</v>
      </c>
      <c r="AV34" s="10">
        <f t="shared" si="44"/>
        <v>0</v>
      </c>
      <c r="AW34" s="10">
        <f t="shared" si="44"/>
        <v>0</v>
      </c>
      <c r="AX34" s="10">
        <f t="shared" si="44"/>
        <v>0</v>
      </c>
      <c r="AY34" s="10">
        <f t="shared" si="44"/>
        <v>0</v>
      </c>
      <c r="AZ34" s="10">
        <f t="shared" si="44"/>
        <v>0</v>
      </c>
      <c r="BA34" s="10">
        <f t="shared" si="44"/>
        <v>0</v>
      </c>
      <c r="BB34" s="10">
        <f t="shared" si="44"/>
        <v>0</v>
      </c>
      <c r="BC34" s="10">
        <f t="shared" si="44"/>
        <v>0</v>
      </c>
      <c r="BD34" s="10">
        <f t="shared" si="44"/>
        <v>0</v>
      </c>
      <c r="BE34" s="10">
        <f t="shared" si="44"/>
        <v>0</v>
      </c>
      <c r="BF34" s="10">
        <f t="shared" si="44"/>
        <v>0</v>
      </c>
      <c r="BG34" s="10">
        <f t="shared" si="44"/>
        <v>0</v>
      </c>
      <c r="BH34" s="10">
        <f t="shared" si="44"/>
        <v>0</v>
      </c>
      <c r="BI34" s="10">
        <f t="shared" si="44"/>
        <v>0</v>
      </c>
      <c r="BJ34" s="10">
        <f t="shared" si="44"/>
        <v>0</v>
      </c>
      <c r="BK34" s="10">
        <f t="shared" si="44"/>
        <v>0</v>
      </c>
      <c r="BL34" s="10">
        <f t="shared" si="44"/>
        <v>0</v>
      </c>
      <c r="BM34" s="10">
        <f t="shared" si="44"/>
        <v>0</v>
      </c>
      <c r="BN34" s="10">
        <f t="shared" si="44"/>
        <v>0</v>
      </c>
      <c r="BO34" s="10">
        <f t="shared" si="44"/>
        <v>0</v>
      </c>
      <c r="BP34" s="10">
        <f t="shared" si="44"/>
        <v>0</v>
      </c>
      <c r="BQ34" s="10">
        <f t="shared" si="44"/>
        <v>0</v>
      </c>
      <c r="BR34" s="10">
        <f t="shared" si="44"/>
        <v>0</v>
      </c>
      <c r="BS34" s="10">
        <f t="shared" si="44"/>
        <v>0</v>
      </c>
      <c r="BT34" s="10">
        <f t="shared" si="44"/>
        <v>0</v>
      </c>
      <c r="BU34" s="10">
        <f t="shared" si="44"/>
        <v>0</v>
      </c>
      <c r="BV34" s="10">
        <f t="shared" si="44"/>
        <v>0</v>
      </c>
      <c r="BW34" s="10">
        <f t="shared" si="44"/>
        <v>0</v>
      </c>
      <c r="BX34" s="10">
        <f t="shared" ref="BX34:CO34" si="45">SUMIF(End_of_period,BX$8,Accounts_Payable_EoP)</f>
        <v>0</v>
      </c>
      <c r="BY34" s="10">
        <f t="shared" si="45"/>
        <v>0</v>
      </c>
      <c r="BZ34" s="10">
        <f t="shared" si="45"/>
        <v>0</v>
      </c>
      <c r="CA34" s="10">
        <f t="shared" si="45"/>
        <v>0</v>
      </c>
      <c r="CB34" s="10">
        <f t="shared" si="45"/>
        <v>0</v>
      </c>
      <c r="CC34" s="10">
        <f t="shared" si="45"/>
        <v>0</v>
      </c>
      <c r="CD34" s="10">
        <f t="shared" si="45"/>
        <v>0</v>
      </c>
      <c r="CE34" s="10">
        <f t="shared" si="45"/>
        <v>0</v>
      </c>
      <c r="CF34" s="10">
        <f t="shared" si="45"/>
        <v>0</v>
      </c>
      <c r="CG34" s="10">
        <f t="shared" si="45"/>
        <v>0</v>
      </c>
      <c r="CH34" s="10">
        <f t="shared" si="45"/>
        <v>0</v>
      </c>
      <c r="CI34" s="10">
        <f t="shared" si="45"/>
        <v>0</v>
      </c>
      <c r="CJ34" s="10">
        <f t="shared" si="45"/>
        <v>0</v>
      </c>
      <c r="CK34" s="10">
        <f t="shared" si="45"/>
        <v>0</v>
      </c>
      <c r="CL34" s="10">
        <f t="shared" si="45"/>
        <v>0</v>
      </c>
      <c r="CM34" s="10">
        <f t="shared" si="45"/>
        <v>0</v>
      </c>
      <c r="CN34" s="10">
        <f t="shared" si="45"/>
        <v>0</v>
      </c>
      <c r="CO34" s="10">
        <f t="shared" si="45"/>
        <v>0</v>
      </c>
    </row>
    <row r="35" spans="1:93" s="133" customFormat="1" ht="14">
      <c r="A35" s="10"/>
      <c r="B35" s="10"/>
      <c r="C35" s="10" t="s">
        <v>145</v>
      </c>
      <c r="D35" s="10"/>
      <c r="E35" s="10"/>
      <c r="F35" s="10"/>
      <c r="G35" s="134" t="str">
        <f>Monetary_Unit</f>
        <v>тыс. руб.</v>
      </c>
      <c r="H35" s="10"/>
      <c r="I35" s="10"/>
      <c r="J35" s="10"/>
      <c r="K35" s="10"/>
      <c r="L35" s="10">
        <f ca="1">SUMIF(End_of_period,L$8,Отчетность!$L35:$CO35)</f>
        <v>0</v>
      </c>
      <c r="M35" s="10">
        <f ca="1">SUMIF(End_of_period,M$8,Отчетность!$L35:$CO35)</f>
        <v>0</v>
      </c>
      <c r="N35" s="10">
        <f ca="1">SUMIF(End_of_period,N$8,Отчетность!$L35:$CO35)</f>
        <v>0</v>
      </c>
      <c r="O35" s="10">
        <f ca="1">SUMIF(End_of_period,O$8,Отчетность!$L35:$CO35)</f>
        <v>0</v>
      </c>
      <c r="P35" s="10">
        <f ca="1">SUMIF(End_of_period,P$8,Отчетность!$L35:$CO35)</f>
        <v>0</v>
      </c>
      <c r="Q35" s="10">
        <f ca="1">SUMIF(End_of_period,Q$8,Отчетность!$L35:$CO35)</f>
        <v>0</v>
      </c>
      <c r="R35" s="10">
        <f ca="1">SUMIF(End_of_period,R$8,Отчетность!$L35:$CO35)</f>
        <v>0</v>
      </c>
      <c r="S35" s="10">
        <f ca="1">SUMIF(End_of_period,S$8,Отчетность!$L35:$CO35)</f>
        <v>0</v>
      </c>
      <c r="T35" s="10">
        <f ca="1">SUMIF(End_of_period,T$8,Отчетность!$L35:$CO35)</f>
        <v>0</v>
      </c>
      <c r="U35" s="10">
        <f ca="1">SUMIF(End_of_period,U$8,Отчетность!$L35:$CO35)</f>
        <v>57237.939196443214</v>
      </c>
      <c r="V35" s="10">
        <f ca="1">SUMIF(End_of_period,V$8,Отчетность!$L35:$CO35)</f>
        <v>59527.456764300965</v>
      </c>
      <c r="W35" s="10">
        <f ca="1">SUMIF(End_of_period,W$8,Отчетность!$L35:$CO35)</f>
        <v>61908.720416273747</v>
      </c>
      <c r="X35" s="10">
        <f ca="1">SUMIF(End_of_period,X$8,Отчетность!$L35:$CO35)</f>
        <v>64384.89723626792</v>
      </c>
      <c r="Y35" s="10">
        <f ca="1">SUMIF(End_of_period,Y$8,Отчетность!$L35:$CO35)</f>
        <v>66960.293125718599</v>
      </c>
      <c r="Z35" s="10">
        <f ca="1">SUMIF(End_of_period,Z$8,Отчетность!$L35:$CO35)</f>
        <v>69638.704850747308</v>
      </c>
      <c r="AA35" s="10">
        <f ca="1">SUMIF(End_of_period,AA$8,Отчетность!$L35:$CO35)</f>
        <v>72424.446517624543</v>
      </c>
      <c r="AB35" s="10">
        <f ca="1">SUMIF(End_of_period,AB$8,Отчетность!$L35:$CO35)</f>
        <v>75321.223166568292</v>
      </c>
      <c r="AC35" s="10">
        <f ca="1">SUMIF(End_of_period,AC$8,Отчетность!$L35:$CO35)</f>
        <v>78334.072093231021</v>
      </c>
      <c r="AD35" s="10">
        <f ca="1">SUMIF(End_of_period,AD$8,Отчетность!$L35:$CO35)</f>
        <v>81467.434976960241</v>
      </c>
      <c r="AE35" s="10">
        <f ca="1">SUMIF(End_of_period,AE$8,Отчетность!$L35:$CO35)</f>
        <v>84726.358711905195</v>
      </c>
      <c r="AF35" s="10">
        <f>SUMIF(End_of_period,AF$8,Отчетность!$L35:$CO35)</f>
        <v>0</v>
      </c>
      <c r="AG35" s="10">
        <f>SUMIF(End_of_period,AG$8,Отчетность!$L35:$CO35)</f>
        <v>0</v>
      </c>
      <c r="AH35" s="10">
        <f>SUMIF(End_of_period,AH$8,Отчетность!$L35:$CO35)</f>
        <v>0</v>
      </c>
      <c r="AI35" s="10">
        <f>SUMIF(End_of_period,AI$8,Отчетность!$L35:$CO35)</f>
        <v>0</v>
      </c>
      <c r="AJ35" s="10">
        <f>SUMIF(End_of_period,AJ$8,Отчетность!$L35:$CO35)</f>
        <v>0</v>
      </c>
      <c r="AK35" s="10">
        <f>SUMIF(End_of_period,AK$8,Отчетность!$L35:$CO35)</f>
        <v>0</v>
      </c>
      <c r="AL35" s="10">
        <f>SUMIF(End_of_period,AL$8,Отчетность!$L35:$CO35)</f>
        <v>0</v>
      </c>
      <c r="AM35" s="10">
        <f>SUMIF(End_of_period,AM$8,Отчетность!$L35:$CO35)</f>
        <v>0</v>
      </c>
      <c r="AN35" s="10">
        <f>SUMIF(End_of_period,AN$8,Отчетность!$L35:$CO35)</f>
        <v>0</v>
      </c>
      <c r="AO35" s="10">
        <f>SUMIF(End_of_period,AO$8,Отчетность!$L35:$CO35)</f>
        <v>0</v>
      </c>
      <c r="AP35" s="10">
        <f>SUMIF(End_of_period,AP$8,Отчетность!$L35:$CO35)</f>
        <v>0</v>
      </c>
      <c r="AQ35" s="10">
        <f>SUMIF(End_of_period,AQ$8,Отчетность!$L35:$CO35)</f>
        <v>0</v>
      </c>
      <c r="AR35" s="10">
        <f>SUMIF(End_of_period,AR$8,Отчетность!$L35:$CO35)</f>
        <v>0</v>
      </c>
      <c r="AS35" s="10">
        <f>SUMIF(End_of_period,AS$8,Отчетность!$L35:$CO35)</f>
        <v>0</v>
      </c>
      <c r="AT35" s="10">
        <f>SUMIF(End_of_period,AT$8,Отчетность!$L35:$CO35)</f>
        <v>0</v>
      </c>
      <c r="AU35" s="10">
        <f>SUMIF(End_of_period,AU$8,Отчетность!$L35:$CO35)</f>
        <v>0</v>
      </c>
      <c r="AV35" s="10">
        <f>SUMIF(End_of_period,AV$8,Отчетность!$L35:$CO35)</f>
        <v>0</v>
      </c>
      <c r="AW35" s="10">
        <f>SUMIF(End_of_period,AW$8,Отчетность!$L35:$CO35)</f>
        <v>0</v>
      </c>
      <c r="AX35" s="10">
        <f>SUMIF(End_of_period,AX$8,Отчетность!$L35:$CO35)</f>
        <v>0</v>
      </c>
      <c r="AY35" s="10">
        <f>SUMIF(End_of_period,AY$8,Отчетность!$L35:$CO35)</f>
        <v>0</v>
      </c>
      <c r="AZ35" s="10">
        <f>SUMIF(End_of_period,AZ$8,Отчетность!$L35:$CO35)</f>
        <v>0</v>
      </c>
      <c r="BA35" s="10">
        <f>SUMIF(End_of_period,BA$8,Отчетность!$L35:$CO35)</f>
        <v>0</v>
      </c>
      <c r="BB35" s="10">
        <f>SUMIF(End_of_period,BB$8,Отчетность!$L35:$CO35)</f>
        <v>0</v>
      </c>
      <c r="BC35" s="10">
        <f>SUMIF(End_of_period,BC$8,Отчетность!$L35:$CO35)</f>
        <v>0</v>
      </c>
      <c r="BD35" s="10">
        <f>SUMIF(End_of_period,BD$8,Отчетность!$L35:$CO35)</f>
        <v>0</v>
      </c>
      <c r="BE35" s="10">
        <f>SUMIF(End_of_period,BE$8,Отчетность!$L35:$CO35)</f>
        <v>0</v>
      </c>
      <c r="BF35" s="10">
        <f>SUMIF(End_of_period,BF$8,Отчетность!$L35:$CO35)</f>
        <v>0</v>
      </c>
      <c r="BG35" s="10">
        <f>SUMIF(End_of_period,BG$8,Отчетность!$L35:$CO35)</f>
        <v>0</v>
      </c>
      <c r="BH35" s="10">
        <f>SUMIF(End_of_period,BH$8,Отчетность!$L35:$CO35)</f>
        <v>0</v>
      </c>
      <c r="BI35" s="10">
        <f>SUMIF(End_of_period,BI$8,Отчетность!$L35:$CO35)</f>
        <v>0</v>
      </c>
      <c r="BJ35" s="10">
        <f>SUMIF(End_of_period,BJ$8,Отчетность!$L35:$CO35)</f>
        <v>0</v>
      </c>
      <c r="BK35" s="10">
        <f>SUMIF(End_of_period,BK$8,Отчетность!$L35:$CO35)</f>
        <v>0</v>
      </c>
      <c r="BL35" s="10">
        <f>SUMIF(End_of_period,BL$8,Отчетность!$L35:$CO35)</f>
        <v>0</v>
      </c>
      <c r="BM35" s="10">
        <f>SUMIF(End_of_period,BM$8,Отчетность!$L35:$CO35)</f>
        <v>0</v>
      </c>
      <c r="BN35" s="10">
        <f>SUMIF(End_of_period,BN$8,Отчетность!$L35:$CO35)</f>
        <v>0</v>
      </c>
      <c r="BO35" s="10">
        <f>SUMIF(End_of_period,BO$8,Отчетность!$L35:$CO35)</f>
        <v>0</v>
      </c>
      <c r="BP35" s="10">
        <f>SUMIF(End_of_period,BP$8,Отчетность!$L35:$CO35)</f>
        <v>0</v>
      </c>
      <c r="BQ35" s="10">
        <f>SUMIF(End_of_period,BQ$8,Отчетность!$L35:$CO35)</f>
        <v>0</v>
      </c>
      <c r="BR35" s="10">
        <f>SUMIF(End_of_period,BR$8,Отчетность!$L35:$CO35)</f>
        <v>0</v>
      </c>
      <c r="BS35" s="10">
        <f>SUMIF(End_of_period,BS$8,Отчетность!$L35:$CO35)</f>
        <v>0</v>
      </c>
      <c r="BT35" s="10">
        <f>SUMIF(End_of_period,BT$8,Отчетность!$L35:$CO35)</f>
        <v>0</v>
      </c>
      <c r="BU35" s="10">
        <f>SUMIF(End_of_period,BU$8,Отчетность!$L35:$CO35)</f>
        <v>0</v>
      </c>
      <c r="BV35" s="10">
        <f>SUMIF(End_of_period,BV$8,Отчетность!$L35:$CO35)</f>
        <v>0</v>
      </c>
      <c r="BW35" s="10">
        <f>SUMIF(End_of_period,BW$8,Отчетность!$L35:$CO35)</f>
        <v>0</v>
      </c>
      <c r="BX35" s="10">
        <f>SUMIF(End_of_period,BX$8,Отчетность!$L35:$CO35)</f>
        <v>0</v>
      </c>
      <c r="BY35" s="10">
        <f>SUMIF(End_of_period,BY$8,Отчетность!$L35:$CO35)</f>
        <v>0</v>
      </c>
      <c r="BZ35" s="10">
        <f>SUMIF(End_of_period,BZ$8,Отчетность!$L35:$CO35)</f>
        <v>0</v>
      </c>
      <c r="CA35" s="10">
        <f>SUMIF(End_of_period,CA$8,Отчетность!$L35:$CO35)</f>
        <v>0</v>
      </c>
      <c r="CB35" s="10">
        <f>SUMIF(End_of_period,CB$8,Отчетность!$L35:$CO35)</f>
        <v>0</v>
      </c>
      <c r="CC35" s="10">
        <f>SUMIF(End_of_period,CC$8,Отчетность!$L35:$CO35)</f>
        <v>0</v>
      </c>
      <c r="CD35" s="10">
        <f>SUMIF(End_of_period,CD$8,Отчетность!$L35:$CO35)</f>
        <v>0</v>
      </c>
      <c r="CE35" s="10">
        <f>SUMIF(End_of_period,CE$8,Отчетность!$L35:$CO35)</f>
        <v>0</v>
      </c>
      <c r="CF35" s="10">
        <f>SUMIF(End_of_period,CF$8,Отчетность!$L35:$CO35)</f>
        <v>0</v>
      </c>
      <c r="CG35" s="10">
        <f>SUMIF(End_of_period,CG$8,Отчетность!$L35:$CO35)</f>
        <v>0</v>
      </c>
      <c r="CH35" s="10">
        <f>SUMIF(End_of_period,CH$8,Отчетность!$L35:$CO35)</f>
        <v>0</v>
      </c>
      <c r="CI35" s="10">
        <f>SUMIF(End_of_period,CI$8,Отчетность!$L35:$CO35)</f>
        <v>0</v>
      </c>
      <c r="CJ35" s="10">
        <f>SUMIF(End_of_period,CJ$8,Отчетность!$L35:$CO35)</f>
        <v>0</v>
      </c>
      <c r="CK35" s="10">
        <f>SUMIF(End_of_period,CK$8,Отчетность!$L35:$CO35)</f>
        <v>0</v>
      </c>
      <c r="CL35" s="10">
        <f>SUMIF(End_of_period,CL$8,Отчетность!$L35:$CO35)</f>
        <v>0</v>
      </c>
      <c r="CM35" s="10">
        <f>SUMIF(End_of_period,CM$8,Отчетность!$L35:$CO35)</f>
        <v>0</v>
      </c>
      <c r="CN35" s="10">
        <f>SUMIF(End_of_period,CN$8,Отчетность!$L35:$CO35)</f>
        <v>0</v>
      </c>
      <c r="CO35" s="10">
        <f>SUMIF(End_of_period,CO$8,Отчетность!$L35:$CO35)</f>
        <v>0</v>
      </c>
    </row>
    <row r="36" spans="1:93" s="133" customFormat="1" ht="14">
      <c r="A36" s="10"/>
      <c r="B36" s="10"/>
      <c r="C36" s="10"/>
      <c r="D36" s="10"/>
      <c r="E36" s="10"/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s="133" customFormat="1" ht="14">
      <c r="A37" s="10"/>
      <c r="B37" s="10"/>
      <c r="C37" s="24" t="s">
        <v>330</v>
      </c>
      <c r="D37" s="24"/>
      <c r="E37" s="24"/>
      <c r="F37" s="24"/>
      <c r="G37" s="135"/>
      <c r="H37" s="24"/>
      <c r="I37" s="24"/>
      <c r="J37" s="24"/>
      <c r="K37" s="24"/>
      <c r="L37" s="24">
        <f t="shared" ref="L37:BW37" ca="1" si="46">SUM(L25,L30,L33)*(ABS(SUM(L25,L30,L33))&gt;Accuracy)</f>
        <v>128324.85692220708</v>
      </c>
      <c r="M37" s="24">
        <f t="shared" ca="1" si="46"/>
        <v>1247830.0923526003</v>
      </c>
      <c r="N37" s="24">
        <f t="shared" ca="1" si="46"/>
        <v>2461019.3658309774</v>
      </c>
      <c r="O37" s="24">
        <f t="shared" ca="1" si="46"/>
        <v>5134992.4963465389</v>
      </c>
      <c r="P37" s="24">
        <f t="shared" ca="1" si="46"/>
        <v>5787839.9901055917</v>
      </c>
      <c r="Q37" s="24">
        <f t="shared" ca="1" si="46"/>
        <v>5299642.6929916665</v>
      </c>
      <c r="R37" s="24">
        <f t="shared" ca="1" si="46"/>
        <v>4784121.7316195462</v>
      </c>
      <c r="S37" s="24">
        <f t="shared" ca="1" si="46"/>
        <v>4378231.5320376642</v>
      </c>
      <c r="T37" s="24">
        <f t="shared" ca="1" si="46"/>
        <v>4099734.8091342268</v>
      </c>
      <c r="U37" s="24">
        <f t="shared" ca="1" si="46"/>
        <v>3691125.086678749</v>
      </c>
      <c r="V37" s="24">
        <f t="shared" ca="1" si="46"/>
        <v>3408774.1932447059</v>
      </c>
      <c r="W37" s="24">
        <f t="shared" ca="1" si="46"/>
        <v>3250782.4381630691</v>
      </c>
      <c r="X37" s="24">
        <f t="shared" ca="1" si="46"/>
        <v>3134612.7253744691</v>
      </c>
      <c r="Y37" s="24">
        <f t="shared" ca="1" si="46"/>
        <v>3019006.5529729188</v>
      </c>
      <c r="Z37" s="24">
        <f t="shared" ca="1" si="46"/>
        <v>2903986.7430032319</v>
      </c>
      <c r="AA37" s="24">
        <f t="shared" ca="1" si="46"/>
        <v>2789576.4345178213</v>
      </c>
      <c r="AB37" s="24">
        <f t="shared" ca="1" si="46"/>
        <v>2675800.9665284348</v>
      </c>
      <c r="AC37" s="24">
        <f t="shared" ca="1" si="46"/>
        <v>2562684.7610847424</v>
      </c>
      <c r="AD37" s="24">
        <f t="shared" ca="1" si="46"/>
        <v>2450254.5167512274</v>
      </c>
      <c r="AE37" s="24">
        <f t="shared" ca="1" si="46"/>
        <v>2338537.3029464278</v>
      </c>
      <c r="AF37" s="24">
        <f t="shared" si="46"/>
        <v>0</v>
      </c>
      <c r="AG37" s="24">
        <f t="shared" si="46"/>
        <v>0</v>
      </c>
      <c r="AH37" s="24">
        <f t="shared" si="46"/>
        <v>0</v>
      </c>
      <c r="AI37" s="24">
        <f t="shared" si="46"/>
        <v>0</v>
      </c>
      <c r="AJ37" s="24">
        <f t="shared" si="46"/>
        <v>0</v>
      </c>
      <c r="AK37" s="24">
        <f t="shared" si="46"/>
        <v>0</v>
      </c>
      <c r="AL37" s="24">
        <f t="shared" si="46"/>
        <v>0</v>
      </c>
      <c r="AM37" s="24">
        <f t="shared" si="46"/>
        <v>0</v>
      </c>
      <c r="AN37" s="24">
        <f t="shared" si="46"/>
        <v>0</v>
      </c>
      <c r="AO37" s="24">
        <f t="shared" si="46"/>
        <v>0</v>
      </c>
      <c r="AP37" s="24">
        <f t="shared" si="46"/>
        <v>0</v>
      </c>
      <c r="AQ37" s="24">
        <f t="shared" si="46"/>
        <v>0</v>
      </c>
      <c r="AR37" s="24">
        <f t="shared" si="46"/>
        <v>0</v>
      </c>
      <c r="AS37" s="24">
        <f t="shared" si="46"/>
        <v>0</v>
      </c>
      <c r="AT37" s="24">
        <f t="shared" si="46"/>
        <v>0</v>
      </c>
      <c r="AU37" s="24">
        <f t="shared" si="46"/>
        <v>0</v>
      </c>
      <c r="AV37" s="24">
        <f t="shared" si="46"/>
        <v>0</v>
      </c>
      <c r="AW37" s="24">
        <f t="shared" si="46"/>
        <v>0</v>
      </c>
      <c r="AX37" s="24">
        <f t="shared" si="46"/>
        <v>0</v>
      </c>
      <c r="AY37" s="24">
        <f t="shared" si="46"/>
        <v>0</v>
      </c>
      <c r="AZ37" s="24">
        <f t="shared" si="46"/>
        <v>0</v>
      </c>
      <c r="BA37" s="24">
        <f t="shared" si="46"/>
        <v>0</v>
      </c>
      <c r="BB37" s="24">
        <f t="shared" si="46"/>
        <v>0</v>
      </c>
      <c r="BC37" s="24">
        <f t="shared" si="46"/>
        <v>0</v>
      </c>
      <c r="BD37" s="24">
        <f t="shared" si="46"/>
        <v>0</v>
      </c>
      <c r="BE37" s="24">
        <f t="shared" si="46"/>
        <v>0</v>
      </c>
      <c r="BF37" s="24">
        <f t="shared" si="46"/>
        <v>0</v>
      </c>
      <c r="BG37" s="24">
        <f t="shared" si="46"/>
        <v>0</v>
      </c>
      <c r="BH37" s="24">
        <f t="shared" si="46"/>
        <v>0</v>
      </c>
      <c r="BI37" s="24">
        <f t="shared" si="46"/>
        <v>0</v>
      </c>
      <c r="BJ37" s="24">
        <f t="shared" si="46"/>
        <v>0</v>
      </c>
      <c r="BK37" s="24">
        <f t="shared" si="46"/>
        <v>0</v>
      </c>
      <c r="BL37" s="24">
        <f t="shared" si="46"/>
        <v>0</v>
      </c>
      <c r="BM37" s="24">
        <f t="shared" si="46"/>
        <v>0</v>
      </c>
      <c r="BN37" s="24">
        <f t="shared" si="46"/>
        <v>0</v>
      </c>
      <c r="BO37" s="24">
        <f t="shared" si="46"/>
        <v>0</v>
      </c>
      <c r="BP37" s="24">
        <f t="shared" si="46"/>
        <v>0</v>
      </c>
      <c r="BQ37" s="24">
        <f t="shared" si="46"/>
        <v>0</v>
      </c>
      <c r="BR37" s="24">
        <f t="shared" si="46"/>
        <v>0</v>
      </c>
      <c r="BS37" s="24">
        <f t="shared" si="46"/>
        <v>0</v>
      </c>
      <c r="BT37" s="24">
        <f t="shared" si="46"/>
        <v>0</v>
      </c>
      <c r="BU37" s="24">
        <f t="shared" si="46"/>
        <v>0</v>
      </c>
      <c r="BV37" s="24">
        <f t="shared" si="46"/>
        <v>0</v>
      </c>
      <c r="BW37" s="24">
        <f t="shared" si="46"/>
        <v>0</v>
      </c>
      <c r="BX37" s="24">
        <f t="shared" ref="BX37:CO37" si="47">SUM(BX25,BX30,BX33)*(ABS(SUM(BX25,BX30,BX33))&gt;Accuracy)</f>
        <v>0</v>
      </c>
      <c r="BY37" s="24">
        <f t="shared" si="47"/>
        <v>0</v>
      </c>
      <c r="BZ37" s="24">
        <f t="shared" si="47"/>
        <v>0</v>
      </c>
      <c r="CA37" s="24">
        <f t="shared" si="47"/>
        <v>0</v>
      </c>
      <c r="CB37" s="24">
        <f t="shared" si="47"/>
        <v>0</v>
      </c>
      <c r="CC37" s="24">
        <f t="shared" si="47"/>
        <v>0</v>
      </c>
      <c r="CD37" s="24">
        <f t="shared" si="47"/>
        <v>0</v>
      </c>
      <c r="CE37" s="24">
        <f t="shared" si="47"/>
        <v>0</v>
      </c>
      <c r="CF37" s="24">
        <f t="shared" si="47"/>
        <v>0</v>
      </c>
      <c r="CG37" s="24">
        <f t="shared" si="47"/>
        <v>0</v>
      </c>
      <c r="CH37" s="24">
        <f t="shared" si="47"/>
        <v>0</v>
      </c>
      <c r="CI37" s="24">
        <f t="shared" si="47"/>
        <v>0</v>
      </c>
      <c r="CJ37" s="24">
        <f t="shared" si="47"/>
        <v>0</v>
      </c>
      <c r="CK37" s="24">
        <f t="shared" si="47"/>
        <v>0</v>
      </c>
      <c r="CL37" s="24">
        <f t="shared" si="47"/>
        <v>0</v>
      </c>
      <c r="CM37" s="24">
        <f t="shared" si="47"/>
        <v>0</v>
      </c>
      <c r="CN37" s="24">
        <f t="shared" si="47"/>
        <v>0</v>
      </c>
      <c r="CO37" s="24">
        <f t="shared" si="47"/>
        <v>0</v>
      </c>
    </row>
    <row r="38" spans="1:93" s="75" customFormat="1" ht="14.5">
      <c r="A38" s="73"/>
      <c r="B38" s="73"/>
      <c r="C38" s="73"/>
      <c r="D38" s="73"/>
      <c r="E38" s="73"/>
      <c r="F38" s="73"/>
      <c r="G38" s="72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</row>
    <row r="39" spans="1:93" s="46" customFormat="1" ht="13">
      <c r="C39" s="46" t="s">
        <v>351</v>
      </c>
      <c r="G39" s="89" t="str">
        <f>Monetary_Unit</f>
        <v>тыс. руб.</v>
      </c>
      <c r="H39" s="73"/>
      <c r="I39" s="46">
        <f ca="1">SUM(L39:CQ39)</f>
        <v>0</v>
      </c>
      <c r="L39" s="46">
        <f t="shared" ref="L39:BW39" ca="1" si="48">(L37-L23)*(ABS(L37-L23)&gt;Accuracy)</f>
        <v>0</v>
      </c>
      <c r="M39" s="46">
        <f t="shared" ca="1" si="48"/>
        <v>0</v>
      </c>
      <c r="N39" s="46">
        <f t="shared" ca="1" si="48"/>
        <v>0</v>
      </c>
      <c r="O39" s="46">
        <f t="shared" ca="1" si="48"/>
        <v>0</v>
      </c>
      <c r="P39" s="46">
        <f t="shared" ca="1" si="48"/>
        <v>0</v>
      </c>
      <c r="Q39" s="46">
        <f t="shared" ca="1" si="48"/>
        <v>0</v>
      </c>
      <c r="R39" s="46">
        <f t="shared" ca="1" si="48"/>
        <v>0</v>
      </c>
      <c r="S39" s="46">
        <f t="shared" ca="1" si="48"/>
        <v>0</v>
      </c>
      <c r="T39" s="46">
        <f t="shared" ca="1" si="48"/>
        <v>0</v>
      </c>
      <c r="U39" s="46">
        <f t="shared" ca="1" si="48"/>
        <v>0</v>
      </c>
      <c r="V39" s="46">
        <f t="shared" ca="1" si="48"/>
        <v>0</v>
      </c>
      <c r="W39" s="46">
        <f t="shared" ca="1" si="48"/>
        <v>0</v>
      </c>
      <c r="X39" s="46">
        <f t="shared" ca="1" si="48"/>
        <v>0</v>
      </c>
      <c r="Y39" s="46">
        <f t="shared" ca="1" si="48"/>
        <v>0</v>
      </c>
      <c r="Z39" s="46">
        <f t="shared" ca="1" si="48"/>
        <v>0</v>
      </c>
      <c r="AA39" s="46">
        <f t="shared" ca="1" si="48"/>
        <v>0</v>
      </c>
      <c r="AB39" s="46">
        <f t="shared" ca="1" si="48"/>
        <v>0</v>
      </c>
      <c r="AC39" s="46">
        <f t="shared" ca="1" si="48"/>
        <v>0</v>
      </c>
      <c r="AD39" s="46">
        <f t="shared" ca="1" si="48"/>
        <v>0</v>
      </c>
      <c r="AE39" s="46">
        <f t="shared" ca="1" si="48"/>
        <v>0</v>
      </c>
      <c r="AF39" s="46">
        <f t="shared" si="48"/>
        <v>0</v>
      </c>
      <c r="AG39" s="46">
        <f t="shared" si="48"/>
        <v>0</v>
      </c>
      <c r="AH39" s="46">
        <f t="shared" si="48"/>
        <v>0</v>
      </c>
      <c r="AI39" s="46">
        <f t="shared" si="48"/>
        <v>0</v>
      </c>
      <c r="AJ39" s="46">
        <f t="shared" si="48"/>
        <v>0</v>
      </c>
      <c r="AK39" s="46">
        <f t="shared" si="48"/>
        <v>0</v>
      </c>
      <c r="AL39" s="46">
        <f t="shared" si="48"/>
        <v>0</v>
      </c>
      <c r="AM39" s="46">
        <f t="shared" si="48"/>
        <v>0</v>
      </c>
      <c r="AN39" s="46">
        <f t="shared" si="48"/>
        <v>0</v>
      </c>
      <c r="AO39" s="46">
        <f t="shared" si="48"/>
        <v>0</v>
      </c>
      <c r="AP39" s="46">
        <f t="shared" si="48"/>
        <v>0</v>
      </c>
      <c r="AQ39" s="46">
        <f t="shared" si="48"/>
        <v>0</v>
      </c>
      <c r="AR39" s="46">
        <f t="shared" si="48"/>
        <v>0</v>
      </c>
      <c r="AS39" s="46">
        <f t="shared" si="48"/>
        <v>0</v>
      </c>
      <c r="AT39" s="46">
        <f t="shared" si="48"/>
        <v>0</v>
      </c>
      <c r="AU39" s="46">
        <f t="shared" si="48"/>
        <v>0</v>
      </c>
      <c r="AV39" s="46">
        <f t="shared" si="48"/>
        <v>0</v>
      </c>
      <c r="AW39" s="46">
        <f t="shared" si="48"/>
        <v>0</v>
      </c>
      <c r="AX39" s="46">
        <f t="shared" si="48"/>
        <v>0</v>
      </c>
      <c r="AY39" s="46">
        <f t="shared" si="48"/>
        <v>0</v>
      </c>
      <c r="AZ39" s="46">
        <f t="shared" si="48"/>
        <v>0</v>
      </c>
      <c r="BA39" s="46">
        <f t="shared" si="48"/>
        <v>0</v>
      </c>
      <c r="BB39" s="46">
        <f t="shared" si="48"/>
        <v>0</v>
      </c>
      <c r="BC39" s="46">
        <f t="shared" si="48"/>
        <v>0</v>
      </c>
      <c r="BD39" s="46">
        <f t="shared" si="48"/>
        <v>0</v>
      </c>
      <c r="BE39" s="46">
        <f t="shared" si="48"/>
        <v>0</v>
      </c>
      <c r="BF39" s="46">
        <f t="shared" si="48"/>
        <v>0</v>
      </c>
      <c r="BG39" s="46">
        <f t="shared" si="48"/>
        <v>0</v>
      </c>
      <c r="BH39" s="46">
        <f t="shared" si="48"/>
        <v>0</v>
      </c>
      <c r="BI39" s="46">
        <f t="shared" si="48"/>
        <v>0</v>
      </c>
      <c r="BJ39" s="46">
        <f t="shared" si="48"/>
        <v>0</v>
      </c>
      <c r="BK39" s="46">
        <f t="shared" si="48"/>
        <v>0</v>
      </c>
      <c r="BL39" s="46">
        <f t="shared" si="48"/>
        <v>0</v>
      </c>
      <c r="BM39" s="46">
        <f t="shared" si="48"/>
        <v>0</v>
      </c>
      <c r="BN39" s="46">
        <f t="shared" si="48"/>
        <v>0</v>
      </c>
      <c r="BO39" s="46">
        <f t="shared" si="48"/>
        <v>0</v>
      </c>
      <c r="BP39" s="46">
        <f t="shared" si="48"/>
        <v>0</v>
      </c>
      <c r="BQ39" s="46">
        <f t="shared" si="48"/>
        <v>0</v>
      </c>
      <c r="BR39" s="46">
        <f t="shared" si="48"/>
        <v>0</v>
      </c>
      <c r="BS39" s="46">
        <f t="shared" si="48"/>
        <v>0</v>
      </c>
      <c r="BT39" s="46">
        <f t="shared" si="48"/>
        <v>0</v>
      </c>
      <c r="BU39" s="46">
        <f t="shared" si="48"/>
        <v>0</v>
      </c>
      <c r="BV39" s="46">
        <f t="shared" si="48"/>
        <v>0</v>
      </c>
      <c r="BW39" s="46">
        <f t="shared" si="48"/>
        <v>0</v>
      </c>
      <c r="BX39" s="46">
        <f t="shared" ref="BX39:CO39" si="49">(BX37-BX23)*(ABS(BX37-BX23)&gt;Accuracy)</f>
        <v>0</v>
      </c>
      <c r="BY39" s="46">
        <f t="shared" si="49"/>
        <v>0</v>
      </c>
      <c r="BZ39" s="46">
        <f t="shared" si="49"/>
        <v>0</v>
      </c>
      <c r="CA39" s="46">
        <f t="shared" si="49"/>
        <v>0</v>
      </c>
      <c r="CB39" s="46">
        <f t="shared" si="49"/>
        <v>0</v>
      </c>
      <c r="CC39" s="46">
        <f t="shared" si="49"/>
        <v>0</v>
      </c>
      <c r="CD39" s="46">
        <f t="shared" si="49"/>
        <v>0</v>
      </c>
      <c r="CE39" s="46">
        <f t="shared" si="49"/>
        <v>0</v>
      </c>
      <c r="CF39" s="46">
        <f t="shared" si="49"/>
        <v>0</v>
      </c>
      <c r="CG39" s="46">
        <f t="shared" si="49"/>
        <v>0</v>
      </c>
      <c r="CH39" s="46">
        <f t="shared" si="49"/>
        <v>0</v>
      </c>
      <c r="CI39" s="46">
        <f t="shared" si="49"/>
        <v>0</v>
      </c>
      <c r="CJ39" s="46">
        <f t="shared" si="49"/>
        <v>0</v>
      </c>
      <c r="CK39" s="46">
        <f t="shared" si="49"/>
        <v>0</v>
      </c>
      <c r="CL39" s="46">
        <f t="shared" si="49"/>
        <v>0</v>
      </c>
      <c r="CM39" s="46">
        <f t="shared" si="49"/>
        <v>0</v>
      </c>
      <c r="CN39" s="46">
        <f t="shared" si="49"/>
        <v>0</v>
      </c>
      <c r="CO39" s="46">
        <f t="shared" si="49"/>
        <v>0</v>
      </c>
    </row>
    <row r="40" spans="1:93" s="46" customFormat="1" ht="13">
      <c r="C40" s="46" t="s">
        <v>352</v>
      </c>
      <c r="G40" s="89" t="str">
        <f>Monetary_Unit</f>
        <v>тыс. руб.</v>
      </c>
      <c r="H40" s="73"/>
      <c r="I40" s="46">
        <f ca="1">SUM(L40:CQ40)</f>
        <v>0</v>
      </c>
      <c r="L40" s="46">
        <f t="shared" ref="L40:BW40" ca="1" si="50">(L39-K39)*(ABS(L39-K39)&gt;Accuracy)</f>
        <v>0</v>
      </c>
      <c r="M40" s="46">
        <f t="shared" ca="1" si="50"/>
        <v>0</v>
      </c>
      <c r="N40" s="46">
        <f t="shared" ca="1" si="50"/>
        <v>0</v>
      </c>
      <c r="O40" s="46">
        <f t="shared" ca="1" si="50"/>
        <v>0</v>
      </c>
      <c r="P40" s="46">
        <f t="shared" ca="1" si="50"/>
        <v>0</v>
      </c>
      <c r="Q40" s="46">
        <f t="shared" ca="1" si="50"/>
        <v>0</v>
      </c>
      <c r="R40" s="46">
        <f t="shared" ca="1" si="50"/>
        <v>0</v>
      </c>
      <c r="S40" s="46">
        <f t="shared" ca="1" si="50"/>
        <v>0</v>
      </c>
      <c r="T40" s="46">
        <f t="shared" ca="1" si="50"/>
        <v>0</v>
      </c>
      <c r="U40" s="46">
        <f t="shared" ca="1" si="50"/>
        <v>0</v>
      </c>
      <c r="V40" s="46">
        <f t="shared" ca="1" si="50"/>
        <v>0</v>
      </c>
      <c r="W40" s="46">
        <f t="shared" ca="1" si="50"/>
        <v>0</v>
      </c>
      <c r="X40" s="46">
        <f t="shared" ca="1" si="50"/>
        <v>0</v>
      </c>
      <c r="Y40" s="46">
        <f t="shared" ca="1" si="50"/>
        <v>0</v>
      </c>
      <c r="Z40" s="46">
        <f t="shared" ca="1" si="50"/>
        <v>0</v>
      </c>
      <c r="AA40" s="46">
        <f t="shared" ca="1" si="50"/>
        <v>0</v>
      </c>
      <c r="AB40" s="46">
        <f t="shared" ca="1" si="50"/>
        <v>0</v>
      </c>
      <c r="AC40" s="46">
        <f t="shared" ca="1" si="50"/>
        <v>0</v>
      </c>
      <c r="AD40" s="46">
        <f t="shared" ca="1" si="50"/>
        <v>0</v>
      </c>
      <c r="AE40" s="46">
        <f t="shared" ca="1" si="50"/>
        <v>0</v>
      </c>
      <c r="AF40" s="46">
        <f t="shared" ca="1" si="50"/>
        <v>0</v>
      </c>
      <c r="AG40" s="46">
        <f t="shared" si="50"/>
        <v>0</v>
      </c>
      <c r="AH40" s="46">
        <f t="shared" si="50"/>
        <v>0</v>
      </c>
      <c r="AI40" s="46">
        <f t="shared" si="50"/>
        <v>0</v>
      </c>
      <c r="AJ40" s="46">
        <f t="shared" si="50"/>
        <v>0</v>
      </c>
      <c r="AK40" s="46">
        <f t="shared" si="50"/>
        <v>0</v>
      </c>
      <c r="AL40" s="46">
        <f t="shared" si="50"/>
        <v>0</v>
      </c>
      <c r="AM40" s="46">
        <f t="shared" si="50"/>
        <v>0</v>
      </c>
      <c r="AN40" s="46">
        <f t="shared" si="50"/>
        <v>0</v>
      </c>
      <c r="AO40" s="46">
        <f t="shared" si="50"/>
        <v>0</v>
      </c>
      <c r="AP40" s="46">
        <f t="shared" si="50"/>
        <v>0</v>
      </c>
      <c r="AQ40" s="46">
        <f t="shared" si="50"/>
        <v>0</v>
      </c>
      <c r="AR40" s="46">
        <f t="shared" si="50"/>
        <v>0</v>
      </c>
      <c r="AS40" s="46">
        <f t="shared" si="50"/>
        <v>0</v>
      </c>
      <c r="AT40" s="46">
        <f t="shared" si="50"/>
        <v>0</v>
      </c>
      <c r="AU40" s="46">
        <f t="shared" si="50"/>
        <v>0</v>
      </c>
      <c r="AV40" s="46">
        <f t="shared" si="50"/>
        <v>0</v>
      </c>
      <c r="AW40" s="46">
        <f t="shared" si="50"/>
        <v>0</v>
      </c>
      <c r="AX40" s="46">
        <f t="shared" si="50"/>
        <v>0</v>
      </c>
      <c r="AY40" s="46">
        <f t="shared" si="50"/>
        <v>0</v>
      </c>
      <c r="AZ40" s="46">
        <f t="shared" si="50"/>
        <v>0</v>
      </c>
      <c r="BA40" s="46">
        <f t="shared" si="50"/>
        <v>0</v>
      </c>
      <c r="BB40" s="46">
        <f t="shared" si="50"/>
        <v>0</v>
      </c>
      <c r="BC40" s="46">
        <f t="shared" si="50"/>
        <v>0</v>
      </c>
      <c r="BD40" s="46">
        <f t="shared" si="50"/>
        <v>0</v>
      </c>
      <c r="BE40" s="46">
        <f t="shared" si="50"/>
        <v>0</v>
      </c>
      <c r="BF40" s="46">
        <f t="shared" si="50"/>
        <v>0</v>
      </c>
      <c r="BG40" s="46">
        <f t="shared" si="50"/>
        <v>0</v>
      </c>
      <c r="BH40" s="46">
        <f t="shared" si="50"/>
        <v>0</v>
      </c>
      <c r="BI40" s="46">
        <f t="shared" si="50"/>
        <v>0</v>
      </c>
      <c r="BJ40" s="46">
        <f t="shared" si="50"/>
        <v>0</v>
      </c>
      <c r="BK40" s="46">
        <f t="shared" si="50"/>
        <v>0</v>
      </c>
      <c r="BL40" s="46">
        <f t="shared" si="50"/>
        <v>0</v>
      </c>
      <c r="BM40" s="46">
        <f t="shared" si="50"/>
        <v>0</v>
      </c>
      <c r="BN40" s="46">
        <f t="shared" si="50"/>
        <v>0</v>
      </c>
      <c r="BO40" s="46">
        <f t="shared" si="50"/>
        <v>0</v>
      </c>
      <c r="BP40" s="46">
        <f t="shared" si="50"/>
        <v>0</v>
      </c>
      <c r="BQ40" s="46">
        <f t="shared" si="50"/>
        <v>0</v>
      </c>
      <c r="BR40" s="46">
        <f t="shared" si="50"/>
        <v>0</v>
      </c>
      <c r="BS40" s="46">
        <f t="shared" si="50"/>
        <v>0</v>
      </c>
      <c r="BT40" s="46">
        <f t="shared" si="50"/>
        <v>0</v>
      </c>
      <c r="BU40" s="46">
        <f t="shared" si="50"/>
        <v>0</v>
      </c>
      <c r="BV40" s="46">
        <f t="shared" si="50"/>
        <v>0</v>
      </c>
      <c r="BW40" s="46">
        <f t="shared" si="50"/>
        <v>0</v>
      </c>
      <c r="BX40" s="46">
        <f t="shared" ref="BX40:CO40" si="51">(BX39-BW39)*(ABS(BX39-BW39)&gt;Accuracy)</f>
        <v>0</v>
      </c>
      <c r="BY40" s="46">
        <f t="shared" si="51"/>
        <v>0</v>
      </c>
      <c r="BZ40" s="46">
        <f t="shared" si="51"/>
        <v>0</v>
      </c>
      <c r="CA40" s="46">
        <f t="shared" si="51"/>
        <v>0</v>
      </c>
      <c r="CB40" s="46">
        <f t="shared" si="51"/>
        <v>0</v>
      </c>
      <c r="CC40" s="46">
        <f t="shared" si="51"/>
        <v>0</v>
      </c>
      <c r="CD40" s="46">
        <f t="shared" si="51"/>
        <v>0</v>
      </c>
      <c r="CE40" s="46">
        <f t="shared" si="51"/>
        <v>0</v>
      </c>
      <c r="CF40" s="46">
        <f t="shared" si="51"/>
        <v>0</v>
      </c>
      <c r="CG40" s="46">
        <f t="shared" si="51"/>
        <v>0</v>
      </c>
      <c r="CH40" s="46">
        <f t="shared" si="51"/>
        <v>0</v>
      </c>
      <c r="CI40" s="46">
        <f t="shared" si="51"/>
        <v>0</v>
      </c>
      <c r="CJ40" s="46">
        <f t="shared" si="51"/>
        <v>0</v>
      </c>
      <c r="CK40" s="46">
        <f t="shared" si="51"/>
        <v>0</v>
      </c>
      <c r="CL40" s="46">
        <f t="shared" si="51"/>
        <v>0</v>
      </c>
      <c r="CM40" s="46">
        <f t="shared" si="51"/>
        <v>0</v>
      </c>
      <c r="CN40" s="46">
        <f t="shared" si="51"/>
        <v>0</v>
      </c>
      <c r="CO40" s="46">
        <f t="shared" si="51"/>
        <v>0</v>
      </c>
    </row>
    <row r="41" spans="1:93" s="75" customFormat="1" ht="14.5">
      <c r="A41" s="73"/>
      <c r="B41" s="73"/>
      <c r="C41" s="73"/>
      <c r="D41" s="73"/>
      <c r="E41" s="73"/>
      <c r="F41" s="73"/>
      <c r="G41" s="72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</row>
    <row r="42" spans="1:93" ht="22.5" customHeight="1">
      <c r="A42" s="10"/>
      <c r="B42" s="5" t="s">
        <v>312</v>
      </c>
      <c r="C42" s="5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</row>
    <row r="43" spans="1:93" s="75" customFormat="1" ht="14.5">
      <c r="A43" s="73"/>
      <c r="B43" s="73"/>
      <c r="C43" s="73"/>
      <c r="D43" s="73"/>
      <c r="E43" s="73"/>
      <c r="F43" s="73"/>
      <c r="G43" s="72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</row>
    <row r="44" spans="1:93" s="133" customFormat="1" ht="14">
      <c r="A44" s="10"/>
      <c r="B44" s="10"/>
      <c r="C44" s="17" t="s">
        <v>96</v>
      </c>
      <c r="D44" s="10"/>
      <c r="E44" s="10"/>
      <c r="F44" s="10"/>
      <c r="G44" s="134" t="str">
        <f t="shared" ref="G44:G59" si="52">Monetary_Unit</f>
        <v>тыс. руб.</v>
      </c>
      <c r="H44" s="10"/>
      <c r="I44" s="23">
        <f t="shared" ref="I44:I51" ca="1" si="53">SUM(L44:CQ44)</f>
        <v>54850086.519837223</v>
      </c>
      <c r="J44" s="10"/>
      <c r="K44" s="10"/>
      <c r="L44" s="10">
        <f t="shared" ref="L44:AQ44" ca="1" si="54">SUMIF(Year,L$6,Revenue)</f>
        <v>0</v>
      </c>
      <c r="M44" s="10">
        <f t="shared" ca="1" si="54"/>
        <v>0</v>
      </c>
      <c r="N44" s="10">
        <f t="shared" ca="1" si="54"/>
        <v>0</v>
      </c>
      <c r="O44" s="10">
        <f t="shared" ca="1" si="54"/>
        <v>0</v>
      </c>
      <c r="P44" s="10">
        <f t="shared" ca="1" si="54"/>
        <v>1655055.6470820154</v>
      </c>
      <c r="Q44" s="10">
        <f t="shared" ca="1" si="54"/>
        <v>2375550.2981476923</v>
      </c>
      <c r="R44" s="10">
        <f t="shared" ca="1" si="54"/>
        <v>2783687.5045269774</v>
      </c>
      <c r="S44" s="10">
        <f t="shared" ca="1" si="54"/>
        <v>3166498.2298717811</v>
      </c>
      <c r="T44" s="10">
        <f t="shared" ca="1" si="54"/>
        <v>3301987.5946275322</v>
      </c>
      <c r="U44" s="10">
        <f t="shared" ca="1" si="54"/>
        <v>3014031.1697501168</v>
      </c>
      <c r="V44" s="10">
        <f t="shared" ca="1" si="54"/>
        <v>3038380.561102998</v>
      </c>
      <c r="W44" s="10">
        <f t="shared" ca="1" si="54"/>
        <v>3166252.9377585752</v>
      </c>
      <c r="X44" s="10">
        <f t="shared" ca="1" si="54"/>
        <v>3286312.4148890013</v>
      </c>
      <c r="Y44" s="10">
        <f t="shared" ca="1" si="54"/>
        <v>3417764.9114845609</v>
      </c>
      <c r="Z44" s="10">
        <f t="shared" ca="1" si="54"/>
        <v>3554475.5079439427</v>
      </c>
      <c r="AA44" s="10">
        <f t="shared" ca="1" si="54"/>
        <v>3704068.1023620144</v>
      </c>
      <c r="AB44" s="10">
        <f t="shared" ca="1" si="54"/>
        <v>3844520.7093921672</v>
      </c>
      <c r="AC44" s="10">
        <f t="shared" ca="1" si="54"/>
        <v>3998301.5377678541</v>
      </c>
      <c r="AD44" s="10">
        <f t="shared" ca="1" si="54"/>
        <v>4158233.5992785678</v>
      </c>
      <c r="AE44" s="10">
        <f t="shared" ca="1" si="54"/>
        <v>4333235.7763711568</v>
      </c>
      <c r="AF44" s="10">
        <f t="shared" ca="1" si="54"/>
        <v>2051730.0174802581</v>
      </c>
      <c r="AG44" s="10">
        <f t="shared" si="54"/>
        <v>0</v>
      </c>
      <c r="AH44" s="10">
        <f t="shared" si="54"/>
        <v>0</v>
      </c>
      <c r="AI44" s="10">
        <f t="shared" si="54"/>
        <v>0</v>
      </c>
      <c r="AJ44" s="10">
        <f t="shared" si="54"/>
        <v>0</v>
      </c>
      <c r="AK44" s="10">
        <f t="shared" si="54"/>
        <v>0</v>
      </c>
      <c r="AL44" s="10">
        <f t="shared" si="54"/>
        <v>0</v>
      </c>
      <c r="AM44" s="10">
        <f t="shared" si="54"/>
        <v>0</v>
      </c>
      <c r="AN44" s="10">
        <f t="shared" si="54"/>
        <v>0</v>
      </c>
      <c r="AO44" s="10">
        <f t="shared" si="54"/>
        <v>0</v>
      </c>
      <c r="AP44" s="10">
        <f t="shared" si="54"/>
        <v>0</v>
      </c>
      <c r="AQ44" s="10">
        <f t="shared" si="54"/>
        <v>0</v>
      </c>
      <c r="AR44" s="10">
        <f t="shared" ref="AR44:BW44" si="55">SUMIF(Year,AR$6,Revenue)</f>
        <v>0</v>
      </c>
      <c r="AS44" s="10">
        <f t="shared" si="55"/>
        <v>0</v>
      </c>
      <c r="AT44" s="10">
        <f t="shared" si="55"/>
        <v>0</v>
      </c>
      <c r="AU44" s="10">
        <f t="shared" si="55"/>
        <v>0</v>
      </c>
      <c r="AV44" s="10">
        <f t="shared" si="55"/>
        <v>0</v>
      </c>
      <c r="AW44" s="10">
        <f t="shared" si="55"/>
        <v>0</v>
      </c>
      <c r="AX44" s="10">
        <f t="shared" si="55"/>
        <v>0</v>
      </c>
      <c r="AY44" s="10">
        <f t="shared" si="55"/>
        <v>0</v>
      </c>
      <c r="AZ44" s="10">
        <f t="shared" si="55"/>
        <v>0</v>
      </c>
      <c r="BA44" s="10">
        <f t="shared" si="55"/>
        <v>0</v>
      </c>
      <c r="BB44" s="10">
        <f t="shared" si="55"/>
        <v>0</v>
      </c>
      <c r="BC44" s="10">
        <f t="shared" si="55"/>
        <v>0</v>
      </c>
      <c r="BD44" s="10">
        <f t="shared" si="55"/>
        <v>0</v>
      </c>
      <c r="BE44" s="10">
        <f t="shared" si="55"/>
        <v>0</v>
      </c>
      <c r="BF44" s="10">
        <f t="shared" si="55"/>
        <v>0</v>
      </c>
      <c r="BG44" s="10">
        <f t="shared" si="55"/>
        <v>0</v>
      </c>
      <c r="BH44" s="10">
        <f t="shared" si="55"/>
        <v>0</v>
      </c>
      <c r="BI44" s="10">
        <f t="shared" si="55"/>
        <v>0</v>
      </c>
      <c r="BJ44" s="10">
        <f t="shared" si="55"/>
        <v>0</v>
      </c>
      <c r="BK44" s="10">
        <f t="shared" si="55"/>
        <v>0</v>
      </c>
      <c r="BL44" s="10">
        <f t="shared" si="55"/>
        <v>0</v>
      </c>
      <c r="BM44" s="10">
        <f t="shared" si="55"/>
        <v>0</v>
      </c>
      <c r="BN44" s="10">
        <f t="shared" si="55"/>
        <v>0</v>
      </c>
      <c r="BO44" s="10">
        <f t="shared" si="55"/>
        <v>0</v>
      </c>
      <c r="BP44" s="10">
        <f t="shared" si="55"/>
        <v>0</v>
      </c>
      <c r="BQ44" s="10">
        <f t="shared" si="55"/>
        <v>0</v>
      </c>
      <c r="BR44" s="10">
        <f t="shared" si="55"/>
        <v>0</v>
      </c>
      <c r="BS44" s="10">
        <f t="shared" si="55"/>
        <v>0</v>
      </c>
      <c r="BT44" s="10">
        <f t="shared" si="55"/>
        <v>0</v>
      </c>
      <c r="BU44" s="10">
        <f t="shared" si="55"/>
        <v>0</v>
      </c>
      <c r="BV44" s="10">
        <f t="shared" si="55"/>
        <v>0</v>
      </c>
      <c r="BW44" s="10">
        <f t="shared" si="55"/>
        <v>0</v>
      </c>
      <c r="BX44" s="10">
        <f t="shared" ref="BX44:CO44" si="56">SUMIF(Year,BX$6,Revenue)</f>
        <v>0</v>
      </c>
      <c r="BY44" s="10">
        <f t="shared" si="56"/>
        <v>0</v>
      </c>
      <c r="BZ44" s="10">
        <f t="shared" si="56"/>
        <v>0</v>
      </c>
      <c r="CA44" s="10">
        <f t="shared" si="56"/>
        <v>0</v>
      </c>
      <c r="CB44" s="10">
        <f t="shared" si="56"/>
        <v>0</v>
      </c>
      <c r="CC44" s="10">
        <f t="shared" si="56"/>
        <v>0</v>
      </c>
      <c r="CD44" s="10">
        <f t="shared" si="56"/>
        <v>0</v>
      </c>
      <c r="CE44" s="10">
        <f t="shared" si="56"/>
        <v>0</v>
      </c>
      <c r="CF44" s="10">
        <f t="shared" si="56"/>
        <v>0</v>
      </c>
      <c r="CG44" s="10">
        <f t="shared" si="56"/>
        <v>0</v>
      </c>
      <c r="CH44" s="10">
        <f t="shared" si="56"/>
        <v>0</v>
      </c>
      <c r="CI44" s="10">
        <f t="shared" si="56"/>
        <v>0</v>
      </c>
      <c r="CJ44" s="10">
        <f t="shared" si="56"/>
        <v>0</v>
      </c>
      <c r="CK44" s="10">
        <f t="shared" si="56"/>
        <v>0</v>
      </c>
      <c r="CL44" s="10">
        <f t="shared" si="56"/>
        <v>0</v>
      </c>
      <c r="CM44" s="10">
        <f t="shared" si="56"/>
        <v>0</v>
      </c>
      <c r="CN44" s="10">
        <f t="shared" si="56"/>
        <v>0</v>
      </c>
      <c r="CO44" s="10">
        <f t="shared" si="56"/>
        <v>0</v>
      </c>
    </row>
    <row r="45" spans="1:93" s="133" customFormat="1" ht="14.5" thickBot="1">
      <c r="A45" s="10"/>
      <c r="B45" s="10"/>
      <c r="C45" s="17" t="s">
        <v>722</v>
      </c>
      <c r="D45" s="10"/>
      <c r="E45" s="10"/>
      <c r="F45" s="10"/>
      <c r="G45" s="134" t="str">
        <f t="shared" si="52"/>
        <v>тыс. руб.</v>
      </c>
      <c r="H45" s="10"/>
      <c r="I45" s="23">
        <f t="shared" ca="1" si="53"/>
        <v>-38547379.439622067</v>
      </c>
      <c r="J45" s="10"/>
      <c r="K45" s="10"/>
      <c r="L45" s="10">
        <f t="shared" ref="L45:AQ45" ca="1" si="57">SUMIF(Year,L$6,COGS_PL)</f>
        <v>0</v>
      </c>
      <c r="M45" s="10">
        <f t="shared" ca="1" si="57"/>
        <v>0</v>
      </c>
      <c r="N45" s="10">
        <f t="shared" ca="1" si="57"/>
        <v>0</v>
      </c>
      <c r="O45" s="10">
        <f t="shared" ca="1" si="57"/>
        <v>0</v>
      </c>
      <c r="P45" s="10">
        <f t="shared" ca="1" si="57"/>
        <v>-1039501.0183059516</v>
      </c>
      <c r="Q45" s="10">
        <f t="shared" ca="1" si="57"/>
        <v>-1491984.6059361524</v>
      </c>
      <c r="R45" s="10">
        <f t="shared" ca="1" si="57"/>
        <v>-1748195.3846715412</v>
      </c>
      <c r="S45" s="10">
        <f t="shared" ca="1" si="57"/>
        <v>-1988511.0776680228</v>
      </c>
      <c r="T45" s="10">
        <f t="shared" ca="1" si="57"/>
        <v>-2073593.4893246386</v>
      </c>
      <c r="U45" s="10">
        <f t="shared" ca="1" si="57"/>
        <v>-2132604.0038425792</v>
      </c>
      <c r="V45" s="10">
        <f t="shared" ca="1" si="57"/>
        <v>-2212426.1091718948</v>
      </c>
      <c r="W45" s="10">
        <f t="shared" ca="1" si="57"/>
        <v>-2305535.1925638048</v>
      </c>
      <c r="X45" s="10">
        <f t="shared" ca="1" si="57"/>
        <v>-2392960.0796803208</v>
      </c>
      <c r="Y45" s="10">
        <f t="shared" ca="1" si="57"/>
        <v>-2488678.4828675333</v>
      </c>
      <c r="Z45" s="10">
        <f t="shared" ca="1" si="57"/>
        <v>-2588225.6221822342</v>
      </c>
      <c r="AA45" s="10">
        <f t="shared" ca="1" si="57"/>
        <v>-2697150.0804020134</v>
      </c>
      <c r="AB45" s="10">
        <f t="shared" ca="1" si="57"/>
        <v>-2799424.8329523038</v>
      </c>
      <c r="AC45" s="10">
        <f t="shared" ca="1" si="57"/>
        <v>-2911401.8262703959</v>
      </c>
      <c r="AD45" s="10">
        <f t="shared" ca="1" si="57"/>
        <v>-3027857.8993212106</v>
      </c>
      <c r="AE45" s="10">
        <f t="shared" ca="1" si="57"/>
        <v>-3155284.1091629835</v>
      </c>
      <c r="AF45" s="10">
        <f t="shared" ca="1" si="57"/>
        <v>-1494045.6252984875</v>
      </c>
      <c r="AG45" s="10">
        <f t="shared" si="57"/>
        <v>0</v>
      </c>
      <c r="AH45" s="10">
        <f t="shared" si="57"/>
        <v>0</v>
      </c>
      <c r="AI45" s="10">
        <f t="shared" si="57"/>
        <v>0</v>
      </c>
      <c r="AJ45" s="10">
        <f t="shared" si="57"/>
        <v>0</v>
      </c>
      <c r="AK45" s="10">
        <f t="shared" si="57"/>
        <v>0</v>
      </c>
      <c r="AL45" s="10">
        <f t="shared" si="57"/>
        <v>0</v>
      </c>
      <c r="AM45" s="10">
        <f t="shared" si="57"/>
        <v>0</v>
      </c>
      <c r="AN45" s="10">
        <f t="shared" si="57"/>
        <v>0</v>
      </c>
      <c r="AO45" s="10">
        <f t="shared" si="57"/>
        <v>0</v>
      </c>
      <c r="AP45" s="10">
        <f t="shared" si="57"/>
        <v>0</v>
      </c>
      <c r="AQ45" s="10">
        <f t="shared" si="57"/>
        <v>0</v>
      </c>
      <c r="AR45" s="10">
        <f t="shared" ref="AR45:BW45" si="58">SUMIF(Year,AR$6,COGS_PL)</f>
        <v>0</v>
      </c>
      <c r="AS45" s="10">
        <f t="shared" si="58"/>
        <v>0</v>
      </c>
      <c r="AT45" s="10">
        <f t="shared" si="58"/>
        <v>0</v>
      </c>
      <c r="AU45" s="10">
        <f t="shared" si="58"/>
        <v>0</v>
      </c>
      <c r="AV45" s="10">
        <f t="shared" si="58"/>
        <v>0</v>
      </c>
      <c r="AW45" s="10">
        <f t="shared" si="58"/>
        <v>0</v>
      </c>
      <c r="AX45" s="10">
        <f t="shared" si="58"/>
        <v>0</v>
      </c>
      <c r="AY45" s="10">
        <f t="shared" si="58"/>
        <v>0</v>
      </c>
      <c r="AZ45" s="10">
        <f t="shared" si="58"/>
        <v>0</v>
      </c>
      <c r="BA45" s="10">
        <f t="shared" si="58"/>
        <v>0</v>
      </c>
      <c r="BB45" s="10">
        <f t="shared" si="58"/>
        <v>0</v>
      </c>
      <c r="BC45" s="10">
        <f t="shared" si="58"/>
        <v>0</v>
      </c>
      <c r="BD45" s="10">
        <f t="shared" si="58"/>
        <v>0</v>
      </c>
      <c r="BE45" s="10">
        <f t="shared" si="58"/>
        <v>0</v>
      </c>
      <c r="BF45" s="10">
        <f t="shared" si="58"/>
        <v>0</v>
      </c>
      <c r="BG45" s="10">
        <f t="shared" si="58"/>
        <v>0</v>
      </c>
      <c r="BH45" s="10">
        <f t="shared" si="58"/>
        <v>0</v>
      </c>
      <c r="BI45" s="10">
        <f t="shared" si="58"/>
        <v>0</v>
      </c>
      <c r="BJ45" s="10">
        <f t="shared" si="58"/>
        <v>0</v>
      </c>
      <c r="BK45" s="10">
        <f t="shared" si="58"/>
        <v>0</v>
      </c>
      <c r="BL45" s="10">
        <f t="shared" si="58"/>
        <v>0</v>
      </c>
      <c r="BM45" s="10">
        <f t="shared" si="58"/>
        <v>0</v>
      </c>
      <c r="BN45" s="10">
        <f t="shared" si="58"/>
        <v>0</v>
      </c>
      <c r="BO45" s="10">
        <f t="shared" si="58"/>
        <v>0</v>
      </c>
      <c r="BP45" s="10">
        <f t="shared" si="58"/>
        <v>0</v>
      </c>
      <c r="BQ45" s="10">
        <f t="shared" si="58"/>
        <v>0</v>
      </c>
      <c r="BR45" s="10">
        <f t="shared" si="58"/>
        <v>0</v>
      </c>
      <c r="BS45" s="10">
        <f t="shared" si="58"/>
        <v>0</v>
      </c>
      <c r="BT45" s="10">
        <f t="shared" si="58"/>
        <v>0</v>
      </c>
      <c r="BU45" s="10">
        <f t="shared" si="58"/>
        <v>0</v>
      </c>
      <c r="BV45" s="10">
        <f t="shared" si="58"/>
        <v>0</v>
      </c>
      <c r="BW45" s="10">
        <f t="shared" si="58"/>
        <v>0</v>
      </c>
      <c r="BX45" s="10">
        <f t="shared" ref="BX45:CO45" si="59">SUMIF(Year,BX$6,COGS_PL)</f>
        <v>0</v>
      </c>
      <c r="BY45" s="10">
        <f t="shared" si="59"/>
        <v>0</v>
      </c>
      <c r="BZ45" s="10">
        <f t="shared" si="59"/>
        <v>0</v>
      </c>
      <c r="CA45" s="10">
        <f t="shared" si="59"/>
        <v>0</v>
      </c>
      <c r="CB45" s="10">
        <f t="shared" si="59"/>
        <v>0</v>
      </c>
      <c r="CC45" s="10">
        <f t="shared" si="59"/>
        <v>0</v>
      </c>
      <c r="CD45" s="10">
        <f t="shared" si="59"/>
        <v>0</v>
      </c>
      <c r="CE45" s="10">
        <f t="shared" si="59"/>
        <v>0</v>
      </c>
      <c r="CF45" s="10">
        <f t="shared" si="59"/>
        <v>0</v>
      </c>
      <c r="CG45" s="10">
        <f t="shared" si="59"/>
        <v>0</v>
      </c>
      <c r="CH45" s="10">
        <f t="shared" si="59"/>
        <v>0</v>
      </c>
      <c r="CI45" s="10">
        <f t="shared" si="59"/>
        <v>0</v>
      </c>
      <c r="CJ45" s="10">
        <f t="shared" si="59"/>
        <v>0</v>
      </c>
      <c r="CK45" s="10">
        <f t="shared" si="59"/>
        <v>0</v>
      </c>
      <c r="CL45" s="10">
        <f t="shared" si="59"/>
        <v>0</v>
      </c>
      <c r="CM45" s="10">
        <f t="shared" si="59"/>
        <v>0</v>
      </c>
      <c r="CN45" s="10">
        <f t="shared" si="59"/>
        <v>0</v>
      </c>
      <c r="CO45" s="10">
        <f t="shared" si="59"/>
        <v>0</v>
      </c>
    </row>
    <row r="46" spans="1:93" s="133" customFormat="1" ht="14.5" thickTop="1">
      <c r="A46" s="10"/>
      <c r="B46" s="10"/>
      <c r="C46" s="49" t="s">
        <v>135</v>
      </c>
      <c r="D46" s="136"/>
      <c r="E46" s="136"/>
      <c r="F46" s="136"/>
      <c r="G46" s="137" t="str">
        <f t="shared" si="52"/>
        <v>тыс. руб.</v>
      </c>
      <c r="H46" s="136"/>
      <c r="I46" s="23">
        <f t="shared" ca="1" si="53"/>
        <v>16302707.080215143</v>
      </c>
      <c r="J46" s="136"/>
      <c r="K46" s="136"/>
      <c r="L46" s="49">
        <f t="shared" ref="L46:BW46" ca="1" si="60">SUM(L44:L45)</f>
        <v>0</v>
      </c>
      <c r="M46" s="49">
        <f t="shared" ca="1" si="60"/>
        <v>0</v>
      </c>
      <c r="N46" s="49">
        <f t="shared" ca="1" si="60"/>
        <v>0</v>
      </c>
      <c r="O46" s="49">
        <f t="shared" ca="1" si="60"/>
        <v>0</v>
      </c>
      <c r="P46" s="49">
        <f t="shared" ca="1" si="60"/>
        <v>615554.62877606379</v>
      </c>
      <c r="Q46" s="49">
        <f t="shared" ca="1" si="60"/>
        <v>883565.69221153995</v>
      </c>
      <c r="R46" s="49">
        <f t="shared" ca="1" si="60"/>
        <v>1035492.1198554363</v>
      </c>
      <c r="S46" s="49">
        <f t="shared" ca="1" si="60"/>
        <v>1177987.1522037582</v>
      </c>
      <c r="T46" s="49">
        <f t="shared" ca="1" si="60"/>
        <v>1228394.1053028936</v>
      </c>
      <c r="U46" s="49">
        <f t="shared" ca="1" si="60"/>
        <v>881427.16590753756</v>
      </c>
      <c r="V46" s="49">
        <f t="shared" ca="1" si="60"/>
        <v>825954.45193110313</v>
      </c>
      <c r="W46" s="49">
        <f t="shared" ca="1" si="60"/>
        <v>860717.7451947704</v>
      </c>
      <c r="X46" s="49">
        <f t="shared" ca="1" si="60"/>
        <v>893352.33520868048</v>
      </c>
      <c r="Y46" s="49">
        <f t="shared" ca="1" si="60"/>
        <v>929086.42861702759</v>
      </c>
      <c r="Z46" s="49">
        <f t="shared" ca="1" si="60"/>
        <v>966249.88576170849</v>
      </c>
      <c r="AA46" s="49">
        <f t="shared" ca="1" si="60"/>
        <v>1006918.021960001</v>
      </c>
      <c r="AB46" s="49">
        <f t="shared" ca="1" si="60"/>
        <v>1045095.8764398634</v>
      </c>
      <c r="AC46" s="49">
        <f t="shared" ca="1" si="60"/>
        <v>1086899.7114974582</v>
      </c>
      <c r="AD46" s="49">
        <f t="shared" ca="1" si="60"/>
        <v>1130375.6999573573</v>
      </c>
      <c r="AE46" s="49">
        <f t="shared" ca="1" si="60"/>
        <v>1177951.6672081733</v>
      </c>
      <c r="AF46" s="49">
        <f t="shared" ca="1" si="60"/>
        <v>557684.39218177064</v>
      </c>
      <c r="AG46" s="49">
        <f t="shared" si="60"/>
        <v>0</v>
      </c>
      <c r="AH46" s="49">
        <f t="shared" si="60"/>
        <v>0</v>
      </c>
      <c r="AI46" s="49">
        <f t="shared" si="60"/>
        <v>0</v>
      </c>
      <c r="AJ46" s="49">
        <f t="shared" si="60"/>
        <v>0</v>
      </c>
      <c r="AK46" s="49">
        <f t="shared" si="60"/>
        <v>0</v>
      </c>
      <c r="AL46" s="49">
        <f t="shared" si="60"/>
        <v>0</v>
      </c>
      <c r="AM46" s="49">
        <f t="shared" si="60"/>
        <v>0</v>
      </c>
      <c r="AN46" s="49">
        <f t="shared" si="60"/>
        <v>0</v>
      </c>
      <c r="AO46" s="49">
        <f t="shared" si="60"/>
        <v>0</v>
      </c>
      <c r="AP46" s="49">
        <f t="shared" si="60"/>
        <v>0</v>
      </c>
      <c r="AQ46" s="49">
        <f t="shared" si="60"/>
        <v>0</v>
      </c>
      <c r="AR46" s="49">
        <f t="shared" si="60"/>
        <v>0</v>
      </c>
      <c r="AS46" s="49">
        <f t="shared" si="60"/>
        <v>0</v>
      </c>
      <c r="AT46" s="49">
        <f t="shared" si="60"/>
        <v>0</v>
      </c>
      <c r="AU46" s="49">
        <f t="shared" si="60"/>
        <v>0</v>
      </c>
      <c r="AV46" s="49">
        <f t="shared" si="60"/>
        <v>0</v>
      </c>
      <c r="AW46" s="49">
        <f t="shared" si="60"/>
        <v>0</v>
      </c>
      <c r="AX46" s="49">
        <f t="shared" si="60"/>
        <v>0</v>
      </c>
      <c r="AY46" s="49">
        <f t="shared" si="60"/>
        <v>0</v>
      </c>
      <c r="AZ46" s="49">
        <f t="shared" si="60"/>
        <v>0</v>
      </c>
      <c r="BA46" s="49">
        <f t="shared" si="60"/>
        <v>0</v>
      </c>
      <c r="BB46" s="49">
        <f t="shared" si="60"/>
        <v>0</v>
      </c>
      <c r="BC46" s="49">
        <f t="shared" si="60"/>
        <v>0</v>
      </c>
      <c r="BD46" s="49">
        <f t="shared" si="60"/>
        <v>0</v>
      </c>
      <c r="BE46" s="49">
        <f t="shared" si="60"/>
        <v>0</v>
      </c>
      <c r="BF46" s="49">
        <f t="shared" si="60"/>
        <v>0</v>
      </c>
      <c r="BG46" s="49">
        <f t="shared" si="60"/>
        <v>0</v>
      </c>
      <c r="BH46" s="49">
        <f t="shared" si="60"/>
        <v>0</v>
      </c>
      <c r="BI46" s="49">
        <f t="shared" si="60"/>
        <v>0</v>
      </c>
      <c r="BJ46" s="49">
        <f t="shared" si="60"/>
        <v>0</v>
      </c>
      <c r="BK46" s="49">
        <f t="shared" si="60"/>
        <v>0</v>
      </c>
      <c r="BL46" s="49">
        <f t="shared" si="60"/>
        <v>0</v>
      </c>
      <c r="BM46" s="49">
        <f t="shared" si="60"/>
        <v>0</v>
      </c>
      <c r="BN46" s="49">
        <f t="shared" si="60"/>
        <v>0</v>
      </c>
      <c r="BO46" s="49">
        <f t="shared" si="60"/>
        <v>0</v>
      </c>
      <c r="BP46" s="49">
        <f t="shared" si="60"/>
        <v>0</v>
      </c>
      <c r="BQ46" s="49">
        <f t="shared" si="60"/>
        <v>0</v>
      </c>
      <c r="BR46" s="49">
        <f t="shared" si="60"/>
        <v>0</v>
      </c>
      <c r="BS46" s="49">
        <f t="shared" si="60"/>
        <v>0</v>
      </c>
      <c r="BT46" s="49">
        <f t="shared" si="60"/>
        <v>0</v>
      </c>
      <c r="BU46" s="49">
        <f t="shared" si="60"/>
        <v>0</v>
      </c>
      <c r="BV46" s="49">
        <f t="shared" si="60"/>
        <v>0</v>
      </c>
      <c r="BW46" s="49">
        <f t="shared" si="60"/>
        <v>0</v>
      </c>
      <c r="BX46" s="49">
        <f t="shared" ref="BX46:CO46" si="61">SUM(BX44:BX45)</f>
        <v>0</v>
      </c>
      <c r="BY46" s="49">
        <f t="shared" si="61"/>
        <v>0</v>
      </c>
      <c r="BZ46" s="49">
        <f t="shared" si="61"/>
        <v>0</v>
      </c>
      <c r="CA46" s="49">
        <f t="shared" si="61"/>
        <v>0</v>
      </c>
      <c r="CB46" s="49">
        <f t="shared" si="61"/>
        <v>0</v>
      </c>
      <c r="CC46" s="49">
        <f t="shared" si="61"/>
        <v>0</v>
      </c>
      <c r="CD46" s="49">
        <f t="shared" si="61"/>
        <v>0</v>
      </c>
      <c r="CE46" s="49">
        <f t="shared" si="61"/>
        <v>0</v>
      </c>
      <c r="CF46" s="49">
        <f t="shared" si="61"/>
        <v>0</v>
      </c>
      <c r="CG46" s="49">
        <f t="shared" si="61"/>
        <v>0</v>
      </c>
      <c r="CH46" s="49">
        <f t="shared" si="61"/>
        <v>0</v>
      </c>
      <c r="CI46" s="49">
        <f t="shared" si="61"/>
        <v>0</v>
      </c>
      <c r="CJ46" s="49">
        <f t="shared" si="61"/>
        <v>0</v>
      </c>
      <c r="CK46" s="49">
        <f t="shared" si="61"/>
        <v>0</v>
      </c>
      <c r="CL46" s="49">
        <f t="shared" si="61"/>
        <v>0</v>
      </c>
      <c r="CM46" s="49">
        <f t="shared" si="61"/>
        <v>0</v>
      </c>
      <c r="CN46" s="49">
        <f t="shared" si="61"/>
        <v>0</v>
      </c>
      <c r="CO46" s="49">
        <f t="shared" si="61"/>
        <v>0</v>
      </c>
    </row>
    <row r="47" spans="1:93" s="133" customFormat="1" ht="14.5" thickBot="1">
      <c r="A47" s="10"/>
      <c r="B47" s="10"/>
      <c r="C47" s="17" t="s">
        <v>751</v>
      </c>
      <c r="D47" s="10"/>
      <c r="E47" s="10"/>
      <c r="F47" s="10"/>
      <c r="G47" s="134" t="str">
        <f t="shared" si="52"/>
        <v>тыс. руб.</v>
      </c>
      <c r="H47" s="10"/>
      <c r="I47" s="23">
        <f t="shared" ca="1" si="53"/>
        <v>-234399.59558506208</v>
      </c>
      <c r="J47" s="10"/>
      <c r="K47" s="10"/>
      <c r="L47" s="10">
        <f t="shared" ref="L47:AQ47" ca="1" si="62">SUMIF(Year,L$6,SGA_PL)</f>
        <v>0</v>
      </c>
      <c r="M47" s="10">
        <f t="shared" ca="1" si="62"/>
        <v>0</v>
      </c>
      <c r="N47" s="10">
        <f t="shared" ca="1" si="62"/>
        <v>0</v>
      </c>
      <c r="O47" s="10">
        <f t="shared" ca="1" si="62"/>
        <v>0</v>
      </c>
      <c r="P47" s="10">
        <f t="shared" ca="1" si="62"/>
        <v>-10868.300250529772</v>
      </c>
      <c r="Q47" s="10">
        <f t="shared" ca="1" si="62"/>
        <v>-14425.198514339516</v>
      </c>
      <c r="R47" s="10">
        <f t="shared" ca="1" si="62"/>
        <v>-14425.198514339516</v>
      </c>
      <c r="S47" s="10">
        <f t="shared" ca="1" si="62"/>
        <v>-14425.198514339514</v>
      </c>
      <c r="T47" s="10">
        <f t="shared" ca="1" si="62"/>
        <v>-14425.198514339516</v>
      </c>
      <c r="U47" s="10">
        <f t="shared" ca="1" si="62"/>
        <v>-14425.198514339516</v>
      </c>
      <c r="V47" s="10">
        <f t="shared" ca="1" si="62"/>
        <v>-14425.198514339516</v>
      </c>
      <c r="W47" s="10">
        <f t="shared" ca="1" si="62"/>
        <v>-14425.198514339514</v>
      </c>
      <c r="X47" s="10">
        <f t="shared" ca="1" si="62"/>
        <v>-14425.198514339516</v>
      </c>
      <c r="Y47" s="10">
        <f t="shared" ca="1" si="62"/>
        <v>-14425.198514339516</v>
      </c>
      <c r="Z47" s="10">
        <f t="shared" ca="1" si="62"/>
        <v>-14425.198514339516</v>
      </c>
      <c r="AA47" s="10">
        <f t="shared" ca="1" si="62"/>
        <v>-14425.198514339514</v>
      </c>
      <c r="AB47" s="10">
        <f t="shared" ca="1" si="62"/>
        <v>-14425.198514339516</v>
      </c>
      <c r="AC47" s="10">
        <f t="shared" ca="1" si="62"/>
        <v>-14425.198514339516</v>
      </c>
      <c r="AD47" s="10">
        <f t="shared" ca="1" si="62"/>
        <v>-14425.198514339516</v>
      </c>
      <c r="AE47" s="10">
        <f t="shared" ca="1" si="62"/>
        <v>-14425.198514339514</v>
      </c>
      <c r="AF47" s="10">
        <f t="shared" ca="1" si="62"/>
        <v>-7153.3176194395946</v>
      </c>
      <c r="AG47" s="10">
        <f t="shared" si="62"/>
        <v>0</v>
      </c>
      <c r="AH47" s="10">
        <f t="shared" si="62"/>
        <v>0</v>
      </c>
      <c r="AI47" s="10">
        <f t="shared" si="62"/>
        <v>0</v>
      </c>
      <c r="AJ47" s="10">
        <f t="shared" si="62"/>
        <v>0</v>
      </c>
      <c r="AK47" s="10">
        <f t="shared" si="62"/>
        <v>0</v>
      </c>
      <c r="AL47" s="10">
        <f t="shared" si="62"/>
        <v>0</v>
      </c>
      <c r="AM47" s="10">
        <f t="shared" si="62"/>
        <v>0</v>
      </c>
      <c r="AN47" s="10">
        <f t="shared" si="62"/>
        <v>0</v>
      </c>
      <c r="AO47" s="10">
        <f t="shared" si="62"/>
        <v>0</v>
      </c>
      <c r="AP47" s="10">
        <f t="shared" si="62"/>
        <v>0</v>
      </c>
      <c r="AQ47" s="10">
        <f t="shared" si="62"/>
        <v>0</v>
      </c>
      <c r="AR47" s="10">
        <f t="shared" ref="AR47:BW47" si="63">SUMIF(Year,AR$6,SGA_PL)</f>
        <v>0</v>
      </c>
      <c r="AS47" s="10">
        <f t="shared" si="63"/>
        <v>0</v>
      </c>
      <c r="AT47" s="10">
        <f t="shared" si="63"/>
        <v>0</v>
      </c>
      <c r="AU47" s="10">
        <f t="shared" si="63"/>
        <v>0</v>
      </c>
      <c r="AV47" s="10">
        <f t="shared" si="63"/>
        <v>0</v>
      </c>
      <c r="AW47" s="10">
        <f t="shared" si="63"/>
        <v>0</v>
      </c>
      <c r="AX47" s="10">
        <f t="shared" si="63"/>
        <v>0</v>
      </c>
      <c r="AY47" s="10">
        <f t="shared" si="63"/>
        <v>0</v>
      </c>
      <c r="AZ47" s="10">
        <f t="shared" si="63"/>
        <v>0</v>
      </c>
      <c r="BA47" s="10">
        <f t="shared" si="63"/>
        <v>0</v>
      </c>
      <c r="BB47" s="10">
        <f t="shared" si="63"/>
        <v>0</v>
      </c>
      <c r="BC47" s="10">
        <f t="shared" si="63"/>
        <v>0</v>
      </c>
      <c r="BD47" s="10">
        <f t="shared" si="63"/>
        <v>0</v>
      </c>
      <c r="BE47" s="10">
        <f t="shared" si="63"/>
        <v>0</v>
      </c>
      <c r="BF47" s="10">
        <f t="shared" si="63"/>
        <v>0</v>
      </c>
      <c r="BG47" s="10">
        <f t="shared" si="63"/>
        <v>0</v>
      </c>
      <c r="BH47" s="10">
        <f t="shared" si="63"/>
        <v>0</v>
      </c>
      <c r="BI47" s="10">
        <f t="shared" si="63"/>
        <v>0</v>
      </c>
      <c r="BJ47" s="10">
        <f t="shared" si="63"/>
        <v>0</v>
      </c>
      <c r="BK47" s="10">
        <f t="shared" si="63"/>
        <v>0</v>
      </c>
      <c r="BL47" s="10">
        <f t="shared" si="63"/>
        <v>0</v>
      </c>
      <c r="BM47" s="10">
        <f t="shared" si="63"/>
        <v>0</v>
      </c>
      <c r="BN47" s="10">
        <f t="shared" si="63"/>
        <v>0</v>
      </c>
      <c r="BO47" s="10">
        <f t="shared" si="63"/>
        <v>0</v>
      </c>
      <c r="BP47" s="10">
        <f t="shared" si="63"/>
        <v>0</v>
      </c>
      <c r="BQ47" s="10">
        <f t="shared" si="63"/>
        <v>0</v>
      </c>
      <c r="BR47" s="10">
        <f t="shared" si="63"/>
        <v>0</v>
      </c>
      <c r="BS47" s="10">
        <f t="shared" si="63"/>
        <v>0</v>
      </c>
      <c r="BT47" s="10">
        <f t="shared" si="63"/>
        <v>0</v>
      </c>
      <c r="BU47" s="10">
        <f t="shared" si="63"/>
        <v>0</v>
      </c>
      <c r="BV47" s="10">
        <f t="shared" si="63"/>
        <v>0</v>
      </c>
      <c r="BW47" s="10">
        <f t="shared" si="63"/>
        <v>0</v>
      </c>
      <c r="BX47" s="10">
        <f t="shared" ref="BX47:CO47" si="64">SUMIF(Year,BX$6,SGA_PL)</f>
        <v>0</v>
      </c>
      <c r="BY47" s="10">
        <f t="shared" si="64"/>
        <v>0</v>
      </c>
      <c r="BZ47" s="10">
        <f t="shared" si="64"/>
        <v>0</v>
      </c>
      <c r="CA47" s="10">
        <f t="shared" si="64"/>
        <v>0</v>
      </c>
      <c r="CB47" s="10">
        <f t="shared" si="64"/>
        <v>0</v>
      </c>
      <c r="CC47" s="10">
        <f t="shared" si="64"/>
        <v>0</v>
      </c>
      <c r="CD47" s="10">
        <f t="shared" si="64"/>
        <v>0</v>
      </c>
      <c r="CE47" s="10">
        <f t="shared" si="64"/>
        <v>0</v>
      </c>
      <c r="CF47" s="10">
        <f t="shared" si="64"/>
        <v>0</v>
      </c>
      <c r="CG47" s="10">
        <f t="shared" si="64"/>
        <v>0</v>
      </c>
      <c r="CH47" s="10">
        <f t="shared" si="64"/>
        <v>0</v>
      </c>
      <c r="CI47" s="10">
        <f t="shared" si="64"/>
        <v>0</v>
      </c>
      <c r="CJ47" s="10">
        <f t="shared" si="64"/>
        <v>0</v>
      </c>
      <c r="CK47" s="10">
        <f t="shared" si="64"/>
        <v>0</v>
      </c>
      <c r="CL47" s="10">
        <f t="shared" si="64"/>
        <v>0</v>
      </c>
      <c r="CM47" s="10">
        <f t="shared" si="64"/>
        <v>0</v>
      </c>
      <c r="CN47" s="10">
        <f t="shared" si="64"/>
        <v>0</v>
      </c>
      <c r="CO47" s="10">
        <f t="shared" si="64"/>
        <v>0</v>
      </c>
    </row>
    <row r="48" spans="1:93" s="133" customFormat="1" ht="14.5" thickTop="1">
      <c r="A48" s="10"/>
      <c r="B48" s="10"/>
      <c r="C48" s="49" t="s">
        <v>765</v>
      </c>
      <c r="D48" s="136"/>
      <c r="E48" s="136"/>
      <c r="F48" s="136"/>
      <c r="G48" s="137" t="str">
        <f t="shared" si="52"/>
        <v>тыс. руб.</v>
      </c>
      <c r="H48" s="136"/>
      <c r="I48" s="23">
        <f t="shared" ca="1" si="53"/>
        <v>16068307.48463008</v>
      </c>
      <c r="J48" s="136"/>
      <c r="K48" s="136"/>
      <c r="L48" s="49">
        <f ca="1">SUM(L46:L47)</f>
        <v>0</v>
      </c>
      <c r="M48" s="49">
        <f t="shared" ref="M48:BX48" ca="1" si="65">SUM(M46:M47)</f>
        <v>0</v>
      </c>
      <c r="N48" s="49">
        <f t="shared" ca="1" si="65"/>
        <v>0</v>
      </c>
      <c r="O48" s="49">
        <f t="shared" ca="1" si="65"/>
        <v>0</v>
      </c>
      <c r="P48" s="49">
        <f t="shared" ca="1" si="65"/>
        <v>604686.32852553402</v>
      </c>
      <c r="Q48" s="49">
        <f t="shared" ca="1" si="65"/>
        <v>869140.49369720044</v>
      </c>
      <c r="R48" s="49">
        <f t="shared" ca="1" si="65"/>
        <v>1021066.9213410967</v>
      </c>
      <c r="S48" s="49">
        <f t="shared" ca="1" si="65"/>
        <v>1163561.9536894187</v>
      </c>
      <c r="T48" s="49">
        <f t="shared" ca="1" si="65"/>
        <v>1213968.906788554</v>
      </c>
      <c r="U48" s="49">
        <f t="shared" ca="1" si="65"/>
        <v>867001.96739319805</v>
      </c>
      <c r="V48" s="49">
        <f t="shared" ca="1" si="65"/>
        <v>811529.25341676362</v>
      </c>
      <c r="W48" s="49">
        <f t="shared" ca="1" si="65"/>
        <v>846292.54668043088</v>
      </c>
      <c r="X48" s="49">
        <f t="shared" ca="1" si="65"/>
        <v>878927.13669434097</v>
      </c>
      <c r="Y48" s="49">
        <f t="shared" ca="1" si="65"/>
        <v>914661.23010268807</v>
      </c>
      <c r="Z48" s="49">
        <f t="shared" ca="1" si="65"/>
        <v>951824.68724736897</v>
      </c>
      <c r="AA48" s="49">
        <f t="shared" ca="1" si="65"/>
        <v>992492.82344566146</v>
      </c>
      <c r="AB48" s="49">
        <f t="shared" ca="1" si="65"/>
        <v>1030670.6779255238</v>
      </c>
      <c r="AC48" s="49">
        <f t="shared" ca="1" si="65"/>
        <v>1072474.5129831186</v>
      </c>
      <c r="AD48" s="49">
        <f t="shared" ca="1" si="65"/>
        <v>1115950.5014430177</v>
      </c>
      <c r="AE48" s="49">
        <f t="shared" ca="1" si="65"/>
        <v>1163526.4686938338</v>
      </c>
      <c r="AF48" s="49">
        <f t="shared" ca="1" si="65"/>
        <v>550531.07456233108</v>
      </c>
      <c r="AG48" s="49">
        <f t="shared" si="65"/>
        <v>0</v>
      </c>
      <c r="AH48" s="49">
        <f t="shared" si="65"/>
        <v>0</v>
      </c>
      <c r="AI48" s="49">
        <f t="shared" si="65"/>
        <v>0</v>
      </c>
      <c r="AJ48" s="49">
        <f t="shared" si="65"/>
        <v>0</v>
      </c>
      <c r="AK48" s="49">
        <f t="shared" si="65"/>
        <v>0</v>
      </c>
      <c r="AL48" s="49">
        <f t="shared" si="65"/>
        <v>0</v>
      </c>
      <c r="AM48" s="49">
        <f t="shared" si="65"/>
        <v>0</v>
      </c>
      <c r="AN48" s="49">
        <f t="shared" si="65"/>
        <v>0</v>
      </c>
      <c r="AO48" s="49">
        <f t="shared" si="65"/>
        <v>0</v>
      </c>
      <c r="AP48" s="49">
        <f t="shared" si="65"/>
        <v>0</v>
      </c>
      <c r="AQ48" s="49">
        <f t="shared" si="65"/>
        <v>0</v>
      </c>
      <c r="AR48" s="49">
        <f t="shared" si="65"/>
        <v>0</v>
      </c>
      <c r="AS48" s="49">
        <f t="shared" si="65"/>
        <v>0</v>
      </c>
      <c r="AT48" s="49">
        <f t="shared" si="65"/>
        <v>0</v>
      </c>
      <c r="AU48" s="49">
        <f t="shared" si="65"/>
        <v>0</v>
      </c>
      <c r="AV48" s="49">
        <f t="shared" si="65"/>
        <v>0</v>
      </c>
      <c r="AW48" s="49">
        <f t="shared" si="65"/>
        <v>0</v>
      </c>
      <c r="AX48" s="49">
        <f t="shared" si="65"/>
        <v>0</v>
      </c>
      <c r="AY48" s="49">
        <f t="shared" si="65"/>
        <v>0</v>
      </c>
      <c r="AZ48" s="49">
        <f t="shared" si="65"/>
        <v>0</v>
      </c>
      <c r="BA48" s="49">
        <f t="shared" si="65"/>
        <v>0</v>
      </c>
      <c r="BB48" s="49">
        <f t="shared" si="65"/>
        <v>0</v>
      </c>
      <c r="BC48" s="49">
        <f t="shared" si="65"/>
        <v>0</v>
      </c>
      <c r="BD48" s="49">
        <f t="shared" si="65"/>
        <v>0</v>
      </c>
      <c r="BE48" s="49">
        <f t="shared" si="65"/>
        <v>0</v>
      </c>
      <c r="BF48" s="49">
        <f t="shared" si="65"/>
        <v>0</v>
      </c>
      <c r="BG48" s="49">
        <f t="shared" si="65"/>
        <v>0</v>
      </c>
      <c r="BH48" s="49">
        <f t="shared" si="65"/>
        <v>0</v>
      </c>
      <c r="BI48" s="49">
        <f t="shared" si="65"/>
        <v>0</v>
      </c>
      <c r="BJ48" s="49">
        <f t="shared" si="65"/>
        <v>0</v>
      </c>
      <c r="BK48" s="49">
        <f t="shared" si="65"/>
        <v>0</v>
      </c>
      <c r="BL48" s="49">
        <f t="shared" si="65"/>
        <v>0</v>
      </c>
      <c r="BM48" s="49">
        <f t="shared" si="65"/>
        <v>0</v>
      </c>
      <c r="BN48" s="49">
        <f t="shared" si="65"/>
        <v>0</v>
      </c>
      <c r="BO48" s="49">
        <f t="shared" si="65"/>
        <v>0</v>
      </c>
      <c r="BP48" s="49">
        <f t="shared" si="65"/>
        <v>0</v>
      </c>
      <c r="BQ48" s="49">
        <f t="shared" si="65"/>
        <v>0</v>
      </c>
      <c r="BR48" s="49">
        <f t="shared" si="65"/>
        <v>0</v>
      </c>
      <c r="BS48" s="49">
        <f t="shared" si="65"/>
        <v>0</v>
      </c>
      <c r="BT48" s="49">
        <f t="shared" si="65"/>
        <v>0</v>
      </c>
      <c r="BU48" s="49">
        <f t="shared" si="65"/>
        <v>0</v>
      </c>
      <c r="BV48" s="49">
        <f t="shared" si="65"/>
        <v>0</v>
      </c>
      <c r="BW48" s="49">
        <f t="shared" si="65"/>
        <v>0</v>
      </c>
      <c r="BX48" s="49">
        <f t="shared" si="65"/>
        <v>0</v>
      </c>
      <c r="BY48" s="49">
        <f t="shared" ref="BY48:CO48" si="66">SUM(BY46:BY47)</f>
        <v>0</v>
      </c>
      <c r="BZ48" s="49">
        <f t="shared" si="66"/>
        <v>0</v>
      </c>
      <c r="CA48" s="49">
        <f t="shared" si="66"/>
        <v>0</v>
      </c>
      <c r="CB48" s="49">
        <f t="shared" si="66"/>
        <v>0</v>
      </c>
      <c r="CC48" s="49">
        <f t="shared" si="66"/>
        <v>0</v>
      </c>
      <c r="CD48" s="49">
        <f t="shared" si="66"/>
        <v>0</v>
      </c>
      <c r="CE48" s="49">
        <f t="shared" si="66"/>
        <v>0</v>
      </c>
      <c r="CF48" s="49">
        <f t="shared" si="66"/>
        <v>0</v>
      </c>
      <c r="CG48" s="49">
        <f t="shared" si="66"/>
        <v>0</v>
      </c>
      <c r="CH48" s="49">
        <f t="shared" si="66"/>
        <v>0</v>
      </c>
      <c r="CI48" s="49">
        <f t="shared" si="66"/>
        <v>0</v>
      </c>
      <c r="CJ48" s="49">
        <f t="shared" si="66"/>
        <v>0</v>
      </c>
      <c r="CK48" s="49">
        <f t="shared" si="66"/>
        <v>0</v>
      </c>
      <c r="CL48" s="49">
        <f t="shared" si="66"/>
        <v>0</v>
      </c>
      <c r="CM48" s="49">
        <f t="shared" si="66"/>
        <v>0</v>
      </c>
      <c r="CN48" s="49">
        <f t="shared" si="66"/>
        <v>0</v>
      </c>
      <c r="CO48" s="49">
        <f t="shared" si="66"/>
        <v>0</v>
      </c>
    </row>
    <row r="49" spans="1:93" s="133" customFormat="1" ht="14">
      <c r="A49" s="10"/>
      <c r="B49" s="10"/>
      <c r="C49" s="17" t="s">
        <v>138</v>
      </c>
      <c r="D49" s="10"/>
      <c r="E49" s="10"/>
      <c r="F49" s="10"/>
      <c r="G49" s="134" t="str">
        <f t="shared" si="52"/>
        <v>тыс. руб.</v>
      </c>
      <c r="H49" s="10"/>
      <c r="I49" s="23">
        <f t="shared" si="53"/>
        <v>0</v>
      </c>
      <c r="J49" s="10"/>
      <c r="K49" s="10"/>
      <c r="L49" s="52">
        <f t="shared" ref="L49:BW49" si="67">L50</f>
        <v>0</v>
      </c>
      <c r="M49" s="52">
        <f t="shared" si="67"/>
        <v>0</v>
      </c>
      <c r="N49" s="52">
        <f t="shared" si="67"/>
        <v>0</v>
      </c>
      <c r="O49" s="52">
        <f t="shared" si="67"/>
        <v>0</v>
      </c>
      <c r="P49" s="52">
        <f t="shared" si="67"/>
        <v>0</v>
      </c>
      <c r="Q49" s="52">
        <f t="shared" si="67"/>
        <v>0</v>
      </c>
      <c r="R49" s="52">
        <f t="shared" si="67"/>
        <v>0</v>
      </c>
      <c r="S49" s="52">
        <f t="shared" si="67"/>
        <v>0</v>
      </c>
      <c r="T49" s="52">
        <f t="shared" si="67"/>
        <v>0</v>
      </c>
      <c r="U49" s="52">
        <f t="shared" si="67"/>
        <v>0</v>
      </c>
      <c r="V49" s="52">
        <f t="shared" si="67"/>
        <v>0</v>
      </c>
      <c r="W49" s="52">
        <f t="shared" si="67"/>
        <v>0</v>
      </c>
      <c r="X49" s="52">
        <f t="shared" si="67"/>
        <v>0</v>
      </c>
      <c r="Y49" s="52">
        <f t="shared" si="67"/>
        <v>0</v>
      </c>
      <c r="Z49" s="52">
        <f t="shared" si="67"/>
        <v>0</v>
      </c>
      <c r="AA49" s="52">
        <f t="shared" si="67"/>
        <v>0</v>
      </c>
      <c r="AB49" s="52">
        <f t="shared" si="67"/>
        <v>0</v>
      </c>
      <c r="AC49" s="52">
        <f t="shared" si="67"/>
        <v>0</v>
      </c>
      <c r="AD49" s="52">
        <f t="shared" si="67"/>
        <v>0</v>
      </c>
      <c r="AE49" s="52">
        <f t="shared" si="67"/>
        <v>0</v>
      </c>
      <c r="AF49" s="52">
        <f t="shared" si="67"/>
        <v>0</v>
      </c>
      <c r="AG49" s="52">
        <f t="shared" si="67"/>
        <v>0</v>
      </c>
      <c r="AH49" s="52">
        <f t="shared" si="67"/>
        <v>0</v>
      </c>
      <c r="AI49" s="52">
        <f t="shared" si="67"/>
        <v>0</v>
      </c>
      <c r="AJ49" s="52">
        <f t="shared" si="67"/>
        <v>0</v>
      </c>
      <c r="AK49" s="52">
        <f t="shared" si="67"/>
        <v>0</v>
      </c>
      <c r="AL49" s="52">
        <f t="shared" si="67"/>
        <v>0</v>
      </c>
      <c r="AM49" s="52">
        <f t="shared" si="67"/>
        <v>0</v>
      </c>
      <c r="AN49" s="52">
        <f t="shared" si="67"/>
        <v>0</v>
      </c>
      <c r="AO49" s="52">
        <f t="shared" si="67"/>
        <v>0</v>
      </c>
      <c r="AP49" s="52">
        <f t="shared" si="67"/>
        <v>0</v>
      </c>
      <c r="AQ49" s="52">
        <f t="shared" si="67"/>
        <v>0</v>
      </c>
      <c r="AR49" s="52">
        <f t="shared" si="67"/>
        <v>0</v>
      </c>
      <c r="AS49" s="52">
        <f t="shared" si="67"/>
        <v>0</v>
      </c>
      <c r="AT49" s="52">
        <f t="shared" si="67"/>
        <v>0</v>
      </c>
      <c r="AU49" s="52">
        <f t="shared" si="67"/>
        <v>0</v>
      </c>
      <c r="AV49" s="52">
        <f t="shared" si="67"/>
        <v>0</v>
      </c>
      <c r="AW49" s="52">
        <f t="shared" si="67"/>
        <v>0</v>
      </c>
      <c r="AX49" s="52">
        <f t="shared" si="67"/>
        <v>0</v>
      </c>
      <c r="AY49" s="52">
        <f t="shared" si="67"/>
        <v>0</v>
      </c>
      <c r="AZ49" s="52">
        <f t="shared" si="67"/>
        <v>0</v>
      </c>
      <c r="BA49" s="52">
        <f t="shared" si="67"/>
        <v>0</v>
      </c>
      <c r="BB49" s="52">
        <f t="shared" si="67"/>
        <v>0</v>
      </c>
      <c r="BC49" s="52">
        <f t="shared" si="67"/>
        <v>0</v>
      </c>
      <c r="BD49" s="52">
        <f t="shared" si="67"/>
        <v>0</v>
      </c>
      <c r="BE49" s="52">
        <f t="shared" si="67"/>
        <v>0</v>
      </c>
      <c r="BF49" s="52">
        <f t="shared" si="67"/>
        <v>0</v>
      </c>
      <c r="BG49" s="52">
        <f t="shared" si="67"/>
        <v>0</v>
      </c>
      <c r="BH49" s="52">
        <f t="shared" si="67"/>
        <v>0</v>
      </c>
      <c r="BI49" s="52">
        <f t="shared" si="67"/>
        <v>0</v>
      </c>
      <c r="BJ49" s="52">
        <f t="shared" si="67"/>
        <v>0</v>
      </c>
      <c r="BK49" s="52">
        <f t="shared" si="67"/>
        <v>0</v>
      </c>
      <c r="BL49" s="52">
        <f t="shared" si="67"/>
        <v>0</v>
      </c>
      <c r="BM49" s="52">
        <f t="shared" si="67"/>
        <v>0</v>
      </c>
      <c r="BN49" s="52">
        <f t="shared" si="67"/>
        <v>0</v>
      </c>
      <c r="BO49" s="52">
        <f t="shared" si="67"/>
        <v>0</v>
      </c>
      <c r="BP49" s="52">
        <f t="shared" si="67"/>
        <v>0</v>
      </c>
      <c r="BQ49" s="52">
        <f t="shared" si="67"/>
        <v>0</v>
      </c>
      <c r="BR49" s="52">
        <f t="shared" si="67"/>
        <v>0</v>
      </c>
      <c r="BS49" s="52">
        <f t="shared" si="67"/>
        <v>0</v>
      </c>
      <c r="BT49" s="52">
        <f t="shared" si="67"/>
        <v>0</v>
      </c>
      <c r="BU49" s="52">
        <f t="shared" si="67"/>
        <v>0</v>
      </c>
      <c r="BV49" s="52">
        <f t="shared" si="67"/>
        <v>0</v>
      </c>
      <c r="BW49" s="52">
        <f t="shared" si="67"/>
        <v>0</v>
      </c>
      <c r="BX49" s="52">
        <f t="shared" ref="BX49:CO49" si="68">BX50</f>
        <v>0</v>
      </c>
      <c r="BY49" s="52">
        <f t="shared" si="68"/>
        <v>0</v>
      </c>
      <c r="BZ49" s="52">
        <f t="shared" si="68"/>
        <v>0</v>
      </c>
      <c r="CA49" s="52">
        <f t="shared" si="68"/>
        <v>0</v>
      </c>
      <c r="CB49" s="52">
        <f t="shared" si="68"/>
        <v>0</v>
      </c>
      <c r="CC49" s="52">
        <f t="shared" si="68"/>
        <v>0</v>
      </c>
      <c r="CD49" s="52">
        <f t="shared" si="68"/>
        <v>0</v>
      </c>
      <c r="CE49" s="52">
        <f t="shared" si="68"/>
        <v>0</v>
      </c>
      <c r="CF49" s="52">
        <f t="shared" si="68"/>
        <v>0</v>
      </c>
      <c r="CG49" s="52">
        <f t="shared" si="68"/>
        <v>0</v>
      </c>
      <c r="CH49" s="52">
        <f t="shared" si="68"/>
        <v>0</v>
      </c>
      <c r="CI49" s="52">
        <f t="shared" si="68"/>
        <v>0</v>
      </c>
      <c r="CJ49" s="52">
        <f t="shared" si="68"/>
        <v>0</v>
      </c>
      <c r="CK49" s="52">
        <f t="shared" si="68"/>
        <v>0</v>
      </c>
      <c r="CL49" s="52">
        <f t="shared" si="68"/>
        <v>0</v>
      </c>
      <c r="CM49" s="52">
        <f t="shared" si="68"/>
        <v>0</v>
      </c>
      <c r="CN49" s="52">
        <f t="shared" si="68"/>
        <v>0</v>
      </c>
      <c r="CO49" s="52">
        <f t="shared" si="68"/>
        <v>0</v>
      </c>
    </row>
    <row r="50" spans="1:93" s="133" customFormat="1" ht="14">
      <c r="A50" s="10"/>
      <c r="B50" s="10"/>
      <c r="C50" s="138" t="s">
        <v>56</v>
      </c>
      <c r="D50" s="10"/>
      <c r="E50" s="10"/>
      <c r="F50" s="10"/>
      <c r="G50" s="134" t="str">
        <f t="shared" si="52"/>
        <v>тыс. руб.</v>
      </c>
      <c r="H50" s="10"/>
      <c r="I50" s="23">
        <f t="shared" si="53"/>
        <v>0</v>
      </c>
      <c r="J50" s="10"/>
      <c r="K50" s="10"/>
      <c r="L50" s="10">
        <f>SUMIF(Year,L$6,Отчетность!$L50:$CO50)</f>
        <v>0</v>
      </c>
      <c r="M50" s="10">
        <f>SUMIF(Year,M$6,Отчетность!$L50:$CO50)</f>
        <v>0</v>
      </c>
      <c r="N50" s="10">
        <f>SUMIF(Year,N$6,Отчетность!$L50:$CO50)</f>
        <v>0</v>
      </c>
      <c r="O50" s="10">
        <f>SUMIF(Year,O$6,Отчетность!$L50:$CO50)</f>
        <v>0</v>
      </c>
      <c r="P50" s="10">
        <f>SUMIF(Year,P$6,Отчетность!$L50:$CO50)</f>
        <v>0</v>
      </c>
      <c r="Q50" s="10">
        <f>SUMIF(Year,Q$6,Отчетность!$L50:$CO50)</f>
        <v>0</v>
      </c>
      <c r="R50" s="10">
        <f>SUMIF(Year,R$6,Отчетность!$L50:$CO50)</f>
        <v>0</v>
      </c>
      <c r="S50" s="10">
        <f>SUMIF(Year,S$6,Отчетность!$L50:$CO50)</f>
        <v>0</v>
      </c>
      <c r="T50" s="10">
        <f>SUMIF(Year,T$6,Отчетность!$L50:$CO50)</f>
        <v>0</v>
      </c>
      <c r="U50" s="10">
        <f>SUMIF(Year,U$6,Отчетность!$L50:$CO50)</f>
        <v>0</v>
      </c>
      <c r="V50" s="10">
        <f>SUMIF(Year,V$6,Отчетность!$L50:$CO50)</f>
        <v>0</v>
      </c>
      <c r="W50" s="10">
        <f>SUMIF(Year,W$6,Отчетность!$L50:$CO50)</f>
        <v>0</v>
      </c>
      <c r="X50" s="10">
        <f>SUMIF(Year,X$6,Отчетность!$L50:$CO50)</f>
        <v>0</v>
      </c>
      <c r="Y50" s="10">
        <f>SUMIF(Year,Y$6,Отчетность!$L50:$CO50)</f>
        <v>0</v>
      </c>
      <c r="Z50" s="10">
        <f>SUMIF(Year,Z$6,Отчетность!$L50:$CO50)</f>
        <v>0</v>
      </c>
      <c r="AA50" s="10">
        <f>SUMIF(Year,AA$6,Отчетность!$L50:$CO50)</f>
        <v>0</v>
      </c>
      <c r="AB50" s="10">
        <f>SUMIF(Year,AB$6,Отчетность!$L50:$CO50)</f>
        <v>0</v>
      </c>
      <c r="AC50" s="10">
        <f>SUMIF(Year,AC$6,Отчетность!$L50:$CO50)</f>
        <v>0</v>
      </c>
      <c r="AD50" s="10">
        <f>SUMIF(Year,AD$6,Отчетность!$L50:$CO50)</f>
        <v>0</v>
      </c>
      <c r="AE50" s="10">
        <f>SUMIF(Year,AE$6,Отчетность!$L50:$CO50)</f>
        <v>0</v>
      </c>
      <c r="AF50" s="10">
        <f>SUMIF(Year,AF$6,Отчетность!$L50:$CO50)</f>
        <v>0</v>
      </c>
      <c r="AG50" s="10">
        <f>SUMIF(Year,AG$6,Отчетность!$L50:$CO50)</f>
        <v>0</v>
      </c>
      <c r="AH50" s="10">
        <f>SUMIF(Year,AH$6,Отчетность!$L50:$CO50)</f>
        <v>0</v>
      </c>
      <c r="AI50" s="10">
        <f>SUMIF(Year,AI$6,Отчетность!$L50:$CO50)</f>
        <v>0</v>
      </c>
      <c r="AJ50" s="10">
        <f>SUMIF(Year,AJ$6,Отчетность!$L50:$CO50)</f>
        <v>0</v>
      </c>
      <c r="AK50" s="10">
        <f>SUMIF(Year,AK$6,Отчетность!$L50:$CO50)</f>
        <v>0</v>
      </c>
      <c r="AL50" s="10">
        <f>SUMIF(Year,AL$6,Отчетность!$L50:$CO50)</f>
        <v>0</v>
      </c>
      <c r="AM50" s="10">
        <f>SUMIF(Year,AM$6,Отчетность!$L50:$CO50)</f>
        <v>0</v>
      </c>
      <c r="AN50" s="10">
        <f>SUMIF(Year,AN$6,Отчетность!$L50:$CO50)</f>
        <v>0</v>
      </c>
      <c r="AO50" s="10">
        <f>SUMIF(Year,AO$6,Отчетность!$L50:$CO50)</f>
        <v>0</v>
      </c>
      <c r="AP50" s="10">
        <f>SUMIF(Year,AP$6,Отчетность!$L50:$CO50)</f>
        <v>0</v>
      </c>
      <c r="AQ50" s="10">
        <f>SUMIF(Year,AQ$6,Отчетность!$L50:$CO50)</f>
        <v>0</v>
      </c>
      <c r="AR50" s="10">
        <f>SUMIF(Year,AR$6,Отчетность!$L50:$CO50)</f>
        <v>0</v>
      </c>
      <c r="AS50" s="10">
        <f>SUMIF(Year,AS$6,Отчетность!$L50:$CO50)</f>
        <v>0</v>
      </c>
      <c r="AT50" s="10">
        <f>SUMIF(Year,AT$6,Отчетность!$L50:$CO50)</f>
        <v>0</v>
      </c>
      <c r="AU50" s="10">
        <f>SUMIF(Year,AU$6,Отчетность!$L50:$CO50)</f>
        <v>0</v>
      </c>
      <c r="AV50" s="10">
        <f>SUMIF(Year,AV$6,Отчетность!$L50:$CO50)</f>
        <v>0</v>
      </c>
      <c r="AW50" s="10">
        <f>SUMIF(Year,AW$6,Отчетность!$L50:$CO50)</f>
        <v>0</v>
      </c>
      <c r="AX50" s="10">
        <f>SUMIF(Year,AX$6,Отчетность!$L50:$CO50)</f>
        <v>0</v>
      </c>
      <c r="AY50" s="10">
        <f>SUMIF(Year,AY$6,Отчетность!$L50:$CO50)</f>
        <v>0</v>
      </c>
      <c r="AZ50" s="10">
        <f>SUMIF(Year,AZ$6,Отчетность!$L50:$CO50)</f>
        <v>0</v>
      </c>
      <c r="BA50" s="10">
        <f>SUMIF(Year,BA$6,Отчетность!$L50:$CO50)</f>
        <v>0</v>
      </c>
      <c r="BB50" s="10">
        <f>SUMIF(Year,BB$6,Отчетность!$L50:$CO50)</f>
        <v>0</v>
      </c>
      <c r="BC50" s="10">
        <f>SUMIF(Year,BC$6,Отчетность!$L50:$CO50)</f>
        <v>0</v>
      </c>
      <c r="BD50" s="10">
        <f>SUMIF(Year,BD$6,Отчетность!$L50:$CO50)</f>
        <v>0</v>
      </c>
      <c r="BE50" s="10">
        <f>SUMIF(Year,BE$6,Отчетность!$L50:$CO50)</f>
        <v>0</v>
      </c>
      <c r="BF50" s="10">
        <f>SUMIF(Year,BF$6,Отчетность!$L50:$CO50)</f>
        <v>0</v>
      </c>
      <c r="BG50" s="10">
        <f>SUMIF(Year,BG$6,Отчетность!$L50:$CO50)</f>
        <v>0</v>
      </c>
      <c r="BH50" s="10">
        <f>SUMIF(Year,BH$6,Отчетность!$L50:$CO50)</f>
        <v>0</v>
      </c>
      <c r="BI50" s="10">
        <f>SUMIF(Year,BI$6,Отчетность!$L50:$CO50)</f>
        <v>0</v>
      </c>
      <c r="BJ50" s="10">
        <f>SUMIF(Year,BJ$6,Отчетность!$L50:$CO50)</f>
        <v>0</v>
      </c>
      <c r="BK50" s="10">
        <f>SUMIF(Year,BK$6,Отчетность!$L50:$CO50)</f>
        <v>0</v>
      </c>
      <c r="BL50" s="10">
        <f>SUMIF(Year,BL$6,Отчетность!$L50:$CO50)</f>
        <v>0</v>
      </c>
      <c r="BM50" s="10">
        <f>SUMIF(Year,BM$6,Отчетность!$L50:$CO50)</f>
        <v>0</v>
      </c>
      <c r="BN50" s="10">
        <f>SUMIF(Year,BN$6,Отчетность!$L50:$CO50)</f>
        <v>0</v>
      </c>
      <c r="BO50" s="10">
        <f>SUMIF(Year,BO$6,Отчетность!$L50:$CO50)</f>
        <v>0</v>
      </c>
      <c r="BP50" s="10">
        <f>SUMIF(Year,BP$6,Отчетность!$L50:$CO50)</f>
        <v>0</v>
      </c>
      <c r="BQ50" s="10">
        <f>SUMIF(Year,BQ$6,Отчетность!$L50:$CO50)</f>
        <v>0</v>
      </c>
      <c r="BR50" s="10">
        <f>SUMIF(Year,BR$6,Отчетность!$L50:$CO50)</f>
        <v>0</v>
      </c>
      <c r="BS50" s="10">
        <f>SUMIF(Year,BS$6,Отчетность!$L50:$CO50)</f>
        <v>0</v>
      </c>
      <c r="BT50" s="10">
        <f>SUMIF(Year,BT$6,Отчетность!$L50:$CO50)</f>
        <v>0</v>
      </c>
      <c r="BU50" s="10">
        <f>SUMIF(Year,BU$6,Отчетность!$L50:$CO50)</f>
        <v>0</v>
      </c>
      <c r="BV50" s="10">
        <f>SUMIF(Year,BV$6,Отчетность!$L50:$CO50)</f>
        <v>0</v>
      </c>
      <c r="BW50" s="10">
        <f>SUMIF(Year,BW$6,Отчетность!$L50:$CO50)</f>
        <v>0</v>
      </c>
      <c r="BX50" s="10">
        <f>SUMIF(Year,BX$6,Отчетность!$L50:$CO50)</f>
        <v>0</v>
      </c>
      <c r="BY50" s="10">
        <f>SUMIF(Year,BY$6,Отчетность!$L50:$CO50)</f>
        <v>0</v>
      </c>
      <c r="BZ50" s="10">
        <f>SUMIF(Year,BZ$6,Отчетность!$L50:$CO50)</f>
        <v>0</v>
      </c>
      <c r="CA50" s="10">
        <f>SUMIF(Year,CA$6,Отчетность!$L50:$CO50)</f>
        <v>0</v>
      </c>
      <c r="CB50" s="10">
        <f>SUMIF(Year,CB$6,Отчетность!$L50:$CO50)</f>
        <v>0</v>
      </c>
      <c r="CC50" s="10">
        <f>SUMIF(Year,CC$6,Отчетность!$L50:$CO50)</f>
        <v>0</v>
      </c>
      <c r="CD50" s="10">
        <f>SUMIF(Year,CD$6,Отчетность!$L50:$CO50)</f>
        <v>0</v>
      </c>
      <c r="CE50" s="10">
        <f>SUMIF(Year,CE$6,Отчетность!$L50:$CO50)</f>
        <v>0</v>
      </c>
      <c r="CF50" s="10">
        <f>SUMIF(Year,CF$6,Отчетность!$L50:$CO50)</f>
        <v>0</v>
      </c>
      <c r="CG50" s="10">
        <f>SUMIF(Year,CG$6,Отчетность!$L50:$CO50)</f>
        <v>0</v>
      </c>
      <c r="CH50" s="10">
        <f>SUMIF(Year,CH$6,Отчетность!$L50:$CO50)</f>
        <v>0</v>
      </c>
      <c r="CI50" s="10">
        <f>SUMIF(Year,CI$6,Отчетность!$L50:$CO50)</f>
        <v>0</v>
      </c>
      <c r="CJ50" s="10">
        <f>SUMIF(Year,CJ$6,Отчетность!$L50:$CO50)</f>
        <v>0</v>
      </c>
      <c r="CK50" s="10">
        <f>SUMIF(Year,CK$6,Отчетность!$L50:$CO50)</f>
        <v>0</v>
      </c>
      <c r="CL50" s="10">
        <f>SUMIF(Year,CL$6,Отчетность!$L50:$CO50)</f>
        <v>0</v>
      </c>
      <c r="CM50" s="10">
        <f>SUMIF(Year,CM$6,Отчетность!$L50:$CO50)</f>
        <v>0</v>
      </c>
      <c r="CN50" s="10">
        <f>SUMIF(Year,CN$6,Отчетность!$L50:$CO50)</f>
        <v>0</v>
      </c>
      <c r="CO50" s="10">
        <f>SUMIF(Year,CO$6,Отчетность!$L50:$CO50)</f>
        <v>0</v>
      </c>
    </row>
    <row r="51" spans="1:93" s="133" customFormat="1" ht="14">
      <c r="A51" s="10"/>
      <c r="B51" s="10"/>
      <c r="C51" s="17" t="s">
        <v>299</v>
      </c>
      <c r="D51" s="10"/>
      <c r="E51" s="10"/>
      <c r="F51" s="10"/>
      <c r="G51" s="134" t="str">
        <f t="shared" si="52"/>
        <v>тыс. руб.</v>
      </c>
      <c r="H51" s="10"/>
      <c r="I51" s="23">
        <f t="shared" ca="1" si="53"/>
        <v>-3272632.6228087721</v>
      </c>
      <c r="J51" s="10"/>
      <c r="K51" s="10"/>
      <c r="L51" s="10">
        <f t="shared" ref="L51:AQ51" ca="1" si="69">SUMIF(Year,L$6,Depreciation_PL)</f>
        <v>0</v>
      </c>
      <c r="M51" s="10">
        <f t="shared" ca="1" si="69"/>
        <v>0</v>
      </c>
      <c r="N51" s="10">
        <f t="shared" ca="1" si="69"/>
        <v>0</v>
      </c>
      <c r="O51" s="10">
        <f t="shared" ca="1" si="69"/>
        <v>0</v>
      </c>
      <c r="P51" s="10">
        <f t="shared" ca="1" si="69"/>
        <v>-221537.05882779922</v>
      </c>
      <c r="Q51" s="10">
        <f t="shared" ca="1" si="69"/>
        <v>-295382.74510373228</v>
      </c>
      <c r="R51" s="10">
        <f t="shared" ca="1" si="69"/>
        <v>-295382.74510373228</v>
      </c>
      <c r="S51" s="10">
        <f t="shared" ca="1" si="69"/>
        <v>-295382.74510373228</v>
      </c>
      <c r="T51" s="10">
        <f t="shared" ca="1" si="69"/>
        <v>-295382.74510373228</v>
      </c>
      <c r="U51" s="10">
        <f t="shared" ca="1" si="69"/>
        <v>-295382.74510373228</v>
      </c>
      <c r="V51" s="10">
        <f t="shared" ca="1" si="69"/>
        <v>-295382.74510373228</v>
      </c>
      <c r="W51" s="10">
        <f t="shared" ca="1" si="69"/>
        <v>-171544.61117452555</v>
      </c>
      <c r="X51" s="10">
        <f t="shared" ca="1" si="69"/>
        <v>-130265.23319812388</v>
      </c>
      <c r="Y51" s="10">
        <f t="shared" ca="1" si="69"/>
        <v>-130265.23319812388</v>
      </c>
      <c r="Z51" s="10">
        <f t="shared" ca="1" si="69"/>
        <v>-130265.23319812388</v>
      </c>
      <c r="AA51" s="10">
        <f t="shared" ca="1" si="69"/>
        <v>-130265.23319812388</v>
      </c>
      <c r="AB51" s="10">
        <f t="shared" ca="1" si="69"/>
        <v>-130265.23319812388</v>
      </c>
      <c r="AC51" s="10">
        <f t="shared" ca="1" si="69"/>
        <v>-130265.23319812388</v>
      </c>
      <c r="AD51" s="10">
        <f t="shared" ca="1" si="69"/>
        <v>-130265.23319812388</v>
      </c>
      <c r="AE51" s="10">
        <f t="shared" ca="1" si="69"/>
        <v>-130265.23319812388</v>
      </c>
      <c r="AF51" s="10">
        <f t="shared" ca="1" si="69"/>
        <v>-65132.616599061941</v>
      </c>
      <c r="AG51" s="10">
        <f t="shared" si="69"/>
        <v>0</v>
      </c>
      <c r="AH51" s="10">
        <f t="shared" si="69"/>
        <v>0</v>
      </c>
      <c r="AI51" s="10">
        <f t="shared" si="69"/>
        <v>0</v>
      </c>
      <c r="AJ51" s="10">
        <f t="shared" si="69"/>
        <v>0</v>
      </c>
      <c r="AK51" s="10">
        <f t="shared" si="69"/>
        <v>0</v>
      </c>
      <c r="AL51" s="10">
        <f t="shared" si="69"/>
        <v>0</v>
      </c>
      <c r="AM51" s="10">
        <f t="shared" si="69"/>
        <v>0</v>
      </c>
      <c r="AN51" s="10">
        <f t="shared" si="69"/>
        <v>0</v>
      </c>
      <c r="AO51" s="10">
        <f t="shared" si="69"/>
        <v>0</v>
      </c>
      <c r="AP51" s="10">
        <f t="shared" si="69"/>
        <v>0</v>
      </c>
      <c r="AQ51" s="10">
        <f t="shared" si="69"/>
        <v>0</v>
      </c>
      <c r="AR51" s="10">
        <f t="shared" ref="AR51:BW51" si="70">SUMIF(Year,AR$6,Depreciation_PL)</f>
        <v>0</v>
      </c>
      <c r="AS51" s="10">
        <f t="shared" si="70"/>
        <v>0</v>
      </c>
      <c r="AT51" s="10">
        <f t="shared" si="70"/>
        <v>0</v>
      </c>
      <c r="AU51" s="10">
        <f t="shared" si="70"/>
        <v>0</v>
      </c>
      <c r="AV51" s="10">
        <f t="shared" si="70"/>
        <v>0</v>
      </c>
      <c r="AW51" s="10">
        <f t="shared" si="70"/>
        <v>0</v>
      </c>
      <c r="AX51" s="10">
        <f t="shared" si="70"/>
        <v>0</v>
      </c>
      <c r="AY51" s="10">
        <f t="shared" si="70"/>
        <v>0</v>
      </c>
      <c r="AZ51" s="10">
        <f t="shared" si="70"/>
        <v>0</v>
      </c>
      <c r="BA51" s="10">
        <f t="shared" si="70"/>
        <v>0</v>
      </c>
      <c r="BB51" s="10">
        <f t="shared" si="70"/>
        <v>0</v>
      </c>
      <c r="BC51" s="10">
        <f t="shared" si="70"/>
        <v>0</v>
      </c>
      <c r="BD51" s="10">
        <f t="shared" si="70"/>
        <v>0</v>
      </c>
      <c r="BE51" s="10">
        <f t="shared" si="70"/>
        <v>0</v>
      </c>
      <c r="BF51" s="10">
        <f t="shared" si="70"/>
        <v>0</v>
      </c>
      <c r="BG51" s="10">
        <f t="shared" si="70"/>
        <v>0</v>
      </c>
      <c r="BH51" s="10">
        <f t="shared" si="70"/>
        <v>0</v>
      </c>
      <c r="BI51" s="10">
        <f t="shared" si="70"/>
        <v>0</v>
      </c>
      <c r="BJ51" s="10">
        <f t="shared" si="70"/>
        <v>0</v>
      </c>
      <c r="BK51" s="10">
        <f t="shared" si="70"/>
        <v>0</v>
      </c>
      <c r="BL51" s="10">
        <f t="shared" si="70"/>
        <v>0</v>
      </c>
      <c r="BM51" s="10">
        <f t="shared" si="70"/>
        <v>0</v>
      </c>
      <c r="BN51" s="10">
        <f t="shared" si="70"/>
        <v>0</v>
      </c>
      <c r="BO51" s="10">
        <f t="shared" si="70"/>
        <v>0</v>
      </c>
      <c r="BP51" s="10">
        <f t="shared" si="70"/>
        <v>0</v>
      </c>
      <c r="BQ51" s="10">
        <f t="shared" si="70"/>
        <v>0</v>
      </c>
      <c r="BR51" s="10">
        <f t="shared" si="70"/>
        <v>0</v>
      </c>
      <c r="BS51" s="10">
        <f t="shared" si="70"/>
        <v>0</v>
      </c>
      <c r="BT51" s="10">
        <f t="shared" si="70"/>
        <v>0</v>
      </c>
      <c r="BU51" s="10">
        <f t="shared" si="70"/>
        <v>0</v>
      </c>
      <c r="BV51" s="10">
        <f t="shared" si="70"/>
        <v>0</v>
      </c>
      <c r="BW51" s="10">
        <f t="shared" si="70"/>
        <v>0</v>
      </c>
      <c r="BX51" s="10">
        <f t="shared" ref="BX51:CO51" si="71">SUMIF(Year,BX$6,Depreciation_PL)</f>
        <v>0</v>
      </c>
      <c r="BY51" s="10">
        <f t="shared" si="71"/>
        <v>0</v>
      </c>
      <c r="BZ51" s="10">
        <f t="shared" si="71"/>
        <v>0</v>
      </c>
      <c r="CA51" s="10">
        <f t="shared" si="71"/>
        <v>0</v>
      </c>
      <c r="CB51" s="10">
        <f t="shared" si="71"/>
        <v>0</v>
      </c>
      <c r="CC51" s="10">
        <f t="shared" si="71"/>
        <v>0</v>
      </c>
      <c r="CD51" s="10">
        <f t="shared" si="71"/>
        <v>0</v>
      </c>
      <c r="CE51" s="10">
        <f t="shared" si="71"/>
        <v>0</v>
      </c>
      <c r="CF51" s="10">
        <f t="shared" si="71"/>
        <v>0</v>
      </c>
      <c r="CG51" s="10">
        <f t="shared" si="71"/>
        <v>0</v>
      </c>
      <c r="CH51" s="10">
        <f t="shared" si="71"/>
        <v>0</v>
      </c>
      <c r="CI51" s="10">
        <f t="shared" si="71"/>
        <v>0</v>
      </c>
      <c r="CJ51" s="10">
        <f t="shared" si="71"/>
        <v>0</v>
      </c>
      <c r="CK51" s="10">
        <f t="shared" si="71"/>
        <v>0</v>
      </c>
      <c r="CL51" s="10">
        <f t="shared" si="71"/>
        <v>0</v>
      </c>
      <c r="CM51" s="10">
        <f t="shared" si="71"/>
        <v>0</v>
      </c>
      <c r="CN51" s="10">
        <f t="shared" si="71"/>
        <v>0</v>
      </c>
      <c r="CO51" s="10">
        <f t="shared" si="71"/>
        <v>0</v>
      </c>
    </row>
    <row r="52" spans="1:93" s="133" customFormat="1" ht="14">
      <c r="A52" s="10"/>
      <c r="B52" s="10"/>
      <c r="C52" s="17" t="s">
        <v>137</v>
      </c>
      <c r="D52" s="10"/>
      <c r="E52" s="10"/>
      <c r="F52" s="10"/>
      <c r="G52" s="134" t="str">
        <f t="shared" si="52"/>
        <v>тыс. руб.</v>
      </c>
      <c r="H52" s="10"/>
      <c r="I52" s="23">
        <f t="shared" ref="I52:I59" si="72">SUM(L52:CQ52)</f>
        <v>-1102330.2271229769</v>
      </c>
      <c r="J52" s="10"/>
      <c r="K52" s="10"/>
      <c r="L52" s="52">
        <f t="shared" ref="L52:BW52" si="73">SUM(L53:L54)</f>
        <v>0</v>
      </c>
      <c r="M52" s="52">
        <f t="shared" si="73"/>
        <v>0</v>
      </c>
      <c r="N52" s="52">
        <f t="shared" si="73"/>
        <v>0</v>
      </c>
      <c r="O52" s="52">
        <f t="shared" si="73"/>
        <v>0</v>
      </c>
      <c r="P52" s="52">
        <f t="shared" si="73"/>
        <v>-187954.83839533763</v>
      </c>
      <c r="Q52" s="52">
        <f t="shared" si="73"/>
        <v>-225315.35309172334</v>
      </c>
      <c r="R52" s="52">
        <f t="shared" si="73"/>
        <v>-196323.18401043824</v>
      </c>
      <c r="S52" s="52">
        <f t="shared" si="73"/>
        <v>-165724.72485428915</v>
      </c>
      <c r="T52" s="52">
        <f t="shared" si="73"/>
        <v>-133317.13665651664</v>
      </c>
      <c r="U52" s="52">
        <f t="shared" si="73"/>
        <v>-99111.866495995389</v>
      </c>
      <c r="V52" s="52">
        <f t="shared" si="73"/>
        <v>-66750.693249069809</v>
      </c>
      <c r="W52" s="52">
        <f t="shared" si="73"/>
        <v>-27832.430369606798</v>
      </c>
      <c r="X52" s="52">
        <f t="shared" si="73"/>
        <v>0</v>
      </c>
      <c r="Y52" s="52">
        <f t="shared" si="73"/>
        <v>0</v>
      </c>
      <c r="Z52" s="52">
        <f t="shared" si="73"/>
        <v>0</v>
      </c>
      <c r="AA52" s="52">
        <f t="shared" si="73"/>
        <v>0</v>
      </c>
      <c r="AB52" s="52">
        <f t="shared" si="73"/>
        <v>0</v>
      </c>
      <c r="AC52" s="52">
        <f t="shared" si="73"/>
        <v>0</v>
      </c>
      <c r="AD52" s="52">
        <f t="shared" si="73"/>
        <v>0</v>
      </c>
      <c r="AE52" s="52">
        <f t="shared" si="73"/>
        <v>0</v>
      </c>
      <c r="AF52" s="52">
        <f t="shared" si="73"/>
        <v>0</v>
      </c>
      <c r="AG52" s="52">
        <f t="shared" si="73"/>
        <v>0</v>
      </c>
      <c r="AH52" s="52">
        <f t="shared" si="73"/>
        <v>0</v>
      </c>
      <c r="AI52" s="52">
        <f t="shared" si="73"/>
        <v>0</v>
      </c>
      <c r="AJ52" s="52">
        <f t="shared" si="73"/>
        <v>0</v>
      </c>
      <c r="AK52" s="52">
        <f t="shared" si="73"/>
        <v>0</v>
      </c>
      <c r="AL52" s="52">
        <f t="shared" si="73"/>
        <v>0</v>
      </c>
      <c r="AM52" s="52">
        <f t="shared" si="73"/>
        <v>0</v>
      </c>
      <c r="AN52" s="52">
        <f t="shared" si="73"/>
        <v>0</v>
      </c>
      <c r="AO52" s="52">
        <f t="shared" si="73"/>
        <v>0</v>
      </c>
      <c r="AP52" s="52">
        <f t="shared" si="73"/>
        <v>0</v>
      </c>
      <c r="AQ52" s="52">
        <f t="shared" si="73"/>
        <v>0</v>
      </c>
      <c r="AR52" s="52">
        <f t="shared" si="73"/>
        <v>0</v>
      </c>
      <c r="AS52" s="52">
        <f t="shared" si="73"/>
        <v>0</v>
      </c>
      <c r="AT52" s="52">
        <f t="shared" si="73"/>
        <v>0</v>
      </c>
      <c r="AU52" s="52">
        <f t="shared" si="73"/>
        <v>0</v>
      </c>
      <c r="AV52" s="52">
        <f t="shared" si="73"/>
        <v>0</v>
      </c>
      <c r="AW52" s="52">
        <f t="shared" si="73"/>
        <v>0</v>
      </c>
      <c r="AX52" s="52">
        <f t="shared" si="73"/>
        <v>0</v>
      </c>
      <c r="AY52" s="52">
        <f t="shared" si="73"/>
        <v>0</v>
      </c>
      <c r="AZ52" s="52">
        <f t="shared" si="73"/>
        <v>0</v>
      </c>
      <c r="BA52" s="52">
        <f t="shared" si="73"/>
        <v>0</v>
      </c>
      <c r="BB52" s="52">
        <f t="shared" si="73"/>
        <v>0</v>
      </c>
      <c r="BC52" s="52">
        <f t="shared" si="73"/>
        <v>0</v>
      </c>
      <c r="BD52" s="52">
        <f t="shared" si="73"/>
        <v>0</v>
      </c>
      <c r="BE52" s="52">
        <f t="shared" si="73"/>
        <v>0</v>
      </c>
      <c r="BF52" s="52">
        <f t="shared" si="73"/>
        <v>0</v>
      </c>
      <c r="BG52" s="52">
        <f t="shared" si="73"/>
        <v>0</v>
      </c>
      <c r="BH52" s="52">
        <f t="shared" si="73"/>
        <v>0</v>
      </c>
      <c r="BI52" s="52">
        <f t="shared" si="73"/>
        <v>0</v>
      </c>
      <c r="BJ52" s="52">
        <f t="shared" si="73"/>
        <v>0</v>
      </c>
      <c r="BK52" s="52">
        <f t="shared" si="73"/>
        <v>0</v>
      </c>
      <c r="BL52" s="52">
        <f t="shared" si="73"/>
        <v>0</v>
      </c>
      <c r="BM52" s="52">
        <f t="shared" si="73"/>
        <v>0</v>
      </c>
      <c r="BN52" s="52">
        <f t="shared" si="73"/>
        <v>0</v>
      </c>
      <c r="BO52" s="52">
        <f t="shared" si="73"/>
        <v>0</v>
      </c>
      <c r="BP52" s="52">
        <f t="shared" si="73"/>
        <v>0</v>
      </c>
      <c r="BQ52" s="52">
        <f t="shared" si="73"/>
        <v>0</v>
      </c>
      <c r="BR52" s="52">
        <f t="shared" si="73"/>
        <v>0</v>
      </c>
      <c r="BS52" s="52">
        <f t="shared" si="73"/>
        <v>0</v>
      </c>
      <c r="BT52" s="52">
        <f t="shared" si="73"/>
        <v>0</v>
      </c>
      <c r="BU52" s="52">
        <f t="shared" si="73"/>
        <v>0</v>
      </c>
      <c r="BV52" s="52">
        <f t="shared" si="73"/>
        <v>0</v>
      </c>
      <c r="BW52" s="52">
        <f t="shared" si="73"/>
        <v>0</v>
      </c>
      <c r="BX52" s="52">
        <f t="shared" ref="BX52:CO52" si="74">SUM(BX53:BX54)</f>
        <v>0</v>
      </c>
      <c r="BY52" s="52">
        <f t="shared" si="74"/>
        <v>0</v>
      </c>
      <c r="BZ52" s="52">
        <f t="shared" si="74"/>
        <v>0</v>
      </c>
      <c r="CA52" s="52">
        <f t="shared" si="74"/>
        <v>0</v>
      </c>
      <c r="CB52" s="52">
        <f t="shared" si="74"/>
        <v>0</v>
      </c>
      <c r="CC52" s="52">
        <f t="shared" si="74"/>
        <v>0</v>
      </c>
      <c r="CD52" s="52">
        <f t="shared" si="74"/>
        <v>0</v>
      </c>
      <c r="CE52" s="52">
        <f t="shared" si="74"/>
        <v>0</v>
      </c>
      <c r="CF52" s="52">
        <f t="shared" si="74"/>
        <v>0</v>
      </c>
      <c r="CG52" s="52">
        <f t="shared" si="74"/>
        <v>0</v>
      </c>
      <c r="CH52" s="52">
        <f t="shared" si="74"/>
        <v>0</v>
      </c>
      <c r="CI52" s="52">
        <f t="shared" si="74"/>
        <v>0</v>
      </c>
      <c r="CJ52" s="52">
        <f t="shared" si="74"/>
        <v>0</v>
      </c>
      <c r="CK52" s="52">
        <f t="shared" si="74"/>
        <v>0</v>
      </c>
      <c r="CL52" s="52">
        <f t="shared" si="74"/>
        <v>0</v>
      </c>
      <c r="CM52" s="52">
        <f t="shared" si="74"/>
        <v>0</v>
      </c>
      <c r="CN52" s="52">
        <f t="shared" si="74"/>
        <v>0</v>
      </c>
      <c r="CO52" s="52">
        <f t="shared" si="74"/>
        <v>0</v>
      </c>
    </row>
    <row r="53" spans="1:93" s="133" customFormat="1" ht="14">
      <c r="A53" s="10"/>
      <c r="B53" s="10"/>
      <c r="C53" s="138" t="s">
        <v>540</v>
      </c>
      <c r="D53" s="10"/>
      <c r="E53" s="10"/>
      <c r="F53" s="10"/>
      <c r="G53" s="134" t="str">
        <f t="shared" si="52"/>
        <v>тыс. руб.</v>
      </c>
      <c r="H53" s="10"/>
      <c r="I53" s="23">
        <f t="shared" si="72"/>
        <v>-1095533.0737940252</v>
      </c>
      <c r="J53" s="10"/>
      <c r="K53" s="10"/>
      <c r="L53" s="10">
        <f t="shared" ref="L53:AQ53" si="75">SUMIF(Year,L$6,Debt_Interest_PL)</f>
        <v>0</v>
      </c>
      <c r="M53" s="10">
        <f t="shared" si="75"/>
        <v>0</v>
      </c>
      <c r="N53" s="10">
        <f t="shared" si="75"/>
        <v>0</v>
      </c>
      <c r="O53" s="10">
        <f t="shared" si="75"/>
        <v>0</v>
      </c>
      <c r="P53" s="10">
        <f t="shared" si="75"/>
        <v>-187954.83839533763</v>
      </c>
      <c r="Q53" s="10">
        <f t="shared" si="75"/>
        <v>-225315.35309172334</v>
      </c>
      <c r="R53" s="10">
        <f t="shared" si="75"/>
        <v>-196323.18401043824</v>
      </c>
      <c r="S53" s="10">
        <f t="shared" si="75"/>
        <v>-165724.72485428915</v>
      </c>
      <c r="T53" s="10">
        <f t="shared" si="75"/>
        <v>-133317.13665651664</v>
      </c>
      <c r="U53" s="10">
        <f t="shared" si="75"/>
        <v>-99111.866495995389</v>
      </c>
      <c r="V53" s="10">
        <f t="shared" si="75"/>
        <v>-62968.333752273895</v>
      </c>
      <c r="W53" s="10">
        <f t="shared" si="75"/>
        <v>-24817.636537450941</v>
      </c>
      <c r="X53" s="10">
        <f t="shared" si="75"/>
        <v>0</v>
      </c>
      <c r="Y53" s="10">
        <f t="shared" si="75"/>
        <v>0</v>
      </c>
      <c r="Z53" s="10">
        <f t="shared" si="75"/>
        <v>0</v>
      </c>
      <c r="AA53" s="10">
        <f t="shared" si="75"/>
        <v>0</v>
      </c>
      <c r="AB53" s="10">
        <f t="shared" si="75"/>
        <v>0</v>
      </c>
      <c r="AC53" s="10">
        <f t="shared" si="75"/>
        <v>0</v>
      </c>
      <c r="AD53" s="10">
        <f t="shared" si="75"/>
        <v>0</v>
      </c>
      <c r="AE53" s="10">
        <f t="shared" si="75"/>
        <v>0</v>
      </c>
      <c r="AF53" s="10">
        <f t="shared" si="75"/>
        <v>0</v>
      </c>
      <c r="AG53" s="10">
        <f t="shared" si="75"/>
        <v>0</v>
      </c>
      <c r="AH53" s="10">
        <f t="shared" si="75"/>
        <v>0</v>
      </c>
      <c r="AI53" s="10">
        <f t="shared" si="75"/>
        <v>0</v>
      </c>
      <c r="AJ53" s="10">
        <f t="shared" si="75"/>
        <v>0</v>
      </c>
      <c r="AK53" s="10">
        <f t="shared" si="75"/>
        <v>0</v>
      </c>
      <c r="AL53" s="10">
        <f t="shared" si="75"/>
        <v>0</v>
      </c>
      <c r="AM53" s="10">
        <f t="shared" si="75"/>
        <v>0</v>
      </c>
      <c r="AN53" s="10">
        <f t="shared" si="75"/>
        <v>0</v>
      </c>
      <c r="AO53" s="10">
        <f t="shared" si="75"/>
        <v>0</v>
      </c>
      <c r="AP53" s="10">
        <f t="shared" si="75"/>
        <v>0</v>
      </c>
      <c r="AQ53" s="10">
        <f t="shared" si="75"/>
        <v>0</v>
      </c>
      <c r="AR53" s="10">
        <f t="shared" ref="AR53:BW53" si="76">SUMIF(Year,AR$6,Debt_Interest_PL)</f>
        <v>0</v>
      </c>
      <c r="AS53" s="10">
        <f t="shared" si="76"/>
        <v>0</v>
      </c>
      <c r="AT53" s="10">
        <f t="shared" si="76"/>
        <v>0</v>
      </c>
      <c r="AU53" s="10">
        <f t="shared" si="76"/>
        <v>0</v>
      </c>
      <c r="AV53" s="10">
        <f t="shared" si="76"/>
        <v>0</v>
      </c>
      <c r="AW53" s="10">
        <f t="shared" si="76"/>
        <v>0</v>
      </c>
      <c r="AX53" s="10">
        <f t="shared" si="76"/>
        <v>0</v>
      </c>
      <c r="AY53" s="10">
        <f t="shared" si="76"/>
        <v>0</v>
      </c>
      <c r="AZ53" s="10">
        <f t="shared" si="76"/>
        <v>0</v>
      </c>
      <c r="BA53" s="10">
        <f t="shared" si="76"/>
        <v>0</v>
      </c>
      <c r="BB53" s="10">
        <f t="shared" si="76"/>
        <v>0</v>
      </c>
      <c r="BC53" s="10">
        <f t="shared" si="76"/>
        <v>0</v>
      </c>
      <c r="BD53" s="10">
        <f t="shared" si="76"/>
        <v>0</v>
      </c>
      <c r="BE53" s="10">
        <f t="shared" si="76"/>
        <v>0</v>
      </c>
      <c r="BF53" s="10">
        <f t="shared" si="76"/>
        <v>0</v>
      </c>
      <c r="BG53" s="10">
        <f t="shared" si="76"/>
        <v>0</v>
      </c>
      <c r="BH53" s="10">
        <f t="shared" si="76"/>
        <v>0</v>
      </c>
      <c r="BI53" s="10">
        <f t="shared" si="76"/>
        <v>0</v>
      </c>
      <c r="BJ53" s="10">
        <f t="shared" si="76"/>
        <v>0</v>
      </c>
      <c r="BK53" s="10">
        <f t="shared" si="76"/>
        <v>0</v>
      </c>
      <c r="BL53" s="10">
        <f t="shared" si="76"/>
        <v>0</v>
      </c>
      <c r="BM53" s="10">
        <f t="shared" si="76"/>
        <v>0</v>
      </c>
      <c r="BN53" s="10">
        <f t="shared" si="76"/>
        <v>0</v>
      </c>
      <c r="BO53" s="10">
        <f t="shared" si="76"/>
        <v>0</v>
      </c>
      <c r="BP53" s="10">
        <f t="shared" si="76"/>
        <v>0</v>
      </c>
      <c r="BQ53" s="10">
        <f t="shared" si="76"/>
        <v>0</v>
      </c>
      <c r="BR53" s="10">
        <f t="shared" si="76"/>
        <v>0</v>
      </c>
      <c r="BS53" s="10">
        <f t="shared" si="76"/>
        <v>0</v>
      </c>
      <c r="BT53" s="10">
        <f t="shared" si="76"/>
        <v>0</v>
      </c>
      <c r="BU53" s="10">
        <f t="shared" si="76"/>
        <v>0</v>
      </c>
      <c r="BV53" s="10">
        <f t="shared" si="76"/>
        <v>0</v>
      </c>
      <c r="BW53" s="10">
        <f t="shared" si="76"/>
        <v>0</v>
      </c>
      <c r="BX53" s="10">
        <f t="shared" ref="BX53:CO53" si="77">SUMIF(Year,BX$6,Debt_Interest_PL)</f>
        <v>0</v>
      </c>
      <c r="BY53" s="10">
        <f t="shared" si="77"/>
        <v>0</v>
      </c>
      <c r="BZ53" s="10">
        <f t="shared" si="77"/>
        <v>0</v>
      </c>
      <c r="CA53" s="10">
        <f t="shared" si="77"/>
        <v>0</v>
      </c>
      <c r="CB53" s="10">
        <f t="shared" si="77"/>
        <v>0</v>
      </c>
      <c r="CC53" s="10">
        <f t="shared" si="77"/>
        <v>0</v>
      </c>
      <c r="CD53" s="10">
        <f t="shared" si="77"/>
        <v>0</v>
      </c>
      <c r="CE53" s="10">
        <f t="shared" si="77"/>
        <v>0</v>
      </c>
      <c r="CF53" s="10">
        <f t="shared" si="77"/>
        <v>0</v>
      </c>
      <c r="CG53" s="10">
        <f t="shared" si="77"/>
        <v>0</v>
      </c>
      <c r="CH53" s="10">
        <f t="shared" si="77"/>
        <v>0</v>
      </c>
      <c r="CI53" s="10">
        <f t="shared" si="77"/>
        <v>0</v>
      </c>
      <c r="CJ53" s="10">
        <f t="shared" si="77"/>
        <v>0</v>
      </c>
      <c r="CK53" s="10">
        <f t="shared" si="77"/>
        <v>0</v>
      </c>
      <c r="CL53" s="10">
        <f t="shared" si="77"/>
        <v>0</v>
      </c>
      <c r="CM53" s="10">
        <f t="shared" si="77"/>
        <v>0</v>
      </c>
      <c r="CN53" s="10">
        <f t="shared" si="77"/>
        <v>0</v>
      </c>
      <c r="CO53" s="10">
        <f t="shared" si="77"/>
        <v>0</v>
      </c>
    </row>
    <row r="54" spans="1:93" s="133" customFormat="1" ht="14.5" thickBot="1">
      <c r="A54" s="10"/>
      <c r="B54" s="10"/>
      <c r="C54" s="138" t="s">
        <v>554</v>
      </c>
      <c r="D54" s="10"/>
      <c r="E54" s="10"/>
      <c r="F54" s="10"/>
      <c r="G54" s="134" t="str">
        <f t="shared" si="52"/>
        <v>тыс. руб.</v>
      </c>
      <c r="H54" s="10"/>
      <c r="I54" s="23">
        <f t="shared" si="72"/>
        <v>-6797.1533289517665</v>
      </c>
      <c r="J54" s="10"/>
      <c r="K54" s="10"/>
      <c r="L54" s="10">
        <f>SUMIF(Year,L$6,Отчетность!$L54:$CO54)</f>
        <v>0</v>
      </c>
      <c r="M54" s="10">
        <f>SUMIF(Year,M$6,Отчетность!$L54:$CO54)</f>
        <v>0</v>
      </c>
      <c r="N54" s="10">
        <f>SUMIF(Year,N$6,Отчетность!$L54:$CO54)</f>
        <v>0</v>
      </c>
      <c r="O54" s="10">
        <f>SUMIF(Year,O$6,Отчетность!$L54:$CO54)</f>
        <v>0</v>
      </c>
      <c r="P54" s="10">
        <f>SUMIF(Year,P$6,Отчетность!$L54:$CO54)</f>
        <v>0</v>
      </c>
      <c r="Q54" s="10">
        <f>SUMIF(Year,Q$6,Отчетность!$L54:$CO54)</f>
        <v>0</v>
      </c>
      <c r="R54" s="10">
        <f>SUMIF(Year,R$6,Отчетность!$L54:$CO54)</f>
        <v>0</v>
      </c>
      <c r="S54" s="10">
        <f>SUMIF(Year,S$6,Отчетность!$L54:$CO54)</f>
        <v>0</v>
      </c>
      <c r="T54" s="10">
        <f>SUMIF(Year,T$6,Отчетность!$L54:$CO54)</f>
        <v>0</v>
      </c>
      <c r="U54" s="10">
        <f>SUMIF(Year,U$6,Отчетность!$L54:$CO54)</f>
        <v>0</v>
      </c>
      <c r="V54" s="10">
        <f>SUMIF(Year,V$6,Отчетность!$L54:$CO54)</f>
        <v>-3782.3594967959079</v>
      </c>
      <c r="W54" s="10">
        <f>SUMIF(Year,W$6,Отчетность!$L54:$CO54)</f>
        <v>-3014.793832155859</v>
      </c>
      <c r="X54" s="10">
        <f>SUMIF(Year,X$6,Отчетность!$L54:$CO54)</f>
        <v>0</v>
      </c>
      <c r="Y54" s="10">
        <f>SUMIF(Year,Y$6,Отчетность!$L54:$CO54)</f>
        <v>0</v>
      </c>
      <c r="Z54" s="10">
        <f>SUMIF(Year,Z$6,Отчетность!$L54:$CO54)</f>
        <v>0</v>
      </c>
      <c r="AA54" s="10">
        <f>SUMIF(Year,AA$6,Отчетность!$L54:$CO54)</f>
        <v>0</v>
      </c>
      <c r="AB54" s="10">
        <f>SUMIF(Year,AB$6,Отчетность!$L54:$CO54)</f>
        <v>0</v>
      </c>
      <c r="AC54" s="10">
        <f>SUMIF(Year,AC$6,Отчетность!$L54:$CO54)</f>
        <v>0</v>
      </c>
      <c r="AD54" s="10">
        <f>SUMIF(Year,AD$6,Отчетность!$L54:$CO54)</f>
        <v>0</v>
      </c>
      <c r="AE54" s="10">
        <f>SUMIF(Year,AE$6,Отчетность!$L54:$CO54)</f>
        <v>0</v>
      </c>
      <c r="AF54" s="10">
        <f>SUMIF(Year,AF$6,Отчетность!$L54:$CO54)</f>
        <v>0</v>
      </c>
      <c r="AG54" s="10">
        <f>SUMIF(Year,AG$6,Отчетность!$L54:$CO54)</f>
        <v>0</v>
      </c>
      <c r="AH54" s="10">
        <f>SUMIF(Year,AH$6,Отчетность!$L54:$CO54)</f>
        <v>0</v>
      </c>
      <c r="AI54" s="10">
        <f>SUMIF(Year,AI$6,Отчетность!$L54:$CO54)</f>
        <v>0</v>
      </c>
      <c r="AJ54" s="10">
        <f>SUMIF(Year,AJ$6,Отчетность!$L54:$CO54)</f>
        <v>0</v>
      </c>
      <c r="AK54" s="10">
        <f>SUMIF(Year,AK$6,Отчетность!$L54:$CO54)</f>
        <v>0</v>
      </c>
      <c r="AL54" s="10">
        <f>SUMIF(Year,AL$6,Отчетность!$L54:$CO54)</f>
        <v>0</v>
      </c>
      <c r="AM54" s="10">
        <f>SUMIF(Year,AM$6,Отчетность!$L54:$CO54)</f>
        <v>0</v>
      </c>
      <c r="AN54" s="10">
        <f>SUMIF(Year,AN$6,Отчетность!$L54:$CO54)</f>
        <v>0</v>
      </c>
      <c r="AO54" s="10">
        <f>SUMIF(Year,AO$6,Отчетность!$L54:$CO54)</f>
        <v>0</v>
      </c>
      <c r="AP54" s="10">
        <f>SUMIF(Year,AP$6,Отчетность!$L54:$CO54)</f>
        <v>0</v>
      </c>
      <c r="AQ54" s="10">
        <f>SUMIF(Year,AQ$6,Отчетность!$L54:$CO54)</f>
        <v>0</v>
      </c>
      <c r="AR54" s="10">
        <f>SUMIF(Year,AR$6,Отчетность!$L54:$CO54)</f>
        <v>0</v>
      </c>
      <c r="AS54" s="10">
        <f>SUMIF(Year,AS$6,Отчетность!$L54:$CO54)</f>
        <v>0</v>
      </c>
      <c r="AT54" s="10">
        <f>SUMIF(Year,AT$6,Отчетность!$L54:$CO54)</f>
        <v>0</v>
      </c>
      <c r="AU54" s="10">
        <f>SUMIF(Year,AU$6,Отчетность!$L54:$CO54)</f>
        <v>0</v>
      </c>
      <c r="AV54" s="10">
        <f>SUMIF(Year,AV$6,Отчетность!$L54:$CO54)</f>
        <v>0</v>
      </c>
      <c r="AW54" s="10">
        <f>SUMIF(Year,AW$6,Отчетность!$L54:$CO54)</f>
        <v>0</v>
      </c>
      <c r="AX54" s="10">
        <f>SUMIF(Year,AX$6,Отчетность!$L54:$CO54)</f>
        <v>0</v>
      </c>
      <c r="AY54" s="10">
        <f>SUMIF(Year,AY$6,Отчетность!$L54:$CO54)</f>
        <v>0</v>
      </c>
      <c r="AZ54" s="10">
        <f>SUMIF(Year,AZ$6,Отчетность!$L54:$CO54)</f>
        <v>0</v>
      </c>
      <c r="BA54" s="10">
        <f>SUMIF(Year,BA$6,Отчетность!$L54:$CO54)</f>
        <v>0</v>
      </c>
      <c r="BB54" s="10">
        <f>SUMIF(Year,BB$6,Отчетность!$L54:$CO54)</f>
        <v>0</v>
      </c>
      <c r="BC54" s="10">
        <f>SUMIF(Year,BC$6,Отчетность!$L54:$CO54)</f>
        <v>0</v>
      </c>
      <c r="BD54" s="10">
        <f>SUMIF(Year,BD$6,Отчетность!$L54:$CO54)</f>
        <v>0</v>
      </c>
      <c r="BE54" s="10">
        <f>SUMIF(Year,BE$6,Отчетность!$L54:$CO54)</f>
        <v>0</v>
      </c>
      <c r="BF54" s="10">
        <f>SUMIF(Year,BF$6,Отчетность!$L54:$CO54)</f>
        <v>0</v>
      </c>
      <c r="BG54" s="10">
        <f>SUMIF(Year,BG$6,Отчетность!$L54:$CO54)</f>
        <v>0</v>
      </c>
      <c r="BH54" s="10">
        <f>SUMIF(Year,BH$6,Отчетность!$L54:$CO54)</f>
        <v>0</v>
      </c>
      <c r="BI54" s="10">
        <f>SUMIF(Year,BI$6,Отчетность!$L54:$CO54)</f>
        <v>0</v>
      </c>
      <c r="BJ54" s="10">
        <f>SUMIF(Year,BJ$6,Отчетность!$L54:$CO54)</f>
        <v>0</v>
      </c>
      <c r="BK54" s="10">
        <f>SUMIF(Year,BK$6,Отчетность!$L54:$CO54)</f>
        <v>0</v>
      </c>
      <c r="BL54" s="10">
        <f>SUMIF(Year,BL$6,Отчетность!$L54:$CO54)</f>
        <v>0</v>
      </c>
      <c r="BM54" s="10">
        <f>SUMIF(Year,BM$6,Отчетность!$L54:$CO54)</f>
        <v>0</v>
      </c>
      <c r="BN54" s="10">
        <f>SUMIF(Year,BN$6,Отчетность!$L54:$CO54)</f>
        <v>0</v>
      </c>
      <c r="BO54" s="10">
        <f>SUMIF(Year,BO$6,Отчетность!$L54:$CO54)</f>
        <v>0</v>
      </c>
      <c r="BP54" s="10">
        <f>SUMIF(Year,BP$6,Отчетность!$L54:$CO54)</f>
        <v>0</v>
      </c>
      <c r="BQ54" s="10">
        <f>SUMIF(Year,BQ$6,Отчетность!$L54:$CO54)</f>
        <v>0</v>
      </c>
      <c r="BR54" s="10">
        <f>SUMIF(Year,BR$6,Отчетность!$L54:$CO54)</f>
        <v>0</v>
      </c>
      <c r="BS54" s="10">
        <f>SUMIF(Year,BS$6,Отчетность!$L54:$CO54)</f>
        <v>0</v>
      </c>
      <c r="BT54" s="10">
        <f>SUMIF(Year,BT$6,Отчетность!$L54:$CO54)</f>
        <v>0</v>
      </c>
      <c r="BU54" s="10">
        <f>SUMIF(Year,BU$6,Отчетность!$L54:$CO54)</f>
        <v>0</v>
      </c>
      <c r="BV54" s="10">
        <f>SUMIF(Year,BV$6,Отчетность!$L54:$CO54)</f>
        <v>0</v>
      </c>
      <c r="BW54" s="10">
        <f>SUMIF(Year,BW$6,Отчетность!$L54:$CO54)</f>
        <v>0</v>
      </c>
      <c r="BX54" s="10">
        <f>SUMIF(Year,BX$6,Отчетность!$L54:$CO54)</f>
        <v>0</v>
      </c>
      <c r="BY54" s="10">
        <f>SUMIF(Year,BY$6,Отчетность!$L54:$CO54)</f>
        <v>0</v>
      </c>
      <c r="BZ54" s="10">
        <f>SUMIF(Year,BZ$6,Отчетность!$L54:$CO54)</f>
        <v>0</v>
      </c>
      <c r="CA54" s="10">
        <f>SUMIF(Year,CA$6,Отчетность!$L54:$CO54)</f>
        <v>0</v>
      </c>
      <c r="CB54" s="10">
        <f>SUMIF(Year,CB$6,Отчетность!$L54:$CO54)</f>
        <v>0</v>
      </c>
      <c r="CC54" s="10">
        <f>SUMIF(Year,CC$6,Отчетность!$L54:$CO54)</f>
        <v>0</v>
      </c>
      <c r="CD54" s="10">
        <f>SUMIF(Year,CD$6,Отчетность!$L54:$CO54)</f>
        <v>0</v>
      </c>
      <c r="CE54" s="10">
        <f>SUMIF(Year,CE$6,Отчетность!$L54:$CO54)</f>
        <v>0</v>
      </c>
      <c r="CF54" s="10">
        <f>SUMIF(Year,CF$6,Отчетность!$L54:$CO54)</f>
        <v>0</v>
      </c>
      <c r="CG54" s="10">
        <f>SUMIF(Year,CG$6,Отчетность!$L54:$CO54)</f>
        <v>0</v>
      </c>
      <c r="CH54" s="10">
        <f>SUMIF(Year,CH$6,Отчетность!$L54:$CO54)</f>
        <v>0</v>
      </c>
      <c r="CI54" s="10">
        <f>SUMIF(Year,CI$6,Отчетность!$L54:$CO54)</f>
        <v>0</v>
      </c>
      <c r="CJ54" s="10">
        <f>SUMIF(Year,CJ$6,Отчетность!$L54:$CO54)</f>
        <v>0</v>
      </c>
      <c r="CK54" s="10">
        <f>SUMIF(Year,CK$6,Отчетность!$L54:$CO54)</f>
        <v>0</v>
      </c>
      <c r="CL54" s="10">
        <f>SUMIF(Year,CL$6,Отчетность!$L54:$CO54)</f>
        <v>0</v>
      </c>
      <c r="CM54" s="10">
        <f>SUMIF(Year,CM$6,Отчетность!$L54:$CO54)</f>
        <v>0</v>
      </c>
      <c r="CN54" s="10">
        <f>SUMIF(Year,CN$6,Отчетность!$L54:$CO54)</f>
        <v>0</v>
      </c>
      <c r="CO54" s="10">
        <f>SUMIF(Year,CO$6,Отчетность!$L54:$CO54)</f>
        <v>0</v>
      </c>
    </row>
    <row r="55" spans="1:93" s="133" customFormat="1" ht="14.5" thickTop="1">
      <c r="A55" s="10"/>
      <c r="B55" s="10"/>
      <c r="C55" s="49" t="s">
        <v>139</v>
      </c>
      <c r="D55" s="136"/>
      <c r="E55" s="136"/>
      <c r="F55" s="136"/>
      <c r="G55" s="137" t="str">
        <f t="shared" si="52"/>
        <v>тыс. руб.</v>
      </c>
      <c r="H55" s="136"/>
      <c r="I55" s="23">
        <f t="shared" ca="1" si="72"/>
        <v>11693344.634698335</v>
      </c>
      <c r="J55" s="136"/>
      <c r="K55" s="136"/>
      <c r="L55" s="49">
        <f t="shared" ref="L55:AH55" ca="1" si="78">SUM(L48:L49,L51:L52)</f>
        <v>0</v>
      </c>
      <c r="M55" s="49">
        <f t="shared" ca="1" si="78"/>
        <v>0</v>
      </c>
      <c r="N55" s="49">
        <f t="shared" ca="1" si="78"/>
        <v>0</v>
      </c>
      <c r="O55" s="49">
        <f t="shared" ca="1" si="78"/>
        <v>0</v>
      </c>
      <c r="P55" s="49">
        <f t="shared" ca="1" si="78"/>
        <v>195194.43130239716</v>
      </c>
      <c r="Q55" s="49">
        <f t="shared" ca="1" si="78"/>
        <v>348442.39550174488</v>
      </c>
      <c r="R55" s="49">
        <f t="shared" ca="1" si="78"/>
        <v>529360.99222692626</v>
      </c>
      <c r="S55" s="49">
        <f t="shared" ca="1" si="78"/>
        <v>702454.48373139743</v>
      </c>
      <c r="T55" s="49">
        <f t="shared" ca="1" si="78"/>
        <v>785269.02502830513</v>
      </c>
      <c r="U55" s="49">
        <f t="shared" ca="1" si="78"/>
        <v>472507.35579347046</v>
      </c>
      <c r="V55" s="49">
        <f t="shared" ca="1" si="78"/>
        <v>449395.81506396155</v>
      </c>
      <c r="W55" s="49">
        <f t="shared" ca="1" si="78"/>
        <v>646915.50513629848</v>
      </c>
      <c r="X55" s="49">
        <f t="shared" ca="1" si="78"/>
        <v>748661.9034962171</v>
      </c>
      <c r="Y55" s="49">
        <f t="shared" ca="1" si="78"/>
        <v>784395.99690456421</v>
      </c>
      <c r="Z55" s="49">
        <f t="shared" ca="1" si="78"/>
        <v>821559.45404924511</v>
      </c>
      <c r="AA55" s="49">
        <f t="shared" ca="1" si="78"/>
        <v>862227.59024753759</v>
      </c>
      <c r="AB55" s="49">
        <f t="shared" ca="1" si="78"/>
        <v>900405.44472739997</v>
      </c>
      <c r="AC55" s="49">
        <f t="shared" ca="1" si="78"/>
        <v>942209.27978499478</v>
      </c>
      <c r="AD55" s="49">
        <f t="shared" ca="1" si="78"/>
        <v>985685.26824489387</v>
      </c>
      <c r="AE55" s="49">
        <f t="shared" ca="1" si="78"/>
        <v>1033261.2354957099</v>
      </c>
      <c r="AF55" s="49">
        <f t="shared" ca="1" si="78"/>
        <v>485398.45796326915</v>
      </c>
      <c r="AG55" s="49">
        <f t="shared" si="78"/>
        <v>0</v>
      </c>
      <c r="AH55" s="49">
        <f t="shared" si="78"/>
        <v>0</v>
      </c>
      <c r="AI55" s="49">
        <f>SUM(AI48:AI49,AI51:AI52)</f>
        <v>0</v>
      </c>
      <c r="AJ55" s="49">
        <f t="shared" ref="AJ55:CO55" si="79">SUM(AJ48:AJ49,AJ51:AJ52)</f>
        <v>0</v>
      </c>
      <c r="AK55" s="49">
        <f t="shared" si="79"/>
        <v>0</v>
      </c>
      <c r="AL55" s="49">
        <f t="shared" si="79"/>
        <v>0</v>
      </c>
      <c r="AM55" s="49">
        <f t="shared" si="79"/>
        <v>0</v>
      </c>
      <c r="AN55" s="49">
        <f t="shared" si="79"/>
        <v>0</v>
      </c>
      <c r="AO55" s="49">
        <f t="shared" si="79"/>
        <v>0</v>
      </c>
      <c r="AP55" s="49">
        <f t="shared" si="79"/>
        <v>0</v>
      </c>
      <c r="AQ55" s="49">
        <f t="shared" si="79"/>
        <v>0</v>
      </c>
      <c r="AR55" s="49">
        <f t="shared" si="79"/>
        <v>0</v>
      </c>
      <c r="AS55" s="49">
        <f t="shared" si="79"/>
        <v>0</v>
      </c>
      <c r="AT55" s="49">
        <f t="shared" si="79"/>
        <v>0</v>
      </c>
      <c r="AU55" s="49">
        <f t="shared" si="79"/>
        <v>0</v>
      </c>
      <c r="AV55" s="49">
        <f t="shared" si="79"/>
        <v>0</v>
      </c>
      <c r="AW55" s="49">
        <f t="shared" si="79"/>
        <v>0</v>
      </c>
      <c r="AX55" s="49">
        <f t="shared" si="79"/>
        <v>0</v>
      </c>
      <c r="AY55" s="49">
        <f t="shared" si="79"/>
        <v>0</v>
      </c>
      <c r="AZ55" s="49">
        <f t="shared" si="79"/>
        <v>0</v>
      </c>
      <c r="BA55" s="49">
        <f t="shared" si="79"/>
        <v>0</v>
      </c>
      <c r="BB55" s="49">
        <f t="shared" si="79"/>
        <v>0</v>
      </c>
      <c r="BC55" s="49">
        <f t="shared" si="79"/>
        <v>0</v>
      </c>
      <c r="BD55" s="49">
        <f t="shared" si="79"/>
        <v>0</v>
      </c>
      <c r="BE55" s="49">
        <f t="shared" si="79"/>
        <v>0</v>
      </c>
      <c r="BF55" s="49">
        <f t="shared" si="79"/>
        <v>0</v>
      </c>
      <c r="BG55" s="49">
        <f t="shared" si="79"/>
        <v>0</v>
      </c>
      <c r="BH55" s="49">
        <f t="shared" si="79"/>
        <v>0</v>
      </c>
      <c r="BI55" s="49">
        <f t="shared" si="79"/>
        <v>0</v>
      </c>
      <c r="BJ55" s="49">
        <f t="shared" si="79"/>
        <v>0</v>
      </c>
      <c r="BK55" s="49">
        <f t="shared" si="79"/>
        <v>0</v>
      </c>
      <c r="BL55" s="49">
        <f t="shared" si="79"/>
        <v>0</v>
      </c>
      <c r="BM55" s="49">
        <f t="shared" si="79"/>
        <v>0</v>
      </c>
      <c r="BN55" s="49">
        <f t="shared" si="79"/>
        <v>0</v>
      </c>
      <c r="BO55" s="49">
        <f t="shared" si="79"/>
        <v>0</v>
      </c>
      <c r="BP55" s="49">
        <f t="shared" si="79"/>
        <v>0</v>
      </c>
      <c r="BQ55" s="49">
        <f t="shared" si="79"/>
        <v>0</v>
      </c>
      <c r="BR55" s="49">
        <f t="shared" si="79"/>
        <v>0</v>
      </c>
      <c r="BS55" s="49">
        <f t="shared" si="79"/>
        <v>0</v>
      </c>
      <c r="BT55" s="49">
        <f t="shared" si="79"/>
        <v>0</v>
      </c>
      <c r="BU55" s="49">
        <f t="shared" si="79"/>
        <v>0</v>
      </c>
      <c r="BV55" s="49">
        <f t="shared" si="79"/>
        <v>0</v>
      </c>
      <c r="BW55" s="49">
        <f t="shared" si="79"/>
        <v>0</v>
      </c>
      <c r="BX55" s="49">
        <f t="shared" si="79"/>
        <v>0</v>
      </c>
      <c r="BY55" s="49">
        <f t="shared" si="79"/>
        <v>0</v>
      </c>
      <c r="BZ55" s="49">
        <f t="shared" si="79"/>
        <v>0</v>
      </c>
      <c r="CA55" s="49">
        <f t="shared" si="79"/>
        <v>0</v>
      </c>
      <c r="CB55" s="49">
        <f t="shared" si="79"/>
        <v>0</v>
      </c>
      <c r="CC55" s="49">
        <f t="shared" si="79"/>
        <v>0</v>
      </c>
      <c r="CD55" s="49">
        <f t="shared" si="79"/>
        <v>0</v>
      </c>
      <c r="CE55" s="49">
        <f t="shared" si="79"/>
        <v>0</v>
      </c>
      <c r="CF55" s="49">
        <f t="shared" si="79"/>
        <v>0</v>
      </c>
      <c r="CG55" s="49">
        <f t="shared" si="79"/>
        <v>0</v>
      </c>
      <c r="CH55" s="49">
        <f t="shared" si="79"/>
        <v>0</v>
      </c>
      <c r="CI55" s="49">
        <f t="shared" si="79"/>
        <v>0</v>
      </c>
      <c r="CJ55" s="49">
        <f t="shared" si="79"/>
        <v>0</v>
      </c>
      <c r="CK55" s="49">
        <f t="shared" si="79"/>
        <v>0</v>
      </c>
      <c r="CL55" s="49">
        <f t="shared" si="79"/>
        <v>0</v>
      </c>
      <c r="CM55" s="49">
        <f t="shared" si="79"/>
        <v>0</v>
      </c>
      <c r="CN55" s="49">
        <f t="shared" si="79"/>
        <v>0</v>
      </c>
      <c r="CO55" s="49">
        <f t="shared" si="79"/>
        <v>0</v>
      </c>
    </row>
    <row r="56" spans="1:93" s="133" customFormat="1" ht="14.5" thickBot="1">
      <c r="A56" s="10"/>
      <c r="B56" s="10"/>
      <c r="C56" s="17" t="s">
        <v>140</v>
      </c>
      <c r="D56" s="10"/>
      <c r="E56" s="10"/>
      <c r="F56" s="10"/>
      <c r="G56" s="134" t="str">
        <f t="shared" si="52"/>
        <v>тыс. руб.</v>
      </c>
      <c r="H56" s="10"/>
      <c r="I56" s="23">
        <f t="shared" ca="1" si="72"/>
        <v>-1246051.8709808202</v>
      </c>
      <c r="J56" s="10"/>
      <c r="K56" s="10"/>
      <c r="L56" s="10">
        <f t="shared" ref="L56:AQ56" ca="1" si="80">SUMIF(Year,L$6,Profits_Tax)</f>
        <v>0</v>
      </c>
      <c r="M56" s="10">
        <f t="shared" ca="1" si="80"/>
        <v>0</v>
      </c>
      <c r="N56" s="10">
        <f t="shared" ca="1" si="80"/>
        <v>0</v>
      </c>
      <c r="O56" s="10">
        <f t="shared" ca="1" si="80"/>
        <v>0</v>
      </c>
      <c r="P56" s="10">
        <f t="shared" ca="1" si="80"/>
        <v>-1732.9581775828578</v>
      </c>
      <c r="Q56" s="10">
        <f t="shared" ca="1" si="80"/>
        <v>-4227.4596235013005</v>
      </c>
      <c r="R56" s="10">
        <f t="shared" ca="1" si="80"/>
        <v>-6036.645590753119</v>
      </c>
      <c r="S56" s="10">
        <f t="shared" ca="1" si="80"/>
        <v>-9908.8394671194983</v>
      </c>
      <c r="T56" s="10">
        <f t="shared" ca="1" si="80"/>
        <v>-24873.347569397425</v>
      </c>
      <c r="U56" s="10">
        <f t="shared" ca="1" si="80"/>
        <v>-38276.764584929937</v>
      </c>
      <c r="V56" s="10">
        <f t="shared" ca="1" si="80"/>
        <v>-36658.956733864288</v>
      </c>
      <c r="W56" s="10">
        <f t="shared" ca="1" si="80"/>
        <v>-47578.705147279798</v>
      </c>
      <c r="X56" s="10">
        <f t="shared" ca="1" si="80"/>
        <v>-53732.076401924751</v>
      </c>
      <c r="Y56" s="10">
        <f t="shared" ca="1" si="80"/>
        <v>-69179.142585394467</v>
      </c>
      <c r="Z56" s="10">
        <f t="shared" ca="1" si="80"/>
        <v>-130277.28951140986</v>
      </c>
      <c r="AA56" s="10">
        <f t="shared" ca="1" si="80"/>
        <v>-136580.85062214514</v>
      </c>
      <c r="AB56" s="10">
        <f t="shared" ca="1" si="80"/>
        <v>-142498.41806652385</v>
      </c>
      <c r="AC56" s="10">
        <f t="shared" ca="1" si="80"/>
        <v>-148978.01250045106</v>
      </c>
      <c r="AD56" s="10">
        <f t="shared" ca="1" si="80"/>
        <v>-155716.79071173535</v>
      </c>
      <c r="AE56" s="10">
        <f t="shared" ca="1" si="80"/>
        <v>-163091.065635612</v>
      </c>
      <c r="AF56" s="10">
        <f t="shared" ca="1" si="80"/>
        <v>-76704.548051195161</v>
      </c>
      <c r="AG56" s="10">
        <f t="shared" si="80"/>
        <v>0</v>
      </c>
      <c r="AH56" s="10">
        <f t="shared" si="80"/>
        <v>0</v>
      </c>
      <c r="AI56" s="10">
        <f t="shared" si="80"/>
        <v>0</v>
      </c>
      <c r="AJ56" s="10">
        <f t="shared" si="80"/>
        <v>0</v>
      </c>
      <c r="AK56" s="10">
        <f t="shared" si="80"/>
        <v>0</v>
      </c>
      <c r="AL56" s="10">
        <f t="shared" si="80"/>
        <v>0</v>
      </c>
      <c r="AM56" s="10">
        <f t="shared" si="80"/>
        <v>0</v>
      </c>
      <c r="AN56" s="10">
        <f t="shared" si="80"/>
        <v>0</v>
      </c>
      <c r="AO56" s="10">
        <f t="shared" si="80"/>
        <v>0</v>
      </c>
      <c r="AP56" s="10">
        <f t="shared" si="80"/>
        <v>0</v>
      </c>
      <c r="AQ56" s="10">
        <f t="shared" si="80"/>
        <v>0</v>
      </c>
      <c r="AR56" s="10">
        <f t="shared" ref="AR56:BW56" si="81">SUMIF(Year,AR$6,Profits_Tax)</f>
        <v>0</v>
      </c>
      <c r="AS56" s="10">
        <f t="shared" si="81"/>
        <v>0</v>
      </c>
      <c r="AT56" s="10">
        <f t="shared" si="81"/>
        <v>0</v>
      </c>
      <c r="AU56" s="10">
        <f t="shared" si="81"/>
        <v>0</v>
      </c>
      <c r="AV56" s="10">
        <f t="shared" si="81"/>
        <v>0</v>
      </c>
      <c r="AW56" s="10">
        <f t="shared" si="81"/>
        <v>0</v>
      </c>
      <c r="AX56" s="10">
        <f t="shared" si="81"/>
        <v>0</v>
      </c>
      <c r="AY56" s="10">
        <f t="shared" si="81"/>
        <v>0</v>
      </c>
      <c r="AZ56" s="10">
        <f t="shared" si="81"/>
        <v>0</v>
      </c>
      <c r="BA56" s="10">
        <f t="shared" si="81"/>
        <v>0</v>
      </c>
      <c r="BB56" s="10">
        <f t="shared" si="81"/>
        <v>0</v>
      </c>
      <c r="BC56" s="10">
        <f t="shared" si="81"/>
        <v>0</v>
      </c>
      <c r="BD56" s="10">
        <f t="shared" si="81"/>
        <v>0</v>
      </c>
      <c r="BE56" s="10">
        <f t="shared" si="81"/>
        <v>0</v>
      </c>
      <c r="BF56" s="10">
        <f t="shared" si="81"/>
        <v>0</v>
      </c>
      <c r="BG56" s="10">
        <f t="shared" si="81"/>
        <v>0</v>
      </c>
      <c r="BH56" s="10">
        <f t="shared" si="81"/>
        <v>0</v>
      </c>
      <c r="BI56" s="10">
        <f t="shared" si="81"/>
        <v>0</v>
      </c>
      <c r="BJ56" s="10">
        <f t="shared" si="81"/>
        <v>0</v>
      </c>
      <c r="BK56" s="10">
        <f t="shared" si="81"/>
        <v>0</v>
      </c>
      <c r="BL56" s="10">
        <f t="shared" si="81"/>
        <v>0</v>
      </c>
      <c r="BM56" s="10">
        <f t="shared" si="81"/>
        <v>0</v>
      </c>
      <c r="BN56" s="10">
        <f t="shared" si="81"/>
        <v>0</v>
      </c>
      <c r="BO56" s="10">
        <f t="shared" si="81"/>
        <v>0</v>
      </c>
      <c r="BP56" s="10">
        <f t="shared" si="81"/>
        <v>0</v>
      </c>
      <c r="BQ56" s="10">
        <f t="shared" si="81"/>
        <v>0</v>
      </c>
      <c r="BR56" s="10">
        <f t="shared" si="81"/>
        <v>0</v>
      </c>
      <c r="BS56" s="10">
        <f t="shared" si="81"/>
        <v>0</v>
      </c>
      <c r="BT56" s="10">
        <f t="shared" si="81"/>
        <v>0</v>
      </c>
      <c r="BU56" s="10">
        <f t="shared" si="81"/>
        <v>0</v>
      </c>
      <c r="BV56" s="10">
        <f t="shared" si="81"/>
        <v>0</v>
      </c>
      <c r="BW56" s="10">
        <f t="shared" si="81"/>
        <v>0</v>
      </c>
      <c r="BX56" s="10">
        <f t="shared" ref="BX56:CO56" si="82">SUMIF(Year,BX$6,Profits_Tax)</f>
        <v>0</v>
      </c>
      <c r="BY56" s="10">
        <f t="shared" si="82"/>
        <v>0</v>
      </c>
      <c r="BZ56" s="10">
        <f t="shared" si="82"/>
        <v>0</v>
      </c>
      <c r="CA56" s="10">
        <f t="shared" si="82"/>
        <v>0</v>
      </c>
      <c r="CB56" s="10">
        <f t="shared" si="82"/>
        <v>0</v>
      </c>
      <c r="CC56" s="10">
        <f t="shared" si="82"/>
        <v>0</v>
      </c>
      <c r="CD56" s="10">
        <f t="shared" si="82"/>
        <v>0</v>
      </c>
      <c r="CE56" s="10">
        <f t="shared" si="82"/>
        <v>0</v>
      </c>
      <c r="CF56" s="10">
        <f t="shared" si="82"/>
        <v>0</v>
      </c>
      <c r="CG56" s="10">
        <f t="shared" si="82"/>
        <v>0</v>
      </c>
      <c r="CH56" s="10">
        <f t="shared" si="82"/>
        <v>0</v>
      </c>
      <c r="CI56" s="10">
        <f t="shared" si="82"/>
        <v>0</v>
      </c>
      <c r="CJ56" s="10">
        <f t="shared" si="82"/>
        <v>0</v>
      </c>
      <c r="CK56" s="10">
        <f t="shared" si="82"/>
        <v>0</v>
      </c>
      <c r="CL56" s="10">
        <f t="shared" si="82"/>
        <v>0</v>
      </c>
      <c r="CM56" s="10">
        <f t="shared" si="82"/>
        <v>0</v>
      </c>
      <c r="CN56" s="10">
        <f t="shared" si="82"/>
        <v>0</v>
      </c>
      <c r="CO56" s="10">
        <f t="shared" si="82"/>
        <v>0</v>
      </c>
    </row>
    <row r="57" spans="1:93" s="133" customFormat="1" ht="14.5" thickTop="1">
      <c r="A57" s="10"/>
      <c r="B57" s="10"/>
      <c r="C57" s="49" t="s">
        <v>543</v>
      </c>
      <c r="D57" s="136"/>
      <c r="E57" s="136"/>
      <c r="F57" s="136"/>
      <c r="G57" s="137" t="str">
        <f t="shared" si="52"/>
        <v>тыс. руб.</v>
      </c>
      <c r="H57" s="136"/>
      <c r="I57" s="23">
        <f t="shared" ca="1" si="72"/>
        <v>10447292.763717514</v>
      </c>
      <c r="J57" s="136"/>
      <c r="K57" s="136"/>
      <c r="L57" s="49">
        <f t="shared" ref="L57:BW57" ca="1" si="83">SUM(L55:L56)</f>
        <v>0</v>
      </c>
      <c r="M57" s="49">
        <f t="shared" ca="1" si="83"/>
        <v>0</v>
      </c>
      <c r="N57" s="49">
        <f t="shared" ca="1" si="83"/>
        <v>0</v>
      </c>
      <c r="O57" s="49">
        <f t="shared" ca="1" si="83"/>
        <v>0</v>
      </c>
      <c r="P57" s="49">
        <f t="shared" ca="1" si="83"/>
        <v>193461.47312481431</v>
      </c>
      <c r="Q57" s="49">
        <f t="shared" ca="1" si="83"/>
        <v>344214.93587824359</v>
      </c>
      <c r="R57" s="49">
        <f t="shared" ca="1" si="83"/>
        <v>523324.34663617314</v>
      </c>
      <c r="S57" s="49">
        <f t="shared" ca="1" si="83"/>
        <v>692545.64426427789</v>
      </c>
      <c r="T57" s="49">
        <f t="shared" ca="1" si="83"/>
        <v>760395.67745890771</v>
      </c>
      <c r="U57" s="49">
        <f t="shared" ca="1" si="83"/>
        <v>434230.59120854054</v>
      </c>
      <c r="V57" s="49">
        <f t="shared" ca="1" si="83"/>
        <v>412736.85833009728</v>
      </c>
      <c r="W57" s="49">
        <f t="shared" ca="1" si="83"/>
        <v>599336.79998901871</v>
      </c>
      <c r="X57" s="49">
        <f t="shared" ca="1" si="83"/>
        <v>694929.82709429238</v>
      </c>
      <c r="Y57" s="49">
        <f t="shared" ca="1" si="83"/>
        <v>715216.85431916977</v>
      </c>
      <c r="Z57" s="49">
        <f t="shared" ca="1" si="83"/>
        <v>691282.16453783528</v>
      </c>
      <c r="AA57" s="49">
        <f t="shared" ca="1" si="83"/>
        <v>725646.73962539248</v>
      </c>
      <c r="AB57" s="49">
        <f t="shared" ca="1" si="83"/>
        <v>757907.02666087612</v>
      </c>
      <c r="AC57" s="49">
        <f t="shared" ca="1" si="83"/>
        <v>793231.26728454372</v>
      </c>
      <c r="AD57" s="49">
        <f t="shared" ca="1" si="83"/>
        <v>829968.4775331585</v>
      </c>
      <c r="AE57" s="49">
        <f t="shared" ca="1" si="83"/>
        <v>870170.16986009793</v>
      </c>
      <c r="AF57" s="49">
        <f t="shared" ca="1" si="83"/>
        <v>408693.90991207398</v>
      </c>
      <c r="AG57" s="49">
        <f t="shared" si="83"/>
        <v>0</v>
      </c>
      <c r="AH57" s="49">
        <f t="shared" si="83"/>
        <v>0</v>
      </c>
      <c r="AI57" s="49">
        <f t="shared" si="83"/>
        <v>0</v>
      </c>
      <c r="AJ57" s="49">
        <f t="shared" si="83"/>
        <v>0</v>
      </c>
      <c r="AK57" s="49">
        <f t="shared" si="83"/>
        <v>0</v>
      </c>
      <c r="AL57" s="49">
        <f t="shared" si="83"/>
        <v>0</v>
      </c>
      <c r="AM57" s="49">
        <f t="shared" si="83"/>
        <v>0</v>
      </c>
      <c r="AN57" s="49">
        <f t="shared" si="83"/>
        <v>0</v>
      </c>
      <c r="AO57" s="49">
        <f t="shared" si="83"/>
        <v>0</v>
      </c>
      <c r="AP57" s="49">
        <f t="shared" si="83"/>
        <v>0</v>
      </c>
      <c r="AQ57" s="49">
        <f t="shared" si="83"/>
        <v>0</v>
      </c>
      <c r="AR57" s="49">
        <f t="shared" si="83"/>
        <v>0</v>
      </c>
      <c r="AS57" s="49">
        <f t="shared" si="83"/>
        <v>0</v>
      </c>
      <c r="AT57" s="49">
        <f t="shared" si="83"/>
        <v>0</v>
      </c>
      <c r="AU57" s="49">
        <f t="shared" si="83"/>
        <v>0</v>
      </c>
      <c r="AV57" s="49">
        <f t="shared" si="83"/>
        <v>0</v>
      </c>
      <c r="AW57" s="49">
        <f t="shared" si="83"/>
        <v>0</v>
      </c>
      <c r="AX57" s="49">
        <f t="shared" si="83"/>
        <v>0</v>
      </c>
      <c r="AY57" s="49">
        <f t="shared" si="83"/>
        <v>0</v>
      </c>
      <c r="AZ57" s="49">
        <f t="shared" si="83"/>
        <v>0</v>
      </c>
      <c r="BA57" s="49">
        <f t="shared" si="83"/>
        <v>0</v>
      </c>
      <c r="BB57" s="49">
        <f t="shared" si="83"/>
        <v>0</v>
      </c>
      <c r="BC57" s="49">
        <f t="shared" si="83"/>
        <v>0</v>
      </c>
      <c r="BD57" s="49">
        <f t="shared" si="83"/>
        <v>0</v>
      </c>
      <c r="BE57" s="49">
        <f t="shared" si="83"/>
        <v>0</v>
      </c>
      <c r="BF57" s="49">
        <f t="shared" si="83"/>
        <v>0</v>
      </c>
      <c r="BG57" s="49">
        <f t="shared" si="83"/>
        <v>0</v>
      </c>
      <c r="BH57" s="49">
        <f t="shared" si="83"/>
        <v>0</v>
      </c>
      <c r="BI57" s="49">
        <f t="shared" si="83"/>
        <v>0</v>
      </c>
      <c r="BJ57" s="49">
        <f t="shared" si="83"/>
        <v>0</v>
      </c>
      <c r="BK57" s="49">
        <f t="shared" si="83"/>
        <v>0</v>
      </c>
      <c r="BL57" s="49">
        <f t="shared" si="83"/>
        <v>0</v>
      </c>
      <c r="BM57" s="49">
        <f t="shared" si="83"/>
        <v>0</v>
      </c>
      <c r="BN57" s="49">
        <f t="shared" si="83"/>
        <v>0</v>
      </c>
      <c r="BO57" s="49">
        <f t="shared" si="83"/>
        <v>0</v>
      </c>
      <c r="BP57" s="49">
        <f t="shared" si="83"/>
        <v>0</v>
      </c>
      <c r="BQ57" s="49">
        <f t="shared" si="83"/>
        <v>0</v>
      </c>
      <c r="BR57" s="49">
        <f t="shared" si="83"/>
        <v>0</v>
      </c>
      <c r="BS57" s="49">
        <f t="shared" si="83"/>
        <v>0</v>
      </c>
      <c r="BT57" s="49">
        <f t="shared" si="83"/>
        <v>0</v>
      </c>
      <c r="BU57" s="49">
        <f t="shared" si="83"/>
        <v>0</v>
      </c>
      <c r="BV57" s="49">
        <f t="shared" si="83"/>
        <v>0</v>
      </c>
      <c r="BW57" s="49">
        <f t="shared" si="83"/>
        <v>0</v>
      </c>
      <c r="BX57" s="49">
        <f t="shared" ref="BX57:CO57" si="84">SUM(BX55:BX56)</f>
        <v>0</v>
      </c>
      <c r="BY57" s="49">
        <f t="shared" si="84"/>
        <v>0</v>
      </c>
      <c r="BZ57" s="49">
        <f t="shared" si="84"/>
        <v>0</v>
      </c>
      <c r="CA57" s="49">
        <f t="shared" si="84"/>
        <v>0</v>
      </c>
      <c r="CB57" s="49">
        <f t="shared" si="84"/>
        <v>0</v>
      </c>
      <c r="CC57" s="49">
        <f t="shared" si="84"/>
        <v>0</v>
      </c>
      <c r="CD57" s="49">
        <f t="shared" si="84"/>
        <v>0</v>
      </c>
      <c r="CE57" s="49">
        <f t="shared" si="84"/>
        <v>0</v>
      </c>
      <c r="CF57" s="49">
        <f t="shared" si="84"/>
        <v>0</v>
      </c>
      <c r="CG57" s="49">
        <f t="shared" si="84"/>
        <v>0</v>
      </c>
      <c r="CH57" s="49">
        <f t="shared" si="84"/>
        <v>0</v>
      </c>
      <c r="CI57" s="49">
        <f t="shared" si="84"/>
        <v>0</v>
      </c>
      <c r="CJ57" s="49">
        <f t="shared" si="84"/>
        <v>0</v>
      </c>
      <c r="CK57" s="49">
        <f t="shared" si="84"/>
        <v>0</v>
      </c>
      <c r="CL57" s="49">
        <f t="shared" si="84"/>
        <v>0</v>
      </c>
      <c r="CM57" s="49">
        <f t="shared" si="84"/>
        <v>0</v>
      </c>
      <c r="CN57" s="49">
        <f t="shared" si="84"/>
        <v>0</v>
      </c>
      <c r="CO57" s="49">
        <f t="shared" si="84"/>
        <v>0</v>
      </c>
    </row>
    <row r="58" spans="1:93" s="133" customFormat="1" ht="14.5" thickBot="1">
      <c r="A58" s="10"/>
      <c r="B58" s="10"/>
      <c r="C58" s="17" t="s">
        <v>141</v>
      </c>
      <c r="D58" s="10"/>
      <c r="E58" s="10"/>
      <c r="F58" s="10"/>
      <c r="G58" s="134" t="str">
        <f t="shared" si="52"/>
        <v>тыс. руб.</v>
      </c>
      <c r="H58" s="10"/>
      <c r="I58" s="23">
        <f t="shared" ca="1" si="72"/>
        <v>-9928390.6209046002</v>
      </c>
      <c r="J58" s="10"/>
      <c r="K58" s="10"/>
      <c r="L58" s="10">
        <f t="shared" ref="L58:AQ58" ca="1" si="85">SUMIF(Year,L$6,Dividends)</f>
        <v>0</v>
      </c>
      <c r="M58" s="10">
        <f t="shared" ca="1" si="85"/>
        <v>0</v>
      </c>
      <c r="N58" s="10">
        <f t="shared" ca="1" si="85"/>
        <v>0</v>
      </c>
      <c r="O58" s="10">
        <f t="shared" ca="1" si="85"/>
        <v>0</v>
      </c>
      <c r="P58" s="10">
        <f t="shared" ca="1" si="85"/>
        <v>-193461.47312481422</v>
      </c>
      <c r="Q58" s="10">
        <f t="shared" ca="1" si="85"/>
        <v>-344214.93587824306</v>
      </c>
      <c r="R58" s="10">
        <f t="shared" ca="1" si="85"/>
        <v>-523324.34663617314</v>
      </c>
      <c r="S58" s="10">
        <f t="shared" ca="1" si="85"/>
        <v>-544151.5014192611</v>
      </c>
      <c r="T58" s="10">
        <f t="shared" ca="1" si="85"/>
        <v>-443026.35505939362</v>
      </c>
      <c r="U58" s="10">
        <f t="shared" ca="1" si="85"/>
        <v>-267489.79998110898</v>
      </c>
      <c r="V58" s="10">
        <f t="shared" ca="1" si="85"/>
        <v>-31680.953474391885</v>
      </c>
      <c r="W58" s="10">
        <f t="shared" ca="1" si="85"/>
        <v>-56151.821625847937</v>
      </c>
      <c r="X58" s="10">
        <f t="shared" ca="1" si="85"/>
        <v>-822485.44224310992</v>
      </c>
      <c r="Y58" s="10">
        <f t="shared" ca="1" si="85"/>
        <v>-842664.11652800627</v>
      </c>
      <c r="Z58" s="10">
        <f t="shared" ca="1" si="85"/>
        <v>-818616.70790710021</v>
      </c>
      <c r="AA58" s="10">
        <f t="shared" ca="1" si="85"/>
        <v>-852864.09115192026</v>
      </c>
      <c r="AB58" s="10">
        <f t="shared" ca="1" si="85"/>
        <v>-885002.38998968853</v>
      </c>
      <c r="AC58" s="10">
        <f t="shared" ca="1" si="85"/>
        <v>-920199.87299901794</v>
      </c>
      <c r="AD58" s="10">
        <f t="shared" ca="1" si="85"/>
        <v>-956805.21814828669</v>
      </c>
      <c r="AE58" s="10">
        <f t="shared" ca="1" si="85"/>
        <v>-996869.81259483867</v>
      </c>
      <c r="AF58" s="10">
        <f t="shared" ca="1" si="85"/>
        <v>-429381.78214339697</v>
      </c>
      <c r="AG58" s="10">
        <f t="shared" si="85"/>
        <v>0</v>
      </c>
      <c r="AH58" s="10">
        <f t="shared" si="85"/>
        <v>0</v>
      </c>
      <c r="AI58" s="10">
        <f t="shared" si="85"/>
        <v>0</v>
      </c>
      <c r="AJ58" s="10">
        <f t="shared" si="85"/>
        <v>0</v>
      </c>
      <c r="AK58" s="10">
        <f t="shared" si="85"/>
        <v>0</v>
      </c>
      <c r="AL58" s="10">
        <f t="shared" si="85"/>
        <v>0</v>
      </c>
      <c r="AM58" s="10">
        <f t="shared" si="85"/>
        <v>0</v>
      </c>
      <c r="AN58" s="10">
        <f t="shared" si="85"/>
        <v>0</v>
      </c>
      <c r="AO58" s="10">
        <f t="shared" si="85"/>
        <v>0</v>
      </c>
      <c r="AP58" s="10">
        <f t="shared" si="85"/>
        <v>0</v>
      </c>
      <c r="AQ58" s="10">
        <f t="shared" si="85"/>
        <v>0</v>
      </c>
      <c r="AR58" s="10">
        <f t="shared" ref="AR58:BW58" si="86">SUMIF(Year,AR$6,Dividends)</f>
        <v>0</v>
      </c>
      <c r="AS58" s="10">
        <f t="shared" si="86"/>
        <v>0</v>
      </c>
      <c r="AT58" s="10">
        <f t="shared" si="86"/>
        <v>0</v>
      </c>
      <c r="AU58" s="10">
        <f t="shared" si="86"/>
        <v>0</v>
      </c>
      <c r="AV58" s="10">
        <f t="shared" si="86"/>
        <v>0</v>
      </c>
      <c r="AW58" s="10">
        <f t="shared" si="86"/>
        <v>0</v>
      </c>
      <c r="AX58" s="10">
        <f t="shared" si="86"/>
        <v>0</v>
      </c>
      <c r="AY58" s="10">
        <f t="shared" si="86"/>
        <v>0</v>
      </c>
      <c r="AZ58" s="10">
        <f t="shared" si="86"/>
        <v>0</v>
      </c>
      <c r="BA58" s="10">
        <f t="shared" si="86"/>
        <v>0</v>
      </c>
      <c r="BB58" s="10">
        <f t="shared" si="86"/>
        <v>0</v>
      </c>
      <c r="BC58" s="10">
        <f t="shared" si="86"/>
        <v>0</v>
      </c>
      <c r="BD58" s="10">
        <f t="shared" si="86"/>
        <v>0</v>
      </c>
      <c r="BE58" s="10">
        <f t="shared" si="86"/>
        <v>0</v>
      </c>
      <c r="BF58" s="10">
        <f t="shared" si="86"/>
        <v>0</v>
      </c>
      <c r="BG58" s="10">
        <f t="shared" si="86"/>
        <v>0</v>
      </c>
      <c r="BH58" s="10">
        <f t="shared" si="86"/>
        <v>0</v>
      </c>
      <c r="BI58" s="10">
        <f t="shared" si="86"/>
        <v>0</v>
      </c>
      <c r="BJ58" s="10">
        <f t="shared" si="86"/>
        <v>0</v>
      </c>
      <c r="BK58" s="10">
        <f t="shared" si="86"/>
        <v>0</v>
      </c>
      <c r="BL58" s="10">
        <f t="shared" si="86"/>
        <v>0</v>
      </c>
      <c r="BM58" s="10">
        <f t="shared" si="86"/>
        <v>0</v>
      </c>
      <c r="BN58" s="10">
        <f t="shared" si="86"/>
        <v>0</v>
      </c>
      <c r="BO58" s="10">
        <f t="shared" si="86"/>
        <v>0</v>
      </c>
      <c r="BP58" s="10">
        <f t="shared" si="86"/>
        <v>0</v>
      </c>
      <c r="BQ58" s="10">
        <f t="shared" si="86"/>
        <v>0</v>
      </c>
      <c r="BR58" s="10">
        <f t="shared" si="86"/>
        <v>0</v>
      </c>
      <c r="BS58" s="10">
        <f t="shared" si="86"/>
        <v>0</v>
      </c>
      <c r="BT58" s="10">
        <f t="shared" si="86"/>
        <v>0</v>
      </c>
      <c r="BU58" s="10">
        <f t="shared" si="86"/>
        <v>0</v>
      </c>
      <c r="BV58" s="10">
        <f t="shared" si="86"/>
        <v>0</v>
      </c>
      <c r="BW58" s="10">
        <f t="shared" si="86"/>
        <v>0</v>
      </c>
      <c r="BX58" s="10">
        <f t="shared" ref="BX58:CO58" si="87">SUMIF(Year,BX$6,Dividends)</f>
        <v>0</v>
      </c>
      <c r="BY58" s="10">
        <f t="shared" si="87"/>
        <v>0</v>
      </c>
      <c r="BZ58" s="10">
        <f t="shared" si="87"/>
        <v>0</v>
      </c>
      <c r="CA58" s="10">
        <f t="shared" si="87"/>
        <v>0</v>
      </c>
      <c r="CB58" s="10">
        <f t="shared" si="87"/>
        <v>0</v>
      </c>
      <c r="CC58" s="10">
        <f t="shared" si="87"/>
        <v>0</v>
      </c>
      <c r="CD58" s="10">
        <f t="shared" si="87"/>
        <v>0</v>
      </c>
      <c r="CE58" s="10">
        <f t="shared" si="87"/>
        <v>0</v>
      </c>
      <c r="CF58" s="10">
        <f t="shared" si="87"/>
        <v>0</v>
      </c>
      <c r="CG58" s="10">
        <f t="shared" si="87"/>
        <v>0</v>
      </c>
      <c r="CH58" s="10">
        <f t="shared" si="87"/>
        <v>0</v>
      </c>
      <c r="CI58" s="10">
        <f t="shared" si="87"/>
        <v>0</v>
      </c>
      <c r="CJ58" s="10">
        <f t="shared" si="87"/>
        <v>0</v>
      </c>
      <c r="CK58" s="10">
        <f t="shared" si="87"/>
        <v>0</v>
      </c>
      <c r="CL58" s="10">
        <f t="shared" si="87"/>
        <v>0</v>
      </c>
      <c r="CM58" s="10">
        <f t="shared" si="87"/>
        <v>0</v>
      </c>
      <c r="CN58" s="10">
        <f t="shared" si="87"/>
        <v>0</v>
      </c>
      <c r="CO58" s="10">
        <f t="shared" si="87"/>
        <v>0</v>
      </c>
    </row>
    <row r="59" spans="1:93" s="133" customFormat="1" ht="14.5" thickTop="1">
      <c r="A59" s="10"/>
      <c r="B59" s="10"/>
      <c r="C59" s="49" t="s">
        <v>142</v>
      </c>
      <c r="D59" s="136"/>
      <c r="E59" s="136"/>
      <c r="F59" s="136"/>
      <c r="G59" s="137" t="str">
        <f t="shared" si="52"/>
        <v>тыс. руб.</v>
      </c>
      <c r="H59" s="136"/>
      <c r="I59" s="23">
        <f t="shared" ca="1" si="72"/>
        <v>518902.14281291381</v>
      </c>
      <c r="J59" s="136"/>
      <c r="K59" s="136"/>
      <c r="L59" s="49">
        <f t="shared" ref="L59:BW59" ca="1" si="88">SUM(L57:L58)</f>
        <v>0</v>
      </c>
      <c r="M59" s="49">
        <f t="shared" ca="1" si="88"/>
        <v>0</v>
      </c>
      <c r="N59" s="49">
        <f t="shared" ca="1" si="88"/>
        <v>0</v>
      </c>
      <c r="O59" s="49">
        <f t="shared" ca="1" si="88"/>
        <v>0</v>
      </c>
      <c r="P59" s="49">
        <f t="shared" ca="1" si="88"/>
        <v>0</v>
      </c>
      <c r="Q59" s="49">
        <f t="shared" ca="1" si="88"/>
        <v>5.2386894822120667E-10</v>
      </c>
      <c r="R59" s="49">
        <f t="shared" ca="1" si="88"/>
        <v>0</v>
      </c>
      <c r="S59" s="49">
        <f t="shared" ca="1" si="88"/>
        <v>148394.14284501679</v>
      </c>
      <c r="T59" s="49">
        <f t="shared" ca="1" si="88"/>
        <v>317369.32239951409</v>
      </c>
      <c r="U59" s="49">
        <f t="shared" ca="1" si="88"/>
        <v>166740.79122743156</v>
      </c>
      <c r="V59" s="49">
        <f t="shared" ca="1" si="88"/>
        <v>381055.90485570539</v>
      </c>
      <c r="W59" s="49">
        <f t="shared" ca="1" si="88"/>
        <v>543184.97836317075</v>
      </c>
      <c r="X59" s="49">
        <f t="shared" ca="1" si="88"/>
        <v>-127555.61514881754</v>
      </c>
      <c r="Y59" s="49">
        <f t="shared" ca="1" si="88"/>
        <v>-127447.2622088365</v>
      </c>
      <c r="Z59" s="49">
        <f t="shared" ca="1" si="88"/>
        <v>-127334.54336926492</v>
      </c>
      <c r="AA59" s="49">
        <f t="shared" ca="1" si="88"/>
        <v>-127217.35152652778</v>
      </c>
      <c r="AB59" s="49">
        <f t="shared" ca="1" si="88"/>
        <v>-127095.36332881241</v>
      </c>
      <c r="AC59" s="49">
        <f t="shared" ca="1" si="88"/>
        <v>-126968.60571447422</v>
      </c>
      <c r="AD59" s="49">
        <f t="shared" ca="1" si="88"/>
        <v>-126836.74061512819</v>
      </c>
      <c r="AE59" s="49">
        <f t="shared" ca="1" si="88"/>
        <v>-126699.64273474074</v>
      </c>
      <c r="AF59" s="49">
        <f t="shared" ca="1" si="88"/>
        <v>-20687.872231322981</v>
      </c>
      <c r="AG59" s="49">
        <f t="shared" si="88"/>
        <v>0</v>
      </c>
      <c r="AH59" s="49">
        <f t="shared" si="88"/>
        <v>0</v>
      </c>
      <c r="AI59" s="49">
        <f t="shared" si="88"/>
        <v>0</v>
      </c>
      <c r="AJ59" s="49">
        <f t="shared" si="88"/>
        <v>0</v>
      </c>
      <c r="AK59" s="49">
        <f t="shared" si="88"/>
        <v>0</v>
      </c>
      <c r="AL59" s="49">
        <f t="shared" si="88"/>
        <v>0</v>
      </c>
      <c r="AM59" s="49">
        <f t="shared" si="88"/>
        <v>0</v>
      </c>
      <c r="AN59" s="49">
        <f t="shared" si="88"/>
        <v>0</v>
      </c>
      <c r="AO59" s="49">
        <f t="shared" si="88"/>
        <v>0</v>
      </c>
      <c r="AP59" s="49">
        <f t="shared" si="88"/>
        <v>0</v>
      </c>
      <c r="AQ59" s="49">
        <f t="shared" si="88"/>
        <v>0</v>
      </c>
      <c r="AR59" s="49">
        <f t="shared" si="88"/>
        <v>0</v>
      </c>
      <c r="AS59" s="49">
        <f t="shared" si="88"/>
        <v>0</v>
      </c>
      <c r="AT59" s="49">
        <f t="shared" si="88"/>
        <v>0</v>
      </c>
      <c r="AU59" s="49">
        <f t="shared" si="88"/>
        <v>0</v>
      </c>
      <c r="AV59" s="49">
        <f t="shared" si="88"/>
        <v>0</v>
      </c>
      <c r="AW59" s="49">
        <f t="shared" si="88"/>
        <v>0</v>
      </c>
      <c r="AX59" s="49">
        <f t="shared" si="88"/>
        <v>0</v>
      </c>
      <c r="AY59" s="49">
        <f t="shared" si="88"/>
        <v>0</v>
      </c>
      <c r="AZ59" s="49">
        <f t="shared" si="88"/>
        <v>0</v>
      </c>
      <c r="BA59" s="49">
        <f t="shared" si="88"/>
        <v>0</v>
      </c>
      <c r="BB59" s="49">
        <f t="shared" si="88"/>
        <v>0</v>
      </c>
      <c r="BC59" s="49">
        <f t="shared" si="88"/>
        <v>0</v>
      </c>
      <c r="BD59" s="49">
        <f t="shared" si="88"/>
        <v>0</v>
      </c>
      <c r="BE59" s="49">
        <f t="shared" si="88"/>
        <v>0</v>
      </c>
      <c r="BF59" s="49">
        <f t="shared" si="88"/>
        <v>0</v>
      </c>
      <c r="BG59" s="49">
        <f t="shared" si="88"/>
        <v>0</v>
      </c>
      <c r="BH59" s="49">
        <f t="shared" si="88"/>
        <v>0</v>
      </c>
      <c r="BI59" s="49">
        <f t="shared" si="88"/>
        <v>0</v>
      </c>
      <c r="BJ59" s="49">
        <f t="shared" si="88"/>
        <v>0</v>
      </c>
      <c r="BK59" s="49">
        <f t="shared" si="88"/>
        <v>0</v>
      </c>
      <c r="BL59" s="49">
        <f t="shared" si="88"/>
        <v>0</v>
      </c>
      <c r="BM59" s="49">
        <f t="shared" si="88"/>
        <v>0</v>
      </c>
      <c r="BN59" s="49">
        <f t="shared" si="88"/>
        <v>0</v>
      </c>
      <c r="BO59" s="49">
        <f t="shared" si="88"/>
        <v>0</v>
      </c>
      <c r="BP59" s="49">
        <f t="shared" si="88"/>
        <v>0</v>
      </c>
      <c r="BQ59" s="49">
        <f t="shared" si="88"/>
        <v>0</v>
      </c>
      <c r="BR59" s="49">
        <f t="shared" si="88"/>
        <v>0</v>
      </c>
      <c r="BS59" s="49">
        <f t="shared" si="88"/>
        <v>0</v>
      </c>
      <c r="BT59" s="49">
        <f t="shared" si="88"/>
        <v>0</v>
      </c>
      <c r="BU59" s="49">
        <f t="shared" si="88"/>
        <v>0</v>
      </c>
      <c r="BV59" s="49">
        <f t="shared" si="88"/>
        <v>0</v>
      </c>
      <c r="BW59" s="49">
        <f t="shared" si="88"/>
        <v>0</v>
      </c>
      <c r="BX59" s="49">
        <f t="shared" ref="BX59:CO59" si="89">SUM(BX57:BX58)</f>
        <v>0</v>
      </c>
      <c r="BY59" s="49">
        <f t="shared" si="89"/>
        <v>0</v>
      </c>
      <c r="BZ59" s="49">
        <f t="shared" si="89"/>
        <v>0</v>
      </c>
      <c r="CA59" s="49">
        <f t="shared" si="89"/>
        <v>0</v>
      </c>
      <c r="CB59" s="49">
        <f t="shared" si="89"/>
        <v>0</v>
      </c>
      <c r="CC59" s="49">
        <f t="shared" si="89"/>
        <v>0</v>
      </c>
      <c r="CD59" s="49">
        <f t="shared" si="89"/>
        <v>0</v>
      </c>
      <c r="CE59" s="49">
        <f t="shared" si="89"/>
        <v>0</v>
      </c>
      <c r="CF59" s="49">
        <f t="shared" si="89"/>
        <v>0</v>
      </c>
      <c r="CG59" s="49">
        <f t="shared" si="89"/>
        <v>0</v>
      </c>
      <c r="CH59" s="49">
        <f t="shared" si="89"/>
        <v>0</v>
      </c>
      <c r="CI59" s="49">
        <f t="shared" si="89"/>
        <v>0</v>
      </c>
      <c r="CJ59" s="49">
        <f t="shared" si="89"/>
        <v>0</v>
      </c>
      <c r="CK59" s="49">
        <f t="shared" si="89"/>
        <v>0</v>
      </c>
      <c r="CL59" s="49">
        <f t="shared" si="89"/>
        <v>0</v>
      </c>
      <c r="CM59" s="49">
        <f t="shared" si="89"/>
        <v>0</v>
      </c>
      <c r="CN59" s="49">
        <f t="shared" si="89"/>
        <v>0</v>
      </c>
      <c r="CO59" s="49">
        <f t="shared" si="89"/>
        <v>0</v>
      </c>
    </row>
    <row r="60" spans="1:93" s="133" customFormat="1" ht="14">
      <c r="A60" s="10"/>
      <c r="B60" s="10"/>
      <c r="C60" s="17"/>
      <c r="D60" s="10"/>
      <c r="E60" s="10"/>
      <c r="F60" s="10"/>
      <c r="G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</row>
    <row r="61" spans="1:93" s="133" customFormat="1" ht="14">
      <c r="A61" s="10"/>
      <c r="B61" s="10"/>
      <c r="C61" s="17" t="s">
        <v>81</v>
      </c>
      <c r="D61" s="10"/>
      <c r="E61" s="10"/>
      <c r="F61" s="10"/>
      <c r="G61" s="134" t="str">
        <f>Monetary_Unit</f>
        <v>тыс. руб.</v>
      </c>
      <c r="H61" s="10"/>
      <c r="I61" s="23">
        <f ca="1">SUM(L61:CQ61)</f>
        <v>16068307.48463008</v>
      </c>
      <c r="J61" s="10"/>
      <c r="K61" s="10"/>
      <c r="L61" s="52">
        <f ca="1">SUM(L44:L45,L47)</f>
        <v>0</v>
      </c>
      <c r="M61" s="52">
        <f t="shared" ref="M61:BX61" ca="1" si="90">SUM(M44:M45,M47)</f>
        <v>0</v>
      </c>
      <c r="N61" s="52">
        <f t="shared" ca="1" si="90"/>
        <v>0</v>
      </c>
      <c r="O61" s="52">
        <f t="shared" ca="1" si="90"/>
        <v>0</v>
      </c>
      <c r="P61" s="52">
        <f t="shared" ca="1" si="90"/>
        <v>604686.32852553402</v>
      </c>
      <c r="Q61" s="52">
        <f t="shared" ca="1" si="90"/>
        <v>869140.49369720044</v>
      </c>
      <c r="R61" s="52">
        <f t="shared" ca="1" si="90"/>
        <v>1021066.9213410967</v>
      </c>
      <c r="S61" s="52">
        <f ca="1">SUM(S44:S45,S47)</f>
        <v>1163561.9536894187</v>
      </c>
      <c r="T61" s="52">
        <f t="shared" ca="1" si="90"/>
        <v>1213968.906788554</v>
      </c>
      <c r="U61" s="52">
        <f t="shared" ca="1" si="90"/>
        <v>867001.96739319805</v>
      </c>
      <c r="V61" s="52">
        <f t="shared" ca="1" si="90"/>
        <v>811529.25341676362</v>
      </c>
      <c r="W61" s="52">
        <f t="shared" ca="1" si="90"/>
        <v>846292.54668043088</v>
      </c>
      <c r="X61" s="52">
        <f t="shared" ca="1" si="90"/>
        <v>878927.13669434097</v>
      </c>
      <c r="Y61" s="52">
        <f t="shared" ca="1" si="90"/>
        <v>914661.23010268807</v>
      </c>
      <c r="Z61" s="52">
        <f t="shared" ca="1" si="90"/>
        <v>951824.68724736897</v>
      </c>
      <c r="AA61" s="52">
        <f t="shared" ca="1" si="90"/>
        <v>992492.82344566146</v>
      </c>
      <c r="AB61" s="52">
        <f t="shared" ca="1" si="90"/>
        <v>1030670.6779255238</v>
      </c>
      <c r="AC61" s="52">
        <f t="shared" ca="1" si="90"/>
        <v>1072474.5129831186</v>
      </c>
      <c r="AD61" s="52">
        <f t="shared" ca="1" si="90"/>
        <v>1115950.5014430177</v>
      </c>
      <c r="AE61" s="52">
        <f t="shared" ca="1" si="90"/>
        <v>1163526.4686938338</v>
      </c>
      <c r="AF61" s="52">
        <f t="shared" ca="1" si="90"/>
        <v>550531.07456233108</v>
      </c>
      <c r="AG61" s="52">
        <f t="shared" si="90"/>
        <v>0</v>
      </c>
      <c r="AH61" s="52">
        <f t="shared" si="90"/>
        <v>0</v>
      </c>
      <c r="AI61" s="52">
        <f t="shared" si="90"/>
        <v>0</v>
      </c>
      <c r="AJ61" s="52">
        <f t="shared" si="90"/>
        <v>0</v>
      </c>
      <c r="AK61" s="52">
        <f t="shared" si="90"/>
        <v>0</v>
      </c>
      <c r="AL61" s="52">
        <f t="shared" si="90"/>
        <v>0</v>
      </c>
      <c r="AM61" s="52">
        <f t="shared" si="90"/>
        <v>0</v>
      </c>
      <c r="AN61" s="52">
        <f t="shared" si="90"/>
        <v>0</v>
      </c>
      <c r="AO61" s="52">
        <f t="shared" si="90"/>
        <v>0</v>
      </c>
      <c r="AP61" s="52">
        <f t="shared" si="90"/>
        <v>0</v>
      </c>
      <c r="AQ61" s="52">
        <f t="shared" si="90"/>
        <v>0</v>
      </c>
      <c r="AR61" s="52">
        <f t="shared" si="90"/>
        <v>0</v>
      </c>
      <c r="AS61" s="52">
        <f t="shared" si="90"/>
        <v>0</v>
      </c>
      <c r="AT61" s="52">
        <f t="shared" si="90"/>
        <v>0</v>
      </c>
      <c r="AU61" s="52">
        <f t="shared" si="90"/>
        <v>0</v>
      </c>
      <c r="AV61" s="52">
        <f t="shared" si="90"/>
        <v>0</v>
      </c>
      <c r="AW61" s="52">
        <f t="shared" si="90"/>
        <v>0</v>
      </c>
      <c r="AX61" s="52">
        <f t="shared" si="90"/>
        <v>0</v>
      </c>
      <c r="AY61" s="52">
        <f t="shared" si="90"/>
        <v>0</v>
      </c>
      <c r="AZ61" s="52">
        <f t="shared" si="90"/>
        <v>0</v>
      </c>
      <c r="BA61" s="52">
        <f t="shared" si="90"/>
        <v>0</v>
      </c>
      <c r="BB61" s="52">
        <f t="shared" si="90"/>
        <v>0</v>
      </c>
      <c r="BC61" s="52">
        <f t="shared" si="90"/>
        <v>0</v>
      </c>
      <c r="BD61" s="52">
        <f t="shared" si="90"/>
        <v>0</v>
      </c>
      <c r="BE61" s="52">
        <f t="shared" si="90"/>
        <v>0</v>
      </c>
      <c r="BF61" s="52">
        <f t="shared" si="90"/>
        <v>0</v>
      </c>
      <c r="BG61" s="52">
        <f t="shared" si="90"/>
        <v>0</v>
      </c>
      <c r="BH61" s="52">
        <f t="shared" si="90"/>
        <v>0</v>
      </c>
      <c r="BI61" s="52">
        <f t="shared" si="90"/>
        <v>0</v>
      </c>
      <c r="BJ61" s="52">
        <f t="shared" si="90"/>
        <v>0</v>
      </c>
      <c r="BK61" s="52">
        <f t="shared" si="90"/>
        <v>0</v>
      </c>
      <c r="BL61" s="52">
        <f t="shared" si="90"/>
        <v>0</v>
      </c>
      <c r="BM61" s="52">
        <f t="shared" si="90"/>
        <v>0</v>
      </c>
      <c r="BN61" s="52">
        <f t="shared" si="90"/>
        <v>0</v>
      </c>
      <c r="BO61" s="52">
        <f t="shared" si="90"/>
        <v>0</v>
      </c>
      <c r="BP61" s="52">
        <f t="shared" si="90"/>
        <v>0</v>
      </c>
      <c r="BQ61" s="52">
        <f t="shared" si="90"/>
        <v>0</v>
      </c>
      <c r="BR61" s="52">
        <f t="shared" si="90"/>
        <v>0</v>
      </c>
      <c r="BS61" s="52">
        <f t="shared" si="90"/>
        <v>0</v>
      </c>
      <c r="BT61" s="52">
        <f t="shared" si="90"/>
        <v>0</v>
      </c>
      <c r="BU61" s="52">
        <f t="shared" si="90"/>
        <v>0</v>
      </c>
      <c r="BV61" s="52">
        <f t="shared" si="90"/>
        <v>0</v>
      </c>
      <c r="BW61" s="52">
        <f t="shared" si="90"/>
        <v>0</v>
      </c>
      <c r="BX61" s="52">
        <f t="shared" si="90"/>
        <v>0</v>
      </c>
      <c r="BY61" s="52">
        <f t="shared" ref="BY61:CO61" si="91">SUM(BY44:BY45,BY47)</f>
        <v>0</v>
      </c>
      <c r="BZ61" s="52">
        <f t="shared" si="91"/>
        <v>0</v>
      </c>
      <c r="CA61" s="52">
        <f t="shared" si="91"/>
        <v>0</v>
      </c>
      <c r="CB61" s="52">
        <f t="shared" si="91"/>
        <v>0</v>
      </c>
      <c r="CC61" s="52">
        <f t="shared" si="91"/>
        <v>0</v>
      </c>
      <c r="CD61" s="52">
        <f t="shared" si="91"/>
        <v>0</v>
      </c>
      <c r="CE61" s="52">
        <f t="shared" si="91"/>
        <v>0</v>
      </c>
      <c r="CF61" s="52">
        <f t="shared" si="91"/>
        <v>0</v>
      </c>
      <c r="CG61" s="52">
        <f t="shared" si="91"/>
        <v>0</v>
      </c>
      <c r="CH61" s="52">
        <f t="shared" si="91"/>
        <v>0</v>
      </c>
      <c r="CI61" s="52">
        <f t="shared" si="91"/>
        <v>0</v>
      </c>
      <c r="CJ61" s="52">
        <f t="shared" si="91"/>
        <v>0</v>
      </c>
      <c r="CK61" s="52">
        <f t="shared" si="91"/>
        <v>0</v>
      </c>
      <c r="CL61" s="52">
        <f t="shared" si="91"/>
        <v>0</v>
      </c>
      <c r="CM61" s="52">
        <f t="shared" si="91"/>
        <v>0</v>
      </c>
      <c r="CN61" s="52">
        <f t="shared" si="91"/>
        <v>0</v>
      </c>
      <c r="CO61" s="52">
        <f t="shared" si="91"/>
        <v>0</v>
      </c>
    </row>
    <row r="62" spans="1:93" s="133" customFormat="1" ht="14">
      <c r="A62" s="10"/>
      <c r="B62" s="10"/>
      <c r="C62" s="17" t="s">
        <v>82</v>
      </c>
      <c r="D62" s="10"/>
      <c r="E62" s="10"/>
      <c r="F62" s="10"/>
      <c r="G62" s="134" t="str">
        <f>Monetary_Unit</f>
        <v>тыс. руб.</v>
      </c>
      <c r="H62" s="10"/>
      <c r="I62" s="23">
        <f ca="1">SUM(L62:CQ62)</f>
        <v>12795674.861821311</v>
      </c>
      <c r="J62" s="10"/>
      <c r="K62" s="10"/>
      <c r="L62" s="52">
        <f ca="1">SUM(L44:L45,L47,L51)</f>
        <v>0</v>
      </c>
      <c r="M62" s="52">
        <f t="shared" ref="M62:BX62" ca="1" si="92">SUM(M44:M45,M47,M51)</f>
        <v>0</v>
      </c>
      <c r="N62" s="52">
        <f t="shared" ca="1" si="92"/>
        <v>0</v>
      </c>
      <c r="O62" s="52">
        <f t="shared" ca="1" si="92"/>
        <v>0</v>
      </c>
      <c r="P62" s="52">
        <f t="shared" ca="1" si="92"/>
        <v>383149.2696977348</v>
      </c>
      <c r="Q62" s="52">
        <f t="shared" ca="1" si="92"/>
        <v>573757.74859346822</v>
      </c>
      <c r="R62" s="52">
        <f t="shared" ca="1" si="92"/>
        <v>725684.17623736453</v>
      </c>
      <c r="S62" s="52">
        <f t="shared" ca="1" si="92"/>
        <v>868179.20858568652</v>
      </c>
      <c r="T62" s="52">
        <f t="shared" ca="1" si="92"/>
        <v>918586.16168482183</v>
      </c>
      <c r="U62" s="52">
        <f t="shared" ca="1" si="92"/>
        <v>571619.22228946583</v>
      </c>
      <c r="V62" s="52">
        <f t="shared" ca="1" si="92"/>
        <v>516146.50831303134</v>
      </c>
      <c r="W62" s="52">
        <f t="shared" ca="1" si="92"/>
        <v>674747.93550590531</v>
      </c>
      <c r="X62" s="52">
        <f t="shared" ca="1" si="92"/>
        <v>748661.9034962171</v>
      </c>
      <c r="Y62" s="52">
        <f t="shared" ca="1" si="92"/>
        <v>784395.99690456421</v>
      </c>
      <c r="Z62" s="52">
        <f t="shared" ca="1" si="92"/>
        <v>821559.45404924511</v>
      </c>
      <c r="AA62" s="52">
        <f t="shared" ca="1" si="92"/>
        <v>862227.59024753759</v>
      </c>
      <c r="AB62" s="52">
        <f t="shared" ca="1" si="92"/>
        <v>900405.44472739997</v>
      </c>
      <c r="AC62" s="52">
        <f t="shared" ca="1" si="92"/>
        <v>942209.27978499478</v>
      </c>
      <c r="AD62" s="52">
        <f t="shared" ca="1" si="92"/>
        <v>985685.26824489387</v>
      </c>
      <c r="AE62" s="52">
        <f t="shared" ca="1" si="92"/>
        <v>1033261.2354957099</v>
      </c>
      <c r="AF62" s="52">
        <f t="shared" ca="1" si="92"/>
        <v>485398.45796326915</v>
      </c>
      <c r="AG62" s="52">
        <f t="shared" si="92"/>
        <v>0</v>
      </c>
      <c r="AH62" s="52">
        <f t="shared" si="92"/>
        <v>0</v>
      </c>
      <c r="AI62" s="52">
        <f t="shared" si="92"/>
        <v>0</v>
      </c>
      <c r="AJ62" s="52">
        <f t="shared" si="92"/>
        <v>0</v>
      </c>
      <c r="AK62" s="52">
        <f t="shared" si="92"/>
        <v>0</v>
      </c>
      <c r="AL62" s="52">
        <f t="shared" si="92"/>
        <v>0</v>
      </c>
      <c r="AM62" s="52">
        <f t="shared" si="92"/>
        <v>0</v>
      </c>
      <c r="AN62" s="52">
        <f t="shared" si="92"/>
        <v>0</v>
      </c>
      <c r="AO62" s="52">
        <f t="shared" si="92"/>
        <v>0</v>
      </c>
      <c r="AP62" s="52">
        <f t="shared" si="92"/>
        <v>0</v>
      </c>
      <c r="AQ62" s="52">
        <f t="shared" si="92"/>
        <v>0</v>
      </c>
      <c r="AR62" s="52">
        <f t="shared" si="92"/>
        <v>0</v>
      </c>
      <c r="AS62" s="52">
        <f t="shared" si="92"/>
        <v>0</v>
      </c>
      <c r="AT62" s="52">
        <f t="shared" si="92"/>
        <v>0</v>
      </c>
      <c r="AU62" s="52">
        <f t="shared" si="92"/>
        <v>0</v>
      </c>
      <c r="AV62" s="52">
        <f t="shared" si="92"/>
        <v>0</v>
      </c>
      <c r="AW62" s="52">
        <f t="shared" si="92"/>
        <v>0</v>
      </c>
      <c r="AX62" s="52">
        <f t="shared" si="92"/>
        <v>0</v>
      </c>
      <c r="AY62" s="52">
        <f t="shared" si="92"/>
        <v>0</v>
      </c>
      <c r="AZ62" s="52">
        <f t="shared" si="92"/>
        <v>0</v>
      </c>
      <c r="BA62" s="52">
        <f t="shared" si="92"/>
        <v>0</v>
      </c>
      <c r="BB62" s="52">
        <f t="shared" si="92"/>
        <v>0</v>
      </c>
      <c r="BC62" s="52">
        <f t="shared" si="92"/>
        <v>0</v>
      </c>
      <c r="BD62" s="52">
        <f t="shared" si="92"/>
        <v>0</v>
      </c>
      <c r="BE62" s="52">
        <f t="shared" si="92"/>
        <v>0</v>
      </c>
      <c r="BF62" s="52">
        <f t="shared" si="92"/>
        <v>0</v>
      </c>
      <c r="BG62" s="52">
        <f t="shared" si="92"/>
        <v>0</v>
      </c>
      <c r="BH62" s="52">
        <f t="shared" si="92"/>
        <v>0</v>
      </c>
      <c r="BI62" s="52">
        <f t="shared" si="92"/>
        <v>0</v>
      </c>
      <c r="BJ62" s="52">
        <f t="shared" si="92"/>
        <v>0</v>
      </c>
      <c r="BK62" s="52">
        <f t="shared" si="92"/>
        <v>0</v>
      </c>
      <c r="BL62" s="52">
        <f t="shared" si="92"/>
        <v>0</v>
      </c>
      <c r="BM62" s="52">
        <f t="shared" si="92"/>
        <v>0</v>
      </c>
      <c r="BN62" s="52">
        <f t="shared" si="92"/>
        <v>0</v>
      </c>
      <c r="BO62" s="52">
        <f t="shared" si="92"/>
        <v>0</v>
      </c>
      <c r="BP62" s="52">
        <f t="shared" si="92"/>
        <v>0</v>
      </c>
      <c r="BQ62" s="52">
        <f t="shared" si="92"/>
        <v>0</v>
      </c>
      <c r="BR62" s="52">
        <f t="shared" si="92"/>
        <v>0</v>
      </c>
      <c r="BS62" s="52">
        <f t="shared" si="92"/>
        <v>0</v>
      </c>
      <c r="BT62" s="52">
        <f t="shared" si="92"/>
        <v>0</v>
      </c>
      <c r="BU62" s="52">
        <f t="shared" si="92"/>
        <v>0</v>
      </c>
      <c r="BV62" s="52">
        <f t="shared" si="92"/>
        <v>0</v>
      </c>
      <c r="BW62" s="52">
        <f t="shared" si="92"/>
        <v>0</v>
      </c>
      <c r="BX62" s="52">
        <f t="shared" si="92"/>
        <v>0</v>
      </c>
      <c r="BY62" s="52">
        <f t="shared" ref="BY62:CO62" si="93">SUM(BY44:BY45,BY47,BY51)</f>
        <v>0</v>
      </c>
      <c r="BZ62" s="52">
        <f t="shared" si="93"/>
        <v>0</v>
      </c>
      <c r="CA62" s="52">
        <f t="shared" si="93"/>
        <v>0</v>
      </c>
      <c r="CB62" s="52">
        <f t="shared" si="93"/>
        <v>0</v>
      </c>
      <c r="CC62" s="52">
        <f t="shared" si="93"/>
        <v>0</v>
      </c>
      <c r="CD62" s="52">
        <f t="shared" si="93"/>
        <v>0</v>
      </c>
      <c r="CE62" s="52">
        <f t="shared" si="93"/>
        <v>0</v>
      </c>
      <c r="CF62" s="52">
        <f t="shared" si="93"/>
        <v>0</v>
      </c>
      <c r="CG62" s="52">
        <f t="shared" si="93"/>
        <v>0</v>
      </c>
      <c r="CH62" s="52">
        <f t="shared" si="93"/>
        <v>0</v>
      </c>
      <c r="CI62" s="52">
        <f t="shared" si="93"/>
        <v>0</v>
      </c>
      <c r="CJ62" s="52">
        <f t="shared" si="93"/>
        <v>0</v>
      </c>
      <c r="CK62" s="52">
        <f t="shared" si="93"/>
        <v>0</v>
      </c>
      <c r="CL62" s="52">
        <f t="shared" si="93"/>
        <v>0</v>
      </c>
      <c r="CM62" s="52">
        <f t="shared" si="93"/>
        <v>0</v>
      </c>
      <c r="CN62" s="52">
        <f t="shared" si="93"/>
        <v>0</v>
      </c>
      <c r="CO62" s="52">
        <f t="shared" si="93"/>
        <v>0</v>
      </c>
    </row>
    <row r="63" spans="1:93" s="133" customFormat="1" ht="14">
      <c r="A63" s="10"/>
      <c r="B63" s="10"/>
      <c r="C63" s="17" t="s">
        <v>513</v>
      </c>
      <c r="D63" s="10"/>
      <c r="E63" s="10"/>
      <c r="F63" s="10"/>
      <c r="G63" s="134" t="s">
        <v>28</v>
      </c>
      <c r="H63" s="10"/>
      <c r="I63" s="10"/>
      <c r="J63" s="10"/>
      <c r="K63" s="10"/>
      <c r="L63" s="43">
        <f ca="1">IFERROR(L61/L44,0)</f>
        <v>0</v>
      </c>
      <c r="M63" s="43">
        <f t="shared" ref="M63:BX63" ca="1" si="94">IFERROR(M61/M44,0)</f>
        <v>0</v>
      </c>
      <c r="N63" s="43">
        <f t="shared" ca="1" si="94"/>
        <v>0</v>
      </c>
      <c r="O63" s="43">
        <f t="shared" ca="1" si="94"/>
        <v>0</v>
      </c>
      <c r="P63" s="43">
        <f t="shared" ca="1" si="94"/>
        <v>0.36535709816865697</v>
      </c>
      <c r="Q63" s="43">
        <f t="shared" ca="1" si="94"/>
        <v>0.36586911856798088</v>
      </c>
      <c r="R63" s="43">
        <f t="shared" ca="1" si="94"/>
        <v>0.36680371617884</v>
      </c>
      <c r="S63" s="43">
        <f t="shared" ca="1" si="94"/>
        <v>0.3674601623688683</v>
      </c>
      <c r="T63" s="43">
        <f t="shared" ca="1" si="94"/>
        <v>0.36764793082921654</v>
      </c>
      <c r="U63" s="43">
        <f t="shared" ca="1" si="94"/>
        <v>0.28765527579632771</v>
      </c>
      <c r="V63" s="43">
        <f t="shared" ca="1" si="94"/>
        <v>0.2670926953015263</v>
      </c>
      <c r="W63" s="43">
        <f t="shared" ca="1" si="94"/>
        <v>0.26728519904020381</v>
      </c>
      <c r="X63" s="43">
        <f t="shared" ca="1" si="94"/>
        <v>0.26745087676760876</v>
      </c>
      <c r="Y63" s="43">
        <f t="shared" ca="1" si="94"/>
        <v>0.26761970287341685</v>
      </c>
      <c r="Z63" s="43">
        <f t="shared" ca="1" si="94"/>
        <v>0.26778203566746311</v>
      </c>
      <c r="AA63" s="43">
        <f t="shared" ca="1" si="94"/>
        <v>0.26794669968750506</v>
      </c>
      <c r="AB63" s="43">
        <f t="shared" ca="1" si="94"/>
        <v>0.26808821068581956</v>
      </c>
      <c r="AC63" s="43">
        <f t="shared" ca="1" si="94"/>
        <v>0.26823252394861963</v>
      </c>
      <c r="AD63" s="43">
        <f t="shared" ca="1" si="94"/>
        <v>0.26837128670131216</v>
      </c>
      <c r="AE63" s="43">
        <f t="shared" ca="1" si="94"/>
        <v>0.26851215321318661</v>
      </c>
      <c r="AF63" s="43">
        <f t="shared" ca="1" si="94"/>
        <v>0.26832530102495727</v>
      </c>
      <c r="AG63" s="43">
        <f t="shared" si="94"/>
        <v>0</v>
      </c>
      <c r="AH63" s="43">
        <f t="shared" si="94"/>
        <v>0</v>
      </c>
      <c r="AI63" s="43">
        <f t="shared" si="94"/>
        <v>0</v>
      </c>
      <c r="AJ63" s="43">
        <f t="shared" si="94"/>
        <v>0</v>
      </c>
      <c r="AK63" s="43">
        <f t="shared" si="94"/>
        <v>0</v>
      </c>
      <c r="AL63" s="43">
        <f t="shared" si="94"/>
        <v>0</v>
      </c>
      <c r="AM63" s="43">
        <f t="shared" si="94"/>
        <v>0</v>
      </c>
      <c r="AN63" s="43">
        <f t="shared" si="94"/>
        <v>0</v>
      </c>
      <c r="AO63" s="43">
        <f t="shared" si="94"/>
        <v>0</v>
      </c>
      <c r="AP63" s="43">
        <f t="shared" si="94"/>
        <v>0</v>
      </c>
      <c r="AQ63" s="43">
        <f t="shared" si="94"/>
        <v>0</v>
      </c>
      <c r="AR63" s="43">
        <f t="shared" si="94"/>
        <v>0</v>
      </c>
      <c r="AS63" s="43">
        <f t="shared" si="94"/>
        <v>0</v>
      </c>
      <c r="AT63" s="43">
        <f t="shared" si="94"/>
        <v>0</v>
      </c>
      <c r="AU63" s="43">
        <f t="shared" si="94"/>
        <v>0</v>
      </c>
      <c r="AV63" s="43">
        <f t="shared" si="94"/>
        <v>0</v>
      </c>
      <c r="AW63" s="43">
        <f t="shared" si="94"/>
        <v>0</v>
      </c>
      <c r="AX63" s="43">
        <f t="shared" si="94"/>
        <v>0</v>
      </c>
      <c r="AY63" s="43">
        <f t="shared" si="94"/>
        <v>0</v>
      </c>
      <c r="AZ63" s="43">
        <f t="shared" si="94"/>
        <v>0</v>
      </c>
      <c r="BA63" s="43">
        <f t="shared" si="94"/>
        <v>0</v>
      </c>
      <c r="BB63" s="43">
        <f t="shared" si="94"/>
        <v>0</v>
      </c>
      <c r="BC63" s="43">
        <f t="shared" si="94"/>
        <v>0</v>
      </c>
      <c r="BD63" s="43">
        <f t="shared" si="94"/>
        <v>0</v>
      </c>
      <c r="BE63" s="43">
        <f t="shared" si="94"/>
        <v>0</v>
      </c>
      <c r="BF63" s="43">
        <f t="shared" si="94"/>
        <v>0</v>
      </c>
      <c r="BG63" s="43">
        <f t="shared" si="94"/>
        <v>0</v>
      </c>
      <c r="BH63" s="43">
        <f t="shared" si="94"/>
        <v>0</v>
      </c>
      <c r="BI63" s="43">
        <f t="shared" si="94"/>
        <v>0</v>
      </c>
      <c r="BJ63" s="43">
        <f t="shared" si="94"/>
        <v>0</v>
      </c>
      <c r="BK63" s="43">
        <f t="shared" si="94"/>
        <v>0</v>
      </c>
      <c r="BL63" s="43">
        <f t="shared" si="94"/>
        <v>0</v>
      </c>
      <c r="BM63" s="43">
        <f t="shared" si="94"/>
        <v>0</v>
      </c>
      <c r="BN63" s="43">
        <f t="shared" si="94"/>
        <v>0</v>
      </c>
      <c r="BO63" s="43">
        <f t="shared" si="94"/>
        <v>0</v>
      </c>
      <c r="BP63" s="43">
        <f t="shared" si="94"/>
        <v>0</v>
      </c>
      <c r="BQ63" s="43">
        <f t="shared" si="94"/>
        <v>0</v>
      </c>
      <c r="BR63" s="43">
        <f t="shared" si="94"/>
        <v>0</v>
      </c>
      <c r="BS63" s="43">
        <f t="shared" si="94"/>
        <v>0</v>
      </c>
      <c r="BT63" s="43">
        <f t="shared" si="94"/>
        <v>0</v>
      </c>
      <c r="BU63" s="43">
        <f t="shared" si="94"/>
        <v>0</v>
      </c>
      <c r="BV63" s="43">
        <f t="shared" si="94"/>
        <v>0</v>
      </c>
      <c r="BW63" s="43">
        <f t="shared" si="94"/>
        <v>0</v>
      </c>
      <c r="BX63" s="43">
        <f t="shared" si="94"/>
        <v>0</v>
      </c>
      <c r="BY63" s="43">
        <f t="shared" ref="BY63:CO63" si="95">IFERROR(BY61/BY44,0)</f>
        <v>0</v>
      </c>
      <c r="BZ63" s="43">
        <f t="shared" si="95"/>
        <v>0</v>
      </c>
      <c r="CA63" s="43">
        <f t="shared" si="95"/>
        <v>0</v>
      </c>
      <c r="CB63" s="43">
        <f t="shared" si="95"/>
        <v>0</v>
      </c>
      <c r="CC63" s="43">
        <f t="shared" si="95"/>
        <v>0</v>
      </c>
      <c r="CD63" s="43">
        <f t="shared" si="95"/>
        <v>0</v>
      </c>
      <c r="CE63" s="43">
        <f t="shared" si="95"/>
        <v>0</v>
      </c>
      <c r="CF63" s="43">
        <f t="shared" si="95"/>
        <v>0</v>
      </c>
      <c r="CG63" s="43">
        <f t="shared" si="95"/>
        <v>0</v>
      </c>
      <c r="CH63" s="43">
        <f t="shared" si="95"/>
        <v>0</v>
      </c>
      <c r="CI63" s="43">
        <f t="shared" si="95"/>
        <v>0</v>
      </c>
      <c r="CJ63" s="43">
        <f t="shared" si="95"/>
        <v>0</v>
      </c>
      <c r="CK63" s="43">
        <f t="shared" si="95"/>
        <v>0</v>
      </c>
      <c r="CL63" s="43">
        <f t="shared" si="95"/>
        <v>0</v>
      </c>
      <c r="CM63" s="43">
        <f t="shared" si="95"/>
        <v>0</v>
      </c>
      <c r="CN63" s="43">
        <f t="shared" si="95"/>
        <v>0</v>
      </c>
      <c r="CO63" s="43">
        <f t="shared" si="95"/>
        <v>0</v>
      </c>
    </row>
    <row r="64" spans="1:93" s="133" customFormat="1" ht="14">
      <c r="A64" s="10"/>
      <c r="B64" s="10"/>
      <c r="C64" s="17" t="s">
        <v>514</v>
      </c>
      <c r="D64" s="10"/>
      <c r="E64" s="10"/>
      <c r="F64" s="10"/>
      <c r="G64" s="134" t="s">
        <v>28</v>
      </c>
      <c r="H64" s="10"/>
      <c r="I64" s="10"/>
      <c r="J64" s="10"/>
      <c r="K64" s="10"/>
      <c r="L64" s="43">
        <f ca="1">IFERROR(L62/L44,0)</f>
        <v>0</v>
      </c>
      <c r="M64" s="43">
        <f t="shared" ref="M64:BX64" ca="1" si="96">IFERROR(M62/M44,0)</f>
        <v>0</v>
      </c>
      <c r="N64" s="43">
        <f t="shared" ca="1" si="96"/>
        <v>0</v>
      </c>
      <c r="O64" s="43">
        <f t="shared" ca="1" si="96"/>
        <v>0</v>
      </c>
      <c r="P64" s="43">
        <f t="shared" ca="1" si="96"/>
        <v>0.23150234880214154</v>
      </c>
      <c r="Q64" s="43">
        <f t="shared" ca="1" si="96"/>
        <v>0.24152624721979118</v>
      </c>
      <c r="R64" s="43">
        <f t="shared" ca="1" si="96"/>
        <v>0.26069168146827515</v>
      </c>
      <c r="S64" s="43">
        <f t="shared" ca="1" si="96"/>
        <v>0.27417643894304061</v>
      </c>
      <c r="T64" s="43">
        <f t="shared" ca="1" si="96"/>
        <v>0.27819188757080698</v>
      </c>
      <c r="U64" s="43">
        <f t="shared" ca="1" si="96"/>
        <v>0.18965272424069088</v>
      </c>
      <c r="V64" s="43">
        <f t="shared" ca="1" si="96"/>
        <v>0.16987553005067244</v>
      </c>
      <c r="W64" s="43">
        <f t="shared" ca="1" si="96"/>
        <v>0.21310613800284911</v>
      </c>
      <c r="X64" s="43">
        <f t="shared" ca="1" si="96"/>
        <v>0.22781215203530913</v>
      </c>
      <c r="Y64" s="43">
        <f t="shared" ca="1" si="96"/>
        <v>0.22950554447697494</v>
      </c>
      <c r="Z64" s="43">
        <f t="shared" ca="1" si="96"/>
        <v>0.23113380644011511</v>
      </c>
      <c r="AA64" s="43">
        <f t="shared" ca="1" si="96"/>
        <v>0.23277854683549457</v>
      </c>
      <c r="AB64" s="43">
        <f t="shared" ca="1" si="96"/>
        <v>0.2342048626575762</v>
      </c>
      <c r="AC64" s="43">
        <f t="shared" ca="1" si="96"/>
        <v>0.23565238161377025</v>
      </c>
      <c r="AD64" s="43">
        <f t="shared" ca="1" si="96"/>
        <v>0.23704422676395698</v>
      </c>
      <c r="AE64" s="43">
        <f t="shared" ca="1" si="96"/>
        <v>0.23845026876451403</v>
      </c>
      <c r="AF64" s="43">
        <f t="shared" ca="1" si="96"/>
        <v>0.23658008306540734</v>
      </c>
      <c r="AG64" s="43">
        <f t="shared" si="96"/>
        <v>0</v>
      </c>
      <c r="AH64" s="43">
        <f t="shared" si="96"/>
        <v>0</v>
      </c>
      <c r="AI64" s="43">
        <f t="shared" si="96"/>
        <v>0</v>
      </c>
      <c r="AJ64" s="43">
        <f t="shared" si="96"/>
        <v>0</v>
      </c>
      <c r="AK64" s="43">
        <f t="shared" si="96"/>
        <v>0</v>
      </c>
      <c r="AL64" s="43">
        <f t="shared" si="96"/>
        <v>0</v>
      </c>
      <c r="AM64" s="43">
        <f t="shared" si="96"/>
        <v>0</v>
      </c>
      <c r="AN64" s="43">
        <f t="shared" si="96"/>
        <v>0</v>
      </c>
      <c r="AO64" s="43">
        <f t="shared" si="96"/>
        <v>0</v>
      </c>
      <c r="AP64" s="43">
        <f t="shared" si="96"/>
        <v>0</v>
      </c>
      <c r="AQ64" s="43">
        <f t="shared" si="96"/>
        <v>0</v>
      </c>
      <c r="AR64" s="43">
        <f t="shared" si="96"/>
        <v>0</v>
      </c>
      <c r="AS64" s="43">
        <f t="shared" si="96"/>
        <v>0</v>
      </c>
      <c r="AT64" s="43">
        <f t="shared" si="96"/>
        <v>0</v>
      </c>
      <c r="AU64" s="43">
        <f t="shared" si="96"/>
        <v>0</v>
      </c>
      <c r="AV64" s="43">
        <f t="shared" si="96"/>
        <v>0</v>
      </c>
      <c r="AW64" s="43">
        <f t="shared" si="96"/>
        <v>0</v>
      </c>
      <c r="AX64" s="43">
        <f t="shared" si="96"/>
        <v>0</v>
      </c>
      <c r="AY64" s="43">
        <f t="shared" si="96"/>
        <v>0</v>
      </c>
      <c r="AZ64" s="43">
        <f t="shared" si="96"/>
        <v>0</v>
      </c>
      <c r="BA64" s="43">
        <f t="shared" si="96"/>
        <v>0</v>
      </c>
      <c r="BB64" s="43">
        <f t="shared" si="96"/>
        <v>0</v>
      </c>
      <c r="BC64" s="43">
        <f t="shared" si="96"/>
        <v>0</v>
      </c>
      <c r="BD64" s="43">
        <f t="shared" si="96"/>
        <v>0</v>
      </c>
      <c r="BE64" s="43">
        <f t="shared" si="96"/>
        <v>0</v>
      </c>
      <c r="BF64" s="43">
        <f t="shared" si="96"/>
        <v>0</v>
      </c>
      <c r="BG64" s="43">
        <f t="shared" si="96"/>
        <v>0</v>
      </c>
      <c r="BH64" s="43">
        <f t="shared" si="96"/>
        <v>0</v>
      </c>
      <c r="BI64" s="43">
        <f t="shared" si="96"/>
        <v>0</v>
      </c>
      <c r="BJ64" s="43">
        <f t="shared" si="96"/>
        <v>0</v>
      </c>
      <c r="BK64" s="43">
        <f t="shared" si="96"/>
        <v>0</v>
      </c>
      <c r="BL64" s="43">
        <f t="shared" si="96"/>
        <v>0</v>
      </c>
      <c r="BM64" s="43">
        <f t="shared" si="96"/>
        <v>0</v>
      </c>
      <c r="BN64" s="43">
        <f t="shared" si="96"/>
        <v>0</v>
      </c>
      <c r="BO64" s="43">
        <f t="shared" si="96"/>
        <v>0</v>
      </c>
      <c r="BP64" s="43">
        <f t="shared" si="96"/>
        <v>0</v>
      </c>
      <c r="BQ64" s="43">
        <f t="shared" si="96"/>
        <v>0</v>
      </c>
      <c r="BR64" s="43">
        <f t="shared" si="96"/>
        <v>0</v>
      </c>
      <c r="BS64" s="43">
        <f t="shared" si="96"/>
        <v>0</v>
      </c>
      <c r="BT64" s="43">
        <f t="shared" si="96"/>
        <v>0</v>
      </c>
      <c r="BU64" s="43">
        <f t="shared" si="96"/>
        <v>0</v>
      </c>
      <c r="BV64" s="43">
        <f t="shared" si="96"/>
        <v>0</v>
      </c>
      <c r="BW64" s="43">
        <f t="shared" si="96"/>
        <v>0</v>
      </c>
      <c r="BX64" s="43">
        <f t="shared" si="96"/>
        <v>0</v>
      </c>
      <c r="BY64" s="43">
        <f t="shared" ref="BY64:CO64" si="97">IFERROR(BY62/BY44,0)</f>
        <v>0</v>
      </c>
      <c r="BZ64" s="43">
        <f t="shared" si="97"/>
        <v>0</v>
      </c>
      <c r="CA64" s="43">
        <f t="shared" si="97"/>
        <v>0</v>
      </c>
      <c r="CB64" s="43">
        <f t="shared" si="97"/>
        <v>0</v>
      </c>
      <c r="CC64" s="43">
        <f t="shared" si="97"/>
        <v>0</v>
      </c>
      <c r="CD64" s="43">
        <f t="shared" si="97"/>
        <v>0</v>
      </c>
      <c r="CE64" s="43">
        <f t="shared" si="97"/>
        <v>0</v>
      </c>
      <c r="CF64" s="43">
        <f t="shared" si="97"/>
        <v>0</v>
      </c>
      <c r="CG64" s="43">
        <f t="shared" si="97"/>
        <v>0</v>
      </c>
      <c r="CH64" s="43">
        <f t="shared" si="97"/>
        <v>0</v>
      </c>
      <c r="CI64" s="43">
        <f t="shared" si="97"/>
        <v>0</v>
      </c>
      <c r="CJ64" s="43">
        <f t="shared" si="97"/>
        <v>0</v>
      </c>
      <c r="CK64" s="43">
        <f t="shared" si="97"/>
        <v>0</v>
      </c>
      <c r="CL64" s="43">
        <f t="shared" si="97"/>
        <v>0</v>
      </c>
      <c r="CM64" s="43">
        <f t="shared" si="97"/>
        <v>0</v>
      </c>
      <c r="CN64" s="43">
        <f t="shared" si="97"/>
        <v>0</v>
      </c>
      <c r="CO64" s="43">
        <f t="shared" si="97"/>
        <v>0</v>
      </c>
    </row>
    <row r="65" spans="1:93" s="75" customFormat="1" ht="14.5">
      <c r="A65" s="73"/>
      <c r="B65" s="72"/>
      <c r="C65" s="73"/>
      <c r="D65" s="73"/>
      <c r="E65" s="44"/>
      <c r="F65" s="73"/>
      <c r="G65" s="72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</row>
    <row r="66" spans="1:93" ht="22.5" customHeight="1">
      <c r="A66" s="10"/>
      <c r="B66" s="34" t="s">
        <v>313</v>
      </c>
      <c r="C66" s="5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</row>
    <row r="67" spans="1:93" s="75" customFormat="1" ht="14.5">
      <c r="A67" s="73"/>
      <c r="B67" s="72"/>
      <c r="C67" s="73"/>
      <c r="D67" s="73"/>
      <c r="E67" s="44"/>
      <c r="F67" s="73"/>
      <c r="G67" s="72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</row>
    <row r="68" spans="1:93" s="133" customFormat="1" ht="14">
      <c r="A68" s="10"/>
      <c r="B68" s="11"/>
      <c r="C68" s="139" t="s">
        <v>83</v>
      </c>
      <c r="D68" s="10"/>
      <c r="E68" s="140"/>
      <c r="F68" s="10"/>
      <c r="G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</row>
    <row r="69" spans="1:93" s="133" customFormat="1" ht="14">
      <c r="A69" s="10"/>
      <c r="B69" s="11"/>
      <c r="C69" s="17" t="s">
        <v>84</v>
      </c>
      <c r="D69" s="10"/>
      <c r="E69" s="140"/>
      <c r="F69" s="10"/>
      <c r="G69" s="134" t="str">
        <f t="shared" ref="G69:G78" si="98">Monetary_Unit</f>
        <v>тыс. руб.</v>
      </c>
      <c r="H69" s="10"/>
      <c r="I69" s="23">
        <f t="shared" ref="I69:I78" ca="1" si="99">SUM(L69:CQ69)</f>
        <v>54850086.519837223</v>
      </c>
      <c r="J69" s="10"/>
      <c r="K69" s="10"/>
      <c r="L69" s="10">
        <f t="shared" ref="L69:AQ69" ca="1" si="100">SUMIF(Year,L$6,Revenue)</f>
        <v>0</v>
      </c>
      <c r="M69" s="10">
        <f t="shared" ca="1" si="100"/>
        <v>0</v>
      </c>
      <c r="N69" s="10">
        <f t="shared" ca="1" si="100"/>
        <v>0</v>
      </c>
      <c r="O69" s="10">
        <f t="shared" ca="1" si="100"/>
        <v>0</v>
      </c>
      <c r="P69" s="10">
        <f t="shared" ca="1" si="100"/>
        <v>1655055.6470820154</v>
      </c>
      <c r="Q69" s="10">
        <f t="shared" ca="1" si="100"/>
        <v>2375550.2981476923</v>
      </c>
      <c r="R69" s="10">
        <f t="shared" ca="1" si="100"/>
        <v>2783687.5045269774</v>
      </c>
      <c r="S69" s="10">
        <f t="shared" ca="1" si="100"/>
        <v>3166498.2298717811</v>
      </c>
      <c r="T69" s="10">
        <f t="shared" ca="1" si="100"/>
        <v>3301987.5946275322</v>
      </c>
      <c r="U69" s="10">
        <f t="shared" ca="1" si="100"/>
        <v>3014031.1697501168</v>
      </c>
      <c r="V69" s="10">
        <f t="shared" ca="1" si="100"/>
        <v>3038380.561102998</v>
      </c>
      <c r="W69" s="10">
        <f t="shared" ca="1" si="100"/>
        <v>3166252.9377585752</v>
      </c>
      <c r="X69" s="10">
        <f t="shared" ca="1" si="100"/>
        <v>3286312.4148890013</v>
      </c>
      <c r="Y69" s="10">
        <f t="shared" ca="1" si="100"/>
        <v>3417764.9114845609</v>
      </c>
      <c r="Z69" s="10">
        <f t="shared" ca="1" si="100"/>
        <v>3554475.5079439427</v>
      </c>
      <c r="AA69" s="10">
        <f t="shared" ca="1" si="100"/>
        <v>3704068.1023620144</v>
      </c>
      <c r="AB69" s="10">
        <f t="shared" ca="1" si="100"/>
        <v>3844520.7093921672</v>
      </c>
      <c r="AC69" s="10">
        <f t="shared" ca="1" si="100"/>
        <v>3998301.5377678541</v>
      </c>
      <c r="AD69" s="10">
        <f t="shared" ca="1" si="100"/>
        <v>4158233.5992785678</v>
      </c>
      <c r="AE69" s="10">
        <f t="shared" ca="1" si="100"/>
        <v>4333235.7763711568</v>
      </c>
      <c r="AF69" s="10">
        <f t="shared" ca="1" si="100"/>
        <v>2051730.0174802581</v>
      </c>
      <c r="AG69" s="10">
        <f t="shared" si="100"/>
        <v>0</v>
      </c>
      <c r="AH69" s="10">
        <f t="shared" si="100"/>
        <v>0</v>
      </c>
      <c r="AI69" s="10">
        <f t="shared" si="100"/>
        <v>0</v>
      </c>
      <c r="AJ69" s="10">
        <f t="shared" si="100"/>
        <v>0</v>
      </c>
      <c r="AK69" s="10">
        <f t="shared" si="100"/>
        <v>0</v>
      </c>
      <c r="AL69" s="10">
        <f t="shared" si="100"/>
        <v>0</v>
      </c>
      <c r="AM69" s="10">
        <f t="shared" si="100"/>
        <v>0</v>
      </c>
      <c r="AN69" s="10">
        <f t="shared" si="100"/>
        <v>0</v>
      </c>
      <c r="AO69" s="10">
        <f t="shared" si="100"/>
        <v>0</v>
      </c>
      <c r="AP69" s="10">
        <f t="shared" si="100"/>
        <v>0</v>
      </c>
      <c r="AQ69" s="10">
        <f t="shared" si="100"/>
        <v>0</v>
      </c>
      <c r="AR69" s="10">
        <f t="shared" ref="AR69:BW69" si="101">SUMIF(Year,AR$6,Revenue)</f>
        <v>0</v>
      </c>
      <c r="AS69" s="10">
        <f t="shared" si="101"/>
        <v>0</v>
      </c>
      <c r="AT69" s="10">
        <f t="shared" si="101"/>
        <v>0</v>
      </c>
      <c r="AU69" s="10">
        <f t="shared" si="101"/>
        <v>0</v>
      </c>
      <c r="AV69" s="10">
        <f t="shared" si="101"/>
        <v>0</v>
      </c>
      <c r="AW69" s="10">
        <f t="shared" si="101"/>
        <v>0</v>
      </c>
      <c r="AX69" s="10">
        <f t="shared" si="101"/>
        <v>0</v>
      </c>
      <c r="AY69" s="10">
        <f t="shared" si="101"/>
        <v>0</v>
      </c>
      <c r="AZ69" s="10">
        <f t="shared" si="101"/>
        <v>0</v>
      </c>
      <c r="BA69" s="10">
        <f t="shared" si="101"/>
        <v>0</v>
      </c>
      <c r="BB69" s="10">
        <f t="shared" si="101"/>
        <v>0</v>
      </c>
      <c r="BC69" s="10">
        <f t="shared" si="101"/>
        <v>0</v>
      </c>
      <c r="BD69" s="10">
        <f t="shared" si="101"/>
        <v>0</v>
      </c>
      <c r="BE69" s="10">
        <f t="shared" si="101"/>
        <v>0</v>
      </c>
      <c r="BF69" s="10">
        <f t="shared" si="101"/>
        <v>0</v>
      </c>
      <c r="BG69" s="10">
        <f t="shared" si="101"/>
        <v>0</v>
      </c>
      <c r="BH69" s="10">
        <f t="shared" si="101"/>
        <v>0</v>
      </c>
      <c r="BI69" s="10">
        <f t="shared" si="101"/>
        <v>0</v>
      </c>
      <c r="BJ69" s="10">
        <f t="shared" si="101"/>
        <v>0</v>
      </c>
      <c r="BK69" s="10">
        <f t="shared" si="101"/>
        <v>0</v>
      </c>
      <c r="BL69" s="10">
        <f t="shared" si="101"/>
        <v>0</v>
      </c>
      <c r="BM69" s="10">
        <f t="shared" si="101"/>
        <v>0</v>
      </c>
      <c r="BN69" s="10">
        <f t="shared" si="101"/>
        <v>0</v>
      </c>
      <c r="BO69" s="10">
        <f t="shared" si="101"/>
        <v>0</v>
      </c>
      <c r="BP69" s="10">
        <f t="shared" si="101"/>
        <v>0</v>
      </c>
      <c r="BQ69" s="10">
        <f t="shared" si="101"/>
        <v>0</v>
      </c>
      <c r="BR69" s="10">
        <f t="shared" si="101"/>
        <v>0</v>
      </c>
      <c r="BS69" s="10">
        <f t="shared" si="101"/>
        <v>0</v>
      </c>
      <c r="BT69" s="10">
        <f t="shared" si="101"/>
        <v>0</v>
      </c>
      <c r="BU69" s="10">
        <f t="shared" si="101"/>
        <v>0</v>
      </c>
      <c r="BV69" s="10">
        <f t="shared" si="101"/>
        <v>0</v>
      </c>
      <c r="BW69" s="10">
        <f t="shared" si="101"/>
        <v>0</v>
      </c>
      <c r="BX69" s="10">
        <f t="shared" ref="BX69:CO69" si="102">SUMIF(Year,BX$6,Revenue)</f>
        <v>0</v>
      </c>
      <c r="BY69" s="10">
        <f t="shared" si="102"/>
        <v>0</v>
      </c>
      <c r="BZ69" s="10">
        <f t="shared" si="102"/>
        <v>0</v>
      </c>
      <c r="CA69" s="10">
        <f t="shared" si="102"/>
        <v>0</v>
      </c>
      <c r="CB69" s="10">
        <f t="shared" si="102"/>
        <v>0</v>
      </c>
      <c r="CC69" s="10">
        <f t="shared" si="102"/>
        <v>0</v>
      </c>
      <c r="CD69" s="10">
        <f t="shared" si="102"/>
        <v>0</v>
      </c>
      <c r="CE69" s="10">
        <f t="shared" si="102"/>
        <v>0</v>
      </c>
      <c r="CF69" s="10">
        <f t="shared" si="102"/>
        <v>0</v>
      </c>
      <c r="CG69" s="10">
        <f t="shared" si="102"/>
        <v>0</v>
      </c>
      <c r="CH69" s="10">
        <f t="shared" si="102"/>
        <v>0</v>
      </c>
      <c r="CI69" s="10">
        <f t="shared" si="102"/>
        <v>0</v>
      </c>
      <c r="CJ69" s="10">
        <f t="shared" si="102"/>
        <v>0</v>
      </c>
      <c r="CK69" s="10">
        <f t="shared" si="102"/>
        <v>0</v>
      </c>
      <c r="CL69" s="10">
        <f t="shared" si="102"/>
        <v>0</v>
      </c>
      <c r="CM69" s="10">
        <f t="shared" si="102"/>
        <v>0</v>
      </c>
      <c r="CN69" s="10">
        <f t="shared" si="102"/>
        <v>0</v>
      </c>
      <c r="CO69" s="10">
        <f t="shared" si="102"/>
        <v>0</v>
      </c>
    </row>
    <row r="70" spans="1:93" s="133" customFormat="1" ht="14">
      <c r="A70" s="10"/>
      <c r="B70" s="11"/>
      <c r="C70" s="17" t="s">
        <v>80</v>
      </c>
      <c r="D70" s="10"/>
      <c r="E70" s="140"/>
      <c r="F70" s="10"/>
      <c r="G70" s="134" t="str">
        <f t="shared" si="98"/>
        <v>тыс. руб.</v>
      </c>
      <c r="H70" s="10"/>
      <c r="I70" s="23">
        <f t="shared" ca="1" si="99"/>
        <v>-38547379.439622067</v>
      </c>
      <c r="J70" s="10"/>
      <c r="K70" s="10"/>
      <c r="L70" s="10">
        <f t="shared" ref="L70:AQ70" ca="1" si="103">SUMIF(Year,L$6,COGS)</f>
        <v>0</v>
      </c>
      <c r="M70" s="10">
        <f t="shared" ca="1" si="103"/>
        <v>0</v>
      </c>
      <c r="N70" s="10">
        <f t="shared" ca="1" si="103"/>
        <v>0</v>
      </c>
      <c r="O70" s="10">
        <f t="shared" ca="1" si="103"/>
        <v>0</v>
      </c>
      <c r="P70" s="10">
        <f t="shared" ca="1" si="103"/>
        <v>-1039501.0183059516</v>
      </c>
      <c r="Q70" s="10">
        <f t="shared" ca="1" si="103"/>
        <v>-1491984.6059361524</v>
      </c>
      <c r="R70" s="10">
        <f t="shared" ca="1" si="103"/>
        <v>-1748195.3846715412</v>
      </c>
      <c r="S70" s="10">
        <f t="shared" ca="1" si="103"/>
        <v>-1988511.0776680228</v>
      </c>
      <c r="T70" s="10">
        <f t="shared" ca="1" si="103"/>
        <v>-2073593.4893246386</v>
      </c>
      <c r="U70" s="10">
        <f t="shared" ca="1" si="103"/>
        <v>-2132604.0038425792</v>
      </c>
      <c r="V70" s="10">
        <f t="shared" ca="1" si="103"/>
        <v>-2212426.1091718948</v>
      </c>
      <c r="W70" s="10">
        <f t="shared" ca="1" si="103"/>
        <v>-2305535.1925638048</v>
      </c>
      <c r="X70" s="10">
        <f t="shared" ca="1" si="103"/>
        <v>-2392960.0796803208</v>
      </c>
      <c r="Y70" s="10">
        <f t="shared" ca="1" si="103"/>
        <v>-2488678.4828675333</v>
      </c>
      <c r="Z70" s="10">
        <f t="shared" ca="1" si="103"/>
        <v>-2588225.6221822342</v>
      </c>
      <c r="AA70" s="10">
        <f t="shared" ca="1" si="103"/>
        <v>-2697150.0804020134</v>
      </c>
      <c r="AB70" s="10">
        <f t="shared" ca="1" si="103"/>
        <v>-2799424.8329523038</v>
      </c>
      <c r="AC70" s="10">
        <f t="shared" ca="1" si="103"/>
        <v>-2911401.8262703959</v>
      </c>
      <c r="AD70" s="10">
        <f t="shared" ca="1" si="103"/>
        <v>-3027857.8993212106</v>
      </c>
      <c r="AE70" s="10">
        <f t="shared" ca="1" si="103"/>
        <v>-3155284.1091629835</v>
      </c>
      <c r="AF70" s="10">
        <f t="shared" ca="1" si="103"/>
        <v>-1494045.6252984875</v>
      </c>
      <c r="AG70" s="10">
        <f t="shared" si="103"/>
        <v>0</v>
      </c>
      <c r="AH70" s="10">
        <f t="shared" si="103"/>
        <v>0</v>
      </c>
      <c r="AI70" s="10">
        <f t="shared" si="103"/>
        <v>0</v>
      </c>
      <c r="AJ70" s="10">
        <f t="shared" si="103"/>
        <v>0</v>
      </c>
      <c r="AK70" s="10">
        <f t="shared" si="103"/>
        <v>0</v>
      </c>
      <c r="AL70" s="10">
        <f t="shared" si="103"/>
        <v>0</v>
      </c>
      <c r="AM70" s="10">
        <f t="shared" si="103"/>
        <v>0</v>
      </c>
      <c r="AN70" s="10">
        <f t="shared" si="103"/>
        <v>0</v>
      </c>
      <c r="AO70" s="10">
        <f t="shared" si="103"/>
        <v>0</v>
      </c>
      <c r="AP70" s="10">
        <f t="shared" si="103"/>
        <v>0</v>
      </c>
      <c r="AQ70" s="10">
        <f t="shared" si="103"/>
        <v>0</v>
      </c>
      <c r="AR70" s="10">
        <f t="shared" ref="AR70:BW70" si="104">SUMIF(Year,AR$6,COGS)</f>
        <v>0</v>
      </c>
      <c r="AS70" s="10">
        <f t="shared" si="104"/>
        <v>0</v>
      </c>
      <c r="AT70" s="10">
        <f t="shared" si="104"/>
        <v>0</v>
      </c>
      <c r="AU70" s="10">
        <f t="shared" si="104"/>
        <v>0</v>
      </c>
      <c r="AV70" s="10">
        <f t="shared" si="104"/>
        <v>0</v>
      </c>
      <c r="AW70" s="10">
        <f t="shared" si="104"/>
        <v>0</v>
      </c>
      <c r="AX70" s="10">
        <f t="shared" si="104"/>
        <v>0</v>
      </c>
      <c r="AY70" s="10">
        <f t="shared" si="104"/>
        <v>0</v>
      </c>
      <c r="AZ70" s="10">
        <f t="shared" si="104"/>
        <v>0</v>
      </c>
      <c r="BA70" s="10">
        <f t="shared" si="104"/>
        <v>0</v>
      </c>
      <c r="BB70" s="10">
        <f t="shared" si="104"/>
        <v>0</v>
      </c>
      <c r="BC70" s="10">
        <f t="shared" si="104"/>
        <v>0</v>
      </c>
      <c r="BD70" s="10">
        <f t="shared" si="104"/>
        <v>0</v>
      </c>
      <c r="BE70" s="10">
        <f t="shared" si="104"/>
        <v>0</v>
      </c>
      <c r="BF70" s="10">
        <f t="shared" si="104"/>
        <v>0</v>
      </c>
      <c r="BG70" s="10">
        <f t="shared" si="104"/>
        <v>0</v>
      </c>
      <c r="BH70" s="10">
        <f t="shared" si="104"/>
        <v>0</v>
      </c>
      <c r="BI70" s="10">
        <f t="shared" si="104"/>
        <v>0</v>
      </c>
      <c r="BJ70" s="10">
        <f t="shared" si="104"/>
        <v>0</v>
      </c>
      <c r="BK70" s="10">
        <f t="shared" si="104"/>
        <v>0</v>
      </c>
      <c r="BL70" s="10">
        <f t="shared" si="104"/>
        <v>0</v>
      </c>
      <c r="BM70" s="10">
        <f t="shared" si="104"/>
        <v>0</v>
      </c>
      <c r="BN70" s="10">
        <f t="shared" si="104"/>
        <v>0</v>
      </c>
      <c r="BO70" s="10">
        <f t="shared" si="104"/>
        <v>0</v>
      </c>
      <c r="BP70" s="10">
        <f t="shared" si="104"/>
        <v>0</v>
      </c>
      <c r="BQ70" s="10">
        <f t="shared" si="104"/>
        <v>0</v>
      </c>
      <c r="BR70" s="10">
        <f t="shared" si="104"/>
        <v>0</v>
      </c>
      <c r="BS70" s="10">
        <f t="shared" si="104"/>
        <v>0</v>
      </c>
      <c r="BT70" s="10">
        <f t="shared" si="104"/>
        <v>0</v>
      </c>
      <c r="BU70" s="10">
        <f t="shared" si="104"/>
        <v>0</v>
      </c>
      <c r="BV70" s="10">
        <f t="shared" si="104"/>
        <v>0</v>
      </c>
      <c r="BW70" s="10">
        <f t="shared" si="104"/>
        <v>0</v>
      </c>
      <c r="BX70" s="10">
        <f t="shared" ref="BX70:CO70" si="105">SUMIF(Year,BX$6,COGS)</f>
        <v>0</v>
      </c>
      <c r="BY70" s="10">
        <f t="shared" si="105"/>
        <v>0</v>
      </c>
      <c r="BZ70" s="10">
        <f t="shared" si="105"/>
        <v>0</v>
      </c>
      <c r="CA70" s="10">
        <f t="shared" si="105"/>
        <v>0</v>
      </c>
      <c r="CB70" s="10">
        <f t="shared" si="105"/>
        <v>0</v>
      </c>
      <c r="CC70" s="10">
        <f t="shared" si="105"/>
        <v>0</v>
      </c>
      <c r="CD70" s="10">
        <f t="shared" si="105"/>
        <v>0</v>
      </c>
      <c r="CE70" s="10">
        <f t="shared" si="105"/>
        <v>0</v>
      </c>
      <c r="CF70" s="10">
        <f t="shared" si="105"/>
        <v>0</v>
      </c>
      <c r="CG70" s="10">
        <f t="shared" si="105"/>
        <v>0</v>
      </c>
      <c r="CH70" s="10">
        <f t="shared" si="105"/>
        <v>0</v>
      </c>
      <c r="CI70" s="10">
        <f t="shared" si="105"/>
        <v>0</v>
      </c>
      <c r="CJ70" s="10">
        <f t="shared" si="105"/>
        <v>0</v>
      </c>
      <c r="CK70" s="10">
        <f t="shared" si="105"/>
        <v>0</v>
      </c>
      <c r="CL70" s="10">
        <f t="shared" si="105"/>
        <v>0</v>
      </c>
      <c r="CM70" s="10">
        <f t="shared" si="105"/>
        <v>0</v>
      </c>
      <c r="CN70" s="10">
        <f t="shared" si="105"/>
        <v>0</v>
      </c>
      <c r="CO70" s="10">
        <f t="shared" si="105"/>
        <v>0</v>
      </c>
    </row>
    <row r="71" spans="1:93" s="133" customFormat="1" ht="14">
      <c r="A71" s="10"/>
      <c r="B71" s="11"/>
      <c r="C71" s="17" t="s">
        <v>758</v>
      </c>
      <c r="D71" s="10"/>
      <c r="E71" s="10"/>
      <c r="F71" s="10"/>
      <c r="G71" s="134" t="str">
        <f t="shared" si="98"/>
        <v>тыс. руб.</v>
      </c>
      <c r="H71" s="10"/>
      <c r="I71" s="23">
        <f t="shared" ca="1" si="99"/>
        <v>-234399.59558506208</v>
      </c>
      <c r="J71" s="10"/>
      <c r="K71" s="10"/>
      <c r="L71" s="10">
        <f t="shared" ref="L71:AQ71" ca="1" si="106">SUMIF(Year,L$6,SGA)</f>
        <v>0</v>
      </c>
      <c r="M71" s="10">
        <f t="shared" ca="1" si="106"/>
        <v>0</v>
      </c>
      <c r="N71" s="10">
        <f t="shared" ca="1" si="106"/>
        <v>0</v>
      </c>
      <c r="O71" s="10">
        <f t="shared" ca="1" si="106"/>
        <v>0</v>
      </c>
      <c r="P71" s="10">
        <f t="shared" ca="1" si="106"/>
        <v>-10868.300250529772</v>
      </c>
      <c r="Q71" s="10">
        <f t="shared" ca="1" si="106"/>
        <v>-14425.198514339516</v>
      </c>
      <c r="R71" s="10">
        <f t="shared" ca="1" si="106"/>
        <v>-14425.198514339516</v>
      </c>
      <c r="S71" s="10">
        <f t="shared" ca="1" si="106"/>
        <v>-14425.198514339514</v>
      </c>
      <c r="T71" s="10">
        <f t="shared" ca="1" si="106"/>
        <v>-14425.198514339516</v>
      </c>
      <c r="U71" s="10">
        <f t="shared" ca="1" si="106"/>
        <v>-14425.198514339516</v>
      </c>
      <c r="V71" s="10">
        <f t="shared" ca="1" si="106"/>
        <v>-14425.198514339516</v>
      </c>
      <c r="W71" s="10">
        <f t="shared" ca="1" si="106"/>
        <v>-14425.198514339514</v>
      </c>
      <c r="X71" s="10">
        <f t="shared" ca="1" si="106"/>
        <v>-14425.198514339516</v>
      </c>
      <c r="Y71" s="10">
        <f t="shared" ca="1" si="106"/>
        <v>-14425.198514339516</v>
      </c>
      <c r="Z71" s="10">
        <f t="shared" ca="1" si="106"/>
        <v>-14425.198514339516</v>
      </c>
      <c r="AA71" s="10">
        <f t="shared" ca="1" si="106"/>
        <v>-14425.198514339514</v>
      </c>
      <c r="AB71" s="10">
        <f t="shared" ca="1" si="106"/>
        <v>-14425.198514339516</v>
      </c>
      <c r="AC71" s="10">
        <f t="shared" ca="1" si="106"/>
        <v>-14425.198514339516</v>
      </c>
      <c r="AD71" s="10">
        <f t="shared" ca="1" si="106"/>
        <v>-14425.198514339516</v>
      </c>
      <c r="AE71" s="10">
        <f t="shared" ca="1" si="106"/>
        <v>-14425.198514339514</v>
      </c>
      <c r="AF71" s="10">
        <f t="shared" ca="1" si="106"/>
        <v>-7153.3176194395946</v>
      </c>
      <c r="AG71" s="10">
        <f t="shared" si="106"/>
        <v>0</v>
      </c>
      <c r="AH71" s="10">
        <f t="shared" si="106"/>
        <v>0</v>
      </c>
      <c r="AI71" s="10">
        <f t="shared" si="106"/>
        <v>0</v>
      </c>
      <c r="AJ71" s="10">
        <f t="shared" si="106"/>
        <v>0</v>
      </c>
      <c r="AK71" s="10">
        <f t="shared" si="106"/>
        <v>0</v>
      </c>
      <c r="AL71" s="10">
        <f t="shared" si="106"/>
        <v>0</v>
      </c>
      <c r="AM71" s="10">
        <f t="shared" si="106"/>
        <v>0</v>
      </c>
      <c r="AN71" s="10">
        <f t="shared" si="106"/>
        <v>0</v>
      </c>
      <c r="AO71" s="10">
        <f t="shared" si="106"/>
        <v>0</v>
      </c>
      <c r="AP71" s="10">
        <f t="shared" si="106"/>
        <v>0</v>
      </c>
      <c r="AQ71" s="10">
        <f t="shared" si="106"/>
        <v>0</v>
      </c>
      <c r="AR71" s="10">
        <f t="shared" ref="AR71:BW71" si="107">SUMIF(Year,AR$6,SGA)</f>
        <v>0</v>
      </c>
      <c r="AS71" s="10">
        <f t="shared" si="107"/>
        <v>0</v>
      </c>
      <c r="AT71" s="10">
        <f t="shared" si="107"/>
        <v>0</v>
      </c>
      <c r="AU71" s="10">
        <f t="shared" si="107"/>
        <v>0</v>
      </c>
      <c r="AV71" s="10">
        <f t="shared" si="107"/>
        <v>0</v>
      </c>
      <c r="AW71" s="10">
        <f t="shared" si="107"/>
        <v>0</v>
      </c>
      <c r="AX71" s="10">
        <f t="shared" si="107"/>
        <v>0</v>
      </c>
      <c r="AY71" s="10">
        <f t="shared" si="107"/>
        <v>0</v>
      </c>
      <c r="AZ71" s="10">
        <f t="shared" si="107"/>
        <v>0</v>
      </c>
      <c r="BA71" s="10">
        <f t="shared" si="107"/>
        <v>0</v>
      </c>
      <c r="BB71" s="10">
        <f t="shared" si="107"/>
        <v>0</v>
      </c>
      <c r="BC71" s="10">
        <f t="shared" si="107"/>
        <v>0</v>
      </c>
      <c r="BD71" s="10">
        <f t="shared" si="107"/>
        <v>0</v>
      </c>
      <c r="BE71" s="10">
        <f t="shared" si="107"/>
        <v>0</v>
      </c>
      <c r="BF71" s="10">
        <f t="shared" si="107"/>
        <v>0</v>
      </c>
      <c r="BG71" s="10">
        <f t="shared" si="107"/>
        <v>0</v>
      </c>
      <c r="BH71" s="10">
        <f t="shared" si="107"/>
        <v>0</v>
      </c>
      <c r="BI71" s="10">
        <f t="shared" si="107"/>
        <v>0</v>
      </c>
      <c r="BJ71" s="10">
        <f t="shared" si="107"/>
        <v>0</v>
      </c>
      <c r="BK71" s="10">
        <f t="shared" si="107"/>
        <v>0</v>
      </c>
      <c r="BL71" s="10">
        <f t="shared" si="107"/>
        <v>0</v>
      </c>
      <c r="BM71" s="10">
        <f t="shared" si="107"/>
        <v>0</v>
      </c>
      <c r="BN71" s="10">
        <f t="shared" si="107"/>
        <v>0</v>
      </c>
      <c r="BO71" s="10">
        <f t="shared" si="107"/>
        <v>0</v>
      </c>
      <c r="BP71" s="10">
        <f t="shared" si="107"/>
        <v>0</v>
      </c>
      <c r="BQ71" s="10">
        <f t="shared" si="107"/>
        <v>0</v>
      </c>
      <c r="BR71" s="10">
        <f t="shared" si="107"/>
        <v>0</v>
      </c>
      <c r="BS71" s="10">
        <f t="shared" si="107"/>
        <v>0</v>
      </c>
      <c r="BT71" s="10">
        <f t="shared" si="107"/>
        <v>0</v>
      </c>
      <c r="BU71" s="10">
        <f t="shared" si="107"/>
        <v>0</v>
      </c>
      <c r="BV71" s="10">
        <f t="shared" si="107"/>
        <v>0</v>
      </c>
      <c r="BW71" s="10">
        <f t="shared" si="107"/>
        <v>0</v>
      </c>
      <c r="BX71" s="10">
        <f t="shared" ref="BX71:CO71" si="108">SUMIF(Year,BX$6,SGA)</f>
        <v>0</v>
      </c>
      <c r="BY71" s="10">
        <f t="shared" si="108"/>
        <v>0</v>
      </c>
      <c r="BZ71" s="10">
        <f t="shared" si="108"/>
        <v>0</v>
      </c>
      <c r="CA71" s="10">
        <f t="shared" si="108"/>
        <v>0</v>
      </c>
      <c r="CB71" s="10">
        <f t="shared" si="108"/>
        <v>0</v>
      </c>
      <c r="CC71" s="10">
        <f t="shared" si="108"/>
        <v>0</v>
      </c>
      <c r="CD71" s="10">
        <f t="shared" si="108"/>
        <v>0</v>
      </c>
      <c r="CE71" s="10">
        <f t="shared" si="108"/>
        <v>0</v>
      </c>
      <c r="CF71" s="10">
        <f t="shared" si="108"/>
        <v>0</v>
      </c>
      <c r="CG71" s="10">
        <f t="shared" si="108"/>
        <v>0</v>
      </c>
      <c r="CH71" s="10">
        <f t="shared" si="108"/>
        <v>0</v>
      </c>
      <c r="CI71" s="10">
        <f t="shared" si="108"/>
        <v>0</v>
      </c>
      <c r="CJ71" s="10">
        <f t="shared" si="108"/>
        <v>0</v>
      </c>
      <c r="CK71" s="10">
        <f t="shared" si="108"/>
        <v>0</v>
      </c>
      <c r="CL71" s="10">
        <f t="shared" si="108"/>
        <v>0</v>
      </c>
      <c r="CM71" s="10">
        <f t="shared" si="108"/>
        <v>0</v>
      </c>
      <c r="CN71" s="10">
        <f t="shared" si="108"/>
        <v>0</v>
      </c>
      <c r="CO71" s="10">
        <f t="shared" si="108"/>
        <v>0</v>
      </c>
    </row>
    <row r="72" spans="1:93" s="133" customFormat="1" ht="14">
      <c r="A72" s="10"/>
      <c r="B72" s="11"/>
      <c r="C72" s="17" t="s">
        <v>85</v>
      </c>
      <c r="D72" s="10"/>
      <c r="E72" s="10"/>
      <c r="F72" s="10"/>
      <c r="G72" s="134" t="str">
        <f t="shared" si="98"/>
        <v>тыс. руб.</v>
      </c>
      <c r="H72" s="10"/>
      <c r="I72" s="23">
        <f t="shared" si="99"/>
        <v>-20126.474624454262</v>
      </c>
      <c r="J72" s="10"/>
      <c r="K72" s="10"/>
      <c r="L72" s="10">
        <f t="shared" ref="L72:AQ72" si="109">SUMIF(Year,L$6,Bank_Fees)</f>
        <v>0</v>
      </c>
      <c r="M72" s="10">
        <f t="shared" si="109"/>
        <v>0</v>
      </c>
      <c r="N72" s="10">
        <f t="shared" si="109"/>
        <v>-12262.388678474441</v>
      </c>
      <c r="O72" s="10">
        <f t="shared" si="109"/>
        <v>-7248.3555719952219</v>
      </c>
      <c r="P72" s="10">
        <f t="shared" si="109"/>
        <v>-615.73037398460076</v>
      </c>
      <c r="Q72" s="10">
        <f t="shared" si="109"/>
        <v>0</v>
      </c>
      <c r="R72" s="10">
        <f t="shared" si="109"/>
        <v>0</v>
      </c>
      <c r="S72" s="10">
        <f t="shared" si="109"/>
        <v>0</v>
      </c>
      <c r="T72" s="10">
        <f t="shared" si="109"/>
        <v>0</v>
      </c>
      <c r="U72" s="10">
        <f t="shared" si="109"/>
        <v>0</v>
      </c>
      <c r="V72" s="10">
        <f t="shared" si="109"/>
        <v>0</v>
      </c>
      <c r="W72" s="10">
        <f t="shared" si="109"/>
        <v>0</v>
      </c>
      <c r="X72" s="10">
        <f t="shared" si="109"/>
        <v>0</v>
      </c>
      <c r="Y72" s="10">
        <f t="shared" si="109"/>
        <v>0</v>
      </c>
      <c r="Z72" s="10">
        <f t="shared" si="109"/>
        <v>0</v>
      </c>
      <c r="AA72" s="10">
        <f t="shared" si="109"/>
        <v>0</v>
      </c>
      <c r="AB72" s="10">
        <f t="shared" si="109"/>
        <v>0</v>
      </c>
      <c r="AC72" s="10">
        <f t="shared" si="109"/>
        <v>0</v>
      </c>
      <c r="AD72" s="10">
        <f t="shared" si="109"/>
        <v>0</v>
      </c>
      <c r="AE72" s="10">
        <f t="shared" si="109"/>
        <v>0</v>
      </c>
      <c r="AF72" s="10">
        <f t="shared" si="109"/>
        <v>0</v>
      </c>
      <c r="AG72" s="10">
        <f t="shared" si="109"/>
        <v>0</v>
      </c>
      <c r="AH72" s="10">
        <f t="shared" si="109"/>
        <v>0</v>
      </c>
      <c r="AI72" s="10">
        <f t="shared" si="109"/>
        <v>0</v>
      </c>
      <c r="AJ72" s="10">
        <f t="shared" si="109"/>
        <v>0</v>
      </c>
      <c r="AK72" s="10">
        <f t="shared" si="109"/>
        <v>0</v>
      </c>
      <c r="AL72" s="10">
        <f t="shared" si="109"/>
        <v>0</v>
      </c>
      <c r="AM72" s="10">
        <f t="shared" si="109"/>
        <v>0</v>
      </c>
      <c r="AN72" s="10">
        <f t="shared" si="109"/>
        <v>0</v>
      </c>
      <c r="AO72" s="10">
        <f t="shared" si="109"/>
        <v>0</v>
      </c>
      <c r="AP72" s="10">
        <f t="shared" si="109"/>
        <v>0</v>
      </c>
      <c r="AQ72" s="10">
        <f t="shared" si="109"/>
        <v>0</v>
      </c>
      <c r="AR72" s="10">
        <f t="shared" ref="AR72:BW72" si="110">SUMIF(Year,AR$6,Bank_Fees)</f>
        <v>0</v>
      </c>
      <c r="AS72" s="10">
        <f t="shared" si="110"/>
        <v>0</v>
      </c>
      <c r="AT72" s="10">
        <f t="shared" si="110"/>
        <v>0</v>
      </c>
      <c r="AU72" s="10">
        <f t="shared" si="110"/>
        <v>0</v>
      </c>
      <c r="AV72" s="10">
        <f t="shared" si="110"/>
        <v>0</v>
      </c>
      <c r="AW72" s="10">
        <f t="shared" si="110"/>
        <v>0</v>
      </c>
      <c r="AX72" s="10">
        <f t="shared" si="110"/>
        <v>0</v>
      </c>
      <c r="AY72" s="10">
        <f t="shared" si="110"/>
        <v>0</v>
      </c>
      <c r="AZ72" s="10">
        <f t="shared" si="110"/>
        <v>0</v>
      </c>
      <c r="BA72" s="10">
        <f t="shared" si="110"/>
        <v>0</v>
      </c>
      <c r="BB72" s="10">
        <f t="shared" si="110"/>
        <v>0</v>
      </c>
      <c r="BC72" s="10">
        <f t="shared" si="110"/>
        <v>0</v>
      </c>
      <c r="BD72" s="10">
        <f t="shared" si="110"/>
        <v>0</v>
      </c>
      <c r="BE72" s="10">
        <f t="shared" si="110"/>
        <v>0</v>
      </c>
      <c r="BF72" s="10">
        <f t="shared" si="110"/>
        <v>0</v>
      </c>
      <c r="BG72" s="10">
        <f t="shared" si="110"/>
        <v>0</v>
      </c>
      <c r="BH72" s="10">
        <f t="shared" si="110"/>
        <v>0</v>
      </c>
      <c r="BI72" s="10">
        <f t="shared" si="110"/>
        <v>0</v>
      </c>
      <c r="BJ72" s="10">
        <f t="shared" si="110"/>
        <v>0</v>
      </c>
      <c r="BK72" s="10">
        <f t="shared" si="110"/>
        <v>0</v>
      </c>
      <c r="BL72" s="10">
        <f t="shared" si="110"/>
        <v>0</v>
      </c>
      <c r="BM72" s="10">
        <f t="shared" si="110"/>
        <v>0</v>
      </c>
      <c r="BN72" s="10">
        <f t="shared" si="110"/>
        <v>0</v>
      </c>
      <c r="BO72" s="10">
        <f t="shared" si="110"/>
        <v>0</v>
      </c>
      <c r="BP72" s="10">
        <f t="shared" si="110"/>
        <v>0</v>
      </c>
      <c r="BQ72" s="10">
        <f t="shared" si="110"/>
        <v>0</v>
      </c>
      <c r="BR72" s="10">
        <f t="shared" si="110"/>
        <v>0</v>
      </c>
      <c r="BS72" s="10">
        <f t="shared" si="110"/>
        <v>0</v>
      </c>
      <c r="BT72" s="10">
        <f t="shared" si="110"/>
        <v>0</v>
      </c>
      <c r="BU72" s="10">
        <f t="shared" si="110"/>
        <v>0</v>
      </c>
      <c r="BV72" s="10">
        <f t="shared" si="110"/>
        <v>0</v>
      </c>
      <c r="BW72" s="10">
        <f t="shared" si="110"/>
        <v>0</v>
      </c>
      <c r="BX72" s="10">
        <f t="shared" ref="BX72:CO72" si="111">SUMIF(Year,BX$6,Bank_Fees)</f>
        <v>0</v>
      </c>
      <c r="BY72" s="10">
        <f t="shared" si="111"/>
        <v>0</v>
      </c>
      <c r="BZ72" s="10">
        <f t="shared" si="111"/>
        <v>0</v>
      </c>
      <c r="CA72" s="10">
        <f t="shared" si="111"/>
        <v>0</v>
      </c>
      <c r="CB72" s="10">
        <f t="shared" si="111"/>
        <v>0</v>
      </c>
      <c r="CC72" s="10">
        <f t="shared" si="111"/>
        <v>0</v>
      </c>
      <c r="CD72" s="10">
        <f t="shared" si="111"/>
        <v>0</v>
      </c>
      <c r="CE72" s="10">
        <f t="shared" si="111"/>
        <v>0</v>
      </c>
      <c r="CF72" s="10">
        <f t="shared" si="111"/>
        <v>0</v>
      </c>
      <c r="CG72" s="10">
        <f t="shared" si="111"/>
        <v>0</v>
      </c>
      <c r="CH72" s="10">
        <f t="shared" si="111"/>
        <v>0</v>
      </c>
      <c r="CI72" s="10">
        <f t="shared" si="111"/>
        <v>0</v>
      </c>
      <c r="CJ72" s="10">
        <f t="shared" si="111"/>
        <v>0</v>
      </c>
      <c r="CK72" s="10">
        <f t="shared" si="111"/>
        <v>0</v>
      </c>
      <c r="CL72" s="10">
        <f t="shared" si="111"/>
        <v>0</v>
      </c>
      <c r="CM72" s="10">
        <f t="shared" si="111"/>
        <v>0</v>
      </c>
      <c r="CN72" s="10">
        <f t="shared" si="111"/>
        <v>0</v>
      </c>
      <c r="CO72" s="10">
        <f t="shared" si="111"/>
        <v>0</v>
      </c>
    </row>
    <row r="73" spans="1:93" s="133" customFormat="1" ht="14">
      <c r="A73" s="10"/>
      <c r="B73" s="11"/>
      <c r="C73" s="17" t="s">
        <v>86</v>
      </c>
      <c r="D73" s="10"/>
      <c r="E73" s="10"/>
      <c r="F73" s="10"/>
      <c r="G73" s="134" t="str">
        <f t="shared" si="98"/>
        <v>тыс. руб.</v>
      </c>
      <c r="H73" s="10"/>
      <c r="I73" s="23">
        <f t="shared" si="99"/>
        <v>-1330786.6736727075</v>
      </c>
      <c r="J73" s="10"/>
      <c r="K73" s="10"/>
      <c r="L73" s="10">
        <f t="shared" ref="L73:AQ73" si="112">SUMIF(Year,L$6,Debt_Interest_Paid)</f>
        <v>0</v>
      </c>
      <c r="M73" s="10">
        <f t="shared" si="112"/>
        <v>-738.99174247580174</v>
      </c>
      <c r="N73" s="10">
        <f t="shared" si="112"/>
        <v>-37409.991364468544</v>
      </c>
      <c r="O73" s="10">
        <f t="shared" si="112"/>
        <v>-139629.60956583463</v>
      </c>
      <c r="P73" s="10">
        <f t="shared" si="112"/>
        <v>-245429.84560124113</v>
      </c>
      <c r="Q73" s="10">
        <f t="shared" si="112"/>
        <v>-225315.35309172334</v>
      </c>
      <c r="R73" s="10">
        <f t="shared" si="112"/>
        <v>-196323.18401043824</v>
      </c>
      <c r="S73" s="10">
        <f t="shared" si="112"/>
        <v>-165724.72485428915</v>
      </c>
      <c r="T73" s="10">
        <f t="shared" si="112"/>
        <v>-133317.13665651664</v>
      </c>
      <c r="U73" s="10">
        <f t="shared" si="112"/>
        <v>-99111.866495995389</v>
      </c>
      <c r="V73" s="10">
        <f t="shared" si="112"/>
        <v>-62968.333752273895</v>
      </c>
      <c r="W73" s="10">
        <f t="shared" si="112"/>
        <v>-24817.636537450941</v>
      </c>
      <c r="X73" s="10">
        <f t="shared" si="112"/>
        <v>0</v>
      </c>
      <c r="Y73" s="10">
        <f t="shared" si="112"/>
        <v>0</v>
      </c>
      <c r="Z73" s="10">
        <f t="shared" si="112"/>
        <v>0</v>
      </c>
      <c r="AA73" s="10">
        <f t="shared" si="112"/>
        <v>0</v>
      </c>
      <c r="AB73" s="10">
        <f t="shared" si="112"/>
        <v>0</v>
      </c>
      <c r="AC73" s="10">
        <f t="shared" si="112"/>
        <v>0</v>
      </c>
      <c r="AD73" s="10">
        <f t="shared" si="112"/>
        <v>0</v>
      </c>
      <c r="AE73" s="10">
        <f t="shared" si="112"/>
        <v>0</v>
      </c>
      <c r="AF73" s="10">
        <f t="shared" si="112"/>
        <v>0</v>
      </c>
      <c r="AG73" s="10">
        <f t="shared" si="112"/>
        <v>0</v>
      </c>
      <c r="AH73" s="10">
        <f t="shared" si="112"/>
        <v>0</v>
      </c>
      <c r="AI73" s="10">
        <f t="shared" si="112"/>
        <v>0</v>
      </c>
      <c r="AJ73" s="10">
        <f t="shared" si="112"/>
        <v>0</v>
      </c>
      <c r="AK73" s="10">
        <f t="shared" si="112"/>
        <v>0</v>
      </c>
      <c r="AL73" s="10">
        <f t="shared" si="112"/>
        <v>0</v>
      </c>
      <c r="AM73" s="10">
        <f t="shared" si="112"/>
        <v>0</v>
      </c>
      <c r="AN73" s="10">
        <f t="shared" si="112"/>
        <v>0</v>
      </c>
      <c r="AO73" s="10">
        <f t="shared" si="112"/>
        <v>0</v>
      </c>
      <c r="AP73" s="10">
        <f t="shared" si="112"/>
        <v>0</v>
      </c>
      <c r="AQ73" s="10">
        <f t="shared" si="112"/>
        <v>0</v>
      </c>
      <c r="AR73" s="10">
        <f t="shared" ref="AR73:BW73" si="113">SUMIF(Year,AR$6,Debt_Interest_Paid)</f>
        <v>0</v>
      </c>
      <c r="AS73" s="10">
        <f t="shared" si="113"/>
        <v>0</v>
      </c>
      <c r="AT73" s="10">
        <f t="shared" si="113"/>
        <v>0</v>
      </c>
      <c r="AU73" s="10">
        <f t="shared" si="113"/>
        <v>0</v>
      </c>
      <c r="AV73" s="10">
        <f t="shared" si="113"/>
        <v>0</v>
      </c>
      <c r="AW73" s="10">
        <f t="shared" si="113"/>
        <v>0</v>
      </c>
      <c r="AX73" s="10">
        <f t="shared" si="113"/>
        <v>0</v>
      </c>
      <c r="AY73" s="10">
        <f t="shared" si="113"/>
        <v>0</v>
      </c>
      <c r="AZ73" s="10">
        <f t="shared" si="113"/>
        <v>0</v>
      </c>
      <c r="BA73" s="10">
        <f t="shared" si="113"/>
        <v>0</v>
      </c>
      <c r="BB73" s="10">
        <f t="shared" si="113"/>
        <v>0</v>
      </c>
      <c r="BC73" s="10">
        <f t="shared" si="113"/>
        <v>0</v>
      </c>
      <c r="BD73" s="10">
        <f t="shared" si="113"/>
        <v>0</v>
      </c>
      <c r="BE73" s="10">
        <f t="shared" si="113"/>
        <v>0</v>
      </c>
      <c r="BF73" s="10">
        <f t="shared" si="113"/>
        <v>0</v>
      </c>
      <c r="BG73" s="10">
        <f t="shared" si="113"/>
        <v>0</v>
      </c>
      <c r="BH73" s="10">
        <f t="shared" si="113"/>
        <v>0</v>
      </c>
      <c r="BI73" s="10">
        <f t="shared" si="113"/>
        <v>0</v>
      </c>
      <c r="BJ73" s="10">
        <f t="shared" si="113"/>
        <v>0</v>
      </c>
      <c r="BK73" s="10">
        <f t="shared" si="113"/>
        <v>0</v>
      </c>
      <c r="BL73" s="10">
        <f t="shared" si="113"/>
        <v>0</v>
      </c>
      <c r="BM73" s="10">
        <f t="shared" si="113"/>
        <v>0</v>
      </c>
      <c r="BN73" s="10">
        <f t="shared" si="113"/>
        <v>0</v>
      </c>
      <c r="BO73" s="10">
        <f t="shared" si="113"/>
        <v>0</v>
      </c>
      <c r="BP73" s="10">
        <f t="shared" si="113"/>
        <v>0</v>
      </c>
      <c r="BQ73" s="10">
        <f t="shared" si="113"/>
        <v>0</v>
      </c>
      <c r="BR73" s="10">
        <f t="shared" si="113"/>
        <v>0</v>
      </c>
      <c r="BS73" s="10">
        <f t="shared" si="113"/>
        <v>0</v>
      </c>
      <c r="BT73" s="10">
        <f t="shared" si="113"/>
        <v>0</v>
      </c>
      <c r="BU73" s="10">
        <f t="shared" si="113"/>
        <v>0</v>
      </c>
      <c r="BV73" s="10">
        <f t="shared" si="113"/>
        <v>0</v>
      </c>
      <c r="BW73" s="10">
        <f t="shared" si="113"/>
        <v>0</v>
      </c>
      <c r="BX73" s="10">
        <f t="shared" ref="BX73:CO73" si="114">SUMIF(Year,BX$6,Debt_Interest_Paid)</f>
        <v>0</v>
      </c>
      <c r="BY73" s="10">
        <f t="shared" si="114"/>
        <v>0</v>
      </c>
      <c r="BZ73" s="10">
        <f t="shared" si="114"/>
        <v>0</v>
      </c>
      <c r="CA73" s="10">
        <f t="shared" si="114"/>
        <v>0</v>
      </c>
      <c r="CB73" s="10">
        <f t="shared" si="114"/>
        <v>0</v>
      </c>
      <c r="CC73" s="10">
        <f t="shared" si="114"/>
        <v>0</v>
      </c>
      <c r="CD73" s="10">
        <f t="shared" si="114"/>
        <v>0</v>
      </c>
      <c r="CE73" s="10">
        <f t="shared" si="114"/>
        <v>0</v>
      </c>
      <c r="CF73" s="10">
        <f t="shared" si="114"/>
        <v>0</v>
      </c>
      <c r="CG73" s="10">
        <f t="shared" si="114"/>
        <v>0</v>
      </c>
      <c r="CH73" s="10">
        <f t="shared" si="114"/>
        <v>0</v>
      </c>
      <c r="CI73" s="10">
        <f t="shared" si="114"/>
        <v>0</v>
      </c>
      <c r="CJ73" s="10">
        <f t="shared" si="114"/>
        <v>0</v>
      </c>
      <c r="CK73" s="10">
        <f t="shared" si="114"/>
        <v>0</v>
      </c>
      <c r="CL73" s="10">
        <f t="shared" si="114"/>
        <v>0</v>
      </c>
      <c r="CM73" s="10">
        <f t="shared" si="114"/>
        <v>0</v>
      </c>
      <c r="CN73" s="10">
        <f t="shared" si="114"/>
        <v>0</v>
      </c>
      <c r="CO73" s="10">
        <f t="shared" si="114"/>
        <v>0</v>
      </c>
    </row>
    <row r="74" spans="1:93" s="133" customFormat="1" ht="14">
      <c r="A74" s="10"/>
      <c r="B74" s="11"/>
      <c r="C74" s="17" t="s">
        <v>355</v>
      </c>
      <c r="D74" s="10"/>
      <c r="E74" s="10"/>
      <c r="F74" s="10"/>
      <c r="G74" s="134" t="str">
        <f t="shared" si="98"/>
        <v>тыс. руб.</v>
      </c>
      <c r="H74" s="10"/>
      <c r="I74" s="23">
        <f t="shared" ca="1" si="99"/>
        <v>-3991.4527079620657</v>
      </c>
      <c r="J74" s="10"/>
      <c r="K74" s="10"/>
      <c r="L74" s="10">
        <f t="shared" ref="L74:AQ74" ca="1" si="115">SUMIF(Year,L$6,Subord_Interest_Paid)</f>
        <v>0</v>
      </c>
      <c r="M74" s="10">
        <f t="shared" ca="1" si="115"/>
        <v>0</v>
      </c>
      <c r="N74" s="10">
        <f t="shared" ca="1" si="115"/>
        <v>0</v>
      </c>
      <c r="O74" s="10">
        <f t="shared" ca="1" si="115"/>
        <v>0</v>
      </c>
      <c r="P74" s="10">
        <f t="shared" ca="1" si="115"/>
        <v>0</v>
      </c>
      <c r="Q74" s="10">
        <f t="shared" ca="1" si="115"/>
        <v>0</v>
      </c>
      <c r="R74" s="10">
        <f t="shared" ca="1" si="115"/>
        <v>0</v>
      </c>
      <c r="S74" s="10">
        <f t="shared" ca="1" si="115"/>
        <v>0</v>
      </c>
      <c r="T74" s="10">
        <f t="shared" ca="1" si="115"/>
        <v>0</v>
      </c>
      <c r="U74" s="10">
        <f t="shared" ca="1" si="115"/>
        <v>0</v>
      </c>
      <c r="V74" s="10">
        <f t="shared" ca="1" si="115"/>
        <v>-1578.8975359324165</v>
      </c>
      <c r="W74" s="10">
        <f t="shared" ca="1" si="115"/>
        <v>-2412.5551720296489</v>
      </c>
      <c r="X74" s="10">
        <f t="shared" ca="1" si="115"/>
        <v>0</v>
      </c>
      <c r="Y74" s="10">
        <f t="shared" ca="1" si="115"/>
        <v>0</v>
      </c>
      <c r="Z74" s="10">
        <f t="shared" ca="1" si="115"/>
        <v>0</v>
      </c>
      <c r="AA74" s="10">
        <f t="shared" ca="1" si="115"/>
        <v>0</v>
      </c>
      <c r="AB74" s="10">
        <f t="shared" ca="1" si="115"/>
        <v>0</v>
      </c>
      <c r="AC74" s="10">
        <f t="shared" ca="1" si="115"/>
        <v>0</v>
      </c>
      <c r="AD74" s="10">
        <f t="shared" ca="1" si="115"/>
        <v>0</v>
      </c>
      <c r="AE74" s="10">
        <f t="shared" ca="1" si="115"/>
        <v>0</v>
      </c>
      <c r="AF74" s="10">
        <f t="shared" ca="1" si="115"/>
        <v>0</v>
      </c>
      <c r="AG74" s="10">
        <f t="shared" si="115"/>
        <v>0</v>
      </c>
      <c r="AH74" s="10">
        <f t="shared" si="115"/>
        <v>0</v>
      </c>
      <c r="AI74" s="10">
        <f t="shared" si="115"/>
        <v>0</v>
      </c>
      <c r="AJ74" s="10">
        <f t="shared" si="115"/>
        <v>0</v>
      </c>
      <c r="AK74" s="10">
        <f t="shared" si="115"/>
        <v>0</v>
      </c>
      <c r="AL74" s="10">
        <f t="shared" si="115"/>
        <v>0</v>
      </c>
      <c r="AM74" s="10">
        <f t="shared" si="115"/>
        <v>0</v>
      </c>
      <c r="AN74" s="10">
        <f t="shared" si="115"/>
        <v>0</v>
      </c>
      <c r="AO74" s="10">
        <f t="shared" si="115"/>
        <v>0</v>
      </c>
      <c r="AP74" s="10">
        <f t="shared" si="115"/>
        <v>0</v>
      </c>
      <c r="AQ74" s="10">
        <f t="shared" si="115"/>
        <v>0</v>
      </c>
      <c r="AR74" s="10">
        <f t="shared" ref="AR74:BW74" si="116">SUMIF(Year,AR$6,Subord_Interest_Paid)</f>
        <v>0</v>
      </c>
      <c r="AS74" s="10">
        <f t="shared" si="116"/>
        <v>0</v>
      </c>
      <c r="AT74" s="10">
        <f t="shared" si="116"/>
        <v>0</v>
      </c>
      <c r="AU74" s="10">
        <f t="shared" si="116"/>
        <v>0</v>
      </c>
      <c r="AV74" s="10">
        <f t="shared" si="116"/>
        <v>0</v>
      </c>
      <c r="AW74" s="10">
        <f t="shared" si="116"/>
        <v>0</v>
      </c>
      <c r="AX74" s="10">
        <f t="shared" si="116"/>
        <v>0</v>
      </c>
      <c r="AY74" s="10">
        <f t="shared" si="116"/>
        <v>0</v>
      </c>
      <c r="AZ74" s="10">
        <f t="shared" si="116"/>
        <v>0</v>
      </c>
      <c r="BA74" s="10">
        <f t="shared" si="116"/>
        <v>0</v>
      </c>
      <c r="BB74" s="10">
        <f t="shared" si="116"/>
        <v>0</v>
      </c>
      <c r="BC74" s="10">
        <f t="shared" si="116"/>
        <v>0</v>
      </c>
      <c r="BD74" s="10">
        <f t="shared" si="116"/>
        <v>0</v>
      </c>
      <c r="BE74" s="10">
        <f t="shared" si="116"/>
        <v>0</v>
      </c>
      <c r="BF74" s="10">
        <f t="shared" si="116"/>
        <v>0</v>
      </c>
      <c r="BG74" s="10">
        <f t="shared" si="116"/>
        <v>0</v>
      </c>
      <c r="BH74" s="10">
        <f t="shared" si="116"/>
        <v>0</v>
      </c>
      <c r="BI74" s="10">
        <f t="shared" si="116"/>
        <v>0</v>
      </c>
      <c r="BJ74" s="10">
        <f t="shared" si="116"/>
        <v>0</v>
      </c>
      <c r="BK74" s="10">
        <f t="shared" si="116"/>
        <v>0</v>
      </c>
      <c r="BL74" s="10">
        <f t="shared" si="116"/>
        <v>0</v>
      </c>
      <c r="BM74" s="10">
        <f t="shared" si="116"/>
        <v>0</v>
      </c>
      <c r="BN74" s="10">
        <f t="shared" si="116"/>
        <v>0</v>
      </c>
      <c r="BO74" s="10">
        <f t="shared" si="116"/>
        <v>0</v>
      </c>
      <c r="BP74" s="10">
        <f t="shared" si="116"/>
        <v>0</v>
      </c>
      <c r="BQ74" s="10">
        <f t="shared" si="116"/>
        <v>0</v>
      </c>
      <c r="BR74" s="10">
        <f t="shared" si="116"/>
        <v>0</v>
      </c>
      <c r="BS74" s="10">
        <f t="shared" si="116"/>
        <v>0</v>
      </c>
      <c r="BT74" s="10">
        <f t="shared" si="116"/>
        <v>0</v>
      </c>
      <c r="BU74" s="10">
        <f t="shared" si="116"/>
        <v>0</v>
      </c>
      <c r="BV74" s="10">
        <f t="shared" si="116"/>
        <v>0</v>
      </c>
      <c r="BW74" s="10">
        <f t="shared" si="116"/>
        <v>0</v>
      </c>
      <c r="BX74" s="10">
        <f t="shared" ref="BX74:CO74" si="117">SUMIF(Year,BX$6,Subord_Interest_Paid)</f>
        <v>0</v>
      </c>
      <c r="BY74" s="10">
        <f t="shared" si="117"/>
        <v>0</v>
      </c>
      <c r="BZ74" s="10">
        <f t="shared" si="117"/>
        <v>0</v>
      </c>
      <c r="CA74" s="10">
        <f t="shared" si="117"/>
        <v>0</v>
      </c>
      <c r="CB74" s="10">
        <f t="shared" si="117"/>
        <v>0</v>
      </c>
      <c r="CC74" s="10">
        <f t="shared" si="117"/>
        <v>0</v>
      </c>
      <c r="CD74" s="10">
        <f t="shared" si="117"/>
        <v>0</v>
      </c>
      <c r="CE74" s="10">
        <f t="shared" si="117"/>
        <v>0</v>
      </c>
      <c r="CF74" s="10">
        <f t="shared" si="117"/>
        <v>0</v>
      </c>
      <c r="CG74" s="10">
        <f t="shared" si="117"/>
        <v>0</v>
      </c>
      <c r="CH74" s="10">
        <f t="shared" si="117"/>
        <v>0</v>
      </c>
      <c r="CI74" s="10">
        <f t="shared" si="117"/>
        <v>0</v>
      </c>
      <c r="CJ74" s="10">
        <f t="shared" si="117"/>
        <v>0</v>
      </c>
      <c r="CK74" s="10">
        <f t="shared" si="117"/>
        <v>0</v>
      </c>
      <c r="CL74" s="10">
        <f t="shared" si="117"/>
        <v>0</v>
      </c>
      <c r="CM74" s="10">
        <f t="shared" si="117"/>
        <v>0</v>
      </c>
      <c r="CN74" s="10">
        <f t="shared" si="117"/>
        <v>0</v>
      </c>
      <c r="CO74" s="10">
        <f t="shared" si="117"/>
        <v>0</v>
      </c>
    </row>
    <row r="75" spans="1:93" s="133" customFormat="1" ht="14">
      <c r="A75" s="10"/>
      <c r="B75" s="11"/>
      <c r="C75" s="17" t="s">
        <v>87</v>
      </c>
      <c r="D75" s="10"/>
      <c r="E75" s="10"/>
      <c r="F75" s="10"/>
      <c r="G75" s="134" t="str">
        <f t="shared" si="98"/>
        <v>тыс. руб.</v>
      </c>
      <c r="H75" s="10"/>
      <c r="I75" s="23">
        <f t="shared" ca="1" si="99"/>
        <v>-1246051.8709808202</v>
      </c>
      <c r="J75" s="10"/>
      <c r="K75" s="10"/>
      <c r="L75" s="10">
        <f t="shared" ref="L75:AQ75" ca="1" si="118">SUMIF(Year,L$6,Profits_Tax)</f>
        <v>0</v>
      </c>
      <c r="M75" s="10">
        <f t="shared" ca="1" si="118"/>
        <v>0</v>
      </c>
      <c r="N75" s="10">
        <f t="shared" ca="1" si="118"/>
        <v>0</v>
      </c>
      <c r="O75" s="10">
        <f t="shared" ca="1" si="118"/>
        <v>0</v>
      </c>
      <c r="P75" s="10">
        <f t="shared" ca="1" si="118"/>
        <v>-1732.9581775828578</v>
      </c>
      <c r="Q75" s="10">
        <f t="shared" ca="1" si="118"/>
        <v>-4227.4596235013005</v>
      </c>
      <c r="R75" s="10">
        <f t="shared" ca="1" si="118"/>
        <v>-6036.645590753119</v>
      </c>
      <c r="S75" s="10">
        <f t="shared" ca="1" si="118"/>
        <v>-9908.8394671194983</v>
      </c>
      <c r="T75" s="10">
        <f t="shared" ca="1" si="118"/>
        <v>-24873.347569397425</v>
      </c>
      <c r="U75" s="10">
        <f t="shared" ca="1" si="118"/>
        <v>-38276.764584929937</v>
      </c>
      <c r="V75" s="10">
        <f t="shared" ca="1" si="118"/>
        <v>-36658.956733864288</v>
      </c>
      <c r="W75" s="10">
        <f t="shared" ca="1" si="118"/>
        <v>-47578.705147279798</v>
      </c>
      <c r="X75" s="10">
        <f t="shared" ca="1" si="118"/>
        <v>-53732.076401924751</v>
      </c>
      <c r="Y75" s="10">
        <f t="shared" ca="1" si="118"/>
        <v>-69179.142585394467</v>
      </c>
      <c r="Z75" s="10">
        <f t="shared" ca="1" si="118"/>
        <v>-130277.28951140986</v>
      </c>
      <c r="AA75" s="10">
        <f t="shared" ca="1" si="118"/>
        <v>-136580.85062214514</v>
      </c>
      <c r="AB75" s="10">
        <f t="shared" ca="1" si="118"/>
        <v>-142498.41806652385</v>
      </c>
      <c r="AC75" s="10">
        <f t="shared" ca="1" si="118"/>
        <v>-148978.01250045106</v>
      </c>
      <c r="AD75" s="10">
        <f t="shared" ca="1" si="118"/>
        <v>-155716.79071173535</v>
      </c>
      <c r="AE75" s="10">
        <f t="shared" ca="1" si="118"/>
        <v>-163091.065635612</v>
      </c>
      <c r="AF75" s="10">
        <f t="shared" ca="1" si="118"/>
        <v>-76704.548051195161</v>
      </c>
      <c r="AG75" s="10">
        <f t="shared" si="118"/>
        <v>0</v>
      </c>
      <c r="AH75" s="10">
        <f t="shared" si="118"/>
        <v>0</v>
      </c>
      <c r="AI75" s="10">
        <f t="shared" si="118"/>
        <v>0</v>
      </c>
      <c r="AJ75" s="10">
        <f t="shared" si="118"/>
        <v>0</v>
      </c>
      <c r="AK75" s="10">
        <f t="shared" si="118"/>
        <v>0</v>
      </c>
      <c r="AL75" s="10">
        <f t="shared" si="118"/>
        <v>0</v>
      </c>
      <c r="AM75" s="10">
        <f t="shared" si="118"/>
        <v>0</v>
      </c>
      <c r="AN75" s="10">
        <f t="shared" si="118"/>
        <v>0</v>
      </c>
      <c r="AO75" s="10">
        <f t="shared" si="118"/>
        <v>0</v>
      </c>
      <c r="AP75" s="10">
        <f t="shared" si="118"/>
        <v>0</v>
      </c>
      <c r="AQ75" s="10">
        <f t="shared" si="118"/>
        <v>0</v>
      </c>
      <c r="AR75" s="10">
        <f t="shared" ref="AR75:BW75" si="119">SUMIF(Year,AR$6,Profits_Tax)</f>
        <v>0</v>
      </c>
      <c r="AS75" s="10">
        <f t="shared" si="119"/>
        <v>0</v>
      </c>
      <c r="AT75" s="10">
        <f t="shared" si="119"/>
        <v>0</v>
      </c>
      <c r="AU75" s="10">
        <f t="shared" si="119"/>
        <v>0</v>
      </c>
      <c r="AV75" s="10">
        <f t="shared" si="119"/>
        <v>0</v>
      </c>
      <c r="AW75" s="10">
        <f t="shared" si="119"/>
        <v>0</v>
      </c>
      <c r="AX75" s="10">
        <f t="shared" si="119"/>
        <v>0</v>
      </c>
      <c r="AY75" s="10">
        <f t="shared" si="119"/>
        <v>0</v>
      </c>
      <c r="AZ75" s="10">
        <f t="shared" si="119"/>
        <v>0</v>
      </c>
      <c r="BA75" s="10">
        <f t="shared" si="119"/>
        <v>0</v>
      </c>
      <c r="BB75" s="10">
        <f t="shared" si="119"/>
        <v>0</v>
      </c>
      <c r="BC75" s="10">
        <f t="shared" si="119"/>
        <v>0</v>
      </c>
      <c r="BD75" s="10">
        <f t="shared" si="119"/>
        <v>0</v>
      </c>
      <c r="BE75" s="10">
        <f t="shared" si="119"/>
        <v>0</v>
      </c>
      <c r="BF75" s="10">
        <f t="shared" si="119"/>
        <v>0</v>
      </c>
      <c r="BG75" s="10">
        <f t="shared" si="119"/>
        <v>0</v>
      </c>
      <c r="BH75" s="10">
        <f t="shared" si="119"/>
        <v>0</v>
      </c>
      <c r="BI75" s="10">
        <f t="shared" si="119"/>
        <v>0</v>
      </c>
      <c r="BJ75" s="10">
        <f t="shared" si="119"/>
        <v>0</v>
      </c>
      <c r="BK75" s="10">
        <f t="shared" si="119"/>
        <v>0</v>
      </c>
      <c r="BL75" s="10">
        <f t="shared" si="119"/>
        <v>0</v>
      </c>
      <c r="BM75" s="10">
        <f t="shared" si="119"/>
        <v>0</v>
      </c>
      <c r="BN75" s="10">
        <f t="shared" si="119"/>
        <v>0</v>
      </c>
      <c r="BO75" s="10">
        <f t="shared" si="119"/>
        <v>0</v>
      </c>
      <c r="BP75" s="10">
        <f t="shared" si="119"/>
        <v>0</v>
      </c>
      <c r="BQ75" s="10">
        <f t="shared" si="119"/>
        <v>0</v>
      </c>
      <c r="BR75" s="10">
        <f t="shared" si="119"/>
        <v>0</v>
      </c>
      <c r="BS75" s="10">
        <f t="shared" si="119"/>
        <v>0</v>
      </c>
      <c r="BT75" s="10">
        <f t="shared" si="119"/>
        <v>0</v>
      </c>
      <c r="BU75" s="10">
        <f t="shared" si="119"/>
        <v>0</v>
      </c>
      <c r="BV75" s="10">
        <f t="shared" si="119"/>
        <v>0</v>
      </c>
      <c r="BW75" s="10">
        <f t="shared" si="119"/>
        <v>0</v>
      </c>
      <c r="BX75" s="10">
        <f t="shared" ref="BX75:CO75" si="120">SUMIF(Year,BX$6,Profits_Tax)</f>
        <v>0</v>
      </c>
      <c r="BY75" s="10">
        <f t="shared" si="120"/>
        <v>0</v>
      </c>
      <c r="BZ75" s="10">
        <f t="shared" si="120"/>
        <v>0</v>
      </c>
      <c r="CA75" s="10">
        <f t="shared" si="120"/>
        <v>0</v>
      </c>
      <c r="CB75" s="10">
        <f t="shared" si="120"/>
        <v>0</v>
      </c>
      <c r="CC75" s="10">
        <f t="shared" si="120"/>
        <v>0</v>
      </c>
      <c r="CD75" s="10">
        <f t="shared" si="120"/>
        <v>0</v>
      </c>
      <c r="CE75" s="10">
        <f t="shared" si="120"/>
        <v>0</v>
      </c>
      <c r="CF75" s="10">
        <f t="shared" si="120"/>
        <v>0</v>
      </c>
      <c r="CG75" s="10">
        <f t="shared" si="120"/>
        <v>0</v>
      </c>
      <c r="CH75" s="10">
        <f t="shared" si="120"/>
        <v>0</v>
      </c>
      <c r="CI75" s="10">
        <f t="shared" si="120"/>
        <v>0</v>
      </c>
      <c r="CJ75" s="10">
        <f t="shared" si="120"/>
        <v>0</v>
      </c>
      <c r="CK75" s="10">
        <f t="shared" si="120"/>
        <v>0</v>
      </c>
      <c r="CL75" s="10">
        <f t="shared" si="120"/>
        <v>0</v>
      </c>
      <c r="CM75" s="10">
        <f t="shared" si="120"/>
        <v>0</v>
      </c>
      <c r="CN75" s="10">
        <f t="shared" si="120"/>
        <v>0</v>
      </c>
      <c r="CO75" s="10">
        <f t="shared" si="120"/>
        <v>0</v>
      </c>
    </row>
    <row r="76" spans="1:93" s="133" customFormat="1" ht="14">
      <c r="A76" s="10"/>
      <c r="B76" s="11"/>
      <c r="C76" s="17" t="s">
        <v>112</v>
      </c>
      <c r="D76" s="10"/>
      <c r="E76" s="10"/>
      <c r="F76" s="10"/>
      <c r="G76" s="134" t="str">
        <f t="shared" si="98"/>
        <v>тыс. руб.</v>
      </c>
      <c r="H76" s="10"/>
      <c r="I76" s="23">
        <f t="shared" ca="1" si="99"/>
        <v>122805.22200197341</v>
      </c>
      <c r="J76" s="10"/>
      <c r="K76" s="10"/>
      <c r="L76" s="10">
        <f t="shared" ref="L76:AQ76" ca="1" si="121">SUMIF(Year,L$6,VAT_Cash_Flow)</f>
        <v>-21387.476153701184</v>
      </c>
      <c r="M76" s="10">
        <f t="shared" ca="1" si="121"/>
        <v>-186461.04061465285</v>
      </c>
      <c r="N76" s="10">
        <f t="shared" ca="1" si="121"/>
        <v>-193919.48223923898</v>
      </c>
      <c r="O76" s="10">
        <f t="shared" ca="1" si="121"/>
        <v>-421182.52756295528</v>
      </c>
      <c r="P76" s="10">
        <f t="shared" ca="1" si="121"/>
        <v>765640.33218128828</v>
      </c>
      <c r="Q76" s="10">
        <f t="shared" ca="1" si="121"/>
        <v>-10684.407512223435</v>
      </c>
      <c r="R76" s="10">
        <f t="shared" ca="1" si="121"/>
        <v>-11447.463802178449</v>
      </c>
      <c r="S76" s="10">
        <f t="shared" ca="1" si="121"/>
        <v>-9159.3024100189359</v>
      </c>
      <c r="T76" s="10">
        <f t="shared" ca="1" si="121"/>
        <v>-3544.3473369266139</v>
      </c>
      <c r="U76" s="10">
        <f t="shared" ca="1" si="121"/>
        <v>149383.65464705066</v>
      </c>
      <c r="V76" s="10">
        <f t="shared" ca="1" si="121"/>
        <v>2289.5175678577507</v>
      </c>
      <c r="W76" s="10">
        <f t="shared" ca="1" si="121"/>
        <v>2381.2636519727821</v>
      </c>
      <c r="X76" s="10">
        <f t="shared" ca="1" si="121"/>
        <v>2476.1768199941725</v>
      </c>
      <c r="Y76" s="10">
        <f t="shared" ca="1" si="121"/>
        <v>2575.3958894506795</v>
      </c>
      <c r="Z76" s="10">
        <f t="shared" ca="1" si="121"/>
        <v>2678.411725028709</v>
      </c>
      <c r="AA76" s="10">
        <f t="shared" ca="1" si="121"/>
        <v>2785.7416668772348</v>
      </c>
      <c r="AB76" s="10">
        <f t="shared" ca="1" si="121"/>
        <v>2896.776648943749</v>
      </c>
      <c r="AC76" s="10">
        <f t="shared" ca="1" si="121"/>
        <v>3012.8489266627294</v>
      </c>
      <c r="AD76" s="10">
        <f t="shared" ca="1" si="121"/>
        <v>3133.3628837292199</v>
      </c>
      <c r="AE76" s="10">
        <f t="shared" ca="1" si="121"/>
        <v>3258.923734944954</v>
      </c>
      <c r="AF76" s="10">
        <f t="shared" ca="1" si="121"/>
        <v>38078.863290068228</v>
      </c>
      <c r="AG76" s="10">
        <f t="shared" si="121"/>
        <v>0</v>
      </c>
      <c r="AH76" s="10">
        <f t="shared" si="121"/>
        <v>0</v>
      </c>
      <c r="AI76" s="10">
        <f t="shared" si="121"/>
        <v>0</v>
      </c>
      <c r="AJ76" s="10">
        <f t="shared" si="121"/>
        <v>0</v>
      </c>
      <c r="AK76" s="10">
        <f t="shared" si="121"/>
        <v>0</v>
      </c>
      <c r="AL76" s="10">
        <f t="shared" si="121"/>
        <v>0</v>
      </c>
      <c r="AM76" s="10">
        <f t="shared" si="121"/>
        <v>0</v>
      </c>
      <c r="AN76" s="10">
        <f t="shared" si="121"/>
        <v>0</v>
      </c>
      <c r="AO76" s="10">
        <f t="shared" si="121"/>
        <v>0</v>
      </c>
      <c r="AP76" s="10">
        <f t="shared" si="121"/>
        <v>0</v>
      </c>
      <c r="AQ76" s="10">
        <f t="shared" si="121"/>
        <v>0</v>
      </c>
      <c r="AR76" s="10">
        <f t="shared" ref="AR76:BW76" si="122">SUMIF(Year,AR$6,VAT_Cash_Flow)</f>
        <v>0</v>
      </c>
      <c r="AS76" s="10">
        <f t="shared" si="122"/>
        <v>0</v>
      </c>
      <c r="AT76" s="10">
        <f t="shared" si="122"/>
        <v>0</v>
      </c>
      <c r="AU76" s="10">
        <f t="shared" si="122"/>
        <v>0</v>
      </c>
      <c r="AV76" s="10">
        <f t="shared" si="122"/>
        <v>0</v>
      </c>
      <c r="AW76" s="10">
        <f t="shared" si="122"/>
        <v>0</v>
      </c>
      <c r="AX76" s="10">
        <f t="shared" si="122"/>
        <v>0</v>
      </c>
      <c r="AY76" s="10">
        <f t="shared" si="122"/>
        <v>0</v>
      </c>
      <c r="AZ76" s="10">
        <f t="shared" si="122"/>
        <v>0</v>
      </c>
      <c r="BA76" s="10">
        <f t="shared" si="122"/>
        <v>0</v>
      </c>
      <c r="BB76" s="10">
        <f t="shared" si="122"/>
        <v>0</v>
      </c>
      <c r="BC76" s="10">
        <f t="shared" si="122"/>
        <v>0</v>
      </c>
      <c r="BD76" s="10">
        <f t="shared" si="122"/>
        <v>0</v>
      </c>
      <c r="BE76" s="10">
        <f t="shared" si="122"/>
        <v>0</v>
      </c>
      <c r="BF76" s="10">
        <f t="shared" si="122"/>
        <v>0</v>
      </c>
      <c r="BG76" s="10">
        <f t="shared" si="122"/>
        <v>0</v>
      </c>
      <c r="BH76" s="10">
        <f t="shared" si="122"/>
        <v>0</v>
      </c>
      <c r="BI76" s="10">
        <f t="shared" si="122"/>
        <v>0</v>
      </c>
      <c r="BJ76" s="10">
        <f t="shared" si="122"/>
        <v>0</v>
      </c>
      <c r="BK76" s="10">
        <f t="shared" si="122"/>
        <v>0</v>
      </c>
      <c r="BL76" s="10">
        <f t="shared" si="122"/>
        <v>0</v>
      </c>
      <c r="BM76" s="10">
        <f t="shared" si="122"/>
        <v>0</v>
      </c>
      <c r="BN76" s="10">
        <f t="shared" si="122"/>
        <v>0</v>
      </c>
      <c r="BO76" s="10">
        <f t="shared" si="122"/>
        <v>0</v>
      </c>
      <c r="BP76" s="10">
        <f t="shared" si="122"/>
        <v>0</v>
      </c>
      <c r="BQ76" s="10">
        <f t="shared" si="122"/>
        <v>0</v>
      </c>
      <c r="BR76" s="10">
        <f t="shared" si="122"/>
        <v>0</v>
      </c>
      <c r="BS76" s="10">
        <f t="shared" si="122"/>
        <v>0</v>
      </c>
      <c r="BT76" s="10">
        <f t="shared" si="122"/>
        <v>0</v>
      </c>
      <c r="BU76" s="10">
        <f t="shared" si="122"/>
        <v>0</v>
      </c>
      <c r="BV76" s="10">
        <f t="shared" si="122"/>
        <v>0</v>
      </c>
      <c r="BW76" s="10">
        <f t="shared" si="122"/>
        <v>0</v>
      </c>
      <c r="BX76" s="10">
        <f t="shared" ref="BX76:CO76" si="123">SUMIF(Year,BX$6,VAT_Cash_Flow)</f>
        <v>0</v>
      </c>
      <c r="BY76" s="10">
        <f t="shared" si="123"/>
        <v>0</v>
      </c>
      <c r="BZ76" s="10">
        <f t="shared" si="123"/>
        <v>0</v>
      </c>
      <c r="CA76" s="10">
        <f t="shared" si="123"/>
        <v>0</v>
      </c>
      <c r="CB76" s="10">
        <f t="shared" si="123"/>
        <v>0</v>
      </c>
      <c r="CC76" s="10">
        <f t="shared" si="123"/>
        <v>0</v>
      </c>
      <c r="CD76" s="10">
        <f t="shared" si="123"/>
        <v>0</v>
      </c>
      <c r="CE76" s="10">
        <f t="shared" si="123"/>
        <v>0</v>
      </c>
      <c r="CF76" s="10">
        <f t="shared" si="123"/>
        <v>0</v>
      </c>
      <c r="CG76" s="10">
        <f t="shared" si="123"/>
        <v>0</v>
      </c>
      <c r="CH76" s="10">
        <f t="shared" si="123"/>
        <v>0</v>
      </c>
      <c r="CI76" s="10">
        <f t="shared" si="123"/>
        <v>0</v>
      </c>
      <c r="CJ76" s="10">
        <f t="shared" si="123"/>
        <v>0</v>
      </c>
      <c r="CK76" s="10">
        <f t="shared" si="123"/>
        <v>0</v>
      </c>
      <c r="CL76" s="10">
        <f t="shared" si="123"/>
        <v>0</v>
      </c>
      <c r="CM76" s="10">
        <f t="shared" si="123"/>
        <v>0</v>
      </c>
      <c r="CN76" s="10">
        <f t="shared" si="123"/>
        <v>0</v>
      </c>
      <c r="CO76" s="10">
        <f t="shared" si="123"/>
        <v>0</v>
      </c>
    </row>
    <row r="77" spans="1:93" s="133" customFormat="1" ht="14.5" thickBot="1">
      <c r="A77" s="10"/>
      <c r="B77" s="11"/>
      <c r="C77" s="17" t="s">
        <v>88</v>
      </c>
      <c r="D77" s="10"/>
      <c r="E77" s="10"/>
      <c r="F77" s="10"/>
      <c r="G77" s="134" t="str">
        <f t="shared" si="98"/>
        <v>тыс. руб.</v>
      </c>
      <c r="H77" s="10"/>
      <c r="I77" s="23">
        <f t="shared" ca="1" si="99"/>
        <v>-259956.36399098195</v>
      </c>
      <c r="J77" s="10"/>
      <c r="K77" s="10"/>
      <c r="L77" s="10">
        <f t="shared" ref="L77:AQ77" ca="1" si="124">SUMIF(Year,L$6,WC_Cash_Flow)</f>
        <v>0</v>
      </c>
      <c r="M77" s="10">
        <f t="shared" ca="1" si="124"/>
        <v>0</v>
      </c>
      <c r="N77" s="10">
        <f t="shared" ca="1" si="124"/>
        <v>0</v>
      </c>
      <c r="O77" s="10">
        <f t="shared" ca="1" si="124"/>
        <v>0</v>
      </c>
      <c r="P77" s="10">
        <f t="shared" ca="1" si="124"/>
        <v>-92887.292931389995</v>
      </c>
      <c r="Q77" s="10">
        <f t="shared" ca="1" si="124"/>
        <v>-17045.392757585563</v>
      </c>
      <c r="R77" s="10">
        <f t="shared" ca="1" si="124"/>
        <v>-18260.404509502579</v>
      </c>
      <c r="S77" s="10">
        <f t="shared" ca="1" si="124"/>
        <v>-12336.64933678403</v>
      </c>
      <c r="T77" s="10">
        <f t="shared" ca="1" si="124"/>
        <v>-5621.0697253265535</v>
      </c>
      <c r="U77" s="10">
        <f t="shared" ca="1" si="124"/>
        <v>26283.721356224269</v>
      </c>
      <c r="V77" s="10">
        <f t="shared" ca="1" si="124"/>
        <v>-4794.6835161745548</v>
      </c>
      <c r="W77" s="10">
        <f t="shared" ca="1" si="124"/>
        <v>-4986.6056786155095</v>
      </c>
      <c r="X77" s="10">
        <f t="shared" ca="1" si="124"/>
        <v>-5185.7948693003273</v>
      </c>
      <c r="Y77" s="10">
        <f t="shared" ca="1" si="124"/>
        <v>-5393.366878738394</v>
      </c>
      <c r="Z77" s="10">
        <f t="shared" ca="1" si="124"/>
        <v>-5609.1015538874781</v>
      </c>
      <c r="AA77" s="10">
        <f t="shared" ca="1" si="124"/>
        <v>-5833.6233384730294</v>
      </c>
      <c r="AB77" s="10">
        <f t="shared" ca="1" si="124"/>
        <v>-6066.6465182552347</v>
      </c>
      <c r="AC77" s="10">
        <f t="shared" ca="1" si="124"/>
        <v>-6309.4764103124617</v>
      </c>
      <c r="AD77" s="10">
        <f t="shared" ca="1" si="124"/>
        <v>-6561.8554667246062</v>
      </c>
      <c r="AE77" s="10">
        <f t="shared" ca="1" si="124"/>
        <v>-6824.5141983286012</v>
      </c>
      <c r="AF77" s="10">
        <f t="shared" ca="1" si="124"/>
        <v>-82523.607657807297</v>
      </c>
      <c r="AG77" s="10">
        <f t="shared" si="124"/>
        <v>0</v>
      </c>
      <c r="AH77" s="10">
        <f t="shared" si="124"/>
        <v>0</v>
      </c>
      <c r="AI77" s="10">
        <f t="shared" si="124"/>
        <v>0</v>
      </c>
      <c r="AJ77" s="10">
        <f t="shared" si="124"/>
        <v>0</v>
      </c>
      <c r="AK77" s="10">
        <f t="shared" si="124"/>
        <v>0</v>
      </c>
      <c r="AL77" s="10">
        <f t="shared" si="124"/>
        <v>0</v>
      </c>
      <c r="AM77" s="10">
        <f t="shared" si="124"/>
        <v>0</v>
      </c>
      <c r="AN77" s="10">
        <f t="shared" si="124"/>
        <v>0</v>
      </c>
      <c r="AO77" s="10">
        <f t="shared" si="124"/>
        <v>0</v>
      </c>
      <c r="AP77" s="10">
        <f t="shared" si="124"/>
        <v>0</v>
      </c>
      <c r="AQ77" s="10">
        <f t="shared" si="124"/>
        <v>0</v>
      </c>
      <c r="AR77" s="10">
        <f t="shared" ref="AR77:BW77" si="125">SUMIF(Year,AR$6,WC_Cash_Flow)</f>
        <v>0</v>
      </c>
      <c r="AS77" s="10">
        <f t="shared" si="125"/>
        <v>0</v>
      </c>
      <c r="AT77" s="10">
        <f t="shared" si="125"/>
        <v>0</v>
      </c>
      <c r="AU77" s="10">
        <f t="shared" si="125"/>
        <v>0</v>
      </c>
      <c r="AV77" s="10">
        <f t="shared" si="125"/>
        <v>0</v>
      </c>
      <c r="AW77" s="10">
        <f t="shared" si="125"/>
        <v>0</v>
      </c>
      <c r="AX77" s="10">
        <f t="shared" si="125"/>
        <v>0</v>
      </c>
      <c r="AY77" s="10">
        <f t="shared" si="125"/>
        <v>0</v>
      </c>
      <c r="AZ77" s="10">
        <f t="shared" si="125"/>
        <v>0</v>
      </c>
      <c r="BA77" s="10">
        <f t="shared" si="125"/>
        <v>0</v>
      </c>
      <c r="BB77" s="10">
        <f t="shared" si="125"/>
        <v>0</v>
      </c>
      <c r="BC77" s="10">
        <f t="shared" si="125"/>
        <v>0</v>
      </c>
      <c r="BD77" s="10">
        <f t="shared" si="125"/>
        <v>0</v>
      </c>
      <c r="BE77" s="10">
        <f t="shared" si="125"/>
        <v>0</v>
      </c>
      <c r="BF77" s="10">
        <f t="shared" si="125"/>
        <v>0</v>
      </c>
      <c r="BG77" s="10">
        <f t="shared" si="125"/>
        <v>0</v>
      </c>
      <c r="BH77" s="10">
        <f t="shared" si="125"/>
        <v>0</v>
      </c>
      <c r="BI77" s="10">
        <f t="shared" si="125"/>
        <v>0</v>
      </c>
      <c r="BJ77" s="10">
        <f t="shared" si="125"/>
        <v>0</v>
      </c>
      <c r="BK77" s="10">
        <f t="shared" si="125"/>
        <v>0</v>
      </c>
      <c r="BL77" s="10">
        <f t="shared" si="125"/>
        <v>0</v>
      </c>
      <c r="BM77" s="10">
        <f t="shared" si="125"/>
        <v>0</v>
      </c>
      <c r="BN77" s="10">
        <f t="shared" si="125"/>
        <v>0</v>
      </c>
      <c r="BO77" s="10">
        <f t="shared" si="125"/>
        <v>0</v>
      </c>
      <c r="BP77" s="10">
        <f t="shared" si="125"/>
        <v>0</v>
      </c>
      <c r="BQ77" s="10">
        <f t="shared" si="125"/>
        <v>0</v>
      </c>
      <c r="BR77" s="10">
        <f t="shared" si="125"/>
        <v>0</v>
      </c>
      <c r="BS77" s="10">
        <f t="shared" si="125"/>
        <v>0</v>
      </c>
      <c r="BT77" s="10">
        <f t="shared" si="125"/>
        <v>0</v>
      </c>
      <c r="BU77" s="10">
        <f t="shared" si="125"/>
        <v>0</v>
      </c>
      <c r="BV77" s="10">
        <f t="shared" si="125"/>
        <v>0</v>
      </c>
      <c r="BW77" s="10">
        <f t="shared" si="125"/>
        <v>0</v>
      </c>
      <c r="BX77" s="10">
        <f t="shared" ref="BX77:CO77" si="126">SUMIF(Year,BX$6,WC_Cash_Flow)</f>
        <v>0</v>
      </c>
      <c r="BY77" s="10">
        <f t="shared" si="126"/>
        <v>0</v>
      </c>
      <c r="BZ77" s="10">
        <f t="shared" si="126"/>
        <v>0</v>
      </c>
      <c r="CA77" s="10">
        <f t="shared" si="126"/>
        <v>0</v>
      </c>
      <c r="CB77" s="10">
        <f t="shared" si="126"/>
        <v>0</v>
      </c>
      <c r="CC77" s="10">
        <f t="shared" si="126"/>
        <v>0</v>
      </c>
      <c r="CD77" s="10">
        <f t="shared" si="126"/>
        <v>0</v>
      </c>
      <c r="CE77" s="10">
        <f t="shared" si="126"/>
        <v>0</v>
      </c>
      <c r="CF77" s="10">
        <f t="shared" si="126"/>
        <v>0</v>
      </c>
      <c r="CG77" s="10">
        <f t="shared" si="126"/>
        <v>0</v>
      </c>
      <c r="CH77" s="10">
        <f t="shared" si="126"/>
        <v>0</v>
      </c>
      <c r="CI77" s="10">
        <f t="shared" si="126"/>
        <v>0</v>
      </c>
      <c r="CJ77" s="10">
        <f t="shared" si="126"/>
        <v>0</v>
      </c>
      <c r="CK77" s="10">
        <f t="shared" si="126"/>
        <v>0</v>
      </c>
      <c r="CL77" s="10">
        <f t="shared" si="126"/>
        <v>0</v>
      </c>
      <c r="CM77" s="10">
        <f t="shared" si="126"/>
        <v>0</v>
      </c>
      <c r="CN77" s="10">
        <f t="shared" si="126"/>
        <v>0</v>
      </c>
      <c r="CO77" s="10">
        <f t="shared" si="126"/>
        <v>0</v>
      </c>
    </row>
    <row r="78" spans="1:93" s="133" customFormat="1" ht="14.5" thickTop="1">
      <c r="A78" s="10"/>
      <c r="B78" s="11"/>
      <c r="C78" s="49" t="s">
        <v>494</v>
      </c>
      <c r="D78" s="136"/>
      <c r="E78" s="136"/>
      <c r="F78" s="136"/>
      <c r="G78" s="137" t="str">
        <f t="shared" si="98"/>
        <v>тыс. руб.</v>
      </c>
      <c r="H78" s="136"/>
      <c r="I78" s="23">
        <f t="shared" ca="1" si="99"/>
        <v>13330199.870655131</v>
      </c>
      <c r="J78" s="136"/>
      <c r="K78" s="136"/>
      <c r="L78" s="136">
        <f ca="1">SUM(L69:L77)</f>
        <v>-21387.476153701184</v>
      </c>
      <c r="M78" s="136">
        <f t="shared" ref="M78:BX78" ca="1" si="127">SUM(M69:M77)</f>
        <v>-187200.03235712866</v>
      </c>
      <c r="N78" s="136">
        <f t="shared" ca="1" si="127"/>
        <v>-243591.86228218197</v>
      </c>
      <c r="O78" s="136">
        <f t="shared" ca="1" si="127"/>
        <v>-568060.49270078517</v>
      </c>
      <c r="P78" s="136">
        <f t="shared" ca="1" si="127"/>
        <v>1029660.8336226237</v>
      </c>
      <c r="Q78" s="136">
        <f t="shared" ca="1" si="127"/>
        <v>611867.88071216689</v>
      </c>
      <c r="R78" s="136">
        <f t="shared" ca="1" si="127"/>
        <v>788999.22342822433</v>
      </c>
      <c r="S78" s="136">
        <f t="shared" ca="1" si="127"/>
        <v>966432.43762120709</v>
      </c>
      <c r="T78" s="136">
        <f t="shared" ca="1" si="127"/>
        <v>1046613.0055003867</v>
      </c>
      <c r="U78" s="136">
        <f t="shared" ca="1" si="127"/>
        <v>905280.71231554763</v>
      </c>
      <c r="V78" s="136">
        <f t="shared" ca="1" si="127"/>
        <v>707817.89944637625</v>
      </c>
      <c r="W78" s="136">
        <f t="shared" ca="1" si="127"/>
        <v>768878.30779702775</v>
      </c>
      <c r="X78" s="136">
        <f t="shared" ca="1" si="127"/>
        <v>822485.44224311004</v>
      </c>
      <c r="Y78" s="136">
        <f t="shared" ca="1" si="127"/>
        <v>842664.11652800592</v>
      </c>
      <c r="Z78" s="136">
        <f t="shared" ca="1" si="127"/>
        <v>818616.70790710032</v>
      </c>
      <c r="AA78" s="136">
        <f t="shared" ca="1" si="127"/>
        <v>852864.09115192061</v>
      </c>
      <c r="AB78" s="136">
        <f t="shared" ca="1" si="127"/>
        <v>885002.38998968853</v>
      </c>
      <c r="AC78" s="136">
        <f t="shared" ca="1" si="127"/>
        <v>920199.87299901783</v>
      </c>
      <c r="AD78" s="136">
        <f t="shared" ca="1" si="127"/>
        <v>956805.21814828692</v>
      </c>
      <c r="AE78" s="136">
        <f t="shared" ca="1" si="127"/>
        <v>996869.81259483821</v>
      </c>
      <c r="AF78" s="136">
        <f t="shared" ca="1" si="127"/>
        <v>429381.78214339685</v>
      </c>
      <c r="AG78" s="136">
        <f t="shared" si="127"/>
        <v>0</v>
      </c>
      <c r="AH78" s="136">
        <f t="shared" si="127"/>
        <v>0</v>
      </c>
      <c r="AI78" s="136">
        <f t="shared" si="127"/>
        <v>0</v>
      </c>
      <c r="AJ78" s="136">
        <f t="shared" si="127"/>
        <v>0</v>
      </c>
      <c r="AK78" s="136">
        <f t="shared" si="127"/>
        <v>0</v>
      </c>
      <c r="AL78" s="136">
        <f t="shared" si="127"/>
        <v>0</v>
      </c>
      <c r="AM78" s="136">
        <f t="shared" si="127"/>
        <v>0</v>
      </c>
      <c r="AN78" s="136">
        <f t="shared" si="127"/>
        <v>0</v>
      </c>
      <c r="AO78" s="136">
        <f t="shared" si="127"/>
        <v>0</v>
      </c>
      <c r="AP78" s="136">
        <f t="shared" si="127"/>
        <v>0</v>
      </c>
      <c r="AQ78" s="136">
        <f t="shared" si="127"/>
        <v>0</v>
      </c>
      <c r="AR78" s="136">
        <f t="shared" si="127"/>
        <v>0</v>
      </c>
      <c r="AS78" s="136">
        <f t="shared" si="127"/>
        <v>0</v>
      </c>
      <c r="AT78" s="136">
        <f t="shared" si="127"/>
        <v>0</v>
      </c>
      <c r="AU78" s="136">
        <f t="shared" si="127"/>
        <v>0</v>
      </c>
      <c r="AV78" s="136">
        <f t="shared" si="127"/>
        <v>0</v>
      </c>
      <c r="AW78" s="136">
        <f t="shared" si="127"/>
        <v>0</v>
      </c>
      <c r="AX78" s="136">
        <f t="shared" si="127"/>
        <v>0</v>
      </c>
      <c r="AY78" s="136">
        <f t="shared" si="127"/>
        <v>0</v>
      </c>
      <c r="AZ78" s="136">
        <f t="shared" si="127"/>
        <v>0</v>
      </c>
      <c r="BA78" s="136">
        <f t="shared" si="127"/>
        <v>0</v>
      </c>
      <c r="BB78" s="136">
        <f t="shared" si="127"/>
        <v>0</v>
      </c>
      <c r="BC78" s="136">
        <f t="shared" si="127"/>
        <v>0</v>
      </c>
      <c r="BD78" s="136">
        <f t="shared" si="127"/>
        <v>0</v>
      </c>
      <c r="BE78" s="136">
        <f t="shared" si="127"/>
        <v>0</v>
      </c>
      <c r="BF78" s="136">
        <f t="shared" si="127"/>
        <v>0</v>
      </c>
      <c r="BG78" s="136">
        <f t="shared" si="127"/>
        <v>0</v>
      </c>
      <c r="BH78" s="136">
        <f t="shared" si="127"/>
        <v>0</v>
      </c>
      <c r="BI78" s="136">
        <f t="shared" si="127"/>
        <v>0</v>
      </c>
      <c r="BJ78" s="136">
        <f t="shared" si="127"/>
        <v>0</v>
      </c>
      <c r="BK78" s="136">
        <f t="shared" si="127"/>
        <v>0</v>
      </c>
      <c r="BL78" s="136">
        <f t="shared" si="127"/>
        <v>0</v>
      </c>
      <c r="BM78" s="136">
        <f t="shared" si="127"/>
        <v>0</v>
      </c>
      <c r="BN78" s="136">
        <f t="shared" si="127"/>
        <v>0</v>
      </c>
      <c r="BO78" s="136">
        <f t="shared" si="127"/>
        <v>0</v>
      </c>
      <c r="BP78" s="136">
        <f t="shared" si="127"/>
        <v>0</v>
      </c>
      <c r="BQ78" s="136">
        <f t="shared" si="127"/>
        <v>0</v>
      </c>
      <c r="BR78" s="136">
        <f t="shared" si="127"/>
        <v>0</v>
      </c>
      <c r="BS78" s="136">
        <f t="shared" si="127"/>
        <v>0</v>
      </c>
      <c r="BT78" s="136">
        <f t="shared" si="127"/>
        <v>0</v>
      </c>
      <c r="BU78" s="136">
        <f t="shared" si="127"/>
        <v>0</v>
      </c>
      <c r="BV78" s="136">
        <f t="shared" si="127"/>
        <v>0</v>
      </c>
      <c r="BW78" s="136">
        <f t="shared" si="127"/>
        <v>0</v>
      </c>
      <c r="BX78" s="136">
        <f t="shared" si="127"/>
        <v>0</v>
      </c>
      <c r="BY78" s="136">
        <f t="shared" ref="BY78:CO78" si="128">SUM(BY69:BY77)</f>
        <v>0</v>
      </c>
      <c r="BZ78" s="136">
        <f t="shared" si="128"/>
        <v>0</v>
      </c>
      <c r="CA78" s="136">
        <f t="shared" si="128"/>
        <v>0</v>
      </c>
      <c r="CB78" s="136">
        <f t="shared" si="128"/>
        <v>0</v>
      </c>
      <c r="CC78" s="136">
        <f t="shared" si="128"/>
        <v>0</v>
      </c>
      <c r="CD78" s="136">
        <f t="shared" si="128"/>
        <v>0</v>
      </c>
      <c r="CE78" s="136">
        <f t="shared" si="128"/>
        <v>0</v>
      </c>
      <c r="CF78" s="136">
        <f t="shared" si="128"/>
        <v>0</v>
      </c>
      <c r="CG78" s="136">
        <f t="shared" si="128"/>
        <v>0</v>
      </c>
      <c r="CH78" s="136">
        <f t="shared" si="128"/>
        <v>0</v>
      </c>
      <c r="CI78" s="136">
        <f t="shared" si="128"/>
        <v>0</v>
      </c>
      <c r="CJ78" s="136">
        <f t="shared" si="128"/>
        <v>0</v>
      </c>
      <c r="CK78" s="136">
        <f t="shared" si="128"/>
        <v>0</v>
      </c>
      <c r="CL78" s="136">
        <f t="shared" si="128"/>
        <v>0</v>
      </c>
      <c r="CM78" s="136">
        <f t="shared" si="128"/>
        <v>0</v>
      </c>
      <c r="CN78" s="136">
        <f t="shared" si="128"/>
        <v>0</v>
      </c>
      <c r="CO78" s="136">
        <f t="shared" si="128"/>
        <v>0</v>
      </c>
    </row>
    <row r="79" spans="1:93" s="133" customFormat="1" ht="14">
      <c r="A79" s="10"/>
      <c r="B79" s="11"/>
      <c r="C79" s="10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s="10" customFormat="1" ht="14">
      <c r="C80" s="139" t="s">
        <v>89</v>
      </c>
      <c r="G80" s="11"/>
    </row>
    <row r="81" spans="1:93" s="133" customFormat="1" ht="14.5" thickBot="1">
      <c r="A81" s="10"/>
      <c r="B81" s="11"/>
      <c r="C81" s="17" t="s">
        <v>538</v>
      </c>
      <c r="D81" s="10"/>
      <c r="E81" s="10"/>
      <c r="F81" s="10"/>
      <c r="G81" s="134" t="str">
        <f>Monetary_Unit</f>
        <v>тыс. руб.</v>
      </c>
      <c r="H81" s="10"/>
      <c r="I81" s="23">
        <f ca="1">SUM(L81:CQ81)</f>
        <v>-4808399.504779838</v>
      </c>
      <c r="J81" s="10"/>
      <c r="K81" s="10"/>
      <c r="L81" s="10">
        <f t="shared" ref="L81:AQ81" ca="1" si="129">-SUMIF(Year,L$6,CAPEX)</f>
        <v>-106937.3807685059</v>
      </c>
      <c r="M81" s="10">
        <f t="shared" ca="1" si="129"/>
        <v>-932305.20307326433</v>
      </c>
      <c r="N81" s="10">
        <f t="shared" ca="1" si="129"/>
        <v>-969597.41119619482</v>
      </c>
      <c r="O81" s="10">
        <f t="shared" ca="1" si="129"/>
        <v>-2105912.6378147765</v>
      </c>
      <c r="P81" s="10">
        <f t="shared" ca="1" si="129"/>
        <v>-693646.87192709628</v>
      </c>
      <c r="Q81" s="10">
        <f t="shared" ca="1" si="129"/>
        <v>0</v>
      </c>
      <c r="R81" s="10">
        <f t="shared" ca="1" si="129"/>
        <v>0</v>
      </c>
      <c r="S81" s="10">
        <f t="shared" ca="1" si="129"/>
        <v>0</v>
      </c>
      <c r="T81" s="10">
        <f t="shared" ca="1" si="129"/>
        <v>0</v>
      </c>
      <c r="U81" s="10">
        <f t="shared" ca="1" si="129"/>
        <v>0</v>
      </c>
      <c r="V81" s="10">
        <f t="shared" ca="1" si="129"/>
        <v>0</v>
      </c>
      <c r="W81" s="10">
        <f t="shared" ca="1" si="129"/>
        <v>0</v>
      </c>
      <c r="X81" s="10">
        <f t="shared" ca="1" si="129"/>
        <v>0</v>
      </c>
      <c r="Y81" s="10">
        <f t="shared" ca="1" si="129"/>
        <v>0</v>
      </c>
      <c r="Z81" s="10">
        <f t="shared" ca="1" si="129"/>
        <v>0</v>
      </c>
      <c r="AA81" s="10">
        <f t="shared" ca="1" si="129"/>
        <v>0</v>
      </c>
      <c r="AB81" s="10">
        <f t="shared" ca="1" si="129"/>
        <v>0</v>
      </c>
      <c r="AC81" s="10">
        <f t="shared" ca="1" si="129"/>
        <v>0</v>
      </c>
      <c r="AD81" s="10">
        <f t="shared" ca="1" si="129"/>
        <v>0</v>
      </c>
      <c r="AE81" s="10">
        <f t="shared" ca="1" si="129"/>
        <v>0</v>
      </c>
      <c r="AF81" s="10">
        <f t="shared" ca="1" si="129"/>
        <v>0</v>
      </c>
      <c r="AG81" s="10">
        <f t="shared" si="129"/>
        <v>0</v>
      </c>
      <c r="AH81" s="10">
        <f t="shared" si="129"/>
        <v>0</v>
      </c>
      <c r="AI81" s="10">
        <f t="shared" si="129"/>
        <v>0</v>
      </c>
      <c r="AJ81" s="10">
        <f t="shared" si="129"/>
        <v>0</v>
      </c>
      <c r="AK81" s="10">
        <f t="shared" si="129"/>
        <v>0</v>
      </c>
      <c r="AL81" s="10">
        <f t="shared" si="129"/>
        <v>0</v>
      </c>
      <c r="AM81" s="10">
        <f t="shared" si="129"/>
        <v>0</v>
      </c>
      <c r="AN81" s="10">
        <f t="shared" si="129"/>
        <v>0</v>
      </c>
      <c r="AO81" s="10">
        <f t="shared" si="129"/>
        <v>0</v>
      </c>
      <c r="AP81" s="10">
        <f t="shared" si="129"/>
        <v>0</v>
      </c>
      <c r="AQ81" s="10">
        <f t="shared" si="129"/>
        <v>0</v>
      </c>
      <c r="AR81" s="10">
        <f t="shared" ref="AR81:BW81" si="130">-SUMIF(Year,AR$6,CAPEX)</f>
        <v>0</v>
      </c>
      <c r="AS81" s="10">
        <f t="shared" si="130"/>
        <v>0</v>
      </c>
      <c r="AT81" s="10">
        <f t="shared" si="130"/>
        <v>0</v>
      </c>
      <c r="AU81" s="10">
        <f t="shared" si="130"/>
        <v>0</v>
      </c>
      <c r="AV81" s="10">
        <f t="shared" si="130"/>
        <v>0</v>
      </c>
      <c r="AW81" s="10">
        <f t="shared" si="130"/>
        <v>0</v>
      </c>
      <c r="AX81" s="10">
        <f t="shared" si="130"/>
        <v>0</v>
      </c>
      <c r="AY81" s="10">
        <f t="shared" si="130"/>
        <v>0</v>
      </c>
      <c r="AZ81" s="10">
        <f t="shared" si="130"/>
        <v>0</v>
      </c>
      <c r="BA81" s="10">
        <f t="shared" si="130"/>
        <v>0</v>
      </c>
      <c r="BB81" s="10">
        <f t="shared" si="130"/>
        <v>0</v>
      </c>
      <c r="BC81" s="10">
        <f t="shared" si="130"/>
        <v>0</v>
      </c>
      <c r="BD81" s="10">
        <f t="shared" si="130"/>
        <v>0</v>
      </c>
      <c r="BE81" s="10">
        <f t="shared" si="130"/>
        <v>0</v>
      </c>
      <c r="BF81" s="10">
        <f t="shared" si="130"/>
        <v>0</v>
      </c>
      <c r="BG81" s="10">
        <f t="shared" si="130"/>
        <v>0</v>
      </c>
      <c r="BH81" s="10">
        <f t="shared" si="130"/>
        <v>0</v>
      </c>
      <c r="BI81" s="10">
        <f t="shared" si="130"/>
        <v>0</v>
      </c>
      <c r="BJ81" s="10">
        <f t="shared" si="130"/>
        <v>0</v>
      </c>
      <c r="BK81" s="10">
        <f t="shared" si="130"/>
        <v>0</v>
      </c>
      <c r="BL81" s="10">
        <f t="shared" si="130"/>
        <v>0</v>
      </c>
      <c r="BM81" s="10">
        <f t="shared" si="130"/>
        <v>0</v>
      </c>
      <c r="BN81" s="10">
        <f t="shared" si="130"/>
        <v>0</v>
      </c>
      <c r="BO81" s="10">
        <f t="shared" si="130"/>
        <v>0</v>
      </c>
      <c r="BP81" s="10">
        <f t="shared" si="130"/>
        <v>0</v>
      </c>
      <c r="BQ81" s="10">
        <f t="shared" si="130"/>
        <v>0</v>
      </c>
      <c r="BR81" s="10">
        <f t="shared" si="130"/>
        <v>0</v>
      </c>
      <c r="BS81" s="10">
        <f t="shared" si="130"/>
        <v>0</v>
      </c>
      <c r="BT81" s="10">
        <f t="shared" si="130"/>
        <v>0</v>
      </c>
      <c r="BU81" s="10">
        <f t="shared" si="130"/>
        <v>0</v>
      </c>
      <c r="BV81" s="10">
        <f t="shared" si="130"/>
        <v>0</v>
      </c>
      <c r="BW81" s="10">
        <f t="shared" si="130"/>
        <v>0</v>
      </c>
      <c r="BX81" s="10">
        <f t="shared" ref="BX81:CO81" si="131">-SUMIF(Year,BX$6,CAPEX)</f>
        <v>0</v>
      </c>
      <c r="BY81" s="10">
        <f t="shared" si="131"/>
        <v>0</v>
      </c>
      <c r="BZ81" s="10">
        <f t="shared" si="131"/>
        <v>0</v>
      </c>
      <c r="CA81" s="10">
        <f t="shared" si="131"/>
        <v>0</v>
      </c>
      <c r="CB81" s="10">
        <f t="shared" si="131"/>
        <v>0</v>
      </c>
      <c r="CC81" s="10">
        <f t="shared" si="131"/>
        <v>0</v>
      </c>
      <c r="CD81" s="10">
        <f t="shared" si="131"/>
        <v>0</v>
      </c>
      <c r="CE81" s="10">
        <f t="shared" si="131"/>
        <v>0</v>
      </c>
      <c r="CF81" s="10">
        <f t="shared" si="131"/>
        <v>0</v>
      </c>
      <c r="CG81" s="10">
        <f t="shared" si="131"/>
        <v>0</v>
      </c>
      <c r="CH81" s="10">
        <f t="shared" si="131"/>
        <v>0</v>
      </c>
      <c r="CI81" s="10">
        <f t="shared" si="131"/>
        <v>0</v>
      </c>
      <c r="CJ81" s="10">
        <f t="shared" si="131"/>
        <v>0</v>
      </c>
      <c r="CK81" s="10">
        <f t="shared" si="131"/>
        <v>0</v>
      </c>
      <c r="CL81" s="10">
        <f t="shared" si="131"/>
        <v>0</v>
      </c>
      <c r="CM81" s="10">
        <f t="shared" si="131"/>
        <v>0</v>
      </c>
      <c r="CN81" s="10">
        <f t="shared" si="131"/>
        <v>0</v>
      </c>
      <c r="CO81" s="10">
        <f t="shared" si="131"/>
        <v>0</v>
      </c>
    </row>
    <row r="82" spans="1:93" s="133" customFormat="1" ht="14.5" thickTop="1">
      <c r="A82" s="10"/>
      <c r="B82" s="11"/>
      <c r="C82" s="49" t="s">
        <v>495</v>
      </c>
      <c r="D82" s="136"/>
      <c r="E82" s="136"/>
      <c r="F82" s="136"/>
      <c r="G82" s="137" t="str">
        <f>Monetary_Unit</f>
        <v>тыс. руб.</v>
      </c>
      <c r="H82" s="136"/>
      <c r="I82" s="23">
        <f ca="1">SUM(L82:CQ82)</f>
        <v>-4808399.504779838</v>
      </c>
      <c r="J82" s="136"/>
      <c r="K82" s="136"/>
      <c r="L82" s="136">
        <f t="shared" ref="L82:BW82" ca="1" si="132">SUM(L81:L81)</f>
        <v>-106937.3807685059</v>
      </c>
      <c r="M82" s="136">
        <f t="shared" ca="1" si="132"/>
        <v>-932305.20307326433</v>
      </c>
      <c r="N82" s="136">
        <f t="shared" ca="1" si="132"/>
        <v>-969597.41119619482</v>
      </c>
      <c r="O82" s="136">
        <f t="shared" ca="1" si="132"/>
        <v>-2105912.6378147765</v>
      </c>
      <c r="P82" s="136">
        <f t="shared" ca="1" si="132"/>
        <v>-693646.87192709628</v>
      </c>
      <c r="Q82" s="136">
        <f t="shared" ca="1" si="132"/>
        <v>0</v>
      </c>
      <c r="R82" s="136">
        <f t="shared" ca="1" si="132"/>
        <v>0</v>
      </c>
      <c r="S82" s="136">
        <f t="shared" ca="1" si="132"/>
        <v>0</v>
      </c>
      <c r="T82" s="136">
        <f t="shared" ca="1" si="132"/>
        <v>0</v>
      </c>
      <c r="U82" s="136">
        <f t="shared" ca="1" si="132"/>
        <v>0</v>
      </c>
      <c r="V82" s="136">
        <f t="shared" ca="1" si="132"/>
        <v>0</v>
      </c>
      <c r="W82" s="136">
        <f t="shared" ca="1" si="132"/>
        <v>0</v>
      </c>
      <c r="X82" s="136">
        <f t="shared" ca="1" si="132"/>
        <v>0</v>
      </c>
      <c r="Y82" s="136">
        <f t="shared" ca="1" si="132"/>
        <v>0</v>
      </c>
      <c r="Z82" s="136">
        <f t="shared" ca="1" si="132"/>
        <v>0</v>
      </c>
      <c r="AA82" s="136">
        <f t="shared" ca="1" si="132"/>
        <v>0</v>
      </c>
      <c r="AB82" s="136">
        <f t="shared" ca="1" si="132"/>
        <v>0</v>
      </c>
      <c r="AC82" s="136">
        <f t="shared" ca="1" si="132"/>
        <v>0</v>
      </c>
      <c r="AD82" s="136">
        <f t="shared" ca="1" si="132"/>
        <v>0</v>
      </c>
      <c r="AE82" s="136">
        <f t="shared" ca="1" si="132"/>
        <v>0</v>
      </c>
      <c r="AF82" s="136">
        <f t="shared" ca="1" si="132"/>
        <v>0</v>
      </c>
      <c r="AG82" s="136">
        <f t="shared" si="132"/>
        <v>0</v>
      </c>
      <c r="AH82" s="136">
        <f t="shared" si="132"/>
        <v>0</v>
      </c>
      <c r="AI82" s="136">
        <f t="shared" si="132"/>
        <v>0</v>
      </c>
      <c r="AJ82" s="136">
        <f t="shared" si="132"/>
        <v>0</v>
      </c>
      <c r="AK82" s="136">
        <f t="shared" si="132"/>
        <v>0</v>
      </c>
      <c r="AL82" s="136">
        <f t="shared" si="132"/>
        <v>0</v>
      </c>
      <c r="AM82" s="136">
        <f t="shared" si="132"/>
        <v>0</v>
      </c>
      <c r="AN82" s="136">
        <f t="shared" si="132"/>
        <v>0</v>
      </c>
      <c r="AO82" s="136">
        <f t="shared" si="132"/>
        <v>0</v>
      </c>
      <c r="AP82" s="136">
        <f t="shared" si="132"/>
        <v>0</v>
      </c>
      <c r="AQ82" s="136">
        <f t="shared" si="132"/>
        <v>0</v>
      </c>
      <c r="AR82" s="136">
        <f t="shared" si="132"/>
        <v>0</v>
      </c>
      <c r="AS82" s="136">
        <f t="shared" si="132"/>
        <v>0</v>
      </c>
      <c r="AT82" s="136">
        <f t="shared" si="132"/>
        <v>0</v>
      </c>
      <c r="AU82" s="136">
        <f t="shared" si="132"/>
        <v>0</v>
      </c>
      <c r="AV82" s="136">
        <f t="shared" si="132"/>
        <v>0</v>
      </c>
      <c r="AW82" s="136">
        <f t="shared" si="132"/>
        <v>0</v>
      </c>
      <c r="AX82" s="136">
        <f t="shared" si="132"/>
        <v>0</v>
      </c>
      <c r="AY82" s="136">
        <f t="shared" si="132"/>
        <v>0</v>
      </c>
      <c r="AZ82" s="136">
        <f t="shared" si="132"/>
        <v>0</v>
      </c>
      <c r="BA82" s="136">
        <f t="shared" si="132"/>
        <v>0</v>
      </c>
      <c r="BB82" s="136">
        <f t="shared" si="132"/>
        <v>0</v>
      </c>
      <c r="BC82" s="136">
        <f t="shared" si="132"/>
        <v>0</v>
      </c>
      <c r="BD82" s="136">
        <f t="shared" si="132"/>
        <v>0</v>
      </c>
      <c r="BE82" s="136">
        <f t="shared" si="132"/>
        <v>0</v>
      </c>
      <c r="BF82" s="136">
        <f t="shared" si="132"/>
        <v>0</v>
      </c>
      <c r="BG82" s="136">
        <f t="shared" si="132"/>
        <v>0</v>
      </c>
      <c r="BH82" s="136">
        <f t="shared" si="132"/>
        <v>0</v>
      </c>
      <c r="BI82" s="136">
        <f t="shared" si="132"/>
        <v>0</v>
      </c>
      <c r="BJ82" s="136">
        <f t="shared" si="132"/>
        <v>0</v>
      </c>
      <c r="BK82" s="136">
        <f t="shared" si="132"/>
        <v>0</v>
      </c>
      <c r="BL82" s="136">
        <f t="shared" si="132"/>
        <v>0</v>
      </c>
      <c r="BM82" s="136">
        <f t="shared" si="132"/>
        <v>0</v>
      </c>
      <c r="BN82" s="136">
        <f t="shared" si="132"/>
        <v>0</v>
      </c>
      <c r="BO82" s="136">
        <f t="shared" si="132"/>
        <v>0</v>
      </c>
      <c r="BP82" s="136">
        <f t="shared" si="132"/>
        <v>0</v>
      </c>
      <c r="BQ82" s="136">
        <f t="shared" si="132"/>
        <v>0</v>
      </c>
      <c r="BR82" s="136">
        <f t="shared" si="132"/>
        <v>0</v>
      </c>
      <c r="BS82" s="136">
        <f t="shared" si="132"/>
        <v>0</v>
      </c>
      <c r="BT82" s="136">
        <f t="shared" si="132"/>
        <v>0</v>
      </c>
      <c r="BU82" s="136">
        <f t="shared" si="132"/>
        <v>0</v>
      </c>
      <c r="BV82" s="136">
        <f t="shared" si="132"/>
        <v>0</v>
      </c>
      <c r="BW82" s="136">
        <f t="shared" si="132"/>
        <v>0</v>
      </c>
      <c r="BX82" s="136">
        <f t="shared" ref="BX82:CO82" si="133">SUM(BX81:BX81)</f>
        <v>0</v>
      </c>
      <c r="BY82" s="136">
        <f t="shared" si="133"/>
        <v>0</v>
      </c>
      <c r="BZ82" s="136">
        <f t="shared" si="133"/>
        <v>0</v>
      </c>
      <c r="CA82" s="136">
        <f t="shared" si="133"/>
        <v>0</v>
      </c>
      <c r="CB82" s="136">
        <f t="shared" si="133"/>
        <v>0</v>
      </c>
      <c r="CC82" s="136">
        <f t="shared" si="133"/>
        <v>0</v>
      </c>
      <c r="CD82" s="136">
        <f t="shared" si="133"/>
        <v>0</v>
      </c>
      <c r="CE82" s="136">
        <f t="shared" si="133"/>
        <v>0</v>
      </c>
      <c r="CF82" s="136">
        <f t="shared" si="133"/>
        <v>0</v>
      </c>
      <c r="CG82" s="136">
        <f t="shared" si="133"/>
        <v>0</v>
      </c>
      <c r="CH82" s="136">
        <f t="shared" si="133"/>
        <v>0</v>
      </c>
      <c r="CI82" s="136">
        <f t="shared" si="133"/>
        <v>0</v>
      </c>
      <c r="CJ82" s="136">
        <f t="shared" si="133"/>
        <v>0</v>
      </c>
      <c r="CK82" s="136">
        <f t="shared" si="133"/>
        <v>0</v>
      </c>
      <c r="CL82" s="136">
        <f t="shared" si="133"/>
        <v>0</v>
      </c>
      <c r="CM82" s="136">
        <f t="shared" si="133"/>
        <v>0</v>
      </c>
      <c r="CN82" s="136">
        <f t="shared" si="133"/>
        <v>0</v>
      </c>
      <c r="CO82" s="136">
        <f t="shared" si="133"/>
        <v>0</v>
      </c>
    </row>
    <row r="83" spans="1:93" s="10" customFormat="1" ht="12.5">
      <c r="G83" s="11"/>
    </row>
    <row r="84" spans="1:93" s="133" customFormat="1" ht="14">
      <c r="A84" s="10"/>
      <c r="B84" s="11"/>
      <c r="C84" s="139" t="s">
        <v>90</v>
      </c>
      <c r="D84" s="10"/>
      <c r="E84" s="10"/>
      <c r="F84" s="10"/>
      <c r="G84" s="11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s="133" customFormat="1" ht="14">
      <c r="A85" s="10"/>
      <c r="B85" s="11"/>
      <c r="C85" s="17" t="s">
        <v>91</v>
      </c>
      <c r="D85" s="10"/>
      <c r="E85" s="10"/>
      <c r="F85" s="10"/>
      <c r="G85" s="134" t="str">
        <f t="shared" ref="G85:G91" si="134">Monetary_Unit</f>
        <v>тыс. руб.</v>
      </c>
      <c r="H85" s="10"/>
      <c r="I85" s="23">
        <f t="shared" ref="I85:I91" si="135">SUM(L85:CQ85)</f>
        <v>1409395.9556502979</v>
      </c>
      <c r="J85" s="10"/>
      <c r="K85" s="10"/>
      <c r="L85" s="10">
        <f t="shared" ref="L85:AQ85" si="136">SUMIF(Year,L$6,Equity_Drawdown)</f>
        <v>128324.85692220708</v>
      </c>
      <c r="M85" s="10">
        <f t="shared" si="136"/>
        <v>1026430.01596743</v>
      </c>
      <c r="N85" s="10">
        <f t="shared" si="136"/>
        <v>49672.380042942983</v>
      </c>
      <c r="O85" s="10">
        <f t="shared" si="136"/>
        <v>146877.96513782983</v>
      </c>
      <c r="P85" s="10">
        <f t="shared" si="136"/>
        <v>58090.737579888082</v>
      </c>
      <c r="Q85" s="10">
        <f t="shared" si="136"/>
        <v>0</v>
      </c>
      <c r="R85" s="10">
        <f t="shared" si="136"/>
        <v>0</v>
      </c>
      <c r="S85" s="10">
        <f t="shared" si="136"/>
        <v>0</v>
      </c>
      <c r="T85" s="10">
        <f t="shared" si="136"/>
        <v>0</v>
      </c>
      <c r="U85" s="10">
        <f t="shared" si="136"/>
        <v>0</v>
      </c>
      <c r="V85" s="10">
        <f t="shared" si="136"/>
        <v>0</v>
      </c>
      <c r="W85" s="10">
        <f t="shared" si="136"/>
        <v>0</v>
      </c>
      <c r="X85" s="10">
        <f t="shared" si="136"/>
        <v>0</v>
      </c>
      <c r="Y85" s="10">
        <f t="shared" si="136"/>
        <v>0</v>
      </c>
      <c r="Z85" s="10">
        <f t="shared" si="136"/>
        <v>0</v>
      </c>
      <c r="AA85" s="10">
        <f t="shared" si="136"/>
        <v>0</v>
      </c>
      <c r="AB85" s="10">
        <f t="shared" si="136"/>
        <v>0</v>
      </c>
      <c r="AC85" s="10">
        <f t="shared" si="136"/>
        <v>0</v>
      </c>
      <c r="AD85" s="10">
        <f t="shared" si="136"/>
        <v>0</v>
      </c>
      <c r="AE85" s="10">
        <f t="shared" si="136"/>
        <v>0</v>
      </c>
      <c r="AF85" s="10">
        <f t="shared" si="136"/>
        <v>0</v>
      </c>
      <c r="AG85" s="10">
        <f t="shared" si="136"/>
        <v>0</v>
      </c>
      <c r="AH85" s="10">
        <f t="shared" si="136"/>
        <v>0</v>
      </c>
      <c r="AI85" s="10">
        <f t="shared" si="136"/>
        <v>0</v>
      </c>
      <c r="AJ85" s="10">
        <f t="shared" si="136"/>
        <v>0</v>
      </c>
      <c r="AK85" s="10">
        <f t="shared" si="136"/>
        <v>0</v>
      </c>
      <c r="AL85" s="10">
        <f t="shared" si="136"/>
        <v>0</v>
      </c>
      <c r="AM85" s="10">
        <f t="shared" si="136"/>
        <v>0</v>
      </c>
      <c r="AN85" s="10">
        <f t="shared" si="136"/>
        <v>0</v>
      </c>
      <c r="AO85" s="10">
        <f t="shared" si="136"/>
        <v>0</v>
      </c>
      <c r="AP85" s="10">
        <f t="shared" si="136"/>
        <v>0</v>
      </c>
      <c r="AQ85" s="10">
        <f t="shared" si="136"/>
        <v>0</v>
      </c>
      <c r="AR85" s="10">
        <f t="shared" ref="AR85:BW85" si="137">SUMIF(Year,AR$6,Equity_Drawdown)</f>
        <v>0</v>
      </c>
      <c r="AS85" s="10">
        <f t="shared" si="137"/>
        <v>0</v>
      </c>
      <c r="AT85" s="10">
        <f t="shared" si="137"/>
        <v>0</v>
      </c>
      <c r="AU85" s="10">
        <f t="shared" si="137"/>
        <v>0</v>
      </c>
      <c r="AV85" s="10">
        <f t="shared" si="137"/>
        <v>0</v>
      </c>
      <c r="AW85" s="10">
        <f t="shared" si="137"/>
        <v>0</v>
      </c>
      <c r="AX85" s="10">
        <f t="shared" si="137"/>
        <v>0</v>
      </c>
      <c r="AY85" s="10">
        <f t="shared" si="137"/>
        <v>0</v>
      </c>
      <c r="AZ85" s="10">
        <f t="shared" si="137"/>
        <v>0</v>
      </c>
      <c r="BA85" s="10">
        <f t="shared" si="137"/>
        <v>0</v>
      </c>
      <c r="BB85" s="10">
        <f t="shared" si="137"/>
        <v>0</v>
      </c>
      <c r="BC85" s="10">
        <f t="shared" si="137"/>
        <v>0</v>
      </c>
      <c r="BD85" s="10">
        <f t="shared" si="137"/>
        <v>0</v>
      </c>
      <c r="BE85" s="10">
        <f t="shared" si="137"/>
        <v>0</v>
      </c>
      <c r="BF85" s="10">
        <f t="shared" si="137"/>
        <v>0</v>
      </c>
      <c r="BG85" s="10">
        <f t="shared" si="137"/>
        <v>0</v>
      </c>
      <c r="BH85" s="10">
        <f t="shared" si="137"/>
        <v>0</v>
      </c>
      <c r="BI85" s="10">
        <f t="shared" si="137"/>
        <v>0</v>
      </c>
      <c r="BJ85" s="10">
        <f t="shared" si="137"/>
        <v>0</v>
      </c>
      <c r="BK85" s="10">
        <f t="shared" si="137"/>
        <v>0</v>
      </c>
      <c r="BL85" s="10">
        <f t="shared" si="137"/>
        <v>0</v>
      </c>
      <c r="BM85" s="10">
        <f t="shared" si="137"/>
        <v>0</v>
      </c>
      <c r="BN85" s="10">
        <f t="shared" si="137"/>
        <v>0</v>
      </c>
      <c r="BO85" s="10">
        <f t="shared" si="137"/>
        <v>0</v>
      </c>
      <c r="BP85" s="10">
        <f t="shared" si="137"/>
        <v>0</v>
      </c>
      <c r="BQ85" s="10">
        <f t="shared" si="137"/>
        <v>0</v>
      </c>
      <c r="BR85" s="10">
        <f t="shared" si="137"/>
        <v>0</v>
      </c>
      <c r="BS85" s="10">
        <f t="shared" si="137"/>
        <v>0</v>
      </c>
      <c r="BT85" s="10">
        <f t="shared" si="137"/>
        <v>0</v>
      </c>
      <c r="BU85" s="10">
        <f t="shared" si="137"/>
        <v>0</v>
      </c>
      <c r="BV85" s="10">
        <f t="shared" si="137"/>
        <v>0</v>
      </c>
      <c r="BW85" s="10">
        <f t="shared" si="137"/>
        <v>0</v>
      </c>
      <c r="BX85" s="10">
        <f t="shared" ref="BX85:CO85" si="138">SUMIF(Year,BX$6,Equity_Drawdown)</f>
        <v>0</v>
      </c>
      <c r="BY85" s="10">
        <f t="shared" si="138"/>
        <v>0</v>
      </c>
      <c r="BZ85" s="10">
        <f t="shared" si="138"/>
        <v>0</v>
      </c>
      <c r="CA85" s="10">
        <f t="shared" si="138"/>
        <v>0</v>
      </c>
      <c r="CB85" s="10">
        <f t="shared" si="138"/>
        <v>0</v>
      </c>
      <c r="CC85" s="10">
        <f t="shared" si="138"/>
        <v>0</v>
      </c>
      <c r="CD85" s="10">
        <f t="shared" si="138"/>
        <v>0</v>
      </c>
      <c r="CE85" s="10">
        <f t="shared" si="138"/>
        <v>0</v>
      </c>
      <c r="CF85" s="10">
        <f t="shared" si="138"/>
        <v>0</v>
      </c>
      <c r="CG85" s="10">
        <f t="shared" si="138"/>
        <v>0</v>
      </c>
      <c r="CH85" s="10">
        <f t="shared" si="138"/>
        <v>0</v>
      </c>
      <c r="CI85" s="10">
        <f t="shared" si="138"/>
        <v>0</v>
      </c>
      <c r="CJ85" s="10">
        <f t="shared" si="138"/>
        <v>0</v>
      </c>
      <c r="CK85" s="10">
        <f t="shared" si="138"/>
        <v>0</v>
      </c>
      <c r="CL85" s="10">
        <f t="shared" si="138"/>
        <v>0</v>
      </c>
      <c r="CM85" s="10">
        <f t="shared" si="138"/>
        <v>0</v>
      </c>
      <c r="CN85" s="10">
        <f t="shared" si="138"/>
        <v>0</v>
      </c>
      <c r="CO85" s="10">
        <f t="shared" si="138"/>
        <v>0</v>
      </c>
    </row>
    <row r="86" spans="1:93" s="133" customFormat="1" ht="14">
      <c r="A86" s="10"/>
      <c r="B86" s="11"/>
      <c r="C86" s="17" t="s">
        <v>545</v>
      </c>
      <c r="D86" s="10"/>
      <c r="E86" s="10"/>
      <c r="F86" s="10"/>
      <c r="G86" s="134" t="str">
        <f t="shared" si="134"/>
        <v>тыс. руб.</v>
      </c>
      <c r="H86" s="10"/>
      <c r="I86" s="23">
        <f t="shared" ca="1" si="135"/>
        <v>80081.617035734249</v>
      </c>
      <c r="J86" s="10"/>
      <c r="K86" s="10"/>
      <c r="L86" s="10">
        <f t="shared" ref="L86:AQ86" ca="1" si="139">SUMIF(Year,L$6,Subord_Drawdown)</f>
        <v>0</v>
      </c>
      <c r="M86" s="10">
        <f t="shared" ca="1" si="139"/>
        <v>0</v>
      </c>
      <c r="N86" s="10">
        <f t="shared" ca="1" si="139"/>
        <v>0</v>
      </c>
      <c r="O86" s="10">
        <f t="shared" ca="1" si="139"/>
        <v>0</v>
      </c>
      <c r="P86" s="10">
        <f t="shared" ca="1" si="139"/>
        <v>0</v>
      </c>
      <c r="Q86" s="10">
        <f t="shared" ca="1" si="139"/>
        <v>0</v>
      </c>
      <c r="R86" s="10">
        <f t="shared" ca="1" si="139"/>
        <v>0</v>
      </c>
      <c r="S86" s="10">
        <f t="shared" ca="1" si="139"/>
        <v>0</v>
      </c>
      <c r="T86" s="10">
        <f t="shared" ca="1" si="139"/>
        <v>0</v>
      </c>
      <c r="U86" s="10">
        <f t="shared" ca="1" si="139"/>
        <v>0</v>
      </c>
      <c r="V86" s="10">
        <f t="shared" ca="1" si="139"/>
        <v>44197.311035540057</v>
      </c>
      <c r="W86" s="10">
        <f t="shared" ca="1" si="139"/>
        <v>35884.306000194192</v>
      </c>
      <c r="X86" s="10">
        <f t="shared" ca="1" si="139"/>
        <v>0</v>
      </c>
      <c r="Y86" s="10">
        <f t="shared" ca="1" si="139"/>
        <v>0</v>
      </c>
      <c r="Z86" s="10">
        <f t="shared" ca="1" si="139"/>
        <v>0</v>
      </c>
      <c r="AA86" s="10">
        <f t="shared" ca="1" si="139"/>
        <v>0</v>
      </c>
      <c r="AB86" s="10">
        <f t="shared" ca="1" si="139"/>
        <v>0</v>
      </c>
      <c r="AC86" s="10">
        <f t="shared" ca="1" si="139"/>
        <v>0</v>
      </c>
      <c r="AD86" s="10">
        <f t="shared" ca="1" si="139"/>
        <v>0</v>
      </c>
      <c r="AE86" s="10">
        <f t="shared" ca="1" si="139"/>
        <v>0</v>
      </c>
      <c r="AF86" s="10">
        <f t="shared" ca="1" si="139"/>
        <v>0</v>
      </c>
      <c r="AG86" s="10">
        <f t="shared" si="139"/>
        <v>0</v>
      </c>
      <c r="AH86" s="10">
        <f t="shared" si="139"/>
        <v>0</v>
      </c>
      <c r="AI86" s="10">
        <f t="shared" si="139"/>
        <v>0</v>
      </c>
      <c r="AJ86" s="10">
        <f t="shared" si="139"/>
        <v>0</v>
      </c>
      <c r="AK86" s="10">
        <f t="shared" si="139"/>
        <v>0</v>
      </c>
      <c r="AL86" s="10">
        <f t="shared" si="139"/>
        <v>0</v>
      </c>
      <c r="AM86" s="10">
        <f t="shared" si="139"/>
        <v>0</v>
      </c>
      <c r="AN86" s="10">
        <f t="shared" si="139"/>
        <v>0</v>
      </c>
      <c r="AO86" s="10">
        <f t="shared" si="139"/>
        <v>0</v>
      </c>
      <c r="AP86" s="10">
        <f t="shared" si="139"/>
        <v>0</v>
      </c>
      <c r="AQ86" s="10">
        <f t="shared" si="139"/>
        <v>0</v>
      </c>
      <c r="AR86" s="10">
        <f t="shared" ref="AR86:BW86" si="140">SUMIF(Year,AR$6,Subord_Drawdown)</f>
        <v>0</v>
      </c>
      <c r="AS86" s="10">
        <f t="shared" si="140"/>
        <v>0</v>
      </c>
      <c r="AT86" s="10">
        <f t="shared" si="140"/>
        <v>0</v>
      </c>
      <c r="AU86" s="10">
        <f t="shared" si="140"/>
        <v>0</v>
      </c>
      <c r="AV86" s="10">
        <f t="shared" si="140"/>
        <v>0</v>
      </c>
      <c r="AW86" s="10">
        <f t="shared" si="140"/>
        <v>0</v>
      </c>
      <c r="AX86" s="10">
        <f t="shared" si="140"/>
        <v>0</v>
      </c>
      <c r="AY86" s="10">
        <f t="shared" si="140"/>
        <v>0</v>
      </c>
      <c r="AZ86" s="10">
        <f t="shared" si="140"/>
        <v>0</v>
      </c>
      <c r="BA86" s="10">
        <f t="shared" si="140"/>
        <v>0</v>
      </c>
      <c r="BB86" s="10">
        <f t="shared" si="140"/>
        <v>0</v>
      </c>
      <c r="BC86" s="10">
        <f t="shared" si="140"/>
        <v>0</v>
      </c>
      <c r="BD86" s="10">
        <f t="shared" si="140"/>
        <v>0</v>
      </c>
      <c r="BE86" s="10">
        <f t="shared" si="140"/>
        <v>0</v>
      </c>
      <c r="BF86" s="10">
        <f t="shared" si="140"/>
        <v>0</v>
      </c>
      <c r="BG86" s="10">
        <f t="shared" si="140"/>
        <v>0</v>
      </c>
      <c r="BH86" s="10">
        <f t="shared" si="140"/>
        <v>0</v>
      </c>
      <c r="BI86" s="10">
        <f t="shared" si="140"/>
        <v>0</v>
      </c>
      <c r="BJ86" s="10">
        <f t="shared" si="140"/>
        <v>0</v>
      </c>
      <c r="BK86" s="10">
        <f t="shared" si="140"/>
        <v>0</v>
      </c>
      <c r="BL86" s="10">
        <f t="shared" si="140"/>
        <v>0</v>
      </c>
      <c r="BM86" s="10">
        <f t="shared" si="140"/>
        <v>0</v>
      </c>
      <c r="BN86" s="10">
        <f t="shared" si="140"/>
        <v>0</v>
      </c>
      <c r="BO86" s="10">
        <f t="shared" si="140"/>
        <v>0</v>
      </c>
      <c r="BP86" s="10">
        <f t="shared" si="140"/>
        <v>0</v>
      </c>
      <c r="BQ86" s="10">
        <f t="shared" si="140"/>
        <v>0</v>
      </c>
      <c r="BR86" s="10">
        <f t="shared" si="140"/>
        <v>0</v>
      </c>
      <c r="BS86" s="10">
        <f t="shared" si="140"/>
        <v>0</v>
      </c>
      <c r="BT86" s="10">
        <f t="shared" si="140"/>
        <v>0</v>
      </c>
      <c r="BU86" s="10">
        <f t="shared" si="140"/>
        <v>0</v>
      </c>
      <c r="BV86" s="10">
        <f t="shared" si="140"/>
        <v>0</v>
      </c>
      <c r="BW86" s="10">
        <f t="shared" si="140"/>
        <v>0</v>
      </c>
      <c r="BX86" s="10">
        <f t="shared" ref="BX86:CO86" si="141">SUMIF(Year,BX$6,Subord_Drawdown)</f>
        <v>0</v>
      </c>
      <c r="BY86" s="10">
        <f t="shared" si="141"/>
        <v>0</v>
      </c>
      <c r="BZ86" s="10">
        <f t="shared" si="141"/>
        <v>0</v>
      </c>
      <c r="CA86" s="10">
        <f t="shared" si="141"/>
        <v>0</v>
      </c>
      <c r="CB86" s="10">
        <f t="shared" si="141"/>
        <v>0</v>
      </c>
      <c r="CC86" s="10">
        <f t="shared" si="141"/>
        <v>0</v>
      </c>
      <c r="CD86" s="10">
        <f t="shared" si="141"/>
        <v>0</v>
      </c>
      <c r="CE86" s="10">
        <f t="shared" si="141"/>
        <v>0</v>
      </c>
      <c r="CF86" s="10">
        <f t="shared" si="141"/>
        <v>0</v>
      </c>
      <c r="CG86" s="10">
        <f t="shared" si="141"/>
        <v>0</v>
      </c>
      <c r="CH86" s="10">
        <f t="shared" si="141"/>
        <v>0</v>
      </c>
      <c r="CI86" s="10">
        <f t="shared" si="141"/>
        <v>0</v>
      </c>
      <c r="CJ86" s="10">
        <f t="shared" si="141"/>
        <v>0</v>
      </c>
      <c r="CK86" s="10">
        <f t="shared" si="141"/>
        <v>0</v>
      </c>
      <c r="CL86" s="10">
        <f t="shared" si="141"/>
        <v>0</v>
      </c>
      <c r="CM86" s="10">
        <f t="shared" si="141"/>
        <v>0</v>
      </c>
      <c r="CN86" s="10">
        <f t="shared" si="141"/>
        <v>0</v>
      </c>
      <c r="CO86" s="10">
        <f t="shared" si="141"/>
        <v>0</v>
      </c>
    </row>
    <row r="87" spans="1:93" s="133" customFormat="1" ht="14">
      <c r="A87" s="10"/>
      <c r="B87" s="11"/>
      <c r="C87" s="17" t="s">
        <v>541</v>
      </c>
      <c r="D87" s="10"/>
      <c r="E87" s="10"/>
      <c r="F87" s="10"/>
      <c r="G87" s="134" t="str">
        <f t="shared" si="134"/>
        <v>тыс. руб.</v>
      </c>
      <c r="H87" s="10"/>
      <c r="I87" s="23">
        <f t="shared" si="135"/>
        <v>4616063.5245886445</v>
      </c>
      <c r="J87" s="10"/>
      <c r="K87" s="10"/>
      <c r="L87" s="10">
        <f t="shared" ref="L87:AQ87" si="142">SUMIF(Year,L$6,Debt_Drawdown)</f>
        <v>0</v>
      </c>
      <c r="M87" s="10">
        <f t="shared" si="142"/>
        <v>93075.219462963287</v>
      </c>
      <c r="N87" s="10">
        <f t="shared" si="142"/>
        <v>1163516.8934354337</v>
      </c>
      <c r="O87" s="10">
        <f t="shared" si="142"/>
        <v>2527095.1653777319</v>
      </c>
      <c r="P87" s="10">
        <f t="shared" si="142"/>
        <v>832376.24631251558</v>
      </c>
      <c r="Q87" s="10">
        <f t="shared" si="142"/>
        <v>0</v>
      </c>
      <c r="R87" s="10">
        <f t="shared" si="142"/>
        <v>0</v>
      </c>
      <c r="S87" s="10">
        <f t="shared" si="142"/>
        <v>0</v>
      </c>
      <c r="T87" s="10">
        <f t="shared" si="142"/>
        <v>0</v>
      </c>
      <c r="U87" s="10">
        <f t="shared" si="142"/>
        <v>0</v>
      </c>
      <c r="V87" s="10">
        <f t="shared" si="142"/>
        <v>0</v>
      </c>
      <c r="W87" s="10">
        <f t="shared" si="142"/>
        <v>0</v>
      </c>
      <c r="X87" s="10">
        <f t="shared" si="142"/>
        <v>0</v>
      </c>
      <c r="Y87" s="10">
        <f t="shared" si="142"/>
        <v>0</v>
      </c>
      <c r="Z87" s="10">
        <f t="shared" si="142"/>
        <v>0</v>
      </c>
      <c r="AA87" s="10">
        <f t="shared" si="142"/>
        <v>0</v>
      </c>
      <c r="AB87" s="10">
        <f t="shared" si="142"/>
        <v>0</v>
      </c>
      <c r="AC87" s="10">
        <f t="shared" si="142"/>
        <v>0</v>
      </c>
      <c r="AD87" s="10">
        <f t="shared" si="142"/>
        <v>0</v>
      </c>
      <c r="AE87" s="10">
        <f t="shared" si="142"/>
        <v>0</v>
      </c>
      <c r="AF87" s="10">
        <f t="shared" si="142"/>
        <v>0</v>
      </c>
      <c r="AG87" s="10">
        <f t="shared" si="142"/>
        <v>0</v>
      </c>
      <c r="AH87" s="10">
        <f t="shared" si="142"/>
        <v>0</v>
      </c>
      <c r="AI87" s="10">
        <f t="shared" si="142"/>
        <v>0</v>
      </c>
      <c r="AJ87" s="10">
        <f t="shared" si="142"/>
        <v>0</v>
      </c>
      <c r="AK87" s="10">
        <f t="shared" si="142"/>
        <v>0</v>
      </c>
      <c r="AL87" s="10">
        <f t="shared" si="142"/>
        <v>0</v>
      </c>
      <c r="AM87" s="10">
        <f t="shared" si="142"/>
        <v>0</v>
      </c>
      <c r="AN87" s="10">
        <f t="shared" si="142"/>
        <v>0</v>
      </c>
      <c r="AO87" s="10">
        <f t="shared" si="142"/>
        <v>0</v>
      </c>
      <c r="AP87" s="10">
        <f t="shared" si="142"/>
        <v>0</v>
      </c>
      <c r="AQ87" s="10">
        <f t="shared" si="142"/>
        <v>0</v>
      </c>
      <c r="AR87" s="10">
        <f t="shared" ref="AR87:BW87" si="143">SUMIF(Year,AR$6,Debt_Drawdown)</f>
        <v>0</v>
      </c>
      <c r="AS87" s="10">
        <f t="shared" si="143"/>
        <v>0</v>
      </c>
      <c r="AT87" s="10">
        <f t="shared" si="143"/>
        <v>0</v>
      </c>
      <c r="AU87" s="10">
        <f t="shared" si="143"/>
        <v>0</v>
      </c>
      <c r="AV87" s="10">
        <f t="shared" si="143"/>
        <v>0</v>
      </c>
      <c r="AW87" s="10">
        <f t="shared" si="143"/>
        <v>0</v>
      </c>
      <c r="AX87" s="10">
        <f t="shared" si="143"/>
        <v>0</v>
      </c>
      <c r="AY87" s="10">
        <f t="shared" si="143"/>
        <v>0</v>
      </c>
      <c r="AZ87" s="10">
        <f t="shared" si="143"/>
        <v>0</v>
      </c>
      <c r="BA87" s="10">
        <f t="shared" si="143"/>
        <v>0</v>
      </c>
      <c r="BB87" s="10">
        <f t="shared" si="143"/>
        <v>0</v>
      </c>
      <c r="BC87" s="10">
        <f t="shared" si="143"/>
        <v>0</v>
      </c>
      <c r="BD87" s="10">
        <f t="shared" si="143"/>
        <v>0</v>
      </c>
      <c r="BE87" s="10">
        <f t="shared" si="143"/>
        <v>0</v>
      </c>
      <c r="BF87" s="10">
        <f t="shared" si="143"/>
        <v>0</v>
      </c>
      <c r="BG87" s="10">
        <f t="shared" si="143"/>
        <v>0</v>
      </c>
      <c r="BH87" s="10">
        <f t="shared" si="143"/>
        <v>0</v>
      </c>
      <c r="BI87" s="10">
        <f t="shared" si="143"/>
        <v>0</v>
      </c>
      <c r="BJ87" s="10">
        <f t="shared" si="143"/>
        <v>0</v>
      </c>
      <c r="BK87" s="10">
        <f t="shared" si="143"/>
        <v>0</v>
      </c>
      <c r="BL87" s="10">
        <f t="shared" si="143"/>
        <v>0</v>
      </c>
      <c r="BM87" s="10">
        <f t="shared" si="143"/>
        <v>0</v>
      </c>
      <c r="BN87" s="10">
        <f t="shared" si="143"/>
        <v>0</v>
      </c>
      <c r="BO87" s="10">
        <f t="shared" si="143"/>
        <v>0</v>
      </c>
      <c r="BP87" s="10">
        <f t="shared" si="143"/>
        <v>0</v>
      </c>
      <c r="BQ87" s="10">
        <f t="shared" si="143"/>
        <v>0</v>
      </c>
      <c r="BR87" s="10">
        <f t="shared" si="143"/>
        <v>0</v>
      </c>
      <c r="BS87" s="10">
        <f t="shared" si="143"/>
        <v>0</v>
      </c>
      <c r="BT87" s="10">
        <f t="shared" si="143"/>
        <v>0</v>
      </c>
      <c r="BU87" s="10">
        <f t="shared" si="143"/>
        <v>0</v>
      </c>
      <c r="BV87" s="10">
        <f t="shared" si="143"/>
        <v>0</v>
      </c>
      <c r="BW87" s="10">
        <f t="shared" si="143"/>
        <v>0</v>
      </c>
      <c r="BX87" s="10">
        <f t="shared" ref="BX87:CO87" si="144">SUMIF(Year,BX$6,Debt_Drawdown)</f>
        <v>0</v>
      </c>
      <c r="BY87" s="10">
        <f t="shared" si="144"/>
        <v>0</v>
      </c>
      <c r="BZ87" s="10">
        <f t="shared" si="144"/>
        <v>0</v>
      </c>
      <c r="CA87" s="10">
        <f t="shared" si="144"/>
        <v>0</v>
      </c>
      <c r="CB87" s="10">
        <f t="shared" si="144"/>
        <v>0</v>
      </c>
      <c r="CC87" s="10">
        <f t="shared" si="144"/>
        <v>0</v>
      </c>
      <c r="CD87" s="10">
        <f t="shared" si="144"/>
        <v>0</v>
      </c>
      <c r="CE87" s="10">
        <f t="shared" si="144"/>
        <v>0</v>
      </c>
      <c r="CF87" s="10">
        <f t="shared" si="144"/>
        <v>0</v>
      </c>
      <c r="CG87" s="10">
        <f t="shared" si="144"/>
        <v>0</v>
      </c>
      <c r="CH87" s="10">
        <f t="shared" si="144"/>
        <v>0</v>
      </c>
      <c r="CI87" s="10">
        <f t="shared" si="144"/>
        <v>0</v>
      </c>
      <c r="CJ87" s="10">
        <f t="shared" si="144"/>
        <v>0</v>
      </c>
      <c r="CK87" s="10">
        <f t="shared" si="144"/>
        <v>0</v>
      </c>
      <c r="CL87" s="10">
        <f t="shared" si="144"/>
        <v>0</v>
      </c>
      <c r="CM87" s="10">
        <f t="shared" si="144"/>
        <v>0</v>
      </c>
      <c r="CN87" s="10">
        <f t="shared" si="144"/>
        <v>0</v>
      </c>
      <c r="CO87" s="10">
        <f t="shared" si="144"/>
        <v>0</v>
      </c>
    </row>
    <row r="88" spans="1:93" s="133" customFormat="1" ht="14">
      <c r="A88" s="10"/>
      <c r="B88" s="11"/>
      <c r="C88" s="17" t="s">
        <v>542</v>
      </c>
      <c r="D88" s="10"/>
      <c r="E88" s="10"/>
      <c r="F88" s="10"/>
      <c r="G88" s="134" t="str">
        <f t="shared" si="134"/>
        <v>тыс. руб.</v>
      </c>
      <c r="H88" s="10"/>
      <c r="I88" s="23">
        <f t="shared" si="135"/>
        <v>-4616063.5245886436</v>
      </c>
      <c r="J88" s="10"/>
      <c r="K88" s="10"/>
      <c r="L88" s="10">
        <f t="shared" ref="L88:AQ88" si="145">SUMIF(Year,L$6,Debt_Repaiment)</f>
        <v>0</v>
      </c>
      <c r="M88" s="10">
        <f t="shared" si="145"/>
        <v>0</v>
      </c>
      <c r="N88" s="10">
        <f t="shared" si="145"/>
        <v>0</v>
      </c>
      <c r="O88" s="10">
        <f t="shared" si="145"/>
        <v>0</v>
      </c>
      <c r="P88" s="10">
        <f t="shared" si="145"/>
        <v>-365234.99647687044</v>
      </c>
      <c r="Q88" s="10">
        <f t="shared" si="145"/>
        <v>-511592.00466642744</v>
      </c>
      <c r="R88" s="10">
        <f t="shared" si="145"/>
        <v>-540583.06071867212</v>
      </c>
      <c r="S88" s="10">
        <f t="shared" si="145"/>
        <v>-571218.16842906806</v>
      </c>
      <c r="T88" s="10">
        <f t="shared" si="145"/>
        <v>-603586.65044099302</v>
      </c>
      <c r="U88" s="10">
        <f t="shared" si="145"/>
        <v>-637790.91233443888</v>
      </c>
      <c r="V88" s="10">
        <f t="shared" si="145"/>
        <v>-673933.4840111204</v>
      </c>
      <c r="W88" s="10">
        <f t="shared" si="145"/>
        <v>-712124.24751105381</v>
      </c>
      <c r="X88" s="10">
        <f t="shared" si="145"/>
        <v>0</v>
      </c>
      <c r="Y88" s="10">
        <f t="shared" si="145"/>
        <v>0</v>
      </c>
      <c r="Z88" s="10">
        <f t="shared" si="145"/>
        <v>0</v>
      </c>
      <c r="AA88" s="10">
        <f t="shared" si="145"/>
        <v>0</v>
      </c>
      <c r="AB88" s="10">
        <f t="shared" si="145"/>
        <v>0</v>
      </c>
      <c r="AC88" s="10">
        <f t="shared" si="145"/>
        <v>0</v>
      </c>
      <c r="AD88" s="10">
        <f t="shared" si="145"/>
        <v>0</v>
      </c>
      <c r="AE88" s="10">
        <f t="shared" si="145"/>
        <v>0</v>
      </c>
      <c r="AF88" s="10">
        <f t="shared" si="145"/>
        <v>0</v>
      </c>
      <c r="AG88" s="10">
        <f t="shared" si="145"/>
        <v>0</v>
      </c>
      <c r="AH88" s="10">
        <f t="shared" si="145"/>
        <v>0</v>
      </c>
      <c r="AI88" s="10">
        <f t="shared" si="145"/>
        <v>0</v>
      </c>
      <c r="AJ88" s="10">
        <f t="shared" si="145"/>
        <v>0</v>
      </c>
      <c r="AK88" s="10">
        <f t="shared" si="145"/>
        <v>0</v>
      </c>
      <c r="AL88" s="10">
        <f t="shared" si="145"/>
        <v>0</v>
      </c>
      <c r="AM88" s="10">
        <f t="shared" si="145"/>
        <v>0</v>
      </c>
      <c r="AN88" s="10">
        <f t="shared" si="145"/>
        <v>0</v>
      </c>
      <c r="AO88" s="10">
        <f t="shared" si="145"/>
        <v>0</v>
      </c>
      <c r="AP88" s="10">
        <f t="shared" si="145"/>
        <v>0</v>
      </c>
      <c r="AQ88" s="10">
        <f t="shared" si="145"/>
        <v>0</v>
      </c>
      <c r="AR88" s="10">
        <f t="shared" ref="AR88:BW88" si="146">SUMIF(Year,AR$6,Debt_Repaiment)</f>
        <v>0</v>
      </c>
      <c r="AS88" s="10">
        <f t="shared" si="146"/>
        <v>0</v>
      </c>
      <c r="AT88" s="10">
        <f t="shared" si="146"/>
        <v>0</v>
      </c>
      <c r="AU88" s="10">
        <f t="shared" si="146"/>
        <v>0</v>
      </c>
      <c r="AV88" s="10">
        <f t="shared" si="146"/>
        <v>0</v>
      </c>
      <c r="AW88" s="10">
        <f t="shared" si="146"/>
        <v>0</v>
      </c>
      <c r="AX88" s="10">
        <f t="shared" si="146"/>
        <v>0</v>
      </c>
      <c r="AY88" s="10">
        <f t="shared" si="146"/>
        <v>0</v>
      </c>
      <c r="AZ88" s="10">
        <f t="shared" si="146"/>
        <v>0</v>
      </c>
      <c r="BA88" s="10">
        <f t="shared" si="146"/>
        <v>0</v>
      </c>
      <c r="BB88" s="10">
        <f t="shared" si="146"/>
        <v>0</v>
      </c>
      <c r="BC88" s="10">
        <f t="shared" si="146"/>
        <v>0</v>
      </c>
      <c r="BD88" s="10">
        <f t="shared" si="146"/>
        <v>0</v>
      </c>
      <c r="BE88" s="10">
        <f t="shared" si="146"/>
        <v>0</v>
      </c>
      <c r="BF88" s="10">
        <f t="shared" si="146"/>
        <v>0</v>
      </c>
      <c r="BG88" s="10">
        <f t="shared" si="146"/>
        <v>0</v>
      </c>
      <c r="BH88" s="10">
        <f t="shared" si="146"/>
        <v>0</v>
      </c>
      <c r="BI88" s="10">
        <f t="shared" si="146"/>
        <v>0</v>
      </c>
      <c r="BJ88" s="10">
        <f t="shared" si="146"/>
        <v>0</v>
      </c>
      <c r="BK88" s="10">
        <f t="shared" si="146"/>
        <v>0</v>
      </c>
      <c r="BL88" s="10">
        <f t="shared" si="146"/>
        <v>0</v>
      </c>
      <c r="BM88" s="10">
        <f t="shared" si="146"/>
        <v>0</v>
      </c>
      <c r="BN88" s="10">
        <f t="shared" si="146"/>
        <v>0</v>
      </c>
      <c r="BO88" s="10">
        <f t="shared" si="146"/>
        <v>0</v>
      </c>
      <c r="BP88" s="10">
        <f t="shared" si="146"/>
        <v>0</v>
      </c>
      <c r="BQ88" s="10">
        <f t="shared" si="146"/>
        <v>0</v>
      </c>
      <c r="BR88" s="10">
        <f t="shared" si="146"/>
        <v>0</v>
      </c>
      <c r="BS88" s="10">
        <f t="shared" si="146"/>
        <v>0</v>
      </c>
      <c r="BT88" s="10">
        <f t="shared" si="146"/>
        <v>0</v>
      </c>
      <c r="BU88" s="10">
        <f t="shared" si="146"/>
        <v>0</v>
      </c>
      <c r="BV88" s="10">
        <f t="shared" si="146"/>
        <v>0</v>
      </c>
      <c r="BW88" s="10">
        <f t="shared" si="146"/>
        <v>0</v>
      </c>
      <c r="BX88" s="10">
        <f t="shared" ref="BX88:CO88" si="147">SUMIF(Year,BX$6,Debt_Repaiment)</f>
        <v>0</v>
      </c>
      <c r="BY88" s="10">
        <f t="shared" si="147"/>
        <v>0</v>
      </c>
      <c r="BZ88" s="10">
        <f t="shared" si="147"/>
        <v>0</v>
      </c>
      <c r="CA88" s="10">
        <f t="shared" si="147"/>
        <v>0</v>
      </c>
      <c r="CB88" s="10">
        <f t="shared" si="147"/>
        <v>0</v>
      </c>
      <c r="CC88" s="10">
        <f t="shared" si="147"/>
        <v>0</v>
      </c>
      <c r="CD88" s="10">
        <f t="shared" si="147"/>
        <v>0</v>
      </c>
      <c r="CE88" s="10">
        <f t="shared" si="147"/>
        <v>0</v>
      </c>
      <c r="CF88" s="10">
        <f t="shared" si="147"/>
        <v>0</v>
      </c>
      <c r="CG88" s="10">
        <f t="shared" si="147"/>
        <v>0</v>
      </c>
      <c r="CH88" s="10">
        <f t="shared" si="147"/>
        <v>0</v>
      </c>
      <c r="CI88" s="10">
        <f t="shared" si="147"/>
        <v>0</v>
      </c>
      <c r="CJ88" s="10">
        <f t="shared" si="147"/>
        <v>0</v>
      </c>
      <c r="CK88" s="10">
        <f t="shared" si="147"/>
        <v>0</v>
      </c>
      <c r="CL88" s="10">
        <f t="shared" si="147"/>
        <v>0</v>
      </c>
      <c r="CM88" s="10">
        <f t="shared" si="147"/>
        <v>0</v>
      </c>
      <c r="CN88" s="10">
        <f t="shared" si="147"/>
        <v>0</v>
      </c>
      <c r="CO88" s="10">
        <f t="shared" si="147"/>
        <v>0</v>
      </c>
    </row>
    <row r="89" spans="1:93" s="133" customFormat="1" ht="14">
      <c r="A89" s="10"/>
      <c r="B89" s="11"/>
      <c r="C89" s="17" t="s">
        <v>551</v>
      </c>
      <c r="D89" s="10"/>
      <c r="E89" s="10"/>
      <c r="F89" s="10"/>
      <c r="G89" s="134" t="str">
        <f t="shared" si="134"/>
        <v>тыс. руб.</v>
      </c>
      <c r="H89" s="10"/>
      <c r="I89" s="23">
        <f t="shared" ca="1" si="135"/>
        <v>-82887.317656723957</v>
      </c>
      <c r="J89" s="10"/>
      <c r="K89" s="10"/>
      <c r="L89" s="10">
        <f t="shared" ref="L89:AQ89" ca="1" si="148">SUMIF(Year,L$6,Subord_Repayment)</f>
        <v>0</v>
      </c>
      <c r="M89" s="10">
        <f t="shared" ca="1" si="148"/>
        <v>0</v>
      </c>
      <c r="N89" s="10">
        <f t="shared" ca="1" si="148"/>
        <v>0</v>
      </c>
      <c r="O89" s="10">
        <f t="shared" ca="1" si="148"/>
        <v>0</v>
      </c>
      <c r="P89" s="10">
        <f t="shared" ca="1" si="148"/>
        <v>0</v>
      </c>
      <c r="Q89" s="10">
        <f t="shared" ca="1" si="148"/>
        <v>0</v>
      </c>
      <c r="R89" s="10">
        <f t="shared" ca="1" si="148"/>
        <v>0</v>
      </c>
      <c r="S89" s="10">
        <f t="shared" ca="1" si="148"/>
        <v>0</v>
      </c>
      <c r="T89" s="10">
        <f t="shared" ca="1" si="148"/>
        <v>0</v>
      </c>
      <c r="U89" s="10">
        <f t="shared" ca="1" si="148"/>
        <v>0</v>
      </c>
      <c r="V89" s="10">
        <f t="shared" ca="1" si="148"/>
        <v>-46400.772996403553</v>
      </c>
      <c r="W89" s="10">
        <f t="shared" ca="1" si="148"/>
        <v>-36486.544660320404</v>
      </c>
      <c r="X89" s="10">
        <f t="shared" ca="1" si="148"/>
        <v>0</v>
      </c>
      <c r="Y89" s="10">
        <f t="shared" ca="1" si="148"/>
        <v>0</v>
      </c>
      <c r="Z89" s="10">
        <f t="shared" ca="1" si="148"/>
        <v>0</v>
      </c>
      <c r="AA89" s="10">
        <f t="shared" ca="1" si="148"/>
        <v>0</v>
      </c>
      <c r="AB89" s="10">
        <f t="shared" ca="1" si="148"/>
        <v>0</v>
      </c>
      <c r="AC89" s="10">
        <f t="shared" ca="1" si="148"/>
        <v>0</v>
      </c>
      <c r="AD89" s="10">
        <f t="shared" ca="1" si="148"/>
        <v>0</v>
      </c>
      <c r="AE89" s="10">
        <f t="shared" ca="1" si="148"/>
        <v>0</v>
      </c>
      <c r="AF89" s="10">
        <f t="shared" ca="1" si="148"/>
        <v>0</v>
      </c>
      <c r="AG89" s="10">
        <f t="shared" si="148"/>
        <v>0</v>
      </c>
      <c r="AH89" s="10">
        <f t="shared" si="148"/>
        <v>0</v>
      </c>
      <c r="AI89" s="10">
        <f t="shared" si="148"/>
        <v>0</v>
      </c>
      <c r="AJ89" s="10">
        <f t="shared" si="148"/>
        <v>0</v>
      </c>
      <c r="AK89" s="10">
        <f t="shared" si="148"/>
        <v>0</v>
      </c>
      <c r="AL89" s="10">
        <f t="shared" si="148"/>
        <v>0</v>
      </c>
      <c r="AM89" s="10">
        <f t="shared" si="148"/>
        <v>0</v>
      </c>
      <c r="AN89" s="10">
        <f t="shared" si="148"/>
        <v>0</v>
      </c>
      <c r="AO89" s="10">
        <f t="shared" si="148"/>
        <v>0</v>
      </c>
      <c r="AP89" s="10">
        <f t="shared" si="148"/>
        <v>0</v>
      </c>
      <c r="AQ89" s="10">
        <f t="shared" si="148"/>
        <v>0</v>
      </c>
      <c r="AR89" s="10">
        <f t="shared" ref="AR89:BW89" si="149">SUMIF(Year,AR$6,Subord_Repayment)</f>
        <v>0</v>
      </c>
      <c r="AS89" s="10">
        <f t="shared" si="149"/>
        <v>0</v>
      </c>
      <c r="AT89" s="10">
        <f t="shared" si="149"/>
        <v>0</v>
      </c>
      <c r="AU89" s="10">
        <f t="shared" si="149"/>
        <v>0</v>
      </c>
      <c r="AV89" s="10">
        <f t="shared" si="149"/>
        <v>0</v>
      </c>
      <c r="AW89" s="10">
        <f t="shared" si="149"/>
        <v>0</v>
      </c>
      <c r="AX89" s="10">
        <f t="shared" si="149"/>
        <v>0</v>
      </c>
      <c r="AY89" s="10">
        <f t="shared" si="149"/>
        <v>0</v>
      </c>
      <c r="AZ89" s="10">
        <f t="shared" si="149"/>
        <v>0</v>
      </c>
      <c r="BA89" s="10">
        <f t="shared" si="149"/>
        <v>0</v>
      </c>
      <c r="BB89" s="10">
        <f t="shared" si="149"/>
        <v>0</v>
      </c>
      <c r="BC89" s="10">
        <f t="shared" si="149"/>
        <v>0</v>
      </c>
      <c r="BD89" s="10">
        <f t="shared" si="149"/>
        <v>0</v>
      </c>
      <c r="BE89" s="10">
        <f t="shared" si="149"/>
        <v>0</v>
      </c>
      <c r="BF89" s="10">
        <f t="shared" si="149"/>
        <v>0</v>
      </c>
      <c r="BG89" s="10">
        <f t="shared" si="149"/>
        <v>0</v>
      </c>
      <c r="BH89" s="10">
        <f t="shared" si="149"/>
        <v>0</v>
      </c>
      <c r="BI89" s="10">
        <f t="shared" si="149"/>
        <v>0</v>
      </c>
      <c r="BJ89" s="10">
        <f t="shared" si="149"/>
        <v>0</v>
      </c>
      <c r="BK89" s="10">
        <f t="shared" si="149"/>
        <v>0</v>
      </c>
      <c r="BL89" s="10">
        <f t="shared" si="149"/>
        <v>0</v>
      </c>
      <c r="BM89" s="10">
        <f t="shared" si="149"/>
        <v>0</v>
      </c>
      <c r="BN89" s="10">
        <f t="shared" si="149"/>
        <v>0</v>
      </c>
      <c r="BO89" s="10">
        <f t="shared" si="149"/>
        <v>0</v>
      </c>
      <c r="BP89" s="10">
        <f t="shared" si="149"/>
        <v>0</v>
      </c>
      <c r="BQ89" s="10">
        <f t="shared" si="149"/>
        <v>0</v>
      </c>
      <c r="BR89" s="10">
        <f t="shared" si="149"/>
        <v>0</v>
      </c>
      <c r="BS89" s="10">
        <f t="shared" si="149"/>
        <v>0</v>
      </c>
      <c r="BT89" s="10">
        <f t="shared" si="149"/>
        <v>0</v>
      </c>
      <c r="BU89" s="10">
        <f t="shared" si="149"/>
        <v>0</v>
      </c>
      <c r="BV89" s="10">
        <f t="shared" si="149"/>
        <v>0</v>
      </c>
      <c r="BW89" s="10">
        <f t="shared" si="149"/>
        <v>0</v>
      </c>
      <c r="BX89" s="10">
        <f t="shared" ref="BX89:CO89" si="150">SUMIF(Year,BX$6,Subord_Repayment)</f>
        <v>0</v>
      </c>
      <c r="BY89" s="10">
        <f t="shared" si="150"/>
        <v>0</v>
      </c>
      <c r="BZ89" s="10">
        <f t="shared" si="150"/>
        <v>0</v>
      </c>
      <c r="CA89" s="10">
        <f t="shared" si="150"/>
        <v>0</v>
      </c>
      <c r="CB89" s="10">
        <f t="shared" si="150"/>
        <v>0</v>
      </c>
      <c r="CC89" s="10">
        <f t="shared" si="150"/>
        <v>0</v>
      </c>
      <c r="CD89" s="10">
        <f t="shared" si="150"/>
        <v>0</v>
      </c>
      <c r="CE89" s="10">
        <f t="shared" si="150"/>
        <v>0</v>
      </c>
      <c r="CF89" s="10">
        <f t="shared" si="150"/>
        <v>0</v>
      </c>
      <c r="CG89" s="10">
        <f t="shared" si="150"/>
        <v>0</v>
      </c>
      <c r="CH89" s="10">
        <f t="shared" si="150"/>
        <v>0</v>
      </c>
      <c r="CI89" s="10">
        <f t="shared" si="150"/>
        <v>0</v>
      </c>
      <c r="CJ89" s="10">
        <f t="shared" si="150"/>
        <v>0</v>
      </c>
      <c r="CK89" s="10">
        <f t="shared" si="150"/>
        <v>0</v>
      </c>
      <c r="CL89" s="10">
        <f t="shared" si="150"/>
        <v>0</v>
      </c>
      <c r="CM89" s="10">
        <f t="shared" si="150"/>
        <v>0</v>
      </c>
      <c r="CN89" s="10">
        <f t="shared" si="150"/>
        <v>0</v>
      </c>
      <c r="CO89" s="10">
        <f t="shared" si="150"/>
        <v>0</v>
      </c>
    </row>
    <row r="90" spans="1:93" s="133" customFormat="1" ht="14.5" thickBot="1">
      <c r="A90" s="10"/>
      <c r="B90" s="11"/>
      <c r="C90" s="17" t="s">
        <v>92</v>
      </c>
      <c r="D90" s="10"/>
      <c r="E90" s="10"/>
      <c r="F90" s="10"/>
      <c r="G90" s="134" t="str">
        <f t="shared" si="134"/>
        <v>тыс. руб.</v>
      </c>
      <c r="H90" s="10"/>
      <c r="I90" s="23">
        <f t="shared" ca="1" si="135"/>
        <v>-9928390.6209046002</v>
      </c>
      <c r="J90" s="10"/>
      <c r="K90" s="10"/>
      <c r="L90" s="10">
        <f t="shared" ref="L90:AQ90" ca="1" si="151">SUMIF(Year,L$6,Dividends)</f>
        <v>0</v>
      </c>
      <c r="M90" s="10">
        <f t="shared" ca="1" si="151"/>
        <v>0</v>
      </c>
      <c r="N90" s="10">
        <f t="shared" ca="1" si="151"/>
        <v>0</v>
      </c>
      <c r="O90" s="10">
        <f t="shared" ca="1" si="151"/>
        <v>0</v>
      </c>
      <c r="P90" s="10">
        <f t="shared" ca="1" si="151"/>
        <v>-193461.47312481422</v>
      </c>
      <c r="Q90" s="10">
        <f t="shared" ca="1" si="151"/>
        <v>-344214.93587824306</v>
      </c>
      <c r="R90" s="10">
        <f t="shared" ca="1" si="151"/>
        <v>-523324.34663617314</v>
      </c>
      <c r="S90" s="10">
        <f t="shared" ca="1" si="151"/>
        <v>-544151.5014192611</v>
      </c>
      <c r="T90" s="10">
        <f t="shared" ca="1" si="151"/>
        <v>-443026.35505939362</v>
      </c>
      <c r="U90" s="10">
        <f t="shared" ca="1" si="151"/>
        <v>-267489.79998110898</v>
      </c>
      <c r="V90" s="10">
        <f t="shared" ca="1" si="151"/>
        <v>-31680.953474391885</v>
      </c>
      <c r="W90" s="10">
        <f t="shared" ca="1" si="151"/>
        <v>-56151.821625847937</v>
      </c>
      <c r="X90" s="10">
        <f t="shared" ca="1" si="151"/>
        <v>-822485.44224310992</v>
      </c>
      <c r="Y90" s="10">
        <f t="shared" ca="1" si="151"/>
        <v>-842664.11652800627</v>
      </c>
      <c r="Z90" s="10">
        <f t="shared" ca="1" si="151"/>
        <v>-818616.70790710021</v>
      </c>
      <c r="AA90" s="10">
        <f t="shared" ca="1" si="151"/>
        <v>-852864.09115192026</v>
      </c>
      <c r="AB90" s="10">
        <f t="shared" ca="1" si="151"/>
        <v>-885002.38998968853</v>
      </c>
      <c r="AC90" s="10">
        <f t="shared" ca="1" si="151"/>
        <v>-920199.87299901794</v>
      </c>
      <c r="AD90" s="10">
        <f t="shared" ca="1" si="151"/>
        <v>-956805.21814828669</v>
      </c>
      <c r="AE90" s="10">
        <f t="shared" ca="1" si="151"/>
        <v>-996869.81259483867</v>
      </c>
      <c r="AF90" s="10">
        <f t="shared" ca="1" si="151"/>
        <v>-429381.78214339697</v>
      </c>
      <c r="AG90" s="10">
        <f t="shared" si="151"/>
        <v>0</v>
      </c>
      <c r="AH90" s="10">
        <f t="shared" si="151"/>
        <v>0</v>
      </c>
      <c r="AI90" s="10">
        <f t="shared" si="151"/>
        <v>0</v>
      </c>
      <c r="AJ90" s="10">
        <f t="shared" si="151"/>
        <v>0</v>
      </c>
      <c r="AK90" s="10">
        <f t="shared" si="151"/>
        <v>0</v>
      </c>
      <c r="AL90" s="10">
        <f t="shared" si="151"/>
        <v>0</v>
      </c>
      <c r="AM90" s="10">
        <f t="shared" si="151"/>
        <v>0</v>
      </c>
      <c r="AN90" s="10">
        <f t="shared" si="151"/>
        <v>0</v>
      </c>
      <c r="AO90" s="10">
        <f t="shared" si="151"/>
        <v>0</v>
      </c>
      <c r="AP90" s="10">
        <f t="shared" si="151"/>
        <v>0</v>
      </c>
      <c r="AQ90" s="10">
        <f t="shared" si="151"/>
        <v>0</v>
      </c>
      <c r="AR90" s="10">
        <f t="shared" ref="AR90:BW90" si="152">SUMIF(Year,AR$6,Dividends)</f>
        <v>0</v>
      </c>
      <c r="AS90" s="10">
        <f t="shared" si="152"/>
        <v>0</v>
      </c>
      <c r="AT90" s="10">
        <f t="shared" si="152"/>
        <v>0</v>
      </c>
      <c r="AU90" s="10">
        <f t="shared" si="152"/>
        <v>0</v>
      </c>
      <c r="AV90" s="10">
        <f t="shared" si="152"/>
        <v>0</v>
      </c>
      <c r="AW90" s="10">
        <f t="shared" si="152"/>
        <v>0</v>
      </c>
      <c r="AX90" s="10">
        <f t="shared" si="152"/>
        <v>0</v>
      </c>
      <c r="AY90" s="10">
        <f t="shared" si="152"/>
        <v>0</v>
      </c>
      <c r="AZ90" s="10">
        <f t="shared" si="152"/>
        <v>0</v>
      </c>
      <c r="BA90" s="10">
        <f t="shared" si="152"/>
        <v>0</v>
      </c>
      <c r="BB90" s="10">
        <f t="shared" si="152"/>
        <v>0</v>
      </c>
      <c r="BC90" s="10">
        <f t="shared" si="152"/>
        <v>0</v>
      </c>
      <c r="BD90" s="10">
        <f t="shared" si="152"/>
        <v>0</v>
      </c>
      <c r="BE90" s="10">
        <f t="shared" si="152"/>
        <v>0</v>
      </c>
      <c r="BF90" s="10">
        <f t="shared" si="152"/>
        <v>0</v>
      </c>
      <c r="BG90" s="10">
        <f t="shared" si="152"/>
        <v>0</v>
      </c>
      <c r="BH90" s="10">
        <f t="shared" si="152"/>
        <v>0</v>
      </c>
      <c r="BI90" s="10">
        <f t="shared" si="152"/>
        <v>0</v>
      </c>
      <c r="BJ90" s="10">
        <f t="shared" si="152"/>
        <v>0</v>
      </c>
      <c r="BK90" s="10">
        <f t="shared" si="152"/>
        <v>0</v>
      </c>
      <c r="BL90" s="10">
        <f t="shared" si="152"/>
        <v>0</v>
      </c>
      <c r="BM90" s="10">
        <f t="shared" si="152"/>
        <v>0</v>
      </c>
      <c r="BN90" s="10">
        <f t="shared" si="152"/>
        <v>0</v>
      </c>
      <c r="BO90" s="10">
        <f t="shared" si="152"/>
        <v>0</v>
      </c>
      <c r="BP90" s="10">
        <f t="shared" si="152"/>
        <v>0</v>
      </c>
      <c r="BQ90" s="10">
        <f t="shared" si="152"/>
        <v>0</v>
      </c>
      <c r="BR90" s="10">
        <f t="shared" si="152"/>
        <v>0</v>
      </c>
      <c r="BS90" s="10">
        <f t="shared" si="152"/>
        <v>0</v>
      </c>
      <c r="BT90" s="10">
        <f t="shared" si="152"/>
        <v>0</v>
      </c>
      <c r="BU90" s="10">
        <f t="shared" si="152"/>
        <v>0</v>
      </c>
      <c r="BV90" s="10">
        <f t="shared" si="152"/>
        <v>0</v>
      </c>
      <c r="BW90" s="10">
        <f t="shared" si="152"/>
        <v>0</v>
      </c>
      <c r="BX90" s="10">
        <f t="shared" ref="BX90:CO90" si="153">SUMIF(Year,BX$6,Dividends)</f>
        <v>0</v>
      </c>
      <c r="BY90" s="10">
        <f t="shared" si="153"/>
        <v>0</v>
      </c>
      <c r="BZ90" s="10">
        <f t="shared" si="153"/>
        <v>0</v>
      </c>
      <c r="CA90" s="10">
        <f t="shared" si="153"/>
        <v>0</v>
      </c>
      <c r="CB90" s="10">
        <f t="shared" si="153"/>
        <v>0</v>
      </c>
      <c r="CC90" s="10">
        <f t="shared" si="153"/>
        <v>0</v>
      </c>
      <c r="CD90" s="10">
        <f t="shared" si="153"/>
        <v>0</v>
      </c>
      <c r="CE90" s="10">
        <f t="shared" si="153"/>
        <v>0</v>
      </c>
      <c r="CF90" s="10">
        <f t="shared" si="153"/>
        <v>0</v>
      </c>
      <c r="CG90" s="10">
        <f t="shared" si="153"/>
        <v>0</v>
      </c>
      <c r="CH90" s="10">
        <f t="shared" si="153"/>
        <v>0</v>
      </c>
      <c r="CI90" s="10">
        <f t="shared" si="153"/>
        <v>0</v>
      </c>
      <c r="CJ90" s="10">
        <f t="shared" si="153"/>
        <v>0</v>
      </c>
      <c r="CK90" s="10">
        <f t="shared" si="153"/>
        <v>0</v>
      </c>
      <c r="CL90" s="10">
        <f t="shared" si="153"/>
        <v>0</v>
      </c>
      <c r="CM90" s="10">
        <f t="shared" si="153"/>
        <v>0</v>
      </c>
      <c r="CN90" s="10">
        <f t="shared" si="153"/>
        <v>0</v>
      </c>
      <c r="CO90" s="10">
        <f t="shared" si="153"/>
        <v>0</v>
      </c>
    </row>
    <row r="91" spans="1:93" s="133" customFormat="1" ht="14.5" thickTop="1">
      <c r="A91" s="10"/>
      <c r="B91" s="11"/>
      <c r="C91" s="49" t="s">
        <v>496</v>
      </c>
      <c r="D91" s="136"/>
      <c r="E91" s="136"/>
      <c r="F91" s="136"/>
      <c r="G91" s="137" t="str">
        <f t="shared" si="134"/>
        <v>тыс. руб.</v>
      </c>
      <c r="H91" s="136"/>
      <c r="I91" s="23">
        <f t="shared" ca="1" si="135"/>
        <v>-8521800.3658752888</v>
      </c>
      <c r="J91" s="136"/>
      <c r="K91" s="136"/>
      <c r="L91" s="136">
        <f t="shared" ref="L91:BW91" ca="1" si="154">SUM(L85:L90)</f>
        <v>128324.85692220708</v>
      </c>
      <c r="M91" s="136">
        <f t="shared" ca="1" si="154"/>
        <v>1119505.2354303934</v>
      </c>
      <c r="N91" s="136">
        <f t="shared" ca="1" si="154"/>
        <v>1213189.2734783767</v>
      </c>
      <c r="O91" s="136">
        <f t="shared" ca="1" si="154"/>
        <v>2673973.1305155619</v>
      </c>
      <c r="P91" s="136">
        <f t="shared" ca="1" si="154"/>
        <v>331770.51429071906</v>
      </c>
      <c r="Q91" s="136">
        <f t="shared" ca="1" si="154"/>
        <v>-855806.94054467045</v>
      </c>
      <c r="R91" s="136">
        <f t="shared" ca="1" si="154"/>
        <v>-1063907.4073548452</v>
      </c>
      <c r="S91" s="136">
        <f t="shared" ca="1" si="154"/>
        <v>-1115369.6698483292</v>
      </c>
      <c r="T91" s="136">
        <f t="shared" ca="1" si="154"/>
        <v>-1046613.0055003867</v>
      </c>
      <c r="U91" s="136">
        <f t="shared" ca="1" si="154"/>
        <v>-905280.71231554786</v>
      </c>
      <c r="V91" s="136">
        <f t="shared" ca="1" si="154"/>
        <v>-707817.89944637567</v>
      </c>
      <c r="W91" s="136">
        <f t="shared" ca="1" si="154"/>
        <v>-768878.30779702798</v>
      </c>
      <c r="X91" s="136">
        <f t="shared" ca="1" si="154"/>
        <v>-822485.44224310992</v>
      </c>
      <c r="Y91" s="136">
        <f t="shared" ca="1" si="154"/>
        <v>-842664.11652800627</v>
      </c>
      <c r="Z91" s="136">
        <f t="shared" ca="1" si="154"/>
        <v>-818616.70790710021</v>
      </c>
      <c r="AA91" s="136">
        <f t="shared" ca="1" si="154"/>
        <v>-852864.09115192026</v>
      </c>
      <c r="AB91" s="136">
        <f t="shared" ca="1" si="154"/>
        <v>-885002.38998968853</v>
      </c>
      <c r="AC91" s="136">
        <f t="shared" ca="1" si="154"/>
        <v>-920199.87299901794</v>
      </c>
      <c r="AD91" s="136">
        <f t="shared" ca="1" si="154"/>
        <v>-956805.21814828669</v>
      </c>
      <c r="AE91" s="136">
        <f t="shared" ca="1" si="154"/>
        <v>-996869.81259483867</v>
      </c>
      <c r="AF91" s="136">
        <f t="shared" ca="1" si="154"/>
        <v>-429381.78214339697</v>
      </c>
      <c r="AG91" s="136">
        <f t="shared" si="154"/>
        <v>0</v>
      </c>
      <c r="AH91" s="136">
        <f t="shared" si="154"/>
        <v>0</v>
      </c>
      <c r="AI91" s="136">
        <f t="shared" si="154"/>
        <v>0</v>
      </c>
      <c r="AJ91" s="136">
        <f t="shared" si="154"/>
        <v>0</v>
      </c>
      <c r="AK91" s="136">
        <f t="shared" si="154"/>
        <v>0</v>
      </c>
      <c r="AL91" s="136">
        <f t="shared" si="154"/>
        <v>0</v>
      </c>
      <c r="AM91" s="136">
        <f t="shared" si="154"/>
        <v>0</v>
      </c>
      <c r="AN91" s="136">
        <f t="shared" si="154"/>
        <v>0</v>
      </c>
      <c r="AO91" s="136">
        <f t="shared" si="154"/>
        <v>0</v>
      </c>
      <c r="AP91" s="136">
        <f t="shared" si="154"/>
        <v>0</v>
      </c>
      <c r="AQ91" s="136">
        <f t="shared" si="154"/>
        <v>0</v>
      </c>
      <c r="AR91" s="136">
        <f t="shared" si="154"/>
        <v>0</v>
      </c>
      <c r="AS91" s="136">
        <f t="shared" si="154"/>
        <v>0</v>
      </c>
      <c r="AT91" s="136">
        <f t="shared" si="154"/>
        <v>0</v>
      </c>
      <c r="AU91" s="136">
        <f t="shared" si="154"/>
        <v>0</v>
      </c>
      <c r="AV91" s="136">
        <f t="shared" si="154"/>
        <v>0</v>
      </c>
      <c r="AW91" s="136">
        <f t="shared" si="154"/>
        <v>0</v>
      </c>
      <c r="AX91" s="136">
        <f t="shared" si="154"/>
        <v>0</v>
      </c>
      <c r="AY91" s="136">
        <f t="shared" si="154"/>
        <v>0</v>
      </c>
      <c r="AZ91" s="136">
        <f t="shared" si="154"/>
        <v>0</v>
      </c>
      <c r="BA91" s="136">
        <f t="shared" si="154"/>
        <v>0</v>
      </c>
      <c r="BB91" s="136">
        <f t="shared" si="154"/>
        <v>0</v>
      </c>
      <c r="BC91" s="136">
        <f t="shared" si="154"/>
        <v>0</v>
      </c>
      <c r="BD91" s="136">
        <f t="shared" si="154"/>
        <v>0</v>
      </c>
      <c r="BE91" s="136">
        <f t="shared" si="154"/>
        <v>0</v>
      </c>
      <c r="BF91" s="136">
        <f t="shared" si="154"/>
        <v>0</v>
      </c>
      <c r="BG91" s="136">
        <f t="shared" si="154"/>
        <v>0</v>
      </c>
      <c r="BH91" s="136">
        <f t="shared" si="154"/>
        <v>0</v>
      </c>
      <c r="BI91" s="136">
        <f t="shared" si="154"/>
        <v>0</v>
      </c>
      <c r="BJ91" s="136">
        <f t="shared" si="154"/>
        <v>0</v>
      </c>
      <c r="BK91" s="136">
        <f t="shared" si="154"/>
        <v>0</v>
      </c>
      <c r="BL91" s="136">
        <f t="shared" si="154"/>
        <v>0</v>
      </c>
      <c r="BM91" s="136">
        <f t="shared" si="154"/>
        <v>0</v>
      </c>
      <c r="BN91" s="136">
        <f t="shared" si="154"/>
        <v>0</v>
      </c>
      <c r="BO91" s="136">
        <f t="shared" si="154"/>
        <v>0</v>
      </c>
      <c r="BP91" s="136">
        <f t="shared" si="154"/>
        <v>0</v>
      </c>
      <c r="BQ91" s="136">
        <f t="shared" si="154"/>
        <v>0</v>
      </c>
      <c r="BR91" s="136">
        <f t="shared" si="154"/>
        <v>0</v>
      </c>
      <c r="BS91" s="136">
        <f t="shared" si="154"/>
        <v>0</v>
      </c>
      <c r="BT91" s="136">
        <f t="shared" si="154"/>
        <v>0</v>
      </c>
      <c r="BU91" s="136">
        <f t="shared" si="154"/>
        <v>0</v>
      </c>
      <c r="BV91" s="136">
        <f t="shared" si="154"/>
        <v>0</v>
      </c>
      <c r="BW91" s="136">
        <f t="shared" si="154"/>
        <v>0</v>
      </c>
      <c r="BX91" s="136">
        <f t="shared" ref="BX91:CO91" si="155">SUM(BX85:BX90)</f>
        <v>0</v>
      </c>
      <c r="BY91" s="136">
        <f t="shared" si="155"/>
        <v>0</v>
      </c>
      <c r="BZ91" s="136">
        <f t="shared" si="155"/>
        <v>0</v>
      </c>
      <c r="CA91" s="136">
        <f t="shared" si="155"/>
        <v>0</v>
      </c>
      <c r="CB91" s="136">
        <f t="shared" si="155"/>
        <v>0</v>
      </c>
      <c r="CC91" s="136">
        <f t="shared" si="155"/>
        <v>0</v>
      </c>
      <c r="CD91" s="136">
        <f t="shared" si="155"/>
        <v>0</v>
      </c>
      <c r="CE91" s="136">
        <f t="shared" si="155"/>
        <v>0</v>
      </c>
      <c r="CF91" s="136">
        <f t="shared" si="155"/>
        <v>0</v>
      </c>
      <c r="CG91" s="136">
        <f t="shared" si="155"/>
        <v>0</v>
      </c>
      <c r="CH91" s="136">
        <f t="shared" si="155"/>
        <v>0</v>
      </c>
      <c r="CI91" s="136">
        <f t="shared" si="155"/>
        <v>0</v>
      </c>
      <c r="CJ91" s="136">
        <f t="shared" si="155"/>
        <v>0</v>
      </c>
      <c r="CK91" s="136">
        <f t="shared" si="155"/>
        <v>0</v>
      </c>
      <c r="CL91" s="136">
        <f t="shared" si="155"/>
        <v>0</v>
      </c>
      <c r="CM91" s="136">
        <f t="shared" si="155"/>
        <v>0</v>
      </c>
      <c r="CN91" s="136">
        <f t="shared" si="155"/>
        <v>0</v>
      </c>
      <c r="CO91" s="136">
        <f t="shared" si="155"/>
        <v>0</v>
      </c>
    </row>
    <row r="92" spans="1:93" s="133" customFormat="1" ht="14">
      <c r="A92" s="10"/>
      <c r="B92" s="11"/>
      <c r="C92" s="10"/>
      <c r="D92" s="10"/>
      <c r="E92" s="10"/>
      <c r="F92" s="10"/>
      <c r="G92" s="11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</row>
    <row r="93" spans="1:93" s="133" customFormat="1" ht="14">
      <c r="A93" s="10"/>
      <c r="B93" s="11"/>
      <c r="C93" s="24" t="s">
        <v>331</v>
      </c>
      <c r="D93" s="24"/>
      <c r="E93" s="24"/>
      <c r="F93" s="24"/>
      <c r="G93" s="135" t="str">
        <f>Monetary_Unit</f>
        <v>тыс. руб.</v>
      </c>
      <c r="H93" s="24"/>
      <c r="I93" s="24"/>
      <c r="J93" s="24"/>
      <c r="K93" s="24"/>
      <c r="L93" s="24">
        <f ca="1">L78+L82+L91</f>
        <v>0</v>
      </c>
      <c r="M93" s="24">
        <f t="shared" ref="M93:BX93" ca="1" si="156">M78+M82+M91</f>
        <v>0</v>
      </c>
      <c r="N93" s="24">
        <f t="shared" ca="1" si="156"/>
        <v>0</v>
      </c>
      <c r="O93" s="24">
        <f t="shared" ca="1" si="156"/>
        <v>0</v>
      </c>
      <c r="P93" s="24">
        <f t="shared" ca="1" si="156"/>
        <v>667784.47598624649</v>
      </c>
      <c r="Q93" s="24">
        <f t="shared" ca="1" si="156"/>
        <v>-243939.05983250355</v>
      </c>
      <c r="R93" s="24">
        <f t="shared" ca="1" si="156"/>
        <v>-274908.18392662087</v>
      </c>
      <c r="S93" s="24">
        <f t="shared" ca="1" si="156"/>
        <v>-148937.23222712206</v>
      </c>
      <c r="T93" s="24">
        <f t="shared" ca="1" si="156"/>
        <v>0</v>
      </c>
      <c r="U93" s="24">
        <f t="shared" ca="1" si="156"/>
        <v>0</v>
      </c>
      <c r="V93" s="24">
        <f t="shared" ca="1" si="156"/>
        <v>0</v>
      </c>
      <c r="W93" s="24">
        <f t="shared" ca="1" si="156"/>
        <v>0</v>
      </c>
      <c r="X93" s="24">
        <f t="shared" ca="1" si="156"/>
        <v>0</v>
      </c>
      <c r="Y93" s="24">
        <f t="shared" ca="1" si="156"/>
        <v>0</v>
      </c>
      <c r="Z93" s="24">
        <f t="shared" ca="1" si="156"/>
        <v>0</v>
      </c>
      <c r="AA93" s="24">
        <f t="shared" ca="1" si="156"/>
        <v>0</v>
      </c>
      <c r="AB93" s="24">
        <f t="shared" ca="1" si="156"/>
        <v>0</v>
      </c>
      <c r="AC93" s="24">
        <f t="shared" ca="1" si="156"/>
        <v>0</v>
      </c>
      <c r="AD93" s="24">
        <f t="shared" ca="1" si="156"/>
        <v>0</v>
      </c>
      <c r="AE93" s="24">
        <f t="shared" ca="1" si="156"/>
        <v>0</v>
      </c>
      <c r="AF93" s="24">
        <f t="shared" ca="1" si="156"/>
        <v>0</v>
      </c>
      <c r="AG93" s="24">
        <f t="shared" si="156"/>
        <v>0</v>
      </c>
      <c r="AH93" s="24">
        <f t="shared" si="156"/>
        <v>0</v>
      </c>
      <c r="AI93" s="24">
        <f t="shared" si="156"/>
        <v>0</v>
      </c>
      <c r="AJ93" s="24">
        <f t="shared" si="156"/>
        <v>0</v>
      </c>
      <c r="AK93" s="24">
        <f t="shared" si="156"/>
        <v>0</v>
      </c>
      <c r="AL93" s="24">
        <f t="shared" si="156"/>
        <v>0</v>
      </c>
      <c r="AM93" s="24">
        <f t="shared" si="156"/>
        <v>0</v>
      </c>
      <c r="AN93" s="24">
        <f t="shared" si="156"/>
        <v>0</v>
      </c>
      <c r="AO93" s="24">
        <f t="shared" si="156"/>
        <v>0</v>
      </c>
      <c r="AP93" s="24">
        <f t="shared" si="156"/>
        <v>0</v>
      </c>
      <c r="AQ93" s="24">
        <f t="shared" si="156"/>
        <v>0</v>
      </c>
      <c r="AR93" s="24">
        <f t="shared" si="156"/>
        <v>0</v>
      </c>
      <c r="AS93" s="24">
        <f t="shared" si="156"/>
        <v>0</v>
      </c>
      <c r="AT93" s="24">
        <f t="shared" si="156"/>
        <v>0</v>
      </c>
      <c r="AU93" s="24">
        <f t="shared" si="156"/>
        <v>0</v>
      </c>
      <c r="AV93" s="24">
        <f t="shared" si="156"/>
        <v>0</v>
      </c>
      <c r="AW93" s="24">
        <f t="shared" si="156"/>
        <v>0</v>
      </c>
      <c r="AX93" s="24">
        <f t="shared" si="156"/>
        <v>0</v>
      </c>
      <c r="AY93" s="24">
        <f t="shared" si="156"/>
        <v>0</v>
      </c>
      <c r="AZ93" s="24">
        <f t="shared" si="156"/>
        <v>0</v>
      </c>
      <c r="BA93" s="24">
        <f t="shared" si="156"/>
        <v>0</v>
      </c>
      <c r="BB93" s="24">
        <f t="shared" si="156"/>
        <v>0</v>
      </c>
      <c r="BC93" s="24">
        <f t="shared" si="156"/>
        <v>0</v>
      </c>
      <c r="BD93" s="24">
        <f t="shared" si="156"/>
        <v>0</v>
      </c>
      <c r="BE93" s="24">
        <f t="shared" si="156"/>
        <v>0</v>
      </c>
      <c r="BF93" s="24">
        <f t="shared" si="156"/>
        <v>0</v>
      </c>
      <c r="BG93" s="24">
        <f t="shared" si="156"/>
        <v>0</v>
      </c>
      <c r="BH93" s="24">
        <f t="shared" si="156"/>
        <v>0</v>
      </c>
      <c r="BI93" s="24">
        <f t="shared" si="156"/>
        <v>0</v>
      </c>
      <c r="BJ93" s="24">
        <f t="shared" si="156"/>
        <v>0</v>
      </c>
      <c r="BK93" s="24">
        <f t="shared" si="156"/>
        <v>0</v>
      </c>
      <c r="BL93" s="24">
        <f t="shared" si="156"/>
        <v>0</v>
      </c>
      <c r="BM93" s="24">
        <f t="shared" si="156"/>
        <v>0</v>
      </c>
      <c r="BN93" s="24">
        <f t="shared" si="156"/>
        <v>0</v>
      </c>
      <c r="BO93" s="24">
        <f t="shared" si="156"/>
        <v>0</v>
      </c>
      <c r="BP93" s="24">
        <f t="shared" si="156"/>
        <v>0</v>
      </c>
      <c r="BQ93" s="24">
        <f t="shared" si="156"/>
        <v>0</v>
      </c>
      <c r="BR93" s="24">
        <f t="shared" si="156"/>
        <v>0</v>
      </c>
      <c r="BS93" s="24">
        <f t="shared" si="156"/>
        <v>0</v>
      </c>
      <c r="BT93" s="24">
        <f t="shared" si="156"/>
        <v>0</v>
      </c>
      <c r="BU93" s="24">
        <f t="shared" si="156"/>
        <v>0</v>
      </c>
      <c r="BV93" s="24">
        <f t="shared" si="156"/>
        <v>0</v>
      </c>
      <c r="BW93" s="24">
        <f t="shared" si="156"/>
        <v>0</v>
      </c>
      <c r="BX93" s="24">
        <f t="shared" si="156"/>
        <v>0</v>
      </c>
      <c r="BY93" s="24">
        <f t="shared" ref="BY93:CO93" si="157">BY78+BY82+BY91</f>
        <v>0</v>
      </c>
      <c r="BZ93" s="24">
        <f t="shared" si="157"/>
        <v>0</v>
      </c>
      <c r="CA93" s="24">
        <f t="shared" si="157"/>
        <v>0</v>
      </c>
      <c r="CB93" s="24">
        <f t="shared" si="157"/>
        <v>0</v>
      </c>
      <c r="CC93" s="24">
        <f t="shared" si="157"/>
        <v>0</v>
      </c>
      <c r="CD93" s="24">
        <f t="shared" si="157"/>
        <v>0</v>
      </c>
      <c r="CE93" s="24">
        <f t="shared" si="157"/>
        <v>0</v>
      </c>
      <c r="CF93" s="24">
        <f t="shared" si="157"/>
        <v>0</v>
      </c>
      <c r="CG93" s="24">
        <f t="shared" si="157"/>
        <v>0</v>
      </c>
      <c r="CH93" s="24">
        <f t="shared" si="157"/>
        <v>0</v>
      </c>
      <c r="CI93" s="24">
        <f t="shared" si="157"/>
        <v>0</v>
      </c>
      <c r="CJ93" s="24">
        <f t="shared" si="157"/>
        <v>0</v>
      </c>
      <c r="CK93" s="24">
        <f t="shared" si="157"/>
        <v>0</v>
      </c>
      <c r="CL93" s="24">
        <f t="shared" si="157"/>
        <v>0</v>
      </c>
      <c r="CM93" s="24">
        <f t="shared" si="157"/>
        <v>0</v>
      </c>
      <c r="CN93" s="24">
        <f t="shared" si="157"/>
        <v>0</v>
      </c>
      <c r="CO93" s="24">
        <f t="shared" si="157"/>
        <v>0</v>
      </c>
    </row>
    <row r="94" spans="1:93" s="133" customFormat="1" ht="14">
      <c r="A94" s="10"/>
      <c r="B94" s="10"/>
      <c r="C94" s="10"/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">
      <c r="A95" s="10"/>
      <c r="B95" s="10"/>
      <c r="C95" s="10" t="s">
        <v>491</v>
      </c>
      <c r="D95" s="10"/>
      <c r="E95" s="10"/>
      <c r="F95" s="10"/>
      <c r="G95" s="134" t="str">
        <f>Monetary_Unit</f>
        <v>тыс. руб.</v>
      </c>
      <c r="H95" s="10"/>
      <c r="I95" s="10"/>
      <c r="J95" s="10"/>
      <c r="K95" s="10"/>
      <c r="L95" s="52">
        <f t="shared" ref="L95:AC95" si="158">IF(L6&lt;&gt;"",K97,0)</f>
        <v>0</v>
      </c>
      <c r="M95" s="52">
        <f t="shared" ca="1" si="158"/>
        <v>0</v>
      </c>
      <c r="N95" s="52">
        <f t="shared" ca="1" si="158"/>
        <v>0</v>
      </c>
      <c r="O95" s="52">
        <f t="shared" ca="1" si="158"/>
        <v>0</v>
      </c>
      <c r="P95" s="52">
        <f t="shared" ca="1" si="158"/>
        <v>0</v>
      </c>
      <c r="Q95" s="52">
        <f t="shared" ca="1" si="158"/>
        <v>667784.47598624649</v>
      </c>
      <c r="R95" s="52">
        <f t="shared" ca="1" si="158"/>
        <v>423845.41615374293</v>
      </c>
      <c r="S95" s="52">
        <f t="shared" ca="1" si="158"/>
        <v>148937.23222712206</v>
      </c>
      <c r="T95" s="52">
        <f t="shared" ca="1" si="158"/>
        <v>0</v>
      </c>
      <c r="U95" s="52">
        <f t="shared" ca="1" si="158"/>
        <v>0</v>
      </c>
      <c r="V95" s="52">
        <f t="shared" ca="1" si="158"/>
        <v>0</v>
      </c>
      <c r="W95" s="52">
        <f t="shared" ca="1" si="158"/>
        <v>0</v>
      </c>
      <c r="X95" s="52">
        <f t="shared" ca="1" si="158"/>
        <v>0</v>
      </c>
      <c r="Y95" s="52">
        <f t="shared" ca="1" si="158"/>
        <v>0</v>
      </c>
      <c r="Z95" s="52">
        <f t="shared" ca="1" si="158"/>
        <v>0</v>
      </c>
      <c r="AA95" s="52">
        <f t="shared" ca="1" si="158"/>
        <v>0</v>
      </c>
      <c r="AB95" s="52">
        <f t="shared" ca="1" si="158"/>
        <v>0</v>
      </c>
      <c r="AC95" s="52">
        <f t="shared" ca="1" si="158"/>
        <v>0</v>
      </c>
      <c r="AD95" s="52">
        <f ca="1">IF(AD6&lt;&gt;"",AC97,0)</f>
        <v>0</v>
      </c>
      <c r="AE95" s="52">
        <f ca="1">IF(AE6&lt;&gt;"",AD97,0)</f>
        <v>0</v>
      </c>
      <c r="AF95" s="52">
        <f t="shared" ref="AF95:CO95" ca="1" si="159">IF(AF6&lt;&gt;"",AE97,0)</f>
        <v>0</v>
      </c>
      <c r="AG95" s="52">
        <f t="shared" ca="1" si="159"/>
        <v>0</v>
      </c>
      <c r="AH95" s="52">
        <f t="shared" ca="1" si="159"/>
        <v>0</v>
      </c>
      <c r="AI95" s="52">
        <f t="shared" ca="1" si="159"/>
        <v>0</v>
      </c>
      <c r="AJ95" s="52">
        <f t="shared" ca="1" si="159"/>
        <v>0</v>
      </c>
      <c r="AK95" s="52">
        <f t="shared" si="159"/>
        <v>0</v>
      </c>
      <c r="AL95" s="52">
        <f t="shared" si="159"/>
        <v>0</v>
      </c>
      <c r="AM95" s="52">
        <f t="shared" si="159"/>
        <v>0</v>
      </c>
      <c r="AN95" s="52">
        <f t="shared" si="159"/>
        <v>0</v>
      </c>
      <c r="AO95" s="52">
        <f t="shared" si="159"/>
        <v>0</v>
      </c>
      <c r="AP95" s="52">
        <f t="shared" si="159"/>
        <v>0</v>
      </c>
      <c r="AQ95" s="52">
        <f t="shared" si="159"/>
        <v>0</v>
      </c>
      <c r="AR95" s="52">
        <f t="shared" si="159"/>
        <v>0</v>
      </c>
      <c r="AS95" s="52">
        <f t="shared" si="159"/>
        <v>0</v>
      </c>
      <c r="AT95" s="52">
        <f t="shared" si="159"/>
        <v>0</v>
      </c>
      <c r="AU95" s="52">
        <f t="shared" si="159"/>
        <v>0</v>
      </c>
      <c r="AV95" s="52">
        <f t="shared" si="159"/>
        <v>0</v>
      </c>
      <c r="AW95" s="52">
        <f t="shared" si="159"/>
        <v>0</v>
      </c>
      <c r="AX95" s="52">
        <f t="shared" si="159"/>
        <v>0</v>
      </c>
      <c r="AY95" s="52">
        <f t="shared" si="159"/>
        <v>0</v>
      </c>
      <c r="AZ95" s="52">
        <f t="shared" si="159"/>
        <v>0</v>
      </c>
      <c r="BA95" s="52">
        <f t="shared" si="159"/>
        <v>0</v>
      </c>
      <c r="BB95" s="52">
        <f t="shared" si="159"/>
        <v>0</v>
      </c>
      <c r="BC95" s="52">
        <f t="shared" si="159"/>
        <v>0</v>
      </c>
      <c r="BD95" s="52">
        <f t="shared" si="159"/>
        <v>0</v>
      </c>
      <c r="BE95" s="52">
        <f t="shared" si="159"/>
        <v>0</v>
      </c>
      <c r="BF95" s="52">
        <f t="shared" si="159"/>
        <v>0</v>
      </c>
      <c r="BG95" s="52">
        <f t="shared" si="159"/>
        <v>0</v>
      </c>
      <c r="BH95" s="52">
        <f t="shared" si="159"/>
        <v>0</v>
      </c>
      <c r="BI95" s="52">
        <f t="shared" si="159"/>
        <v>0</v>
      </c>
      <c r="BJ95" s="52">
        <f t="shared" si="159"/>
        <v>0</v>
      </c>
      <c r="BK95" s="52">
        <f t="shared" si="159"/>
        <v>0</v>
      </c>
      <c r="BL95" s="52">
        <f t="shared" si="159"/>
        <v>0</v>
      </c>
      <c r="BM95" s="52">
        <f t="shared" si="159"/>
        <v>0</v>
      </c>
      <c r="BN95" s="52">
        <f t="shared" si="159"/>
        <v>0</v>
      </c>
      <c r="BO95" s="52">
        <f t="shared" si="159"/>
        <v>0</v>
      </c>
      <c r="BP95" s="52">
        <f t="shared" si="159"/>
        <v>0</v>
      </c>
      <c r="BQ95" s="52">
        <f t="shared" si="159"/>
        <v>0</v>
      </c>
      <c r="BR95" s="52">
        <f t="shared" si="159"/>
        <v>0</v>
      </c>
      <c r="BS95" s="52">
        <f t="shared" si="159"/>
        <v>0</v>
      </c>
      <c r="BT95" s="52">
        <f t="shared" si="159"/>
        <v>0</v>
      </c>
      <c r="BU95" s="52">
        <f t="shared" si="159"/>
        <v>0</v>
      </c>
      <c r="BV95" s="52">
        <f t="shared" si="159"/>
        <v>0</v>
      </c>
      <c r="BW95" s="52">
        <f t="shared" si="159"/>
        <v>0</v>
      </c>
      <c r="BX95" s="52">
        <f t="shared" si="159"/>
        <v>0</v>
      </c>
      <c r="BY95" s="52">
        <f t="shared" si="159"/>
        <v>0</v>
      </c>
      <c r="BZ95" s="52">
        <f t="shared" si="159"/>
        <v>0</v>
      </c>
      <c r="CA95" s="52">
        <f t="shared" si="159"/>
        <v>0</v>
      </c>
      <c r="CB95" s="52">
        <f t="shared" si="159"/>
        <v>0</v>
      </c>
      <c r="CC95" s="52">
        <f t="shared" si="159"/>
        <v>0</v>
      </c>
      <c r="CD95" s="52">
        <f t="shared" si="159"/>
        <v>0</v>
      </c>
      <c r="CE95" s="52">
        <f t="shared" si="159"/>
        <v>0</v>
      </c>
      <c r="CF95" s="52">
        <f t="shared" si="159"/>
        <v>0</v>
      </c>
      <c r="CG95" s="52">
        <f t="shared" si="159"/>
        <v>0</v>
      </c>
      <c r="CH95" s="52">
        <f t="shared" si="159"/>
        <v>0</v>
      </c>
      <c r="CI95" s="52">
        <f t="shared" si="159"/>
        <v>0</v>
      </c>
      <c r="CJ95" s="52">
        <f t="shared" si="159"/>
        <v>0</v>
      </c>
      <c r="CK95" s="52">
        <f t="shared" si="159"/>
        <v>0</v>
      </c>
      <c r="CL95" s="52">
        <f t="shared" si="159"/>
        <v>0</v>
      </c>
      <c r="CM95" s="52">
        <f t="shared" si="159"/>
        <v>0</v>
      </c>
      <c r="CN95" s="52">
        <f t="shared" si="159"/>
        <v>0</v>
      </c>
      <c r="CO95" s="52">
        <f t="shared" si="159"/>
        <v>0</v>
      </c>
    </row>
    <row r="96" spans="1:93" s="133" customFormat="1" ht="14">
      <c r="A96" s="10"/>
      <c r="B96" s="10"/>
      <c r="C96" s="10" t="s">
        <v>492</v>
      </c>
      <c r="D96" s="10"/>
      <c r="E96" s="10"/>
      <c r="F96" s="10"/>
      <c r="G96" s="134" t="str">
        <f>Monetary_Unit</f>
        <v>тыс. руб.</v>
      </c>
      <c r="H96" s="10"/>
      <c r="I96" s="10"/>
      <c r="J96" s="10"/>
      <c r="K96" s="10"/>
      <c r="L96" s="52">
        <f t="shared" ref="L96:BW96" ca="1" si="160">L93</f>
        <v>0</v>
      </c>
      <c r="M96" s="52">
        <f t="shared" ca="1" si="160"/>
        <v>0</v>
      </c>
      <c r="N96" s="52">
        <f t="shared" ca="1" si="160"/>
        <v>0</v>
      </c>
      <c r="O96" s="52">
        <f t="shared" ca="1" si="160"/>
        <v>0</v>
      </c>
      <c r="P96" s="52">
        <f t="shared" ca="1" si="160"/>
        <v>667784.47598624649</v>
      </c>
      <c r="Q96" s="52">
        <f t="shared" ca="1" si="160"/>
        <v>-243939.05983250355</v>
      </c>
      <c r="R96" s="52">
        <f t="shared" ca="1" si="160"/>
        <v>-274908.18392662087</v>
      </c>
      <c r="S96" s="52">
        <f t="shared" ca="1" si="160"/>
        <v>-148937.23222712206</v>
      </c>
      <c r="T96" s="52">
        <f t="shared" ca="1" si="160"/>
        <v>0</v>
      </c>
      <c r="U96" s="52">
        <f t="shared" ca="1" si="160"/>
        <v>0</v>
      </c>
      <c r="V96" s="52">
        <f t="shared" ca="1" si="160"/>
        <v>0</v>
      </c>
      <c r="W96" s="52">
        <f t="shared" ca="1" si="160"/>
        <v>0</v>
      </c>
      <c r="X96" s="52">
        <f t="shared" ca="1" si="160"/>
        <v>0</v>
      </c>
      <c r="Y96" s="52">
        <f t="shared" ca="1" si="160"/>
        <v>0</v>
      </c>
      <c r="Z96" s="52">
        <f t="shared" ca="1" si="160"/>
        <v>0</v>
      </c>
      <c r="AA96" s="52">
        <f t="shared" ca="1" si="160"/>
        <v>0</v>
      </c>
      <c r="AB96" s="52">
        <f t="shared" ca="1" si="160"/>
        <v>0</v>
      </c>
      <c r="AC96" s="52">
        <f t="shared" ca="1" si="160"/>
        <v>0</v>
      </c>
      <c r="AD96" s="52">
        <f t="shared" ca="1" si="160"/>
        <v>0</v>
      </c>
      <c r="AE96" s="52">
        <f t="shared" ca="1" si="160"/>
        <v>0</v>
      </c>
      <c r="AF96" s="52">
        <f t="shared" ca="1" si="160"/>
        <v>0</v>
      </c>
      <c r="AG96" s="52">
        <f t="shared" si="160"/>
        <v>0</v>
      </c>
      <c r="AH96" s="52">
        <f t="shared" si="160"/>
        <v>0</v>
      </c>
      <c r="AI96" s="52">
        <f t="shared" si="160"/>
        <v>0</v>
      </c>
      <c r="AJ96" s="52">
        <f t="shared" si="160"/>
        <v>0</v>
      </c>
      <c r="AK96" s="52">
        <f t="shared" si="160"/>
        <v>0</v>
      </c>
      <c r="AL96" s="52">
        <f t="shared" si="160"/>
        <v>0</v>
      </c>
      <c r="AM96" s="52">
        <f t="shared" si="160"/>
        <v>0</v>
      </c>
      <c r="AN96" s="52">
        <f t="shared" si="160"/>
        <v>0</v>
      </c>
      <c r="AO96" s="52">
        <f t="shared" si="160"/>
        <v>0</v>
      </c>
      <c r="AP96" s="52">
        <f t="shared" si="160"/>
        <v>0</v>
      </c>
      <c r="AQ96" s="52">
        <f t="shared" si="160"/>
        <v>0</v>
      </c>
      <c r="AR96" s="52">
        <f t="shared" si="160"/>
        <v>0</v>
      </c>
      <c r="AS96" s="52">
        <f t="shared" si="160"/>
        <v>0</v>
      </c>
      <c r="AT96" s="52">
        <f t="shared" si="160"/>
        <v>0</v>
      </c>
      <c r="AU96" s="52">
        <f t="shared" si="160"/>
        <v>0</v>
      </c>
      <c r="AV96" s="52">
        <f t="shared" si="160"/>
        <v>0</v>
      </c>
      <c r="AW96" s="52">
        <f t="shared" si="160"/>
        <v>0</v>
      </c>
      <c r="AX96" s="52">
        <f t="shared" si="160"/>
        <v>0</v>
      </c>
      <c r="AY96" s="52">
        <f t="shared" si="160"/>
        <v>0</v>
      </c>
      <c r="AZ96" s="52">
        <f t="shared" si="160"/>
        <v>0</v>
      </c>
      <c r="BA96" s="52">
        <f t="shared" si="160"/>
        <v>0</v>
      </c>
      <c r="BB96" s="52">
        <f t="shared" si="160"/>
        <v>0</v>
      </c>
      <c r="BC96" s="52">
        <f t="shared" si="160"/>
        <v>0</v>
      </c>
      <c r="BD96" s="52">
        <f t="shared" si="160"/>
        <v>0</v>
      </c>
      <c r="BE96" s="52">
        <f t="shared" si="160"/>
        <v>0</v>
      </c>
      <c r="BF96" s="52">
        <f t="shared" si="160"/>
        <v>0</v>
      </c>
      <c r="BG96" s="52">
        <f t="shared" si="160"/>
        <v>0</v>
      </c>
      <c r="BH96" s="52">
        <f t="shared" si="160"/>
        <v>0</v>
      </c>
      <c r="BI96" s="52">
        <f t="shared" si="160"/>
        <v>0</v>
      </c>
      <c r="BJ96" s="52">
        <f t="shared" si="160"/>
        <v>0</v>
      </c>
      <c r="BK96" s="52">
        <f t="shared" si="160"/>
        <v>0</v>
      </c>
      <c r="BL96" s="52">
        <f t="shared" si="160"/>
        <v>0</v>
      </c>
      <c r="BM96" s="52">
        <f t="shared" si="160"/>
        <v>0</v>
      </c>
      <c r="BN96" s="52">
        <f t="shared" si="160"/>
        <v>0</v>
      </c>
      <c r="BO96" s="52">
        <f t="shared" si="160"/>
        <v>0</v>
      </c>
      <c r="BP96" s="52">
        <f t="shared" si="160"/>
        <v>0</v>
      </c>
      <c r="BQ96" s="52">
        <f t="shared" si="160"/>
        <v>0</v>
      </c>
      <c r="BR96" s="52">
        <f t="shared" si="160"/>
        <v>0</v>
      </c>
      <c r="BS96" s="52">
        <f t="shared" si="160"/>
        <v>0</v>
      </c>
      <c r="BT96" s="52">
        <f t="shared" si="160"/>
        <v>0</v>
      </c>
      <c r="BU96" s="52">
        <f t="shared" si="160"/>
        <v>0</v>
      </c>
      <c r="BV96" s="52">
        <f t="shared" si="160"/>
        <v>0</v>
      </c>
      <c r="BW96" s="52">
        <f t="shared" si="160"/>
        <v>0</v>
      </c>
      <c r="BX96" s="52">
        <f t="shared" ref="BX96:CO96" si="161">BX93</f>
        <v>0</v>
      </c>
      <c r="BY96" s="52">
        <f t="shared" si="161"/>
        <v>0</v>
      </c>
      <c r="BZ96" s="52">
        <f t="shared" si="161"/>
        <v>0</v>
      </c>
      <c r="CA96" s="52">
        <f t="shared" si="161"/>
        <v>0</v>
      </c>
      <c r="CB96" s="52">
        <f t="shared" si="161"/>
        <v>0</v>
      </c>
      <c r="CC96" s="52">
        <f t="shared" si="161"/>
        <v>0</v>
      </c>
      <c r="CD96" s="52">
        <f t="shared" si="161"/>
        <v>0</v>
      </c>
      <c r="CE96" s="52">
        <f t="shared" si="161"/>
        <v>0</v>
      </c>
      <c r="CF96" s="52">
        <f t="shared" si="161"/>
        <v>0</v>
      </c>
      <c r="CG96" s="52">
        <f t="shared" si="161"/>
        <v>0</v>
      </c>
      <c r="CH96" s="52">
        <f t="shared" si="161"/>
        <v>0</v>
      </c>
      <c r="CI96" s="52">
        <f t="shared" si="161"/>
        <v>0</v>
      </c>
      <c r="CJ96" s="52">
        <f t="shared" si="161"/>
        <v>0</v>
      </c>
      <c r="CK96" s="52">
        <f t="shared" si="161"/>
        <v>0</v>
      </c>
      <c r="CL96" s="52">
        <f t="shared" si="161"/>
        <v>0</v>
      </c>
      <c r="CM96" s="52">
        <f t="shared" si="161"/>
        <v>0</v>
      </c>
      <c r="CN96" s="52">
        <f t="shared" si="161"/>
        <v>0</v>
      </c>
      <c r="CO96" s="52">
        <f t="shared" si="161"/>
        <v>0</v>
      </c>
    </row>
    <row r="97" spans="1:93" s="133" customFormat="1" ht="14">
      <c r="A97" s="10"/>
      <c r="B97" s="10"/>
      <c r="C97" s="10" t="s">
        <v>493</v>
      </c>
      <c r="D97" s="10"/>
      <c r="E97" s="10"/>
      <c r="F97" s="10"/>
      <c r="G97" s="134" t="str">
        <f>Monetary_Unit</f>
        <v>тыс. руб.</v>
      </c>
      <c r="H97" s="10"/>
      <c r="I97" s="10"/>
      <c r="J97" s="10"/>
      <c r="K97" s="10"/>
      <c r="L97" s="52">
        <f t="shared" ref="L97" ca="1" si="162">IF(ABS(SUM(L95:L96))&lt;Accuracy,0,SUM(L95:L96))</f>
        <v>0</v>
      </c>
      <c r="M97" s="52">
        <f t="shared" ref="M97:BX97" ca="1" si="163">IF(ABS(SUM(M95:M96))&lt;Accuracy,0,SUM(M95:M96))</f>
        <v>0</v>
      </c>
      <c r="N97" s="52">
        <f t="shared" ca="1" si="163"/>
        <v>0</v>
      </c>
      <c r="O97" s="52">
        <f t="shared" ca="1" si="163"/>
        <v>0</v>
      </c>
      <c r="P97" s="52">
        <f t="shared" ca="1" si="163"/>
        <v>667784.47598624649</v>
      </c>
      <c r="Q97" s="52">
        <f t="shared" ca="1" si="163"/>
        <v>423845.41615374293</v>
      </c>
      <c r="R97" s="52">
        <f t="shared" ca="1" si="163"/>
        <v>148937.23222712206</v>
      </c>
      <c r="S97" s="52">
        <f t="shared" ca="1" si="163"/>
        <v>0</v>
      </c>
      <c r="T97" s="52">
        <f t="shared" ca="1" si="163"/>
        <v>0</v>
      </c>
      <c r="U97" s="52">
        <f t="shared" ca="1" si="163"/>
        <v>0</v>
      </c>
      <c r="V97" s="52">
        <f t="shared" ca="1" si="163"/>
        <v>0</v>
      </c>
      <c r="W97" s="52">
        <f t="shared" ca="1" si="163"/>
        <v>0</v>
      </c>
      <c r="X97" s="52">
        <f t="shared" ca="1" si="163"/>
        <v>0</v>
      </c>
      <c r="Y97" s="52">
        <f t="shared" ca="1" si="163"/>
        <v>0</v>
      </c>
      <c r="Z97" s="52">
        <f t="shared" ca="1" si="163"/>
        <v>0</v>
      </c>
      <c r="AA97" s="52">
        <f t="shared" ca="1" si="163"/>
        <v>0</v>
      </c>
      <c r="AB97" s="52">
        <f t="shared" ca="1" si="163"/>
        <v>0</v>
      </c>
      <c r="AC97" s="52">
        <f t="shared" ca="1" si="163"/>
        <v>0</v>
      </c>
      <c r="AD97" s="52">
        <f t="shared" ca="1" si="163"/>
        <v>0</v>
      </c>
      <c r="AE97" s="52">
        <f t="shared" ca="1" si="163"/>
        <v>0</v>
      </c>
      <c r="AF97" s="52">
        <f t="shared" ca="1" si="163"/>
        <v>0</v>
      </c>
      <c r="AG97" s="52">
        <f t="shared" ca="1" si="163"/>
        <v>0</v>
      </c>
      <c r="AH97" s="52">
        <f t="shared" ca="1" si="163"/>
        <v>0</v>
      </c>
      <c r="AI97" s="52">
        <f t="shared" ca="1" si="163"/>
        <v>0</v>
      </c>
      <c r="AJ97" s="52">
        <f t="shared" ca="1" si="163"/>
        <v>0</v>
      </c>
      <c r="AK97" s="52">
        <f t="shared" si="163"/>
        <v>0</v>
      </c>
      <c r="AL97" s="52">
        <f t="shared" si="163"/>
        <v>0</v>
      </c>
      <c r="AM97" s="52">
        <f t="shared" si="163"/>
        <v>0</v>
      </c>
      <c r="AN97" s="52">
        <f t="shared" si="163"/>
        <v>0</v>
      </c>
      <c r="AO97" s="52">
        <f t="shared" si="163"/>
        <v>0</v>
      </c>
      <c r="AP97" s="52">
        <f t="shared" si="163"/>
        <v>0</v>
      </c>
      <c r="AQ97" s="52">
        <f t="shared" si="163"/>
        <v>0</v>
      </c>
      <c r="AR97" s="52">
        <f t="shared" si="163"/>
        <v>0</v>
      </c>
      <c r="AS97" s="52">
        <f t="shared" si="163"/>
        <v>0</v>
      </c>
      <c r="AT97" s="52">
        <f t="shared" si="163"/>
        <v>0</v>
      </c>
      <c r="AU97" s="52">
        <f t="shared" si="163"/>
        <v>0</v>
      </c>
      <c r="AV97" s="52">
        <f t="shared" si="163"/>
        <v>0</v>
      </c>
      <c r="AW97" s="52">
        <f t="shared" si="163"/>
        <v>0</v>
      </c>
      <c r="AX97" s="52">
        <f t="shared" si="163"/>
        <v>0</v>
      </c>
      <c r="AY97" s="52">
        <f t="shared" si="163"/>
        <v>0</v>
      </c>
      <c r="AZ97" s="52">
        <f t="shared" si="163"/>
        <v>0</v>
      </c>
      <c r="BA97" s="52">
        <f t="shared" si="163"/>
        <v>0</v>
      </c>
      <c r="BB97" s="52">
        <f t="shared" si="163"/>
        <v>0</v>
      </c>
      <c r="BC97" s="52">
        <f t="shared" si="163"/>
        <v>0</v>
      </c>
      <c r="BD97" s="52">
        <f t="shared" si="163"/>
        <v>0</v>
      </c>
      <c r="BE97" s="52">
        <f t="shared" si="163"/>
        <v>0</v>
      </c>
      <c r="BF97" s="52">
        <f t="shared" si="163"/>
        <v>0</v>
      </c>
      <c r="BG97" s="52">
        <f t="shared" si="163"/>
        <v>0</v>
      </c>
      <c r="BH97" s="52">
        <f t="shared" si="163"/>
        <v>0</v>
      </c>
      <c r="BI97" s="52">
        <f t="shared" si="163"/>
        <v>0</v>
      </c>
      <c r="BJ97" s="52">
        <f t="shared" si="163"/>
        <v>0</v>
      </c>
      <c r="BK97" s="52">
        <f t="shared" si="163"/>
        <v>0</v>
      </c>
      <c r="BL97" s="52">
        <f t="shared" si="163"/>
        <v>0</v>
      </c>
      <c r="BM97" s="52">
        <f t="shared" si="163"/>
        <v>0</v>
      </c>
      <c r="BN97" s="52">
        <f t="shared" si="163"/>
        <v>0</v>
      </c>
      <c r="BO97" s="52">
        <f t="shared" si="163"/>
        <v>0</v>
      </c>
      <c r="BP97" s="52">
        <f t="shared" si="163"/>
        <v>0</v>
      </c>
      <c r="BQ97" s="52">
        <f t="shared" si="163"/>
        <v>0</v>
      </c>
      <c r="BR97" s="52">
        <f t="shared" si="163"/>
        <v>0</v>
      </c>
      <c r="BS97" s="52">
        <f t="shared" si="163"/>
        <v>0</v>
      </c>
      <c r="BT97" s="52">
        <f t="shared" si="163"/>
        <v>0</v>
      </c>
      <c r="BU97" s="52">
        <f t="shared" si="163"/>
        <v>0</v>
      </c>
      <c r="BV97" s="52">
        <f t="shared" si="163"/>
        <v>0</v>
      </c>
      <c r="BW97" s="52">
        <f t="shared" si="163"/>
        <v>0</v>
      </c>
      <c r="BX97" s="52">
        <f t="shared" si="163"/>
        <v>0</v>
      </c>
      <c r="BY97" s="52">
        <f t="shared" ref="BY97:CO97" si="164">IF(ABS(SUM(BY95:BY96))&lt;Accuracy,0,SUM(BY95:BY96))</f>
        <v>0</v>
      </c>
      <c r="BZ97" s="52">
        <f t="shared" si="164"/>
        <v>0</v>
      </c>
      <c r="CA97" s="52">
        <f t="shared" si="164"/>
        <v>0</v>
      </c>
      <c r="CB97" s="52">
        <f t="shared" si="164"/>
        <v>0</v>
      </c>
      <c r="CC97" s="52">
        <f t="shared" si="164"/>
        <v>0</v>
      </c>
      <c r="CD97" s="52">
        <f t="shared" si="164"/>
        <v>0</v>
      </c>
      <c r="CE97" s="52">
        <f t="shared" si="164"/>
        <v>0</v>
      </c>
      <c r="CF97" s="52">
        <f t="shared" si="164"/>
        <v>0</v>
      </c>
      <c r="CG97" s="52">
        <f t="shared" si="164"/>
        <v>0</v>
      </c>
      <c r="CH97" s="52">
        <f t="shared" si="164"/>
        <v>0</v>
      </c>
      <c r="CI97" s="52">
        <f t="shared" si="164"/>
        <v>0</v>
      </c>
      <c r="CJ97" s="52">
        <f t="shared" si="164"/>
        <v>0</v>
      </c>
      <c r="CK97" s="52">
        <f t="shared" si="164"/>
        <v>0</v>
      </c>
      <c r="CL97" s="52">
        <f t="shared" si="164"/>
        <v>0</v>
      </c>
      <c r="CM97" s="52">
        <f t="shared" si="164"/>
        <v>0</v>
      </c>
      <c r="CN97" s="52">
        <f t="shared" si="164"/>
        <v>0</v>
      </c>
      <c r="CO97" s="52">
        <f t="shared" si="164"/>
        <v>0</v>
      </c>
    </row>
    <row r="98" spans="1:93" s="141" customFormat="1" ht="12.5">
      <c r="A98" s="10"/>
      <c r="B98" s="10"/>
      <c r="C98" s="10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46" customFormat="1" ht="12.5">
      <c r="C99" s="46" t="s">
        <v>326</v>
      </c>
      <c r="G99" s="89" t="str">
        <f>Monetary_Unit</f>
        <v>тыс. руб.</v>
      </c>
      <c r="I99" s="46">
        <f ca="1">SUM(L99:CQ99)</f>
        <v>0</v>
      </c>
      <c r="L99" s="46">
        <f t="shared" ref="L99:BW99" ca="1" si="165">(L97-L21)*(ABS((L97-L21)&gt;Accuracy))</f>
        <v>0</v>
      </c>
      <c r="M99" s="46">
        <f t="shared" ca="1" si="165"/>
        <v>0</v>
      </c>
      <c r="N99" s="46">
        <f t="shared" ca="1" si="165"/>
        <v>0</v>
      </c>
      <c r="O99" s="46">
        <f t="shared" ca="1" si="165"/>
        <v>0</v>
      </c>
      <c r="P99" s="46">
        <f t="shared" ca="1" si="165"/>
        <v>0</v>
      </c>
      <c r="Q99" s="46">
        <f t="shared" ca="1" si="165"/>
        <v>0</v>
      </c>
      <c r="R99" s="46">
        <f t="shared" ca="1" si="165"/>
        <v>0</v>
      </c>
      <c r="S99" s="46">
        <f t="shared" ca="1" si="165"/>
        <v>0</v>
      </c>
      <c r="T99" s="46">
        <f t="shared" ca="1" si="165"/>
        <v>0</v>
      </c>
      <c r="U99" s="46">
        <f t="shared" ca="1" si="165"/>
        <v>0</v>
      </c>
      <c r="V99" s="46">
        <f t="shared" ca="1" si="165"/>
        <v>0</v>
      </c>
      <c r="W99" s="46">
        <f t="shared" ca="1" si="165"/>
        <v>0</v>
      </c>
      <c r="X99" s="46">
        <f t="shared" ca="1" si="165"/>
        <v>0</v>
      </c>
      <c r="Y99" s="46">
        <f t="shared" ca="1" si="165"/>
        <v>0</v>
      </c>
      <c r="Z99" s="46">
        <f t="shared" ca="1" si="165"/>
        <v>0</v>
      </c>
      <c r="AA99" s="46">
        <f t="shared" ca="1" si="165"/>
        <v>0</v>
      </c>
      <c r="AB99" s="46">
        <f t="shared" ca="1" si="165"/>
        <v>0</v>
      </c>
      <c r="AC99" s="46">
        <f t="shared" ca="1" si="165"/>
        <v>0</v>
      </c>
      <c r="AD99" s="46">
        <f t="shared" ca="1" si="165"/>
        <v>0</v>
      </c>
      <c r="AE99" s="46">
        <f t="shared" ca="1" si="165"/>
        <v>0</v>
      </c>
      <c r="AF99" s="46">
        <f t="shared" ca="1" si="165"/>
        <v>0</v>
      </c>
      <c r="AG99" s="46">
        <f t="shared" ca="1" si="165"/>
        <v>0</v>
      </c>
      <c r="AH99" s="46">
        <f t="shared" ca="1" si="165"/>
        <v>0</v>
      </c>
      <c r="AI99" s="46">
        <f t="shared" ca="1" si="165"/>
        <v>0</v>
      </c>
      <c r="AJ99" s="46">
        <f t="shared" ca="1" si="165"/>
        <v>0</v>
      </c>
      <c r="AK99" s="46">
        <f t="shared" si="165"/>
        <v>0</v>
      </c>
      <c r="AL99" s="46">
        <f t="shared" si="165"/>
        <v>0</v>
      </c>
      <c r="AM99" s="46">
        <f t="shared" si="165"/>
        <v>0</v>
      </c>
      <c r="AN99" s="46">
        <f t="shared" si="165"/>
        <v>0</v>
      </c>
      <c r="AO99" s="46">
        <f t="shared" si="165"/>
        <v>0</v>
      </c>
      <c r="AP99" s="46">
        <f t="shared" si="165"/>
        <v>0</v>
      </c>
      <c r="AQ99" s="46">
        <f t="shared" si="165"/>
        <v>0</v>
      </c>
      <c r="AR99" s="46">
        <f t="shared" si="165"/>
        <v>0</v>
      </c>
      <c r="AS99" s="46">
        <f t="shared" si="165"/>
        <v>0</v>
      </c>
      <c r="AT99" s="46">
        <f t="shared" si="165"/>
        <v>0</v>
      </c>
      <c r="AU99" s="46">
        <f t="shared" si="165"/>
        <v>0</v>
      </c>
      <c r="AV99" s="46">
        <f t="shared" si="165"/>
        <v>0</v>
      </c>
      <c r="AW99" s="46">
        <f t="shared" si="165"/>
        <v>0</v>
      </c>
      <c r="AX99" s="46">
        <f t="shared" si="165"/>
        <v>0</v>
      </c>
      <c r="AY99" s="46">
        <f t="shared" si="165"/>
        <v>0</v>
      </c>
      <c r="AZ99" s="46">
        <f t="shared" si="165"/>
        <v>0</v>
      </c>
      <c r="BA99" s="46">
        <f t="shared" si="165"/>
        <v>0</v>
      </c>
      <c r="BB99" s="46">
        <f t="shared" si="165"/>
        <v>0</v>
      </c>
      <c r="BC99" s="46">
        <f t="shared" si="165"/>
        <v>0</v>
      </c>
      <c r="BD99" s="46">
        <f t="shared" si="165"/>
        <v>0</v>
      </c>
      <c r="BE99" s="46">
        <f t="shared" si="165"/>
        <v>0</v>
      </c>
      <c r="BF99" s="46">
        <f t="shared" si="165"/>
        <v>0</v>
      </c>
      <c r="BG99" s="46">
        <f t="shared" si="165"/>
        <v>0</v>
      </c>
      <c r="BH99" s="46">
        <f t="shared" si="165"/>
        <v>0</v>
      </c>
      <c r="BI99" s="46">
        <f t="shared" si="165"/>
        <v>0</v>
      </c>
      <c r="BJ99" s="46">
        <f t="shared" si="165"/>
        <v>0</v>
      </c>
      <c r="BK99" s="46">
        <f t="shared" si="165"/>
        <v>0</v>
      </c>
      <c r="BL99" s="46">
        <f t="shared" si="165"/>
        <v>0</v>
      </c>
      <c r="BM99" s="46">
        <f t="shared" si="165"/>
        <v>0</v>
      </c>
      <c r="BN99" s="46">
        <f t="shared" si="165"/>
        <v>0</v>
      </c>
      <c r="BO99" s="46">
        <f t="shared" si="165"/>
        <v>0</v>
      </c>
      <c r="BP99" s="46">
        <f t="shared" si="165"/>
        <v>0</v>
      </c>
      <c r="BQ99" s="46">
        <f t="shared" si="165"/>
        <v>0</v>
      </c>
      <c r="BR99" s="46">
        <f t="shared" si="165"/>
        <v>0</v>
      </c>
      <c r="BS99" s="46">
        <f t="shared" si="165"/>
        <v>0</v>
      </c>
      <c r="BT99" s="46">
        <f t="shared" si="165"/>
        <v>0</v>
      </c>
      <c r="BU99" s="46">
        <f t="shared" si="165"/>
        <v>0</v>
      </c>
      <c r="BV99" s="46">
        <f t="shared" si="165"/>
        <v>0</v>
      </c>
      <c r="BW99" s="46">
        <f t="shared" si="165"/>
        <v>0</v>
      </c>
      <c r="BX99" s="46">
        <f t="shared" ref="BX99:CO99" si="166">(BX97-BX21)*(ABS((BX97-BX21)&gt;Accuracy))</f>
        <v>0</v>
      </c>
      <c r="BY99" s="46">
        <f t="shared" si="166"/>
        <v>0</v>
      </c>
      <c r="BZ99" s="46">
        <f t="shared" si="166"/>
        <v>0</v>
      </c>
      <c r="CA99" s="46">
        <f t="shared" si="166"/>
        <v>0</v>
      </c>
      <c r="CB99" s="46">
        <f t="shared" si="166"/>
        <v>0</v>
      </c>
      <c r="CC99" s="46">
        <f t="shared" si="166"/>
        <v>0</v>
      </c>
      <c r="CD99" s="46">
        <f t="shared" si="166"/>
        <v>0</v>
      </c>
      <c r="CE99" s="46">
        <f t="shared" si="166"/>
        <v>0</v>
      </c>
      <c r="CF99" s="46">
        <f t="shared" si="166"/>
        <v>0</v>
      </c>
      <c r="CG99" s="46">
        <f t="shared" si="166"/>
        <v>0</v>
      </c>
      <c r="CH99" s="46">
        <f t="shared" si="166"/>
        <v>0</v>
      </c>
      <c r="CI99" s="46">
        <f t="shared" si="166"/>
        <v>0</v>
      </c>
      <c r="CJ99" s="46">
        <f t="shared" si="166"/>
        <v>0</v>
      </c>
      <c r="CK99" s="46">
        <f t="shared" si="166"/>
        <v>0</v>
      </c>
      <c r="CL99" s="46">
        <f t="shared" si="166"/>
        <v>0</v>
      </c>
      <c r="CM99" s="46">
        <f t="shared" si="166"/>
        <v>0</v>
      </c>
      <c r="CN99" s="46">
        <f t="shared" si="166"/>
        <v>0</v>
      </c>
      <c r="CO99" s="46">
        <f t="shared" si="166"/>
        <v>0</v>
      </c>
    </row>
    <row r="100" spans="1:93" s="46" customFormat="1" ht="12.5">
      <c r="C100" s="46" t="s">
        <v>327</v>
      </c>
      <c r="G100" s="89" t="str">
        <f>Monetary_Unit</f>
        <v>тыс. руб.</v>
      </c>
      <c r="I100" s="46">
        <f ca="1">SUM(L100:CQ100)</f>
        <v>0</v>
      </c>
      <c r="L100" s="46">
        <f t="shared" ref="L100:BW100" ca="1" si="167">IF(ABS(Cash_EoP)&lt;Accuracy,0,Cash_EoP&lt;0)*1</f>
        <v>0</v>
      </c>
      <c r="M100" s="46">
        <f t="shared" ca="1" si="167"/>
        <v>0</v>
      </c>
      <c r="N100" s="46">
        <f t="shared" ca="1" si="167"/>
        <v>0</v>
      </c>
      <c r="O100" s="46">
        <f t="shared" ca="1" si="167"/>
        <v>0</v>
      </c>
      <c r="P100" s="46">
        <f t="shared" ca="1" si="167"/>
        <v>0</v>
      </c>
      <c r="Q100" s="46">
        <f t="shared" ca="1" si="167"/>
        <v>0</v>
      </c>
      <c r="R100" s="46">
        <f t="shared" ca="1" si="167"/>
        <v>0</v>
      </c>
      <c r="S100" s="46">
        <f t="shared" ca="1" si="167"/>
        <v>0</v>
      </c>
      <c r="T100" s="46">
        <f t="shared" ca="1" si="167"/>
        <v>0</v>
      </c>
      <c r="U100" s="46">
        <f t="shared" ca="1" si="167"/>
        <v>0</v>
      </c>
      <c r="V100" s="46">
        <f t="shared" ca="1" si="167"/>
        <v>0</v>
      </c>
      <c r="W100" s="46">
        <f t="shared" ca="1" si="167"/>
        <v>0</v>
      </c>
      <c r="X100" s="46">
        <f t="shared" ca="1" si="167"/>
        <v>0</v>
      </c>
      <c r="Y100" s="46">
        <f t="shared" ca="1" si="167"/>
        <v>0</v>
      </c>
      <c r="Z100" s="46">
        <f t="shared" ca="1" si="167"/>
        <v>0</v>
      </c>
      <c r="AA100" s="46">
        <f t="shared" ca="1" si="167"/>
        <v>0</v>
      </c>
      <c r="AB100" s="46">
        <f t="shared" ca="1" si="167"/>
        <v>0</v>
      </c>
      <c r="AC100" s="46">
        <f t="shared" ca="1" si="167"/>
        <v>0</v>
      </c>
      <c r="AD100" s="46">
        <f t="shared" ca="1" si="167"/>
        <v>0</v>
      </c>
      <c r="AE100" s="46">
        <f t="shared" ca="1" si="167"/>
        <v>0</v>
      </c>
      <c r="AF100" s="46">
        <f t="shared" ca="1" si="167"/>
        <v>0</v>
      </c>
      <c r="AG100" s="46">
        <f t="shared" ca="1" si="167"/>
        <v>0</v>
      </c>
      <c r="AH100" s="46">
        <f t="shared" ca="1" si="167"/>
        <v>0</v>
      </c>
      <c r="AI100" s="46">
        <f t="shared" ca="1" si="167"/>
        <v>0</v>
      </c>
      <c r="AJ100" s="46">
        <f t="shared" ca="1" si="167"/>
        <v>0</v>
      </c>
      <c r="AK100" s="46">
        <f t="shared" ca="1" si="167"/>
        <v>0</v>
      </c>
      <c r="AL100" s="46">
        <f t="shared" ca="1" si="167"/>
        <v>0</v>
      </c>
      <c r="AM100" s="46">
        <f t="shared" ca="1" si="167"/>
        <v>0</v>
      </c>
      <c r="AN100" s="46">
        <f t="shared" ca="1" si="167"/>
        <v>0</v>
      </c>
      <c r="AO100" s="46">
        <f t="shared" ca="1" si="167"/>
        <v>0</v>
      </c>
      <c r="AP100" s="46">
        <f t="shared" ca="1" si="167"/>
        <v>0</v>
      </c>
      <c r="AQ100" s="46">
        <f t="shared" ca="1" si="167"/>
        <v>0</v>
      </c>
      <c r="AR100" s="46">
        <f t="shared" ca="1" si="167"/>
        <v>0</v>
      </c>
      <c r="AS100" s="46">
        <f t="shared" ca="1" si="167"/>
        <v>0</v>
      </c>
      <c r="AT100" s="46">
        <f t="shared" ca="1" si="167"/>
        <v>0</v>
      </c>
      <c r="AU100" s="46">
        <f t="shared" ca="1" si="167"/>
        <v>0</v>
      </c>
      <c r="AV100" s="46">
        <f t="shared" ca="1" si="167"/>
        <v>0</v>
      </c>
      <c r="AW100" s="46">
        <f t="shared" ca="1" si="167"/>
        <v>0</v>
      </c>
      <c r="AX100" s="46">
        <f t="shared" ca="1" si="167"/>
        <v>0</v>
      </c>
      <c r="AY100" s="46">
        <f t="shared" ca="1" si="167"/>
        <v>0</v>
      </c>
      <c r="AZ100" s="46">
        <f t="shared" ca="1" si="167"/>
        <v>0</v>
      </c>
      <c r="BA100" s="46">
        <f t="shared" ca="1" si="167"/>
        <v>0</v>
      </c>
      <c r="BB100" s="46">
        <f t="shared" ca="1" si="167"/>
        <v>0</v>
      </c>
      <c r="BC100" s="46">
        <f t="shared" ca="1" si="167"/>
        <v>0</v>
      </c>
      <c r="BD100" s="46">
        <f t="shared" ca="1" si="167"/>
        <v>0</v>
      </c>
      <c r="BE100" s="46">
        <f t="shared" ca="1" si="167"/>
        <v>0</v>
      </c>
      <c r="BF100" s="46">
        <f t="shared" ca="1" si="167"/>
        <v>0</v>
      </c>
      <c r="BG100" s="46">
        <f t="shared" ca="1" si="167"/>
        <v>0</v>
      </c>
      <c r="BH100" s="46">
        <f t="shared" ca="1" si="167"/>
        <v>0</v>
      </c>
      <c r="BI100" s="46">
        <f t="shared" ca="1" si="167"/>
        <v>0</v>
      </c>
      <c r="BJ100" s="46">
        <f t="shared" ca="1" si="167"/>
        <v>0</v>
      </c>
      <c r="BK100" s="46">
        <f t="shared" ca="1" si="167"/>
        <v>0</v>
      </c>
      <c r="BL100" s="46">
        <f t="shared" ca="1" si="167"/>
        <v>0</v>
      </c>
      <c r="BM100" s="46">
        <f t="shared" ca="1" si="167"/>
        <v>0</v>
      </c>
      <c r="BN100" s="46">
        <f t="shared" ca="1" si="167"/>
        <v>0</v>
      </c>
      <c r="BO100" s="46">
        <f t="shared" ca="1" si="167"/>
        <v>0</v>
      </c>
      <c r="BP100" s="46">
        <f t="shared" ca="1" si="167"/>
        <v>0</v>
      </c>
      <c r="BQ100" s="46">
        <f t="shared" ca="1" si="167"/>
        <v>0</v>
      </c>
      <c r="BR100" s="46">
        <f t="shared" ca="1" si="167"/>
        <v>0</v>
      </c>
      <c r="BS100" s="46">
        <f t="shared" ca="1" si="167"/>
        <v>0</v>
      </c>
      <c r="BT100" s="46">
        <f t="shared" ca="1" si="167"/>
        <v>0</v>
      </c>
      <c r="BU100" s="46">
        <f t="shared" ca="1" si="167"/>
        <v>0</v>
      </c>
      <c r="BV100" s="46">
        <f t="shared" ca="1" si="167"/>
        <v>0</v>
      </c>
      <c r="BW100" s="46">
        <f t="shared" ca="1" si="167"/>
        <v>0</v>
      </c>
      <c r="BX100" s="46">
        <f t="shared" ref="BX100:CO100" ca="1" si="168">IF(ABS(Cash_EoP)&lt;Accuracy,0,Cash_EoP&lt;0)*1</f>
        <v>0</v>
      </c>
      <c r="BY100" s="46">
        <f t="shared" ca="1" si="168"/>
        <v>0</v>
      </c>
      <c r="BZ100" s="46">
        <f t="shared" ca="1" si="168"/>
        <v>0</v>
      </c>
      <c r="CA100" s="46">
        <f t="shared" ca="1" si="168"/>
        <v>0</v>
      </c>
      <c r="CB100" s="46">
        <f t="shared" ca="1" si="168"/>
        <v>0</v>
      </c>
      <c r="CC100" s="46">
        <f t="shared" ca="1" si="168"/>
        <v>0</v>
      </c>
      <c r="CD100" s="46">
        <f t="shared" ca="1" si="168"/>
        <v>0</v>
      </c>
      <c r="CE100" s="46">
        <f t="shared" ca="1" si="168"/>
        <v>0</v>
      </c>
      <c r="CF100" s="46">
        <f t="shared" ca="1" si="168"/>
        <v>0</v>
      </c>
      <c r="CG100" s="46">
        <f t="shared" ca="1" si="168"/>
        <v>0</v>
      </c>
      <c r="CH100" s="46">
        <f t="shared" ca="1" si="168"/>
        <v>0</v>
      </c>
      <c r="CI100" s="46">
        <f t="shared" ca="1" si="168"/>
        <v>0</v>
      </c>
      <c r="CJ100" s="46">
        <f t="shared" ca="1" si="168"/>
        <v>0</v>
      </c>
      <c r="CK100" s="46">
        <f t="shared" ca="1" si="168"/>
        <v>0</v>
      </c>
      <c r="CL100" s="46">
        <f t="shared" ca="1" si="168"/>
        <v>0</v>
      </c>
      <c r="CM100" s="46">
        <f t="shared" ca="1" si="168"/>
        <v>0</v>
      </c>
      <c r="CN100" s="46">
        <f t="shared" ca="1" si="168"/>
        <v>0</v>
      </c>
      <c r="CO100" s="46">
        <f t="shared" ca="1" si="168"/>
        <v>0</v>
      </c>
    </row>
    <row r="101" spans="1:93" s="46" customFormat="1" ht="12.5">
      <c r="C101" s="46" t="s">
        <v>328</v>
      </c>
      <c r="G101" s="89" t="str">
        <f>Monetary_Unit</f>
        <v>тыс. руб.</v>
      </c>
      <c r="I101" s="46">
        <f ca="1">SUM(L101:CQ101)</f>
        <v>0</v>
      </c>
      <c r="L101" s="46">
        <f ca="1">(Cash_EoP-Расчеты!L1311)*(ABS((Cash_EoP-Расчеты!L1311)&gt;Accuracy))</f>
        <v>0</v>
      </c>
      <c r="M101" s="46">
        <f ca="1">(Cash_EoP-Расчеты!M1311)*(ABS((Cash_EoP-Расчеты!M1311)&gt;Accuracy))</f>
        <v>0</v>
      </c>
      <c r="N101" s="46">
        <f ca="1">(Cash_EoP-Расчеты!N1311)*(ABS((Cash_EoP-Расчеты!N1311)&gt;Accuracy))</f>
        <v>0</v>
      </c>
      <c r="O101" s="46">
        <f ca="1">(Cash_EoP-Расчеты!O1311)*(ABS((Cash_EoP-Расчеты!O1311)&gt;Accuracy))</f>
        <v>0</v>
      </c>
      <c r="P101" s="46">
        <f ca="1">(Cash_EoP-Расчеты!P1311)*(ABS((Cash_EoP-Расчеты!P1311)&gt;Accuracy))</f>
        <v>0</v>
      </c>
      <c r="Q101" s="46">
        <f ca="1">(Cash_EoP-Расчеты!Q1311)*(ABS((Cash_EoP-Расчеты!Q1311)&gt;Accuracy))</f>
        <v>0</v>
      </c>
      <c r="R101" s="46">
        <f ca="1">(Cash_EoP-Расчеты!R1311)*(ABS((Cash_EoP-Расчеты!R1311)&gt;Accuracy))</f>
        <v>0</v>
      </c>
      <c r="S101" s="46">
        <f ca="1">(Cash_EoP-Расчеты!S1311)*(ABS((Cash_EoP-Расчеты!S1311)&gt;Accuracy))</f>
        <v>0</v>
      </c>
      <c r="T101" s="46">
        <f ca="1">(Cash_EoP-Расчеты!T1311)*(ABS((Cash_EoP-Расчеты!T1311)&gt;Accuracy))</f>
        <v>0</v>
      </c>
      <c r="U101" s="46">
        <f ca="1">(Cash_EoP-Расчеты!U1311)*(ABS((Cash_EoP-Расчеты!U1311)&gt;Accuracy))</f>
        <v>0</v>
      </c>
      <c r="V101" s="46">
        <f ca="1">(Cash_EoP-Расчеты!V1311)*(ABS((Cash_EoP-Расчеты!V1311)&gt;Accuracy))</f>
        <v>0</v>
      </c>
      <c r="W101" s="46">
        <f ca="1">(Cash_EoP-Расчеты!W1311)*(ABS((Cash_EoP-Расчеты!W1311)&gt;Accuracy))</f>
        <v>0</v>
      </c>
      <c r="X101" s="46">
        <f ca="1">(Cash_EoP-Расчеты!X1311)*(ABS((Cash_EoP-Расчеты!X1311)&gt;Accuracy))</f>
        <v>0</v>
      </c>
      <c r="Y101" s="46">
        <f ca="1">(Cash_EoP-Расчеты!Y1311)*(ABS((Cash_EoP-Расчеты!Y1311)&gt;Accuracy))</f>
        <v>0</v>
      </c>
      <c r="Z101" s="46">
        <f ca="1">(Cash_EoP-Расчеты!Z1311)*(ABS((Cash_EoP-Расчеты!Z1311)&gt;Accuracy))</f>
        <v>0</v>
      </c>
      <c r="AA101" s="46">
        <f ca="1">(Cash_EoP-Расчеты!AA1311)*(ABS((Cash_EoP-Расчеты!AA1311)&gt;Accuracy))</f>
        <v>0</v>
      </c>
      <c r="AB101" s="46">
        <f ca="1">(Cash_EoP-Расчеты!AB1311)*(ABS((Cash_EoP-Расчеты!AB1311)&gt;Accuracy))</f>
        <v>0</v>
      </c>
      <c r="AC101" s="46">
        <f ca="1">(Cash_EoP-Расчеты!AC1311)*(ABS((Cash_EoP-Расчеты!AC1311)&gt;Accuracy))</f>
        <v>0</v>
      </c>
      <c r="AD101" s="46">
        <f ca="1">(Cash_EoP-Расчеты!AD1311)*(ABS((Cash_EoP-Расчеты!AD1311)&gt;Accuracy))</f>
        <v>0</v>
      </c>
      <c r="AE101" s="46">
        <f ca="1">(Cash_EoP-Расчеты!AE1311)*(ABS((Cash_EoP-Расчеты!AE1311)&gt;Accuracy))</f>
        <v>0</v>
      </c>
      <c r="AF101" s="46">
        <f ca="1">(Cash_EoP-Расчеты!AF1311)*(ABS((Cash_EoP-Расчеты!AF1311)&gt;Accuracy))</f>
        <v>0</v>
      </c>
      <c r="AG101" s="46">
        <f ca="1">(Cash_EoP-Расчеты!AG1311)*(ABS((Cash_EoP-Расчеты!AG1311)&gt;Accuracy))</f>
        <v>0</v>
      </c>
      <c r="AH101" s="46">
        <f ca="1">(Cash_EoP-Расчеты!AH1311)*(ABS((Cash_EoP-Расчеты!AH1311)&gt;Accuracy))</f>
        <v>0</v>
      </c>
      <c r="AI101" s="46">
        <f ca="1">(Cash_EoP-Расчеты!AI1311)*(ABS((Cash_EoP-Расчеты!AI1311)&gt;Accuracy))</f>
        <v>0</v>
      </c>
      <c r="AJ101" s="46">
        <f ca="1">(Cash_EoP-Расчеты!AJ1311)*(ABS((Cash_EoP-Расчеты!AJ1311)&gt;Accuracy))</f>
        <v>0</v>
      </c>
      <c r="AK101" s="46">
        <f ca="1">(Cash_EoP-Расчеты!AK1311)*(ABS((Cash_EoP-Расчеты!AK1311)&gt;Accuracy))</f>
        <v>0</v>
      </c>
      <c r="AL101" s="46">
        <f ca="1">(Cash_EoP-Расчеты!AL1311)*(ABS((Cash_EoP-Расчеты!AL1311)&gt;Accuracy))</f>
        <v>0</v>
      </c>
      <c r="AM101" s="46">
        <f ca="1">(Cash_EoP-Расчеты!AM1311)*(ABS((Cash_EoP-Расчеты!AM1311)&gt;Accuracy))</f>
        <v>0</v>
      </c>
      <c r="AN101" s="46">
        <f ca="1">(Cash_EoP-Расчеты!AN1311)*(ABS((Cash_EoP-Расчеты!AN1311)&gt;Accuracy))</f>
        <v>0</v>
      </c>
      <c r="AO101" s="46">
        <f ca="1">(Cash_EoP-Расчеты!AO1311)*(ABS((Cash_EoP-Расчеты!AO1311)&gt;Accuracy))</f>
        <v>0</v>
      </c>
      <c r="AP101" s="46">
        <f ca="1">(Cash_EoP-Расчеты!AP1311)*(ABS((Cash_EoP-Расчеты!AP1311)&gt;Accuracy))</f>
        <v>0</v>
      </c>
      <c r="AQ101" s="46">
        <f ca="1">(Cash_EoP-Расчеты!AQ1311)*(ABS((Cash_EoP-Расчеты!AQ1311)&gt;Accuracy))</f>
        <v>0</v>
      </c>
      <c r="AR101" s="46">
        <f ca="1">(Cash_EoP-Расчеты!AR1311)*(ABS((Cash_EoP-Расчеты!AR1311)&gt;Accuracy))</f>
        <v>0</v>
      </c>
      <c r="AS101" s="46">
        <f ca="1">(Cash_EoP-Расчеты!AS1311)*(ABS((Cash_EoP-Расчеты!AS1311)&gt;Accuracy))</f>
        <v>0</v>
      </c>
      <c r="AT101" s="46">
        <f ca="1">(Cash_EoP-Расчеты!AT1311)*(ABS((Cash_EoP-Расчеты!AT1311)&gt;Accuracy))</f>
        <v>0</v>
      </c>
      <c r="AU101" s="46">
        <f ca="1">(Cash_EoP-Расчеты!AU1311)*(ABS((Cash_EoP-Расчеты!AU1311)&gt;Accuracy))</f>
        <v>0</v>
      </c>
      <c r="AV101" s="46">
        <f ca="1">(Cash_EoP-Расчеты!AV1311)*(ABS((Cash_EoP-Расчеты!AV1311)&gt;Accuracy))</f>
        <v>0</v>
      </c>
      <c r="AW101" s="46">
        <f ca="1">(Cash_EoP-Расчеты!AW1311)*(ABS((Cash_EoP-Расчеты!AW1311)&gt;Accuracy))</f>
        <v>0</v>
      </c>
      <c r="AX101" s="46">
        <f ca="1">(Cash_EoP-Расчеты!AX1311)*(ABS((Cash_EoP-Расчеты!AX1311)&gt;Accuracy))</f>
        <v>0</v>
      </c>
      <c r="AY101" s="46">
        <f ca="1">(Cash_EoP-Расчеты!AY1311)*(ABS((Cash_EoP-Расчеты!AY1311)&gt;Accuracy))</f>
        <v>0</v>
      </c>
      <c r="AZ101" s="46">
        <f ca="1">(Cash_EoP-Расчеты!AZ1311)*(ABS((Cash_EoP-Расчеты!AZ1311)&gt;Accuracy))</f>
        <v>0</v>
      </c>
      <c r="BA101" s="46">
        <f ca="1">(Cash_EoP-Расчеты!BA1311)*(ABS((Cash_EoP-Расчеты!BA1311)&gt;Accuracy))</f>
        <v>0</v>
      </c>
      <c r="BB101" s="46">
        <f ca="1">(Cash_EoP-Расчеты!BB1311)*(ABS((Cash_EoP-Расчеты!BB1311)&gt;Accuracy))</f>
        <v>0</v>
      </c>
      <c r="BC101" s="46">
        <f ca="1">(Cash_EoP-Расчеты!BC1311)*(ABS((Cash_EoP-Расчеты!BC1311)&gt;Accuracy))</f>
        <v>0</v>
      </c>
      <c r="BD101" s="46">
        <f ca="1">(Cash_EoP-Расчеты!BD1311)*(ABS((Cash_EoP-Расчеты!BD1311)&gt;Accuracy))</f>
        <v>0</v>
      </c>
      <c r="BE101" s="46">
        <f ca="1">(Cash_EoP-Расчеты!BE1311)*(ABS((Cash_EoP-Расчеты!BE1311)&gt;Accuracy))</f>
        <v>0</v>
      </c>
      <c r="BF101" s="46">
        <f ca="1">(Cash_EoP-Расчеты!BF1311)*(ABS((Cash_EoP-Расчеты!BF1311)&gt;Accuracy))</f>
        <v>0</v>
      </c>
      <c r="BG101" s="46">
        <f ca="1">(Cash_EoP-Расчеты!BG1311)*(ABS((Cash_EoP-Расчеты!BG1311)&gt;Accuracy))</f>
        <v>0</v>
      </c>
      <c r="BH101" s="46">
        <f ca="1">(Cash_EoP-Расчеты!BH1311)*(ABS((Cash_EoP-Расчеты!BH1311)&gt;Accuracy))</f>
        <v>0</v>
      </c>
      <c r="BI101" s="46">
        <f ca="1">(Cash_EoP-Расчеты!BI1311)*(ABS((Cash_EoP-Расчеты!BI1311)&gt;Accuracy))</f>
        <v>0</v>
      </c>
      <c r="BJ101" s="46">
        <f ca="1">(Cash_EoP-Расчеты!BJ1311)*(ABS((Cash_EoP-Расчеты!BJ1311)&gt;Accuracy))</f>
        <v>0</v>
      </c>
      <c r="BK101" s="46">
        <f ca="1">(Cash_EoP-Расчеты!BK1311)*(ABS((Cash_EoP-Расчеты!BK1311)&gt;Accuracy))</f>
        <v>0</v>
      </c>
      <c r="BL101" s="46">
        <f ca="1">(Cash_EoP-Расчеты!BL1311)*(ABS((Cash_EoP-Расчеты!BL1311)&gt;Accuracy))</f>
        <v>0</v>
      </c>
      <c r="BM101" s="46">
        <f ca="1">(Cash_EoP-Расчеты!BM1311)*(ABS((Cash_EoP-Расчеты!BM1311)&gt;Accuracy))</f>
        <v>0</v>
      </c>
      <c r="BN101" s="46">
        <f ca="1">(Cash_EoP-Расчеты!BN1311)*(ABS((Cash_EoP-Расчеты!BN1311)&gt;Accuracy))</f>
        <v>0</v>
      </c>
      <c r="BO101" s="46">
        <f ca="1">(Cash_EoP-Расчеты!BO1311)*(ABS((Cash_EoP-Расчеты!BO1311)&gt;Accuracy))</f>
        <v>0</v>
      </c>
      <c r="BP101" s="46">
        <f ca="1">(Cash_EoP-Расчеты!BP1311)*(ABS((Cash_EoP-Расчеты!BP1311)&gt;Accuracy))</f>
        <v>0</v>
      </c>
      <c r="BQ101" s="46">
        <f ca="1">(Cash_EoP-Расчеты!BQ1311)*(ABS((Cash_EoP-Расчеты!BQ1311)&gt;Accuracy))</f>
        <v>0</v>
      </c>
      <c r="BR101" s="46">
        <f ca="1">(Cash_EoP-Расчеты!BR1311)*(ABS((Cash_EoP-Расчеты!BR1311)&gt;Accuracy))</f>
        <v>0</v>
      </c>
      <c r="BS101" s="46">
        <f ca="1">(Cash_EoP-Расчеты!BS1311)*(ABS((Cash_EoP-Расчеты!BS1311)&gt;Accuracy))</f>
        <v>0</v>
      </c>
      <c r="BT101" s="46">
        <f ca="1">(Cash_EoP-Расчеты!BT1311)*(ABS((Cash_EoP-Расчеты!BT1311)&gt;Accuracy))</f>
        <v>0</v>
      </c>
      <c r="BU101" s="46">
        <f ca="1">(Cash_EoP-Расчеты!BU1311)*(ABS((Cash_EoP-Расчеты!BU1311)&gt;Accuracy))</f>
        <v>0</v>
      </c>
      <c r="BV101" s="46">
        <f ca="1">(Cash_EoP-Расчеты!BV1311)*(ABS((Cash_EoP-Расчеты!BV1311)&gt;Accuracy))</f>
        <v>0</v>
      </c>
      <c r="BW101" s="46">
        <f ca="1">(Cash_EoP-Расчеты!BW1311)*(ABS((Cash_EoP-Расчеты!BW1311)&gt;Accuracy))</f>
        <v>0</v>
      </c>
      <c r="BX101" s="46">
        <f ca="1">(Cash_EoP-Расчеты!BX1311)*(ABS((Cash_EoP-Расчеты!BX1311)&gt;Accuracy))</f>
        <v>0</v>
      </c>
      <c r="BY101" s="46">
        <f ca="1">(Cash_EoP-Расчеты!BY1311)*(ABS((Cash_EoP-Расчеты!BY1311)&gt;Accuracy))</f>
        <v>0</v>
      </c>
      <c r="BZ101" s="46">
        <f ca="1">(Cash_EoP-Расчеты!BZ1311)*(ABS((Cash_EoP-Расчеты!BZ1311)&gt;Accuracy))</f>
        <v>0</v>
      </c>
      <c r="CA101" s="46">
        <f ca="1">(Cash_EoP-Расчеты!CA1311)*(ABS((Cash_EoP-Расчеты!CA1311)&gt;Accuracy))</f>
        <v>0</v>
      </c>
      <c r="CB101" s="46">
        <f ca="1">(Cash_EoP-Расчеты!CB1311)*(ABS((Cash_EoP-Расчеты!CB1311)&gt;Accuracy))</f>
        <v>0</v>
      </c>
      <c r="CC101" s="46">
        <f ca="1">(Cash_EoP-Расчеты!CC1311)*(ABS((Cash_EoP-Расчеты!CC1311)&gt;Accuracy))</f>
        <v>0</v>
      </c>
      <c r="CD101" s="46">
        <f ca="1">(Cash_EoP-Расчеты!CD1311)*(ABS((Cash_EoP-Расчеты!CD1311)&gt;Accuracy))</f>
        <v>0</v>
      </c>
      <c r="CE101" s="46">
        <f ca="1">(Cash_EoP-Расчеты!CE1311)*(ABS((Cash_EoP-Расчеты!CE1311)&gt;Accuracy))</f>
        <v>0</v>
      </c>
      <c r="CF101" s="46">
        <f ca="1">(Cash_EoP-Расчеты!CF1311)*(ABS((Cash_EoP-Расчеты!CF1311)&gt;Accuracy))</f>
        <v>0</v>
      </c>
      <c r="CG101" s="46">
        <f ca="1">(Cash_EoP-Расчеты!CG1311)*(ABS((Cash_EoP-Расчеты!CG1311)&gt;Accuracy))</f>
        <v>0</v>
      </c>
      <c r="CH101" s="46">
        <f ca="1">(Cash_EoP-Расчеты!CH1311)*(ABS((Cash_EoP-Расчеты!CH1311)&gt;Accuracy))</f>
        <v>0</v>
      </c>
      <c r="CI101" s="46">
        <f ca="1">(Cash_EoP-Расчеты!CI1311)*(ABS((Cash_EoP-Расчеты!CI1311)&gt;Accuracy))</f>
        <v>0</v>
      </c>
      <c r="CJ101" s="46">
        <f ca="1">(Cash_EoP-Расчеты!CJ1311)*(ABS((Cash_EoP-Расчеты!CJ1311)&gt;Accuracy))</f>
        <v>0</v>
      </c>
      <c r="CK101" s="46">
        <f ca="1">(Cash_EoP-Расчеты!CK1311)*(ABS((Cash_EoP-Расчеты!CK1311)&gt;Accuracy))</f>
        <v>0</v>
      </c>
      <c r="CL101" s="46">
        <f ca="1">(Cash_EoP-Расчеты!CL1311)*(ABS((Cash_EoP-Расчеты!CL1311)&gt;Accuracy))</f>
        <v>0</v>
      </c>
      <c r="CM101" s="46">
        <f ca="1">(Cash_EoP-Расчеты!CM1311)*(ABS((Cash_EoP-Расчеты!CM1311)&gt;Accuracy))</f>
        <v>0</v>
      </c>
      <c r="CN101" s="46">
        <f ca="1">(Cash_EoP-Расчеты!CN1311)*(ABS((Cash_EoP-Расчеты!CN1311)&gt;Accuracy))</f>
        <v>0</v>
      </c>
      <c r="CO101" s="46">
        <f ca="1">(Cash_EoP-Расчеты!CO1311)*(ABS((Cash_EoP-Расчеты!CO1311)&gt;Accuracy))</f>
        <v>0</v>
      </c>
    </row>
    <row r="102" spans="1:93" s="76" customFormat="1" ht="13">
      <c r="A102" s="73"/>
      <c r="B102" s="73"/>
      <c r="C102" s="73"/>
      <c r="D102" s="73"/>
      <c r="E102" s="73"/>
      <c r="F102" s="73"/>
      <c r="G102" s="72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</row>
  </sheetData>
  <conditionalFormatting sqref="L9:CO9">
    <cfRule type="cellIs" dxfId="22" priority="3" operator="equal">
      <formula>2</formula>
    </cfRule>
    <cfRule type="cellIs" dxfId="21" priority="4" operator="equal">
      <formula>1</formula>
    </cfRule>
  </conditionalFormatting>
  <conditionalFormatting sqref="E4">
    <cfRule type="cellIs" dxfId="20" priority="1" operator="equal">
      <formula>FALSE</formula>
    </cfRule>
    <cfRule type="cellIs" dxfId="19" priority="2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8" scale="17" fitToHeight="0" orientation="landscape" r:id="rId1"/>
  <rowBreaks count="2" manualBreakCount="2">
    <brk id="40" max="16383" man="1"/>
    <brk id="64" max="16383" man="1"/>
  </rowBreaks>
  <colBreaks count="1" manualBreakCount="1">
    <brk id="45" max="1048575" man="1"/>
  </colBreaks>
  <ignoredErrors>
    <ignoredError sqref="L47:CO47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 tint="0.79998168889431442"/>
  </sheetPr>
  <dimension ref="A1:I38"/>
  <sheetViews>
    <sheetView zoomScale="70" zoomScaleNormal="70" workbookViewId="0">
      <selection activeCell="C14" sqref="C14"/>
    </sheetView>
  </sheetViews>
  <sheetFormatPr defaultColWidth="0" defaultRowHeight="14.5" zeroHeight="1"/>
  <cols>
    <col min="1" max="1" width="2.54296875" customWidth="1"/>
    <col min="2" max="2" width="69.453125" customWidth="1"/>
    <col min="3" max="3" width="21.7265625" customWidth="1"/>
    <col min="4" max="5" width="2.7265625" customWidth="1"/>
    <col min="6" max="9" width="0" hidden="1" customWidth="1"/>
    <col min="10" max="16384" width="9.26953125" hidden="1"/>
  </cols>
  <sheetData>
    <row r="1" spans="1:5">
      <c r="A1" s="10"/>
      <c r="B1" s="10"/>
      <c r="C1" s="10"/>
      <c r="D1" s="10"/>
      <c r="E1" s="10"/>
    </row>
    <row r="2" spans="1:5" ht="26.25" customHeight="1">
      <c r="A2" s="10"/>
      <c r="B2" s="5" t="str">
        <f xml:space="preserve"> "Проект «" &amp; Name_Model &amp; "»"</f>
        <v>Проект «Гостиница UAI 5*»</v>
      </c>
      <c r="C2" s="15"/>
      <c r="D2" s="15"/>
      <c r="E2" s="10"/>
    </row>
    <row r="3" spans="1:5" s="18" customFormat="1" ht="15" customHeight="1">
      <c r="A3" s="9"/>
      <c r="B3" s="9"/>
      <c r="C3" s="9"/>
      <c r="D3" s="9"/>
      <c r="E3" s="9"/>
    </row>
    <row r="4" spans="1:5" s="18" customFormat="1" ht="15" customHeight="1" thickBot="1">
      <c r="A4" s="9"/>
      <c r="B4" s="86" t="s">
        <v>314</v>
      </c>
      <c r="C4" s="9"/>
      <c r="D4" s="9"/>
      <c r="E4" s="9"/>
    </row>
    <row r="5" spans="1:5" s="18" customFormat="1" ht="15" customHeight="1" thickTop="1">
      <c r="A5" s="9"/>
      <c r="B5" s="9"/>
      <c r="C5" s="9"/>
      <c r="D5" s="9"/>
      <c r="E5" s="9"/>
    </row>
    <row r="6" spans="1:5" s="18" customFormat="1" ht="15" customHeight="1">
      <c r="A6" s="9"/>
      <c r="B6" s="55" t="str">
        <f xml:space="preserve"> "Финансовая модель (версия №" &amp; Предпосылки!E14 &amp; ")"</f>
        <v>Финансовая модель (версия №1)</v>
      </c>
      <c r="C6" s="9"/>
      <c r="D6" s="9"/>
      <c r="E6" s="9"/>
    </row>
    <row r="7" spans="1:5" s="18" customFormat="1" ht="15" customHeight="1">
      <c r="A7" s="9"/>
      <c r="B7" s="55"/>
      <c r="C7" s="9"/>
      <c r="D7" s="9"/>
      <c r="E7" s="9"/>
    </row>
    <row r="8" spans="1:5" s="18" customFormat="1" ht="15" customHeight="1">
      <c r="A8" s="9"/>
      <c r="B8" s="56" t="s">
        <v>41</v>
      </c>
      <c r="C8" s="9"/>
      <c r="D8" s="9"/>
      <c r="E8" s="9"/>
    </row>
    <row r="9" spans="1:5" s="18" customFormat="1" ht="15" customHeight="1">
      <c r="A9" s="9"/>
      <c r="B9" s="57" t="s">
        <v>42</v>
      </c>
      <c r="C9" s="19">
        <f ca="1" xml:space="preserve"> Отчетность!I100</f>
        <v>0</v>
      </c>
      <c r="D9" s="9"/>
      <c r="E9" s="9"/>
    </row>
    <row r="10" spans="1:5" s="18" customFormat="1" ht="15" customHeight="1">
      <c r="A10" s="9"/>
      <c r="B10" s="57" t="s">
        <v>351</v>
      </c>
      <c r="C10" s="19">
        <f ca="1" xml:space="preserve"> Check_Balance_1</f>
        <v>0</v>
      </c>
      <c r="D10" s="9"/>
      <c r="E10" s="9"/>
    </row>
    <row r="11" spans="1:5" s="18" customFormat="1" ht="15" customHeight="1">
      <c r="A11" s="9"/>
      <c r="B11" s="57" t="s">
        <v>352</v>
      </c>
      <c r="C11" s="19">
        <f ca="1" xml:space="preserve"> Check_Balance_2</f>
        <v>0</v>
      </c>
      <c r="D11" s="9"/>
      <c r="E11" s="9"/>
    </row>
    <row r="12" spans="1:5" s="18" customFormat="1" ht="15" customHeight="1">
      <c r="A12" s="9"/>
      <c r="B12" s="57" t="s">
        <v>353</v>
      </c>
      <c r="C12" s="19">
        <f ca="1" xml:space="preserve"> Отчетность!I99</f>
        <v>0</v>
      </c>
      <c r="D12" s="9"/>
      <c r="E12" s="9"/>
    </row>
    <row r="13" spans="1:5" s="18" customFormat="1" ht="15" customHeight="1">
      <c r="A13" s="9"/>
      <c r="B13" s="57" t="s">
        <v>43</v>
      </c>
      <c r="C13" s="19">
        <f ca="1" xml:space="preserve"> Отчетность!I101</f>
        <v>0</v>
      </c>
      <c r="D13" s="9"/>
      <c r="E13" s="9"/>
    </row>
    <row r="14" spans="1:5" s="18" customFormat="1" ht="15" customHeight="1">
      <c r="A14" s="9"/>
      <c r="B14" s="57" t="s">
        <v>350</v>
      </c>
      <c r="C14" s="19">
        <f ca="1" xml:space="preserve"> ABS(Расчеты!I1343)+ABS(Финансирование!I48)</f>
        <v>0</v>
      </c>
      <c r="D14" s="9"/>
      <c r="E14" s="9"/>
    </row>
    <row r="15" spans="1:5" s="18" customFormat="1" ht="15" customHeight="1">
      <c r="A15" s="9"/>
      <c r="B15" s="57" t="s">
        <v>268</v>
      </c>
      <c r="C15" s="19">
        <f ca="1" xml:space="preserve"> Funding_Requirement_Check + Subord_Interest_Check</f>
        <v>0</v>
      </c>
      <c r="D15" s="9"/>
      <c r="E15" s="9"/>
    </row>
    <row r="16" spans="1:5" s="18" customFormat="1" ht="15" customHeight="1">
      <c r="A16" s="9"/>
      <c r="B16" s="57" t="s">
        <v>297</v>
      </c>
      <c r="C16" s="19">
        <f>ROUND(SUM(Расчеты!I1163:I1164),0)</f>
        <v>0</v>
      </c>
      <c r="D16" s="9"/>
      <c r="E16" s="9"/>
    </row>
    <row r="17" spans="1:5" s="18" customFormat="1" ht="15" customHeight="1">
      <c r="A17" s="9"/>
      <c r="B17" s="57" t="s">
        <v>354</v>
      </c>
      <c r="C17" s="19">
        <f ca="1" xml:space="preserve"> SUM(Расчеты!I1251:I1254)</f>
        <v>0</v>
      </c>
      <c r="D17" s="9"/>
      <c r="E17" s="9"/>
    </row>
    <row r="18" spans="1:5" s="18" customFormat="1" ht="15" customHeight="1">
      <c r="A18" s="9"/>
      <c r="B18" s="9"/>
      <c r="C18" s="9"/>
      <c r="D18" s="9"/>
      <c r="E18" s="9"/>
    </row>
    <row r="19" spans="1:5" s="18" customFormat="1" ht="15" customHeight="1">
      <c r="A19" s="9"/>
      <c r="B19" s="20" t="s">
        <v>408</v>
      </c>
      <c r="C19" s="166" t="b">
        <f ca="1">SUM(C9:C17)=0</f>
        <v>1</v>
      </c>
      <c r="D19" s="9"/>
      <c r="E19" s="9"/>
    </row>
    <row r="20" spans="1:5" s="18" customFormat="1" ht="15" customHeight="1">
      <c r="A20" s="9"/>
      <c r="B20" s="9"/>
      <c r="C20" s="9"/>
      <c r="D20" s="9"/>
      <c r="E20" s="9"/>
    </row>
    <row r="21" spans="1:5" s="18" customFormat="1" ht="15" hidden="1" customHeight="1">
      <c r="A21" s="9"/>
      <c r="B21" s="9"/>
      <c r="C21" s="9"/>
      <c r="D21" s="9"/>
      <c r="E21" s="9"/>
    </row>
    <row r="22" spans="1:5" s="18" customFormat="1" ht="15" hidden="1" customHeight="1">
      <c r="A22" s="9"/>
      <c r="B22" s="9"/>
      <c r="C22" s="9"/>
      <c r="D22" s="9"/>
      <c r="E22" s="9"/>
    </row>
    <row r="23" spans="1:5" s="18" customFormat="1" ht="15" hidden="1" customHeight="1">
      <c r="A23" s="9"/>
      <c r="B23" s="9"/>
      <c r="C23" s="9"/>
      <c r="D23" s="9"/>
      <c r="E23" s="9"/>
    </row>
    <row r="24" spans="1:5" s="18" customFormat="1" ht="15" hidden="1" customHeight="1">
      <c r="A24" s="9"/>
      <c r="B24" s="9"/>
      <c r="C24" s="9"/>
      <c r="D24" s="9"/>
      <c r="E24" s="9"/>
    </row>
    <row r="25" spans="1:5" s="18" customFormat="1" ht="15" hidden="1" customHeight="1">
      <c r="A25" s="9"/>
      <c r="B25" s="9"/>
      <c r="C25" s="9"/>
      <c r="D25" s="9"/>
      <c r="E25" s="9"/>
    </row>
    <row r="26" spans="1:5" s="18" customFormat="1" ht="15" hidden="1" customHeight="1">
      <c r="A26" s="9"/>
      <c r="B26" s="9"/>
      <c r="C26" s="9"/>
      <c r="D26" s="9"/>
      <c r="E26" s="9"/>
    </row>
    <row r="27" spans="1:5" ht="15" hidden="1" customHeight="1">
      <c r="A27" s="10"/>
      <c r="B27" s="10"/>
      <c r="C27" s="10"/>
      <c r="D27" s="10"/>
      <c r="E27" s="10"/>
    </row>
    <row r="28" spans="1:5" hidden="1">
      <c r="A28" s="10"/>
      <c r="B28" s="10"/>
      <c r="C28" s="10"/>
      <c r="D28" s="10"/>
      <c r="E28" s="10"/>
    </row>
    <row r="29" spans="1:5" hidden="1">
      <c r="A29" s="10"/>
      <c r="B29" s="10"/>
      <c r="C29" s="10"/>
      <c r="D29" s="10"/>
      <c r="E29" s="10"/>
    </row>
    <row r="30" spans="1:5" hidden="1">
      <c r="A30" s="10"/>
      <c r="B30" s="10"/>
      <c r="C30" s="10"/>
      <c r="D30" s="10"/>
      <c r="E30" s="10"/>
    </row>
    <row r="31" spans="1:5" hidden="1">
      <c r="A31" s="10"/>
      <c r="B31" s="10"/>
      <c r="C31" s="10"/>
      <c r="D31" s="10"/>
      <c r="E31" s="10"/>
    </row>
    <row r="32" spans="1:5" hidden="1">
      <c r="A32" s="10"/>
      <c r="B32" s="10"/>
      <c r="C32" s="10"/>
      <c r="D32" s="10"/>
      <c r="E32" s="10"/>
    </row>
    <row r="33" spans="1:5" hidden="1">
      <c r="A33" s="10"/>
      <c r="B33" s="10"/>
      <c r="C33" s="10"/>
      <c r="D33" s="10"/>
      <c r="E33" s="10"/>
    </row>
    <row r="34" spans="1:5" hidden="1">
      <c r="A34" s="10"/>
      <c r="B34" s="10"/>
      <c r="C34" s="10"/>
      <c r="D34" s="10"/>
      <c r="E34" s="10"/>
    </row>
    <row r="35" spans="1:5" hidden="1">
      <c r="A35" s="10"/>
      <c r="B35" s="10"/>
      <c r="C35" s="10"/>
      <c r="D35" s="10"/>
      <c r="E35" s="10"/>
    </row>
    <row r="36" spans="1:5" hidden="1">
      <c r="A36" s="10"/>
      <c r="B36" s="10"/>
      <c r="C36" s="10"/>
      <c r="D36" s="10"/>
      <c r="E36" s="10"/>
    </row>
    <row r="37" spans="1:5" hidden="1">
      <c r="A37" s="10"/>
      <c r="B37" s="10"/>
      <c r="C37" s="10"/>
      <c r="D37" s="10"/>
      <c r="E37" s="10"/>
    </row>
    <row r="38" spans="1:5" hidden="1">
      <c r="A38" s="10"/>
      <c r="B38" s="10"/>
      <c r="C38" s="10"/>
      <c r="D38" s="10"/>
      <c r="E38" s="10"/>
    </row>
  </sheetData>
  <conditionalFormatting sqref="C19">
    <cfRule type="cellIs" dxfId="18" priority="3" operator="equal">
      <formula>FALSE</formula>
    </cfRule>
    <cfRule type="cellIs" dxfId="17" priority="4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3" tint="0.79998168889431442"/>
  </sheetPr>
  <dimension ref="A1:BK50"/>
  <sheetViews>
    <sheetView view="pageBreakPreview" zoomScale="70" zoomScaleNormal="60" zoomScaleSheetLayoutView="70" workbookViewId="0">
      <pane xSplit="11" ySplit="8" topLeftCell="L9" activePane="bottomRight" state="frozen"/>
      <selection pane="topRight"/>
      <selection pane="bottomLeft"/>
      <selection pane="bottomRight" activeCell="G1" sqref="G1"/>
    </sheetView>
  </sheetViews>
  <sheetFormatPr defaultColWidth="0" defaultRowHeight="14.5" zeroHeight="1"/>
  <cols>
    <col min="1" max="2" width="2.26953125" customWidth="1"/>
    <col min="3" max="3" width="43" customWidth="1"/>
    <col min="4" max="5" width="13" customWidth="1"/>
    <col min="6" max="6" width="2.26953125" customWidth="1"/>
    <col min="7" max="7" width="9.26953125" style="25" customWidth="1"/>
    <col min="8" max="8" width="2.26953125" customWidth="1"/>
    <col min="9" max="9" width="12.26953125" customWidth="1"/>
    <col min="10" max="11" width="2.26953125" customWidth="1"/>
    <col min="12" max="37" width="11.453125" customWidth="1"/>
    <col min="38" max="38" width="1.7265625" customWidth="1"/>
    <col min="39" max="39" width="9.26953125" hidden="1" customWidth="1"/>
    <col min="40" max="63" width="0" hidden="1" customWidth="1"/>
    <col min="64" max="16384" width="8.7265625" hidden="1"/>
  </cols>
  <sheetData>
    <row r="1" spans="1:39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22.5" customHeight="1">
      <c r="A2" s="3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3"/>
    </row>
    <row r="3" spans="1:39" ht="15" customHeight="1">
      <c r="A3" s="3"/>
      <c r="B3" s="3"/>
      <c r="C3" s="3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ht="15" customHeight="1">
      <c r="A4" s="3"/>
      <c r="B4" s="16"/>
      <c r="C4" s="104" t="s">
        <v>336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5" customHeight="1">
      <c r="A5" s="3"/>
      <c r="B5" s="3"/>
      <c r="C5" s="3"/>
      <c r="D5" s="3"/>
      <c r="E5" s="3"/>
      <c r="F5" s="10"/>
      <c r="G5" s="11"/>
      <c r="H5" s="10"/>
      <c r="I5" s="10"/>
      <c r="J5" s="10"/>
      <c r="K5" s="10"/>
      <c r="L5" s="10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6" t="s">
        <v>20</v>
      </c>
      <c r="J6" s="5"/>
      <c r="K6" s="5"/>
      <c r="L6" s="5">
        <f t="shared" ref="L6" si="0" xml:space="preserve"> IF(K6="",YEAR(Beginning_of_period),K6 + 1)</f>
        <v>2025</v>
      </c>
      <c r="M6" s="5">
        <f t="shared" ref="M6" si="1" xml:space="preserve"> IF(L6="",YEAR(Beginning_of_period),L6 + 1)</f>
        <v>2026</v>
      </c>
      <c r="N6" s="5">
        <f t="shared" ref="N6" si="2" xml:space="preserve"> IF(M6="",YEAR(Beginning_of_period),M6 + 1)</f>
        <v>2027</v>
      </c>
      <c r="O6" s="5">
        <f t="shared" ref="O6" si="3" xml:space="preserve"> IF(N6="",YEAR(Beginning_of_period),N6 + 1)</f>
        <v>2028</v>
      </c>
      <c r="P6" s="5">
        <f t="shared" ref="P6" si="4" xml:space="preserve"> IF(O6="",YEAR(Beginning_of_period),O6 + 1)</f>
        <v>2029</v>
      </c>
      <c r="Q6" s="5">
        <f t="shared" ref="Q6" si="5" xml:space="preserve"> IF(P6="",YEAR(Beginning_of_period),P6 + 1)</f>
        <v>2030</v>
      </c>
      <c r="R6" s="5">
        <f t="shared" ref="R6" si="6" xml:space="preserve"> IF(Q6="",YEAR(Beginning_of_period),Q6 + 1)</f>
        <v>2031</v>
      </c>
      <c r="S6" s="5">
        <f t="shared" ref="S6" si="7" xml:space="preserve"> IF(R6="",YEAR(Beginning_of_period),R6 + 1)</f>
        <v>2032</v>
      </c>
      <c r="T6" s="5">
        <f t="shared" ref="T6" si="8" xml:space="preserve"> IF(S6="",YEAR(Beginning_of_period),S6 + 1)</f>
        <v>2033</v>
      </c>
      <c r="U6" s="5">
        <f t="shared" ref="U6" si="9" xml:space="preserve"> IF(T6="",YEAR(Beginning_of_period),T6 + 1)</f>
        <v>2034</v>
      </c>
      <c r="V6" s="5">
        <f t="shared" ref="V6" si="10" xml:space="preserve"> IF(U6="",YEAR(Beginning_of_period),U6 + 1)</f>
        <v>2035</v>
      </c>
      <c r="W6" s="5">
        <f t="shared" ref="W6" si="11" xml:space="preserve"> IF(V6="",YEAR(Beginning_of_period),V6 + 1)</f>
        <v>2036</v>
      </c>
      <c r="X6" s="5">
        <f t="shared" ref="X6" si="12" xml:space="preserve"> IF(W6="",YEAR(Beginning_of_period),W6 + 1)</f>
        <v>2037</v>
      </c>
      <c r="Y6" s="5">
        <f t="shared" ref="Y6" si="13" xml:space="preserve"> IF(X6="",YEAR(Beginning_of_period),X6 + 1)</f>
        <v>2038</v>
      </c>
      <c r="Z6" s="5">
        <f t="shared" ref="Z6:AK6" si="14" xml:space="preserve"> IF(Y6="",YEAR(Beginning_of_period),Y6 + 1)</f>
        <v>2039</v>
      </c>
      <c r="AA6" s="5">
        <f t="shared" si="14"/>
        <v>2040</v>
      </c>
      <c r="AB6" s="5">
        <f t="shared" si="14"/>
        <v>2041</v>
      </c>
      <c r="AC6" s="5">
        <f t="shared" si="14"/>
        <v>2042</v>
      </c>
      <c r="AD6" s="5">
        <f t="shared" si="14"/>
        <v>2043</v>
      </c>
      <c r="AE6" s="5">
        <f t="shared" si="14"/>
        <v>2044</v>
      </c>
      <c r="AF6" s="5">
        <f t="shared" si="14"/>
        <v>2045</v>
      </c>
      <c r="AG6" s="5">
        <f t="shared" si="14"/>
        <v>2046</v>
      </c>
      <c r="AH6" s="5">
        <f t="shared" si="14"/>
        <v>2047</v>
      </c>
      <c r="AI6" s="5">
        <f t="shared" si="14"/>
        <v>2048</v>
      </c>
      <c r="AJ6" s="5">
        <f t="shared" si="14"/>
        <v>2049</v>
      </c>
      <c r="AK6" s="5">
        <f t="shared" si="14"/>
        <v>2050</v>
      </c>
      <c r="AL6" s="5"/>
      <c r="AM6" s="3"/>
    </row>
    <row r="7" spans="1:39" s="93" customFormat="1" ht="15" customHeight="1">
      <c r="A7" s="88"/>
      <c r="B7" s="88"/>
      <c r="C7" s="88" t="s">
        <v>380</v>
      </c>
      <c r="D7" s="88"/>
      <c r="E7" s="88"/>
      <c r="F7" s="88"/>
      <c r="G7" s="68"/>
      <c r="H7" s="88"/>
      <c r="I7" s="88"/>
      <c r="J7" s="88"/>
      <c r="K7" s="88"/>
      <c r="L7" s="92">
        <f xml:space="preserve"> DATE(L6,1,1)</f>
        <v>45658</v>
      </c>
      <c r="M7" s="92">
        <f t="shared" ref="M7:Z7" si="15" xml:space="preserve"> DATE(M6,1,1)</f>
        <v>46023</v>
      </c>
      <c r="N7" s="92">
        <f t="shared" si="15"/>
        <v>46388</v>
      </c>
      <c r="O7" s="92">
        <f t="shared" si="15"/>
        <v>46753</v>
      </c>
      <c r="P7" s="92">
        <f t="shared" si="15"/>
        <v>47119</v>
      </c>
      <c r="Q7" s="92">
        <f t="shared" si="15"/>
        <v>47484</v>
      </c>
      <c r="R7" s="92">
        <f t="shared" si="15"/>
        <v>47849</v>
      </c>
      <c r="S7" s="92">
        <f t="shared" si="15"/>
        <v>48214</v>
      </c>
      <c r="T7" s="92">
        <f t="shared" si="15"/>
        <v>48580</v>
      </c>
      <c r="U7" s="92">
        <f t="shared" si="15"/>
        <v>48945</v>
      </c>
      <c r="V7" s="92">
        <f t="shared" si="15"/>
        <v>49310</v>
      </c>
      <c r="W7" s="92">
        <f t="shared" si="15"/>
        <v>49675</v>
      </c>
      <c r="X7" s="92">
        <f t="shared" si="15"/>
        <v>50041</v>
      </c>
      <c r="Y7" s="92">
        <f t="shared" si="15"/>
        <v>50406</v>
      </c>
      <c r="Z7" s="92">
        <f t="shared" si="15"/>
        <v>50771</v>
      </c>
      <c r="AA7" s="92">
        <f t="shared" ref="AA7:AK7" si="16" xml:space="preserve"> DATE(AA6,1,1)</f>
        <v>51136</v>
      </c>
      <c r="AB7" s="92">
        <f t="shared" si="16"/>
        <v>51502</v>
      </c>
      <c r="AC7" s="92">
        <f t="shared" si="16"/>
        <v>51867</v>
      </c>
      <c r="AD7" s="92">
        <f t="shared" si="16"/>
        <v>52232</v>
      </c>
      <c r="AE7" s="92">
        <f t="shared" si="16"/>
        <v>52597</v>
      </c>
      <c r="AF7" s="92">
        <f t="shared" si="16"/>
        <v>52963</v>
      </c>
      <c r="AG7" s="92">
        <f t="shared" si="16"/>
        <v>53328</v>
      </c>
      <c r="AH7" s="92">
        <f t="shared" si="16"/>
        <v>53693</v>
      </c>
      <c r="AI7" s="92">
        <f t="shared" si="16"/>
        <v>54058</v>
      </c>
      <c r="AJ7" s="92">
        <f t="shared" si="16"/>
        <v>54424</v>
      </c>
      <c r="AK7" s="92">
        <f t="shared" si="16"/>
        <v>54789</v>
      </c>
      <c r="AL7" s="92"/>
      <c r="AM7" s="3"/>
    </row>
    <row r="8" spans="1:39" s="93" customFormat="1" ht="15" customHeight="1">
      <c r="A8" s="88"/>
      <c r="B8" s="88"/>
      <c r="C8" s="88" t="s">
        <v>381</v>
      </c>
      <c r="D8" s="88"/>
      <c r="E8" s="88"/>
      <c r="F8" s="88"/>
      <c r="G8" s="68"/>
      <c r="H8" s="88"/>
      <c r="I8" s="94"/>
      <c r="J8" s="88"/>
      <c r="K8" s="88"/>
      <c r="L8" s="92">
        <f xml:space="preserve"> DATE(L6,12,31)</f>
        <v>46022</v>
      </c>
      <c r="M8" s="92">
        <f t="shared" ref="M8:Z8" si="17" xml:space="preserve"> DATE(M6,12,31)</f>
        <v>46387</v>
      </c>
      <c r="N8" s="92">
        <f t="shared" si="17"/>
        <v>46752</v>
      </c>
      <c r="O8" s="92">
        <f t="shared" si="17"/>
        <v>47118</v>
      </c>
      <c r="P8" s="92">
        <f t="shared" si="17"/>
        <v>47483</v>
      </c>
      <c r="Q8" s="92">
        <f t="shared" si="17"/>
        <v>47848</v>
      </c>
      <c r="R8" s="92">
        <f t="shared" si="17"/>
        <v>48213</v>
      </c>
      <c r="S8" s="92">
        <f t="shared" si="17"/>
        <v>48579</v>
      </c>
      <c r="T8" s="92">
        <f t="shared" si="17"/>
        <v>48944</v>
      </c>
      <c r="U8" s="92">
        <f t="shared" si="17"/>
        <v>49309</v>
      </c>
      <c r="V8" s="92">
        <f t="shared" si="17"/>
        <v>49674</v>
      </c>
      <c r="W8" s="92">
        <f t="shared" si="17"/>
        <v>50040</v>
      </c>
      <c r="X8" s="92">
        <f t="shared" si="17"/>
        <v>50405</v>
      </c>
      <c r="Y8" s="92">
        <f t="shared" si="17"/>
        <v>50770</v>
      </c>
      <c r="Z8" s="92">
        <f t="shared" si="17"/>
        <v>51135</v>
      </c>
      <c r="AA8" s="92">
        <f t="shared" ref="AA8:AK8" si="18" xml:space="preserve"> DATE(AA6,12,31)</f>
        <v>51501</v>
      </c>
      <c r="AB8" s="92">
        <f t="shared" si="18"/>
        <v>51866</v>
      </c>
      <c r="AC8" s="92">
        <f t="shared" si="18"/>
        <v>52231</v>
      </c>
      <c r="AD8" s="92">
        <f t="shared" si="18"/>
        <v>52596</v>
      </c>
      <c r="AE8" s="92">
        <f t="shared" si="18"/>
        <v>52962</v>
      </c>
      <c r="AF8" s="92">
        <f t="shared" si="18"/>
        <v>53327</v>
      </c>
      <c r="AG8" s="92">
        <f t="shared" si="18"/>
        <v>53692</v>
      </c>
      <c r="AH8" s="92">
        <f t="shared" si="18"/>
        <v>54057</v>
      </c>
      <c r="AI8" s="92">
        <f t="shared" si="18"/>
        <v>54423</v>
      </c>
      <c r="AJ8" s="92">
        <f t="shared" si="18"/>
        <v>54788</v>
      </c>
      <c r="AK8" s="92">
        <f t="shared" si="18"/>
        <v>55153</v>
      </c>
      <c r="AL8" s="92"/>
      <c r="AM8" s="3"/>
    </row>
    <row r="9" spans="1:39" s="141" customFormat="1" ht="15" customHeight="1">
      <c r="A9" s="153"/>
      <c r="B9" s="153"/>
      <c r="C9" s="153"/>
      <c r="D9" s="153"/>
      <c r="E9" s="11"/>
      <c r="F9" s="11"/>
      <c r="G9" s="11"/>
      <c r="H9" s="153"/>
      <c r="I9" s="154"/>
      <c r="J9" s="153"/>
      <c r="K9" s="153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47"/>
    </row>
    <row r="10" spans="1:39" s="141" customFormat="1" ht="15" customHeight="1" thickBot="1">
      <c r="A10" s="153"/>
      <c r="B10" s="153"/>
      <c r="C10" s="12" t="s">
        <v>589</v>
      </c>
      <c r="D10" s="12"/>
      <c r="E10" s="12"/>
      <c r="F10" s="12"/>
      <c r="G10" s="12"/>
      <c r="H10" s="12"/>
      <c r="I10" s="12"/>
      <c r="J10" s="153"/>
      <c r="K10" s="15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47"/>
    </row>
    <row r="11" spans="1:39" s="141" customFormat="1" ht="15" customHeight="1">
      <c r="A11" s="153"/>
      <c r="B11" s="153"/>
      <c r="C11" s="17"/>
      <c r="D11" s="153"/>
      <c r="E11" s="11"/>
      <c r="F11" s="11"/>
      <c r="G11" s="11"/>
      <c r="H11" s="153"/>
      <c r="I11" s="155"/>
      <c r="J11" s="153"/>
      <c r="K11" s="153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1" customFormat="1" ht="15" customHeight="1">
      <c r="A12" s="153"/>
      <c r="B12" s="153"/>
      <c r="C12" s="457" t="str">
        <f>Расчеты!C1422</f>
        <v>Инвестиционный денежный поток</v>
      </c>
      <c r="D12" s="153"/>
      <c r="E12" s="11"/>
      <c r="F12" s="11"/>
      <c r="G12" s="11" t="str">
        <f>Monetary_Unit</f>
        <v>тыс. руб.</v>
      </c>
      <c r="H12" s="153"/>
      <c r="I12" s="23">
        <f ca="1" xml:space="preserve"> SUM(L12:AL12)</f>
        <v>-4808399.504779838</v>
      </c>
      <c r="J12" s="153"/>
      <c r="K12" s="153"/>
      <c r="L12" s="10">
        <f ca="1" xml:space="preserve"> SUMIF(Расчеты!$6:$6,L$6,Расчеты!1422:1422)</f>
        <v>-106937.3807685059</v>
      </c>
      <c r="M12" s="10">
        <f ca="1" xml:space="preserve"> SUMIF(Расчеты!$6:$6,M$6,Расчеты!1422:1422)</f>
        <v>-932305.20307326433</v>
      </c>
      <c r="N12" s="10">
        <f ca="1" xml:space="preserve"> SUMIF(Расчеты!$6:$6,N$6,Расчеты!1422:1422)</f>
        <v>-969597.41119619482</v>
      </c>
      <c r="O12" s="10">
        <f ca="1" xml:space="preserve"> SUMIF(Расчеты!$6:$6,O$6,Расчеты!1422:1422)</f>
        <v>-2105912.6378147765</v>
      </c>
      <c r="P12" s="10">
        <f ca="1" xml:space="preserve"> SUMIF(Расчеты!$6:$6,P$6,Расчеты!1422:1422)</f>
        <v>-693646.87192709628</v>
      </c>
      <c r="Q12" s="10">
        <f ca="1" xml:space="preserve"> SUMIF(Расчеты!$6:$6,Q$6,Расчеты!1422:1422)</f>
        <v>0</v>
      </c>
      <c r="R12" s="10">
        <f ca="1" xml:space="preserve"> SUMIF(Расчеты!$6:$6,R$6,Расчеты!1422:1422)</f>
        <v>0</v>
      </c>
      <c r="S12" s="10">
        <f ca="1" xml:space="preserve"> SUMIF(Расчеты!$6:$6,S$6,Расчеты!1422:1422)</f>
        <v>0</v>
      </c>
      <c r="T12" s="10">
        <f ca="1" xml:space="preserve"> SUMIF(Расчеты!$6:$6,T$6,Расчеты!1422:1422)</f>
        <v>0</v>
      </c>
      <c r="U12" s="10">
        <f ca="1" xml:space="preserve"> SUMIF(Расчеты!$6:$6,U$6,Расчеты!1422:1422)</f>
        <v>0</v>
      </c>
      <c r="V12" s="10">
        <f ca="1" xml:space="preserve"> SUMIF(Расчеты!$6:$6,V$6,Расчеты!1422:1422)</f>
        <v>0</v>
      </c>
      <c r="W12" s="10">
        <f ca="1" xml:space="preserve"> SUMIF(Расчеты!$6:$6,W$6,Расчеты!1422:1422)</f>
        <v>0</v>
      </c>
      <c r="X12" s="10">
        <f ca="1" xml:space="preserve"> SUMIF(Расчеты!$6:$6,X$6,Расчеты!1422:1422)</f>
        <v>0</v>
      </c>
      <c r="Y12" s="10">
        <f ca="1" xml:space="preserve"> SUMIF(Расчеты!$6:$6,Y$6,Расчеты!1422:1422)</f>
        <v>0</v>
      </c>
      <c r="Z12" s="10">
        <f ca="1" xml:space="preserve"> SUMIF(Расчеты!$6:$6,Z$6,Расчеты!1422:1422)</f>
        <v>0</v>
      </c>
      <c r="AA12" s="10">
        <f ca="1" xml:space="preserve"> SUMIF(Расчеты!$6:$6,AA$6,Расчеты!1422:1422)</f>
        <v>0</v>
      </c>
      <c r="AB12" s="10">
        <f ca="1" xml:space="preserve"> SUMIF(Расчеты!$6:$6,AB$6,Расчеты!1422:1422)</f>
        <v>0</v>
      </c>
      <c r="AC12" s="10">
        <f ca="1" xml:space="preserve"> SUMIF(Расчеты!$6:$6,AC$6,Расчеты!1422:1422)</f>
        <v>0</v>
      </c>
      <c r="AD12" s="10">
        <f ca="1" xml:space="preserve"> SUMIF(Расчеты!$6:$6,AD$6,Расчеты!1422:1422)</f>
        <v>0</v>
      </c>
      <c r="AE12" s="10">
        <f ca="1" xml:space="preserve"> SUMIF(Расчеты!$6:$6,AE$6,Расчеты!1422:1422)</f>
        <v>0</v>
      </c>
      <c r="AF12" s="10">
        <f ca="1" xml:space="preserve"> SUMIF(Расчеты!$6:$6,AF$6,Расчеты!1422:1422)</f>
        <v>0</v>
      </c>
      <c r="AG12" s="10">
        <f xml:space="preserve"> SUMIF(Расчеты!$6:$6,AG$6,Расчеты!1422:1422)</f>
        <v>0</v>
      </c>
      <c r="AH12" s="10">
        <f xml:space="preserve"> SUMIF(Расчеты!$6:$6,AH$6,Расчеты!1422:1422)</f>
        <v>0</v>
      </c>
      <c r="AI12" s="10">
        <f xml:space="preserve"> SUMIF(Расчеты!$6:$6,AI$6,Расчеты!1422:1422)</f>
        <v>0</v>
      </c>
      <c r="AJ12" s="10">
        <f xml:space="preserve"> SUMIF(Расчеты!$6:$6,AJ$6,Расчеты!1422:1422)</f>
        <v>0</v>
      </c>
      <c r="AK12" s="10">
        <f xml:space="preserve"> SUMIF(Расчеты!$6:$6,AK$6,Расчеты!1422:1422)</f>
        <v>0</v>
      </c>
      <c r="AL12" s="10"/>
      <c r="AM12" s="10"/>
    </row>
    <row r="13" spans="1:39" s="141" customFormat="1" ht="15" customHeight="1">
      <c r="A13" s="153"/>
      <c r="B13" s="153"/>
      <c r="C13" s="457" t="str">
        <f>Расчеты!C1421</f>
        <v>Операционный денежный поток</v>
      </c>
      <c r="D13" s="153"/>
      <c r="E13" s="11"/>
      <c r="F13" s="11"/>
      <c r="G13" s="11" t="str">
        <f>Monetary_Unit</f>
        <v>тыс. руб.</v>
      </c>
      <c r="H13" s="153"/>
      <c r="I13" s="23">
        <f ca="1" xml:space="preserve"> SUM(L13:AL13)</f>
        <v>13334191.323363092</v>
      </c>
      <c r="J13" s="153"/>
      <c r="K13" s="153"/>
      <c r="L13" s="10">
        <f ca="1" xml:space="preserve"> SUMIF(Расчеты!$6:$6,L$6,Расчеты!1421:1421)</f>
        <v>-21387.476153701184</v>
      </c>
      <c r="M13" s="10">
        <f ca="1" xml:space="preserve"> SUMIF(Расчеты!$6:$6,M$6,Расчеты!1421:1421)</f>
        <v>-187200.03235712866</v>
      </c>
      <c r="N13" s="10">
        <f ca="1" xml:space="preserve"> SUMIF(Расчеты!$6:$6,N$6,Расчеты!1421:1421)</f>
        <v>-243591.86228218197</v>
      </c>
      <c r="O13" s="10">
        <f ca="1" xml:space="preserve"> SUMIF(Расчеты!$6:$6,O$6,Расчеты!1421:1421)</f>
        <v>-568060.49270078505</v>
      </c>
      <c r="P13" s="10">
        <f ca="1" xml:space="preserve"> SUMIF(Расчеты!$6:$6,P$6,Расчеты!1421:1421)</f>
        <v>1029660.8336226236</v>
      </c>
      <c r="Q13" s="10">
        <f ca="1" xml:space="preserve"> SUMIF(Расчеты!$6:$6,Q$6,Расчеты!1421:1421)</f>
        <v>611867.88071216631</v>
      </c>
      <c r="R13" s="10">
        <f ca="1" xml:space="preserve"> SUMIF(Расчеты!$6:$6,R$6,Расчеты!1421:1421)</f>
        <v>788999.22342822433</v>
      </c>
      <c r="S13" s="10">
        <f ca="1" xml:space="preserve"> SUMIF(Расчеты!$6:$6,S$6,Расчеты!1421:1421)</f>
        <v>966432.43762120721</v>
      </c>
      <c r="T13" s="10">
        <f ca="1" xml:space="preserve"> SUMIF(Расчеты!$6:$6,T$6,Расчеты!1421:1421)</f>
        <v>1046613.0055003869</v>
      </c>
      <c r="U13" s="10">
        <f ca="1" xml:space="preserve"> SUMIF(Расчеты!$6:$6,U$6,Расчеты!1421:1421)</f>
        <v>905280.71231554775</v>
      </c>
      <c r="V13" s="10">
        <f ca="1" xml:space="preserve"> SUMIF(Расчеты!$6:$6,V$6,Расчеты!1421:1421)</f>
        <v>709396.79698230815</v>
      </c>
      <c r="W13" s="10">
        <f ca="1" xml:space="preserve"> SUMIF(Расчеты!$6:$6,W$6,Расчеты!1421:1421)</f>
        <v>771290.86296905763</v>
      </c>
      <c r="X13" s="10">
        <f ca="1" xml:space="preserve"> SUMIF(Расчеты!$6:$6,X$6,Расчеты!1421:1421)</f>
        <v>822485.44224311016</v>
      </c>
      <c r="Y13" s="10">
        <f ca="1" xml:space="preserve"> SUMIF(Расчеты!$6:$6,Y$6,Расчеты!1421:1421)</f>
        <v>842664.11652800627</v>
      </c>
      <c r="Z13" s="10">
        <f ca="1" xml:space="preserve"> SUMIF(Расчеты!$6:$6,Z$6,Расчеты!1421:1421)</f>
        <v>818616.70790710032</v>
      </c>
      <c r="AA13" s="10">
        <f ca="1" xml:space="preserve"> SUMIF(Расчеты!$6:$6,AA$6,Расчеты!1421:1421)</f>
        <v>852864.09115192026</v>
      </c>
      <c r="AB13" s="10">
        <f ca="1" xml:space="preserve"> SUMIF(Расчеты!$6:$6,AB$6,Расчеты!1421:1421)</f>
        <v>885002.38998968841</v>
      </c>
      <c r="AC13" s="10">
        <f ca="1" xml:space="preserve"> SUMIF(Расчеты!$6:$6,AC$6,Расчеты!1421:1421)</f>
        <v>920199.87299901806</v>
      </c>
      <c r="AD13" s="10">
        <f ca="1" xml:space="preserve"> SUMIF(Расчеты!$6:$6,AD$6,Расчеты!1421:1421)</f>
        <v>956805.21814828669</v>
      </c>
      <c r="AE13" s="10">
        <f ca="1" xml:space="preserve"> SUMIF(Расчеты!$6:$6,AE$6,Расчеты!1421:1421)</f>
        <v>996869.81259483879</v>
      </c>
      <c r="AF13" s="10">
        <f ca="1" xml:space="preserve"> SUMIF(Расчеты!$6:$6,AF$6,Расчеты!1421:1421)</f>
        <v>429381.78214339697</v>
      </c>
      <c r="AG13" s="10">
        <f xml:space="preserve"> SUMIF(Расчеты!$6:$6,AG$6,Расчеты!1421:1421)</f>
        <v>0</v>
      </c>
      <c r="AH13" s="10">
        <f xml:space="preserve"> SUMIF(Расчеты!$6:$6,AH$6,Расчеты!1421:1421)</f>
        <v>0</v>
      </c>
      <c r="AI13" s="10">
        <f xml:space="preserve"> SUMIF(Расчеты!$6:$6,AI$6,Расчеты!1421:1421)</f>
        <v>0</v>
      </c>
      <c r="AJ13" s="10">
        <f xml:space="preserve"> SUMIF(Расчеты!$6:$6,AJ$6,Расчеты!1421:1421)</f>
        <v>0</v>
      </c>
      <c r="AK13" s="10">
        <f xml:space="preserve"> SUMIF(Расчеты!$6:$6,AK$6,Расчеты!1421:1421)</f>
        <v>0</v>
      </c>
      <c r="AL13" s="10"/>
      <c r="AM13" s="10"/>
    </row>
    <row r="14" spans="1:39" s="141" customFormat="1" ht="15" customHeight="1">
      <c r="A14" s="153"/>
      <c r="B14" s="153"/>
      <c r="C14" s="457" t="str">
        <f>Расчеты!C1423</f>
        <v>Выборка старшего долга</v>
      </c>
      <c r="D14" s="153"/>
      <c r="E14" s="11"/>
      <c r="F14" s="11"/>
      <c r="G14" s="11" t="str">
        <f>Monetary_Unit</f>
        <v>тыс. руб.</v>
      </c>
      <c r="H14" s="153"/>
      <c r="I14" s="23">
        <f xml:space="preserve"> SUM(L14:AL14)</f>
        <v>4616063.5245886445</v>
      </c>
      <c r="J14" s="153"/>
      <c r="K14" s="153"/>
      <c r="L14" s="10">
        <f xml:space="preserve"> SUMIF(Расчеты!$6:$6,L$6,Расчеты!1423:1423)</f>
        <v>0</v>
      </c>
      <c r="M14" s="10">
        <f xml:space="preserve"> SUMIF(Расчеты!$6:$6,M$6,Расчеты!1423:1423)</f>
        <v>93075.219462963287</v>
      </c>
      <c r="N14" s="10">
        <f xml:space="preserve"> SUMIF(Расчеты!$6:$6,N$6,Расчеты!1423:1423)</f>
        <v>1163516.8934354337</v>
      </c>
      <c r="O14" s="10">
        <f xml:space="preserve"> SUMIF(Расчеты!$6:$6,O$6,Расчеты!1423:1423)</f>
        <v>2527095.1653777319</v>
      </c>
      <c r="P14" s="10">
        <f xml:space="preserve"> SUMIF(Расчеты!$6:$6,P$6,Расчеты!1423:1423)</f>
        <v>832376.24631251558</v>
      </c>
      <c r="Q14" s="10">
        <f xml:space="preserve"> SUMIF(Расчеты!$6:$6,Q$6,Расчеты!1423:1423)</f>
        <v>0</v>
      </c>
      <c r="R14" s="10">
        <f xml:space="preserve"> SUMIF(Расчеты!$6:$6,R$6,Расчеты!1423:1423)</f>
        <v>0</v>
      </c>
      <c r="S14" s="10">
        <f xml:space="preserve"> SUMIF(Расчеты!$6:$6,S$6,Расчеты!1423:1423)</f>
        <v>0</v>
      </c>
      <c r="T14" s="10">
        <f xml:space="preserve"> SUMIF(Расчеты!$6:$6,T$6,Расчеты!1423:1423)</f>
        <v>0</v>
      </c>
      <c r="U14" s="10">
        <f xml:space="preserve"> SUMIF(Расчеты!$6:$6,U$6,Расчеты!1423:1423)</f>
        <v>0</v>
      </c>
      <c r="V14" s="10">
        <f xml:space="preserve"> SUMIF(Расчеты!$6:$6,V$6,Расчеты!1423:1423)</f>
        <v>0</v>
      </c>
      <c r="W14" s="10">
        <f xml:space="preserve"> SUMIF(Расчеты!$6:$6,W$6,Расчеты!1423:1423)</f>
        <v>0</v>
      </c>
      <c r="X14" s="10">
        <f xml:space="preserve"> SUMIF(Расчеты!$6:$6,X$6,Расчеты!1423:1423)</f>
        <v>0</v>
      </c>
      <c r="Y14" s="10">
        <f xml:space="preserve"> SUMIF(Расчеты!$6:$6,Y$6,Расчеты!1423:1423)</f>
        <v>0</v>
      </c>
      <c r="Z14" s="10">
        <f xml:space="preserve"> SUMIF(Расчеты!$6:$6,Z$6,Расчеты!1423:1423)</f>
        <v>0</v>
      </c>
      <c r="AA14" s="10">
        <f xml:space="preserve"> SUMIF(Расчеты!$6:$6,AA$6,Расчеты!1423:1423)</f>
        <v>0</v>
      </c>
      <c r="AB14" s="10">
        <f xml:space="preserve"> SUMIF(Расчеты!$6:$6,AB$6,Расчеты!1423:1423)</f>
        <v>0</v>
      </c>
      <c r="AC14" s="10">
        <f xml:space="preserve"> SUMIF(Расчеты!$6:$6,AC$6,Расчеты!1423:1423)</f>
        <v>0</v>
      </c>
      <c r="AD14" s="10">
        <f xml:space="preserve"> SUMIF(Расчеты!$6:$6,AD$6,Расчеты!1423:1423)</f>
        <v>0</v>
      </c>
      <c r="AE14" s="10">
        <f xml:space="preserve"> SUMIF(Расчеты!$6:$6,AE$6,Расчеты!1423:1423)</f>
        <v>0</v>
      </c>
      <c r="AF14" s="10">
        <f xml:space="preserve"> SUMIF(Расчеты!$6:$6,AF$6,Расчеты!1423:1423)</f>
        <v>0</v>
      </c>
      <c r="AG14" s="10">
        <f xml:space="preserve"> SUMIF(Расчеты!$6:$6,AG$6,Расчеты!1423:1423)</f>
        <v>0</v>
      </c>
      <c r="AH14" s="10">
        <f xml:space="preserve"> SUMIF(Расчеты!$6:$6,AH$6,Расчеты!1423:1423)</f>
        <v>0</v>
      </c>
      <c r="AI14" s="10">
        <f xml:space="preserve"> SUMIF(Расчеты!$6:$6,AI$6,Расчеты!1423:1423)</f>
        <v>0</v>
      </c>
      <c r="AJ14" s="10">
        <f xml:space="preserve"> SUMIF(Расчеты!$6:$6,AJ$6,Расчеты!1423:1423)</f>
        <v>0</v>
      </c>
      <c r="AK14" s="10">
        <f xml:space="preserve"> SUMIF(Расчеты!$6:$6,AK$6,Расчеты!1423:1423)</f>
        <v>0</v>
      </c>
      <c r="AL14" s="10"/>
      <c r="AM14" s="10"/>
    </row>
    <row r="15" spans="1:39" s="141" customFormat="1" ht="15" customHeight="1">
      <c r="A15" s="153"/>
      <c r="B15" s="153"/>
      <c r="C15" s="458" t="str">
        <f>Расчеты!C1424</f>
        <v>Обслуживание старшего долга</v>
      </c>
      <c r="D15" s="153"/>
      <c r="E15" s="11"/>
      <c r="F15" s="11"/>
      <c r="G15" s="11" t="str">
        <f>Monetary_Unit</f>
        <v>тыс. руб.</v>
      </c>
      <c r="H15" s="153"/>
      <c r="I15" s="23">
        <f xml:space="preserve"> SUM(L15:AL15)</f>
        <v>-4616063.5245886436</v>
      </c>
      <c r="J15" s="153"/>
      <c r="K15" s="10"/>
      <c r="L15" s="10">
        <f xml:space="preserve"> SUMIF(Расчеты!$6:$6,L$6,Расчеты!1424:1424)</f>
        <v>0</v>
      </c>
      <c r="M15" s="10">
        <f xml:space="preserve"> SUMIF(Расчеты!$6:$6,M$6,Расчеты!1424:1424)</f>
        <v>0</v>
      </c>
      <c r="N15" s="10">
        <f xml:space="preserve"> SUMIF(Расчеты!$6:$6,N$6,Расчеты!1424:1424)</f>
        <v>0</v>
      </c>
      <c r="O15" s="10">
        <f xml:space="preserve"> SUMIF(Расчеты!$6:$6,O$6,Расчеты!1424:1424)</f>
        <v>0</v>
      </c>
      <c r="P15" s="10">
        <f xml:space="preserve"> SUMIF(Расчеты!$6:$6,P$6,Расчеты!1424:1424)</f>
        <v>-365234.99647687044</v>
      </c>
      <c r="Q15" s="10">
        <f xml:space="preserve"> SUMIF(Расчеты!$6:$6,Q$6,Расчеты!1424:1424)</f>
        <v>-511592.00466642744</v>
      </c>
      <c r="R15" s="10">
        <f xml:space="preserve"> SUMIF(Расчеты!$6:$6,R$6,Расчеты!1424:1424)</f>
        <v>-540583.06071867212</v>
      </c>
      <c r="S15" s="10">
        <f xml:space="preserve"> SUMIF(Расчеты!$6:$6,S$6,Расчеты!1424:1424)</f>
        <v>-571218.16842906806</v>
      </c>
      <c r="T15" s="10">
        <f xml:space="preserve"> SUMIF(Расчеты!$6:$6,T$6,Расчеты!1424:1424)</f>
        <v>-603586.65044099302</v>
      </c>
      <c r="U15" s="10">
        <f xml:space="preserve"> SUMIF(Расчеты!$6:$6,U$6,Расчеты!1424:1424)</f>
        <v>-637790.91233443888</v>
      </c>
      <c r="V15" s="10">
        <f xml:space="preserve"> SUMIF(Расчеты!$6:$6,V$6,Расчеты!1424:1424)</f>
        <v>-673933.4840111204</v>
      </c>
      <c r="W15" s="10">
        <f xml:space="preserve"> SUMIF(Расчеты!$6:$6,W$6,Расчеты!1424:1424)</f>
        <v>-712124.24751105381</v>
      </c>
      <c r="X15" s="10">
        <f xml:space="preserve"> SUMIF(Расчеты!$6:$6,X$6,Расчеты!1424:1424)</f>
        <v>0</v>
      </c>
      <c r="Y15" s="10">
        <f xml:space="preserve"> SUMIF(Расчеты!$6:$6,Y$6,Расчеты!1424:1424)</f>
        <v>0</v>
      </c>
      <c r="Z15" s="10">
        <f xml:space="preserve"> SUMIF(Расчеты!$6:$6,Z$6,Расчеты!1424:1424)</f>
        <v>0</v>
      </c>
      <c r="AA15" s="10">
        <f xml:space="preserve"> SUMIF(Расчеты!$6:$6,AA$6,Расчеты!1424:1424)</f>
        <v>0</v>
      </c>
      <c r="AB15" s="10">
        <f xml:space="preserve"> SUMIF(Расчеты!$6:$6,AB$6,Расчеты!1424:1424)</f>
        <v>0</v>
      </c>
      <c r="AC15" s="10">
        <f xml:space="preserve"> SUMIF(Расчеты!$6:$6,AC$6,Расчеты!1424:1424)</f>
        <v>0</v>
      </c>
      <c r="AD15" s="10">
        <f xml:space="preserve"> SUMIF(Расчеты!$6:$6,AD$6,Расчеты!1424:1424)</f>
        <v>0</v>
      </c>
      <c r="AE15" s="10">
        <f xml:space="preserve"> SUMIF(Расчеты!$6:$6,AE$6,Расчеты!1424:1424)</f>
        <v>0</v>
      </c>
      <c r="AF15" s="10">
        <f xml:space="preserve"> SUMIF(Расчеты!$6:$6,AF$6,Расчеты!1424:1424)</f>
        <v>0</v>
      </c>
      <c r="AG15" s="10">
        <f xml:space="preserve"> SUMIF(Расчеты!$6:$6,AG$6,Расчеты!1424:1424)</f>
        <v>0</v>
      </c>
      <c r="AH15" s="10">
        <f xml:space="preserve"> SUMIF(Расчеты!$6:$6,AH$6,Расчеты!1424:1424)</f>
        <v>0</v>
      </c>
      <c r="AI15" s="10">
        <f xml:space="preserve"> SUMIF(Расчеты!$6:$6,AI$6,Расчеты!1424:1424)</f>
        <v>0</v>
      </c>
      <c r="AJ15" s="10">
        <f xml:space="preserve"> SUMIF(Расчеты!$6:$6,AJ$6,Расчеты!1424:1424)</f>
        <v>0</v>
      </c>
      <c r="AK15" s="10">
        <f xml:space="preserve"> SUMIF(Расчеты!$6:$6,AK$6,Расчеты!1424:1424)</f>
        <v>0</v>
      </c>
      <c r="AL15" s="10"/>
      <c r="AM15" s="10"/>
    </row>
    <row r="16" spans="1:39" s="141" customFormat="1" ht="15" customHeight="1">
      <c r="A16" s="153"/>
      <c r="B16" s="153"/>
      <c r="C16" s="17"/>
      <c r="D16" s="153"/>
      <c r="E16" s="11"/>
      <c r="F16" s="11"/>
      <c r="G16" s="11"/>
      <c r="H16" s="153"/>
      <c r="I16" s="155"/>
      <c r="J16" s="153"/>
      <c r="K16" s="153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1" customFormat="1" ht="15" customHeight="1">
      <c r="A17" s="153"/>
      <c r="B17" s="153"/>
      <c r="C17" s="17" t="s">
        <v>590</v>
      </c>
      <c r="D17" s="153"/>
      <c r="E17" s="11"/>
      <c r="F17" s="11"/>
      <c r="G17" s="11" t="str">
        <f>Monetary_Unit</f>
        <v>тыс. руб.</v>
      </c>
      <c r="H17" s="153"/>
      <c r="I17" s="23">
        <f ca="1" xml:space="preserve"> SUM(L17:AL17)</f>
        <v>-1351305.2180704093</v>
      </c>
      <c r="J17" s="153"/>
      <c r="K17" s="153"/>
      <c r="L17" s="10">
        <f ca="1" xml:space="preserve"> IF(Расчеты!E1420=1,L12 + L13,MIN(SUM(L12:L15),0))</f>
        <v>-128324.85692220708</v>
      </c>
      <c r="M17" s="10">
        <f ca="1" xml:space="preserve"> IF(Расчеты!F1420=1,M12 + M13,MIN(SUM(M12:M15),0))</f>
        <v>-1026430.0159674296</v>
      </c>
      <c r="N17" s="10">
        <f ca="1" xml:space="preserve"> IF(Расчеты!G1420=1,N12 + N13,MIN(SUM(N12:N15),0))</f>
        <v>-49672.380042942939</v>
      </c>
      <c r="O17" s="10">
        <f ca="1" xml:space="preserve"> IF(Расчеты!H1420=1,O12 + O13,MIN(SUM(O12:O15),0))</f>
        <v>-146877.96513782954</v>
      </c>
      <c r="P17" s="10">
        <f ca="1" xml:space="preserve"> IF(Расчеты!I1420=1,P12 + P13,MIN(SUM(P12:P15),0))</f>
        <v>0</v>
      </c>
      <c r="Q17" s="10">
        <f ca="1" xml:space="preserve"> IF(Расчеты!J1420=1,Q12 + Q13,MIN(SUM(Q12:Q15),0))</f>
        <v>0</v>
      </c>
      <c r="R17" s="10">
        <f ca="1" xml:space="preserve"> IF(Расчеты!K1420=1,R12 + R13,MIN(SUM(R12:R15),0))</f>
        <v>0</v>
      </c>
      <c r="S17" s="10">
        <f ca="1" xml:space="preserve"> IF(Расчеты!L1420=1,S12 + S13,MIN(SUM(S12:S15),0))</f>
        <v>0</v>
      </c>
      <c r="T17" s="10">
        <f ca="1" xml:space="preserve"> IF(Расчеты!M1420=1,T12 + T13,MIN(SUM(T12:T15),0))</f>
        <v>0</v>
      </c>
      <c r="U17" s="10">
        <f ca="1" xml:space="preserve"> IF(Расчеты!N1420=1,U12 + U13,MIN(SUM(U12:U15),0))</f>
        <v>0</v>
      </c>
      <c r="V17" s="10">
        <f ca="1" xml:space="preserve"> IF(Расчеты!O1420=1,V12 + V13,MIN(SUM(V12:V15),0))</f>
        <v>0</v>
      </c>
      <c r="W17" s="10">
        <f ca="1" xml:space="preserve"> IF(Расчеты!P1420=1,W12 + W13,MIN(SUM(W12:W15),0))</f>
        <v>0</v>
      </c>
      <c r="X17" s="10">
        <f ca="1" xml:space="preserve"> IF(Расчеты!Q1420=1,X12 + X13,MIN(SUM(X12:X15),0))</f>
        <v>0</v>
      </c>
      <c r="Y17" s="10">
        <f ca="1" xml:space="preserve"> IF(Расчеты!R1420=1,Y12 + Y13,MIN(SUM(Y12:Y15),0))</f>
        <v>0</v>
      </c>
      <c r="Z17" s="10">
        <f ca="1" xml:space="preserve"> IF(Расчеты!S1420=1,Z12 + Z13,MIN(SUM(Z12:Z15),0))</f>
        <v>0</v>
      </c>
      <c r="AA17" s="10">
        <f ca="1" xml:space="preserve"> IF(Расчеты!T1420=1,AA12 + AA13,MIN(SUM(AA12:AA15),0))</f>
        <v>0</v>
      </c>
      <c r="AB17" s="10">
        <f ca="1" xml:space="preserve"> IF(Расчеты!U1420=1,AB12 + AB13,MIN(SUM(AB12:AB15),0))</f>
        <v>0</v>
      </c>
      <c r="AC17" s="10">
        <f ca="1" xml:space="preserve"> IF(Расчеты!V1420=1,AC12 + AC13,MIN(SUM(AC12:AC15),0))</f>
        <v>0</v>
      </c>
      <c r="AD17" s="10">
        <f ca="1" xml:space="preserve"> IF(Расчеты!W1420=1,AD12 + AD13,MIN(SUM(AD12:AD15),0))</f>
        <v>0</v>
      </c>
      <c r="AE17" s="10">
        <f ca="1" xml:space="preserve"> IF(Расчеты!X1420=1,AE12 + AE13,MIN(SUM(AE12:AE15),0))</f>
        <v>0</v>
      </c>
      <c r="AF17" s="10">
        <f ca="1" xml:space="preserve"> IF(Расчеты!Y1420=1,AF12 + AF13,MIN(SUM(AF12:AF15),0))</f>
        <v>0</v>
      </c>
      <c r="AG17" s="10">
        <f xml:space="preserve"> IF(Расчеты!Z1420=1,AG12 + AG13,MIN(SUM(AG12:AG15),0))</f>
        <v>0</v>
      </c>
      <c r="AH17" s="10">
        <f xml:space="preserve"> IF(Расчеты!AA1420=1,AH12 + AH13,MIN(SUM(AH12:AH15),0))</f>
        <v>0</v>
      </c>
      <c r="AI17" s="10">
        <f xml:space="preserve"> IF(Расчеты!AB1420=1,AI12 + AI13,MIN(SUM(AI12:AI15),0))</f>
        <v>0</v>
      </c>
      <c r="AJ17" s="10">
        <f xml:space="preserve"> IF(Расчеты!AC1420=1,AJ12 + AJ13,MIN(SUM(AJ12:AJ15),0))</f>
        <v>0</v>
      </c>
      <c r="AK17" s="10">
        <f xml:space="preserve"> IF(Расчеты!AD1420=1,AK12 + AK13,MIN(SUM(AK12:AK15),0))</f>
        <v>0</v>
      </c>
      <c r="AL17" s="10"/>
      <c r="AM17" s="10"/>
    </row>
    <row r="18" spans="1:39" s="141" customFormat="1" ht="15" customHeight="1" thickBot="1">
      <c r="A18" s="153"/>
      <c r="B18" s="153"/>
      <c r="C18" s="17" t="s">
        <v>591</v>
      </c>
      <c r="D18" s="153"/>
      <c r="E18" s="11"/>
      <c r="F18" s="11"/>
      <c r="G18" s="11" t="str">
        <f>Monetary_Unit</f>
        <v>тыс. руб.</v>
      </c>
      <c r="H18" s="153"/>
      <c r="I18" s="23">
        <f ca="1" xml:space="preserve"> SUM(L18:AL18)</f>
        <v>9877097.0366536621</v>
      </c>
      <c r="J18" s="153"/>
      <c r="K18" s="153"/>
      <c r="L18" s="10">
        <f ca="1" xml:space="preserve"> IF(Расчеты!E1420=1,L14 + L15,MAX(SUM(L12:L15),0))</f>
        <v>0</v>
      </c>
      <c r="M18" s="10">
        <f ca="1" xml:space="preserve"> IF(Расчеты!F1420=1,M14 + M15,MAX(SUM(M12:M15),0))</f>
        <v>0</v>
      </c>
      <c r="N18" s="10">
        <f ca="1" xml:space="preserve"> IF(Расчеты!G1420=1,N14 + N15,MAX(SUM(N12:N15),0))</f>
        <v>0</v>
      </c>
      <c r="O18" s="10">
        <f ca="1" xml:space="preserve"> IF(Расчеты!H1420=1,O14 + O15,MAX(SUM(O12:O15),0))</f>
        <v>0</v>
      </c>
      <c r="P18" s="10">
        <f ca="1" xml:space="preserve"> IF(Расчеты!I1420=1,P14 + P15,MAX(SUM(P12:P15),0))</f>
        <v>803155.21153117251</v>
      </c>
      <c r="Q18" s="10">
        <f ca="1" xml:space="preserve"> IF(Расчеты!J1420=1,Q14 + Q15,MAX(SUM(Q12:Q15),0))</f>
        <v>100275.87604573887</v>
      </c>
      <c r="R18" s="10">
        <f ca="1" xml:space="preserve"> IF(Расчеты!K1420=1,R14 + R15,MAX(SUM(R12:R15),0))</f>
        <v>248416.16270955221</v>
      </c>
      <c r="S18" s="10">
        <f ca="1" xml:space="preserve"> IF(Расчеты!L1420=1,S14 + S15,MAX(SUM(S12:S15),0))</f>
        <v>395214.26919213915</v>
      </c>
      <c r="T18" s="10">
        <f ca="1" xml:space="preserve"> IF(Расчеты!M1420=1,T14 + T15,MAX(SUM(T12:T15),0))</f>
        <v>443026.35505939391</v>
      </c>
      <c r="U18" s="10">
        <f ca="1" xml:space="preserve"> IF(Расчеты!N1420=1,U14 + U15,MAX(SUM(U12:U15),0))</f>
        <v>267489.79998110887</v>
      </c>
      <c r="V18" s="10">
        <f ca="1" xml:space="preserve"> IF(Расчеты!O1420=1,V14 + V15,MAX(SUM(V12:V15),0))</f>
        <v>35463.312971187755</v>
      </c>
      <c r="W18" s="10">
        <f ca="1" xml:space="preserve"> IF(Расчеты!P1420=1,W14 + W15,MAX(SUM(W12:W15),0))</f>
        <v>59166.615458003827</v>
      </c>
      <c r="X18" s="10">
        <f ca="1" xml:space="preserve"> IF(Расчеты!Q1420=1,X14 + X15,MAX(SUM(X12:X15),0))</f>
        <v>822485.44224311016</v>
      </c>
      <c r="Y18" s="10">
        <f ca="1" xml:space="preserve"> IF(Расчеты!R1420=1,Y14 + Y15,MAX(SUM(Y12:Y15),0))</f>
        <v>842664.11652800627</v>
      </c>
      <c r="Z18" s="10">
        <f ca="1" xml:space="preserve"> IF(Расчеты!S1420=1,Z14 + Z15,MAX(SUM(Z12:Z15),0))</f>
        <v>818616.70790710032</v>
      </c>
      <c r="AA18" s="10">
        <f ca="1" xml:space="preserve"> IF(Расчеты!T1420=1,AA14 + AA15,MAX(SUM(AA12:AA15),0))</f>
        <v>852864.09115192026</v>
      </c>
      <c r="AB18" s="10">
        <f ca="1" xml:space="preserve"> IF(Расчеты!U1420=1,AB14 + AB15,MAX(SUM(AB12:AB15),0))</f>
        <v>885002.38998968841</v>
      </c>
      <c r="AC18" s="10">
        <f ca="1" xml:space="preserve"> IF(Расчеты!V1420=1,AC14 + AC15,MAX(SUM(AC12:AC15),0))</f>
        <v>920199.87299901806</v>
      </c>
      <c r="AD18" s="10">
        <f ca="1" xml:space="preserve"> IF(Расчеты!W1420=1,AD14 + AD15,MAX(SUM(AD12:AD15),0))</f>
        <v>956805.21814828669</v>
      </c>
      <c r="AE18" s="10">
        <f ca="1" xml:space="preserve"> IF(Расчеты!X1420=1,AE14 + AE15,MAX(SUM(AE12:AE15),0))</f>
        <v>996869.81259483879</v>
      </c>
      <c r="AF18" s="10">
        <f ca="1" xml:space="preserve"> IF(Расчеты!Y1420=1,AF14 + AF15,MAX(SUM(AF12:AF15),0))</f>
        <v>429381.78214339697</v>
      </c>
      <c r="AG18" s="10">
        <f xml:space="preserve"> IF(Расчеты!Z1420=1,AG14 + AG15,MAX(SUM(AG12:AG15),0))</f>
        <v>0</v>
      </c>
      <c r="AH18" s="10">
        <f xml:space="preserve"> IF(Расчеты!AA1420=1,AH14 + AH15,MAX(SUM(AH12:AH15),0))</f>
        <v>0</v>
      </c>
      <c r="AI18" s="10">
        <f xml:space="preserve"> IF(Расчеты!AB1420=1,AI14 + AI15,MAX(SUM(AI12:AI15),0))</f>
        <v>0</v>
      </c>
      <c r="AJ18" s="10">
        <f xml:space="preserve"> IF(Расчеты!AC1420=1,AJ14 + AJ15,MAX(SUM(AJ12:AJ15),0))</f>
        <v>0</v>
      </c>
      <c r="AK18" s="10">
        <f xml:space="preserve"> IF(Расчеты!AD1420=1,AK14 + AK15,MAX(SUM(AK12:AK15),0))</f>
        <v>0</v>
      </c>
      <c r="AL18" s="10"/>
      <c r="AM18" s="10"/>
    </row>
    <row r="19" spans="1:39" s="141" customFormat="1" ht="15" customHeight="1" thickTop="1">
      <c r="A19" s="153"/>
      <c r="B19" s="153"/>
      <c r="C19" s="49" t="s">
        <v>592</v>
      </c>
      <c r="D19" s="49"/>
      <c r="E19" s="49"/>
      <c r="F19" s="49"/>
      <c r="G19" s="159" t="str">
        <f>Monetary_Unit</f>
        <v>тыс. руб.</v>
      </c>
      <c r="H19" s="49"/>
      <c r="I19" s="23">
        <f ca="1" xml:space="preserve"> SUM(L19:AL19)</f>
        <v>8525791.8185832519</v>
      </c>
      <c r="J19" s="49"/>
      <c r="K19" s="49"/>
      <c r="L19" s="49">
        <f ca="1">SUM(L17:L18)</f>
        <v>-128324.85692220708</v>
      </c>
      <c r="M19" s="49">
        <f t="shared" ref="M19:Z19" ca="1" si="19">SUM(M17:M18)</f>
        <v>-1026430.0159674296</v>
      </c>
      <c r="N19" s="49">
        <f t="shared" ca="1" si="19"/>
        <v>-49672.380042942939</v>
      </c>
      <c r="O19" s="49">
        <f t="shared" ca="1" si="19"/>
        <v>-146877.96513782954</v>
      </c>
      <c r="P19" s="49">
        <f t="shared" ca="1" si="19"/>
        <v>803155.21153117251</v>
      </c>
      <c r="Q19" s="49">
        <f t="shared" ca="1" si="19"/>
        <v>100275.87604573887</v>
      </c>
      <c r="R19" s="49">
        <f t="shared" ca="1" si="19"/>
        <v>248416.16270955221</v>
      </c>
      <c r="S19" s="49">
        <f t="shared" ca="1" si="19"/>
        <v>395214.26919213915</v>
      </c>
      <c r="T19" s="49">
        <f t="shared" ca="1" si="19"/>
        <v>443026.35505939391</v>
      </c>
      <c r="U19" s="49">
        <f t="shared" ca="1" si="19"/>
        <v>267489.79998110887</v>
      </c>
      <c r="V19" s="49">
        <f t="shared" ca="1" si="19"/>
        <v>35463.312971187755</v>
      </c>
      <c r="W19" s="49">
        <f t="shared" ca="1" si="19"/>
        <v>59166.615458003827</v>
      </c>
      <c r="X19" s="49">
        <f t="shared" ca="1" si="19"/>
        <v>822485.44224311016</v>
      </c>
      <c r="Y19" s="49">
        <f t="shared" ca="1" si="19"/>
        <v>842664.11652800627</v>
      </c>
      <c r="Z19" s="49">
        <f t="shared" ca="1" si="19"/>
        <v>818616.70790710032</v>
      </c>
      <c r="AA19" s="49">
        <f t="shared" ref="AA19:AK19" ca="1" si="20">SUM(AA17:AA18)</f>
        <v>852864.09115192026</v>
      </c>
      <c r="AB19" s="49">
        <f t="shared" ca="1" si="20"/>
        <v>885002.38998968841</v>
      </c>
      <c r="AC19" s="49">
        <f t="shared" ca="1" si="20"/>
        <v>920199.87299901806</v>
      </c>
      <c r="AD19" s="49">
        <f t="shared" ca="1" si="20"/>
        <v>956805.21814828669</v>
      </c>
      <c r="AE19" s="49">
        <f t="shared" ca="1" si="20"/>
        <v>996869.81259483879</v>
      </c>
      <c r="AF19" s="49">
        <f t="shared" ca="1" si="20"/>
        <v>429381.78214339697</v>
      </c>
      <c r="AG19" s="49">
        <f t="shared" si="20"/>
        <v>0</v>
      </c>
      <c r="AH19" s="49">
        <f t="shared" si="20"/>
        <v>0</v>
      </c>
      <c r="AI19" s="49">
        <f t="shared" si="20"/>
        <v>0</v>
      </c>
      <c r="AJ19" s="49">
        <f t="shared" si="20"/>
        <v>0</v>
      </c>
      <c r="AK19" s="49">
        <f t="shared" si="20"/>
        <v>0</v>
      </c>
      <c r="AL19" s="49"/>
      <c r="AM19" s="35"/>
    </row>
    <row r="20" spans="1:39" s="141" customFormat="1" ht="15" customHeight="1">
      <c r="A20" s="153"/>
      <c r="B20" s="153"/>
      <c r="C20" s="17"/>
      <c r="D20" s="153"/>
      <c r="E20" s="11"/>
      <c r="F20" s="11"/>
      <c r="G20" s="11"/>
      <c r="H20" s="153"/>
      <c r="I20" s="155"/>
      <c r="J20" s="153"/>
      <c r="K20" s="153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141" customFormat="1" ht="15" customHeight="1" thickBot="1">
      <c r="A21" s="153"/>
      <c r="B21" s="153"/>
      <c r="C21" s="12" t="s">
        <v>777</v>
      </c>
      <c r="D21" s="12"/>
      <c r="E21" s="12"/>
      <c r="F21" s="12"/>
      <c r="G21" s="12"/>
      <c r="H21" s="12"/>
      <c r="I21" s="12"/>
      <c r="J21" s="153"/>
      <c r="K21" s="153"/>
      <c r="L21" s="149"/>
      <c r="M21" s="149"/>
      <c r="N21" s="149"/>
      <c r="O21" s="149"/>
      <c r="P21" s="149"/>
      <c r="Q21" s="1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141" customFormat="1" ht="15" customHeight="1">
      <c r="A22" s="153"/>
      <c r="B22" s="153"/>
      <c r="C22" s="17"/>
      <c r="D22" s="153"/>
      <c r="E22" s="11"/>
      <c r="F22" s="11"/>
      <c r="G22" s="11"/>
      <c r="H22" s="153"/>
      <c r="I22" s="155"/>
      <c r="J22" s="153"/>
      <c r="K22" s="153"/>
      <c r="L22" s="149"/>
      <c r="M22" s="149"/>
      <c r="N22" s="149"/>
      <c r="O22" s="149"/>
      <c r="P22" s="149"/>
      <c r="Q22" s="149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141" customFormat="1" ht="15" customHeight="1">
      <c r="A23" s="153"/>
      <c r="B23" s="153"/>
      <c r="C23" s="17" t="s">
        <v>779</v>
      </c>
      <c r="D23" s="153"/>
      <c r="E23" s="11"/>
      <c r="F23" s="11"/>
      <c r="G23" s="11"/>
      <c r="H23" s="153"/>
      <c r="I23" s="155"/>
      <c r="J23" s="153"/>
      <c r="K23" s="153"/>
      <c r="L23" s="10">
        <f xml:space="preserve"> - SUMIF(Расчеты!$6:$6,L$6,Расчеты!1221:1221)</f>
        <v>0</v>
      </c>
      <c r="M23" s="10">
        <f xml:space="preserve"> - SUMIF(Расчеты!$6:$6,M$6,Расчеты!1221:1221)</f>
        <v>738.99174247580174</v>
      </c>
      <c r="N23" s="10">
        <f xml:space="preserve"> - SUMIF(Расчеты!$6:$6,N$6,Расчеты!1221:1221)</f>
        <v>37409.991364468544</v>
      </c>
      <c r="O23" s="10">
        <f xml:space="preserve"> - SUMIF(Расчеты!$6:$6,O$6,Расчеты!1221:1221)</f>
        <v>139629.60956583463</v>
      </c>
      <c r="P23" s="10">
        <f xml:space="preserve"> - SUMIF(Расчеты!$6:$6,P$6,Расчеты!1221:1221)</f>
        <v>245429.84560124113</v>
      </c>
      <c r="Q23" s="10">
        <f xml:space="preserve"> - SUMIF(Расчеты!$6:$6,Q$6,Расчеты!1221:1221)</f>
        <v>225315.35309172334</v>
      </c>
      <c r="R23" s="10">
        <f xml:space="preserve"> - SUMIF(Расчеты!$6:$6,R$6,Расчеты!1221:1221)</f>
        <v>196323.18401043824</v>
      </c>
      <c r="S23" s="10">
        <f xml:space="preserve"> - SUMIF(Расчеты!$6:$6,S$6,Расчеты!1221:1221)</f>
        <v>165724.72485428915</v>
      </c>
      <c r="T23" s="10">
        <f xml:space="preserve"> - SUMIF(Расчеты!$6:$6,T$6,Расчеты!1221:1221)</f>
        <v>133317.13665651664</v>
      </c>
      <c r="U23" s="10">
        <f xml:space="preserve"> - SUMIF(Расчеты!$6:$6,U$6,Расчеты!1221:1221)</f>
        <v>99111.866495995389</v>
      </c>
      <c r="V23" s="10">
        <f xml:space="preserve"> - SUMIF(Расчеты!$6:$6,V$6,Расчеты!1221:1221)</f>
        <v>62968.333752273895</v>
      </c>
      <c r="W23" s="10">
        <f xml:space="preserve"> - SUMIF(Расчеты!$6:$6,W$6,Расчеты!1221:1221)</f>
        <v>24817.636537450941</v>
      </c>
      <c r="X23" s="10">
        <f xml:space="preserve"> - SUMIF(Расчеты!$6:$6,X$6,Расчеты!1221:1221)</f>
        <v>0</v>
      </c>
      <c r="Y23" s="10">
        <f xml:space="preserve"> - SUMIF(Расчеты!$6:$6,Y$6,Расчеты!1221:1221)</f>
        <v>0</v>
      </c>
      <c r="Z23" s="10">
        <f xml:space="preserve"> - SUMIF(Расчеты!$6:$6,Z$6,Расчеты!1221:1221)</f>
        <v>0</v>
      </c>
      <c r="AA23" s="10">
        <f xml:space="preserve"> - SUMIF(Расчеты!$6:$6,AA$6,Расчеты!1221:1221)</f>
        <v>0</v>
      </c>
      <c r="AB23" s="10">
        <f xml:space="preserve"> - SUMIF(Расчеты!$6:$6,AB$6,Расчеты!1221:1221)</f>
        <v>0</v>
      </c>
      <c r="AC23" s="10">
        <f xml:space="preserve"> - SUMIF(Расчеты!$6:$6,AC$6,Расчеты!1221:1221)</f>
        <v>0</v>
      </c>
      <c r="AD23" s="10">
        <f xml:space="preserve"> - SUMIF(Расчеты!$6:$6,AD$6,Расчеты!1221:1221)</f>
        <v>0</v>
      </c>
      <c r="AE23" s="10">
        <f xml:space="preserve"> - SUMIF(Расчеты!$6:$6,AE$6,Расчеты!1221:1221)</f>
        <v>0</v>
      </c>
      <c r="AF23" s="10">
        <f xml:space="preserve"> - SUMIF(Расчеты!$6:$6,AF$6,Расчеты!1221:1221)</f>
        <v>0</v>
      </c>
      <c r="AG23" s="10">
        <f xml:space="preserve"> - SUMIF(Расчеты!$6:$6,AG$6,Расчеты!1221:1221)</f>
        <v>0</v>
      </c>
      <c r="AH23" s="10">
        <f xml:space="preserve"> - SUMIF(Расчеты!$6:$6,AH$6,Расчеты!1221:1221)</f>
        <v>0</v>
      </c>
      <c r="AI23" s="10">
        <f xml:space="preserve"> - SUMIF(Расчеты!$6:$6,AI$6,Расчеты!1221:1221)</f>
        <v>0</v>
      </c>
      <c r="AJ23" s="10">
        <f xml:space="preserve"> - SUMIF(Расчеты!$6:$6,AJ$6,Расчеты!1221:1221)</f>
        <v>0</v>
      </c>
      <c r="AK23" s="10">
        <f xml:space="preserve"> - SUMIF(Расчеты!$6:$6,AK$6,Расчеты!1221:1221)</f>
        <v>0</v>
      </c>
      <c r="AL23" s="10"/>
      <c r="AM23" s="10"/>
    </row>
    <row r="24" spans="1:39" s="141" customFormat="1" ht="15" customHeight="1">
      <c r="A24" s="153"/>
      <c r="B24" s="153"/>
      <c r="C24" s="17" t="s">
        <v>778</v>
      </c>
      <c r="D24" s="153"/>
      <c r="E24" s="11"/>
      <c r="F24" s="11"/>
      <c r="G24" s="11"/>
      <c r="H24" s="153"/>
      <c r="I24" s="155"/>
      <c r="J24" s="153"/>
      <c r="K24" s="153"/>
      <c r="L24" s="10">
        <f xml:space="preserve"> - SUMIF(Расчеты!$6:$6,L$6,Расчеты!1214:1214)</f>
        <v>0</v>
      </c>
      <c r="M24" s="10">
        <f xml:space="preserve"> - SUMIF(Расчеты!$6:$6,M$6,Расчеты!1214:1214)</f>
        <v>0</v>
      </c>
      <c r="N24" s="10">
        <f xml:space="preserve"> - SUMIF(Расчеты!$6:$6,N$6,Расчеты!1214:1214)</f>
        <v>0</v>
      </c>
      <c r="O24" s="10">
        <f xml:space="preserve"> - SUMIF(Расчеты!$6:$6,O$6,Расчеты!1214:1214)</f>
        <v>0</v>
      </c>
      <c r="P24" s="10">
        <f xml:space="preserve"> - SUMIF(Расчеты!$6:$6,P$6,Расчеты!1214:1214)</f>
        <v>365234.99647687044</v>
      </c>
      <c r="Q24" s="10">
        <f xml:space="preserve"> - SUMIF(Расчеты!$6:$6,Q$6,Расчеты!1214:1214)</f>
        <v>511592.00466642744</v>
      </c>
      <c r="R24" s="10">
        <f xml:space="preserve"> - SUMIF(Расчеты!$6:$6,R$6,Расчеты!1214:1214)</f>
        <v>540583.06071867212</v>
      </c>
      <c r="S24" s="10">
        <f xml:space="preserve"> - SUMIF(Расчеты!$6:$6,S$6,Расчеты!1214:1214)</f>
        <v>571218.16842906806</v>
      </c>
      <c r="T24" s="10">
        <f xml:space="preserve"> - SUMIF(Расчеты!$6:$6,T$6,Расчеты!1214:1214)</f>
        <v>603586.65044099302</v>
      </c>
      <c r="U24" s="10">
        <f xml:space="preserve"> - SUMIF(Расчеты!$6:$6,U$6,Расчеты!1214:1214)</f>
        <v>637790.91233443888</v>
      </c>
      <c r="V24" s="10">
        <f xml:space="preserve"> - SUMIF(Расчеты!$6:$6,V$6,Расчеты!1214:1214)</f>
        <v>673933.4840111204</v>
      </c>
      <c r="W24" s="10">
        <f xml:space="preserve"> - SUMIF(Расчеты!$6:$6,W$6,Расчеты!1214:1214)</f>
        <v>712124.24751105381</v>
      </c>
      <c r="X24" s="10">
        <f xml:space="preserve"> - SUMIF(Расчеты!$6:$6,X$6,Расчеты!1214:1214)</f>
        <v>0</v>
      </c>
      <c r="Y24" s="10">
        <f xml:space="preserve"> - SUMIF(Расчеты!$6:$6,Y$6,Расчеты!1214:1214)</f>
        <v>0</v>
      </c>
      <c r="Z24" s="10">
        <f xml:space="preserve"> - SUMIF(Расчеты!$6:$6,Z$6,Расчеты!1214:1214)</f>
        <v>0</v>
      </c>
      <c r="AA24" s="10">
        <f xml:space="preserve"> - SUMIF(Расчеты!$6:$6,AA$6,Расчеты!1214:1214)</f>
        <v>0</v>
      </c>
      <c r="AB24" s="10">
        <f xml:space="preserve"> - SUMIF(Расчеты!$6:$6,AB$6,Расчеты!1214:1214)</f>
        <v>0</v>
      </c>
      <c r="AC24" s="10">
        <f xml:space="preserve"> - SUMIF(Расчеты!$6:$6,AC$6,Расчеты!1214:1214)</f>
        <v>0</v>
      </c>
      <c r="AD24" s="10">
        <f xml:space="preserve"> - SUMIF(Расчеты!$6:$6,AD$6,Расчеты!1214:1214)</f>
        <v>0</v>
      </c>
      <c r="AE24" s="10">
        <f xml:space="preserve"> - SUMIF(Расчеты!$6:$6,AE$6,Расчеты!1214:1214)</f>
        <v>0</v>
      </c>
      <c r="AF24" s="10">
        <f xml:space="preserve"> - SUMIF(Расчеты!$6:$6,AF$6,Расчеты!1214:1214)</f>
        <v>0</v>
      </c>
      <c r="AG24" s="10">
        <f xml:space="preserve"> - SUMIF(Расчеты!$6:$6,AG$6,Расчеты!1214:1214)</f>
        <v>0</v>
      </c>
      <c r="AH24" s="10">
        <f xml:space="preserve"> - SUMIF(Расчеты!$6:$6,AH$6,Расчеты!1214:1214)</f>
        <v>0</v>
      </c>
      <c r="AI24" s="10">
        <f xml:space="preserve"> - SUMIF(Расчеты!$6:$6,AI$6,Расчеты!1214:1214)</f>
        <v>0</v>
      </c>
      <c r="AJ24" s="10">
        <f xml:space="preserve"> - SUMIF(Расчеты!$6:$6,AJ$6,Расчеты!1214:1214)</f>
        <v>0</v>
      </c>
      <c r="AK24" s="10">
        <f xml:space="preserve"> - SUMIF(Расчеты!$6:$6,AK$6,Расчеты!1214:1214)</f>
        <v>0</v>
      </c>
      <c r="AL24" s="10"/>
      <c r="AM24" s="10"/>
    </row>
    <row r="25" spans="1:39" s="141" customFormat="1" ht="15" customHeight="1">
      <c r="A25" s="153"/>
      <c r="B25" s="153"/>
      <c r="C25" s="17" t="s">
        <v>780</v>
      </c>
      <c r="D25" s="153"/>
      <c r="E25" s="11"/>
      <c r="F25" s="11"/>
      <c r="G25" s="11"/>
      <c r="H25" s="153"/>
      <c r="I25" s="155"/>
      <c r="J25" s="153"/>
      <c r="K25" s="153"/>
      <c r="L25" s="10">
        <f ca="1" xml:space="preserve"> SUMIF(Расчеты!$6:$6,L$6,Расчеты!1480:1480)</f>
        <v>0</v>
      </c>
      <c r="M25" s="10">
        <f ca="1" xml:space="preserve"> SUMIF(Расчеты!$6:$6,M$6,Расчеты!1480:1480)</f>
        <v>0</v>
      </c>
      <c r="N25" s="10">
        <f ca="1" xml:space="preserve"> SUMIF(Расчеты!$6:$6,N$6,Расчеты!1480:1480)</f>
        <v>0</v>
      </c>
      <c r="O25" s="10">
        <f ca="1" xml:space="preserve"> SUMIF(Расчеты!$6:$6,O$6,Расчеты!1480:1480)</f>
        <v>0</v>
      </c>
      <c r="P25" s="10">
        <f ca="1" xml:space="preserve"> SUMIF(Расчеты!$6:$6,P$6,Расчеты!1480:1480)</f>
        <v>2688512.1751269433</v>
      </c>
      <c r="Q25" s="10">
        <f ca="1" xml:space="preserve"> SUMIF(Расчеты!$6:$6,Q$6,Расчеты!1480:1480)</f>
        <v>3045436.0646649171</v>
      </c>
      <c r="R25" s="10">
        <f ca="1" xml:space="preserve"> SUMIF(Расчеты!$6:$6,R$6,Расчеты!1480:1480)</f>
        <v>2154305.7112425896</v>
      </c>
      <c r="S25" s="10">
        <f ca="1" xml:space="preserve"> SUMIF(Расчеты!$6:$6,S$6,Расчеты!1480:1480)</f>
        <v>1385457.5495545887</v>
      </c>
      <c r="T25" s="10">
        <f ca="1" xml:space="preserve"> SUMIF(Расчеты!$6:$6,T$6,Расчеты!1480:1480)</f>
        <v>1179930.1421569034</v>
      </c>
      <c r="U25" s="10">
        <f ca="1" xml:space="preserve"> SUMIF(Расчеты!$6:$6,U$6,Расчеты!1480:1480)</f>
        <v>1004392.5788115433</v>
      </c>
      <c r="V25" s="10">
        <f ca="1" xml:space="preserve"> SUMIF(Расчеты!$6:$6,V$6,Расчеты!1480:1480)</f>
        <v>816562.44177012215</v>
      </c>
      <c r="W25" s="10">
        <f ca="1" xml:space="preserve"> SUMIF(Расчеты!$6:$6,W$6,Расчеты!1480:1480)</f>
        <v>831992.80550670263</v>
      </c>
      <c r="X25" s="10">
        <f ca="1" xml:space="preserve"> SUMIF(Расчеты!$6:$6,X$6,Расчеты!1480:1480)</f>
        <v>822485.44224310992</v>
      </c>
      <c r="Y25" s="10">
        <f ca="1" xml:space="preserve"> SUMIF(Расчеты!$6:$6,Y$6,Расчеты!1480:1480)</f>
        <v>842664.11652800627</v>
      </c>
      <c r="Z25" s="10">
        <f ca="1" xml:space="preserve"> SUMIF(Расчеты!$6:$6,Z$6,Расчеты!1480:1480)</f>
        <v>818616.70790710021</v>
      </c>
      <c r="AA25" s="10">
        <f ca="1" xml:space="preserve"> SUMIF(Расчеты!$6:$6,AA$6,Расчеты!1480:1480)</f>
        <v>852864.09115192026</v>
      </c>
      <c r="AB25" s="10">
        <f ca="1" xml:space="preserve"> SUMIF(Расчеты!$6:$6,AB$6,Расчеты!1480:1480)</f>
        <v>885002.38998968853</v>
      </c>
      <c r="AC25" s="10">
        <f ca="1" xml:space="preserve"> SUMIF(Расчеты!$6:$6,AC$6,Расчеты!1480:1480)</f>
        <v>920199.87299901794</v>
      </c>
      <c r="AD25" s="10">
        <f ca="1" xml:space="preserve"> SUMIF(Расчеты!$6:$6,AD$6,Расчеты!1480:1480)</f>
        <v>956805.21814828669</v>
      </c>
      <c r="AE25" s="10">
        <f ca="1" xml:space="preserve"> SUMIF(Расчеты!$6:$6,AE$6,Расчеты!1480:1480)</f>
        <v>996869.81259483867</v>
      </c>
      <c r="AF25" s="10">
        <f ca="1" xml:space="preserve"> SUMIF(Расчеты!$6:$6,AF$6,Расчеты!1480:1480)</f>
        <v>429381.78214339697</v>
      </c>
      <c r="AG25" s="10">
        <f xml:space="preserve"> SUMIF(Расчеты!$6:$6,AG$6,Расчеты!1480:1480)</f>
        <v>0</v>
      </c>
      <c r="AH25" s="10">
        <f xml:space="preserve"> SUMIF(Расчеты!$6:$6,AH$6,Расчеты!1480:1480)</f>
        <v>0</v>
      </c>
      <c r="AI25" s="10">
        <f xml:space="preserve"> SUMIF(Расчеты!$6:$6,AI$6,Расчеты!1480:1480)</f>
        <v>0</v>
      </c>
      <c r="AJ25" s="10">
        <f xml:space="preserve"> SUMIF(Расчеты!$6:$6,AJ$6,Расчеты!1480:1480)</f>
        <v>0</v>
      </c>
      <c r="AK25" s="10">
        <f xml:space="preserve"> SUMIF(Расчеты!$6:$6,AK$6,Расчеты!1480:1480)</f>
        <v>0</v>
      </c>
      <c r="AL25" s="10"/>
      <c r="AM25"/>
    </row>
    <row r="26" spans="1:39" s="141" customFormat="1" ht="15" customHeight="1">
      <c r="A26" s="153"/>
      <c r="B26" s="153"/>
      <c r="C26" s="17"/>
      <c r="D26" s="153"/>
      <c r="E26" s="11"/>
      <c r="F26" s="11"/>
      <c r="G26" s="11"/>
      <c r="H26" s="153"/>
      <c r="I26" s="155"/>
      <c r="J26" s="153"/>
      <c r="K26" s="153"/>
      <c r="L26" s="149"/>
      <c r="M26" s="149"/>
      <c r="N26" s="149"/>
      <c r="O26" s="149"/>
      <c r="P26" s="149"/>
      <c r="Q26" s="149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141" customFormat="1" ht="15" customHeight="1" thickBot="1">
      <c r="A27" s="153"/>
      <c r="B27" s="153"/>
      <c r="C27" s="12" t="s">
        <v>595</v>
      </c>
      <c r="D27" s="12"/>
      <c r="E27" s="12"/>
      <c r="F27" s="12"/>
      <c r="G27" s="12"/>
      <c r="H27" s="12"/>
      <c r="I27" s="12"/>
      <c r="J27" s="153"/>
      <c r="K27" s="153"/>
      <c r="L27" s="149"/>
      <c r="M27" s="149"/>
      <c r="N27" s="149"/>
      <c r="O27" s="149"/>
      <c r="P27" s="149"/>
      <c r="Q27" s="1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141" customFormat="1" ht="15" customHeight="1">
      <c r="A28" s="153"/>
      <c r="B28" s="153"/>
      <c r="C28" s="17"/>
      <c r="D28" s="153"/>
      <c r="E28" s="11"/>
      <c r="F28" s="11"/>
      <c r="G28" s="11"/>
      <c r="H28" s="153"/>
      <c r="I28" s="155"/>
      <c r="J28" s="153"/>
      <c r="K28" s="153"/>
      <c r="L28" s="149"/>
      <c r="M28" s="149"/>
      <c r="N28" s="149"/>
      <c r="O28" s="149"/>
      <c r="P28" s="149"/>
      <c r="Q28" s="149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s="141" customFormat="1" ht="15" customHeight="1">
      <c r="A29" s="153"/>
      <c r="B29" s="153"/>
      <c r="C29" s="17"/>
      <c r="D29" s="153"/>
      <c r="E29" s="11"/>
      <c r="F29" s="11"/>
      <c r="G29" s="11"/>
      <c r="H29" s="153"/>
      <c r="I29" s="155"/>
      <c r="J29" s="153"/>
      <c r="K29" s="153"/>
      <c r="L29" s="149"/>
      <c r="M29" s="149"/>
      <c r="N29" s="149"/>
      <c r="O29" s="149"/>
      <c r="P29" s="149"/>
      <c r="Q29" s="1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s="141" customFormat="1" ht="15" customHeight="1" thickBot="1">
      <c r="A30" s="153"/>
      <c r="B30" s="153"/>
      <c r="C30" s="12" t="s">
        <v>576</v>
      </c>
      <c r="D30" s="12"/>
      <c r="E30" s="12"/>
      <c r="F30" s="12"/>
      <c r="G30" s="12"/>
      <c r="H30" s="12"/>
      <c r="I30" s="12"/>
      <c r="J30" s="153"/>
      <c r="K30" s="153"/>
      <c r="L30" s="149"/>
      <c r="M30" s="149"/>
      <c r="N30" s="149"/>
      <c r="O30" s="149"/>
      <c r="P30" s="149"/>
      <c r="Q30" s="149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141" customFormat="1" ht="15" customHeight="1">
      <c r="A31" s="153"/>
      <c r="B31" s="153"/>
      <c r="C31" s="17"/>
      <c r="D31" s="153"/>
      <c r="E31" s="11"/>
      <c r="F31" s="11"/>
      <c r="G31" s="11"/>
      <c r="H31" s="153"/>
      <c r="I31" s="155"/>
      <c r="J31" s="153"/>
      <c r="K31" s="153"/>
      <c r="L31" s="149"/>
      <c r="M31" s="149"/>
      <c r="N31" s="149"/>
      <c r="O31" s="149"/>
      <c r="P31" s="149"/>
      <c r="Q31" s="1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s="141" customFormat="1" ht="15" customHeight="1">
      <c r="A32" s="153"/>
      <c r="B32" s="153"/>
      <c r="C32" s="17"/>
      <c r="D32" s="153"/>
      <c r="E32" s="11"/>
      <c r="F32" s="11"/>
      <c r="G32" s="11"/>
      <c r="H32" s="153"/>
      <c r="I32" s="155"/>
      <c r="J32" s="153"/>
      <c r="K32" s="153"/>
      <c r="L32" s="149"/>
      <c r="M32" s="149"/>
      <c r="N32" s="149"/>
      <c r="O32" s="149"/>
      <c r="P32" s="149"/>
      <c r="Q32" s="149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41" customFormat="1" ht="15" customHeight="1" thickBot="1">
      <c r="A33" s="153"/>
      <c r="B33" s="153"/>
      <c r="C33" s="12" t="s">
        <v>5</v>
      </c>
      <c r="D33" s="12"/>
      <c r="E33" s="12"/>
      <c r="F33" s="12"/>
      <c r="G33" s="12"/>
      <c r="H33" s="12"/>
      <c r="I33" s="12"/>
      <c r="J33" s="153"/>
      <c r="K33" s="153"/>
      <c r="L33" s="149"/>
      <c r="M33" s="149"/>
      <c r="N33" s="149"/>
      <c r="O33" s="149"/>
      <c r="P33" s="149"/>
      <c r="Q33" s="1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s="141" customFormat="1" ht="15" customHeight="1">
      <c r="A34" s="153"/>
      <c r="B34" s="153"/>
      <c r="C34" s="17"/>
      <c r="D34" s="153"/>
      <c r="E34" s="11"/>
      <c r="F34" s="11"/>
      <c r="G34" s="11"/>
      <c r="H34" s="153"/>
      <c r="I34" s="155"/>
      <c r="J34" s="153"/>
      <c r="K34" s="153"/>
      <c r="L34" s="149"/>
      <c r="M34" s="149"/>
      <c r="N34" s="149"/>
      <c r="O34" s="149"/>
      <c r="P34" s="149"/>
      <c r="Q34" s="149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s="141" customFormat="1" ht="15" customHeight="1">
      <c r="A35" s="153"/>
      <c r="B35" s="153"/>
      <c r="C35" s="17"/>
      <c r="D35" s="153"/>
      <c r="E35" s="11"/>
      <c r="F35" s="11"/>
      <c r="G35" s="11"/>
      <c r="H35" s="153"/>
      <c r="I35" s="155"/>
      <c r="J35" s="153"/>
      <c r="K35" s="153"/>
      <c r="L35" s="149"/>
      <c r="M35" s="149"/>
      <c r="N35" s="149"/>
      <c r="O35" s="149"/>
      <c r="P35" s="149"/>
      <c r="Q35" s="1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s="141" customFormat="1" ht="15" customHeight="1" thickBot="1">
      <c r="A36" s="153"/>
      <c r="B36" s="153"/>
      <c r="C36" s="12" t="s">
        <v>783</v>
      </c>
      <c r="D36" s="12"/>
      <c r="E36" s="12"/>
      <c r="F36" s="12"/>
      <c r="G36" s="12"/>
      <c r="H36" s="12"/>
      <c r="I36" s="12"/>
      <c r="J36" s="153"/>
      <c r="K36" s="153"/>
      <c r="L36" s="149"/>
      <c r="M36" s="149"/>
      <c r="N36" s="149"/>
      <c r="O36" s="149"/>
      <c r="P36" s="149"/>
      <c r="Q36" s="149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s="141" customFormat="1" ht="15" customHeight="1">
      <c r="A37" s="153"/>
      <c r="B37" s="153"/>
      <c r="C37" s="153"/>
      <c r="D37" s="153"/>
      <c r="E37" s="11"/>
      <c r="F37" s="11"/>
      <c r="G37" s="11"/>
      <c r="H37" s="153"/>
      <c r="I37" s="154"/>
      <c r="J37" s="153"/>
      <c r="K37" s="153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141" customFormat="1" ht="15" customHeight="1">
      <c r="A38" s="153"/>
      <c r="B38" s="153"/>
      <c r="C38" s="156" t="s">
        <v>96</v>
      </c>
      <c r="D38" s="153"/>
      <c r="E38" s="11"/>
      <c r="F38" s="11"/>
      <c r="G38" s="11" t="s">
        <v>292</v>
      </c>
      <c r="H38" s="153"/>
      <c r="I38" s="23">
        <f t="shared" ref="I38:I43" ca="1" si="21" xml:space="preserve"> SUM(L38:AL38)</f>
        <v>54850.086519837205</v>
      </c>
      <c r="J38" s="153"/>
      <c r="K38" s="153"/>
      <c r="L38" s="10">
        <f ca="1">SUMIF(Расчеты!$L$6:$CO$6,L$6,Revenue)/Thousand</f>
        <v>0</v>
      </c>
      <c r="M38" s="10">
        <f ca="1">SUMIF(Расчеты!$L$6:$CO$6,M$6,Revenue)/Thousand</f>
        <v>0</v>
      </c>
      <c r="N38" s="10">
        <f ca="1">SUMIF(Расчеты!$L$6:$CO$6,N$6,Revenue)/Thousand</f>
        <v>0</v>
      </c>
      <c r="O38" s="10">
        <f ca="1">SUMIF(Расчеты!$L$6:$CO$6,O$6,Revenue)/Thousand</f>
        <v>0</v>
      </c>
      <c r="P38" s="10">
        <f ca="1">SUMIF(Расчеты!$L$6:$CO$6,P$6,Revenue)/Thousand</f>
        <v>1655.0556470820154</v>
      </c>
      <c r="Q38" s="10">
        <f ca="1">SUMIF(Расчеты!$L$6:$CO$6,Q$6,Revenue)/Thousand</f>
        <v>2375.5502981476925</v>
      </c>
      <c r="R38" s="10">
        <f ca="1">SUMIF(Расчеты!$L$6:$CO$6,R$6,Revenue)/Thousand</f>
        <v>2783.6875045269776</v>
      </c>
      <c r="S38" s="10">
        <f ca="1">SUMIF(Расчеты!$L$6:$CO$6,S$6,Revenue)/Thousand</f>
        <v>3166.4982298717809</v>
      </c>
      <c r="T38" s="10">
        <f ca="1">SUMIF(Расчеты!$L$6:$CO$6,T$6,Revenue)/Thousand</f>
        <v>3301.987594627532</v>
      </c>
      <c r="U38" s="10">
        <f ca="1">SUMIF(Расчеты!$L$6:$CO$6,U$6,Revenue)/Thousand</f>
        <v>3014.031169750117</v>
      </c>
      <c r="V38" s="10">
        <f ca="1">SUMIF(Расчеты!$L$6:$CO$6,V$6,Revenue)/Thousand</f>
        <v>3038.3805611029979</v>
      </c>
      <c r="W38" s="10">
        <f ca="1">SUMIF(Расчеты!$L$6:$CO$6,W$6,Revenue)/Thousand</f>
        <v>3166.2529377585752</v>
      </c>
      <c r="X38" s="10">
        <f ca="1">SUMIF(Расчеты!$L$6:$CO$6,X$6,Revenue)/Thousand</f>
        <v>3286.3124148890015</v>
      </c>
      <c r="Y38" s="10">
        <f ca="1">SUMIF(Расчеты!$L$6:$CO$6,Y$6,Revenue)/Thousand</f>
        <v>3417.7649114845608</v>
      </c>
      <c r="Z38" s="10">
        <f ca="1">SUMIF(Расчеты!$L$6:$CO$6,Z$6,Revenue)/Thousand</f>
        <v>3554.4755079439428</v>
      </c>
      <c r="AA38" s="10">
        <f ca="1">SUMIF(Расчеты!$L$6:$CO$6,AA$6,Revenue)/Thousand</f>
        <v>3704.0681023620145</v>
      </c>
      <c r="AB38" s="10">
        <f ca="1">SUMIF(Расчеты!$L$6:$CO$6,AB$6,Revenue)/Thousand</f>
        <v>3844.5207093921672</v>
      </c>
      <c r="AC38" s="10">
        <f ca="1">SUMIF(Расчеты!$L$6:$CO$6,AC$6,Revenue)/Thousand</f>
        <v>3998.3015377678539</v>
      </c>
      <c r="AD38" s="10">
        <f ca="1">SUMIF(Расчеты!$L$6:$CO$6,AD$6,Revenue)/Thousand</f>
        <v>4158.2335992785675</v>
      </c>
      <c r="AE38" s="10">
        <f ca="1">SUMIF(Расчеты!$L$6:$CO$6,AE$6,Revenue)/Thousand</f>
        <v>4333.235776371157</v>
      </c>
      <c r="AF38" s="10">
        <f ca="1">SUMIF(Расчеты!$L$6:$CO$6,AF$6,Revenue)/Thousand</f>
        <v>2051.7300174802581</v>
      </c>
      <c r="AG38" s="10">
        <f>SUMIF(Расчеты!$L$6:$CO$6,AG$6,Revenue)/Thousand</f>
        <v>0</v>
      </c>
      <c r="AH38" s="10">
        <f>SUMIF(Расчеты!$L$6:$CO$6,AH$6,Revenue)/Thousand</f>
        <v>0</v>
      </c>
      <c r="AI38" s="10">
        <f>SUMIF(Расчеты!$L$6:$CO$6,AI$6,Revenue)/Thousand</f>
        <v>0</v>
      </c>
      <c r="AJ38" s="10">
        <f>SUMIF(Расчеты!$L$6:$CO$6,AJ$6,Revenue)/Thousand</f>
        <v>0</v>
      </c>
      <c r="AK38" s="10">
        <f>SUMIF(Расчеты!$L$6:$CO$6,AK$6,Revenue)/Thousand</f>
        <v>0</v>
      </c>
      <c r="AL38" s="149"/>
      <c r="AM38" s="10"/>
    </row>
    <row r="39" spans="1:39" s="141" customFormat="1" ht="15" customHeight="1">
      <c r="A39" s="153"/>
      <c r="B39" s="153"/>
      <c r="C39" s="156" t="s">
        <v>102</v>
      </c>
      <c r="D39" s="153"/>
      <c r="E39" s="11"/>
      <c r="F39" s="11"/>
      <c r="G39" s="11" t="s">
        <v>292</v>
      </c>
      <c r="H39" s="153"/>
      <c r="I39" s="23">
        <f t="shared" ca="1" si="21"/>
        <v>-38547.379439622062</v>
      </c>
      <c r="J39" s="153"/>
      <c r="K39" s="153"/>
      <c r="L39" s="10">
        <f ca="1">SUMIF(Расчеты!$L$6:$CO$6,L$6,COGS)/Thousand</f>
        <v>0</v>
      </c>
      <c r="M39" s="10">
        <f ca="1">SUMIF(Расчеты!$L$6:$CO$6,M$6,COGS)/Thousand</f>
        <v>0</v>
      </c>
      <c r="N39" s="10">
        <f ca="1">SUMIF(Расчеты!$L$6:$CO$6,N$6,COGS)/Thousand</f>
        <v>0</v>
      </c>
      <c r="O39" s="10">
        <f ca="1">SUMIF(Расчеты!$L$6:$CO$6,O$6,COGS)/Thousand</f>
        <v>0</v>
      </c>
      <c r="P39" s="10">
        <f ca="1">SUMIF(Расчеты!$L$6:$CO$6,P$6,COGS)/Thousand</f>
        <v>-1039.5010183059517</v>
      </c>
      <c r="Q39" s="10">
        <f ca="1">SUMIF(Расчеты!$L$6:$CO$6,Q$6,COGS)/Thousand</f>
        <v>-1491.9846059361523</v>
      </c>
      <c r="R39" s="10">
        <f ca="1">SUMIF(Расчеты!$L$6:$CO$6,R$6,COGS)/Thousand</f>
        <v>-1748.1953846715412</v>
      </c>
      <c r="S39" s="10">
        <f ca="1">SUMIF(Расчеты!$L$6:$CO$6,S$6,COGS)/Thousand</f>
        <v>-1988.5110776680228</v>
      </c>
      <c r="T39" s="10">
        <f ca="1">SUMIF(Расчеты!$L$6:$CO$6,T$6,COGS)/Thousand</f>
        <v>-2073.5934893246385</v>
      </c>
      <c r="U39" s="10">
        <f ca="1">SUMIF(Расчеты!$L$6:$CO$6,U$6,COGS)/Thousand</f>
        <v>-2132.604003842579</v>
      </c>
      <c r="V39" s="10">
        <f ca="1">SUMIF(Расчеты!$L$6:$CO$6,V$6,COGS)/Thousand</f>
        <v>-2212.426109171895</v>
      </c>
      <c r="W39" s="10">
        <f ca="1">SUMIF(Расчеты!$L$6:$CO$6,W$6,COGS)/Thousand</f>
        <v>-2305.5351925638047</v>
      </c>
      <c r="X39" s="10">
        <f ca="1">SUMIF(Расчеты!$L$6:$CO$6,X$6,COGS)/Thousand</f>
        <v>-2392.9600796803206</v>
      </c>
      <c r="Y39" s="10">
        <f ca="1">SUMIF(Расчеты!$L$6:$CO$6,Y$6,COGS)/Thousand</f>
        <v>-2488.6784828675331</v>
      </c>
      <c r="Z39" s="10">
        <f ca="1">SUMIF(Расчеты!$L$6:$CO$6,Z$6,COGS)/Thousand</f>
        <v>-2588.225622182234</v>
      </c>
      <c r="AA39" s="10">
        <f ca="1">SUMIF(Расчеты!$L$6:$CO$6,AA$6,COGS)/Thousand</f>
        <v>-2697.1500804020134</v>
      </c>
      <c r="AB39" s="10">
        <f ca="1">SUMIF(Расчеты!$L$6:$CO$6,AB$6,COGS)/Thousand</f>
        <v>-2799.4248329523039</v>
      </c>
      <c r="AC39" s="10">
        <f ca="1">SUMIF(Расчеты!$L$6:$CO$6,AC$6,COGS)/Thousand</f>
        <v>-2911.4018262703958</v>
      </c>
      <c r="AD39" s="10">
        <f ca="1">SUMIF(Расчеты!$L$6:$CO$6,AD$6,COGS)/Thousand</f>
        <v>-3027.8578993212104</v>
      </c>
      <c r="AE39" s="10">
        <f ca="1">SUMIF(Расчеты!$L$6:$CO$6,AE$6,COGS)/Thousand</f>
        <v>-3155.2841091629834</v>
      </c>
      <c r="AF39" s="10">
        <f ca="1">SUMIF(Расчеты!$L$6:$CO$6,AF$6,COGS)/Thousand</f>
        <v>-1494.0456252984875</v>
      </c>
      <c r="AG39" s="10">
        <f>SUMIF(Расчеты!$L$6:$CO$6,AG$6,COGS)/Thousand</f>
        <v>0</v>
      </c>
      <c r="AH39" s="10">
        <f>SUMIF(Расчеты!$L$6:$CO$6,AH$6,COGS)/Thousand</f>
        <v>0</v>
      </c>
      <c r="AI39" s="10">
        <f>SUMIF(Расчеты!$L$6:$CO$6,AI$6,COGS)/Thousand</f>
        <v>0</v>
      </c>
      <c r="AJ39" s="10">
        <f>SUMIF(Расчеты!$L$6:$CO$6,AJ$6,COGS)/Thousand</f>
        <v>0</v>
      </c>
      <c r="AK39" s="10">
        <f>SUMIF(Расчеты!$L$6:$CO$6,AK$6,COGS)/Thousand</f>
        <v>0</v>
      </c>
      <c r="AL39" s="149"/>
      <c r="AM39" s="10"/>
    </row>
    <row r="40" spans="1:39" s="141" customFormat="1" ht="15" customHeight="1">
      <c r="A40" s="153"/>
      <c r="B40" s="153"/>
      <c r="C40" s="156" t="s">
        <v>136</v>
      </c>
      <c r="D40" s="153"/>
      <c r="E40" s="11"/>
      <c r="F40" s="11"/>
      <c r="G40" s="11" t="s">
        <v>292</v>
      </c>
      <c r="H40" s="153"/>
      <c r="I40" s="23">
        <f t="shared" ca="1" si="21"/>
        <v>-234.39959558506209</v>
      </c>
      <c r="J40" s="153"/>
      <c r="K40" s="153"/>
      <c r="L40" s="10">
        <f ca="1">SUMIF(Расчеты!$L$6:$CO$6,L$6,SGA)/Thousand</f>
        <v>0</v>
      </c>
      <c r="M40" s="10">
        <f ca="1">SUMIF(Расчеты!$L$6:$CO$6,M$6,SGA)/Thousand</f>
        <v>0</v>
      </c>
      <c r="N40" s="10">
        <f ca="1">SUMIF(Расчеты!$L$6:$CO$6,N$6,SGA)/Thousand</f>
        <v>0</v>
      </c>
      <c r="O40" s="10">
        <f ca="1">SUMIF(Расчеты!$L$6:$CO$6,O$6,SGA)/Thousand</f>
        <v>0</v>
      </c>
      <c r="P40" s="10">
        <f ca="1">SUMIF(Расчеты!$L$6:$CO$6,P$6,SGA)/Thousand</f>
        <v>-10.868300250529773</v>
      </c>
      <c r="Q40" s="10">
        <f ca="1">SUMIF(Расчеты!$L$6:$CO$6,Q$6,SGA)/Thousand</f>
        <v>-14.425198514339517</v>
      </c>
      <c r="R40" s="10">
        <f ca="1">SUMIF(Расчеты!$L$6:$CO$6,R$6,SGA)/Thousand</f>
        <v>-14.425198514339517</v>
      </c>
      <c r="S40" s="10">
        <f ca="1">SUMIF(Расчеты!$L$6:$CO$6,S$6,SGA)/Thousand</f>
        <v>-14.425198514339515</v>
      </c>
      <c r="T40" s="10">
        <f ca="1">SUMIF(Расчеты!$L$6:$CO$6,T$6,SGA)/Thousand</f>
        <v>-14.425198514339517</v>
      </c>
      <c r="U40" s="10">
        <f ca="1">SUMIF(Расчеты!$L$6:$CO$6,U$6,SGA)/Thousand</f>
        <v>-14.425198514339517</v>
      </c>
      <c r="V40" s="10">
        <f ca="1">SUMIF(Расчеты!$L$6:$CO$6,V$6,SGA)/Thousand</f>
        <v>-14.425198514339517</v>
      </c>
      <c r="W40" s="10">
        <f ca="1">SUMIF(Расчеты!$L$6:$CO$6,W$6,SGA)/Thousand</f>
        <v>-14.425198514339515</v>
      </c>
      <c r="X40" s="10">
        <f ca="1">SUMIF(Расчеты!$L$6:$CO$6,X$6,SGA)/Thousand</f>
        <v>-14.425198514339517</v>
      </c>
      <c r="Y40" s="10">
        <f ca="1">SUMIF(Расчеты!$L$6:$CO$6,Y$6,SGA)/Thousand</f>
        <v>-14.425198514339517</v>
      </c>
      <c r="Z40" s="10">
        <f ca="1">SUMIF(Расчеты!$L$6:$CO$6,Z$6,SGA)/Thousand</f>
        <v>-14.425198514339517</v>
      </c>
      <c r="AA40" s="10">
        <f ca="1">SUMIF(Расчеты!$L$6:$CO$6,AA$6,SGA)/Thousand</f>
        <v>-14.425198514339515</v>
      </c>
      <c r="AB40" s="10">
        <f ca="1">SUMIF(Расчеты!$L$6:$CO$6,AB$6,SGA)/Thousand</f>
        <v>-14.425198514339517</v>
      </c>
      <c r="AC40" s="10">
        <f ca="1">SUMIF(Расчеты!$L$6:$CO$6,AC$6,SGA)/Thousand</f>
        <v>-14.425198514339517</v>
      </c>
      <c r="AD40" s="10">
        <f ca="1">SUMIF(Расчеты!$L$6:$CO$6,AD$6,SGA)/Thousand</f>
        <v>-14.425198514339517</v>
      </c>
      <c r="AE40" s="10">
        <f ca="1">SUMIF(Расчеты!$L$6:$CO$6,AE$6,SGA)/Thousand</f>
        <v>-14.425198514339515</v>
      </c>
      <c r="AF40" s="10">
        <f ca="1">SUMIF(Расчеты!$L$6:$CO$6,AF$6,SGA)/Thousand</f>
        <v>-7.1533176194395942</v>
      </c>
      <c r="AG40" s="10">
        <f>SUMIF(Расчеты!$L$6:$CO$6,AG$6,SGA)/Thousand</f>
        <v>0</v>
      </c>
      <c r="AH40" s="10">
        <f>SUMIF(Расчеты!$L$6:$CO$6,AH$6,SGA)/Thousand</f>
        <v>0</v>
      </c>
      <c r="AI40" s="10">
        <f>SUMIF(Расчеты!$L$6:$CO$6,AI$6,SGA)/Thousand</f>
        <v>0</v>
      </c>
      <c r="AJ40" s="10">
        <f>SUMIF(Расчеты!$L$6:$CO$6,AJ$6,SGA)/Thousand</f>
        <v>0</v>
      </c>
      <c r="AK40" s="10">
        <f>SUMIF(Расчеты!$L$6:$CO$6,AK$6,SGA)/Thousand</f>
        <v>0</v>
      </c>
      <c r="AL40" s="149"/>
      <c r="AM40" s="10"/>
    </row>
    <row r="41" spans="1:39" s="158" customFormat="1" ht="15" customHeight="1">
      <c r="A41" s="153"/>
      <c r="B41" s="153"/>
      <c r="C41" s="156" t="s">
        <v>107</v>
      </c>
      <c r="D41" s="153"/>
      <c r="E41" s="11"/>
      <c r="F41" s="11"/>
      <c r="G41" s="11" t="s">
        <v>292</v>
      </c>
      <c r="H41" s="153"/>
      <c r="I41" s="23">
        <f t="shared" ca="1" si="21"/>
        <v>-1246.05187098082</v>
      </c>
      <c r="J41" s="153"/>
      <c r="K41" s="153"/>
      <c r="L41" s="10">
        <f ca="1">SUMIF(Расчеты!$L$6:$CO$6,L$6,Profits_Tax)/Thousand</f>
        <v>0</v>
      </c>
      <c r="M41" s="10">
        <f ca="1">SUMIF(Расчеты!$L$6:$CO$6,M$6,Profits_Tax)/Thousand</f>
        <v>0</v>
      </c>
      <c r="N41" s="10">
        <f ca="1">SUMIF(Расчеты!$L$6:$CO$6,N$6,Profits_Tax)/Thousand</f>
        <v>0</v>
      </c>
      <c r="O41" s="10">
        <f ca="1">SUMIF(Расчеты!$L$6:$CO$6,O$6,Profits_Tax)/Thousand</f>
        <v>0</v>
      </c>
      <c r="P41" s="10">
        <f ca="1">SUMIF(Расчеты!$L$6:$CO$6,P$6,Profits_Tax)/Thousand</f>
        <v>-1.7329581775828578</v>
      </c>
      <c r="Q41" s="10">
        <f ca="1">SUMIF(Расчеты!$L$6:$CO$6,Q$6,Profits_Tax)/Thousand</f>
        <v>-4.2274596235013009</v>
      </c>
      <c r="R41" s="10">
        <f ca="1">SUMIF(Расчеты!$L$6:$CO$6,R$6,Profits_Tax)/Thousand</f>
        <v>-6.0366455907531194</v>
      </c>
      <c r="S41" s="10">
        <f ca="1">SUMIF(Расчеты!$L$6:$CO$6,S$6,Profits_Tax)/Thousand</f>
        <v>-9.908839467119499</v>
      </c>
      <c r="T41" s="10">
        <f ca="1">SUMIF(Расчеты!$L$6:$CO$6,T$6,Profits_Tax)/Thousand</f>
        <v>-24.873347569397424</v>
      </c>
      <c r="U41" s="10">
        <f ca="1">SUMIF(Расчеты!$L$6:$CO$6,U$6,Profits_Tax)/Thousand</f>
        <v>-38.276764584929936</v>
      </c>
      <c r="V41" s="10">
        <f ca="1">SUMIF(Расчеты!$L$6:$CO$6,V$6,Profits_Tax)/Thousand</f>
        <v>-36.658956733864287</v>
      </c>
      <c r="W41" s="10">
        <f ca="1">SUMIF(Расчеты!$L$6:$CO$6,W$6,Profits_Tax)/Thousand</f>
        <v>-47.578705147279798</v>
      </c>
      <c r="X41" s="10">
        <f ca="1">SUMIF(Расчеты!$L$6:$CO$6,X$6,Profits_Tax)/Thousand</f>
        <v>-53.732076401924751</v>
      </c>
      <c r="Y41" s="10">
        <f ca="1">SUMIF(Расчеты!$L$6:$CO$6,Y$6,Profits_Tax)/Thousand</f>
        <v>-69.179142585394473</v>
      </c>
      <c r="Z41" s="10">
        <f ca="1">SUMIF(Расчеты!$L$6:$CO$6,Z$6,Profits_Tax)/Thousand</f>
        <v>-130.27728951140986</v>
      </c>
      <c r="AA41" s="10">
        <f ca="1">SUMIF(Расчеты!$L$6:$CO$6,AA$6,Profits_Tax)/Thousand</f>
        <v>-136.58085062214514</v>
      </c>
      <c r="AB41" s="10">
        <f ca="1">SUMIF(Расчеты!$L$6:$CO$6,AB$6,Profits_Tax)/Thousand</f>
        <v>-142.49841806652384</v>
      </c>
      <c r="AC41" s="10">
        <f ca="1">SUMIF(Расчеты!$L$6:$CO$6,AC$6,Profits_Tax)/Thousand</f>
        <v>-148.97801250045106</v>
      </c>
      <c r="AD41" s="10">
        <f ca="1">SUMIF(Расчеты!$L$6:$CO$6,AD$6,Profits_Tax)/Thousand</f>
        <v>-155.71679071173534</v>
      </c>
      <c r="AE41" s="10">
        <f ca="1">SUMIF(Расчеты!$L$6:$CO$6,AE$6,Profits_Tax)/Thousand</f>
        <v>-163.09106563561201</v>
      </c>
      <c r="AF41" s="10">
        <f ca="1">SUMIF(Расчеты!$L$6:$CO$6,AF$6,Profits_Tax)/Thousand</f>
        <v>-76.704548051195161</v>
      </c>
      <c r="AG41" s="10">
        <f>SUMIF(Расчеты!$L$6:$CO$6,AG$6,Profits_Tax)/Thousand</f>
        <v>0</v>
      </c>
      <c r="AH41" s="10">
        <f>SUMIF(Расчеты!$L$6:$CO$6,AH$6,Profits_Tax)/Thousand</f>
        <v>0</v>
      </c>
      <c r="AI41" s="10">
        <f>SUMIF(Расчеты!$L$6:$CO$6,AI$6,Profits_Tax)/Thousand</f>
        <v>0</v>
      </c>
      <c r="AJ41" s="10">
        <f>SUMIF(Расчеты!$L$6:$CO$6,AJ$6,Profits_Tax)/Thousand</f>
        <v>0</v>
      </c>
      <c r="AK41" s="10">
        <f>SUMIF(Расчеты!$L$6:$CO$6,AK$6,Profits_Tax)/Thousand</f>
        <v>0</v>
      </c>
      <c r="AL41" s="149"/>
      <c r="AM41" s="10"/>
    </row>
    <row r="42" spans="1:39" s="158" customFormat="1" ht="15" customHeight="1" thickBot="1">
      <c r="A42" s="153"/>
      <c r="B42" s="153"/>
      <c r="C42" s="156" t="s">
        <v>211</v>
      </c>
      <c r="D42" s="153"/>
      <c r="E42" s="11"/>
      <c r="F42" s="11"/>
      <c r="G42" s="11" t="s">
        <v>292</v>
      </c>
      <c r="H42" s="153"/>
      <c r="I42" s="23">
        <f t="shared" ca="1" si="21"/>
        <v>-137.15114198900864</v>
      </c>
      <c r="J42" s="153"/>
      <c r="K42" s="153"/>
      <c r="L42" s="10">
        <f ca="1">(SUMIF(Расчеты!$L$6:$CO$6,L$6,WC_Cash_Flow)+SUMIF(Расчеты!$L$6:$CO$6,L$6,VAT_Cash_Flow))/Thousand</f>
        <v>-21.387476153701183</v>
      </c>
      <c r="M42" s="10">
        <f ca="1">(SUMIF(Расчеты!$L$6:$CO$6,M$6,WC_Cash_Flow)+SUMIF(Расчеты!$L$6:$CO$6,M$6,VAT_Cash_Flow))/Thousand</f>
        <v>-186.46104061465286</v>
      </c>
      <c r="N42" s="10">
        <f ca="1">(SUMIF(Расчеты!$L$6:$CO$6,N$6,WC_Cash_Flow)+SUMIF(Расчеты!$L$6:$CO$6,N$6,VAT_Cash_Flow))/Thousand</f>
        <v>-193.91948223923899</v>
      </c>
      <c r="O42" s="10">
        <f ca="1">(SUMIF(Расчеты!$L$6:$CO$6,O$6,WC_Cash_Flow)+SUMIF(Расчеты!$L$6:$CO$6,O$6,VAT_Cash_Flow))/Thousand</f>
        <v>-421.18252756295527</v>
      </c>
      <c r="P42" s="10">
        <f ca="1">(SUMIF(Расчеты!$L$6:$CO$6,P$6,WC_Cash_Flow)+SUMIF(Расчеты!$L$6:$CO$6,P$6,VAT_Cash_Flow))/Thousand</f>
        <v>672.75303924989828</v>
      </c>
      <c r="Q42" s="10">
        <f ca="1">(SUMIF(Расчеты!$L$6:$CO$6,Q$6,WC_Cash_Flow)+SUMIF(Расчеты!$L$6:$CO$6,Q$6,VAT_Cash_Flow))/Thousand</f>
        <v>-27.729800269808997</v>
      </c>
      <c r="R42" s="10">
        <f ca="1">(SUMIF(Расчеты!$L$6:$CO$6,R$6,WC_Cash_Flow)+SUMIF(Расчеты!$L$6:$CO$6,R$6,VAT_Cash_Flow))/Thousand</f>
        <v>-29.707868311681029</v>
      </c>
      <c r="S42" s="10">
        <f ca="1">(SUMIF(Расчеты!$L$6:$CO$6,S$6,WC_Cash_Flow)+SUMIF(Расчеты!$L$6:$CO$6,S$6,VAT_Cash_Flow))/Thousand</f>
        <v>-21.495951746802966</v>
      </c>
      <c r="T42" s="10">
        <f ca="1">(SUMIF(Расчеты!$L$6:$CO$6,T$6,WC_Cash_Flow)+SUMIF(Расчеты!$L$6:$CO$6,T$6,VAT_Cash_Flow))/Thousand</f>
        <v>-9.1654170622531677</v>
      </c>
      <c r="U42" s="10">
        <f ca="1">(SUMIF(Расчеты!$L$6:$CO$6,U$6,WC_Cash_Flow)+SUMIF(Расчеты!$L$6:$CO$6,U$6,VAT_Cash_Flow))/Thousand</f>
        <v>175.66737600327494</v>
      </c>
      <c r="V42" s="10">
        <f ca="1">(SUMIF(Расчеты!$L$6:$CO$6,V$6,WC_Cash_Flow)+SUMIF(Расчеты!$L$6:$CO$6,V$6,VAT_Cash_Flow))/Thousand</f>
        <v>-2.5051659483168041</v>
      </c>
      <c r="W42" s="10">
        <f ca="1">(SUMIF(Расчеты!$L$6:$CO$6,W$6,WC_Cash_Flow)+SUMIF(Расчеты!$L$6:$CO$6,W$6,VAT_Cash_Flow))/Thousand</f>
        <v>-2.6053420266427274</v>
      </c>
      <c r="X42" s="10">
        <f ca="1">(SUMIF(Расчеты!$L$6:$CO$6,X$6,WC_Cash_Flow)+SUMIF(Расчеты!$L$6:$CO$6,X$6,VAT_Cash_Flow))/Thousand</f>
        <v>-2.7096180493061546</v>
      </c>
      <c r="Y42" s="10">
        <f ca="1">(SUMIF(Расчеты!$L$6:$CO$6,Y$6,WC_Cash_Flow)+SUMIF(Расчеты!$L$6:$CO$6,Y$6,VAT_Cash_Flow))/Thousand</f>
        <v>-2.8179709892877143</v>
      </c>
      <c r="Z42" s="10">
        <f ca="1">(SUMIF(Расчеты!$L$6:$CO$6,Z$6,WC_Cash_Flow)+SUMIF(Расчеты!$L$6:$CO$6,Z$6,VAT_Cash_Flow))/Thousand</f>
        <v>-2.9306898288587688</v>
      </c>
      <c r="AA42" s="10">
        <f ca="1">(SUMIF(Расчеты!$L$6:$CO$6,AA$6,WC_Cash_Flow)+SUMIF(Расчеты!$L$6:$CO$6,AA$6,VAT_Cash_Flow))/Thousand</f>
        <v>-3.0478816715957948</v>
      </c>
      <c r="AB42" s="10">
        <f ca="1">(SUMIF(Расчеты!$L$6:$CO$6,AB$6,WC_Cash_Flow)+SUMIF(Расчеты!$L$6:$CO$6,AB$6,VAT_Cash_Flow))/Thousand</f>
        <v>-3.1698698693114857</v>
      </c>
      <c r="AC42" s="10">
        <f ca="1">(SUMIF(Расчеты!$L$6:$CO$6,AC$6,WC_Cash_Flow)+SUMIF(Расчеты!$L$6:$CO$6,AC$6,VAT_Cash_Flow))/Thousand</f>
        <v>-3.2966274836497322</v>
      </c>
      <c r="AD42" s="10">
        <f ca="1">(SUMIF(Расчеты!$L$6:$CO$6,AD$6,WC_Cash_Flow)+SUMIF(Расчеты!$L$6:$CO$6,AD$6,VAT_Cash_Flow))/Thousand</f>
        <v>-3.4284925829953865</v>
      </c>
      <c r="AE42" s="10">
        <f ca="1">(SUMIF(Расчеты!$L$6:$CO$6,AE$6,WC_Cash_Flow)+SUMIF(Расчеты!$L$6:$CO$6,AE$6,VAT_Cash_Flow))/Thousand</f>
        <v>-3.5655904633836473</v>
      </c>
      <c r="AF42" s="10">
        <f ca="1">(SUMIF(Расчеты!$L$6:$CO$6,AF$6,WC_Cash_Flow)+SUMIF(Расчеты!$L$6:$CO$6,AF$6,VAT_Cash_Flow))/Thousand</f>
        <v>-44.444744367739069</v>
      </c>
      <c r="AG42" s="10">
        <f>(SUMIF(Расчеты!$L$6:$CO$6,AG$6,WC_Cash_Flow)+SUMIF(Расчеты!$L$6:$CO$6,AG$6,VAT_Cash_Flow))/Thousand</f>
        <v>0</v>
      </c>
      <c r="AH42" s="10">
        <f>(SUMIF(Расчеты!$L$6:$CO$6,AH$6,WC_Cash_Flow)+SUMIF(Расчеты!$L$6:$CO$6,AH$6,VAT_Cash_Flow))/Thousand</f>
        <v>0</v>
      </c>
      <c r="AI42" s="10">
        <f>(SUMIF(Расчеты!$L$6:$CO$6,AI$6,WC_Cash_Flow)+SUMIF(Расчеты!$L$6:$CO$6,AI$6,VAT_Cash_Flow))/Thousand</f>
        <v>0</v>
      </c>
      <c r="AJ42" s="10">
        <f>(SUMIF(Расчеты!$L$6:$CO$6,AJ$6,WC_Cash_Flow)+SUMIF(Расчеты!$L$6:$CO$6,AJ$6,VAT_Cash_Flow))/Thousand</f>
        <v>0</v>
      </c>
      <c r="AK42" s="10">
        <f>(SUMIF(Расчеты!$L$6:$CO$6,AK$6,WC_Cash_Flow)+SUMIF(Расчеты!$L$6:$CO$6,AK$6,VAT_Cash_Flow))/Thousand</f>
        <v>0</v>
      </c>
      <c r="AL42" s="149"/>
      <c r="AM42" s="10"/>
    </row>
    <row r="43" spans="1:39" s="141" customFormat="1" ht="15" customHeight="1" thickTop="1">
      <c r="A43" s="153"/>
      <c r="B43" s="153"/>
      <c r="C43" s="49" t="s">
        <v>555</v>
      </c>
      <c r="D43" s="49"/>
      <c r="E43" s="49"/>
      <c r="F43" s="49"/>
      <c r="G43" s="159" t="s">
        <v>292</v>
      </c>
      <c r="H43" s="49"/>
      <c r="I43" s="23">
        <f t="shared" ca="1" si="21"/>
        <v>14685.104471660252</v>
      </c>
      <c r="J43" s="49"/>
      <c r="K43" s="49"/>
      <c r="L43" s="49">
        <f t="shared" ref="L43" ca="1" si="22">SUM(L38:L42)</f>
        <v>-21.387476153701183</v>
      </c>
      <c r="M43" s="49">
        <f ca="1">SUM(M38:M42)</f>
        <v>-186.46104061465286</v>
      </c>
      <c r="N43" s="49">
        <f t="shared" ref="N43:Z43" ca="1" si="23">SUM(N38:N42)</f>
        <v>-193.91948223923899</v>
      </c>
      <c r="O43" s="49">
        <f t="shared" ca="1" si="23"/>
        <v>-421.18252756295527</v>
      </c>
      <c r="P43" s="49">
        <f t="shared" ca="1" si="23"/>
        <v>1275.7064095978494</v>
      </c>
      <c r="Q43" s="49">
        <f t="shared" ca="1" si="23"/>
        <v>837.1832338038904</v>
      </c>
      <c r="R43" s="49">
        <f t="shared" ca="1" si="23"/>
        <v>985.32240743866271</v>
      </c>
      <c r="S43" s="49">
        <f t="shared" ca="1" si="23"/>
        <v>1132.1571624754959</v>
      </c>
      <c r="T43" s="49">
        <f t="shared" ca="1" si="23"/>
        <v>1179.930142156903</v>
      </c>
      <c r="U43" s="49">
        <f t="shared" ca="1" si="23"/>
        <v>1004.3925788115434</v>
      </c>
      <c r="V43" s="49">
        <f t="shared" ca="1" si="23"/>
        <v>772.36513073458229</v>
      </c>
      <c r="W43" s="49">
        <f t="shared" ca="1" si="23"/>
        <v>796.10849950650845</v>
      </c>
      <c r="X43" s="49">
        <f t="shared" ca="1" si="23"/>
        <v>822.48544224311047</v>
      </c>
      <c r="Y43" s="49">
        <f t="shared" ca="1" si="23"/>
        <v>842.66411652800593</v>
      </c>
      <c r="Z43" s="49">
        <f t="shared" ca="1" si="23"/>
        <v>818.61670790710059</v>
      </c>
      <c r="AA43" s="49">
        <f t="shared" ref="AA43:AK43" ca="1" si="24">SUM(AA38:AA42)</f>
        <v>852.86409115192077</v>
      </c>
      <c r="AB43" s="49">
        <f t="shared" ca="1" si="24"/>
        <v>885.00238998968837</v>
      </c>
      <c r="AC43" s="49">
        <f t="shared" ca="1" si="24"/>
        <v>920.19987299901766</v>
      </c>
      <c r="AD43" s="49">
        <f t="shared" ca="1" si="24"/>
        <v>956.8052181482866</v>
      </c>
      <c r="AE43" s="49">
        <f t="shared" ca="1" si="24"/>
        <v>996.86981259483832</v>
      </c>
      <c r="AF43" s="49">
        <f t="shared" ca="1" si="24"/>
        <v>429.38178214339678</v>
      </c>
      <c r="AG43" s="49">
        <f t="shared" si="24"/>
        <v>0</v>
      </c>
      <c r="AH43" s="49">
        <f t="shared" si="24"/>
        <v>0</v>
      </c>
      <c r="AI43" s="49">
        <f t="shared" si="24"/>
        <v>0</v>
      </c>
      <c r="AJ43" s="49">
        <f t="shared" si="24"/>
        <v>0</v>
      </c>
      <c r="AK43" s="49">
        <f t="shared" si="24"/>
        <v>0</v>
      </c>
      <c r="AL43" s="160"/>
      <c r="AM43" s="35"/>
    </row>
    <row r="44" spans="1:39" s="158" customFormat="1" ht="15" customHeight="1" thickBot="1">
      <c r="A44" s="153"/>
      <c r="B44" s="153"/>
      <c r="C44" s="153"/>
      <c r="D44" s="153"/>
      <c r="E44" s="11"/>
      <c r="F44" s="11"/>
      <c r="G44" s="11"/>
      <c r="H44" s="153"/>
      <c r="I44" s="154"/>
      <c r="J44" s="153"/>
      <c r="K44" s="153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s="158" customFormat="1" ht="15" customHeight="1" thickTop="1">
      <c r="A45" s="153"/>
      <c r="B45" s="153"/>
      <c r="C45" s="161" t="s">
        <v>557</v>
      </c>
      <c r="D45" s="161"/>
      <c r="E45" s="162"/>
      <c r="F45" s="162"/>
      <c r="G45" s="162" t="s">
        <v>292</v>
      </c>
      <c r="H45" s="161"/>
      <c r="I45" s="163">
        <f xml:space="preserve"> SUM(L45:AL45)</f>
        <v>-1350.9131482971611</v>
      </c>
      <c r="J45" s="161"/>
      <c r="K45" s="161"/>
      <c r="L45" s="49">
        <f>(SUMIF(Расчеты!$L$6:$CO$6,L$6,Bank_Fees)+SUMIF(Расчеты!$L$6:$CO$6,L$6,Debt_Interest_Paid)+SUMIF(Расчеты!$L$6:$CO$6,L$6,Debt_Repaiment)+SUMIF(Расчеты!$L$6:$CO$6,L$6,Debt_Drawdown))/Thousand</f>
        <v>0</v>
      </c>
      <c r="M45" s="49">
        <f>(SUMIF(Расчеты!$L$6:$CO$6,M$6,Bank_Fees)+SUMIF(Расчеты!$L$6:$CO$6,M$6,Debt_Interest_Paid)+SUMIF(Расчеты!$L$6:$CO$6,M$6,Debt_Repaiment)+SUMIF(Расчеты!$L$6:$CO$6,M$6,Debt_Drawdown))/Thousand</f>
        <v>92.336227720487486</v>
      </c>
      <c r="N45" s="49">
        <f>(SUMIF(Расчеты!$L$6:$CO$6,N$6,Bank_Fees)+SUMIF(Расчеты!$L$6:$CO$6,N$6,Debt_Interest_Paid)+SUMIF(Расчеты!$L$6:$CO$6,N$6,Debt_Repaiment)+SUMIF(Расчеты!$L$6:$CO$6,N$6,Debt_Drawdown))/Thousand</f>
        <v>1113.8445133924909</v>
      </c>
      <c r="O45" s="49">
        <f>(SUMIF(Расчеты!$L$6:$CO$6,O$6,Bank_Fees)+SUMIF(Расчеты!$L$6:$CO$6,O$6,Debt_Interest_Paid)+SUMIF(Расчеты!$L$6:$CO$6,O$6,Debt_Repaiment)+SUMIF(Расчеты!$L$6:$CO$6,O$6,Debt_Drawdown))/Thousand</f>
        <v>2380.217200239902</v>
      </c>
      <c r="P45" s="49">
        <f>(SUMIF(Расчеты!$L$6:$CO$6,P$6,Bank_Fees)+SUMIF(Расчеты!$L$6:$CO$6,P$6,Debt_Interest_Paid)+SUMIF(Расчеты!$L$6:$CO$6,P$6,Debt_Repaiment)+SUMIF(Расчеты!$L$6:$CO$6,P$6,Debt_Drawdown))/Thousand</f>
        <v>221.09567386041942</v>
      </c>
      <c r="Q45" s="49">
        <f>(SUMIF(Расчеты!$L$6:$CO$6,Q$6,Bank_Fees)+SUMIF(Расчеты!$L$6:$CO$6,Q$6,Debt_Interest_Paid)+SUMIF(Расчеты!$L$6:$CO$6,Q$6,Debt_Repaiment)+SUMIF(Расчеты!$L$6:$CO$6,Q$6,Debt_Drawdown))/Thousand</f>
        <v>-736.90735775815074</v>
      </c>
      <c r="R45" s="49">
        <f>(SUMIF(Расчеты!$L$6:$CO$6,R$6,Bank_Fees)+SUMIF(Расчеты!$L$6:$CO$6,R$6,Debt_Interest_Paid)+SUMIF(Расчеты!$L$6:$CO$6,R$6,Debt_Repaiment)+SUMIF(Расчеты!$L$6:$CO$6,R$6,Debt_Drawdown))/Thousand</f>
        <v>-736.90624472911043</v>
      </c>
      <c r="S45" s="49">
        <f>(SUMIF(Расчеты!$L$6:$CO$6,S$6,Bank_Fees)+SUMIF(Расчеты!$L$6:$CO$6,S$6,Debt_Interest_Paid)+SUMIF(Расчеты!$L$6:$CO$6,S$6,Debt_Repaiment)+SUMIF(Расчеты!$L$6:$CO$6,S$6,Debt_Drawdown))/Thousand</f>
        <v>-736.94289328335719</v>
      </c>
      <c r="T45" s="49">
        <f>(SUMIF(Расчеты!$L$6:$CO$6,T$6,Bank_Fees)+SUMIF(Расчеты!$L$6:$CO$6,T$6,Debt_Interest_Paid)+SUMIF(Расчеты!$L$6:$CO$6,T$6,Debt_Repaiment)+SUMIF(Расчеты!$L$6:$CO$6,T$6,Debt_Drawdown))/Thousand</f>
        <v>-736.90378709750973</v>
      </c>
      <c r="U45" s="49">
        <f>(SUMIF(Расчеты!$L$6:$CO$6,U$6,Bank_Fees)+SUMIF(Расчеты!$L$6:$CO$6,U$6,Debt_Interest_Paid)+SUMIF(Расчеты!$L$6:$CO$6,U$6,Debt_Repaiment)+SUMIF(Расчеты!$L$6:$CO$6,U$6,Debt_Drawdown))/Thousand</f>
        <v>-736.90277883043427</v>
      </c>
      <c r="V45" s="49">
        <f>(SUMIF(Расчеты!$L$6:$CO$6,V$6,Bank_Fees)+SUMIF(Расчеты!$L$6:$CO$6,V$6,Debt_Interest_Paid)+SUMIF(Расчеты!$L$6:$CO$6,V$6,Debt_Repaiment)+SUMIF(Расчеты!$L$6:$CO$6,V$6,Debt_Drawdown))/Thousand</f>
        <v>-736.90181776339432</v>
      </c>
      <c r="W45" s="49">
        <f>(SUMIF(Расчеты!$L$6:$CO$6,W$6,Bank_Fees)+SUMIF(Расчеты!$L$6:$CO$6,W$6,Debt_Interest_Paid)+SUMIF(Расчеты!$L$6:$CO$6,W$6,Debt_Repaiment)+SUMIF(Расчеты!$L$6:$CO$6,W$6,Debt_Drawdown))/Thousand</f>
        <v>-736.94188404850479</v>
      </c>
      <c r="X45" s="49">
        <f>(SUMIF(Расчеты!$L$6:$CO$6,X$6,Bank_Fees)+SUMIF(Расчеты!$L$6:$CO$6,X$6,Debt_Interest_Paid)+SUMIF(Расчеты!$L$6:$CO$6,X$6,Debt_Repaiment)+SUMIF(Расчеты!$L$6:$CO$6,X$6,Debt_Drawdown))/Thousand</f>
        <v>0</v>
      </c>
      <c r="Y45" s="49">
        <f>(SUMIF(Расчеты!$L$6:$CO$6,Y$6,Bank_Fees)+SUMIF(Расчеты!$L$6:$CO$6,Y$6,Debt_Interest_Paid)+SUMIF(Расчеты!$L$6:$CO$6,Y$6,Debt_Repaiment)+SUMIF(Расчеты!$L$6:$CO$6,Y$6,Debt_Drawdown))/Thousand</f>
        <v>0</v>
      </c>
      <c r="Z45" s="49">
        <f>(SUMIF(Расчеты!$L$6:$CO$6,Z$6,Bank_Fees)+SUMIF(Расчеты!$L$6:$CO$6,Z$6,Debt_Interest_Paid)+SUMIF(Расчеты!$L$6:$CO$6,Z$6,Debt_Repaiment)+SUMIF(Расчеты!$L$6:$CO$6,Z$6,Debt_Drawdown))/Thousand</f>
        <v>0</v>
      </c>
      <c r="AA45" s="49">
        <f>(SUMIF(Расчеты!$L$6:$CO$6,AA$6,Bank_Fees)+SUMIF(Расчеты!$L$6:$CO$6,AA$6,Debt_Interest_Paid)+SUMIF(Расчеты!$L$6:$CO$6,AA$6,Debt_Repaiment)+SUMIF(Расчеты!$L$6:$CO$6,AA$6,Debt_Drawdown))/Thousand</f>
        <v>0</v>
      </c>
      <c r="AB45" s="49">
        <f>(SUMIF(Расчеты!$L$6:$CO$6,AB$6,Bank_Fees)+SUMIF(Расчеты!$L$6:$CO$6,AB$6,Debt_Interest_Paid)+SUMIF(Расчеты!$L$6:$CO$6,AB$6,Debt_Repaiment)+SUMIF(Расчеты!$L$6:$CO$6,AB$6,Debt_Drawdown))/Thousand</f>
        <v>0</v>
      </c>
      <c r="AC45" s="49">
        <f>(SUMIF(Расчеты!$L$6:$CO$6,AC$6,Bank_Fees)+SUMIF(Расчеты!$L$6:$CO$6,AC$6,Debt_Interest_Paid)+SUMIF(Расчеты!$L$6:$CO$6,AC$6,Debt_Repaiment)+SUMIF(Расчеты!$L$6:$CO$6,AC$6,Debt_Drawdown))/Thousand</f>
        <v>0</v>
      </c>
      <c r="AD45" s="49">
        <f>(SUMIF(Расчеты!$L$6:$CO$6,AD$6,Bank_Fees)+SUMIF(Расчеты!$L$6:$CO$6,AD$6,Debt_Interest_Paid)+SUMIF(Расчеты!$L$6:$CO$6,AD$6,Debt_Repaiment)+SUMIF(Расчеты!$L$6:$CO$6,AD$6,Debt_Drawdown))/Thousand</f>
        <v>0</v>
      </c>
      <c r="AE45" s="49">
        <f>(SUMIF(Расчеты!$L$6:$CO$6,AE$6,Bank_Fees)+SUMIF(Расчеты!$L$6:$CO$6,AE$6,Debt_Interest_Paid)+SUMIF(Расчеты!$L$6:$CO$6,AE$6,Debt_Repaiment)+SUMIF(Расчеты!$L$6:$CO$6,AE$6,Debt_Drawdown))/Thousand</f>
        <v>0</v>
      </c>
      <c r="AF45" s="49">
        <f>(SUMIF(Расчеты!$L$6:$CO$6,AF$6,Bank_Fees)+SUMIF(Расчеты!$L$6:$CO$6,AF$6,Debt_Interest_Paid)+SUMIF(Расчеты!$L$6:$CO$6,AF$6,Debt_Repaiment)+SUMIF(Расчеты!$L$6:$CO$6,AF$6,Debt_Drawdown))/Thousand</f>
        <v>0</v>
      </c>
      <c r="AG45" s="49">
        <f>(SUMIF(Расчеты!$L$6:$CO$6,AG$6,Bank_Fees)+SUMIF(Расчеты!$L$6:$CO$6,AG$6,Debt_Interest_Paid)+SUMIF(Расчеты!$L$6:$CO$6,AG$6,Debt_Repaiment)+SUMIF(Расчеты!$L$6:$CO$6,AG$6,Debt_Drawdown))/Thousand</f>
        <v>0</v>
      </c>
      <c r="AH45" s="49">
        <f>(SUMIF(Расчеты!$L$6:$CO$6,AH$6,Bank_Fees)+SUMIF(Расчеты!$L$6:$CO$6,AH$6,Debt_Interest_Paid)+SUMIF(Расчеты!$L$6:$CO$6,AH$6,Debt_Repaiment)+SUMIF(Расчеты!$L$6:$CO$6,AH$6,Debt_Drawdown))/Thousand</f>
        <v>0</v>
      </c>
      <c r="AI45" s="49">
        <f>(SUMIF(Расчеты!$L$6:$CO$6,AI$6,Bank_Fees)+SUMIF(Расчеты!$L$6:$CO$6,AI$6,Debt_Interest_Paid)+SUMIF(Расчеты!$L$6:$CO$6,AI$6,Debt_Repaiment)+SUMIF(Расчеты!$L$6:$CO$6,AI$6,Debt_Drawdown))/Thousand</f>
        <v>0</v>
      </c>
      <c r="AJ45" s="49">
        <f>(SUMIF(Расчеты!$L$6:$CO$6,AJ$6,Bank_Fees)+SUMIF(Расчеты!$L$6:$CO$6,AJ$6,Debt_Interest_Paid)+SUMIF(Расчеты!$L$6:$CO$6,AJ$6,Debt_Repaiment)+SUMIF(Расчеты!$L$6:$CO$6,AJ$6,Debt_Drawdown))/Thousand</f>
        <v>0</v>
      </c>
      <c r="AK45" s="49">
        <f>(SUMIF(Расчеты!$L$6:$CO$6,AK$6,Bank_Fees)+SUMIF(Расчеты!$L$6:$CO$6,AK$6,Debt_Interest_Paid)+SUMIF(Расчеты!$L$6:$CO$6,AK$6,Debt_Repaiment)+SUMIF(Расчеты!$L$6:$CO$6,AK$6,Debt_Drawdown))/Thousand</f>
        <v>0</v>
      </c>
      <c r="AL45" s="164"/>
      <c r="AM45" s="35"/>
    </row>
    <row r="46" spans="1:39" s="158" customFormat="1" ht="15" customHeight="1" thickBot="1">
      <c r="A46" s="153"/>
      <c r="B46" s="153"/>
      <c r="C46" s="153"/>
      <c r="D46" s="153"/>
      <c r="E46" s="11"/>
      <c r="F46" s="11"/>
      <c r="G46" s="11"/>
      <c r="H46" s="153"/>
      <c r="I46" s="154"/>
      <c r="J46" s="153"/>
      <c r="K46" s="153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0"/>
    </row>
    <row r="47" spans="1:39" s="141" customFormat="1" ht="15" customHeight="1" thickTop="1">
      <c r="A47" s="153"/>
      <c r="B47" s="153"/>
      <c r="C47" s="161" t="s">
        <v>556</v>
      </c>
      <c r="D47" s="161"/>
      <c r="E47" s="162"/>
      <c r="F47" s="162"/>
      <c r="G47" s="162" t="s">
        <v>292</v>
      </c>
      <c r="H47" s="161"/>
      <c r="I47" s="23">
        <f ca="1" xml:space="preserve"> SUM(L47:AL47)</f>
        <v>-4808.399504779838</v>
      </c>
      <c r="J47" s="161"/>
      <c r="K47" s="161"/>
      <c r="L47" s="49">
        <f ca="1" xml:space="preserve"> SUMIF(Расчеты!$6:$6,L$6,Расчеты!1422:1422)/Thousand</f>
        <v>-106.9373807685059</v>
      </c>
      <c r="M47" s="49">
        <f ca="1" xml:space="preserve"> SUMIF(Расчеты!$6:$6,M$6,Расчеты!1422:1422)/Thousand</f>
        <v>-932.30520307326435</v>
      </c>
      <c r="N47" s="49">
        <f ca="1" xml:space="preserve"> SUMIF(Расчеты!$6:$6,N$6,Расчеты!1422:1422)/Thousand</f>
        <v>-969.5974111961948</v>
      </c>
      <c r="O47" s="49">
        <f ca="1" xml:space="preserve"> SUMIF(Расчеты!$6:$6,O$6,Расчеты!1422:1422)/Thousand</f>
        <v>-2105.9126378147766</v>
      </c>
      <c r="P47" s="49">
        <f ca="1" xml:space="preserve"> SUMIF(Расчеты!$6:$6,P$6,Расчеты!1422:1422)/Thousand</f>
        <v>-693.6468719270963</v>
      </c>
      <c r="Q47" s="49">
        <f ca="1" xml:space="preserve"> SUMIF(Расчеты!$6:$6,Q$6,Расчеты!1422:1422)/Thousand</f>
        <v>0</v>
      </c>
      <c r="R47" s="49">
        <f ca="1" xml:space="preserve"> SUMIF(Расчеты!$6:$6,R$6,Расчеты!1422:1422)/Thousand</f>
        <v>0</v>
      </c>
      <c r="S47" s="49">
        <f ca="1" xml:space="preserve"> SUMIF(Расчеты!$6:$6,S$6,Расчеты!1422:1422)/Thousand</f>
        <v>0</v>
      </c>
      <c r="T47" s="49">
        <f ca="1" xml:space="preserve"> SUMIF(Расчеты!$6:$6,T$6,Расчеты!1422:1422)/Thousand</f>
        <v>0</v>
      </c>
      <c r="U47" s="49">
        <f ca="1" xml:space="preserve"> SUMIF(Расчеты!$6:$6,U$6,Расчеты!1422:1422)/Thousand</f>
        <v>0</v>
      </c>
      <c r="V47" s="49">
        <f ca="1" xml:space="preserve"> SUMIF(Расчеты!$6:$6,V$6,Расчеты!1422:1422)/Thousand</f>
        <v>0</v>
      </c>
      <c r="W47" s="49">
        <f ca="1" xml:space="preserve"> SUMIF(Расчеты!$6:$6,W$6,Расчеты!1422:1422)/Thousand</f>
        <v>0</v>
      </c>
      <c r="X47" s="49">
        <f ca="1" xml:space="preserve"> SUMIF(Расчеты!$6:$6,X$6,Расчеты!1422:1422)/Thousand</f>
        <v>0</v>
      </c>
      <c r="Y47" s="49">
        <f ca="1" xml:space="preserve"> SUMIF(Расчеты!$6:$6,Y$6,Расчеты!1422:1422)/Thousand</f>
        <v>0</v>
      </c>
      <c r="Z47" s="49">
        <f ca="1" xml:space="preserve"> SUMIF(Расчеты!$6:$6,Z$6,Расчеты!1422:1422)/Thousand</f>
        <v>0</v>
      </c>
      <c r="AA47" s="49">
        <f ca="1" xml:space="preserve"> SUMIF(Расчеты!$6:$6,AA$6,Расчеты!1422:1422)/Thousand</f>
        <v>0</v>
      </c>
      <c r="AB47" s="49">
        <f ca="1" xml:space="preserve"> SUMIF(Расчеты!$6:$6,AB$6,Расчеты!1422:1422)/Thousand</f>
        <v>0</v>
      </c>
      <c r="AC47" s="49">
        <f ca="1" xml:space="preserve"> SUMIF(Расчеты!$6:$6,AC$6,Расчеты!1422:1422)/Thousand</f>
        <v>0</v>
      </c>
      <c r="AD47" s="49">
        <f ca="1" xml:space="preserve"> SUMIF(Расчеты!$6:$6,AD$6,Расчеты!1422:1422)/Thousand</f>
        <v>0</v>
      </c>
      <c r="AE47" s="49">
        <f ca="1" xml:space="preserve"> SUMIF(Расчеты!$6:$6,AE$6,Расчеты!1422:1422)/Thousand</f>
        <v>0</v>
      </c>
      <c r="AF47" s="49">
        <f ca="1" xml:space="preserve"> SUMIF(Расчеты!$6:$6,AF$6,Расчеты!1422:1422)/Thousand</f>
        <v>0</v>
      </c>
      <c r="AG47" s="49">
        <f xml:space="preserve"> SUMIF(Расчеты!$6:$6,AG$6,Расчеты!1422:1422)/Thousand</f>
        <v>0</v>
      </c>
      <c r="AH47" s="49">
        <f xml:space="preserve"> SUMIF(Расчеты!$6:$6,AH$6,Расчеты!1422:1422)/Thousand</f>
        <v>0</v>
      </c>
      <c r="AI47" s="49">
        <f xml:space="preserve"> SUMIF(Расчеты!$6:$6,AI$6,Расчеты!1422:1422)/Thousand</f>
        <v>0</v>
      </c>
      <c r="AJ47" s="49">
        <f xml:space="preserve"> SUMIF(Расчеты!$6:$6,AJ$6,Расчеты!1422:1422)/Thousand</f>
        <v>0</v>
      </c>
      <c r="AK47" s="49">
        <f xml:space="preserve"> SUMIF(Расчеты!$6:$6,AK$6,Расчеты!1422:1422)/Thousand</f>
        <v>0</v>
      </c>
      <c r="AL47" s="164"/>
      <c r="AM47" s="10"/>
    </row>
    <row r="48" spans="1:39" s="158" customFormat="1" ht="15" customHeight="1" thickBot="1">
      <c r="A48" s="153"/>
      <c r="B48" s="153"/>
      <c r="C48" s="153"/>
      <c r="D48" s="153"/>
      <c r="E48" s="11"/>
      <c r="F48" s="11"/>
      <c r="G48" s="11"/>
      <c r="H48" s="11"/>
      <c r="I48" s="165"/>
      <c r="J48" s="11"/>
      <c r="K48" s="11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</row>
    <row r="49" spans="1:39" s="141" customFormat="1" ht="15" customHeight="1" thickTop="1">
      <c r="A49" s="153"/>
      <c r="B49" s="153"/>
      <c r="C49" s="49" t="s">
        <v>558</v>
      </c>
      <c r="D49" s="49"/>
      <c r="E49" s="49"/>
      <c r="F49" s="49"/>
      <c r="G49" s="159" t="s">
        <v>292</v>
      </c>
      <c r="H49" s="49"/>
      <c r="I49" s="23">
        <f ca="1" xml:space="preserve"> SUM(L49:AL49)</f>
        <v>8525.7918185832532</v>
      </c>
      <c r="J49" s="49"/>
      <c r="K49" s="49"/>
      <c r="L49" s="49">
        <f ca="1">L43+L45+L47</f>
        <v>-128.32485692220709</v>
      </c>
      <c r="M49" s="49">
        <f t="shared" ref="M49:Z49" ca="1" si="25">M43+M45+M47</f>
        <v>-1026.4300159674297</v>
      </c>
      <c r="N49" s="49">
        <f t="shared" ca="1" si="25"/>
        <v>-49.672380042942905</v>
      </c>
      <c r="O49" s="49">
        <f t="shared" ca="1" si="25"/>
        <v>-146.87796513782996</v>
      </c>
      <c r="P49" s="49">
        <f t="shared" ca="1" si="25"/>
        <v>803.15521153117265</v>
      </c>
      <c r="Q49" s="49">
        <f t="shared" ca="1" si="25"/>
        <v>100.27587604573966</v>
      </c>
      <c r="R49" s="49">
        <f t="shared" ca="1" si="25"/>
        <v>248.41616270955228</v>
      </c>
      <c r="S49" s="49">
        <f t="shared" ca="1" si="25"/>
        <v>395.21426919213866</v>
      </c>
      <c r="T49" s="49">
        <f t="shared" ca="1" si="25"/>
        <v>443.02635505939327</v>
      </c>
      <c r="U49" s="49">
        <f t="shared" ca="1" si="25"/>
        <v>267.48979998110917</v>
      </c>
      <c r="V49" s="49">
        <f t="shared" ca="1" si="25"/>
        <v>35.463312971187975</v>
      </c>
      <c r="W49" s="49">
        <f t="shared" ca="1" si="25"/>
        <v>59.166615458003662</v>
      </c>
      <c r="X49" s="49">
        <f t="shared" ca="1" si="25"/>
        <v>822.48544224311047</v>
      </c>
      <c r="Y49" s="49">
        <f t="shared" ca="1" si="25"/>
        <v>842.66411652800593</v>
      </c>
      <c r="Z49" s="49">
        <f t="shared" ca="1" si="25"/>
        <v>818.61670790710059</v>
      </c>
      <c r="AA49" s="49">
        <f t="shared" ref="AA49:AK49" ca="1" si="26">AA43+AA45+AA47</f>
        <v>852.86409115192077</v>
      </c>
      <c r="AB49" s="49">
        <f t="shared" ca="1" si="26"/>
        <v>885.00238998968837</v>
      </c>
      <c r="AC49" s="49">
        <f t="shared" ca="1" si="26"/>
        <v>920.19987299901766</v>
      </c>
      <c r="AD49" s="49">
        <f t="shared" ca="1" si="26"/>
        <v>956.8052181482866</v>
      </c>
      <c r="AE49" s="49">
        <f t="shared" ca="1" si="26"/>
        <v>996.86981259483832</v>
      </c>
      <c r="AF49" s="49">
        <f t="shared" ca="1" si="26"/>
        <v>429.38178214339678</v>
      </c>
      <c r="AG49" s="49">
        <f t="shared" si="26"/>
        <v>0</v>
      </c>
      <c r="AH49" s="49">
        <f t="shared" si="26"/>
        <v>0</v>
      </c>
      <c r="AI49" s="49">
        <f t="shared" si="26"/>
        <v>0</v>
      </c>
      <c r="AJ49" s="49">
        <f t="shared" si="26"/>
        <v>0</v>
      </c>
      <c r="AK49" s="49">
        <f t="shared" si="26"/>
        <v>0</v>
      </c>
      <c r="AL49" s="160"/>
      <c r="AM49" s="10"/>
    </row>
    <row r="50" spans="1:39" s="141" customFormat="1" ht="15" customHeight="1">
      <c r="A50" s="10"/>
      <c r="B50" s="153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</sheetData>
  <conditionalFormatting sqref="E4">
    <cfRule type="cellIs" dxfId="16" priority="1" operator="equal">
      <formula>FALSE</formula>
    </cfRule>
    <cfRule type="cellIs" dxfId="15" priority="2" operator="equal">
      <formula>TRUE</formula>
    </cfRule>
  </conditionalFormatting>
  <pageMargins left="0.7" right="0.7" top="0.75" bottom="0.75" header="0.3" footer="0.3"/>
  <pageSetup paperSize="8" scale="46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9"/>
  </sheetPr>
  <dimension ref="A1:K52"/>
  <sheetViews>
    <sheetView tabSelected="1" view="pageBreakPreview" zoomScale="70" zoomScaleNormal="70" zoomScaleSheetLayoutView="70" workbookViewId="0">
      <selection activeCell="D45" sqref="D45"/>
    </sheetView>
  </sheetViews>
  <sheetFormatPr defaultColWidth="0" defaultRowHeight="15" customHeight="1" zeroHeight="1"/>
  <cols>
    <col min="1" max="1" width="3" customWidth="1"/>
    <col min="2" max="10" width="14.26953125" customWidth="1"/>
    <col min="11" max="11" width="3" customWidth="1"/>
    <col min="12" max="16384" width="8.81640625" hidden="1"/>
  </cols>
  <sheetData>
    <row r="1" spans="1:11" s="133" customFormat="1" ht="14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s="133" customFormat="1" ht="24.65" customHeight="1">
      <c r="A2" s="47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5"/>
      <c r="H2" s="5"/>
      <c r="I2" s="31"/>
      <c r="J2" s="31"/>
      <c r="K2" s="47"/>
    </row>
    <row r="3" spans="1:11" s="141" customFormat="1" ht="15" customHeight="1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</row>
    <row r="4" spans="1:11" s="141" customFormat="1" ht="15" customHeight="1" thickBot="1">
      <c r="A4" s="153"/>
      <c r="B4" s="347" t="s">
        <v>986</v>
      </c>
      <c r="C4" s="347"/>
      <c r="D4" s="347"/>
      <c r="E4" s="347"/>
      <c r="F4" s="347"/>
      <c r="G4" s="347"/>
      <c r="H4" s="347"/>
      <c r="I4" s="347"/>
      <c r="J4" s="347"/>
      <c r="K4" s="153"/>
    </row>
    <row r="5" spans="1:11" s="141" customFormat="1" ht="15" customHeight="1" thickTop="1">
      <c r="A5" s="153"/>
      <c r="B5" s="153"/>
      <c r="C5" s="153"/>
      <c r="D5" s="153"/>
      <c r="E5" s="153"/>
      <c r="F5" s="153"/>
      <c r="G5" s="153"/>
      <c r="H5" s="153"/>
      <c r="I5" s="153"/>
      <c r="J5" s="153"/>
      <c r="K5" s="153"/>
    </row>
    <row r="6" spans="1:11" s="141" customFormat="1" ht="15" customHeight="1">
      <c r="A6" s="153"/>
      <c r="B6" s="10" t="s">
        <v>987</v>
      </c>
      <c r="C6" s="153"/>
      <c r="D6" s="153"/>
      <c r="E6" s="153"/>
      <c r="F6" s="80">
        <v>0</v>
      </c>
      <c r="G6" s="348" t="s">
        <v>988</v>
      </c>
      <c r="H6" s="153"/>
      <c r="I6" s="153"/>
      <c r="J6" s="153"/>
      <c r="K6" s="153"/>
    </row>
    <row r="7" spans="1:11" s="141" customFormat="1" ht="15" customHeight="1">
      <c r="A7" s="153"/>
      <c r="B7" s="10" t="s">
        <v>989</v>
      </c>
      <c r="C7" s="10"/>
      <c r="D7" s="153"/>
      <c r="E7" s="153"/>
      <c r="F7" s="80">
        <v>0</v>
      </c>
      <c r="G7" s="348" t="s">
        <v>990</v>
      </c>
      <c r="H7" s="153"/>
      <c r="I7" s="153"/>
      <c r="J7" s="153"/>
      <c r="K7" s="153"/>
    </row>
    <row r="8" spans="1:11" s="141" customFormat="1" ht="15" customHeight="1">
      <c r="A8" s="153"/>
      <c r="B8" s="10" t="s">
        <v>991</v>
      </c>
      <c r="C8" s="10"/>
      <c r="D8" s="153"/>
      <c r="E8" s="153"/>
      <c r="F8" s="80">
        <v>0</v>
      </c>
      <c r="G8" s="348" t="s">
        <v>992</v>
      </c>
      <c r="H8" s="153"/>
      <c r="I8" s="153"/>
      <c r="J8" s="153"/>
      <c r="K8" s="153"/>
    </row>
    <row r="9" spans="1:11" s="141" customFormat="1" ht="15" customHeight="1">
      <c r="A9" s="153"/>
      <c r="B9" s="10" t="s">
        <v>993</v>
      </c>
      <c r="C9" s="10"/>
      <c r="D9" s="153"/>
      <c r="E9" s="153"/>
      <c r="F9" s="80">
        <v>0</v>
      </c>
      <c r="G9" s="348" t="s">
        <v>994</v>
      </c>
      <c r="H9" s="153"/>
      <c r="I9" s="153"/>
      <c r="J9" s="153"/>
      <c r="K9" s="153"/>
    </row>
    <row r="10" spans="1:11" s="141" customFormat="1" ht="15" customHeight="1">
      <c r="A10" s="153"/>
      <c r="B10" s="153"/>
      <c r="C10" s="153"/>
      <c r="D10" s="153"/>
      <c r="E10" s="153"/>
      <c r="F10" s="153"/>
      <c r="G10" s="153"/>
      <c r="H10" s="153"/>
      <c r="I10" s="153"/>
      <c r="J10" s="153"/>
      <c r="K10" s="153"/>
    </row>
    <row r="11" spans="1:11" s="141" customFormat="1" ht="15" customHeight="1" thickBot="1">
      <c r="A11" s="153"/>
      <c r="B11" s="347" t="s">
        <v>995</v>
      </c>
      <c r="C11" s="347"/>
      <c r="D11" s="347"/>
      <c r="E11" s="347"/>
      <c r="F11" s="347"/>
      <c r="G11" s="347"/>
      <c r="H11" s="347"/>
      <c r="I11" s="347"/>
      <c r="J11" s="347"/>
      <c r="K11" s="153"/>
    </row>
    <row r="12" spans="1:11" s="141" customFormat="1" ht="15" customHeight="1" thickTop="1">
      <c r="A12" s="153"/>
      <c r="B12" s="153"/>
      <c r="C12" s="153"/>
      <c r="D12" s="153"/>
      <c r="E12" s="153"/>
      <c r="F12" s="153"/>
      <c r="G12" s="153"/>
      <c r="H12" s="153"/>
      <c r="I12" s="153"/>
      <c r="J12" s="153"/>
      <c r="K12" s="153"/>
    </row>
    <row r="13" spans="1:11" s="141" customFormat="1" ht="15" customHeight="1">
      <c r="A13" s="153"/>
      <c r="B13" s="662" t="s">
        <v>996</v>
      </c>
      <c r="C13" s="662"/>
      <c r="D13" s="663" t="s">
        <v>997</v>
      </c>
      <c r="E13" s="663"/>
      <c r="F13" s="663"/>
      <c r="G13" s="663"/>
      <c r="H13" s="663"/>
      <c r="I13" s="663"/>
      <c r="J13" s="663"/>
      <c r="K13" s="153"/>
    </row>
    <row r="14" spans="1:11" s="141" customFormat="1" ht="15" customHeight="1">
      <c r="A14" s="153"/>
      <c r="B14" s="662"/>
      <c r="C14" s="662"/>
      <c r="D14" s="349">
        <v>-0.15</v>
      </c>
      <c r="E14" s="349">
        <v>-0.1</v>
      </c>
      <c r="F14" s="349">
        <v>-0.05</v>
      </c>
      <c r="G14" s="349">
        <v>0</v>
      </c>
      <c r="H14" s="349">
        <v>0.05</v>
      </c>
      <c r="I14" s="349">
        <v>0.1</v>
      </c>
      <c r="J14" s="349">
        <v>0.15</v>
      </c>
      <c r="K14" s="153"/>
    </row>
    <row r="15" spans="1:11" s="141" customFormat="1" ht="15" customHeight="1">
      <c r="A15" s="153"/>
      <c r="B15" s="661" t="s">
        <v>998</v>
      </c>
      <c r="C15" s="349">
        <v>-0.15</v>
      </c>
      <c r="D15" s="350">
        <v>3878.1880805369474</v>
      </c>
      <c r="E15" s="350">
        <v>3310.4636715134347</v>
      </c>
      <c r="F15" s="350">
        <v>2746.2092996511856</v>
      </c>
      <c r="G15" s="350">
        <v>2185.6008145039832</v>
      </c>
      <c r="H15" s="350">
        <v>1628.1785344032842</v>
      </c>
      <c r="I15" s="350">
        <v>1073.7975160576843</v>
      </c>
      <c r="J15" s="351">
        <v>418.38591716750278</v>
      </c>
      <c r="K15" s="153"/>
    </row>
    <row r="16" spans="1:11" s="141" customFormat="1" ht="15" customHeight="1">
      <c r="A16" s="153"/>
      <c r="B16" s="661"/>
      <c r="C16" s="349">
        <v>-0.1</v>
      </c>
      <c r="D16" s="350">
        <v>3696.5541290740102</v>
      </c>
      <c r="E16" s="350">
        <v>3128.871921513075</v>
      </c>
      <c r="F16" s="350">
        <v>2564.8216097192631</v>
      </c>
      <c r="G16" s="350">
        <v>2004.0543484485106</v>
      </c>
      <c r="H16" s="350">
        <v>1446.4826671997209</v>
      </c>
      <c r="I16" s="350">
        <v>891.32354399645226</v>
      </c>
      <c r="J16" s="351">
        <v>342.83693044757507</v>
      </c>
      <c r="K16" s="153"/>
    </row>
    <row r="17" spans="1:11" s="141" customFormat="1" ht="15" customHeight="1" thickBot="1">
      <c r="A17" s="153"/>
      <c r="B17" s="661"/>
      <c r="C17" s="349">
        <v>-0.05</v>
      </c>
      <c r="D17" s="350">
        <v>3515.0014356418683</v>
      </c>
      <c r="E17" s="350">
        <v>2947.4771086540095</v>
      </c>
      <c r="F17" s="350">
        <v>2383.3827918716593</v>
      </c>
      <c r="G17" s="350">
        <v>1822.4456153837555</v>
      </c>
      <c r="H17" s="350">
        <v>1264.5505011023999</v>
      </c>
      <c r="I17" s="350">
        <v>719.97667750869959</v>
      </c>
      <c r="J17" s="351">
        <v>168.31173615951994</v>
      </c>
      <c r="K17" s="153"/>
    </row>
    <row r="18" spans="1:11" s="141" customFormat="1" ht="15" customHeight="1" thickBot="1">
      <c r="A18" s="153"/>
      <c r="B18" s="661"/>
      <c r="C18" s="349">
        <v>0</v>
      </c>
      <c r="D18" s="350">
        <v>3333.5903373074957</v>
      </c>
      <c r="E18" s="350">
        <v>2766.1407402394661</v>
      </c>
      <c r="F18" s="350">
        <v>2201.8606436582104</v>
      </c>
      <c r="G18" s="352">
        <v>1640.7429843818063</v>
      </c>
      <c r="H18" s="350">
        <v>1080.868962708656</v>
      </c>
      <c r="I18" s="350">
        <v>532.43041569858394</v>
      </c>
      <c r="J18" s="351">
        <v>-5.0984024450491612</v>
      </c>
      <c r="K18" s="153"/>
    </row>
    <row r="19" spans="1:11" s="141" customFormat="1" ht="15" customHeight="1">
      <c r="A19" s="153"/>
      <c r="B19" s="661"/>
      <c r="C19" s="349">
        <v>0.05</v>
      </c>
      <c r="D19" s="350">
        <v>3152.3135026422478</v>
      </c>
      <c r="E19" s="350">
        <v>2584.6841059962367</v>
      </c>
      <c r="F19" s="350">
        <v>2020.2590954426125</v>
      </c>
      <c r="G19" s="350">
        <v>1458.6997459609388</v>
      </c>
      <c r="H19" s="350">
        <v>908.53236411636442</v>
      </c>
      <c r="I19" s="350">
        <v>350.17647474961871</v>
      </c>
      <c r="J19" s="351">
        <v>-193.4994609623748</v>
      </c>
      <c r="K19" s="153"/>
    </row>
    <row r="20" spans="1:11" s="141" customFormat="1" ht="15" customHeight="1">
      <c r="A20" s="153"/>
      <c r="B20" s="661"/>
      <c r="C20" s="349">
        <v>0.1</v>
      </c>
      <c r="D20" s="350">
        <v>2970.9622776053488</v>
      </c>
      <c r="E20" s="350">
        <v>2403.1944610446762</v>
      </c>
      <c r="F20" s="350">
        <v>1838.4704447583265</v>
      </c>
      <c r="G20" s="350">
        <v>1272.1309514926024</v>
      </c>
      <c r="H20" s="350">
        <v>723.59346707733266</v>
      </c>
      <c r="I20" s="350">
        <v>167.44006131438405</v>
      </c>
      <c r="J20" s="351">
        <v>-363.705439002216</v>
      </c>
      <c r="K20" s="153"/>
    </row>
    <row r="21" spans="1:11" s="141" customFormat="1" ht="15" customHeight="1">
      <c r="A21" s="153"/>
      <c r="B21" s="661"/>
      <c r="C21" s="349">
        <v>0.15</v>
      </c>
      <c r="D21" s="353">
        <v>2789.5449867185512</v>
      </c>
      <c r="E21" s="353">
        <v>2221.5913684351131</v>
      </c>
      <c r="F21" s="353">
        <v>1656.1761987924708</v>
      </c>
      <c r="G21" s="353">
        <v>1102.3399735913351</v>
      </c>
      <c r="H21" s="353">
        <v>542.28132031560438</v>
      </c>
      <c r="I21" s="353">
        <v>-8.7592498732588506</v>
      </c>
      <c r="J21" s="354">
        <v>-544.35521224804882</v>
      </c>
      <c r="K21" s="153"/>
    </row>
    <row r="22" spans="1:11" s="141" customFormat="1" ht="15" customHeight="1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</row>
    <row r="23" spans="1:11" s="141" customFormat="1" ht="15" customHeight="1">
      <c r="A23" s="153"/>
      <c r="B23" s="662" t="s">
        <v>999</v>
      </c>
      <c r="C23" s="662"/>
      <c r="D23" s="663" t="s">
        <v>997</v>
      </c>
      <c r="E23" s="663"/>
      <c r="F23" s="663"/>
      <c r="G23" s="663"/>
      <c r="H23" s="663"/>
      <c r="I23" s="663"/>
      <c r="J23" s="663"/>
      <c r="K23" s="153"/>
    </row>
    <row r="24" spans="1:11" s="141" customFormat="1" ht="15" customHeight="1">
      <c r="A24" s="153"/>
      <c r="B24" s="662"/>
      <c r="C24" s="662"/>
      <c r="D24" s="349">
        <v>-0.15</v>
      </c>
      <c r="E24" s="349">
        <v>-0.1</v>
      </c>
      <c r="F24" s="349">
        <v>-0.05</v>
      </c>
      <c r="G24" s="349">
        <v>0</v>
      </c>
      <c r="H24" s="349">
        <v>0.05</v>
      </c>
      <c r="I24" s="349">
        <v>0.1</v>
      </c>
      <c r="J24" s="349">
        <v>0.15</v>
      </c>
      <c r="K24" s="153"/>
    </row>
    <row r="25" spans="1:11" s="141" customFormat="1" ht="15" customHeight="1">
      <c r="A25" s="153"/>
      <c r="B25" s="661" t="s">
        <v>998</v>
      </c>
      <c r="C25" s="349">
        <v>-0.15</v>
      </c>
      <c r="D25" s="355">
        <v>0.35029158263891969</v>
      </c>
      <c r="E25" s="355">
        <v>0.3250162643905381</v>
      </c>
      <c r="F25" s="355">
        <v>0.29792486975709354</v>
      </c>
      <c r="G25" s="355">
        <v>0.26863532587524497</v>
      </c>
      <c r="H25" s="355">
        <v>0.23663756722007734</v>
      </c>
      <c r="I25" s="355">
        <v>0.20126368245634452</v>
      </c>
      <c r="J25" s="356">
        <v>0.1615146072410274</v>
      </c>
      <c r="K25" s="153"/>
    </row>
    <row r="26" spans="1:11" s="141" customFormat="1" ht="15" customHeight="1">
      <c r="A26" s="153"/>
      <c r="B26" s="661"/>
      <c r="C26" s="349">
        <v>-0.1</v>
      </c>
      <c r="D26" s="355">
        <v>0.33212882771792507</v>
      </c>
      <c r="E26" s="355">
        <v>0.30703346532641596</v>
      </c>
      <c r="F26" s="355">
        <v>0.28012757732506066</v>
      </c>
      <c r="G26" s="355">
        <v>0.25102785202502065</v>
      </c>
      <c r="H26" s="355">
        <v>0.21926619859739138</v>
      </c>
      <c r="I26" s="355">
        <v>0.18420350250929318</v>
      </c>
      <c r="J26" s="356">
        <v>0.14485907758570571</v>
      </c>
      <c r="K26" s="153"/>
    </row>
    <row r="27" spans="1:11" s="141" customFormat="1" ht="15" customHeight="1" thickBot="1">
      <c r="A27" s="153"/>
      <c r="B27" s="661"/>
      <c r="C27" s="349">
        <v>-0.05</v>
      </c>
      <c r="D27" s="355">
        <v>0.31509786396643213</v>
      </c>
      <c r="E27" s="355">
        <v>0.29018037999391044</v>
      </c>
      <c r="F27" s="355">
        <v>0.26345107526558809</v>
      </c>
      <c r="G27" s="355">
        <v>0.23456931159943228</v>
      </c>
      <c r="H27" s="355">
        <v>0.20307549186948526</v>
      </c>
      <c r="I27" s="355">
        <v>0.16834724951005642</v>
      </c>
      <c r="J27" s="356">
        <v>0.12951309066867744</v>
      </c>
      <c r="K27" s="153"/>
    </row>
    <row r="28" spans="1:11" s="141" customFormat="1" ht="15" customHeight="1" thickBot="1">
      <c r="A28" s="153"/>
      <c r="B28" s="661"/>
      <c r="C28" s="349">
        <v>0</v>
      </c>
      <c r="D28" s="355">
        <v>0.2990846906422</v>
      </c>
      <c r="E28" s="355">
        <v>0.27433507601092155</v>
      </c>
      <c r="F28" s="355">
        <v>0.24780240809974807</v>
      </c>
      <c r="G28" s="357">
        <v>0.2191525565137169</v>
      </c>
      <c r="H28" s="355">
        <v>0.18795177621541326</v>
      </c>
      <c r="I28" s="355">
        <v>0.15359564077336385</v>
      </c>
      <c r="J28" s="356">
        <v>0.115445776900307</v>
      </c>
      <c r="K28" s="153"/>
    </row>
    <row r="29" spans="1:11" s="141" customFormat="1" ht="15" customHeight="1">
      <c r="A29" s="153"/>
      <c r="B29" s="661"/>
      <c r="C29" s="349">
        <v>0.05</v>
      </c>
      <c r="D29" s="355">
        <v>0.28398718122952693</v>
      </c>
      <c r="E29" s="355">
        <v>0.2594135515026128</v>
      </c>
      <c r="F29" s="355">
        <v>0.23309010829274213</v>
      </c>
      <c r="G29" s="355">
        <v>0.20468777916808967</v>
      </c>
      <c r="H29" s="355">
        <v>0.1738015820583878</v>
      </c>
      <c r="I29" s="355">
        <v>0.13989441074536701</v>
      </c>
      <c r="J29" s="356">
        <v>0.10239733176639065</v>
      </c>
      <c r="K29" s="153"/>
    </row>
    <row r="30" spans="1:11" s="141" customFormat="1" ht="15" customHeight="1">
      <c r="A30" s="153"/>
      <c r="B30" s="661"/>
      <c r="C30" s="349">
        <v>0.1</v>
      </c>
      <c r="D30" s="355">
        <v>0.26972235082985474</v>
      </c>
      <c r="E30" s="355">
        <v>0.24533834136789778</v>
      </c>
      <c r="F30" s="355">
        <v>0.21923397429812974</v>
      </c>
      <c r="G30" s="355">
        <v>0.19109849329585726</v>
      </c>
      <c r="H30" s="355">
        <v>0.16054644979803845</v>
      </c>
      <c r="I30" s="355">
        <v>0.12721288304228406</v>
      </c>
      <c r="J30" s="356">
        <v>9.0269447427845373E-2</v>
      </c>
      <c r="K30" s="153"/>
    </row>
    <row r="31" spans="1:11" s="141" customFormat="1" ht="15" customHeight="1">
      <c r="A31" s="153"/>
      <c r="B31" s="661"/>
      <c r="C31" s="349">
        <v>0.15</v>
      </c>
      <c r="D31" s="358">
        <v>0.25622817065280978</v>
      </c>
      <c r="E31" s="358">
        <v>0.23203984056231119</v>
      </c>
      <c r="F31" s="358">
        <v>0.20616296465962258</v>
      </c>
      <c r="G31" s="358">
        <v>0.17831186909754049</v>
      </c>
      <c r="H31" s="358">
        <v>0.1481538708387975</v>
      </c>
      <c r="I31" s="358">
        <v>0.11535623243104998</v>
      </c>
      <c r="J31" s="359">
        <v>7.8993476582577715E-2</v>
      </c>
      <c r="K31" s="153"/>
    </row>
    <row r="32" spans="1:11" s="141" customFormat="1" ht="15" customHeight="1">
      <c r="A32" s="153"/>
      <c r="B32" s="153"/>
      <c r="C32" s="153"/>
      <c r="D32" s="153"/>
      <c r="E32" s="153"/>
      <c r="F32" s="153"/>
      <c r="G32" s="153"/>
      <c r="H32" s="153"/>
      <c r="I32" s="153"/>
      <c r="J32" s="153"/>
      <c r="K32" s="153"/>
    </row>
    <row r="33" spans="1:11" s="141" customFormat="1" ht="15" customHeight="1">
      <c r="A33" s="153"/>
      <c r="B33" s="662" t="s">
        <v>996</v>
      </c>
      <c r="C33" s="662"/>
      <c r="D33" s="663" t="s">
        <v>1000</v>
      </c>
      <c r="E33" s="663"/>
      <c r="F33" s="663"/>
      <c r="G33" s="663"/>
      <c r="H33" s="663"/>
      <c r="I33" s="663"/>
      <c r="J33" s="663"/>
      <c r="K33" s="153"/>
    </row>
    <row r="34" spans="1:11" s="141" customFormat="1" ht="15" customHeight="1">
      <c r="A34" s="153"/>
      <c r="B34" s="662"/>
      <c r="C34" s="662"/>
      <c r="D34" s="349">
        <v>-0.03</v>
      </c>
      <c r="E34" s="349">
        <v>-0.02</v>
      </c>
      <c r="F34" s="349">
        <v>-0.01</v>
      </c>
      <c r="G34" s="349">
        <v>0</v>
      </c>
      <c r="H34" s="349">
        <v>0.01</v>
      </c>
      <c r="I34" s="349">
        <v>0.02</v>
      </c>
      <c r="J34" s="349">
        <v>0.03</v>
      </c>
      <c r="K34" s="153"/>
    </row>
    <row r="35" spans="1:11" s="141" customFormat="1" ht="15" customHeight="1">
      <c r="A35" s="153"/>
      <c r="B35" s="661" t="s">
        <v>1001</v>
      </c>
      <c r="C35" s="349">
        <v>-0.15</v>
      </c>
      <c r="D35" s="350">
        <v>-136.01991404035195</v>
      </c>
      <c r="E35" s="350">
        <v>-335.19863055455261</v>
      </c>
      <c r="F35" s="350">
        <v>-503.57575135631089</v>
      </c>
      <c r="G35" s="350">
        <v>-654.10214153462505</v>
      </c>
      <c r="H35" s="350">
        <v>-801.54636845288201</v>
      </c>
      <c r="I35" s="350">
        <v>-881.79040989655698</v>
      </c>
      <c r="J35" s="351">
        <v>-971.73243240950239</v>
      </c>
      <c r="K35" s="153"/>
    </row>
    <row r="36" spans="1:11" s="141" customFormat="1" ht="15" customHeight="1">
      <c r="A36" s="153"/>
      <c r="B36" s="661"/>
      <c r="C36" s="349">
        <v>-0.1</v>
      </c>
      <c r="D36" s="350">
        <v>844.30400788176723</v>
      </c>
      <c r="E36" s="350">
        <v>557.27491010760059</v>
      </c>
      <c r="F36" s="350">
        <v>315.65105297174188</v>
      </c>
      <c r="G36" s="350">
        <v>89.95993078475864</v>
      </c>
      <c r="H36" s="350">
        <v>-98.782157553124819</v>
      </c>
      <c r="I36" s="350">
        <v>-244.32218722044374</v>
      </c>
      <c r="J36" s="351">
        <v>-384.06199414361527</v>
      </c>
      <c r="K36" s="153"/>
    </row>
    <row r="37" spans="1:11" s="141" customFormat="1" ht="15" customHeight="1" thickBot="1">
      <c r="A37" s="153"/>
      <c r="B37" s="661"/>
      <c r="C37" s="349">
        <v>-0.05</v>
      </c>
      <c r="D37" s="350">
        <v>1830.8231383743391</v>
      </c>
      <c r="E37" s="350">
        <v>1467.9693468726464</v>
      </c>
      <c r="F37" s="350">
        <v>1149.3030650213325</v>
      </c>
      <c r="G37" s="350">
        <v>876.16539499163946</v>
      </c>
      <c r="H37" s="350">
        <v>625.13738394213362</v>
      </c>
      <c r="I37" s="350">
        <v>408.8733680852539</v>
      </c>
      <c r="J37" s="351">
        <v>228.74214698286653</v>
      </c>
      <c r="K37" s="153"/>
    </row>
    <row r="38" spans="1:11" s="141" customFormat="1" ht="15" customHeight="1" thickBot="1">
      <c r="A38" s="153"/>
      <c r="B38" s="661"/>
      <c r="C38" s="349">
        <v>0</v>
      </c>
      <c r="D38" s="350">
        <v>2817.6619548807507</v>
      </c>
      <c r="E38" s="350">
        <v>2374.554305636585</v>
      </c>
      <c r="F38" s="350">
        <v>1984.7206192956376</v>
      </c>
      <c r="G38" s="352">
        <v>1640.7429843818063</v>
      </c>
      <c r="H38" s="350">
        <v>1334.3006836142927</v>
      </c>
      <c r="I38" s="350">
        <v>1071.823075014049</v>
      </c>
      <c r="J38" s="351">
        <v>831.31846923252715</v>
      </c>
      <c r="K38" s="153"/>
    </row>
    <row r="39" spans="1:11" s="141" customFormat="1" ht="15" customHeight="1">
      <c r="A39" s="153"/>
      <c r="B39" s="661"/>
      <c r="C39" s="349">
        <v>0.05</v>
      </c>
      <c r="D39" s="350">
        <v>3804.469026272986</v>
      </c>
      <c r="E39" s="350">
        <v>3280.7368174480607</v>
      </c>
      <c r="F39" s="350">
        <v>2819.5726981249759</v>
      </c>
      <c r="G39" s="350">
        <v>2412.1644335769156</v>
      </c>
      <c r="H39" s="350">
        <v>2051.1695697461355</v>
      </c>
      <c r="I39" s="350">
        <v>1730.006880988826</v>
      </c>
      <c r="J39" s="351">
        <v>1395.973531266123</v>
      </c>
      <c r="K39" s="153"/>
    </row>
    <row r="40" spans="1:11" s="141" customFormat="1" ht="15" customHeight="1">
      <c r="A40" s="153"/>
      <c r="B40" s="661"/>
      <c r="C40" s="349">
        <v>0.1</v>
      </c>
      <c r="D40" s="350">
        <v>4791.2716791284747</v>
      </c>
      <c r="E40" s="350">
        <v>4187.0108430299524</v>
      </c>
      <c r="F40" s="350">
        <v>3654.0888379486041</v>
      </c>
      <c r="G40" s="350">
        <v>3182.8588056007779</v>
      </c>
      <c r="H40" s="350">
        <v>2765.1417665018425</v>
      </c>
      <c r="I40" s="350">
        <v>2393.5556435199865</v>
      </c>
      <c r="J40" s="351">
        <v>2062.0651577905041</v>
      </c>
      <c r="K40" s="153"/>
    </row>
    <row r="41" spans="1:11" s="141" customFormat="1" ht="15" customHeight="1">
      <c r="A41" s="153"/>
      <c r="B41" s="661"/>
      <c r="C41" s="349">
        <v>0.15</v>
      </c>
      <c r="D41" s="353">
        <v>5777.9908356054266</v>
      </c>
      <c r="E41" s="353">
        <v>5093.2119512795498</v>
      </c>
      <c r="F41" s="353">
        <v>4488.6996708844099</v>
      </c>
      <c r="G41" s="353">
        <v>3953.5428197659403</v>
      </c>
      <c r="H41" s="353">
        <v>3478.5055861264091</v>
      </c>
      <c r="I41" s="353">
        <v>3055.941176398459</v>
      </c>
      <c r="J41" s="354">
        <v>2678.8592617566997</v>
      </c>
      <c r="K41" s="153"/>
    </row>
    <row r="42" spans="1:11" s="141" customFormat="1" ht="1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53"/>
    </row>
    <row r="43" spans="1:11" s="141" customFormat="1" ht="15" customHeight="1">
      <c r="A43" s="153"/>
      <c r="B43" s="662" t="s">
        <v>999</v>
      </c>
      <c r="C43" s="662"/>
      <c r="D43" s="663" t="s">
        <v>1000</v>
      </c>
      <c r="E43" s="663"/>
      <c r="F43" s="663"/>
      <c r="G43" s="663"/>
      <c r="H43" s="663"/>
      <c r="I43" s="663"/>
      <c r="J43" s="663"/>
      <c r="K43" s="153"/>
    </row>
    <row r="44" spans="1:11" s="141" customFormat="1" ht="15" customHeight="1">
      <c r="A44" s="153"/>
      <c r="B44" s="662"/>
      <c r="C44" s="662"/>
      <c r="D44" s="349">
        <v>-0.03</v>
      </c>
      <c r="E44" s="349">
        <v>-0.02</v>
      </c>
      <c r="F44" s="349">
        <v>-0.01</v>
      </c>
      <c r="G44" s="349">
        <v>0</v>
      </c>
      <c r="H44" s="349">
        <v>0.01</v>
      </c>
      <c r="I44" s="349">
        <v>0.02</v>
      </c>
      <c r="J44" s="349">
        <v>0.03</v>
      </c>
      <c r="K44" s="153"/>
    </row>
    <row r="45" spans="1:11" s="141" customFormat="1" ht="15" customHeight="1">
      <c r="A45" s="153"/>
      <c r="B45" s="661" t="s">
        <v>1001</v>
      </c>
      <c r="C45" s="349">
        <v>-0.15</v>
      </c>
      <c r="D45" s="355">
        <v>9.4990742591998467E-2</v>
      </c>
      <c r="E45" s="355">
        <v>8.4313484033283537E-2</v>
      </c>
      <c r="F45" s="355">
        <v>7.4036830695997979E-2</v>
      </c>
      <c r="G45" s="355">
        <v>6.4270832315650672E-2</v>
      </c>
      <c r="H45" s="355">
        <v>5.5494593526594027E-2</v>
      </c>
      <c r="I45" s="355">
        <v>4.7363303240833377E-2</v>
      </c>
      <c r="J45" s="356">
        <v>4.0081459451304813E-2</v>
      </c>
      <c r="K45" s="153"/>
    </row>
    <row r="46" spans="1:11" s="141" customFormat="1" ht="15" customHeight="1">
      <c r="A46" s="153"/>
      <c r="B46" s="661"/>
      <c r="C46" s="349">
        <v>-0.1</v>
      </c>
      <c r="D46" s="355">
        <v>0.15616714696591183</v>
      </c>
      <c r="E46" s="355">
        <v>0.14488180021105079</v>
      </c>
      <c r="F46" s="355">
        <v>0.13386598408235573</v>
      </c>
      <c r="G46" s="355">
        <v>0.12335310858783854</v>
      </c>
      <c r="H46" s="355">
        <v>0.11311979817209705</v>
      </c>
      <c r="I46" s="355">
        <v>0.10318839861306084</v>
      </c>
      <c r="J46" s="356">
        <v>9.3595995720703318E-2</v>
      </c>
      <c r="K46" s="153"/>
    </row>
    <row r="47" spans="1:11" s="141" customFormat="1" ht="15" customHeight="1" thickBot="1">
      <c r="A47" s="153"/>
      <c r="B47" s="661"/>
      <c r="C47" s="349">
        <v>-0.05</v>
      </c>
      <c r="D47" s="355">
        <v>0.20753483209041135</v>
      </c>
      <c r="E47" s="355">
        <v>0.19632762946624371</v>
      </c>
      <c r="F47" s="355">
        <v>0.18525691633333774</v>
      </c>
      <c r="G47" s="355">
        <v>0.17434195644452943</v>
      </c>
      <c r="H47" s="355">
        <v>0.16362571751452148</v>
      </c>
      <c r="I47" s="355">
        <v>0.15329132415621105</v>
      </c>
      <c r="J47" s="356">
        <v>0.14322474222813542</v>
      </c>
      <c r="K47" s="153"/>
    </row>
    <row r="48" spans="1:11" s="141" customFormat="1" ht="15" customHeight="1" thickBot="1">
      <c r="A48" s="153"/>
      <c r="B48" s="661"/>
      <c r="C48" s="349">
        <v>0</v>
      </c>
      <c r="D48" s="355">
        <v>0.25183135967580261</v>
      </c>
      <c r="E48" s="355">
        <v>0.24088260375588777</v>
      </c>
      <c r="F48" s="355">
        <v>0.22997924366523703</v>
      </c>
      <c r="G48" s="357">
        <v>0.2191525565137169</v>
      </c>
      <c r="H48" s="355">
        <v>0.20842745720270606</v>
      </c>
      <c r="I48" s="355">
        <v>0.19782760674487432</v>
      </c>
      <c r="J48" s="356">
        <v>0.18739082886153002</v>
      </c>
      <c r="K48" s="153"/>
    </row>
    <row r="49" spans="1:11" s="141" customFormat="1" ht="15" customHeight="1">
      <c r="A49" s="153"/>
      <c r="B49" s="661"/>
      <c r="C49" s="349">
        <v>0.05</v>
      </c>
      <c r="D49" s="355">
        <v>0.29080872616176445</v>
      </c>
      <c r="E49" s="355">
        <v>0.28019781329561</v>
      </c>
      <c r="F49" s="355">
        <v>0.26958351409707682</v>
      </c>
      <c r="G49" s="355">
        <v>0.25897111266247008</v>
      </c>
      <c r="H49" s="355">
        <v>0.24839961498910967</v>
      </c>
      <c r="I49" s="355">
        <v>0.23789149521290165</v>
      </c>
      <c r="J49" s="356">
        <v>0.22746633648101744</v>
      </c>
      <c r="K49" s="153"/>
    </row>
    <row r="50" spans="1:11" s="141" customFormat="1" ht="15" customHeight="1">
      <c r="A50" s="153"/>
      <c r="B50" s="661"/>
      <c r="C50" s="349">
        <v>0.1</v>
      </c>
      <c r="D50" s="355">
        <v>0.32571498295605217</v>
      </c>
      <c r="E50" s="355">
        <v>0.31543508022396161</v>
      </c>
      <c r="F50" s="355">
        <v>0.30512321998572633</v>
      </c>
      <c r="G50" s="355">
        <v>0.29479411149495771</v>
      </c>
      <c r="H50" s="355">
        <v>0.28445394742669383</v>
      </c>
      <c r="I50" s="355">
        <v>0.27412210983442931</v>
      </c>
      <c r="J50" s="356">
        <v>0.26382650686839137</v>
      </c>
      <c r="K50" s="153"/>
    </row>
    <row r="51" spans="1:11" s="141" customFormat="1" ht="15" customHeight="1">
      <c r="A51" s="153"/>
      <c r="B51" s="661"/>
      <c r="C51" s="349">
        <v>0.15</v>
      </c>
      <c r="D51" s="358">
        <v>0.35740518100978091</v>
      </c>
      <c r="E51" s="358">
        <v>0.34744081732573062</v>
      </c>
      <c r="F51" s="358">
        <v>0.33742631960893155</v>
      </c>
      <c r="G51" s="358">
        <v>0.3273726566236741</v>
      </c>
      <c r="H51" s="358">
        <v>0.31729202050029448</v>
      </c>
      <c r="I51" s="358">
        <v>0.30719779551784243</v>
      </c>
      <c r="J51" s="359">
        <v>0.29708647724204007</v>
      </c>
      <c r="K51" s="153"/>
    </row>
    <row r="52" spans="1:11" s="141" customFormat="1" ht="12.5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</row>
  </sheetData>
  <mergeCells count="12">
    <mergeCell ref="B45:B51"/>
    <mergeCell ref="B13:C14"/>
    <mergeCell ref="D13:J13"/>
    <mergeCell ref="B15:B21"/>
    <mergeCell ref="B23:C24"/>
    <mergeCell ref="D23:J23"/>
    <mergeCell ref="B25:B31"/>
    <mergeCell ref="B33:C34"/>
    <mergeCell ref="D33:J33"/>
    <mergeCell ref="B35:B41"/>
    <mergeCell ref="B43:C44"/>
    <mergeCell ref="D43:J43"/>
  </mergeCells>
  <conditionalFormatting sqref="D15:J21">
    <cfRule type="colorScale" priority="4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35:J41">
    <cfRule type="colorScale" priority="3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45:J51">
    <cfRule type="colorScale" priority="2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25:J31">
    <cfRule type="colorScale" priority="1">
      <colorScale>
        <cfvo type="min"/>
        <cfvo type="percentile" val="50"/>
        <cfvo type="max"/>
        <color rgb="FFFFCDCD"/>
        <color rgb="FFFFF5C5"/>
        <color rgb="FFCAE8AA"/>
      </colorScale>
    </cfRule>
  </conditionalFormatting>
  <pageMargins left="0.7" right="0.7" top="0.75" bottom="0.75" header="0.3" footer="0.3"/>
  <pageSetup paperSize="8" scale="65" orientation="landscape" horizontalDpi="4294967293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theme="9"/>
  </sheetPr>
  <dimension ref="A1:XFC162"/>
  <sheetViews>
    <sheetView view="pageBreakPreview" zoomScale="70" zoomScaleNormal="70" zoomScaleSheetLayoutView="70" workbookViewId="0">
      <pane xSplit="11" ySplit="9" topLeftCell="L83" activePane="bottomRight" state="frozen"/>
      <selection pane="topRight"/>
      <selection pane="bottomLeft"/>
      <selection pane="bottomRight" activeCell="I83" sqref="I83"/>
    </sheetView>
  </sheetViews>
  <sheetFormatPr defaultColWidth="0" defaultRowHeight="0" customHeight="1" zeroHeight="1"/>
  <cols>
    <col min="1" max="1" width="2.1796875" style="133" customWidth="1"/>
    <col min="2" max="2" width="2.453125" style="133" customWidth="1"/>
    <col min="3" max="3" width="52.453125" style="133" customWidth="1"/>
    <col min="4" max="4" width="15.1796875" style="133" customWidth="1"/>
    <col min="5" max="5" width="13.26953125" style="133" customWidth="1"/>
    <col min="6" max="6" width="2.1796875" style="133" customWidth="1"/>
    <col min="7" max="7" width="14.54296875" style="207" customWidth="1"/>
    <col min="8" max="8" width="3.453125" style="133" customWidth="1"/>
    <col min="9" max="9" width="13.453125" style="133" customWidth="1"/>
    <col min="10" max="11" width="2.1796875" style="133" customWidth="1"/>
    <col min="12" max="93" width="12.453125" style="133" customWidth="1"/>
    <col min="94" max="100" width="12.453125" style="133" hidden="1"/>
    <col min="101" max="124" width="8.7265625" style="133" hidden="1"/>
    <col min="125" max="132" width="12.453125" style="133" hidden="1"/>
    <col min="133" max="144" width="8.7265625" style="133" hidden="1"/>
    <col min="145" max="152" width="12.453125" style="133" hidden="1"/>
    <col min="153" max="164" width="8.7265625" style="133" hidden="1"/>
    <col min="165" max="173" width="12.453125" style="133" hidden="1"/>
    <col min="174" max="229" width="8.7265625" style="133" hidden="1"/>
    <col min="230" max="237" width="12.453125" style="133" hidden="1"/>
    <col min="238" max="261" width="8.7265625" style="133" hidden="1"/>
    <col min="262" max="269" width="12.453125" style="133" hidden="1"/>
    <col min="270" max="281" width="8.7265625" style="133" hidden="1"/>
    <col min="282" max="289" width="12.453125" style="133" hidden="1"/>
    <col min="290" max="301" width="8.7265625" style="133" hidden="1"/>
    <col min="302" max="310" width="12.453125" style="133" hidden="1"/>
    <col min="311" max="16383" width="8.7265625" style="133" hidden="1"/>
    <col min="16384" max="16384" width="2.453125" style="133" hidden="1"/>
  </cols>
  <sheetData>
    <row r="1" spans="1:93" ht="14">
      <c r="A1" s="47"/>
      <c r="B1" s="47"/>
      <c r="C1" s="47"/>
      <c r="D1" s="47"/>
      <c r="E1" s="47"/>
      <c r="F1" s="47"/>
      <c r="G1" s="321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360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361"/>
      <c r="C4" s="100" t="s">
        <v>1002</v>
      </c>
      <c r="D4" s="322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N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ref="CO6" si="1">YEAR(CO7)</f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N7" si="2">Beginning_of_period</f>
        <v>45658</v>
      </c>
      <c r="M7" s="113">
        <f t="shared" si="2"/>
        <v>45748</v>
      </c>
      <c r="N7" s="113">
        <f t="shared" si="2"/>
        <v>45839</v>
      </c>
      <c r="O7" s="113">
        <f t="shared" si="2"/>
        <v>45931</v>
      </c>
      <c r="P7" s="113">
        <f t="shared" si="2"/>
        <v>46023</v>
      </c>
      <c r="Q7" s="113">
        <f t="shared" si="2"/>
        <v>46113</v>
      </c>
      <c r="R7" s="113">
        <f t="shared" si="2"/>
        <v>46204</v>
      </c>
      <c r="S7" s="113">
        <f t="shared" si="2"/>
        <v>46296</v>
      </c>
      <c r="T7" s="113">
        <f t="shared" si="2"/>
        <v>46388</v>
      </c>
      <c r="U7" s="113">
        <f t="shared" si="2"/>
        <v>46478</v>
      </c>
      <c r="V7" s="113">
        <f t="shared" si="2"/>
        <v>46569</v>
      </c>
      <c r="W7" s="113">
        <f t="shared" si="2"/>
        <v>46661</v>
      </c>
      <c r="X7" s="113">
        <f t="shared" si="2"/>
        <v>46753</v>
      </c>
      <c r="Y7" s="113">
        <f t="shared" si="2"/>
        <v>46844</v>
      </c>
      <c r="Z7" s="113">
        <f t="shared" si="2"/>
        <v>46935</v>
      </c>
      <c r="AA7" s="113">
        <f t="shared" si="2"/>
        <v>47027</v>
      </c>
      <c r="AB7" s="113">
        <f t="shared" si="2"/>
        <v>47119</v>
      </c>
      <c r="AC7" s="113">
        <f t="shared" si="2"/>
        <v>47209</v>
      </c>
      <c r="AD7" s="113">
        <f t="shared" si="2"/>
        <v>47300</v>
      </c>
      <c r="AE7" s="113">
        <f t="shared" si="2"/>
        <v>47392</v>
      </c>
      <c r="AF7" s="113">
        <f t="shared" si="2"/>
        <v>47484</v>
      </c>
      <c r="AG7" s="113">
        <f t="shared" si="2"/>
        <v>47574</v>
      </c>
      <c r="AH7" s="113">
        <f t="shared" si="2"/>
        <v>47665</v>
      </c>
      <c r="AI7" s="113">
        <f t="shared" si="2"/>
        <v>47757</v>
      </c>
      <c r="AJ7" s="113">
        <f t="shared" si="2"/>
        <v>47849</v>
      </c>
      <c r="AK7" s="113">
        <f t="shared" si="2"/>
        <v>47939</v>
      </c>
      <c r="AL7" s="113">
        <f t="shared" si="2"/>
        <v>48030</v>
      </c>
      <c r="AM7" s="113">
        <f t="shared" si="2"/>
        <v>48122</v>
      </c>
      <c r="AN7" s="113">
        <f t="shared" si="2"/>
        <v>48214</v>
      </c>
      <c r="AO7" s="113">
        <f t="shared" si="2"/>
        <v>48305</v>
      </c>
      <c r="AP7" s="113">
        <f t="shared" si="2"/>
        <v>48396</v>
      </c>
      <c r="AQ7" s="113">
        <f t="shared" si="2"/>
        <v>48488</v>
      </c>
      <c r="AR7" s="113">
        <f t="shared" si="2"/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si="2"/>
        <v>51502</v>
      </c>
      <c r="BY7" s="113">
        <f t="shared" si="2"/>
        <v>51592</v>
      </c>
      <c r="BZ7" s="113">
        <f t="shared" si="2"/>
        <v>51683</v>
      </c>
      <c r="CA7" s="113">
        <f t="shared" si="2"/>
        <v>51775</v>
      </c>
      <c r="CB7" s="113">
        <f t="shared" si="2"/>
        <v>51867</v>
      </c>
      <c r="CC7" s="113">
        <f t="shared" si="2"/>
        <v>51957</v>
      </c>
      <c r="CD7" s="113">
        <f t="shared" si="2"/>
        <v>52048</v>
      </c>
      <c r="CE7" s="113">
        <f t="shared" si="2"/>
        <v>52140</v>
      </c>
      <c r="CF7" s="113">
        <f t="shared" si="2"/>
        <v>52232</v>
      </c>
      <c r="CG7" s="113">
        <f t="shared" si="2"/>
        <v>52322</v>
      </c>
      <c r="CH7" s="113">
        <f t="shared" si="2"/>
        <v>52413</v>
      </c>
      <c r="CI7" s="113">
        <f t="shared" si="2"/>
        <v>52505</v>
      </c>
      <c r="CJ7" s="113">
        <f t="shared" si="2"/>
        <v>52597</v>
      </c>
      <c r="CK7" s="113">
        <f t="shared" si="2"/>
        <v>52688</v>
      </c>
      <c r="CL7" s="113">
        <f t="shared" si="2"/>
        <v>52779</v>
      </c>
      <c r="CM7" s="113">
        <f t="shared" si="2"/>
        <v>52871</v>
      </c>
      <c r="CN7" s="113">
        <f t="shared" si="2"/>
        <v>52963</v>
      </c>
      <c r="CO7" s="113">
        <f t="shared" ref="CO7" si="3">Beginning_of_period</f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N8" si="4">End_of_period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si="4"/>
        <v>51591</v>
      </c>
      <c r="BY8" s="113">
        <f t="shared" si="4"/>
        <v>51682</v>
      </c>
      <c r="BZ8" s="113">
        <f t="shared" si="4"/>
        <v>51774</v>
      </c>
      <c r="CA8" s="113">
        <f t="shared" si="4"/>
        <v>51866</v>
      </c>
      <c r="CB8" s="113">
        <f t="shared" si="4"/>
        <v>51956</v>
      </c>
      <c r="CC8" s="113">
        <f t="shared" si="4"/>
        <v>52047</v>
      </c>
      <c r="CD8" s="113">
        <f t="shared" si="4"/>
        <v>52139</v>
      </c>
      <c r="CE8" s="113">
        <f t="shared" si="4"/>
        <v>52231</v>
      </c>
      <c r="CF8" s="113">
        <f t="shared" si="4"/>
        <v>52321</v>
      </c>
      <c r="CG8" s="113">
        <f t="shared" si="4"/>
        <v>52412</v>
      </c>
      <c r="CH8" s="113">
        <f t="shared" si="4"/>
        <v>52504</v>
      </c>
      <c r="CI8" s="113">
        <f t="shared" si="4"/>
        <v>52596</v>
      </c>
      <c r="CJ8" s="113">
        <f t="shared" si="4"/>
        <v>52687</v>
      </c>
      <c r="CK8" s="113">
        <f t="shared" si="4"/>
        <v>52778</v>
      </c>
      <c r="CL8" s="113">
        <f t="shared" si="4"/>
        <v>52870</v>
      </c>
      <c r="CM8" s="113">
        <f t="shared" si="4"/>
        <v>52962</v>
      </c>
      <c r="CN8" s="113">
        <f t="shared" si="4"/>
        <v>53052</v>
      </c>
      <c r="CO8" s="113">
        <f t="shared" ref="CO8" si="5">End_of_period</f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N9" si="6">IF(Flag_Construction,1,2)*Flag_Financial_Model</f>
        <v>1</v>
      </c>
      <c r="M9" s="152">
        <f t="shared" si="6"/>
        <v>1</v>
      </c>
      <c r="N9" s="152">
        <f t="shared" si="6"/>
        <v>1</v>
      </c>
      <c r="O9" s="152">
        <f t="shared" si="6"/>
        <v>1</v>
      </c>
      <c r="P9" s="152">
        <f t="shared" si="6"/>
        <v>1</v>
      </c>
      <c r="Q9" s="152">
        <f t="shared" si="6"/>
        <v>1</v>
      </c>
      <c r="R9" s="152">
        <f t="shared" si="6"/>
        <v>1</v>
      </c>
      <c r="S9" s="152">
        <f t="shared" si="6"/>
        <v>1</v>
      </c>
      <c r="T9" s="152">
        <f t="shared" si="6"/>
        <v>1</v>
      </c>
      <c r="U9" s="152">
        <f t="shared" si="6"/>
        <v>1</v>
      </c>
      <c r="V9" s="152">
        <f t="shared" si="6"/>
        <v>1</v>
      </c>
      <c r="W9" s="152">
        <f t="shared" si="6"/>
        <v>1</v>
      </c>
      <c r="X9" s="152">
        <f t="shared" si="6"/>
        <v>1</v>
      </c>
      <c r="Y9" s="152">
        <f t="shared" si="6"/>
        <v>1</v>
      </c>
      <c r="Z9" s="152">
        <f t="shared" si="6"/>
        <v>1</v>
      </c>
      <c r="AA9" s="152">
        <f t="shared" si="6"/>
        <v>1</v>
      </c>
      <c r="AB9" s="152">
        <f t="shared" si="6"/>
        <v>1</v>
      </c>
      <c r="AC9" s="152">
        <f t="shared" si="6"/>
        <v>2</v>
      </c>
      <c r="AD9" s="152">
        <f t="shared" si="6"/>
        <v>2</v>
      </c>
      <c r="AE9" s="152">
        <f t="shared" si="6"/>
        <v>2</v>
      </c>
      <c r="AF9" s="152">
        <f t="shared" si="6"/>
        <v>2</v>
      </c>
      <c r="AG9" s="152">
        <f t="shared" si="6"/>
        <v>2</v>
      </c>
      <c r="AH9" s="152">
        <f t="shared" si="6"/>
        <v>2</v>
      </c>
      <c r="AI9" s="152">
        <f t="shared" si="6"/>
        <v>2</v>
      </c>
      <c r="AJ9" s="152">
        <f t="shared" si="6"/>
        <v>2</v>
      </c>
      <c r="AK9" s="152">
        <f t="shared" si="6"/>
        <v>2</v>
      </c>
      <c r="AL9" s="152">
        <f t="shared" si="6"/>
        <v>2</v>
      </c>
      <c r="AM9" s="152">
        <f t="shared" si="6"/>
        <v>2</v>
      </c>
      <c r="AN9" s="152">
        <f t="shared" si="6"/>
        <v>2</v>
      </c>
      <c r="AO9" s="152">
        <f t="shared" si="6"/>
        <v>2</v>
      </c>
      <c r="AP9" s="152">
        <f t="shared" si="6"/>
        <v>2</v>
      </c>
      <c r="AQ9" s="152">
        <f t="shared" si="6"/>
        <v>2</v>
      </c>
      <c r="AR9" s="152">
        <f t="shared" si="6"/>
        <v>2</v>
      </c>
      <c r="AS9" s="152">
        <f t="shared" si="6"/>
        <v>2</v>
      </c>
      <c r="AT9" s="152">
        <f t="shared" si="6"/>
        <v>2</v>
      </c>
      <c r="AU9" s="152">
        <f t="shared" si="6"/>
        <v>2</v>
      </c>
      <c r="AV9" s="152">
        <f t="shared" si="6"/>
        <v>2</v>
      </c>
      <c r="AW9" s="152">
        <f t="shared" si="6"/>
        <v>2</v>
      </c>
      <c r="AX9" s="152">
        <f t="shared" si="6"/>
        <v>2</v>
      </c>
      <c r="AY9" s="152">
        <f t="shared" si="6"/>
        <v>2</v>
      </c>
      <c r="AZ9" s="152">
        <f t="shared" si="6"/>
        <v>2</v>
      </c>
      <c r="BA9" s="152">
        <f t="shared" si="6"/>
        <v>2</v>
      </c>
      <c r="BB9" s="152">
        <f t="shared" si="6"/>
        <v>2</v>
      </c>
      <c r="BC9" s="152">
        <f t="shared" si="6"/>
        <v>2</v>
      </c>
      <c r="BD9" s="152">
        <f t="shared" si="6"/>
        <v>2</v>
      </c>
      <c r="BE9" s="152">
        <f t="shared" si="6"/>
        <v>2</v>
      </c>
      <c r="BF9" s="152">
        <f t="shared" si="6"/>
        <v>2</v>
      </c>
      <c r="BG9" s="152">
        <f t="shared" si="6"/>
        <v>2</v>
      </c>
      <c r="BH9" s="152">
        <f t="shared" si="6"/>
        <v>2</v>
      </c>
      <c r="BI9" s="152">
        <f t="shared" si="6"/>
        <v>2</v>
      </c>
      <c r="BJ9" s="152">
        <f t="shared" si="6"/>
        <v>2</v>
      </c>
      <c r="BK9" s="152">
        <f t="shared" si="6"/>
        <v>2</v>
      </c>
      <c r="BL9" s="152">
        <f t="shared" si="6"/>
        <v>2</v>
      </c>
      <c r="BM9" s="152">
        <f t="shared" si="6"/>
        <v>2</v>
      </c>
      <c r="BN9" s="152">
        <f t="shared" si="6"/>
        <v>2</v>
      </c>
      <c r="BO9" s="152">
        <f t="shared" si="6"/>
        <v>2</v>
      </c>
      <c r="BP9" s="152">
        <f t="shared" si="6"/>
        <v>2</v>
      </c>
      <c r="BQ9" s="152">
        <f t="shared" si="6"/>
        <v>2</v>
      </c>
      <c r="BR9" s="152">
        <f t="shared" si="6"/>
        <v>2</v>
      </c>
      <c r="BS9" s="152">
        <f t="shared" si="6"/>
        <v>2</v>
      </c>
      <c r="BT9" s="152">
        <f t="shared" si="6"/>
        <v>2</v>
      </c>
      <c r="BU9" s="152">
        <f t="shared" si="6"/>
        <v>2</v>
      </c>
      <c r="BV9" s="152">
        <f t="shared" si="6"/>
        <v>2</v>
      </c>
      <c r="BW9" s="152">
        <f t="shared" si="6"/>
        <v>2</v>
      </c>
      <c r="BX9" s="152">
        <f t="shared" si="6"/>
        <v>2</v>
      </c>
      <c r="BY9" s="152">
        <f t="shared" si="6"/>
        <v>2</v>
      </c>
      <c r="BZ9" s="152">
        <f t="shared" si="6"/>
        <v>2</v>
      </c>
      <c r="CA9" s="152">
        <f t="shared" si="6"/>
        <v>2</v>
      </c>
      <c r="CB9" s="152">
        <f t="shared" si="6"/>
        <v>2</v>
      </c>
      <c r="CC9" s="152">
        <f t="shared" si="6"/>
        <v>2</v>
      </c>
      <c r="CD9" s="152">
        <f t="shared" si="6"/>
        <v>2</v>
      </c>
      <c r="CE9" s="152">
        <f t="shared" si="6"/>
        <v>2</v>
      </c>
      <c r="CF9" s="152">
        <f t="shared" si="6"/>
        <v>2</v>
      </c>
      <c r="CG9" s="152">
        <f t="shared" si="6"/>
        <v>2</v>
      </c>
      <c r="CH9" s="152">
        <f t="shared" si="6"/>
        <v>2</v>
      </c>
      <c r="CI9" s="152">
        <f t="shared" si="6"/>
        <v>2</v>
      </c>
      <c r="CJ9" s="152">
        <f t="shared" si="6"/>
        <v>2</v>
      </c>
      <c r="CK9" s="152">
        <f t="shared" si="6"/>
        <v>2</v>
      </c>
      <c r="CL9" s="152">
        <f t="shared" si="6"/>
        <v>2</v>
      </c>
      <c r="CM9" s="152">
        <f t="shared" si="6"/>
        <v>2</v>
      </c>
      <c r="CN9" s="152">
        <f t="shared" si="6"/>
        <v>2</v>
      </c>
      <c r="CO9" s="152">
        <f t="shared" ref="CO9" si="7">IF(Flag_Construction,1,2)*Flag_Financial_Model</f>
        <v>2</v>
      </c>
    </row>
    <row r="10" spans="1:93" ht="15" customHeight="1">
      <c r="A10" s="47"/>
      <c r="B10" s="47"/>
      <c r="C10" s="47"/>
      <c r="D10" s="47"/>
      <c r="E10" s="47"/>
      <c r="F10" s="47"/>
      <c r="G10" s="321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15" customHeight="1" thickBot="1">
      <c r="A11" s="47"/>
      <c r="B11" s="47"/>
      <c r="C11" s="12" t="s">
        <v>1003</v>
      </c>
      <c r="D11" s="12"/>
      <c r="E11" s="12"/>
      <c r="F11" s="12"/>
      <c r="G11" s="362"/>
      <c r="H11" s="12"/>
      <c r="I11" s="12"/>
      <c r="J11" s="47"/>
      <c r="K11" s="47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</row>
    <row r="12" spans="1:93" ht="15" customHeight="1">
      <c r="A12" s="47"/>
      <c r="B12" s="47"/>
      <c r="C12" s="47"/>
      <c r="D12" s="47"/>
      <c r="E12" s="47"/>
      <c r="F12" s="47"/>
      <c r="G12" s="321"/>
      <c r="H12" s="47"/>
      <c r="I12" s="47"/>
      <c r="J12" s="47"/>
      <c r="K12" s="47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ht="15" customHeight="1">
      <c r="A13" s="47"/>
      <c r="B13" s="47"/>
      <c r="C13" s="17" t="s">
        <v>1004</v>
      </c>
      <c r="D13" s="47"/>
      <c r="E13" s="47"/>
      <c r="F13" s="47"/>
      <c r="G13" s="11" t="str">
        <f>Monetary_Unit</f>
        <v>тыс. руб.</v>
      </c>
      <c r="H13" s="10"/>
      <c r="I13" s="23">
        <f ca="1" xml:space="preserve"> I37</f>
        <v>-1675258.4544093378</v>
      </c>
      <c r="J13" s="47"/>
      <c r="K13" s="47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 ht="15" customHeight="1">
      <c r="A14" s="47"/>
      <c r="B14" s="47"/>
      <c r="C14" s="17" t="s">
        <v>1005</v>
      </c>
      <c r="D14" s="47"/>
      <c r="E14" s="47"/>
      <c r="F14" s="47"/>
      <c r="G14" s="11" t="str">
        <f>Monetary_Unit</f>
        <v>тыс. руб.</v>
      </c>
      <c r="H14" s="10"/>
      <c r="I14" s="23">
        <f ca="1" xml:space="preserve"> I42 + I47</f>
        <v>8695089.1857452895</v>
      </c>
      <c r="J14" s="47"/>
      <c r="K14" s="47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</row>
    <row r="15" spans="1:93" ht="15" customHeight="1">
      <c r="A15" s="47"/>
      <c r="B15" s="47"/>
      <c r="C15" s="17" t="s">
        <v>1006</v>
      </c>
      <c r="D15" s="47"/>
      <c r="E15" s="47"/>
      <c r="F15" s="47"/>
      <c r="G15" s="11" t="str">
        <f>Monetary_Unit</f>
        <v>тыс. руб.</v>
      </c>
      <c r="H15" s="10"/>
      <c r="I15" s="23">
        <f xml:space="preserve"> I47</f>
        <v>0</v>
      </c>
      <c r="J15" s="47"/>
      <c r="K15" s="47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3" ht="15" customHeight="1">
      <c r="A16" s="47"/>
      <c r="B16" s="47"/>
      <c r="C16" s="17"/>
      <c r="D16" s="47"/>
      <c r="E16" s="47"/>
      <c r="F16" s="47"/>
      <c r="G16" s="321"/>
      <c r="H16" s="47"/>
      <c r="I16" s="47"/>
      <c r="J16" s="47"/>
      <c r="K16" s="47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1019 1104:2031 2116:3043 3128:4055 4140:5067 5152:6079 6164:7091 7176:8188 8193:9207 9292:10219 10304:11231 11316:12243 12328:13255 13340:14267 14352:15279 15364:16383" ht="15" customHeight="1">
      <c r="A17" s="47"/>
      <c r="B17" s="47"/>
      <c r="C17" s="17" t="s">
        <v>1007</v>
      </c>
      <c r="D17" s="47"/>
      <c r="E17" s="47"/>
      <c r="F17" s="47"/>
      <c r="G17" s="11" t="str">
        <f>Monetary_Unit</f>
        <v>тыс. руб.</v>
      </c>
      <c r="H17" s="10"/>
      <c r="I17" s="23">
        <f ca="1" xml:space="preserve"> I51</f>
        <v>-721104.62107270537</v>
      </c>
      <c r="J17" s="47"/>
      <c r="K17" s="47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1019 1104:2031 2116:3043 3128:4055 4140:5067 5152:6079 6164:7091 7176:8188 8193:9207 9292:10219 10304:11231 11316:12243 12328:13255 13340:14267 14352:15279 15364:16383" ht="15" customHeight="1">
      <c r="A18" s="47"/>
      <c r="B18" s="47"/>
      <c r="C18" s="17" t="s">
        <v>1008</v>
      </c>
      <c r="D18" s="47"/>
      <c r="E18" s="47"/>
      <c r="F18" s="47"/>
      <c r="G18" s="11" t="str">
        <f>Monetary_Unit</f>
        <v>тыс. руб.</v>
      </c>
      <c r="H18" s="10"/>
      <c r="I18" s="23">
        <f t="shared" ref="I18:I19" ca="1" si="8" xml:space="preserve"> I52</f>
        <v>1190751.9501992262</v>
      </c>
      <c r="J18" s="47"/>
      <c r="K18" s="47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</row>
    <row r="19" spans="1:1019 1104:2031 2116:3043 3128:4055 4140:5067 5152:6079 6164:7091 7176:8188 8193:9207 9292:10219 10304:11231 11316:12243 12328:13255 13340:14267 14352:15279 15364:16383" ht="15" customHeight="1">
      <c r="A19" s="47"/>
      <c r="B19" s="47"/>
      <c r="C19" s="17" t="s">
        <v>1009</v>
      </c>
      <c r="D19" s="47"/>
      <c r="E19" s="47"/>
      <c r="F19" s="47"/>
      <c r="G19" s="11" t="str">
        <f>Monetary_Unit</f>
        <v>тыс. руб.</v>
      </c>
      <c r="H19" s="10"/>
      <c r="I19" s="23">
        <f t="shared" si="8"/>
        <v>0</v>
      </c>
      <c r="J19" s="47"/>
      <c r="K19" s="47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</row>
    <row r="20" spans="1:1019 1104:2031 2116:3043 3128:4055 4140:5067 5152:6079 6164:7091 7176:8188 8193:9207 9292:10219 10304:11231 11316:12243 12328:13255 13340:14267 14352:15279 15364:16383" ht="15" customHeight="1">
      <c r="A20" s="47"/>
      <c r="B20" s="47"/>
      <c r="C20" s="17"/>
      <c r="D20" s="47"/>
      <c r="E20" s="47"/>
      <c r="F20" s="47"/>
      <c r="G20" s="11"/>
      <c r="H20" s="10"/>
      <c r="I20" s="10"/>
      <c r="J20" s="47"/>
      <c r="K20" s="47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</row>
    <row r="21" spans="1:1019 1104:2031 2116:3043 3128:4055 4140:5067 5152:6079 6164:7091 7176:8188 8193:9207 9292:10219 10304:11231 11316:12243 12328:13255 13340:14267 14352:15279 15364:16383" ht="15" customHeight="1">
      <c r="A21" s="47"/>
      <c r="B21" s="47"/>
      <c r="C21" s="17" t="s">
        <v>1010</v>
      </c>
      <c r="D21" s="47"/>
      <c r="E21" s="47"/>
      <c r="F21" s="47"/>
      <c r="G21" s="11" t="str">
        <f>Monetary_Unit</f>
        <v>тыс. руб.</v>
      </c>
      <c r="H21" s="10"/>
      <c r="I21" s="363">
        <f ca="1" xml:space="preserve"> I55</f>
        <v>469647.32912652078</v>
      </c>
      <c r="J21" s="47"/>
      <c r="K21" s="47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</row>
    <row r="22" spans="1:1019 1104:2031 2116:3043 3128:4055 4140:5067 5152:6079 6164:7091 7176:8188 8193:9207 9292:10219 10304:11231 11316:12243 12328:13255 13340:14267 14352:15279 15364:16383" ht="15" customHeight="1">
      <c r="A22" s="47"/>
      <c r="B22" s="47"/>
      <c r="C22" s="17" t="s">
        <v>1011</v>
      </c>
      <c r="D22" s="47"/>
      <c r="E22" s="47"/>
      <c r="F22" s="47"/>
      <c r="G22" s="11" t="s">
        <v>956</v>
      </c>
      <c r="H22" s="10"/>
      <c r="I22" s="364">
        <f ca="1" xml:space="preserve"> I56</f>
        <v>1.6512887525639204</v>
      </c>
      <c r="J22" s="47"/>
      <c r="K22" s="4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1019 1104:2031 2116:3043 3128:4055 4140:5067 5152:6079 6164:7091 7176:8188 8193:9207 9292:10219 10304:11231 11316:12243 12328:13255 13340:14267 14352:15279 15364:16383" ht="15" customHeight="1">
      <c r="A23" s="47"/>
      <c r="B23" s="47"/>
      <c r="C23" s="47"/>
      <c r="D23" s="47"/>
      <c r="E23" s="47"/>
      <c r="F23" s="47"/>
      <c r="G23" s="321"/>
      <c r="H23" s="47"/>
      <c r="I23" s="47"/>
      <c r="J23" s="47"/>
      <c r="K23" s="47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</row>
    <row r="24" spans="1:1019 1104:2031 2116:3043 3128:4055 4140:5067 5152:6079 6164:7091 7176:8188 8193:9207 9292:10219 10304:11231 11316:12243 12328:13255 13340:14267 14352:15279 15364:16383" ht="16" thickBot="1">
      <c r="A24" s="10"/>
      <c r="B24" s="10"/>
      <c r="C24" s="12" t="s">
        <v>953</v>
      </c>
      <c r="D24" s="12"/>
      <c r="E24" s="12"/>
      <c r="F24" s="12"/>
      <c r="G24" s="362"/>
      <c r="H24" s="12"/>
      <c r="I24" s="12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1019 1104:2031 2116:3043 3128:4055 4140:5067 5152:6079 6164:7091 7176:8188 8193:9207 9292:10219 10304:11231 11316:12243 12328:13255 13340:14267 14352:15279 15364:16383" s="10" customFormat="1" ht="14.5" customHeight="1">
      <c r="E25" s="47"/>
      <c r="G25" s="11"/>
      <c r="CS25" s="47"/>
      <c r="CU25" s="11"/>
      <c r="GB25" s="47"/>
      <c r="GG25" s="47"/>
      <c r="GI25" s="11"/>
      <c r="JP25" s="47"/>
      <c r="JU25" s="47"/>
      <c r="JW25" s="11"/>
      <c r="ND25" s="47"/>
      <c r="NI25" s="47"/>
      <c r="NK25" s="11"/>
      <c r="QR25" s="47"/>
      <c r="QW25" s="47"/>
      <c r="QY25" s="11"/>
      <c r="UF25" s="47"/>
      <c r="UK25" s="47"/>
      <c r="UM25" s="11"/>
      <c r="XT25" s="47"/>
      <c r="XY25" s="47"/>
      <c r="YA25" s="11"/>
      <c r="ABH25" s="47"/>
      <c r="ABM25" s="47"/>
      <c r="ABO25" s="11"/>
      <c r="AEV25" s="47"/>
      <c r="AFA25" s="47"/>
      <c r="AFC25" s="11"/>
      <c r="AIJ25" s="47"/>
      <c r="AIO25" s="47"/>
      <c r="AIQ25" s="11"/>
      <c r="ALX25" s="47"/>
      <c r="AMC25" s="47"/>
      <c r="AME25" s="11"/>
      <c r="APL25" s="47"/>
      <c r="APQ25" s="47"/>
      <c r="APS25" s="11"/>
      <c r="ASZ25" s="47"/>
      <c r="ATE25" s="47"/>
      <c r="ATG25" s="11"/>
      <c r="AWN25" s="47"/>
      <c r="AWS25" s="47"/>
      <c r="AWU25" s="11"/>
      <c r="BAB25" s="47"/>
      <c r="BAG25" s="47"/>
      <c r="BAI25" s="11"/>
      <c r="BDP25" s="47"/>
      <c r="BDU25" s="47"/>
      <c r="BDW25" s="11"/>
      <c r="BHD25" s="47"/>
      <c r="BHI25" s="47"/>
      <c r="BHK25" s="11"/>
      <c r="BKR25" s="47"/>
      <c r="BKW25" s="47"/>
      <c r="BKY25" s="11"/>
      <c r="BOF25" s="47"/>
      <c r="BOK25" s="47"/>
      <c r="BOM25" s="11"/>
      <c r="BRT25" s="47"/>
      <c r="BRY25" s="47"/>
      <c r="BSA25" s="11"/>
      <c r="BVH25" s="47"/>
      <c r="BVM25" s="47"/>
      <c r="BVO25" s="11"/>
      <c r="BYV25" s="47"/>
      <c r="BZA25" s="47"/>
      <c r="BZC25" s="11"/>
      <c r="CCJ25" s="47"/>
      <c r="CCO25" s="47"/>
      <c r="CCQ25" s="11"/>
      <c r="CFX25" s="47"/>
      <c r="CGC25" s="47"/>
      <c r="CGE25" s="11"/>
      <c r="CJL25" s="47"/>
      <c r="CJQ25" s="47"/>
      <c r="CJS25" s="11"/>
      <c r="CMZ25" s="47"/>
      <c r="CNE25" s="47"/>
      <c r="CNG25" s="11"/>
      <c r="CQN25" s="47"/>
      <c r="CQS25" s="47"/>
      <c r="CQU25" s="11"/>
      <c r="CUB25" s="47"/>
      <c r="CUG25" s="47"/>
      <c r="CUI25" s="11"/>
      <c r="CXP25" s="47"/>
      <c r="CXU25" s="47"/>
      <c r="CXW25" s="11"/>
      <c r="DBD25" s="47"/>
      <c r="DBI25" s="47"/>
      <c r="DBK25" s="11"/>
      <c r="DER25" s="47"/>
      <c r="DEW25" s="47"/>
      <c r="DEY25" s="11"/>
      <c r="DIF25" s="47"/>
      <c r="DIK25" s="47"/>
      <c r="DIM25" s="11"/>
      <c r="DLT25" s="47"/>
      <c r="DLY25" s="47"/>
      <c r="DMA25" s="11"/>
      <c r="DPH25" s="47"/>
      <c r="DPM25" s="47"/>
      <c r="DPO25" s="11"/>
      <c r="DSV25" s="47"/>
      <c r="DTA25" s="47"/>
      <c r="DTC25" s="11"/>
      <c r="DWJ25" s="47"/>
      <c r="DWO25" s="47"/>
      <c r="DWQ25" s="11"/>
      <c r="DZX25" s="47"/>
      <c r="EAC25" s="47"/>
      <c r="EAE25" s="11"/>
      <c r="EDL25" s="47"/>
      <c r="EDQ25" s="47"/>
      <c r="EDS25" s="11"/>
      <c r="EGZ25" s="47"/>
      <c r="EHE25" s="47"/>
      <c r="EHG25" s="11"/>
      <c r="EKN25" s="47"/>
      <c r="EKS25" s="47"/>
      <c r="EKU25" s="11"/>
      <c r="EOB25" s="47"/>
      <c r="EOG25" s="47"/>
      <c r="EOI25" s="11"/>
      <c r="ERP25" s="47"/>
      <c r="ERU25" s="47"/>
      <c r="ERW25" s="11"/>
      <c r="EVD25" s="47"/>
      <c r="EVI25" s="47"/>
      <c r="EVK25" s="11"/>
      <c r="EYR25" s="47"/>
      <c r="EYW25" s="47"/>
      <c r="EYY25" s="11"/>
      <c r="FCF25" s="47"/>
      <c r="FCK25" s="47"/>
      <c r="FCM25" s="11"/>
      <c r="FFT25" s="47"/>
      <c r="FFY25" s="47"/>
      <c r="FGA25" s="11"/>
      <c r="FJH25" s="47"/>
      <c r="FJM25" s="47"/>
      <c r="FJO25" s="11"/>
      <c r="FMV25" s="47"/>
      <c r="FNA25" s="47"/>
      <c r="FNC25" s="11"/>
      <c r="FQJ25" s="47"/>
      <c r="FQO25" s="47"/>
      <c r="FQQ25" s="11"/>
      <c r="FTX25" s="47"/>
      <c r="FUC25" s="47"/>
      <c r="FUE25" s="11"/>
      <c r="FXL25" s="47"/>
      <c r="FXQ25" s="47"/>
      <c r="FXS25" s="11"/>
      <c r="GAZ25" s="47"/>
      <c r="GBE25" s="47"/>
      <c r="GBG25" s="11"/>
      <c r="GEN25" s="47"/>
      <c r="GES25" s="47"/>
      <c r="GEU25" s="11"/>
      <c r="GIB25" s="47"/>
      <c r="GIG25" s="47"/>
      <c r="GII25" s="11"/>
      <c r="GLP25" s="47"/>
      <c r="GLU25" s="47"/>
      <c r="GLW25" s="11"/>
      <c r="GPD25" s="47"/>
      <c r="GPI25" s="47"/>
      <c r="GPK25" s="11"/>
      <c r="GSR25" s="47"/>
      <c r="GSW25" s="47"/>
      <c r="GSY25" s="11"/>
      <c r="GWF25" s="47"/>
      <c r="GWK25" s="47"/>
      <c r="GWM25" s="11"/>
      <c r="GZT25" s="47"/>
      <c r="GZY25" s="47"/>
      <c r="HAA25" s="11"/>
      <c r="HDH25" s="47"/>
      <c r="HDM25" s="47"/>
      <c r="HDO25" s="11"/>
      <c r="HGV25" s="47"/>
      <c r="HHA25" s="47"/>
      <c r="HHC25" s="11"/>
      <c r="HKJ25" s="47"/>
      <c r="HKO25" s="47"/>
      <c r="HKQ25" s="11"/>
      <c r="HNX25" s="47"/>
      <c r="HOC25" s="47"/>
      <c r="HOE25" s="11"/>
      <c r="HRL25" s="47"/>
      <c r="HRQ25" s="47"/>
      <c r="HRS25" s="11"/>
      <c r="HUZ25" s="47"/>
      <c r="HVE25" s="47"/>
      <c r="HVG25" s="11"/>
      <c r="HYN25" s="47"/>
      <c r="HYS25" s="47"/>
      <c r="HYU25" s="11"/>
      <c r="ICB25" s="47"/>
      <c r="ICG25" s="47"/>
      <c r="ICI25" s="11"/>
      <c r="IFP25" s="47"/>
      <c r="IFU25" s="47"/>
      <c r="IFW25" s="11"/>
      <c r="IJD25" s="47"/>
      <c r="IJI25" s="47"/>
      <c r="IJK25" s="11"/>
      <c r="IMR25" s="47"/>
      <c r="IMW25" s="47"/>
      <c r="IMY25" s="11"/>
      <c r="IQF25" s="47"/>
      <c r="IQK25" s="47"/>
      <c r="IQM25" s="11"/>
      <c r="ITT25" s="47"/>
      <c r="ITY25" s="47"/>
      <c r="IUA25" s="11"/>
      <c r="IXH25" s="47"/>
      <c r="IXM25" s="47"/>
      <c r="IXO25" s="11"/>
      <c r="JAV25" s="47"/>
      <c r="JBA25" s="47"/>
      <c r="JBC25" s="11"/>
      <c r="JEJ25" s="47"/>
      <c r="JEO25" s="47"/>
      <c r="JEQ25" s="11"/>
      <c r="JHX25" s="47"/>
      <c r="JIC25" s="47"/>
      <c r="JIE25" s="11"/>
      <c r="JLL25" s="47"/>
      <c r="JLQ25" s="47"/>
      <c r="JLS25" s="11"/>
      <c r="JOZ25" s="47"/>
      <c r="JPE25" s="47"/>
      <c r="JPG25" s="11"/>
      <c r="JSN25" s="47"/>
      <c r="JSS25" s="47"/>
      <c r="JSU25" s="11"/>
      <c r="JWB25" s="47"/>
      <c r="JWG25" s="47"/>
      <c r="JWI25" s="11"/>
      <c r="JZP25" s="47"/>
      <c r="JZU25" s="47"/>
      <c r="JZW25" s="11"/>
      <c r="KDD25" s="47"/>
      <c r="KDI25" s="47"/>
      <c r="KDK25" s="11"/>
      <c r="KGR25" s="47"/>
      <c r="KGW25" s="47"/>
      <c r="KGY25" s="11"/>
      <c r="KKF25" s="47"/>
      <c r="KKK25" s="47"/>
      <c r="KKM25" s="11"/>
      <c r="KNT25" s="47"/>
      <c r="KNY25" s="47"/>
      <c r="KOA25" s="11"/>
      <c r="KRH25" s="47"/>
      <c r="KRM25" s="47"/>
      <c r="KRO25" s="11"/>
      <c r="KUV25" s="47"/>
      <c r="KVA25" s="47"/>
      <c r="KVC25" s="11"/>
      <c r="KYJ25" s="47"/>
      <c r="KYO25" s="47"/>
      <c r="KYQ25" s="11"/>
      <c r="LBX25" s="47"/>
      <c r="LCC25" s="47"/>
      <c r="LCE25" s="11"/>
      <c r="LFL25" s="47"/>
      <c r="LFQ25" s="47"/>
      <c r="LFS25" s="11"/>
      <c r="LIZ25" s="47"/>
      <c r="LJE25" s="47"/>
      <c r="LJG25" s="11"/>
      <c r="LMN25" s="47"/>
      <c r="LMS25" s="47"/>
      <c r="LMU25" s="11"/>
      <c r="LQB25" s="47"/>
      <c r="LQG25" s="47"/>
      <c r="LQI25" s="11"/>
      <c r="LTP25" s="47"/>
      <c r="LTU25" s="47"/>
      <c r="LTW25" s="11"/>
      <c r="LXD25" s="47"/>
      <c r="LXI25" s="47"/>
      <c r="LXK25" s="11"/>
      <c r="MAR25" s="47"/>
      <c r="MAW25" s="47"/>
      <c r="MAY25" s="11"/>
      <c r="MEF25" s="47"/>
      <c r="MEK25" s="47"/>
      <c r="MEM25" s="11"/>
      <c r="MHT25" s="47"/>
      <c r="MHY25" s="47"/>
      <c r="MIA25" s="11"/>
      <c r="MLH25" s="47"/>
      <c r="MLM25" s="47"/>
      <c r="MLO25" s="11"/>
      <c r="MOV25" s="47"/>
      <c r="MPA25" s="47"/>
      <c r="MPC25" s="11"/>
      <c r="MSJ25" s="47"/>
      <c r="MSO25" s="47"/>
      <c r="MSQ25" s="11"/>
      <c r="MVX25" s="47"/>
      <c r="MWC25" s="47"/>
      <c r="MWE25" s="11"/>
      <c r="MZL25" s="47"/>
      <c r="MZQ25" s="47"/>
      <c r="MZS25" s="11"/>
      <c r="NCZ25" s="47"/>
      <c r="NDE25" s="47"/>
      <c r="NDG25" s="11"/>
      <c r="NGN25" s="47"/>
      <c r="NGS25" s="47"/>
      <c r="NGU25" s="11"/>
      <c r="NKB25" s="47"/>
      <c r="NKG25" s="47"/>
      <c r="NKI25" s="11"/>
      <c r="NNP25" s="47"/>
      <c r="NNU25" s="47"/>
      <c r="NNW25" s="11"/>
      <c r="NRD25" s="47"/>
      <c r="NRI25" s="47"/>
      <c r="NRK25" s="11"/>
      <c r="NUR25" s="47"/>
      <c r="NUW25" s="47"/>
      <c r="NUY25" s="11"/>
      <c r="NYF25" s="47"/>
      <c r="NYK25" s="47"/>
      <c r="NYM25" s="11"/>
      <c r="OBT25" s="47"/>
      <c r="OBY25" s="47"/>
      <c r="OCA25" s="11"/>
      <c r="OFH25" s="47"/>
      <c r="OFM25" s="47"/>
      <c r="OFO25" s="11"/>
      <c r="OIV25" s="47"/>
      <c r="OJA25" s="47"/>
      <c r="OJC25" s="11"/>
      <c r="OMJ25" s="47"/>
      <c r="OMO25" s="47"/>
      <c r="OMQ25" s="11"/>
      <c r="OPX25" s="47"/>
      <c r="OQC25" s="47"/>
      <c r="OQE25" s="11"/>
      <c r="OTL25" s="47"/>
      <c r="OTQ25" s="47"/>
      <c r="OTS25" s="11"/>
      <c r="OWZ25" s="47"/>
      <c r="OXE25" s="47"/>
      <c r="OXG25" s="11"/>
      <c r="PAN25" s="47"/>
      <c r="PAS25" s="47"/>
      <c r="PAU25" s="11"/>
      <c r="PEB25" s="47"/>
      <c r="PEG25" s="47"/>
      <c r="PEI25" s="11"/>
      <c r="PHP25" s="47"/>
      <c r="PHU25" s="47"/>
      <c r="PHW25" s="11"/>
      <c r="PLD25" s="47"/>
      <c r="PLI25" s="47"/>
      <c r="PLK25" s="11"/>
      <c r="POR25" s="47"/>
      <c r="POW25" s="47"/>
      <c r="POY25" s="11"/>
      <c r="PSF25" s="47"/>
      <c r="PSK25" s="47"/>
      <c r="PSM25" s="11"/>
      <c r="PVT25" s="47"/>
      <c r="PVY25" s="47"/>
      <c r="PWA25" s="11"/>
      <c r="PZH25" s="47"/>
      <c r="PZM25" s="47"/>
      <c r="PZO25" s="11"/>
      <c r="QCV25" s="47"/>
      <c r="QDA25" s="47"/>
      <c r="QDC25" s="11"/>
      <c r="QGJ25" s="47"/>
      <c r="QGO25" s="47"/>
      <c r="QGQ25" s="11"/>
      <c r="QJX25" s="47"/>
      <c r="QKC25" s="47"/>
      <c r="QKE25" s="11"/>
      <c r="QNL25" s="47"/>
      <c r="QNQ25" s="47"/>
      <c r="QNS25" s="11"/>
      <c r="QQZ25" s="47"/>
      <c r="QRE25" s="47"/>
      <c r="QRG25" s="11"/>
      <c r="QUN25" s="47"/>
      <c r="QUS25" s="47"/>
      <c r="QUU25" s="11"/>
      <c r="QYB25" s="47"/>
      <c r="QYG25" s="47"/>
      <c r="QYI25" s="11"/>
      <c r="RBP25" s="47"/>
      <c r="RBU25" s="47"/>
      <c r="RBW25" s="11"/>
      <c r="RFD25" s="47"/>
      <c r="RFI25" s="47"/>
      <c r="RFK25" s="11"/>
      <c r="RIR25" s="47"/>
      <c r="RIW25" s="47"/>
      <c r="RIY25" s="11"/>
      <c r="RMF25" s="47"/>
      <c r="RMK25" s="47"/>
      <c r="RMM25" s="11"/>
      <c r="RPT25" s="47"/>
      <c r="RPY25" s="47"/>
      <c r="RQA25" s="11"/>
      <c r="RTH25" s="47"/>
      <c r="RTM25" s="47"/>
      <c r="RTO25" s="11"/>
      <c r="RWV25" s="47"/>
      <c r="RXA25" s="47"/>
      <c r="RXC25" s="11"/>
      <c r="SAJ25" s="47"/>
      <c r="SAO25" s="47"/>
      <c r="SAQ25" s="11"/>
      <c r="SDX25" s="47"/>
      <c r="SEC25" s="47"/>
      <c r="SEE25" s="11"/>
      <c r="SHL25" s="47"/>
      <c r="SHQ25" s="47"/>
      <c r="SHS25" s="11"/>
      <c r="SKZ25" s="47"/>
      <c r="SLE25" s="47"/>
      <c r="SLG25" s="11"/>
      <c r="SON25" s="47"/>
      <c r="SOS25" s="47"/>
      <c r="SOU25" s="11"/>
      <c r="SSB25" s="47"/>
      <c r="SSG25" s="47"/>
      <c r="SSI25" s="11"/>
      <c r="SVP25" s="47"/>
      <c r="SVU25" s="47"/>
      <c r="SVW25" s="11"/>
      <c r="SZD25" s="47"/>
      <c r="SZI25" s="47"/>
      <c r="SZK25" s="11"/>
      <c r="TCR25" s="47"/>
      <c r="TCW25" s="47"/>
      <c r="TCY25" s="11"/>
      <c r="TGF25" s="47"/>
      <c r="TGK25" s="47"/>
      <c r="TGM25" s="11"/>
      <c r="TJT25" s="47"/>
      <c r="TJY25" s="47"/>
      <c r="TKA25" s="11"/>
      <c r="TNH25" s="47"/>
      <c r="TNM25" s="47"/>
      <c r="TNO25" s="11"/>
      <c r="TQV25" s="47"/>
      <c r="TRA25" s="47"/>
      <c r="TRC25" s="11"/>
      <c r="TUJ25" s="47"/>
      <c r="TUO25" s="47"/>
      <c r="TUQ25" s="11"/>
      <c r="TXX25" s="47"/>
      <c r="TYC25" s="47"/>
      <c r="TYE25" s="11"/>
      <c r="UBL25" s="47"/>
      <c r="UBQ25" s="47"/>
      <c r="UBS25" s="11"/>
      <c r="UEZ25" s="47"/>
      <c r="UFE25" s="47"/>
      <c r="UFG25" s="11"/>
      <c r="UIN25" s="47"/>
      <c r="UIS25" s="47"/>
      <c r="UIU25" s="11"/>
      <c r="UMB25" s="47"/>
      <c r="UMG25" s="47"/>
      <c r="UMI25" s="11"/>
      <c r="UPP25" s="47"/>
      <c r="UPU25" s="47"/>
      <c r="UPW25" s="11"/>
      <c r="UTD25" s="47"/>
      <c r="UTI25" s="47"/>
      <c r="UTK25" s="11"/>
      <c r="UWR25" s="47"/>
      <c r="UWW25" s="47"/>
      <c r="UWY25" s="11"/>
      <c r="VAF25" s="47"/>
      <c r="VAK25" s="47"/>
      <c r="VAM25" s="11"/>
      <c r="VDT25" s="47"/>
      <c r="VDY25" s="47"/>
      <c r="VEA25" s="11"/>
      <c r="VHH25" s="47"/>
      <c r="VHM25" s="47"/>
      <c r="VHO25" s="11"/>
      <c r="VKV25" s="47"/>
      <c r="VLA25" s="47"/>
      <c r="VLC25" s="11"/>
      <c r="VOJ25" s="47"/>
      <c r="VOO25" s="47"/>
      <c r="VOQ25" s="11"/>
      <c r="VRX25" s="47"/>
      <c r="VSC25" s="47"/>
      <c r="VSE25" s="11"/>
      <c r="VVL25" s="47"/>
      <c r="VVQ25" s="47"/>
      <c r="VVS25" s="11"/>
      <c r="VYZ25" s="47"/>
      <c r="VZE25" s="47"/>
      <c r="VZG25" s="11"/>
      <c r="WCN25" s="47"/>
      <c r="WCS25" s="47"/>
      <c r="WCU25" s="11"/>
      <c r="WGB25" s="47"/>
      <c r="WGG25" s="47"/>
      <c r="WGI25" s="11"/>
      <c r="WJP25" s="47"/>
      <c r="WJU25" s="47"/>
      <c r="WJW25" s="11"/>
      <c r="WND25" s="47"/>
      <c r="WNI25" s="47"/>
      <c r="WNK25" s="11"/>
      <c r="WQR25" s="47"/>
      <c r="WQW25" s="47"/>
      <c r="WQY25" s="11"/>
      <c r="WUF25" s="47"/>
      <c r="WUK25" s="47"/>
      <c r="WUM25" s="11"/>
      <c r="WXT25" s="47"/>
      <c r="WXY25" s="47"/>
      <c r="WYA25" s="11"/>
      <c r="XBH25" s="47"/>
      <c r="XBM25" s="47"/>
      <c r="XBO25" s="11"/>
      <c r="XEV25" s="47"/>
      <c r="XFA25" s="47"/>
      <c r="XFC25" s="11"/>
    </row>
    <row r="26" spans="1:1019 1104:2031 2116:3043 3128:4055 4140:5067 5152:6079 6164:7091 7176:8188 8193:9207 9292:10219 10304:11231 11316:12243 12328:13255 13340:14267 14352:15279 15364:16383" s="10" customFormat="1" ht="14.5" customHeight="1">
      <c r="C26" s="17" t="str">
        <f>Предпосылки!C620</f>
        <v>Доходность гособлигаций РФ в рублях - ОФЗ 26230</v>
      </c>
      <c r="E26" s="80">
        <f>Предпосылки!E620</f>
        <v>0.16200000000000001</v>
      </c>
      <c r="G26" s="207" t="s">
        <v>1012</v>
      </c>
      <c r="I26" s="365" t="s">
        <v>1013</v>
      </c>
      <c r="CS26" s="47"/>
      <c r="CU26" s="11"/>
      <c r="GB26" s="47"/>
      <c r="GG26" s="47"/>
      <c r="GI26" s="11"/>
      <c r="JP26" s="47"/>
      <c r="JU26" s="47"/>
      <c r="JW26" s="11"/>
      <c r="ND26" s="47"/>
      <c r="NI26" s="47"/>
      <c r="NK26" s="11"/>
      <c r="QR26" s="47"/>
      <c r="QW26" s="47"/>
      <c r="QY26" s="11"/>
      <c r="UF26" s="47"/>
      <c r="UK26" s="47"/>
      <c r="UM26" s="11"/>
      <c r="XT26" s="47"/>
      <c r="XY26" s="47"/>
      <c r="YA26" s="11"/>
      <c r="ABH26" s="47"/>
      <c r="ABM26" s="47"/>
      <c r="ABO26" s="11"/>
      <c r="AEV26" s="47"/>
      <c r="AFA26" s="47"/>
      <c r="AFC26" s="11"/>
      <c r="AIJ26" s="47"/>
      <c r="AIO26" s="47"/>
      <c r="AIQ26" s="11"/>
      <c r="ALX26" s="47"/>
      <c r="AMC26" s="47"/>
      <c r="AME26" s="11"/>
      <c r="APL26" s="47"/>
      <c r="APQ26" s="47"/>
      <c r="APS26" s="11"/>
      <c r="ASZ26" s="47"/>
      <c r="ATE26" s="47"/>
      <c r="ATG26" s="11"/>
      <c r="AWN26" s="47"/>
      <c r="AWS26" s="47"/>
      <c r="AWU26" s="11"/>
      <c r="BAB26" s="47"/>
      <c r="BAG26" s="47"/>
      <c r="BAI26" s="11"/>
      <c r="BDP26" s="47"/>
      <c r="BDU26" s="47"/>
      <c r="BDW26" s="11"/>
      <c r="BHD26" s="47"/>
      <c r="BHI26" s="47"/>
      <c r="BHK26" s="11"/>
      <c r="BKR26" s="47"/>
      <c r="BKW26" s="47"/>
      <c r="BKY26" s="11"/>
      <c r="BOF26" s="47"/>
      <c r="BOK26" s="47"/>
      <c r="BOM26" s="11"/>
      <c r="BRT26" s="47"/>
      <c r="BRY26" s="47"/>
      <c r="BSA26" s="11"/>
      <c r="BVH26" s="47"/>
      <c r="BVM26" s="47"/>
      <c r="BVO26" s="11"/>
      <c r="BYV26" s="47"/>
      <c r="BZA26" s="47"/>
      <c r="BZC26" s="11"/>
      <c r="CCJ26" s="47"/>
      <c r="CCO26" s="47"/>
      <c r="CCQ26" s="11"/>
      <c r="CFX26" s="47"/>
      <c r="CGC26" s="47"/>
      <c r="CGE26" s="11"/>
      <c r="CJL26" s="47"/>
      <c r="CJQ26" s="47"/>
      <c r="CJS26" s="11"/>
      <c r="CMZ26" s="47"/>
      <c r="CNE26" s="47"/>
      <c r="CNG26" s="11"/>
      <c r="CQN26" s="47"/>
      <c r="CQS26" s="47"/>
      <c r="CQU26" s="11"/>
      <c r="CUB26" s="47"/>
      <c r="CUG26" s="47"/>
      <c r="CUI26" s="11"/>
      <c r="CXP26" s="47"/>
      <c r="CXU26" s="47"/>
      <c r="CXW26" s="11"/>
      <c r="DBD26" s="47"/>
      <c r="DBI26" s="47"/>
      <c r="DBK26" s="11"/>
      <c r="DER26" s="47"/>
      <c r="DEW26" s="47"/>
      <c r="DEY26" s="11"/>
      <c r="DIF26" s="47"/>
      <c r="DIK26" s="47"/>
      <c r="DIM26" s="11"/>
      <c r="DLT26" s="47"/>
      <c r="DLY26" s="47"/>
      <c r="DMA26" s="11"/>
      <c r="DPH26" s="47"/>
      <c r="DPM26" s="47"/>
      <c r="DPO26" s="11"/>
      <c r="DSV26" s="47"/>
      <c r="DTA26" s="47"/>
      <c r="DTC26" s="11"/>
      <c r="DWJ26" s="47"/>
      <c r="DWO26" s="47"/>
      <c r="DWQ26" s="11"/>
      <c r="DZX26" s="47"/>
      <c r="EAC26" s="47"/>
      <c r="EAE26" s="11"/>
      <c r="EDL26" s="47"/>
      <c r="EDQ26" s="47"/>
      <c r="EDS26" s="11"/>
      <c r="EGZ26" s="47"/>
      <c r="EHE26" s="47"/>
      <c r="EHG26" s="11"/>
      <c r="EKN26" s="47"/>
      <c r="EKS26" s="47"/>
      <c r="EKU26" s="11"/>
      <c r="EOB26" s="47"/>
      <c r="EOG26" s="47"/>
      <c r="EOI26" s="11"/>
      <c r="ERP26" s="47"/>
      <c r="ERU26" s="47"/>
      <c r="ERW26" s="11"/>
      <c r="EVD26" s="47"/>
      <c r="EVI26" s="47"/>
      <c r="EVK26" s="11"/>
      <c r="EYR26" s="47"/>
      <c r="EYW26" s="47"/>
      <c r="EYY26" s="11"/>
      <c r="FCF26" s="47"/>
      <c r="FCK26" s="47"/>
      <c r="FCM26" s="11"/>
      <c r="FFT26" s="47"/>
      <c r="FFY26" s="47"/>
      <c r="FGA26" s="11"/>
      <c r="FJH26" s="47"/>
      <c r="FJM26" s="47"/>
      <c r="FJO26" s="11"/>
      <c r="FMV26" s="47"/>
      <c r="FNA26" s="47"/>
      <c r="FNC26" s="11"/>
      <c r="FQJ26" s="47"/>
      <c r="FQO26" s="47"/>
      <c r="FQQ26" s="11"/>
      <c r="FTX26" s="47"/>
      <c r="FUC26" s="47"/>
      <c r="FUE26" s="11"/>
      <c r="FXL26" s="47"/>
      <c r="FXQ26" s="47"/>
      <c r="FXS26" s="11"/>
      <c r="GAZ26" s="47"/>
      <c r="GBE26" s="47"/>
      <c r="GBG26" s="11"/>
      <c r="GEN26" s="47"/>
      <c r="GES26" s="47"/>
      <c r="GEU26" s="11"/>
      <c r="GIB26" s="47"/>
      <c r="GIG26" s="47"/>
      <c r="GII26" s="11"/>
      <c r="GLP26" s="47"/>
      <c r="GLU26" s="47"/>
      <c r="GLW26" s="11"/>
      <c r="GPD26" s="47"/>
      <c r="GPI26" s="47"/>
      <c r="GPK26" s="11"/>
      <c r="GSR26" s="47"/>
      <c r="GSW26" s="47"/>
      <c r="GSY26" s="11"/>
      <c r="GWF26" s="47"/>
      <c r="GWK26" s="47"/>
      <c r="GWM26" s="11"/>
      <c r="GZT26" s="47"/>
      <c r="GZY26" s="47"/>
      <c r="HAA26" s="11"/>
      <c r="HDH26" s="47"/>
      <c r="HDM26" s="47"/>
      <c r="HDO26" s="11"/>
      <c r="HGV26" s="47"/>
      <c r="HHA26" s="47"/>
      <c r="HHC26" s="11"/>
      <c r="HKJ26" s="47"/>
      <c r="HKO26" s="47"/>
      <c r="HKQ26" s="11"/>
      <c r="HNX26" s="47"/>
      <c r="HOC26" s="47"/>
      <c r="HOE26" s="11"/>
      <c r="HRL26" s="47"/>
      <c r="HRQ26" s="47"/>
      <c r="HRS26" s="11"/>
      <c r="HUZ26" s="47"/>
      <c r="HVE26" s="47"/>
      <c r="HVG26" s="11"/>
      <c r="HYN26" s="47"/>
      <c r="HYS26" s="47"/>
      <c r="HYU26" s="11"/>
      <c r="ICB26" s="47"/>
      <c r="ICG26" s="47"/>
      <c r="ICI26" s="11"/>
      <c r="IFP26" s="47"/>
      <c r="IFU26" s="47"/>
      <c r="IFW26" s="11"/>
      <c r="IJD26" s="47"/>
      <c r="IJI26" s="47"/>
      <c r="IJK26" s="11"/>
      <c r="IMR26" s="47"/>
      <c r="IMW26" s="47"/>
      <c r="IMY26" s="11"/>
      <c r="IQF26" s="47"/>
      <c r="IQK26" s="47"/>
      <c r="IQM26" s="11"/>
      <c r="ITT26" s="47"/>
      <c r="ITY26" s="47"/>
      <c r="IUA26" s="11"/>
      <c r="IXH26" s="47"/>
      <c r="IXM26" s="47"/>
      <c r="IXO26" s="11"/>
      <c r="JAV26" s="47"/>
      <c r="JBA26" s="47"/>
      <c r="JBC26" s="11"/>
      <c r="JEJ26" s="47"/>
      <c r="JEO26" s="47"/>
      <c r="JEQ26" s="11"/>
      <c r="JHX26" s="47"/>
      <c r="JIC26" s="47"/>
      <c r="JIE26" s="11"/>
      <c r="JLL26" s="47"/>
      <c r="JLQ26" s="47"/>
      <c r="JLS26" s="11"/>
      <c r="JOZ26" s="47"/>
      <c r="JPE26" s="47"/>
      <c r="JPG26" s="11"/>
      <c r="JSN26" s="47"/>
      <c r="JSS26" s="47"/>
      <c r="JSU26" s="11"/>
      <c r="JWB26" s="47"/>
      <c r="JWG26" s="47"/>
      <c r="JWI26" s="11"/>
      <c r="JZP26" s="47"/>
      <c r="JZU26" s="47"/>
      <c r="JZW26" s="11"/>
      <c r="KDD26" s="47"/>
      <c r="KDI26" s="47"/>
      <c r="KDK26" s="11"/>
      <c r="KGR26" s="47"/>
      <c r="KGW26" s="47"/>
      <c r="KGY26" s="11"/>
      <c r="KKF26" s="47"/>
      <c r="KKK26" s="47"/>
      <c r="KKM26" s="11"/>
      <c r="KNT26" s="47"/>
      <c r="KNY26" s="47"/>
      <c r="KOA26" s="11"/>
      <c r="KRH26" s="47"/>
      <c r="KRM26" s="47"/>
      <c r="KRO26" s="11"/>
      <c r="KUV26" s="47"/>
      <c r="KVA26" s="47"/>
      <c r="KVC26" s="11"/>
      <c r="KYJ26" s="47"/>
      <c r="KYO26" s="47"/>
      <c r="KYQ26" s="11"/>
      <c r="LBX26" s="47"/>
      <c r="LCC26" s="47"/>
      <c r="LCE26" s="11"/>
      <c r="LFL26" s="47"/>
      <c r="LFQ26" s="47"/>
      <c r="LFS26" s="11"/>
      <c r="LIZ26" s="47"/>
      <c r="LJE26" s="47"/>
      <c r="LJG26" s="11"/>
      <c r="LMN26" s="47"/>
      <c r="LMS26" s="47"/>
      <c r="LMU26" s="11"/>
      <c r="LQB26" s="47"/>
      <c r="LQG26" s="47"/>
      <c r="LQI26" s="11"/>
      <c r="LTP26" s="47"/>
      <c r="LTU26" s="47"/>
      <c r="LTW26" s="11"/>
      <c r="LXD26" s="47"/>
      <c r="LXI26" s="47"/>
      <c r="LXK26" s="11"/>
      <c r="MAR26" s="47"/>
      <c r="MAW26" s="47"/>
      <c r="MAY26" s="11"/>
      <c r="MEF26" s="47"/>
      <c r="MEK26" s="47"/>
      <c r="MEM26" s="11"/>
      <c r="MHT26" s="47"/>
      <c r="MHY26" s="47"/>
      <c r="MIA26" s="11"/>
      <c r="MLH26" s="47"/>
      <c r="MLM26" s="47"/>
      <c r="MLO26" s="11"/>
      <c r="MOV26" s="47"/>
      <c r="MPA26" s="47"/>
      <c r="MPC26" s="11"/>
      <c r="MSJ26" s="47"/>
      <c r="MSO26" s="47"/>
      <c r="MSQ26" s="11"/>
      <c r="MVX26" s="47"/>
      <c r="MWC26" s="47"/>
      <c r="MWE26" s="11"/>
      <c r="MZL26" s="47"/>
      <c r="MZQ26" s="47"/>
      <c r="MZS26" s="11"/>
      <c r="NCZ26" s="47"/>
      <c r="NDE26" s="47"/>
      <c r="NDG26" s="11"/>
      <c r="NGN26" s="47"/>
      <c r="NGS26" s="47"/>
      <c r="NGU26" s="11"/>
      <c r="NKB26" s="47"/>
      <c r="NKG26" s="47"/>
      <c r="NKI26" s="11"/>
      <c r="NNP26" s="47"/>
      <c r="NNU26" s="47"/>
      <c r="NNW26" s="11"/>
      <c r="NRD26" s="47"/>
      <c r="NRI26" s="47"/>
      <c r="NRK26" s="11"/>
      <c r="NUR26" s="47"/>
      <c r="NUW26" s="47"/>
      <c r="NUY26" s="11"/>
      <c r="NYF26" s="47"/>
      <c r="NYK26" s="47"/>
      <c r="NYM26" s="11"/>
      <c r="OBT26" s="47"/>
      <c r="OBY26" s="47"/>
      <c r="OCA26" s="11"/>
      <c r="OFH26" s="47"/>
      <c r="OFM26" s="47"/>
      <c r="OFO26" s="11"/>
      <c r="OIV26" s="47"/>
      <c r="OJA26" s="47"/>
      <c r="OJC26" s="11"/>
      <c r="OMJ26" s="47"/>
      <c r="OMO26" s="47"/>
      <c r="OMQ26" s="11"/>
      <c r="OPX26" s="47"/>
      <c r="OQC26" s="47"/>
      <c r="OQE26" s="11"/>
      <c r="OTL26" s="47"/>
      <c r="OTQ26" s="47"/>
      <c r="OTS26" s="11"/>
      <c r="OWZ26" s="47"/>
      <c r="OXE26" s="47"/>
      <c r="OXG26" s="11"/>
      <c r="PAN26" s="47"/>
      <c r="PAS26" s="47"/>
      <c r="PAU26" s="11"/>
      <c r="PEB26" s="47"/>
      <c r="PEG26" s="47"/>
      <c r="PEI26" s="11"/>
      <c r="PHP26" s="47"/>
      <c r="PHU26" s="47"/>
      <c r="PHW26" s="11"/>
      <c r="PLD26" s="47"/>
      <c r="PLI26" s="47"/>
      <c r="PLK26" s="11"/>
      <c r="POR26" s="47"/>
      <c r="POW26" s="47"/>
      <c r="POY26" s="11"/>
      <c r="PSF26" s="47"/>
      <c r="PSK26" s="47"/>
      <c r="PSM26" s="11"/>
      <c r="PVT26" s="47"/>
      <c r="PVY26" s="47"/>
      <c r="PWA26" s="11"/>
      <c r="PZH26" s="47"/>
      <c r="PZM26" s="47"/>
      <c r="PZO26" s="11"/>
      <c r="QCV26" s="47"/>
      <c r="QDA26" s="47"/>
      <c r="QDC26" s="11"/>
      <c r="QGJ26" s="47"/>
      <c r="QGO26" s="47"/>
      <c r="QGQ26" s="11"/>
      <c r="QJX26" s="47"/>
      <c r="QKC26" s="47"/>
      <c r="QKE26" s="11"/>
      <c r="QNL26" s="47"/>
      <c r="QNQ26" s="47"/>
      <c r="QNS26" s="11"/>
      <c r="QQZ26" s="47"/>
      <c r="QRE26" s="47"/>
      <c r="QRG26" s="11"/>
      <c r="QUN26" s="47"/>
      <c r="QUS26" s="47"/>
      <c r="QUU26" s="11"/>
      <c r="QYB26" s="47"/>
      <c r="QYG26" s="47"/>
      <c r="QYI26" s="11"/>
      <c r="RBP26" s="47"/>
      <c r="RBU26" s="47"/>
      <c r="RBW26" s="11"/>
      <c r="RFD26" s="47"/>
      <c r="RFI26" s="47"/>
      <c r="RFK26" s="11"/>
      <c r="RIR26" s="47"/>
      <c r="RIW26" s="47"/>
      <c r="RIY26" s="11"/>
      <c r="RMF26" s="47"/>
      <c r="RMK26" s="47"/>
      <c r="RMM26" s="11"/>
      <c r="RPT26" s="47"/>
      <c r="RPY26" s="47"/>
      <c r="RQA26" s="11"/>
      <c r="RTH26" s="47"/>
      <c r="RTM26" s="47"/>
      <c r="RTO26" s="11"/>
      <c r="RWV26" s="47"/>
      <c r="RXA26" s="47"/>
      <c r="RXC26" s="11"/>
      <c r="SAJ26" s="47"/>
      <c r="SAO26" s="47"/>
      <c r="SAQ26" s="11"/>
      <c r="SDX26" s="47"/>
      <c r="SEC26" s="47"/>
      <c r="SEE26" s="11"/>
      <c r="SHL26" s="47"/>
      <c r="SHQ26" s="47"/>
      <c r="SHS26" s="11"/>
      <c r="SKZ26" s="47"/>
      <c r="SLE26" s="47"/>
      <c r="SLG26" s="11"/>
      <c r="SON26" s="47"/>
      <c r="SOS26" s="47"/>
      <c r="SOU26" s="11"/>
      <c r="SSB26" s="47"/>
      <c r="SSG26" s="47"/>
      <c r="SSI26" s="11"/>
      <c r="SVP26" s="47"/>
      <c r="SVU26" s="47"/>
      <c r="SVW26" s="11"/>
      <c r="SZD26" s="47"/>
      <c r="SZI26" s="47"/>
      <c r="SZK26" s="11"/>
      <c r="TCR26" s="47"/>
      <c r="TCW26" s="47"/>
      <c r="TCY26" s="11"/>
      <c r="TGF26" s="47"/>
      <c r="TGK26" s="47"/>
      <c r="TGM26" s="11"/>
      <c r="TJT26" s="47"/>
      <c r="TJY26" s="47"/>
      <c r="TKA26" s="11"/>
      <c r="TNH26" s="47"/>
      <c r="TNM26" s="47"/>
      <c r="TNO26" s="11"/>
      <c r="TQV26" s="47"/>
      <c r="TRA26" s="47"/>
      <c r="TRC26" s="11"/>
      <c r="TUJ26" s="47"/>
      <c r="TUO26" s="47"/>
      <c r="TUQ26" s="11"/>
      <c r="TXX26" s="47"/>
      <c r="TYC26" s="47"/>
      <c r="TYE26" s="11"/>
      <c r="UBL26" s="47"/>
      <c r="UBQ26" s="47"/>
      <c r="UBS26" s="11"/>
      <c r="UEZ26" s="47"/>
      <c r="UFE26" s="47"/>
      <c r="UFG26" s="11"/>
      <c r="UIN26" s="47"/>
      <c r="UIS26" s="47"/>
      <c r="UIU26" s="11"/>
      <c r="UMB26" s="47"/>
      <c r="UMG26" s="47"/>
      <c r="UMI26" s="11"/>
      <c r="UPP26" s="47"/>
      <c r="UPU26" s="47"/>
      <c r="UPW26" s="11"/>
      <c r="UTD26" s="47"/>
      <c r="UTI26" s="47"/>
      <c r="UTK26" s="11"/>
      <c r="UWR26" s="47"/>
      <c r="UWW26" s="47"/>
      <c r="UWY26" s="11"/>
      <c r="VAF26" s="47"/>
      <c r="VAK26" s="47"/>
      <c r="VAM26" s="11"/>
      <c r="VDT26" s="47"/>
      <c r="VDY26" s="47"/>
      <c r="VEA26" s="11"/>
      <c r="VHH26" s="47"/>
      <c r="VHM26" s="47"/>
      <c r="VHO26" s="11"/>
      <c r="VKV26" s="47"/>
      <c r="VLA26" s="47"/>
      <c r="VLC26" s="11"/>
      <c r="VOJ26" s="47"/>
      <c r="VOO26" s="47"/>
      <c r="VOQ26" s="11"/>
      <c r="VRX26" s="47"/>
      <c r="VSC26" s="47"/>
      <c r="VSE26" s="11"/>
      <c r="VVL26" s="47"/>
      <c r="VVQ26" s="47"/>
      <c r="VVS26" s="11"/>
      <c r="VYZ26" s="47"/>
      <c r="VZE26" s="47"/>
      <c r="VZG26" s="11"/>
      <c r="WCN26" s="47"/>
      <c r="WCS26" s="47"/>
      <c r="WCU26" s="11"/>
      <c r="WGB26" s="47"/>
      <c r="WGG26" s="47"/>
      <c r="WGI26" s="11"/>
      <c r="WJP26" s="47"/>
      <c r="WJU26" s="47"/>
      <c r="WJW26" s="11"/>
      <c r="WND26" s="47"/>
      <c r="WNI26" s="47"/>
      <c r="WNK26" s="11"/>
      <c r="WQR26" s="47"/>
      <c r="WQW26" s="47"/>
      <c r="WQY26" s="11"/>
      <c r="WUF26" s="47"/>
      <c r="WUK26" s="47"/>
      <c r="WUM26" s="11"/>
      <c r="WXT26" s="47"/>
      <c r="WXY26" s="47"/>
      <c r="WYA26" s="11"/>
      <c r="XBH26" s="47"/>
      <c r="XBM26" s="47"/>
      <c r="XBO26" s="11"/>
      <c r="XEV26" s="47"/>
      <c r="XFA26" s="47"/>
      <c r="XFC26" s="11"/>
    </row>
    <row r="27" spans="1:1019 1104:2031 2116:3043 3128:4055 4140:5067 5152:6079 6164:7091 7176:8188 8193:9207 9292:10219 10304:11231 11316:12243 12328:13255 13340:14267 14352:15279 15364:16383" s="10" customFormat="1" ht="14.5" customHeight="1">
      <c r="C27" s="17"/>
      <c r="E27" s="47"/>
      <c r="G27" s="11"/>
      <c r="CS27" s="47"/>
      <c r="CU27" s="11"/>
      <c r="GB27" s="47"/>
      <c r="GG27" s="47"/>
      <c r="GI27" s="11"/>
      <c r="JP27" s="47"/>
      <c r="JU27" s="47"/>
      <c r="JW27" s="11"/>
      <c r="ND27" s="47"/>
      <c r="NI27" s="47"/>
      <c r="NK27" s="11"/>
      <c r="QR27" s="47"/>
      <c r="QW27" s="47"/>
      <c r="QY27" s="11"/>
      <c r="UF27" s="47"/>
      <c r="UK27" s="47"/>
      <c r="UM27" s="11"/>
      <c r="XT27" s="47"/>
      <c r="XY27" s="47"/>
      <c r="YA27" s="11"/>
      <c r="ABH27" s="47"/>
      <c r="ABM27" s="47"/>
      <c r="ABO27" s="11"/>
      <c r="AEV27" s="47"/>
      <c r="AFA27" s="47"/>
      <c r="AFC27" s="11"/>
      <c r="AIJ27" s="47"/>
      <c r="AIO27" s="47"/>
      <c r="AIQ27" s="11"/>
      <c r="ALX27" s="47"/>
      <c r="AMC27" s="47"/>
      <c r="AME27" s="11"/>
      <c r="APL27" s="47"/>
      <c r="APQ27" s="47"/>
      <c r="APS27" s="11"/>
      <c r="ASZ27" s="47"/>
      <c r="ATE27" s="47"/>
      <c r="ATG27" s="11"/>
      <c r="AWN27" s="47"/>
      <c r="AWS27" s="47"/>
      <c r="AWU27" s="11"/>
      <c r="BAB27" s="47"/>
      <c r="BAG27" s="47"/>
      <c r="BAI27" s="11"/>
      <c r="BDP27" s="47"/>
      <c r="BDU27" s="47"/>
      <c r="BDW27" s="11"/>
      <c r="BHD27" s="47"/>
      <c r="BHI27" s="47"/>
      <c r="BHK27" s="11"/>
      <c r="BKR27" s="47"/>
      <c r="BKW27" s="47"/>
      <c r="BKY27" s="11"/>
      <c r="BOF27" s="47"/>
      <c r="BOK27" s="47"/>
      <c r="BOM27" s="11"/>
      <c r="BRT27" s="47"/>
      <c r="BRY27" s="47"/>
      <c r="BSA27" s="11"/>
      <c r="BVH27" s="47"/>
      <c r="BVM27" s="47"/>
      <c r="BVO27" s="11"/>
      <c r="BYV27" s="47"/>
      <c r="BZA27" s="47"/>
      <c r="BZC27" s="11"/>
      <c r="CCJ27" s="47"/>
      <c r="CCO27" s="47"/>
      <c r="CCQ27" s="11"/>
      <c r="CFX27" s="47"/>
      <c r="CGC27" s="47"/>
      <c r="CGE27" s="11"/>
      <c r="CJL27" s="47"/>
      <c r="CJQ27" s="47"/>
      <c r="CJS27" s="11"/>
      <c r="CMZ27" s="47"/>
      <c r="CNE27" s="47"/>
      <c r="CNG27" s="11"/>
      <c r="CQN27" s="47"/>
      <c r="CQS27" s="47"/>
      <c r="CQU27" s="11"/>
      <c r="CUB27" s="47"/>
      <c r="CUG27" s="47"/>
      <c r="CUI27" s="11"/>
      <c r="CXP27" s="47"/>
      <c r="CXU27" s="47"/>
      <c r="CXW27" s="11"/>
      <c r="DBD27" s="47"/>
      <c r="DBI27" s="47"/>
      <c r="DBK27" s="11"/>
      <c r="DER27" s="47"/>
      <c r="DEW27" s="47"/>
      <c r="DEY27" s="11"/>
      <c r="DIF27" s="47"/>
      <c r="DIK27" s="47"/>
      <c r="DIM27" s="11"/>
      <c r="DLT27" s="47"/>
      <c r="DLY27" s="47"/>
      <c r="DMA27" s="11"/>
      <c r="DPH27" s="47"/>
      <c r="DPM27" s="47"/>
      <c r="DPO27" s="11"/>
      <c r="DSV27" s="47"/>
      <c r="DTA27" s="47"/>
      <c r="DTC27" s="11"/>
      <c r="DWJ27" s="47"/>
      <c r="DWO27" s="47"/>
      <c r="DWQ27" s="11"/>
      <c r="DZX27" s="47"/>
      <c r="EAC27" s="47"/>
      <c r="EAE27" s="11"/>
      <c r="EDL27" s="47"/>
      <c r="EDQ27" s="47"/>
      <c r="EDS27" s="11"/>
      <c r="EGZ27" s="47"/>
      <c r="EHE27" s="47"/>
      <c r="EHG27" s="11"/>
      <c r="EKN27" s="47"/>
      <c r="EKS27" s="47"/>
      <c r="EKU27" s="11"/>
      <c r="EOB27" s="47"/>
      <c r="EOG27" s="47"/>
      <c r="EOI27" s="11"/>
      <c r="ERP27" s="47"/>
      <c r="ERU27" s="47"/>
      <c r="ERW27" s="11"/>
      <c r="EVD27" s="47"/>
      <c r="EVI27" s="47"/>
      <c r="EVK27" s="11"/>
      <c r="EYR27" s="47"/>
      <c r="EYW27" s="47"/>
      <c r="EYY27" s="11"/>
      <c r="FCF27" s="47"/>
      <c r="FCK27" s="47"/>
      <c r="FCM27" s="11"/>
      <c r="FFT27" s="47"/>
      <c r="FFY27" s="47"/>
      <c r="FGA27" s="11"/>
      <c r="FJH27" s="47"/>
      <c r="FJM27" s="47"/>
      <c r="FJO27" s="11"/>
      <c r="FMV27" s="47"/>
      <c r="FNA27" s="47"/>
      <c r="FNC27" s="11"/>
      <c r="FQJ27" s="47"/>
      <c r="FQO27" s="47"/>
      <c r="FQQ27" s="11"/>
      <c r="FTX27" s="47"/>
      <c r="FUC27" s="47"/>
      <c r="FUE27" s="11"/>
      <c r="FXL27" s="47"/>
      <c r="FXQ27" s="47"/>
      <c r="FXS27" s="11"/>
      <c r="GAZ27" s="47"/>
      <c r="GBE27" s="47"/>
      <c r="GBG27" s="11"/>
      <c r="GEN27" s="47"/>
      <c r="GES27" s="47"/>
      <c r="GEU27" s="11"/>
      <c r="GIB27" s="47"/>
      <c r="GIG27" s="47"/>
      <c r="GII27" s="11"/>
      <c r="GLP27" s="47"/>
      <c r="GLU27" s="47"/>
      <c r="GLW27" s="11"/>
      <c r="GPD27" s="47"/>
      <c r="GPI27" s="47"/>
      <c r="GPK27" s="11"/>
      <c r="GSR27" s="47"/>
      <c r="GSW27" s="47"/>
      <c r="GSY27" s="11"/>
      <c r="GWF27" s="47"/>
      <c r="GWK27" s="47"/>
      <c r="GWM27" s="11"/>
      <c r="GZT27" s="47"/>
      <c r="GZY27" s="47"/>
      <c r="HAA27" s="11"/>
      <c r="HDH27" s="47"/>
      <c r="HDM27" s="47"/>
      <c r="HDO27" s="11"/>
      <c r="HGV27" s="47"/>
      <c r="HHA27" s="47"/>
      <c r="HHC27" s="11"/>
      <c r="HKJ27" s="47"/>
      <c r="HKO27" s="47"/>
      <c r="HKQ27" s="11"/>
      <c r="HNX27" s="47"/>
      <c r="HOC27" s="47"/>
      <c r="HOE27" s="11"/>
      <c r="HRL27" s="47"/>
      <c r="HRQ27" s="47"/>
      <c r="HRS27" s="11"/>
      <c r="HUZ27" s="47"/>
      <c r="HVE27" s="47"/>
      <c r="HVG27" s="11"/>
      <c r="HYN27" s="47"/>
      <c r="HYS27" s="47"/>
      <c r="HYU27" s="11"/>
      <c r="ICB27" s="47"/>
      <c r="ICG27" s="47"/>
      <c r="ICI27" s="11"/>
      <c r="IFP27" s="47"/>
      <c r="IFU27" s="47"/>
      <c r="IFW27" s="11"/>
      <c r="IJD27" s="47"/>
      <c r="IJI27" s="47"/>
      <c r="IJK27" s="11"/>
      <c r="IMR27" s="47"/>
      <c r="IMW27" s="47"/>
      <c r="IMY27" s="11"/>
      <c r="IQF27" s="47"/>
      <c r="IQK27" s="47"/>
      <c r="IQM27" s="11"/>
      <c r="ITT27" s="47"/>
      <c r="ITY27" s="47"/>
      <c r="IUA27" s="11"/>
      <c r="IXH27" s="47"/>
      <c r="IXM27" s="47"/>
      <c r="IXO27" s="11"/>
      <c r="JAV27" s="47"/>
      <c r="JBA27" s="47"/>
      <c r="JBC27" s="11"/>
      <c r="JEJ27" s="47"/>
      <c r="JEO27" s="47"/>
      <c r="JEQ27" s="11"/>
      <c r="JHX27" s="47"/>
      <c r="JIC27" s="47"/>
      <c r="JIE27" s="11"/>
      <c r="JLL27" s="47"/>
      <c r="JLQ27" s="47"/>
      <c r="JLS27" s="11"/>
      <c r="JOZ27" s="47"/>
      <c r="JPE27" s="47"/>
      <c r="JPG27" s="11"/>
      <c r="JSN27" s="47"/>
      <c r="JSS27" s="47"/>
      <c r="JSU27" s="11"/>
      <c r="JWB27" s="47"/>
      <c r="JWG27" s="47"/>
      <c r="JWI27" s="11"/>
      <c r="JZP27" s="47"/>
      <c r="JZU27" s="47"/>
      <c r="JZW27" s="11"/>
      <c r="KDD27" s="47"/>
      <c r="KDI27" s="47"/>
      <c r="KDK27" s="11"/>
      <c r="KGR27" s="47"/>
      <c r="KGW27" s="47"/>
      <c r="KGY27" s="11"/>
      <c r="KKF27" s="47"/>
      <c r="KKK27" s="47"/>
      <c r="KKM27" s="11"/>
      <c r="KNT27" s="47"/>
      <c r="KNY27" s="47"/>
      <c r="KOA27" s="11"/>
      <c r="KRH27" s="47"/>
      <c r="KRM27" s="47"/>
      <c r="KRO27" s="11"/>
      <c r="KUV27" s="47"/>
      <c r="KVA27" s="47"/>
      <c r="KVC27" s="11"/>
      <c r="KYJ27" s="47"/>
      <c r="KYO27" s="47"/>
      <c r="KYQ27" s="11"/>
      <c r="LBX27" s="47"/>
      <c r="LCC27" s="47"/>
      <c r="LCE27" s="11"/>
      <c r="LFL27" s="47"/>
      <c r="LFQ27" s="47"/>
      <c r="LFS27" s="11"/>
      <c r="LIZ27" s="47"/>
      <c r="LJE27" s="47"/>
      <c r="LJG27" s="11"/>
      <c r="LMN27" s="47"/>
      <c r="LMS27" s="47"/>
      <c r="LMU27" s="11"/>
      <c r="LQB27" s="47"/>
      <c r="LQG27" s="47"/>
      <c r="LQI27" s="11"/>
      <c r="LTP27" s="47"/>
      <c r="LTU27" s="47"/>
      <c r="LTW27" s="11"/>
      <c r="LXD27" s="47"/>
      <c r="LXI27" s="47"/>
      <c r="LXK27" s="11"/>
      <c r="MAR27" s="47"/>
      <c r="MAW27" s="47"/>
      <c r="MAY27" s="11"/>
      <c r="MEF27" s="47"/>
      <c r="MEK27" s="47"/>
      <c r="MEM27" s="11"/>
      <c r="MHT27" s="47"/>
      <c r="MHY27" s="47"/>
      <c r="MIA27" s="11"/>
      <c r="MLH27" s="47"/>
      <c r="MLM27" s="47"/>
      <c r="MLO27" s="11"/>
      <c r="MOV27" s="47"/>
      <c r="MPA27" s="47"/>
      <c r="MPC27" s="11"/>
      <c r="MSJ27" s="47"/>
      <c r="MSO27" s="47"/>
      <c r="MSQ27" s="11"/>
      <c r="MVX27" s="47"/>
      <c r="MWC27" s="47"/>
      <c r="MWE27" s="11"/>
      <c r="MZL27" s="47"/>
      <c r="MZQ27" s="47"/>
      <c r="MZS27" s="11"/>
      <c r="NCZ27" s="47"/>
      <c r="NDE27" s="47"/>
      <c r="NDG27" s="11"/>
      <c r="NGN27" s="47"/>
      <c r="NGS27" s="47"/>
      <c r="NGU27" s="11"/>
      <c r="NKB27" s="47"/>
      <c r="NKG27" s="47"/>
      <c r="NKI27" s="11"/>
      <c r="NNP27" s="47"/>
      <c r="NNU27" s="47"/>
      <c r="NNW27" s="11"/>
      <c r="NRD27" s="47"/>
      <c r="NRI27" s="47"/>
      <c r="NRK27" s="11"/>
      <c r="NUR27" s="47"/>
      <c r="NUW27" s="47"/>
      <c r="NUY27" s="11"/>
      <c r="NYF27" s="47"/>
      <c r="NYK27" s="47"/>
      <c r="NYM27" s="11"/>
      <c r="OBT27" s="47"/>
      <c r="OBY27" s="47"/>
      <c r="OCA27" s="11"/>
      <c r="OFH27" s="47"/>
      <c r="OFM27" s="47"/>
      <c r="OFO27" s="11"/>
      <c r="OIV27" s="47"/>
      <c r="OJA27" s="47"/>
      <c r="OJC27" s="11"/>
      <c r="OMJ27" s="47"/>
      <c r="OMO27" s="47"/>
      <c r="OMQ27" s="11"/>
      <c r="OPX27" s="47"/>
      <c r="OQC27" s="47"/>
      <c r="OQE27" s="11"/>
      <c r="OTL27" s="47"/>
      <c r="OTQ27" s="47"/>
      <c r="OTS27" s="11"/>
      <c r="OWZ27" s="47"/>
      <c r="OXE27" s="47"/>
      <c r="OXG27" s="11"/>
      <c r="PAN27" s="47"/>
      <c r="PAS27" s="47"/>
      <c r="PAU27" s="11"/>
      <c r="PEB27" s="47"/>
      <c r="PEG27" s="47"/>
      <c r="PEI27" s="11"/>
      <c r="PHP27" s="47"/>
      <c r="PHU27" s="47"/>
      <c r="PHW27" s="11"/>
      <c r="PLD27" s="47"/>
      <c r="PLI27" s="47"/>
      <c r="PLK27" s="11"/>
      <c r="POR27" s="47"/>
      <c r="POW27" s="47"/>
      <c r="POY27" s="11"/>
      <c r="PSF27" s="47"/>
      <c r="PSK27" s="47"/>
      <c r="PSM27" s="11"/>
      <c r="PVT27" s="47"/>
      <c r="PVY27" s="47"/>
      <c r="PWA27" s="11"/>
      <c r="PZH27" s="47"/>
      <c r="PZM27" s="47"/>
      <c r="PZO27" s="11"/>
      <c r="QCV27" s="47"/>
      <c r="QDA27" s="47"/>
      <c r="QDC27" s="11"/>
      <c r="QGJ27" s="47"/>
      <c r="QGO27" s="47"/>
      <c r="QGQ27" s="11"/>
      <c r="QJX27" s="47"/>
      <c r="QKC27" s="47"/>
      <c r="QKE27" s="11"/>
      <c r="QNL27" s="47"/>
      <c r="QNQ27" s="47"/>
      <c r="QNS27" s="11"/>
      <c r="QQZ27" s="47"/>
      <c r="QRE27" s="47"/>
      <c r="QRG27" s="11"/>
      <c r="QUN27" s="47"/>
      <c r="QUS27" s="47"/>
      <c r="QUU27" s="11"/>
      <c r="QYB27" s="47"/>
      <c r="QYG27" s="47"/>
      <c r="QYI27" s="11"/>
      <c r="RBP27" s="47"/>
      <c r="RBU27" s="47"/>
      <c r="RBW27" s="11"/>
      <c r="RFD27" s="47"/>
      <c r="RFI27" s="47"/>
      <c r="RFK27" s="11"/>
      <c r="RIR27" s="47"/>
      <c r="RIW27" s="47"/>
      <c r="RIY27" s="11"/>
      <c r="RMF27" s="47"/>
      <c r="RMK27" s="47"/>
      <c r="RMM27" s="11"/>
      <c r="RPT27" s="47"/>
      <c r="RPY27" s="47"/>
      <c r="RQA27" s="11"/>
      <c r="RTH27" s="47"/>
      <c r="RTM27" s="47"/>
      <c r="RTO27" s="11"/>
      <c r="RWV27" s="47"/>
      <c r="RXA27" s="47"/>
      <c r="RXC27" s="11"/>
      <c r="SAJ27" s="47"/>
      <c r="SAO27" s="47"/>
      <c r="SAQ27" s="11"/>
      <c r="SDX27" s="47"/>
      <c r="SEC27" s="47"/>
      <c r="SEE27" s="11"/>
      <c r="SHL27" s="47"/>
      <c r="SHQ27" s="47"/>
      <c r="SHS27" s="11"/>
      <c r="SKZ27" s="47"/>
      <c r="SLE27" s="47"/>
      <c r="SLG27" s="11"/>
      <c r="SON27" s="47"/>
      <c r="SOS27" s="47"/>
      <c r="SOU27" s="11"/>
      <c r="SSB27" s="47"/>
      <c r="SSG27" s="47"/>
      <c r="SSI27" s="11"/>
      <c r="SVP27" s="47"/>
      <c r="SVU27" s="47"/>
      <c r="SVW27" s="11"/>
      <c r="SZD27" s="47"/>
      <c r="SZI27" s="47"/>
      <c r="SZK27" s="11"/>
      <c r="TCR27" s="47"/>
      <c r="TCW27" s="47"/>
      <c r="TCY27" s="11"/>
      <c r="TGF27" s="47"/>
      <c r="TGK27" s="47"/>
      <c r="TGM27" s="11"/>
      <c r="TJT27" s="47"/>
      <c r="TJY27" s="47"/>
      <c r="TKA27" s="11"/>
      <c r="TNH27" s="47"/>
      <c r="TNM27" s="47"/>
      <c r="TNO27" s="11"/>
      <c r="TQV27" s="47"/>
      <c r="TRA27" s="47"/>
      <c r="TRC27" s="11"/>
      <c r="TUJ27" s="47"/>
      <c r="TUO27" s="47"/>
      <c r="TUQ27" s="11"/>
      <c r="TXX27" s="47"/>
      <c r="TYC27" s="47"/>
      <c r="TYE27" s="11"/>
      <c r="UBL27" s="47"/>
      <c r="UBQ27" s="47"/>
      <c r="UBS27" s="11"/>
      <c r="UEZ27" s="47"/>
      <c r="UFE27" s="47"/>
      <c r="UFG27" s="11"/>
      <c r="UIN27" s="47"/>
      <c r="UIS27" s="47"/>
      <c r="UIU27" s="11"/>
      <c r="UMB27" s="47"/>
      <c r="UMG27" s="47"/>
      <c r="UMI27" s="11"/>
      <c r="UPP27" s="47"/>
      <c r="UPU27" s="47"/>
      <c r="UPW27" s="11"/>
      <c r="UTD27" s="47"/>
      <c r="UTI27" s="47"/>
      <c r="UTK27" s="11"/>
      <c r="UWR27" s="47"/>
      <c r="UWW27" s="47"/>
      <c r="UWY27" s="11"/>
      <c r="VAF27" s="47"/>
      <c r="VAK27" s="47"/>
      <c r="VAM27" s="11"/>
      <c r="VDT27" s="47"/>
      <c r="VDY27" s="47"/>
      <c r="VEA27" s="11"/>
      <c r="VHH27" s="47"/>
      <c r="VHM27" s="47"/>
      <c r="VHO27" s="11"/>
      <c r="VKV27" s="47"/>
      <c r="VLA27" s="47"/>
      <c r="VLC27" s="11"/>
      <c r="VOJ27" s="47"/>
      <c r="VOO27" s="47"/>
      <c r="VOQ27" s="11"/>
      <c r="VRX27" s="47"/>
      <c r="VSC27" s="47"/>
      <c r="VSE27" s="11"/>
      <c r="VVL27" s="47"/>
      <c r="VVQ27" s="47"/>
      <c r="VVS27" s="11"/>
      <c r="VYZ27" s="47"/>
      <c r="VZE27" s="47"/>
      <c r="VZG27" s="11"/>
      <c r="WCN27" s="47"/>
      <c r="WCS27" s="47"/>
      <c r="WCU27" s="11"/>
      <c r="WGB27" s="47"/>
      <c r="WGG27" s="47"/>
      <c r="WGI27" s="11"/>
      <c r="WJP27" s="47"/>
      <c r="WJU27" s="47"/>
      <c r="WJW27" s="11"/>
      <c r="WND27" s="47"/>
      <c r="WNI27" s="47"/>
      <c r="WNK27" s="11"/>
      <c r="WQR27" s="47"/>
      <c r="WQW27" s="47"/>
      <c r="WQY27" s="11"/>
      <c r="WUF27" s="47"/>
      <c r="WUK27" s="47"/>
      <c r="WUM27" s="11"/>
      <c r="WXT27" s="47"/>
      <c r="WXY27" s="47"/>
      <c r="WYA27" s="11"/>
      <c r="XBH27" s="47"/>
      <c r="XBM27" s="47"/>
      <c r="XBO27" s="11"/>
      <c r="XEV27" s="47"/>
      <c r="XFA27" s="47"/>
      <c r="XFC27" s="11"/>
    </row>
    <row r="28" spans="1:1019 1104:2031 2116:3043 3128:4055 4140:5067 5152:6079 6164:7091 7176:8188 8193:9207 9292:10219 10304:11231 11316:12243 12328:13255 13340:14267 14352:15279 15364:16383" s="10" customFormat="1" ht="14.5" customHeight="1">
      <c r="C28" s="17" t="s">
        <v>226</v>
      </c>
      <c r="E28" s="47"/>
      <c r="G28" s="11" t="s">
        <v>123</v>
      </c>
      <c r="L28" s="151">
        <f>IF(L6 &lt; 2022, 0, K28 + 0.25)</f>
        <v>0.25</v>
      </c>
      <c r="M28" s="151">
        <f t="shared" ref="M28:BX28" si="9">IF(M6 &lt; 2022, 0, L28 + 0.25)</f>
        <v>0.5</v>
      </c>
      <c r="N28" s="151">
        <f t="shared" si="9"/>
        <v>0.75</v>
      </c>
      <c r="O28" s="151">
        <f t="shared" si="9"/>
        <v>1</v>
      </c>
      <c r="P28" s="151">
        <f t="shared" si="9"/>
        <v>1.25</v>
      </c>
      <c r="Q28" s="151">
        <f t="shared" si="9"/>
        <v>1.5</v>
      </c>
      <c r="R28" s="151">
        <f t="shared" si="9"/>
        <v>1.75</v>
      </c>
      <c r="S28" s="151">
        <f t="shared" si="9"/>
        <v>2</v>
      </c>
      <c r="T28" s="151">
        <f t="shared" si="9"/>
        <v>2.25</v>
      </c>
      <c r="U28" s="151">
        <f t="shared" si="9"/>
        <v>2.5</v>
      </c>
      <c r="V28" s="151">
        <f t="shared" si="9"/>
        <v>2.75</v>
      </c>
      <c r="W28" s="151">
        <f t="shared" si="9"/>
        <v>3</v>
      </c>
      <c r="X28" s="151">
        <f t="shared" si="9"/>
        <v>3.25</v>
      </c>
      <c r="Y28" s="151">
        <f t="shared" si="9"/>
        <v>3.5</v>
      </c>
      <c r="Z28" s="151">
        <f t="shared" si="9"/>
        <v>3.75</v>
      </c>
      <c r="AA28" s="151">
        <f t="shared" si="9"/>
        <v>4</v>
      </c>
      <c r="AB28" s="151">
        <f t="shared" si="9"/>
        <v>4.25</v>
      </c>
      <c r="AC28" s="151">
        <f t="shared" si="9"/>
        <v>4.5</v>
      </c>
      <c r="AD28" s="151">
        <f t="shared" si="9"/>
        <v>4.75</v>
      </c>
      <c r="AE28" s="151">
        <f t="shared" si="9"/>
        <v>5</v>
      </c>
      <c r="AF28" s="151">
        <f t="shared" si="9"/>
        <v>5.25</v>
      </c>
      <c r="AG28" s="151">
        <f t="shared" si="9"/>
        <v>5.5</v>
      </c>
      <c r="AH28" s="151">
        <f t="shared" si="9"/>
        <v>5.75</v>
      </c>
      <c r="AI28" s="151">
        <f t="shared" si="9"/>
        <v>6</v>
      </c>
      <c r="AJ28" s="151">
        <f t="shared" si="9"/>
        <v>6.25</v>
      </c>
      <c r="AK28" s="151">
        <f t="shared" si="9"/>
        <v>6.5</v>
      </c>
      <c r="AL28" s="151">
        <f t="shared" si="9"/>
        <v>6.75</v>
      </c>
      <c r="AM28" s="151">
        <f t="shared" si="9"/>
        <v>7</v>
      </c>
      <c r="AN28" s="151">
        <f t="shared" si="9"/>
        <v>7.25</v>
      </c>
      <c r="AO28" s="151">
        <f t="shared" si="9"/>
        <v>7.5</v>
      </c>
      <c r="AP28" s="151">
        <f t="shared" si="9"/>
        <v>7.75</v>
      </c>
      <c r="AQ28" s="151">
        <f t="shared" si="9"/>
        <v>8</v>
      </c>
      <c r="AR28" s="151">
        <f t="shared" si="9"/>
        <v>8.25</v>
      </c>
      <c r="AS28" s="151">
        <f t="shared" si="9"/>
        <v>8.5</v>
      </c>
      <c r="AT28" s="151">
        <f t="shared" si="9"/>
        <v>8.75</v>
      </c>
      <c r="AU28" s="151">
        <f t="shared" si="9"/>
        <v>9</v>
      </c>
      <c r="AV28" s="151">
        <f t="shared" si="9"/>
        <v>9.25</v>
      </c>
      <c r="AW28" s="151">
        <f t="shared" si="9"/>
        <v>9.5</v>
      </c>
      <c r="AX28" s="151">
        <f t="shared" si="9"/>
        <v>9.75</v>
      </c>
      <c r="AY28" s="151">
        <f t="shared" si="9"/>
        <v>10</v>
      </c>
      <c r="AZ28" s="151">
        <f t="shared" si="9"/>
        <v>10.25</v>
      </c>
      <c r="BA28" s="151">
        <f t="shared" si="9"/>
        <v>10.5</v>
      </c>
      <c r="BB28" s="151">
        <f t="shared" si="9"/>
        <v>10.75</v>
      </c>
      <c r="BC28" s="151">
        <f t="shared" si="9"/>
        <v>11</v>
      </c>
      <c r="BD28" s="151">
        <f t="shared" si="9"/>
        <v>11.25</v>
      </c>
      <c r="BE28" s="151">
        <f t="shared" si="9"/>
        <v>11.5</v>
      </c>
      <c r="BF28" s="151">
        <f t="shared" si="9"/>
        <v>11.75</v>
      </c>
      <c r="BG28" s="151">
        <f t="shared" si="9"/>
        <v>12</v>
      </c>
      <c r="BH28" s="151">
        <f t="shared" si="9"/>
        <v>12.25</v>
      </c>
      <c r="BI28" s="151">
        <f t="shared" si="9"/>
        <v>12.5</v>
      </c>
      <c r="BJ28" s="151">
        <f t="shared" si="9"/>
        <v>12.75</v>
      </c>
      <c r="BK28" s="151">
        <f t="shared" si="9"/>
        <v>13</v>
      </c>
      <c r="BL28" s="151">
        <f t="shared" si="9"/>
        <v>13.25</v>
      </c>
      <c r="BM28" s="151">
        <f t="shared" si="9"/>
        <v>13.5</v>
      </c>
      <c r="BN28" s="151">
        <f t="shared" si="9"/>
        <v>13.75</v>
      </c>
      <c r="BO28" s="151">
        <f t="shared" si="9"/>
        <v>14</v>
      </c>
      <c r="BP28" s="151">
        <f t="shared" si="9"/>
        <v>14.25</v>
      </c>
      <c r="BQ28" s="151">
        <f t="shared" si="9"/>
        <v>14.5</v>
      </c>
      <c r="BR28" s="151">
        <f t="shared" si="9"/>
        <v>14.75</v>
      </c>
      <c r="BS28" s="151">
        <f t="shared" si="9"/>
        <v>15</v>
      </c>
      <c r="BT28" s="151">
        <f t="shared" si="9"/>
        <v>15.25</v>
      </c>
      <c r="BU28" s="151">
        <f t="shared" si="9"/>
        <v>15.5</v>
      </c>
      <c r="BV28" s="151">
        <f t="shared" si="9"/>
        <v>15.75</v>
      </c>
      <c r="BW28" s="151">
        <f t="shared" si="9"/>
        <v>16</v>
      </c>
      <c r="BX28" s="151">
        <f t="shared" si="9"/>
        <v>16.25</v>
      </c>
      <c r="BY28" s="151">
        <f t="shared" ref="BY28:CM28" si="10">IF(BY6 &lt; 2022, 0, BX28 + 0.25)</f>
        <v>16.5</v>
      </c>
      <c r="BZ28" s="151">
        <f t="shared" si="10"/>
        <v>16.75</v>
      </c>
      <c r="CA28" s="151">
        <f t="shared" si="10"/>
        <v>17</v>
      </c>
      <c r="CB28" s="151">
        <f t="shared" si="10"/>
        <v>17.25</v>
      </c>
      <c r="CC28" s="151">
        <f t="shared" si="10"/>
        <v>17.5</v>
      </c>
      <c r="CD28" s="151">
        <f t="shared" si="10"/>
        <v>17.75</v>
      </c>
      <c r="CE28" s="151">
        <f t="shared" si="10"/>
        <v>18</v>
      </c>
      <c r="CF28" s="151">
        <f t="shared" si="10"/>
        <v>18.25</v>
      </c>
      <c r="CG28" s="151">
        <f t="shared" si="10"/>
        <v>18.5</v>
      </c>
      <c r="CH28" s="151">
        <f t="shared" si="10"/>
        <v>18.75</v>
      </c>
      <c r="CI28" s="151">
        <f t="shared" si="10"/>
        <v>19</v>
      </c>
      <c r="CJ28" s="151">
        <f t="shared" si="10"/>
        <v>19.25</v>
      </c>
      <c r="CK28" s="151">
        <f t="shared" si="10"/>
        <v>19.5</v>
      </c>
      <c r="CL28" s="151">
        <f t="shared" si="10"/>
        <v>19.75</v>
      </c>
      <c r="CM28" s="151">
        <f t="shared" si="10"/>
        <v>20</v>
      </c>
      <c r="CN28" s="151">
        <f t="shared" ref="CN28" si="11">IF(CN6 &lt; 2022, 0, CM28 + 0.25)</f>
        <v>20.25</v>
      </c>
      <c r="CO28" s="151">
        <f t="shared" ref="CO28" si="12">IF(CO6 &lt; 2022, 0, CN28 + 0.25)</f>
        <v>20.5</v>
      </c>
      <c r="CS28" s="47"/>
      <c r="CU28" s="11"/>
      <c r="GB28" s="47"/>
      <c r="GG28" s="47"/>
      <c r="GI28" s="11"/>
      <c r="JP28" s="47"/>
      <c r="JU28" s="47"/>
      <c r="JW28" s="11"/>
      <c r="ND28" s="47"/>
      <c r="NI28" s="47"/>
      <c r="NK28" s="11"/>
      <c r="QR28" s="47"/>
      <c r="QW28" s="47"/>
      <c r="QY28" s="11"/>
      <c r="UF28" s="47"/>
      <c r="UK28" s="47"/>
      <c r="UM28" s="11"/>
      <c r="XT28" s="47"/>
      <c r="XY28" s="47"/>
      <c r="YA28" s="11"/>
      <c r="ABH28" s="47"/>
      <c r="ABM28" s="47"/>
      <c r="ABO28" s="11"/>
      <c r="AEV28" s="47"/>
      <c r="AFA28" s="47"/>
      <c r="AFC28" s="11"/>
      <c r="AIJ28" s="47"/>
      <c r="AIO28" s="47"/>
      <c r="AIQ28" s="11"/>
      <c r="ALX28" s="47"/>
      <c r="AMC28" s="47"/>
      <c r="AME28" s="11"/>
      <c r="APL28" s="47"/>
      <c r="APQ28" s="47"/>
      <c r="APS28" s="11"/>
      <c r="ASZ28" s="47"/>
      <c r="ATE28" s="47"/>
      <c r="ATG28" s="11"/>
      <c r="AWN28" s="47"/>
      <c r="AWS28" s="47"/>
      <c r="AWU28" s="11"/>
      <c r="BAB28" s="47"/>
      <c r="BAG28" s="47"/>
      <c r="BAI28" s="11"/>
      <c r="BDP28" s="47"/>
      <c r="BDU28" s="47"/>
      <c r="BDW28" s="11"/>
      <c r="BHD28" s="47"/>
      <c r="BHI28" s="47"/>
      <c r="BHK28" s="11"/>
      <c r="BKR28" s="47"/>
      <c r="BKW28" s="47"/>
      <c r="BKY28" s="11"/>
      <c r="BOF28" s="47"/>
      <c r="BOK28" s="47"/>
      <c r="BOM28" s="11"/>
      <c r="BRT28" s="47"/>
      <c r="BRY28" s="47"/>
      <c r="BSA28" s="11"/>
      <c r="BVH28" s="47"/>
      <c r="BVM28" s="47"/>
      <c r="BVO28" s="11"/>
      <c r="BYV28" s="47"/>
      <c r="BZA28" s="47"/>
      <c r="BZC28" s="11"/>
      <c r="CCJ28" s="47"/>
      <c r="CCO28" s="47"/>
      <c r="CCQ28" s="11"/>
      <c r="CFX28" s="47"/>
      <c r="CGC28" s="47"/>
      <c r="CGE28" s="11"/>
      <c r="CJL28" s="47"/>
      <c r="CJQ28" s="47"/>
      <c r="CJS28" s="11"/>
      <c r="CMZ28" s="47"/>
      <c r="CNE28" s="47"/>
      <c r="CNG28" s="11"/>
      <c r="CQN28" s="47"/>
      <c r="CQS28" s="47"/>
      <c r="CQU28" s="11"/>
      <c r="CUB28" s="47"/>
      <c r="CUG28" s="47"/>
      <c r="CUI28" s="11"/>
      <c r="CXP28" s="47"/>
      <c r="CXU28" s="47"/>
      <c r="CXW28" s="11"/>
      <c r="DBD28" s="47"/>
      <c r="DBI28" s="47"/>
      <c r="DBK28" s="11"/>
      <c r="DER28" s="47"/>
      <c r="DEW28" s="47"/>
      <c r="DEY28" s="11"/>
      <c r="DIF28" s="47"/>
      <c r="DIK28" s="47"/>
      <c r="DIM28" s="11"/>
      <c r="DLT28" s="47"/>
      <c r="DLY28" s="47"/>
      <c r="DMA28" s="11"/>
      <c r="DPH28" s="47"/>
      <c r="DPM28" s="47"/>
      <c r="DPO28" s="11"/>
      <c r="DSV28" s="47"/>
      <c r="DTA28" s="47"/>
      <c r="DTC28" s="11"/>
      <c r="DWJ28" s="47"/>
      <c r="DWO28" s="47"/>
      <c r="DWQ28" s="11"/>
      <c r="DZX28" s="47"/>
      <c r="EAC28" s="47"/>
      <c r="EAE28" s="11"/>
      <c r="EDL28" s="47"/>
      <c r="EDQ28" s="47"/>
      <c r="EDS28" s="11"/>
      <c r="EGZ28" s="47"/>
      <c r="EHE28" s="47"/>
      <c r="EHG28" s="11"/>
      <c r="EKN28" s="47"/>
      <c r="EKS28" s="47"/>
      <c r="EKU28" s="11"/>
      <c r="EOB28" s="47"/>
      <c r="EOG28" s="47"/>
      <c r="EOI28" s="11"/>
      <c r="ERP28" s="47"/>
      <c r="ERU28" s="47"/>
      <c r="ERW28" s="11"/>
      <c r="EVD28" s="47"/>
      <c r="EVI28" s="47"/>
      <c r="EVK28" s="11"/>
      <c r="EYR28" s="47"/>
      <c r="EYW28" s="47"/>
      <c r="EYY28" s="11"/>
      <c r="FCF28" s="47"/>
      <c r="FCK28" s="47"/>
      <c r="FCM28" s="11"/>
      <c r="FFT28" s="47"/>
      <c r="FFY28" s="47"/>
      <c r="FGA28" s="11"/>
      <c r="FJH28" s="47"/>
      <c r="FJM28" s="47"/>
      <c r="FJO28" s="11"/>
      <c r="FMV28" s="47"/>
      <c r="FNA28" s="47"/>
      <c r="FNC28" s="11"/>
      <c r="FQJ28" s="47"/>
      <c r="FQO28" s="47"/>
      <c r="FQQ28" s="11"/>
      <c r="FTX28" s="47"/>
      <c r="FUC28" s="47"/>
      <c r="FUE28" s="11"/>
      <c r="FXL28" s="47"/>
      <c r="FXQ28" s="47"/>
      <c r="FXS28" s="11"/>
      <c r="GAZ28" s="47"/>
      <c r="GBE28" s="47"/>
      <c r="GBG28" s="11"/>
      <c r="GEN28" s="47"/>
      <c r="GES28" s="47"/>
      <c r="GEU28" s="11"/>
      <c r="GIB28" s="47"/>
      <c r="GIG28" s="47"/>
      <c r="GII28" s="11"/>
      <c r="GLP28" s="47"/>
      <c r="GLU28" s="47"/>
      <c r="GLW28" s="11"/>
      <c r="GPD28" s="47"/>
      <c r="GPI28" s="47"/>
      <c r="GPK28" s="11"/>
      <c r="GSR28" s="47"/>
      <c r="GSW28" s="47"/>
      <c r="GSY28" s="11"/>
      <c r="GWF28" s="47"/>
      <c r="GWK28" s="47"/>
      <c r="GWM28" s="11"/>
      <c r="GZT28" s="47"/>
      <c r="GZY28" s="47"/>
      <c r="HAA28" s="11"/>
      <c r="HDH28" s="47"/>
      <c r="HDM28" s="47"/>
      <c r="HDO28" s="11"/>
      <c r="HGV28" s="47"/>
      <c r="HHA28" s="47"/>
      <c r="HHC28" s="11"/>
      <c r="HKJ28" s="47"/>
      <c r="HKO28" s="47"/>
      <c r="HKQ28" s="11"/>
      <c r="HNX28" s="47"/>
      <c r="HOC28" s="47"/>
      <c r="HOE28" s="11"/>
      <c r="HRL28" s="47"/>
      <c r="HRQ28" s="47"/>
      <c r="HRS28" s="11"/>
      <c r="HUZ28" s="47"/>
      <c r="HVE28" s="47"/>
      <c r="HVG28" s="11"/>
      <c r="HYN28" s="47"/>
      <c r="HYS28" s="47"/>
      <c r="HYU28" s="11"/>
      <c r="ICB28" s="47"/>
      <c r="ICG28" s="47"/>
      <c r="ICI28" s="11"/>
      <c r="IFP28" s="47"/>
      <c r="IFU28" s="47"/>
      <c r="IFW28" s="11"/>
      <c r="IJD28" s="47"/>
      <c r="IJI28" s="47"/>
      <c r="IJK28" s="11"/>
      <c r="IMR28" s="47"/>
      <c r="IMW28" s="47"/>
      <c r="IMY28" s="11"/>
      <c r="IQF28" s="47"/>
      <c r="IQK28" s="47"/>
      <c r="IQM28" s="11"/>
      <c r="ITT28" s="47"/>
      <c r="ITY28" s="47"/>
      <c r="IUA28" s="11"/>
      <c r="IXH28" s="47"/>
      <c r="IXM28" s="47"/>
      <c r="IXO28" s="11"/>
      <c r="JAV28" s="47"/>
      <c r="JBA28" s="47"/>
      <c r="JBC28" s="11"/>
      <c r="JEJ28" s="47"/>
      <c r="JEO28" s="47"/>
      <c r="JEQ28" s="11"/>
      <c r="JHX28" s="47"/>
      <c r="JIC28" s="47"/>
      <c r="JIE28" s="11"/>
      <c r="JLL28" s="47"/>
      <c r="JLQ28" s="47"/>
      <c r="JLS28" s="11"/>
      <c r="JOZ28" s="47"/>
      <c r="JPE28" s="47"/>
      <c r="JPG28" s="11"/>
      <c r="JSN28" s="47"/>
      <c r="JSS28" s="47"/>
      <c r="JSU28" s="11"/>
      <c r="JWB28" s="47"/>
      <c r="JWG28" s="47"/>
      <c r="JWI28" s="11"/>
      <c r="JZP28" s="47"/>
      <c r="JZU28" s="47"/>
      <c r="JZW28" s="11"/>
      <c r="KDD28" s="47"/>
      <c r="KDI28" s="47"/>
      <c r="KDK28" s="11"/>
      <c r="KGR28" s="47"/>
      <c r="KGW28" s="47"/>
      <c r="KGY28" s="11"/>
      <c r="KKF28" s="47"/>
      <c r="KKK28" s="47"/>
      <c r="KKM28" s="11"/>
      <c r="KNT28" s="47"/>
      <c r="KNY28" s="47"/>
      <c r="KOA28" s="11"/>
      <c r="KRH28" s="47"/>
      <c r="KRM28" s="47"/>
      <c r="KRO28" s="11"/>
      <c r="KUV28" s="47"/>
      <c r="KVA28" s="47"/>
      <c r="KVC28" s="11"/>
      <c r="KYJ28" s="47"/>
      <c r="KYO28" s="47"/>
      <c r="KYQ28" s="11"/>
      <c r="LBX28" s="47"/>
      <c r="LCC28" s="47"/>
      <c r="LCE28" s="11"/>
      <c r="LFL28" s="47"/>
      <c r="LFQ28" s="47"/>
      <c r="LFS28" s="11"/>
      <c r="LIZ28" s="47"/>
      <c r="LJE28" s="47"/>
      <c r="LJG28" s="11"/>
      <c r="LMN28" s="47"/>
      <c r="LMS28" s="47"/>
      <c r="LMU28" s="11"/>
      <c r="LQB28" s="47"/>
      <c r="LQG28" s="47"/>
      <c r="LQI28" s="11"/>
      <c r="LTP28" s="47"/>
      <c r="LTU28" s="47"/>
      <c r="LTW28" s="11"/>
      <c r="LXD28" s="47"/>
      <c r="LXI28" s="47"/>
      <c r="LXK28" s="11"/>
      <c r="MAR28" s="47"/>
      <c r="MAW28" s="47"/>
      <c r="MAY28" s="11"/>
      <c r="MEF28" s="47"/>
      <c r="MEK28" s="47"/>
      <c r="MEM28" s="11"/>
      <c r="MHT28" s="47"/>
      <c r="MHY28" s="47"/>
      <c r="MIA28" s="11"/>
      <c r="MLH28" s="47"/>
      <c r="MLM28" s="47"/>
      <c r="MLO28" s="11"/>
      <c r="MOV28" s="47"/>
      <c r="MPA28" s="47"/>
      <c r="MPC28" s="11"/>
      <c r="MSJ28" s="47"/>
      <c r="MSO28" s="47"/>
      <c r="MSQ28" s="11"/>
      <c r="MVX28" s="47"/>
      <c r="MWC28" s="47"/>
      <c r="MWE28" s="11"/>
      <c r="MZL28" s="47"/>
      <c r="MZQ28" s="47"/>
      <c r="MZS28" s="11"/>
      <c r="NCZ28" s="47"/>
      <c r="NDE28" s="47"/>
      <c r="NDG28" s="11"/>
      <c r="NGN28" s="47"/>
      <c r="NGS28" s="47"/>
      <c r="NGU28" s="11"/>
      <c r="NKB28" s="47"/>
      <c r="NKG28" s="47"/>
      <c r="NKI28" s="11"/>
      <c r="NNP28" s="47"/>
      <c r="NNU28" s="47"/>
      <c r="NNW28" s="11"/>
      <c r="NRD28" s="47"/>
      <c r="NRI28" s="47"/>
      <c r="NRK28" s="11"/>
      <c r="NUR28" s="47"/>
      <c r="NUW28" s="47"/>
      <c r="NUY28" s="11"/>
      <c r="NYF28" s="47"/>
      <c r="NYK28" s="47"/>
      <c r="NYM28" s="11"/>
      <c r="OBT28" s="47"/>
      <c r="OBY28" s="47"/>
      <c r="OCA28" s="11"/>
      <c r="OFH28" s="47"/>
      <c r="OFM28" s="47"/>
      <c r="OFO28" s="11"/>
      <c r="OIV28" s="47"/>
      <c r="OJA28" s="47"/>
      <c r="OJC28" s="11"/>
      <c r="OMJ28" s="47"/>
      <c r="OMO28" s="47"/>
      <c r="OMQ28" s="11"/>
      <c r="OPX28" s="47"/>
      <c r="OQC28" s="47"/>
      <c r="OQE28" s="11"/>
      <c r="OTL28" s="47"/>
      <c r="OTQ28" s="47"/>
      <c r="OTS28" s="11"/>
      <c r="OWZ28" s="47"/>
      <c r="OXE28" s="47"/>
      <c r="OXG28" s="11"/>
      <c r="PAN28" s="47"/>
      <c r="PAS28" s="47"/>
      <c r="PAU28" s="11"/>
      <c r="PEB28" s="47"/>
      <c r="PEG28" s="47"/>
      <c r="PEI28" s="11"/>
      <c r="PHP28" s="47"/>
      <c r="PHU28" s="47"/>
      <c r="PHW28" s="11"/>
      <c r="PLD28" s="47"/>
      <c r="PLI28" s="47"/>
      <c r="PLK28" s="11"/>
      <c r="POR28" s="47"/>
      <c r="POW28" s="47"/>
      <c r="POY28" s="11"/>
      <c r="PSF28" s="47"/>
      <c r="PSK28" s="47"/>
      <c r="PSM28" s="11"/>
      <c r="PVT28" s="47"/>
      <c r="PVY28" s="47"/>
      <c r="PWA28" s="11"/>
      <c r="PZH28" s="47"/>
      <c r="PZM28" s="47"/>
      <c r="PZO28" s="11"/>
      <c r="QCV28" s="47"/>
      <c r="QDA28" s="47"/>
      <c r="QDC28" s="11"/>
      <c r="QGJ28" s="47"/>
      <c r="QGO28" s="47"/>
      <c r="QGQ28" s="11"/>
      <c r="QJX28" s="47"/>
      <c r="QKC28" s="47"/>
      <c r="QKE28" s="11"/>
      <c r="QNL28" s="47"/>
      <c r="QNQ28" s="47"/>
      <c r="QNS28" s="11"/>
      <c r="QQZ28" s="47"/>
      <c r="QRE28" s="47"/>
      <c r="QRG28" s="11"/>
      <c r="QUN28" s="47"/>
      <c r="QUS28" s="47"/>
      <c r="QUU28" s="11"/>
      <c r="QYB28" s="47"/>
      <c r="QYG28" s="47"/>
      <c r="QYI28" s="11"/>
      <c r="RBP28" s="47"/>
      <c r="RBU28" s="47"/>
      <c r="RBW28" s="11"/>
      <c r="RFD28" s="47"/>
      <c r="RFI28" s="47"/>
      <c r="RFK28" s="11"/>
      <c r="RIR28" s="47"/>
      <c r="RIW28" s="47"/>
      <c r="RIY28" s="11"/>
      <c r="RMF28" s="47"/>
      <c r="RMK28" s="47"/>
      <c r="RMM28" s="11"/>
      <c r="RPT28" s="47"/>
      <c r="RPY28" s="47"/>
      <c r="RQA28" s="11"/>
      <c r="RTH28" s="47"/>
      <c r="RTM28" s="47"/>
      <c r="RTO28" s="11"/>
      <c r="RWV28" s="47"/>
      <c r="RXA28" s="47"/>
      <c r="RXC28" s="11"/>
      <c r="SAJ28" s="47"/>
      <c r="SAO28" s="47"/>
      <c r="SAQ28" s="11"/>
      <c r="SDX28" s="47"/>
      <c r="SEC28" s="47"/>
      <c r="SEE28" s="11"/>
      <c r="SHL28" s="47"/>
      <c r="SHQ28" s="47"/>
      <c r="SHS28" s="11"/>
      <c r="SKZ28" s="47"/>
      <c r="SLE28" s="47"/>
      <c r="SLG28" s="11"/>
      <c r="SON28" s="47"/>
      <c r="SOS28" s="47"/>
      <c r="SOU28" s="11"/>
      <c r="SSB28" s="47"/>
      <c r="SSG28" s="47"/>
      <c r="SSI28" s="11"/>
      <c r="SVP28" s="47"/>
      <c r="SVU28" s="47"/>
      <c r="SVW28" s="11"/>
      <c r="SZD28" s="47"/>
      <c r="SZI28" s="47"/>
      <c r="SZK28" s="11"/>
      <c r="TCR28" s="47"/>
      <c r="TCW28" s="47"/>
      <c r="TCY28" s="11"/>
      <c r="TGF28" s="47"/>
      <c r="TGK28" s="47"/>
      <c r="TGM28" s="11"/>
      <c r="TJT28" s="47"/>
      <c r="TJY28" s="47"/>
      <c r="TKA28" s="11"/>
      <c r="TNH28" s="47"/>
      <c r="TNM28" s="47"/>
      <c r="TNO28" s="11"/>
      <c r="TQV28" s="47"/>
      <c r="TRA28" s="47"/>
      <c r="TRC28" s="11"/>
      <c r="TUJ28" s="47"/>
      <c r="TUO28" s="47"/>
      <c r="TUQ28" s="11"/>
      <c r="TXX28" s="47"/>
      <c r="TYC28" s="47"/>
      <c r="TYE28" s="11"/>
      <c r="UBL28" s="47"/>
      <c r="UBQ28" s="47"/>
      <c r="UBS28" s="11"/>
      <c r="UEZ28" s="47"/>
      <c r="UFE28" s="47"/>
      <c r="UFG28" s="11"/>
      <c r="UIN28" s="47"/>
      <c r="UIS28" s="47"/>
      <c r="UIU28" s="11"/>
      <c r="UMB28" s="47"/>
      <c r="UMG28" s="47"/>
      <c r="UMI28" s="11"/>
      <c r="UPP28" s="47"/>
      <c r="UPU28" s="47"/>
      <c r="UPW28" s="11"/>
      <c r="UTD28" s="47"/>
      <c r="UTI28" s="47"/>
      <c r="UTK28" s="11"/>
      <c r="UWR28" s="47"/>
      <c r="UWW28" s="47"/>
      <c r="UWY28" s="11"/>
      <c r="VAF28" s="47"/>
      <c r="VAK28" s="47"/>
      <c r="VAM28" s="11"/>
      <c r="VDT28" s="47"/>
      <c r="VDY28" s="47"/>
      <c r="VEA28" s="11"/>
      <c r="VHH28" s="47"/>
      <c r="VHM28" s="47"/>
      <c r="VHO28" s="11"/>
      <c r="VKV28" s="47"/>
      <c r="VLA28" s="47"/>
      <c r="VLC28" s="11"/>
      <c r="VOJ28" s="47"/>
      <c r="VOO28" s="47"/>
      <c r="VOQ28" s="11"/>
      <c r="VRX28" s="47"/>
      <c r="VSC28" s="47"/>
      <c r="VSE28" s="11"/>
      <c r="VVL28" s="47"/>
      <c r="VVQ28" s="47"/>
      <c r="VVS28" s="11"/>
      <c r="VYZ28" s="47"/>
      <c r="VZE28" s="47"/>
      <c r="VZG28" s="11"/>
      <c r="WCN28" s="47"/>
      <c r="WCS28" s="47"/>
      <c r="WCU28" s="11"/>
      <c r="WGB28" s="47"/>
      <c r="WGG28" s="47"/>
      <c r="WGI28" s="11"/>
      <c r="WJP28" s="47"/>
      <c r="WJU28" s="47"/>
      <c r="WJW28" s="11"/>
      <c r="WND28" s="47"/>
      <c r="WNI28" s="47"/>
      <c r="WNK28" s="11"/>
      <c r="WQR28" s="47"/>
      <c r="WQW28" s="47"/>
      <c r="WQY28" s="11"/>
      <c r="WUF28" s="47"/>
      <c r="WUK28" s="47"/>
      <c r="WUM28" s="11"/>
      <c r="WXT28" s="47"/>
      <c r="WXY28" s="47"/>
      <c r="WYA28" s="11"/>
      <c r="XBH28" s="47"/>
      <c r="XBM28" s="47"/>
      <c r="XBO28" s="11"/>
      <c r="XEV28" s="47"/>
      <c r="XFA28" s="47"/>
      <c r="XFC28" s="11"/>
    </row>
    <row r="29" spans="1:1019 1104:2031 2116:3043 3128:4055 4140:5067 5152:6079 6164:7091 7176:8188 8193:9207 9292:10219 10304:11231 11316:12243 12328:13255 13340:14267 14352:15279 15364:16383" s="10" customFormat="1" ht="14.5" customHeight="1">
      <c r="C29" s="17" t="s">
        <v>1014</v>
      </c>
      <c r="E29" s="47"/>
      <c r="G29" s="11" t="s">
        <v>1012</v>
      </c>
      <c r="L29" s="43">
        <f xml:space="preserve"> $E$26</f>
        <v>0.16200000000000001</v>
      </c>
      <c r="M29" s="43">
        <f t="shared" ref="M29:BX29" si="13" xml:space="preserve"> $E$26</f>
        <v>0.16200000000000001</v>
      </c>
      <c r="N29" s="43">
        <f t="shared" si="13"/>
        <v>0.16200000000000001</v>
      </c>
      <c r="O29" s="43">
        <f t="shared" si="13"/>
        <v>0.16200000000000001</v>
      </c>
      <c r="P29" s="43">
        <f t="shared" si="13"/>
        <v>0.16200000000000001</v>
      </c>
      <c r="Q29" s="43">
        <f t="shared" si="13"/>
        <v>0.16200000000000001</v>
      </c>
      <c r="R29" s="43">
        <f t="shared" si="13"/>
        <v>0.16200000000000001</v>
      </c>
      <c r="S29" s="43">
        <f t="shared" si="13"/>
        <v>0.16200000000000001</v>
      </c>
      <c r="T29" s="43">
        <f t="shared" si="13"/>
        <v>0.16200000000000001</v>
      </c>
      <c r="U29" s="43">
        <f t="shared" si="13"/>
        <v>0.16200000000000001</v>
      </c>
      <c r="V29" s="43">
        <f t="shared" si="13"/>
        <v>0.16200000000000001</v>
      </c>
      <c r="W29" s="43">
        <f t="shared" si="13"/>
        <v>0.16200000000000001</v>
      </c>
      <c r="X29" s="43">
        <f t="shared" si="13"/>
        <v>0.16200000000000001</v>
      </c>
      <c r="Y29" s="43">
        <f t="shared" si="13"/>
        <v>0.16200000000000001</v>
      </c>
      <c r="Z29" s="43">
        <f t="shared" si="13"/>
        <v>0.16200000000000001</v>
      </c>
      <c r="AA29" s="43">
        <f t="shared" si="13"/>
        <v>0.16200000000000001</v>
      </c>
      <c r="AB29" s="43">
        <f t="shared" si="13"/>
        <v>0.16200000000000001</v>
      </c>
      <c r="AC29" s="43">
        <f t="shared" si="13"/>
        <v>0.16200000000000001</v>
      </c>
      <c r="AD29" s="43">
        <f t="shared" si="13"/>
        <v>0.16200000000000001</v>
      </c>
      <c r="AE29" s="43">
        <f t="shared" si="13"/>
        <v>0.16200000000000001</v>
      </c>
      <c r="AF29" s="43">
        <f t="shared" si="13"/>
        <v>0.16200000000000001</v>
      </c>
      <c r="AG29" s="43">
        <f t="shared" si="13"/>
        <v>0.16200000000000001</v>
      </c>
      <c r="AH29" s="43">
        <f t="shared" si="13"/>
        <v>0.16200000000000001</v>
      </c>
      <c r="AI29" s="43">
        <f t="shared" si="13"/>
        <v>0.16200000000000001</v>
      </c>
      <c r="AJ29" s="43">
        <f t="shared" si="13"/>
        <v>0.16200000000000001</v>
      </c>
      <c r="AK29" s="43">
        <f t="shared" si="13"/>
        <v>0.16200000000000001</v>
      </c>
      <c r="AL29" s="43">
        <f t="shared" si="13"/>
        <v>0.16200000000000001</v>
      </c>
      <c r="AM29" s="43">
        <f t="shared" si="13"/>
        <v>0.16200000000000001</v>
      </c>
      <c r="AN29" s="43">
        <f t="shared" si="13"/>
        <v>0.16200000000000001</v>
      </c>
      <c r="AO29" s="43">
        <f t="shared" si="13"/>
        <v>0.16200000000000001</v>
      </c>
      <c r="AP29" s="43">
        <f t="shared" si="13"/>
        <v>0.16200000000000001</v>
      </c>
      <c r="AQ29" s="43">
        <f t="shared" si="13"/>
        <v>0.16200000000000001</v>
      </c>
      <c r="AR29" s="43">
        <f t="shared" si="13"/>
        <v>0.16200000000000001</v>
      </c>
      <c r="AS29" s="43">
        <f t="shared" si="13"/>
        <v>0.16200000000000001</v>
      </c>
      <c r="AT29" s="43">
        <f t="shared" si="13"/>
        <v>0.16200000000000001</v>
      </c>
      <c r="AU29" s="43">
        <f t="shared" si="13"/>
        <v>0.16200000000000001</v>
      </c>
      <c r="AV29" s="43">
        <f t="shared" si="13"/>
        <v>0.16200000000000001</v>
      </c>
      <c r="AW29" s="43">
        <f t="shared" si="13"/>
        <v>0.16200000000000001</v>
      </c>
      <c r="AX29" s="43">
        <f t="shared" si="13"/>
        <v>0.16200000000000001</v>
      </c>
      <c r="AY29" s="43">
        <f t="shared" si="13"/>
        <v>0.16200000000000001</v>
      </c>
      <c r="AZ29" s="43">
        <f t="shared" si="13"/>
        <v>0.16200000000000001</v>
      </c>
      <c r="BA29" s="43">
        <f t="shared" si="13"/>
        <v>0.16200000000000001</v>
      </c>
      <c r="BB29" s="43">
        <f t="shared" si="13"/>
        <v>0.16200000000000001</v>
      </c>
      <c r="BC29" s="43">
        <f t="shared" si="13"/>
        <v>0.16200000000000001</v>
      </c>
      <c r="BD29" s="43">
        <f t="shared" si="13"/>
        <v>0.16200000000000001</v>
      </c>
      <c r="BE29" s="43">
        <f t="shared" si="13"/>
        <v>0.16200000000000001</v>
      </c>
      <c r="BF29" s="43">
        <f t="shared" si="13"/>
        <v>0.16200000000000001</v>
      </c>
      <c r="BG29" s="43">
        <f t="shared" si="13"/>
        <v>0.16200000000000001</v>
      </c>
      <c r="BH29" s="43">
        <f t="shared" si="13"/>
        <v>0.16200000000000001</v>
      </c>
      <c r="BI29" s="43">
        <f t="shared" si="13"/>
        <v>0.16200000000000001</v>
      </c>
      <c r="BJ29" s="43">
        <f t="shared" si="13"/>
        <v>0.16200000000000001</v>
      </c>
      <c r="BK29" s="43">
        <f t="shared" si="13"/>
        <v>0.16200000000000001</v>
      </c>
      <c r="BL29" s="43">
        <f t="shared" si="13"/>
        <v>0.16200000000000001</v>
      </c>
      <c r="BM29" s="43">
        <f t="shared" si="13"/>
        <v>0.16200000000000001</v>
      </c>
      <c r="BN29" s="43">
        <f t="shared" si="13"/>
        <v>0.16200000000000001</v>
      </c>
      <c r="BO29" s="43">
        <f t="shared" si="13"/>
        <v>0.16200000000000001</v>
      </c>
      <c r="BP29" s="43">
        <f t="shared" si="13"/>
        <v>0.16200000000000001</v>
      </c>
      <c r="BQ29" s="43">
        <f t="shared" si="13"/>
        <v>0.16200000000000001</v>
      </c>
      <c r="BR29" s="43">
        <f t="shared" si="13"/>
        <v>0.16200000000000001</v>
      </c>
      <c r="BS29" s="43">
        <f t="shared" si="13"/>
        <v>0.16200000000000001</v>
      </c>
      <c r="BT29" s="43">
        <f t="shared" si="13"/>
        <v>0.16200000000000001</v>
      </c>
      <c r="BU29" s="43">
        <f t="shared" si="13"/>
        <v>0.16200000000000001</v>
      </c>
      <c r="BV29" s="43">
        <f t="shared" si="13"/>
        <v>0.16200000000000001</v>
      </c>
      <c r="BW29" s="43">
        <f t="shared" si="13"/>
        <v>0.16200000000000001</v>
      </c>
      <c r="BX29" s="43">
        <f t="shared" si="13"/>
        <v>0.16200000000000001</v>
      </c>
      <c r="BY29" s="43">
        <f t="shared" ref="BY29:CO29" si="14" xml:space="preserve"> $E$26</f>
        <v>0.16200000000000001</v>
      </c>
      <c r="BZ29" s="43">
        <f t="shared" si="14"/>
        <v>0.16200000000000001</v>
      </c>
      <c r="CA29" s="43">
        <f t="shared" si="14"/>
        <v>0.16200000000000001</v>
      </c>
      <c r="CB29" s="43">
        <f t="shared" si="14"/>
        <v>0.16200000000000001</v>
      </c>
      <c r="CC29" s="43">
        <f t="shared" si="14"/>
        <v>0.16200000000000001</v>
      </c>
      <c r="CD29" s="43">
        <f t="shared" si="14"/>
        <v>0.16200000000000001</v>
      </c>
      <c r="CE29" s="43">
        <f t="shared" si="14"/>
        <v>0.16200000000000001</v>
      </c>
      <c r="CF29" s="43">
        <f t="shared" si="14"/>
        <v>0.16200000000000001</v>
      </c>
      <c r="CG29" s="43">
        <f t="shared" si="14"/>
        <v>0.16200000000000001</v>
      </c>
      <c r="CH29" s="43">
        <f t="shared" si="14"/>
        <v>0.16200000000000001</v>
      </c>
      <c r="CI29" s="43">
        <f t="shared" si="14"/>
        <v>0.16200000000000001</v>
      </c>
      <c r="CJ29" s="43">
        <f t="shared" si="14"/>
        <v>0.16200000000000001</v>
      </c>
      <c r="CK29" s="43">
        <f t="shared" si="14"/>
        <v>0.16200000000000001</v>
      </c>
      <c r="CL29" s="43">
        <f t="shared" si="14"/>
        <v>0.16200000000000001</v>
      </c>
      <c r="CM29" s="43">
        <f t="shared" si="14"/>
        <v>0.16200000000000001</v>
      </c>
      <c r="CN29" s="43">
        <f t="shared" si="14"/>
        <v>0.16200000000000001</v>
      </c>
      <c r="CO29" s="43">
        <f t="shared" si="14"/>
        <v>0.16200000000000001</v>
      </c>
      <c r="CS29" s="47"/>
      <c r="CU29" s="11"/>
      <c r="GB29" s="47"/>
      <c r="GG29" s="47"/>
      <c r="GI29" s="11"/>
      <c r="JP29" s="47"/>
      <c r="JU29" s="47"/>
      <c r="JW29" s="11"/>
      <c r="ND29" s="47"/>
      <c r="NI29" s="47"/>
      <c r="NK29" s="11"/>
      <c r="QR29" s="47"/>
      <c r="QW29" s="47"/>
      <c r="QY29" s="11"/>
      <c r="UF29" s="47"/>
      <c r="UK29" s="47"/>
      <c r="UM29" s="11"/>
      <c r="XT29" s="47"/>
      <c r="XY29" s="47"/>
      <c r="YA29" s="11"/>
      <c r="ABH29" s="47"/>
      <c r="ABM29" s="47"/>
      <c r="ABO29" s="11"/>
      <c r="AEV29" s="47"/>
      <c r="AFA29" s="47"/>
      <c r="AFC29" s="11"/>
      <c r="AIJ29" s="47"/>
      <c r="AIO29" s="47"/>
      <c r="AIQ29" s="11"/>
      <c r="ALX29" s="47"/>
      <c r="AMC29" s="47"/>
      <c r="AME29" s="11"/>
      <c r="APL29" s="47"/>
      <c r="APQ29" s="47"/>
      <c r="APS29" s="11"/>
      <c r="ASZ29" s="47"/>
      <c r="ATE29" s="47"/>
      <c r="ATG29" s="11"/>
      <c r="AWN29" s="47"/>
      <c r="AWS29" s="47"/>
      <c r="AWU29" s="11"/>
      <c r="BAB29" s="47"/>
      <c r="BAG29" s="47"/>
      <c r="BAI29" s="11"/>
      <c r="BDP29" s="47"/>
      <c r="BDU29" s="47"/>
      <c r="BDW29" s="11"/>
      <c r="BHD29" s="47"/>
      <c r="BHI29" s="47"/>
      <c r="BHK29" s="11"/>
      <c r="BKR29" s="47"/>
      <c r="BKW29" s="47"/>
      <c r="BKY29" s="11"/>
      <c r="BOF29" s="47"/>
      <c r="BOK29" s="47"/>
      <c r="BOM29" s="11"/>
      <c r="BRT29" s="47"/>
      <c r="BRY29" s="47"/>
      <c r="BSA29" s="11"/>
      <c r="BVH29" s="47"/>
      <c r="BVM29" s="47"/>
      <c r="BVO29" s="11"/>
      <c r="BYV29" s="47"/>
      <c r="BZA29" s="47"/>
      <c r="BZC29" s="11"/>
      <c r="CCJ29" s="47"/>
      <c r="CCO29" s="47"/>
      <c r="CCQ29" s="11"/>
      <c r="CFX29" s="47"/>
      <c r="CGC29" s="47"/>
      <c r="CGE29" s="11"/>
      <c r="CJL29" s="47"/>
      <c r="CJQ29" s="47"/>
      <c r="CJS29" s="11"/>
      <c r="CMZ29" s="47"/>
      <c r="CNE29" s="47"/>
      <c r="CNG29" s="11"/>
      <c r="CQN29" s="47"/>
      <c r="CQS29" s="47"/>
      <c r="CQU29" s="11"/>
      <c r="CUB29" s="47"/>
      <c r="CUG29" s="47"/>
      <c r="CUI29" s="11"/>
      <c r="CXP29" s="47"/>
      <c r="CXU29" s="47"/>
      <c r="CXW29" s="11"/>
      <c r="DBD29" s="47"/>
      <c r="DBI29" s="47"/>
      <c r="DBK29" s="11"/>
      <c r="DER29" s="47"/>
      <c r="DEW29" s="47"/>
      <c r="DEY29" s="11"/>
      <c r="DIF29" s="47"/>
      <c r="DIK29" s="47"/>
      <c r="DIM29" s="11"/>
      <c r="DLT29" s="47"/>
      <c r="DLY29" s="47"/>
      <c r="DMA29" s="11"/>
      <c r="DPH29" s="47"/>
      <c r="DPM29" s="47"/>
      <c r="DPO29" s="11"/>
      <c r="DSV29" s="47"/>
      <c r="DTA29" s="47"/>
      <c r="DTC29" s="11"/>
      <c r="DWJ29" s="47"/>
      <c r="DWO29" s="47"/>
      <c r="DWQ29" s="11"/>
      <c r="DZX29" s="47"/>
      <c r="EAC29" s="47"/>
      <c r="EAE29" s="11"/>
      <c r="EDL29" s="47"/>
      <c r="EDQ29" s="47"/>
      <c r="EDS29" s="11"/>
      <c r="EGZ29" s="47"/>
      <c r="EHE29" s="47"/>
      <c r="EHG29" s="11"/>
      <c r="EKN29" s="47"/>
      <c r="EKS29" s="47"/>
      <c r="EKU29" s="11"/>
      <c r="EOB29" s="47"/>
      <c r="EOG29" s="47"/>
      <c r="EOI29" s="11"/>
      <c r="ERP29" s="47"/>
      <c r="ERU29" s="47"/>
      <c r="ERW29" s="11"/>
      <c r="EVD29" s="47"/>
      <c r="EVI29" s="47"/>
      <c r="EVK29" s="11"/>
      <c r="EYR29" s="47"/>
      <c r="EYW29" s="47"/>
      <c r="EYY29" s="11"/>
      <c r="FCF29" s="47"/>
      <c r="FCK29" s="47"/>
      <c r="FCM29" s="11"/>
      <c r="FFT29" s="47"/>
      <c r="FFY29" s="47"/>
      <c r="FGA29" s="11"/>
      <c r="FJH29" s="47"/>
      <c r="FJM29" s="47"/>
      <c r="FJO29" s="11"/>
      <c r="FMV29" s="47"/>
      <c r="FNA29" s="47"/>
      <c r="FNC29" s="11"/>
      <c r="FQJ29" s="47"/>
      <c r="FQO29" s="47"/>
      <c r="FQQ29" s="11"/>
      <c r="FTX29" s="47"/>
      <c r="FUC29" s="47"/>
      <c r="FUE29" s="11"/>
      <c r="FXL29" s="47"/>
      <c r="FXQ29" s="47"/>
      <c r="FXS29" s="11"/>
      <c r="GAZ29" s="47"/>
      <c r="GBE29" s="47"/>
      <c r="GBG29" s="11"/>
      <c r="GEN29" s="47"/>
      <c r="GES29" s="47"/>
      <c r="GEU29" s="11"/>
      <c r="GIB29" s="47"/>
      <c r="GIG29" s="47"/>
      <c r="GII29" s="11"/>
      <c r="GLP29" s="47"/>
      <c r="GLU29" s="47"/>
      <c r="GLW29" s="11"/>
      <c r="GPD29" s="47"/>
      <c r="GPI29" s="47"/>
      <c r="GPK29" s="11"/>
      <c r="GSR29" s="47"/>
      <c r="GSW29" s="47"/>
      <c r="GSY29" s="11"/>
      <c r="GWF29" s="47"/>
      <c r="GWK29" s="47"/>
      <c r="GWM29" s="11"/>
      <c r="GZT29" s="47"/>
      <c r="GZY29" s="47"/>
      <c r="HAA29" s="11"/>
      <c r="HDH29" s="47"/>
      <c r="HDM29" s="47"/>
      <c r="HDO29" s="11"/>
      <c r="HGV29" s="47"/>
      <c r="HHA29" s="47"/>
      <c r="HHC29" s="11"/>
      <c r="HKJ29" s="47"/>
      <c r="HKO29" s="47"/>
      <c r="HKQ29" s="11"/>
      <c r="HNX29" s="47"/>
      <c r="HOC29" s="47"/>
      <c r="HOE29" s="11"/>
      <c r="HRL29" s="47"/>
      <c r="HRQ29" s="47"/>
      <c r="HRS29" s="11"/>
      <c r="HUZ29" s="47"/>
      <c r="HVE29" s="47"/>
      <c r="HVG29" s="11"/>
      <c r="HYN29" s="47"/>
      <c r="HYS29" s="47"/>
      <c r="HYU29" s="11"/>
      <c r="ICB29" s="47"/>
      <c r="ICG29" s="47"/>
      <c r="ICI29" s="11"/>
      <c r="IFP29" s="47"/>
      <c r="IFU29" s="47"/>
      <c r="IFW29" s="11"/>
      <c r="IJD29" s="47"/>
      <c r="IJI29" s="47"/>
      <c r="IJK29" s="11"/>
      <c r="IMR29" s="47"/>
      <c r="IMW29" s="47"/>
      <c r="IMY29" s="11"/>
      <c r="IQF29" s="47"/>
      <c r="IQK29" s="47"/>
      <c r="IQM29" s="11"/>
      <c r="ITT29" s="47"/>
      <c r="ITY29" s="47"/>
      <c r="IUA29" s="11"/>
      <c r="IXH29" s="47"/>
      <c r="IXM29" s="47"/>
      <c r="IXO29" s="11"/>
      <c r="JAV29" s="47"/>
      <c r="JBA29" s="47"/>
      <c r="JBC29" s="11"/>
      <c r="JEJ29" s="47"/>
      <c r="JEO29" s="47"/>
      <c r="JEQ29" s="11"/>
      <c r="JHX29" s="47"/>
      <c r="JIC29" s="47"/>
      <c r="JIE29" s="11"/>
      <c r="JLL29" s="47"/>
      <c r="JLQ29" s="47"/>
      <c r="JLS29" s="11"/>
      <c r="JOZ29" s="47"/>
      <c r="JPE29" s="47"/>
      <c r="JPG29" s="11"/>
      <c r="JSN29" s="47"/>
      <c r="JSS29" s="47"/>
      <c r="JSU29" s="11"/>
      <c r="JWB29" s="47"/>
      <c r="JWG29" s="47"/>
      <c r="JWI29" s="11"/>
      <c r="JZP29" s="47"/>
      <c r="JZU29" s="47"/>
      <c r="JZW29" s="11"/>
      <c r="KDD29" s="47"/>
      <c r="KDI29" s="47"/>
      <c r="KDK29" s="11"/>
      <c r="KGR29" s="47"/>
      <c r="KGW29" s="47"/>
      <c r="KGY29" s="11"/>
      <c r="KKF29" s="47"/>
      <c r="KKK29" s="47"/>
      <c r="KKM29" s="11"/>
      <c r="KNT29" s="47"/>
      <c r="KNY29" s="47"/>
      <c r="KOA29" s="11"/>
      <c r="KRH29" s="47"/>
      <c r="KRM29" s="47"/>
      <c r="KRO29" s="11"/>
      <c r="KUV29" s="47"/>
      <c r="KVA29" s="47"/>
      <c r="KVC29" s="11"/>
      <c r="KYJ29" s="47"/>
      <c r="KYO29" s="47"/>
      <c r="KYQ29" s="11"/>
      <c r="LBX29" s="47"/>
      <c r="LCC29" s="47"/>
      <c r="LCE29" s="11"/>
      <c r="LFL29" s="47"/>
      <c r="LFQ29" s="47"/>
      <c r="LFS29" s="11"/>
      <c r="LIZ29" s="47"/>
      <c r="LJE29" s="47"/>
      <c r="LJG29" s="11"/>
      <c r="LMN29" s="47"/>
      <c r="LMS29" s="47"/>
      <c r="LMU29" s="11"/>
      <c r="LQB29" s="47"/>
      <c r="LQG29" s="47"/>
      <c r="LQI29" s="11"/>
      <c r="LTP29" s="47"/>
      <c r="LTU29" s="47"/>
      <c r="LTW29" s="11"/>
      <c r="LXD29" s="47"/>
      <c r="LXI29" s="47"/>
      <c r="LXK29" s="11"/>
      <c r="MAR29" s="47"/>
      <c r="MAW29" s="47"/>
      <c r="MAY29" s="11"/>
      <c r="MEF29" s="47"/>
      <c r="MEK29" s="47"/>
      <c r="MEM29" s="11"/>
      <c r="MHT29" s="47"/>
      <c r="MHY29" s="47"/>
      <c r="MIA29" s="11"/>
      <c r="MLH29" s="47"/>
      <c r="MLM29" s="47"/>
      <c r="MLO29" s="11"/>
      <c r="MOV29" s="47"/>
      <c r="MPA29" s="47"/>
      <c r="MPC29" s="11"/>
      <c r="MSJ29" s="47"/>
      <c r="MSO29" s="47"/>
      <c r="MSQ29" s="11"/>
      <c r="MVX29" s="47"/>
      <c r="MWC29" s="47"/>
      <c r="MWE29" s="11"/>
      <c r="MZL29" s="47"/>
      <c r="MZQ29" s="47"/>
      <c r="MZS29" s="11"/>
      <c r="NCZ29" s="47"/>
      <c r="NDE29" s="47"/>
      <c r="NDG29" s="11"/>
      <c r="NGN29" s="47"/>
      <c r="NGS29" s="47"/>
      <c r="NGU29" s="11"/>
      <c r="NKB29" s="47"/>
      <c r="NKG29" s="47"/>
      <c r="NKI29" s="11"/>
      <c r="NNP29" s="47"/>
      <c r="NNU29" s="47"/>
      <c r="NNW29" s="11"/>
      <c r="NRD29" s="47"/>
      <c r="NRI29" s="47"/>
      <c r="NRK29" s="11"/>
      <c r="NUR29" s="47"/>
      <c r="NUW29" s="47"/>
      <c r="NUY29" s="11"/>
      <c r="NYF29" s="47"/>
      <c r="NYK29" s="47"/>
      <c r="NYM29" s="11"/>
      <c r="OBT29" s="47"/>
      <c r="OBY29" s="47"/>
      <c r="OCA29" s="11"/>
      <c r="OFH29" s="47"/>
      <c r="OFM29" s="47"/>
      <c r="OFO29" s="11"/>
      <c r="OIV29" s="47"/>
      <c r="OJA29" s="47"/>
      <c r="OJC29" s="11"/>
      <c r="OMJ29" s="47"/>
      <c r="OMO29" s="47"/>
      <c r="OMQ29" s="11"/>
      <c r="OPX29" s="47"/>
      <c r="OQC29" s="47"/>
      <c r="OQE29" s="11"/>
      <c r="OTL29" s="47"/>
      <c r="OTQ29" s="47"/>
      <c r="OTS29" s="11"/>
      <c r="OWZ29" s="47"/>
      <c r="OXE29" s="47"/>
      <c r="OXG29" s="11"/>
      <c r="PAN29" s="47"/>
      <c r="PAS29" s="47"/>
      <c r="PAU29" s="11"/>
      <c r="PEB29" s="47"/>
      <c r="PEG29" s="47"/>
      <c r="PEI29" s="11"/>
      <c r="PHP29" s="47"/>
      <c r="PHU29" s="47"/>
      <c r="PHW29" s="11"/>
      <c r="PLD29" s="47"/>
      <c r="PLI29" s="47"/>
      <c r="PLK29" s="11"/>
      <c r="POR29" s="47"/>
      <c r="POW29" s="47"/>
      <c r="POY29" s="11"/>
      <c r="PSF29" s="47"/>
      <c r="PSK29" s="47"/>
      <c r="PSM29" s="11"/>
      <c r="PVT29" s="47"/>
      <c r="PVY29" s="47"/>
      <c r="PWA29" s="11"/>
      <c r="PZH29" s="47"/>
      <c r="PZM29" s="47"/>
      <c r="PZO29" s="11"/>
      <c r="QCV29" s="47"/>
      <c r="QDA29" s="47"/>
      <c r="QDC29" s="11"/>
      <c r="QGJ29" s="47"/>
      <c r="QGO29" s="47"/>
      <c r="QGQ29" s="11"/>
      <c r="QJX29" s="47"/>
      <c r="QKC29" s="47"/>
      <c r="QKE29" s="11"/>
      <c r="QNL29" s="47"/>
      <c r="QNQ29" s="47"/>
      <c r="QNS29" s="11"/>
      <c r="QQZ29" s="47"/>
      <c r="QRE29" s="47"/>
      <c r="QRG29" s="11"/>
      <c r="QUN29" s="47"/>
      <c r="QUS29" s="47"/>
      <c r="QUU29" s="11"/>
      <c r="QYB29" s="47"/>
      <c r="QYG29" s="47"/>
      <c r="QYI29" s="11"/>
      <c r="RBP29" s="47"/>
      <c r="RBU29" s="47"/>
      <c r="RBW29" s="11"/>
      <c r="RFD29" s="47"/>
      <c r="RFI29" s="47"/>
      <c r="RFK29" s="11"/>
      <c r="RIR29" s="47"/>
      <c r="RIW29" s="47"/>
      <c r="RIY29" s="11"/>
      <c r="RMF29" s="47"/>
      <c r="RMK29" s="47"/>
      <c r="RMM29" s="11"/>
      <c r="RPT29" s="47"/>
      <c r="RPY29" s="47"/>
      <c r="RQA29" s="11"/>
      <c r="RTH29" s="47"/>
      <c r="RTM29" s="47"/>
      <c r="RTO29" s="11"/>
      <c r="RWV29" s="47"/>
      <c r="RXA29" s="47"/>
      <c r="RXC29" s="11"/>
      <c r="SAJ29" s="47"/>
      <c r="SAO29" s="47"/>
      <c r="SAQ29" s="11"/>
      <c r="SDX29" s="47"/>
      <c r="SEC29" s="47"/>
      <c r="SEE29" s="11"/>
      <c r="SHL29" s="47"/>
      <c r="SHQ29" s="47"/>
      <c r="SHS29" s="11"/>
      <c r="SKZ29" s="47"/>
      <c r="SLE29" s="47"/>
      <c r="SLG29" s="11"/>
      <c r="SON29" s="47"/>
      <c r="SOS29" s="47"/>
      <c r="SOU29" s="11"/>
      <c r="SSB29" s="47"/>
      <c r="SSG29" s="47"/>
      <c r="SSI29" s="11"/>
      <c r="SVP29" s="47"/>
      <c r="SVU29" s="47"/>
      <c r="SVW29" s="11"/>
      <c r="SZD29" s="47"/>
      <c r="SZI29" s="47"/>
      <c r="SZK29" s="11"/>
      <c r="TCR29" s="47"/>
      <c r="TCW29" s="47"/>
      <c r="TCY29" s="11"/>
      <c r="TGF29" s="47"/>
      <c r="TGK29" s="47"/>
      <c r="TGM29" s="11"/>
      <c r="TJT29" s="47"/>
      <c r="TJY29" s="47"/>
      <c r="TKA29" s="11"/>
      <c r="TNH29" s="47"/>
      <c r="TNM29" s="47"/>
      <c r="TNO29" s="11"/>
      <c r="TQV29" s="47"/>
      <c r="TRA29" s="47"/>
      <c r="TRC29" s="11"/>
      <c r="TUJ29" s="47"/>
      <c r="TUO29" s="47"/>
      <c r="TUQ29" s="11"/>
      <c r="TXX29" s="47"/>
      <c r="TYC29" s="47"/>
      <c r="TYE29" s="11"/>
      <c r="UBL29" s="47"/>
      <c r="UBQ29" s="47"/>
      <c r="UBS29" s="11"/>
      <c r="UEZ29" s="47"/>
      <c r="UFE29" s="47"/>
      <c r="UFG29" s="11"/>
      <c r="UIN29" s="47"/>
      <c r="UIS29" s="47"/>
      <c r="UIU29" s="11"/>
      <c r="UMB29" s="47"/>
      <c r="UMG29" s="47"/>
      <c r="UMI29" s="11"/>
      <c r="UPP29" s="47"/>
      <c r="UPU29" s="47"/>
      <c r="UPW29" s="11"/>
      <c r="UTD29" s="47"/>
      <c r="UTI29" s="47"/>
      <c r="UTK29" s="11"/>
      <c r="UWR29" s="47"/>
      <c r="UWW29" s="47"/>
      <c r="UWY29" s="11"/>
      <c r="VAF29" s="47"/>
      <c r="VAK29" s="47"/>
      <c r="VAM29" s="11"/>
      <c r="VDT29" s="47"/>
      <c r="VDY29" s="47"/>
      <c r="VEA29" s="11"/>
      <c r="VHH29" s="47"/>
      <c r="VHM29" s="47"/>
      <c r="VHO29" s="11"/>
      <c r="VKV29" s="47"/>
      <c r="VLA29" s="47"/>
      <c r="VLC29" s="11"/>
      <c r="VOJ29" s="47"/>
      <c r="VOO29" s="47"/>
      <c r="VOQ29" s="11"/>
      <c r="VRX29" s="47"/>
      <c r="VSC29" s="47"/>
      <c r="VSE29" s="11"/>
      <c r="VVL29" s="47"/>
      <c r="VVQ29" s="47"/>
      <c r="VVS29" s="11"/>
      <c r="VYZ29" s="47"/>
      <c r="VZE29" s="47"/>
      <c r="VZG29" s="11"/>
      <c r="WCN29" s="47"/>
      <c r="WCS29" s="47"/>
      <c r="WCU29" s="11"/>
      <c r="WGB29" s="47"/>
      <c r="WGG29" s="47"/>
      <c r="WGI29" s="11"/>
      <c r="WJP29" s="47"/>
      <c r="WJU29" s="47"/>
      <c r="WJW29" s="11"/>
      <c r="WND29" s="47"/>
      <c r="WNI29" s="47"/>
      <c r="WNK29" s="11"/>
      <c r="WQR29" s="47"/>
      <c r="WQW29" s="47"/>
      <c r="WQY29" s="11"/>
      <c r="WUF29" s="47"/>
      <c r="WUK29" s="47"/>
      <c r="WUM29" s="11"/>
      <c r="WXT29" s="47"/>
      <c r="WXY29" s="47"/>
      <c r="WYA29" s="11"/>
      <c r="XBH29" s="47"/>
      <c r="XBM29" s="47"/>
      <c r="XBO29" s="11"/>
      <c r="XEV29" s="47"/>
      <c r="XFA29" s="47"/>
      <c r="XFC29" s="11"/>
    </row>
    <row r="30" spans="1:1019 1104:2031 2116:3043 3128:4055 4140:5067 5152:6079 6164:7091 7176:8188 8193:9207 9292:10219 10304:11231 11316:12243 12328:13255 13340:14267 14352:15279 15364:16383" s="10" customFormat="1" ht="14.5" customHeight="1">
      <c r="C30" s="17" t="s">
        <v>1015</v>
      </c>
      <c r="E30" s="47"/>
      <c r="G30" s="11" t="s">
        <v>956</v>
      </c>
      <c r="L30" s="366">
        <f xml:space="preserve"> 1 / (1 + L29) ^ L28</f>
        <v>0.96316006638260221</v>
      </c>
      <c r="M30" s="366">
        <f t="shared" ref="M30:BX30" si="15" xml:space="preserve"> 1 / (1 + M29) ^ M28</f>
        <v>0.92767731347413884</v>
      </c>
      <c r="N30" s="366">
        <f t="shared" si="15"/>
        <v>0.89350174282738559</v>
      </c>
      <c r="O30" s="366">
        <f t="shared" si="15"/>
        <v>0.86058519793459554</v>
      </c>
      <c r="P30" s="366">
        <f t="shared" si="15"/>
        <v>0.82888129637056995</v>
      </c>
      <c r="Q30" s="366">
        <f t="shared" si="15"/>
        <v>0.79834536443557569</v>
      </c>
      <c r="R30" s="366">
        <f t="shared" si="15"/>
        <v>0.76893437420601174</v>
      </c>
      <c r="S30" s="366">
        <f t="shared" si="15"/>
        <v>0.74060688290412713</v>
      </c>
      <c r="T30" s="366">
        <f t="shared" si="15"/>
        <v>0.71332297450135118</v>
      </c>
      <c r="U30" s="366">
        <f t="shared" si="15"/>
        <v>0.68704420347295669</v>
      </c>
      <c r="V30" s="366">
        <f t="shared" si="15"/>
        <v>0.66173354062479506</v>
      </c>
      <c r="W30" s="366">
        <f t="shared" si="15"/>
        <v>0.63735532091577196</v>
      </c>
      <c r="X30" s="366">
        <f t="shared" si="15"/>
        <v>0.6138751932025398</v>
      </c>
      <c r="Y30" s="366">
        <f t="shared" si="15"/>
        <v>0.59126007183559093</v>
      </c>
      <c r="Z30" s="366">
        <f t="shared" si="15"/>
        <v>0.5694780900385501</v>
      </c>
      <c r="AA30" s="366">
        <f t="shared" si="15"/>
        <v>0.54849855500496747</v>
      </c>
      <c r="AB30" s="366">
        <f t="shared" si="15"/>
        <v>0.52829190464934572</v>
      </c>
      <c r="AC30" s="366">
        <f t="shared" si="15"/>
        <v>0.50882966595145529</v>
      </c>
      <c r="AD30" s="366">
        <f t="shared" si="15"/>
        <v>0.49008441483524107</v>
      </c>
      <c r="AE30" s="366">
        <f t="shared" si="15"/>
        <v>0.47202973752578958</v>
      </c>
      <c r="AF30" s="366">
        <f t="shared" si="15"/>
        <v>0.45464019332990174</v>
      </c>
      <c r="AG30" s="366">
        <f t="shared" si="15"/>
        <v>0.43789127878782735</v>
      </c>
      <c r="AH30" s="366">
        <f t="shared" si="15"/>
        <v>0.42175939314564631</v>
      </c>
      <c r="AI30" s="366">
        <f t="shared" si="15"/>
        <v>0.40622180509964684</v>
      </c>
      <c r="AJ30" s="366">
        <f t="shared" si="15"/>
        <v>0.39125662076583634</v>
      </c>
      <c r="AK30" s="366">
        <f t="shared" si="15"/>
        <v>0.37684275282945556</v>
      </c>
      <c r="AL30" s="366">
        <f t="shared" si="15"/>
        <v>0.36295989083102098</v>
      </c>
      <c r="AM30" s="366">
        <f t="shared" si="15"/>
        <v>0.34958847254702824</v>
      </c>
      <c r="AN30" s="366">
        <f t="shared" si="15"/>
        <v>0.33670965642498824</v>
      </c>
      <c r="AO30" s="366">
        <f t="shared" si="15"/>
        <v>0.32430529503395489</v>
      </c>
      <c r="AP30" s="366">
        <f t="shared" si="15"/>
        <v>0.31235790949313341</v>
      </c>
      <c r="AQ30" s="366">
        <f t="shared" si="15"/>
        <v>0.30085066484253725</v>
      </c>
      <c r="AR30" s="366">
        <f t="shared" si="15"/>
        <v>0.28976734632098816</v>
      </c>
      <c r="AS30" s="366">
        <f t="shared" si="15"/>
        <v>0.2790923365180335</v>
      </c>
      <c r="AT30" s="366">
        <f t="shared" si="15"/>
        <v>0.26881059336758473</v>
      </c>
      <c r="AU30" s="366">
        <f t="shared" si="15"/>
        <v>0.2589076289522696</v>
      </c>
      <c r="AV30" s="366">
        <f t="shared" si="15"/>
        <v>0.2493694890886301</v>
      </c>
      <c r="AW30" s="366">
        <f t="shared" si="15"/>
        <v>0.24018273366440063</v>
      </c>
      <c r="AX30" s="366">
        <f t="shared" si="15"/>
        <v>0.23133441770015897</v>
      </c>
      <c r="AY30" s="366">
        <f t="shared" si="15"/>
        <v>0.22281207310866577</v>
      </c>
      <c r="AZ30" s="366">
        <f t="shared" si="15"/>
        <v>0.21460369112618774</v>
      </c>
      <c r="BA30" s="366">
        <f t="shared" si="15"/>
        <v>0.20669770539105045</v>
      </c>
      <c r="BB30" s="366">
        <f t="shared" si="15"/>
        <v>0.19908297564557573</v>
      </c>
      <c r="BC30" s="366">
        <f t="shared" si="15"/>
        <v>0.19174877203843871</v>
      </c>
      <c r="BD30" s="366">
        <f t="shared" si="15"/>
        <v>0.18468476000532508</v>
      </c>
      <c r="BE30" s="366">
        <f t="shared" si="15"/>
        <v>0.17788098570658389</v>
      </c>
      <c r="BF30" s="366">
        <f t="shared" si="15"/>
        <v>0.17132786200135605</v>
      </c>
      <c r="BG30" s="366">
        <f t="shared" si="15"/>
        <v>0.16501615493841545</v>
      </c>
      <c r="BH30" s="366">
        <f t="shared" si="15"/>
        <v>0.15893697074468596</v>
      </c>
      <c r="BI30" s="366">
        <f t="shared" si="15"/>
        <v>0.15308174329310145</v>
      </c>
      <c r="BJ30" s="366">
        <f t="shared" si="15"/>
        <v>0.14744222203214807</v>
      </c>
      <c r="BK30" s="366">
        <f t="shared" si="15"/>
        <v>0.14201046036008216</v>
      </c>
      <c r="BL30" s="366">
        <f t="shared" si="15"/>
        <v>0.13677880442744061</v>
      </c>
      <c r="BM30" s="366">
        <f t="shared" si="15"/>
        <v>0.13173988235206666</v>
      </c>
      <c r="BN30" s="366">
        <f t="shared" si="15"/>
        <v>0.1268865938314527</v>
      </c>
      <c r="BO30" s="366">
        <f t="shared" si="15"/>
        <v>0.12221210013776433</v>
      </c>
      <c r="BP30" s="366">
        <f t="shared" si="15"/>
        <v>0.11770981448144634</v>
      </c>
      <c r="BQ30" s="366">
        <f t="shared" si="15"/>
        <v>0.11337339272983363</v>
      </c>
      <c r="BR30" s="366">
        <f t="shared" si="15"/>
        <v>0.10919672446768737</v>
      </c>
      <c r="BS30" s="366">
        <f t="shared" si="15"/>
        <v>0.10517392438706054</v>
      </c>
      <c r="BT30" s="366">
        <f t="shared" si="15"/>
        <v>0.10129932399436002</v>
      </c>
      <c r="BU30" s="366">
        <f t="shared" si="15"/>
        <v>9.7567463622920514E-2</v>
      </c>
      <c r="BV30" s="366">
        <f t="shared" si="15"/>
        <v>9.3973084739834234E-2</v>
      </c>
      <c r="BW30" s="366">
        <f t="shared" si="15"/>
        <v>9.0511122536196698E-2</v>
      </c>
      <c r="BX30" s="366">
        <f t="shared" si="15"/>
        <v>8.7176698790327051E-2</v>
      </c>
      <c r="BY30" s="366">
        <f t="shared" ref="BY30:CM30" si="16" xml:space="preserve"> 1 / (1 + BY29) ^ BY28</f>
        <v>8.3965114993907505E-2</v>
      </c>
      <c r="BZ30" s="366">
        <f t="shared" si="16"/>
        <v>8.0871845731354766E-2</v>
      </c>
      <c r="CA30" s="366">
        <f t="shared" si="16"/>
        <v>7.7892532303095272E-2</v>
      </c>
      <c r="CB30" s="366">
        <f t="shared" si="16"/>
        <v>7.5022976583758227E-2</v>
      </c>
      <c r="CC30" s="366">
        <f t="shared" si="16"/>
        <v>7.2259135106632968E-2</v>
      </c>
      <c r="CD30" s="366">
        <f t="shared" si="16"/>
        <v>6.9597113366054023E-2</v>
      </c>
      <c r="CE30" s="366">
        <f t="shared" si="16"/>
        <v>6.7033160329686134E-2</v>
      </c>
      <c r="CF30" s="366">
        <f t="shared" si="16"/>
        <v>6.4563663152976097E-2</v>
      </c>
      <c r="CG30" s="366">
        <f t="shared" si="16"/>
        <v>6.2185142088324416E-2</v>
      </c>
      <c r="CH30" s="366">
        <f t="shared" si="16"/>
        <v>5.9894245581802084E-2</v>
      </c>
      <c r="CI30" s="366">
        <f t="shared" si="16"/>
        <v>5.7687745550504418E-2</v>
      </c>
      <c r="CJ30" s="366">
        <f t="shared" si="16"/>
        <v>5.5562532833886492E-2</v>
      </c>
      <c r="CK30" s="366">
        <f t="shared" si="16"/>
        <v>5.3515612812671622E-2</v>
      </c>
      <c r="CL30" s="366">
        <f t="shared" si="16"/>
        <v>5.1544101189158434E-2</v>
      </c>
      <c r="CM30" s="366">
        <f t="shared" si="16"/>
        <v>4.9645219922981439E-2</v>
      </c>
      <c r="CN30" s="366">
        <f t="shared" ref="CN30:CO30" si="17" xml:space="preserve"> 1 / (1 + CN29) ^ CN28</f>
        <v>4.7816293316597674E-2</v>
      </c>
      <c r="CO30" s="366">
        <f t="shared" si="17"/>
        <v>4.6054744244984187E-2</v>
      </c>
      <c r="CS30" s="47"/>
      <c r="CU30" s="11"/>
      <c r="GB30" s="47"/>
      <c r="GG30" s="47"/>
      <c r="GI30" s="11"/>
      <c r="JP30" s="47"/>
      <c r="JU30" s="47"/>
      <c r="JW30" s="11"/>
      <c r="ND30" s="47"/>
      <c r="NI30" s="47"/>
      <c r="NK30" s="11"/>
      <c r="QR30" s="47"/>
      <c r="QW30" s="47"/>
      <c r="QY30" s="11"/>
      <c r="UF30" s="47"/>
      <c r="UK30" s="47"/>
      <c r="UM30" s="11"/>
      <c r="XT30" s="47"/>
      <c r="XY30" s="47"/>
      <c r="YA30" s="11"/>
      <c r="ABH30" s="47"/>
      <c r="ABM30" s="47"/>
      <c r="ABO30" s="11"/>
      <c r="AEV30" s="47"/>
      <c r="AFA30" s="47"/>
      <c r="AFC30" s="11"/>
      <c r="AIJ30" s="47"/>
      <c r="AIO30" s="47"/>
      <c r="AIQ30" s="11"/>
      <c r="ALX30" s="47"/>
      <c r="AMC30" s="47"/>
      <c r="AME30" s="11"/>
      <c r="APL30" s="47"/>
      <c r="APQ30" s="47"/>
      <c r="APS30" s="11"/>
      <c r="ASZ30" s="47"/>
      <c r="ATE30" s="47"/>
      <c r="ATG30" s="11"/>
      <c r="AWN30" s="47"/>
      <c r="AWS30" s="47"/>
      <c r="AWU30" s="11"/>
      <c r="BAB30" s="47"/>
      <c r="BAG30" s="47"/>
      <c r="BAI30" s="11"/>
      <c r="BDP30" s="47"/>
      <c r="BDU30" s="47"/>
      <c r="BDW30" s="11"/>
      <c r="BHD30" s="47"/>
      <c r="BHI30" s="47"/>
      <c r="BHK30" s="11"/>
      <c r="BKR30" s="47"/>
      <c r="BKW30" s="47"/>
      <c r="BKY30" s="11"/>
      <c r="BOF30" s="47"/>
      <c r="BOK30" s="47"/>
      <c r="BOM30" s="11"/>
      <c r="BRT30" s="47"/>
      <c r="BRY30" s="47"/>
      <c r="BSA30" s="11"/>
      <c r="BVH30" s="47"/>
      <c r="BVM30" s="47"/>
      <c r="BVO30" s="11"/>
      <c r="BYV30" s="47"/>
      <c r="BZA30" s="47"/>
      <c r="BZC30" s="11"/>
      <c r="CCJ30" s="47"/>
      <c r="CCO30" s="47"/>
      <c r="CCQ30" s="11"/>
      <c r="CFX30" s="47"/>
      <c r="CGC30" s="47"/>
      <c r="CGE30" s="11"/>
      <c r="CJL30" s="47"/>
      <c r="CJQ30" s="47"/>
      <c r="CJS30" s="11"/>
      <c r="CMZ30" s="47"/>
      <c r="CNE30" s="47"/>
      <c r="CNG30" s="11"/>
      <c r="CQN30" s="47"/>
      <c r="CQS30" s="47"/>
      <c r="CQU30" s="11"/>
      <c r="CUB30" s="47"/>
      <c r="CUG30" s="47"/>
      <c r="CUI30" s="11"/>
      <c r="CXP30" s="47"/>
      <c r="CXU30" s="47"/>
      <c r="CXW30" s="11"/>
      <c r="DBD30" s="47"/>
      <c r="DBI30" s="47"/>
      <c r="DBK30" s="11"/>
      <c r="DER30" s="47"/>
      <c r="DEW30" s="47"/>
      <c r="DEY30" s="11"/>
      <c r="DIF30" s="47"/>
      <c r="DIK30" s="47"/>
      <c r="DIM30" s="11"/>
      <c r="DLT30" s="47"/>
      <c r="DLY30" s="47"/>
      <c r="DMA30" s="11"/>
      <c r="DPH30" s="47"/>
      <c r="DPM30" s="47"/>
      <c r="DPO30" s="11"/>
      <c r="DSV30" s="47"/>
      <c r="DTA30" s="47"/>
      <c r="DTC30" s="11"/>
      <c r="DWJ30" s="47"/>
      <c r="DWO30" s="47"/>
      <c r="DWQ30" s="11"/>
      <c r="DZX30" s="47"/>
      <c r="EAC30" s="47"/>
      <c r="EAE30" s="11"/>
      <c r="EDL30" s="47"/>
      <c r="EDQ30" s="47"/>
      <c r="EDS30" s="11"/>
      <c r="EGZ30" s="47"/>
      <c r="EHE30" s="47"/>
      <c r="EHG30" s="11"/>
      <c r="EKN30" s="47"/>
      <c r="EKS30" s="47"/>
      <c r="EKU30" s="11"/>
      <c r="EOB30" s="47"/>
      <c r="EOG30" s="47"/>
      <c r="EOI30" s="11"/>
      <c r="ERP30" s="47"/>
      <c r="ERU30" s="47"/>
      <c r="ERW30" s="11"/>
      <c r="EVD30" s="47"/>
      <c r="EVI30" s="47"/>
      <c r="EVK30" s="11"/>
      <c r="EYR30" s="47"/>
      <c r="EYW30" s="47"/>
      <c r="EYY30" s="11"/>
      <c r="FCF30" s="47"/>
      <c r="FCK30" s="47"/>
      <c r="FCM30" s="11"/>
      <c r="FFT30" s="47"/>
      <c r="FFY30" s="47"/>
      <c r="FGA30" s="11"/>
      <c r="FJH30" s="47"/>
      <c r="FJM30" s="47"/>
      <c r="FJO30" s="11"/>
      <c r="FMV30" s="47"/>
      <c r="FNA30" s="47"/>
      <c r="FNC30" s="11"/>
      <c r="FQJ30" s="47"/>
      <c r="FQO30" s="47"/>
      <c r="FQQ30" s="11"/>
      <c r="FTX30" s="47"/>
      <c r="FUC30" s="47"/>
      <c r="FUE30" s="11"/>
      <c r="FXL30" s="47"/>
      <c r="FXQ30" s="47"/>
      <c r="FXS30" s="11"/>
      <c r="GAZ30" s="47"/>
      <c r="GBE30" s="47"/>
      <c r="GBG30" s="11"/>
      <c r="GEN30" s="47"/>
      <c r="GES30" s="47"/>
      <c r="GEU30" s="11"/>
      <c r="GIB30" s="47"/>
      <c r="GIG30" s="47"/>
      <c r="GII30" s="11"/>
      <c r="GLP30" s="47"/>
      <c r="GLU30" s="47"/>
      <c r="GLW30" s="11"/>
      <c r="GPD30" s="47"/>
      <c r="GPI30" s="47"/>
      <c r="GPK30" s="11"/>
      <c r="GSR30" s="47"/>
      <c r="GSW30" s="47"/>
      <c r="GSY30" s="11"/>
      <c r="GWF30" s="47"/>
      <c r="GWK30" s="47"/>
      <c r="GWM30" s="11"/>
      <c r="GZT30" s="47"/>
      <c r="GZY30" s="47"/>
      <c r="HAA30" s="11"/>
      <c r="HDH30" s="47"/>
      <c r="HDM30" s="47"/>
      <c r="HDO30" s="11"/>
      <c r="HGV30" s="47"/>
      <c r="HHA30" s="47"/>
      <c r="HHC30" s="11"/>
      <c r="HKJ30" s="47"/>
      <c r="HKO30" s="47"/>
      <c r="HKQ30" s="11"/>
      <c r="HNX30" s="47"/>
      <c r="HOC30" s="47"/>
      <c r="HOE30" s="11"/>
      <c r="HRL30" s="47"/>
      <c r="HRQ30" s="47"/>
      <c r="HRS30" s="11"/>
      <c r="HUZ30" s="47"/>
      <c r="HVE30" s="47"/>
      <c r="HVG30" s="11"/>
      <c r="HYN30" s="47"/>
      <c r="HYS30" s="47"/>
      <c r="HYU30" s="11"/>
      <c r="ICB30" s="47"/>
      <c r="ICG30" s="47"/>
      <c r="ICI30" s="11"/>
      <c r="IFP30" s="47"/>
      <c r="IFU30" s="47"/>
      <c r="IFW30" s="11"/>
      <c r="IJD30" s="47"/>
      <c r="IJI30" s="47"/>
      <c r="IJK30" s="11"/>
      <c r="IMR30" s="47"/>
      <c r="IMW30" s="47"/>
      <c r="IMY30" s="11"/>
      <c r="IQF30" s="47"/>
      <c r="IQK30" s="47"/>
      <c r="IQM30" s="11"/>
      <c r="ITT30" s="47"/>
      <c r="ITY30" s="47"/>
      <c r="IUA30" s="11"/>
      <c r="IXH30" s="47"/>
      <c r="IXM30" s="47"/>
      <c r="IXO30" s="11"/>
      <c r="JAV30" s="47"/>
      <c r="JBA30" s="47"/>
      <c r="JBC30" s="11"/>
      <c r="JEJ30" s="47"/>
      <c r="JEO30" s="47"/>
      <c r="JEQ30" s="11"/>
      <c r="JHX30" s="47"/>
      <c r="JIC30" s="47"/>
      <c r="JIE30" s="11"/>
      <c r="JLL30" s="47"/>
      <c r="JLQ30" s="47"/>
      <c r="JLS30" s="11"/>
      <c r="JOZ30" s="47"/>
      <c r="JPE30" s="47"/>
      <c r="JPG30" s="11"/>
      <c r="JSN30" s="47"/>
      <c r="JSS30" s="47"/>
      <c r="JSU30" s="11"/>
      <c r="JWB30" s="47"/>
      <c r="JWG30" s="47"/>
      <c r="JWI30" s="11"/>
      <c r="JZP30" s="47"/>
      <c r="JZU30" s="47"/>
      <c r="JZW30" s="11"/>
      <c r="KDD30" s="47"/>
      <c r="KDI30" s="47"/>
      <c r="KDK30" s="11"/>
      <c r="KGR30" s="47"/>
      <c r="KGW30" s="47"/>
      <c r="KGY30" s="11"/>
      <c r="KKF30" s="47"/>
      <c r="KKK30" s="47"/>
      <c r="KKM30" s="11"/>
      <c r="KNT30" s="47"/>
      <c r="KNY30" s="47"/>
      <c r="KOA30" s="11"/>
      <c r="KRH30" s="47"/>
      <c r="KRM30" s="47"/>
      <c r="KRO30" s="11"/>
      <c r="KUV30" s="47"/>
      <c r="KVA30" s="47"/>
      <c r="KVC30" s="11"/>
      <c r="KYJ30" s="47"/>
      <c r="KYO30" s="47"/>
      <c r="KYQ30" s="11"/>
      <c r="LBX30" s="47"/>
      <c r="LCC30" s="47"/>
      <c r="LCE30" s="11"/>
      <c r="LFL30" s="47"/>
      <c r="LFQ30" s="47"/>
      <c r="LFS30" s="11"/>
      <c r="LIZ30" s="47"/>
      <c r="LJE30" s="47"/>
      <c r="LJG30" s="11"/>
      <c r="LMN30" s="47"/>
      <c r="LMS30" s="47"/>
      <c r="LMU30" s="11"/>
      <c r="LQB30" s="47"/>
      <c r="LQG30" s="47"/>
      <c r="LQI30" s="11"/>
      <c r="LTP30" s="47"/>
      <c r="LTU30" s="47"/>
      <c r="LTW30" s="11"/>
      <c r="LXD30" s="47"/>
      <c r="LXI30" s="47"/>
      <c r="LXK30" s="11"/>
      <c r="MAR30" s="47"/>
      <c r="MAW30" s="47"/>
      <c r="MAY30" s="11"/>
      <c r="MEF30" s="47"/>
      <c r="MEK30" s="47"/>
      <c r="MEM30" s="11"/>
      <c r="MHT30" s="47"/>
      <c r="MHY30" s="47"/>
      <c r="MIA30" s="11"/>
      <c r="MLH30" s="47"/>
      <c r="MLM30" s="47"/>
      <c r="MLO30" s="11"/>
      <c r="MOV30" s="47"/>
      <c r="MPA30" s="47"/>
      <c r="MPC30" s="11"/>
      <c r="MSJ30" s="47"/>
      <c r="MSO30" s="47"/>
      <c r="MSQ30" s="11"/>
      <c r="MVX30" s="47"/>
      <c r="MWC30" s="47"/>
      <c r="MWE30" s="11"/>
      <c r="MZL30" s="47"/>
      <c r="MZQ30" s="47"/>
      <c r="MZS30" s="11"/>
      <c r="NCZ30" s="47"/>
      <c r="NDE30" s="47"/>
      <c r="NDG30" s="11"/>
      <c r="NGN30" s="47"/>
      <c r="NGS30" s="47"/>
      <c r="NGU30" s="11"/>
      <c r="NKB30" s="47"/>
      <c r="NKG30" s="47"/>
      <c r="NKI30" s="11"/>
      <c r="NNP30" s="47"/>
      <c r="NNU30" s="47"/>
      <c r="NNW30" s="11"/>
      <c r="NRD30" s="47"/>
      <c r="NRI30" s="47"/>
      <c r="NRK30" s="11"/>
      <c r="NUR30" s="47"/>
      <c r="NUW30" s="47"/>
      <c r="NUY30" s="11"/>
      <c r="NYF30" s="47"/>
      <c r="NYK30" s="47"/>
      <c r="NYM30" s="11"/>
      <c r="OBT30" s="47"/>
      <c r="OBY30" s="47"/>
      <c r="OCA30" s="11"/>
      <c r="OFH30" s="47"/>
      <c r="OFM30" s="47"/>
      <c r="OFO30" s="11"/>
      <c r="OIV30" s="47"/>
      <c r="OJA30" s="47"/>
      <c r="OJC30" s="11"/>
      <c r="OMJ30" s="47"/>
      <c r="OMO30" s="47"/>
      <c r="OMQ30" s="11"/>
      <c r="OPX30" s="47"/>
      <c r="OQC30" s="47"/>
      <c r="OQE30" s="11"/>
      <c r="OTL30" s="47"/>
      <c r="OTQ30" s="47"/>
      <c r="OTS30" s="11"/>
      <c r="OWZ30" s="47"/>
      <c r="OXE30" s="47"/>
      <c r="OXG30" s="11"/>
      <c r="PAN30" s="47"/>
      <c r="PAS30" s="47"/>
      <c r="PAU30" s="11"/>
      <c r="PEB30" s="47"/>
      <c r="PEG30" s="47"/>
      <c r="PEI30" s="11"/>
      <c r="PHP30" s="47"/>
      <c r="PHU30" s="47"/>
      <c r="PHW30" s="11"/>
      <c r="PLD30" s="47"/>
      <c r="PLI30" s="47"/>
      <c r="PLK30" s="11"/>
      <c r="POR30" s="47"/>
      <c r="POW30" s="47"/>
      <c r="POY30" s="11"/>
      <c r="PSF30" s="47"/>
      <c r="PSK30" s="47"/>
      <c r="PSM30" s="11"/>
      <c r="PVT30" s="47"/>
      <c r="PVY30" s="47"/>
      <c r="PWA30" s="11"/>
      <c r="PZH30" s="47"/>
      <c r="PZM30" s="47"/>
      <c r="PZO30" s="11"/>
      <c r="QCV30" s="47"/>
      <c r="QDA30" s="47"/>
      <c r="QDC30" s="11"/>
      <c r="QGJ30" s="47"/>
      <c r="QGO30" s="47"/>
      <c r="QGQ30" s="11"/>
      <c r="QJX30" s="47"/>
      <c r="QKC30" s="47"/>
      <c r="QKE30" s="11"/>
      <c r="QNL30" s="47"/>
      <c r="QNQ30" s="47"/>
      <c r="QNS30" s="11"/>
      <c r="QQZ30" s="47"/>
      <c r="QRE30" s="47"/>
      <c r="QRG30" s="11"/>
      <c r="QUN30" s="47"/>
      <c r="QUS30" s="47"/>
      <c r="QUU30" s="11"/>
      <c r="QYB30" s="47"/>
      <c r="QYG30" s="47"/>
      <c r="QYI30" s="11"/>
      <c r="RBP30" s="47"/>
      <c r="RBU30" s="47"/>
      <c r="RBW30" s="11"/>
      <c r="RFD30" s="47"/>
      <c r="RFI30" s="47"/>
      <c r="RFK30" s="11"/>
      <c r="RIR30" s="47"/>
      <c r="RIW30" s="47"/>
      <c r="RIY30" s="11"/>
      <c r="RMF30" s="47"/>
      <c r="RMK30" s="47"/>
      <c r="RMM30" s="11"/>
      <c r="RPT30" s="47"/>
      <c r="RPY30" s="47"/>
      <c r="RQA30" s="11"/>
      <c r="RTH30" s="47"/>
      <c r="RTM30" s="47"/>
      <c r="RTO30" s="11"/>
      <c r="RWV30" s="47"/>
      <c r="RXA30" s="47"/>
      <c r="RXC30" s="11"/>
      <c r="SAJ30" s="47"/>
      <c r="SAO30" s="47"/>
      <c r="SAQ30" s="11"/>
      <c r="SDX30" s="47"/>
      <c r="SEC30" s="47"/>
      <c r="SEE30" s="11"/>
      <c r="SHL30" s="47"/>
      <c r="SHQ30" s="47"/>
      <c r="SHS30" s="11"/>
      <c r="SKZ30" s="47"/>
      <c r="SLE30" s="47"/>
      <c r="SLG30" s="11"/>
      <c r="SON30" s="47"/>
      <c r="SOS30" s="47"/>
      <c r="SOU30" s="11"/>
      <c r="SSB30" s="47"/>
      <c r="SSG30" s="47"/>
      <c r="SSI30" s="11"/>
      <c r="SVP30" s="47"/>
      <c r="SVU30" s="47"/>
      <c r="SVW30" s="11"/>
      <c r="SZD30" s="47"/>
      <c r="SZI30" s="47"/>
      <c r="SZK30" s="11"/>
      <c r="TCR30" s="47"/>
      <c r="TCW30" s="47"/>
      <c r="TCY30" s="11"/>
      <c r="TGF30" s="47"/>
      <c r="TGK30" s="47"/>
      <c r="TGM30" s="11"/>
      <c r="TJT30" s="47"/>
      <c r="TJY30" s="47"/>
      <c r="TKA30" s="11"/>
      <c r="TNH30" s="47"/>
      <c r="TNM30" s="47"/>
      <c r="TNO30" s="11"/>
      <c r="TQV30" s="47"/>
      <c r="TRA30" s="47"/>
      <c r="TRC30" s="11"/>
      <c r="TUJ30" s="47"/>
      <c r="TUO30" s="47"/>
      <c r="TUQ30" s="11"/>
      <c r="TXX30" s="47"/>
      <c r="TYC30" s="47"/>
      <c r="TYE30" s="11"/>
      <c r="UBL30" s="47"/>
      <c r="UBQ30" s="47"/>
      <c r="UBS30" s="11"/>
      <c r="UEZ30" s="47"/>
      <c r="UFE30" s="47"/>
      <c r="UFG30" s="11"/>
      <c r="UIN30" s="47"/>
      <c r="UIS30" s="47"/>
      <c r="UIU30" s="11"/>
      <c r="UMB30" s="47"/>
      <c r="UMG30" s="47"/>
      <c r="UMI30" s="11"/>
      <c r="UPP30" s="47"/>
      <c r="UPU30" s="47"/>
      <c r="UPW30" s="11"/>
      <c r="UTD30" s="47"/>
      <c r="UTI30" s="47"/>
      <c r="UTK30" s="11"/>
      <c r="UWR30" s="47"/>
      <c r="UWW30" s="47"/>
      <c r="UWY30" s="11"/>
      <c r="VAF30" s="47"/>
      <c r="VAK30" s="47"/>
      <c r="VAM30" s="11"/>
      <c r="VDT30" s="47"/>
      <c r="VDY30" s="47"/>
      <c r="VEA30" s="11"/>
      <c r="VHH30" s="47"/>
      <c r="VHM30" s="47"/>
      <c r="VHO30" s="11"/>
      <c r="VKV30" s="47"/>
      <c r="VLA30" s="47"/>
      <c r="VLC30" s="11"/>
      <c r="VOJ30" s="47"/>
      <c r="VOO30" s="47"/>
      <c r="VOQ30" s="11"/>
      <c r="VRX30" s="47"/>
      <c r="VSC30" s="47"/>
      <c r="VSE30" s="11"/>
      <c r="VVL30" s="47"/>
      <c r="VVQ30" s="47"/>
      <c r="VVS30" s="11"/>
      <c r="VYZ30" s="47"/>
      <c r="VZE30" s="47"/>
      <c r="VZG30" s="11"/>
      <c r="WCN30" s="47"/>
      <c r="WCS30" s="47"/>
      <c r="WCU30" s="11"/>
      <c r="WGB30" s="47"/>
      <c r="WGG30" s="47"/>
      <c r="WGI30" s="11"/>
      <c r="WJP30" s="47"/>
      <c r="WJU30" s="47"/>
      <c r="WJW30" s="11"/>
      <c r="WND30" s="47"/>
      <c r="WNI30" s="47"/>
      <c r="WNK30" s="11"/>
      <c r="WQR30" s="47"/>
      <c r="WQW30" s="47"/>
      <c r="WQY30" s="11"/>
      <c r="WUF30" s="47"/>
      <c r="WUK30" s="47"/>
      <c r="WUM30" s="11"/>
      <c r="WXT30" s="47"/>
      <c r="WXY30" s="47"/>
      <c r="WYA30" s="11"/>
      <c r="XBH30" s="47"/>
      <c r="XBM30" s="47"/>
      <c r="XBO30" s="11"/>
      <c r="XEV30" s="47"/>
      <c r="XFA30" s="47"/>
      <c r="XFC30" s="11"/>
    </row>
    <row r="31" spans="1:1019 1104:2031 2116:3043 3128:4055 4140:5067 5152:6079 6164:7091 7176:8188 8193:9207 9292:10219 10304:11231 11316:12243 12328:13255 13340:14267 14352:15279 15364:16383" s="10" customFormat="1" ht="14.5" customHeight="1">
      <c r="E31" s="47"/>
      <c r="G31" s="11"/>
      <c r="CS31" s="47"/>
      <c r="CU31" s="11"/>
      <c r="GB31" s="47"/>
      <c r="GG31" s="47"/>
      <c r="GI31" s="11"/>
      <c r="JP31" s="47"/>
      <c r="JU31" s="47"/>
      <c r="JW31" s="11"/>
      <c r="ND31" s="47"/>
      <c r="NI31" s="47"/>
      <c r="NK31" s="11"/>
      <c r="QR31" s="47"/>
      <c r="QW31" s="47"/>
      <c r="QY31" s="11"/>
      <c r="UF31" s="47"/>
      <c r="UK31" s="47"/>
      <c r="UM31" s="11"/>
      <c r="XT31" s="47"/>
      <c r="XY31" s="47"/>
      <c r="YA31" s="11"/>
      <c r="ABH31" s="47"/>
      <c r="ABM31" s="47"/>
      <c r="ABO31" s="11"/>
      <c r="AEV31" s="47"/>
      <c r="AFA31" s="47"/>
      <c r="AFC31" s="11"/>
      <c r="AIJ31" s="47"/>
      <c r="AIO31" s="47"/>
      <c r="AIQ31" s="11"/>
      <c r="ALX31" s="47"/>
      <c r="AMC31" s="47"/>
      <c r="AME31" s="11"/>
      <c r="APL31" s="47"/>
      <c r="APQ31" s="47"/>
      <c r="APS31" s="11"/>
      <c r="ASZ31" s="47"/>
      <c r="ATE31" s="47"/>
      <c r="ATG31" s="11"/>
      <c r="AWN31" s="47"/>
      <c r="AWS31" s="47"/>
      <c r="AWU31" s="11"/>
      <c r="BAB31" s="47"/>
      <c r="BAG31" s="47"/>
      <c r="BAI31" s="11"/>
      <c r="BDP31" s="47"/>
      <c r="BDU31" s="47"/>
      <c r="BDW31" s="11"/>
      <c r="BHD31" s="47"/>
      <c r="BHI31" s="47"/>
      <c r="BHK31" s="11"/>
      <c r="BKR31" s="47"/>
      <c r="BKW31" s="47"/>
      <c r="BKY31" s="11"/>
      <c r="BOF31" s="47"/>
      <c r="BOK31" s="47"/>
      <c r="BOM31" s="11"/>
      <c r="BRT31" s="47"/>
      <c r="BRY31" s="47"/>
      <c r="BSA31" s="11"/>
      <c r="BVH31" s="47"/>
      <c r="BVM31" s="47"/>
      <c r="BVO31" s="11"/>
      <c r="BYV31" s="47"/>
      <c r="BZA31" s="47"/>
      <c r="BZC31" s="11"/>
      <c r="CCJ31" s="47"/>
      <c r="CCO31" s="47"/>
      <c r="CCQ31" s="11"/>
      <c r="CFX31" s="47"/>
      <c r="CGC31" s="47"/>
      <c r="CGE31" s="11"/>
      <c r="CJL31" s="47"/>
      <c r="CJQ31" s="47"/>
      <c r="CJS31" s="11"/>
      <c r="CMZ31" s="47"/>
      <c r="CNE31" s="47"/>
      <c r="CNG31" s="11"/>
      <c r="CQN31" s="47"/>
      <c r="CQS31" s="47"/>
      <c r="CQU31" s="11"/>
      <c r="CUB31" s="47"/>
      <c r="CUG31" s="47"/>
      <c r="CUI31" s="11"/>
      <c r="CXP31" s="47"/>
      <c r="CXU31" s="47"/>
      <c r="CXW31" s="11"/>
      <c r="DBD31" s="47"/>
      <c r="DBI31" s="47"/>
      <c r="DBK31" s="11"/>
      <c r="DER31" s="47"/>
      <c r="DEW31" s="47"/>
      <c r="DEY31" s="11"/>
      <c r="DIF31" s="47"/>
      <c r="DIK31" s="47"/>
      <c r="DIM31" s="11"/>
      <c r="DLT31" s="47"/>
      <c r="DLY31" s="47"/>
      <c r="DMA31" s="11"/>
      <c r="DPH31" s="47"/>
      <c r="DPM31" s="47"/>
      <c r="DPO31" s="11"/>
      <c r="DSV31" s="47"/>
      <c r="DTA31" s="47"/>
      <c r="DTC31" s="11"/>
      <c r="DWJ31" s="47"/>
      <c r="DWO31" s="47"/>
      <c r="DWQ31" s="11"/>
      <c r="DZX31" s="47"/>
      <c r="EAC31" s="47"/>
      <c r="EAE31" s="11"/>
      <c r="EDL31" s="47"/>
      <c r="EDQ31" s="47"/>
      <c r="EDS31" s="11"/>
      <c r="EGZ31" s="47"/>
      <c r="EHE31" s="47"/>
      <c r="EHG31" s="11"/>
      <c r="EKN31" s="47"/>
      <c r="EKS31" s="47"/>
      <c r="EKU31" s="11"/>
      <c r="EOB31" s="47"/>
      <c r="EOG31" s="47"/>
      <c r="EOI31" s="11"/>
      <c r="ERP31" s="47"/>
      <c r="ERU31" s="47"/>
      <c r="ERW31" s="11"/>
      <c r="EVD31" s="47"/>
      <c r="EVI31" s="47"/>
      <c r="EVK31" s="11"/>
      <c r="EYR31" s="47"/>
      <c r="EYW31" s="47"/>
      <c r="EYY31" s="11"/>
      <c r="FCF31" s="47"/>
      <c r="FCK31" s="47"/>
      <c r="FCM31" s="11"/>
      <c r="FFT31" s="47"/>
      <c r="FFY31" s="47"/>
      <c r="FGA31" s="11"/>
      <c r="FJH31" s="47"/>
      <c r="FJM31" s="47"/>
      <c r="FJO31" s="11"/>
      <c r="FMV31" s="47"/>
      <c r="FNA31" s="47"/>
      <c r="FNC31" s="11"/>
      <c r="FQJ31" s="47"/>
      <c r="FQO31" s="47"/>
      <c r="FQQ31" s="11"/>
      <c r="FTX31" s="47"/>
      <c r="FUC31" s="47"/>
      <c r="FUE31" s="11"/>
      <c r="FXL31" s="47"/>
      <c r="FXQ31" s="47"/>
      <c r="FXS31" s="11"/>
      <c r="GAZ31" s="47"/>
      <c r="GBE31" s="47"/>
      <c r="GBG31" s="11"/>
      <c r="GEN31" s="47"/>
      <c r="GES31" s="47"/>
      <c r="GEU31" s="11"/>
      <c r="GIB31" s="47"/>
      <c r="GIG31" s="47"/>
      <c r="GII31" s="11"/>
      <c r="GLP31" s="47"/>
      <c r="GLU31" s="47"/>
      <c r="GLW31" s="11"/>
      <c r="GPD31" s="47"/>
      <c r="GPI31" s="47"/>
      <c r="GPK31" s="11"/>
      <c r="GSR31" s="47"/>
      <c r="GSW31" s="47"/>
      <c r="GSY31" s="11"/>
      <c r="GWF31" s="47"/>
      <c r="GWK31" s="47"/>
      <c r="GWM31" s="11"/>
      <c r="GZT31" s="47"/>
      <c r="GZY31" s="47"/>
      <c r="HAA31" s="11"/>
      <c r="HDH31" s="47"/>
      <c r="HDM31" s="47"/>
      <c r="HDO31" s="11"/>
      <c r="HGV31" s="47"/>
      <c r="HHA31" s="47"/>
      <c r="HHC31" s="11"/>
      <c r="HKJ31" s="47"/>
      <c r="HKO31" s="47"/>
      <c r="HKQ31" s="11"/>
      <c r="HNX31" s="47"/>
      <c r="HOC31" s="47"/>
      <c r="HOE31" s="11"/>
      <c r="HRL31" s="47"/>
      <c r="HRQ31" s="47"/>
      <c r="HRS31" s="11"/>
      <c r="HUZ31" s="47"/>
      <c r="HVE31" s="47"/>
      <c r="HVG31" s="11"/>
      <c r="HYN31" s="47"/>
      <c r="HYS31" s="47"/>
      <c r="HYU31" s="11"/>
      <c r="ICB31" s="47"/>
      <c r="ICG31" s="47"/>
      <c r="ICI31" s="11"/>
      <c r="IFP31" s="47"/>
      <c r="IFU31" s="47"/>
      <c r="IFW31" s="11"/>
      <c r="IJD31" s="47"/>
      <c r="IJI31" s="47"/>
      <c r="IJK31" s="11"/>
      <c r="IMR31" s="47"/>
      <c r="IMW31" s="47"/>
      <c r="IMY31" s="11"/>
      <c r="IQF31" s="47"/>
      <c r="IQK31" s="47"/>
      <c r="IQM31" s="11"/>
      <c r="ITT31" s="47"/>
      <c r="ITY31" s="47"/>
      <c r="IUA31" s="11"/>
      <c r="IXH31" s="47"/>
      <c r="IXM31" s="47"/>
      <c r="IXO31" s="11"/>
      <c r="JAV31" s="47"/>
      <c r="JBA31" s="47"/>
      <c r="JBC31" s="11"/>
      <c r="JEJ31" s="47"/>
      <c r="JEO31" s="47"/>
      <c r="JEQ31" s="11"/>
      <c r="JHX31" s="47"/>
      <c r="JIC31" s="47"/>
      <c r="JIE31" s="11"/>
      <c r="JLL31" s="47"/>
      <c r="JLQ31" s="47"/>
      <c r="JLS31" s="11"/>
      <c r="JOZ31" s="47"/>
      <c r="JPE31" s="47"/>
      <c r="JPG31" s="11"/>
      <c r="JSN31" s="47"/>
      <c r="JSS31" s="47"/>
      <c r="JSU31" s="11"/>
      <c r="JWB31" s="47"/>
      <c r="JWG31" s="47"/>
      <c r="JWI31" s="11"/>
      <c r="JZP31" s="47"/>
      <c r="JZU31" s="47"/>
      <c r="JZW31" s="11"/>
      <c r="KDD31" s="47"/>
      <c r="KDI31" s="47"/>
      <c r="KDK31" s="11"/>
      <c r="KGR31" s="47"/>
      <c r="KGW31" s="47"/>
      <c r="KGY31" s="11"/>
      <c r="KKF31" s="47"/>
      <c r="KKK31" s="47"/>
      <c r="KKM31" s="11"/>
      <c r="KNT31" s="47"/>
      <c r="KNY31" s="47"/>
      <c r="KOA31" s="11"/>
      <c r="KRH31" s="47"/>
      <c r="KRM31" s="47"/>
      <c r="KRO31" s="11"/>
      <c r="KUV31" s="47"/>
      <c r="KVA31" s="47"/>
      <c r="KVC31" s="11"/>
      <c r="KYJ31" s="47"/>
      <c r="KYO31" s="47"/>
      <c r="KYQ31" s="11"/>
      <c r="LBX31" s="47"/>
      <c r="LCC31" s="47"/>
      <c r="LCE31" s="11"/>
      <c r="LFL31" s="47"/>
      <c r="LFQ31" s="47"/>
      <c r="LFS31" s="11"/>
      <c r="LIZ31" s="47"/>
      <c r="LJE31" s="47"/>
      <c r="LJG31" s="11"/>
      <c r="LMN31" s="47"/>
      <c r="LMS31" s="47"/>
      <c r="LMU31" s="11"/>
      <c r="LQB31" s="47"/>
      <c r="LQG31" s="47"/>
      <c r="LQI31" s="11"/>
      <c r="LTP31" s="47"/>
      <c r="LTU31" s="47"/>
      <c r="LTW31" s="11"/>
      <c r="LXD31" s="47"/>
      <c r="LXI31" s="47"/>
      <c r="LXK31" s="11"/>
      <c r="MAR31" s="47"/>
      <c r="MAW31" s="47"/>
      <c r="MAY31" s="11"/>
      <c r="MEF31" s="47"/>
      <c r="MEK31" s="47"/>
      <c r="MEM31" s="11"/>
      <c r="MHT31" s="47"/>
      <c r="MHY31" s="47"/>
      <c r="MIA31" s="11"/>
      <c r="MLH31" s="47"/>
      <c r="MLM31" s="47"/>
      <c r="MLO31" s="11"/>
      <c r="MOV31" s="47"/>
      <c r="MPA31" s="47"/>
      <c r="MPC31" s="11"/>
      <c r="MSJ31" s="47"/>
      <c r="MSO31" s="47"/>
      <c r="MSQ31" s="11"/>
      <c r="MVX31" s="47"/>
      <c r="MWC31" s="47"/>
      <c r="MWE31" s="11"/>
      <c r="MZL31" s="47"/>
      <c r="MZQ31" s="47"/>
      <c r="MZS31" s="11"/>
      <c r="NCZ31" s="47"/>
      <c r="NDE31" s="47"/>
      <c r="NDG31" s="11"/>
      <c r="NGN31" s="47"/>
      <c r="NGS31" s="47"/>
      <c r="NGU31" s="11"/>
      <c r="NKB31" s="47"/>
      <c r="NKG31" s="47"/>
      <c r="NKI31" s="11"/>
      <c r="NNP31" s="47"/>
      <c r="NNU31" s="47"/>
      <c r="NNW31" s="11"/>
      <c r="NRD31" s="47"/>
      <c r="NRI31" s="47"/>
      <c r="NRK31" s="11"/>
      <c r="NUR31" s="47"/>
      <c r="NUW31" s="47"/>
      <c r="NUY31" s="11"/>
      <c r="NYF31" s="47"/>
      <c r="NYK31" s="47"/>
      <c r="NYM31" s="11"/>
      <c r="OBT31" s="47"/>
      <c r="OBY31" s="47"/>
      <c r="OCA31" s="11"/>
      <c r="OFH31" s="47"/>
      <c r="OFM31" s="47"/>
      <c r="OFO31" s="11"/>
      <c r="OIV31" s="47"/>
      <c r="OJA31" s="47"/>
      <c r="OJC31" s="11"/>
      <c r="OMJ31" s="47"/>
      <c r="OMO31" s="47"/>
      <c r="OMQ31" s="11"/>
      <c r="OPX31" s="47"/>
      <c r="OQC31" s="47"/>
      <c r="OQE31" s="11"/>
      <c r="OTL31" s="47"/>
      <c r="OTQ31" s="47"/>
      <c r="OTS31" s="11"/>
      <c r="OWZ31" s="47"/>
      <c r="OXE31" s="47"/>
      <c r="OXG31" s="11"/>
      <c r="PAN31" s="47"/>
      <c r="PAS31" s="47"/>
      <c r="PAU31" s="11"/>
      <c r="PEB31" s="47"/>
      <c r="PEG31" s="47"/>
      <c r="PEI31" s="11"/>
      <c r="PHP31" s="47"/>
      <c r="PHU31" s="47"/>
      <c r="PHW31" s="11"/>
      <c r="PLD31" s="47"/>
      <c r="PLI31" s="47"/>
      <c r="PLK31" s="11"/>
      <c r="POR31" s="47"/>
      <c r="POW31" s="47"/>
      <c r="POY31" s="11"/>
      <c r="PSF31" s="47"/>
      <c r="PSK31" s="47"/>
      <c r="PSM31" s="11"/>
      <c r="PVT31" s="47"/>
      <c r="PVY31" s="47"/>
      <c r="PWA31" s="11"/>
      <c r="PZH31" s="47"/>
      <c r="PZM31" s="47"/>
      <c r="PZO31" s="11"/>
      <c r="QCV31" s="47"/>
      <c r="QDA31" s="47"/>
      <c r="QDC31" s="11"/>
      <c r="QGJ31" s="47"/>
      <c r="QGO31" s="47"/>
      <c r="QGQ31" s="11"/>
      <c r="QJX31" s="47"/>
      <c r="QKC31" s="47"/>
      <c r="QKE31" s="11"/>
      <c r="QNL31" s="47"/>
      <c r="QNQ31" s="47"/>
      <c r="QNS31" s="11"/>
      <c r="QQZ31" s="47"/>
      <c r="QRE31" s="47"/>
      <c r="QRG31" s="11"/>
      <c r="QUN31" s="47"/>
      <c r="QUS31" s="47"/>
      <c r="QUU31" s="11"/>
      <c r="QYB31" s="47"/>
      <c r="QYG31" s="47"/>
      <c r="QYI31" s="11"/>
      <c r="RBP31" s="47"/>
      <c r="RBU31" s="47"/>
      <c r="RBW31" s="11"/>
      <c r="RFD31" s="47"/>
      <c r="RFI31" s="47"/>
      <c r="RFK31" s="11"/>
      <c r="RIR31" s="47"/>
      <c r="RIW31" s="47"/>
      <c r="RIY31" s="11"/>
      <c r="RMF31" s="47"/>
      <c r="RMK31" s="47"/>
      <c r="RMM31" s="11"/>
      <c r="RPT31" s="47"/>
      <c r="RPY31" s="47"/>
      <c r="RQA31" s="11"/>
      <c r="RTH31" s="47"/>
      <c r="RTM31" s="47"/>
      <c r="RTO31" s="11"/>
      <c r="RWV31" s="47"/>
      <c r="RXA31" s="47"/>
      <c r="RXC31" s="11"/>
      <c r="SAJ31" s="47"/>
      <c r="SAO31" s="47"/>
      <c r="SAQ31" s="11"/>
      <c r="SDX31" s="47"/>
      <c r="SEC31" s="47"/>
      <c r="SEE31" s="11"/>
      <c r="SHL31" s="47"/>
      <c r="SHQ31" s="47"/>
      <c r="SHS31" s="11"/>
      <c r="SKZ31" s="47"/>
      <c r="SLE31" s="47"/>
      <c r="SLG31" s="11"/>
      <c r="SON31" s="47"/>
      <c r="SOS31" s="47"/>
      <c r="SOU31" s="11"/>
      <c r="SSB31" s="47"/>
      <c r="SSG31" s="47"/>
      <c r="SSI31" s="11"/>
      <c r="SVP31" s="47"/>
      <c r="SVU31" s="47"/>
      <c r="SVW31" s="11"/>
      <c r="SZD31" s="47"/>
      <c r="SZI31" s="47"/>
      <c r="SZK31" s="11"/>
      <c r="TCR31" s="47"/>
      <c r="TCW31" s="47"/>
      <c r="TCY31" s="11"/>
      <c r="TGF31" s="47"/>
      <c r="TGK31" s="47"/>
      <c r="TGM31" s="11"/>
      <c r="TJT31" s="47"/>
      <c r="TJY31" s="47"/>
      <c r="TKA31" s="11"/>
      <c r="TNH31" s="47"/>
      <c r="TNM31" s="47"/>
      <c r="TNO31" s="11"/>
      <c r="TQV31" s="47"/>
      <c r="TRA31" s="47"/>
      <c r="TRC31" s="11"/>
      <c r="TUJ31" s="47"/>
      <c r="TUO31" s="47"/>
      <c r="TUQ31" s="11"/>
      <c r="TXX31" s="47"/>
      <c r="TYC31" s="47"/>
      <c r="TYE31" s="11"/>
      <c r="UBL31" s="47"/>
      <c r="UBQ31" s="47"/>
      <c r="UBS31" s="11"/>
      <c r="UEZ31" s="47"/>
      <c r="UFE31" s="47"/>
      <c r="UFG31" s="11"/>
      <c r="UIN31" s="47"/>
      <c r="UIS31" s="47"/>
      <c r="UIU31" s="11"/>
      <c r="UMB31" s="47"/>
      <c r="UMG31" s="47"/>
      <c r="UMI31" s="11"/>
      <c r="UPP31" s="47"/>
      <c r="UPU31" s="47"/>
      <c r="UPW31" s="11"/>
      <c r="UTD31" s="47"/>
      <c r="UTI31" s="47"/>
      <c r="UTK31" s="11"/>
      <c r="UWR31" s="47"/>
      <c r="UWW31" s="47"/>
      <c r="UWY31" s="11"/>
      <c r="VAF31" s="47"/>
      <c r="VAK31" s="47"/>
      <c r="VAM31" s="11"/>
      <c r="VDT31" s="47"/>
      <c r="VDY31" s="47"/>
      <c r="VEA31" s="11"/>
      <c r="VHH31" s="47"/>
      <c r="VHM31" s="47"/>
      <c r="VHO31" s="11"/>
      <c r="VKV31" s="47"/>
      <c r="VLA31" s="47"/>
      <c r="VLC31" s="11"/>
      <c r="VOJ31" s="47"/>
      <c r="VOO31" s="47"/>
      <c r="VOQ31" s="11"/>
      <c r="VRX31" s="47"/>
      <c r="VSC31" s="47"/>
      <c r="VSE31" s="11"/>
      <c r="VVL31" s="47"/>
      <c r="VVQ31" s="47"/>
      <c r="VVS31" s="11"/>
      <c r="VYZ31" s="47"/>
      <c r="VZE31" s="47"/>
      <c r="VZG31" s="11"/>
      <c r="WCN31" s="47"/>
      <c r="WCS31" s="47"/>
      <c r="WCU31" s="11"/>
      <c r="WGB31" s="47"/>
      <c r="WGG31" s="47"/>
      <c r="WGI31" s="11"/>
      <c r="WJP31" s="47"/>
      <c r="WJU31" s="47"/>
      <c r="WJW31" s="11"/>
      <c r="WND31" s="47"/>
      <c r="WNI31" s="47"/>
      <c r="WNK31" s="11"/>
      <c r="WQR31" s="47"/>
      <c r="WQW31" s="47"/>
      <c r="WQY31" s="11"/>
      <c r="WUF31" s="47"/>
      <c r="WUK31" s="47"/>
      <c r="WUM31" s="11"/>
      <c r="WXT31" s="47"/>
      <c r="WXY31" s="47"/>
      <c r="WYA31" s="11"/>
      <c r="XBH31" s="47"/>
      <c r="XBM31" s="47"/>
      <c r="XBO31" s="11"/>
      <c r="XEV31" s="47"/>
      <c r="XFA31" s="47"/>
      <c r="XFC31" s="11"/>
    </row>
    <row r="32" spans="1:1019 1104:2031 2116:3043 3128:4055 4140:5067 5152:6079 6164:7091 7176:8188 8193:9207 9292:10219 10304:11231 11316:12243 12328:13255 13340:14267 14352:15279 15364:16383" s="10" customFormat="1" ht="14.5" customHeight="1" thickBot="1">
      <c r="C32" s="12" t="s">
        <v>1016</v>
      </c>
      <c r="D32" s="12"/>
      <c r="E32" s="12"/>
      <c r="F32" s="12"/>
      <c r="G32" s="362"/>
      <c r="H32" s="12"/>
      <c r="I32" s="12"/>
      <c r="CS32" s="47"/>
      <c r="CU32" s="11"/>
      <c r="GB32" s="47"/>
      <c r="GG32" s="47"/>
      <c r="GI32" s="11"/>
      <c r="JP32" s="47"/>
      <c r="JU32" s="47"/>
      <c r="JW32" s="11"/>
      <c r="ND32" s="47"/>
      <c r="NI32" s="47"/>
      <c r="NK32" s="11"/>
      <c r="QR32" s="47"/>
      <c r="QW32" s="47"/>
      <c r="QY32" s="11"/>
      <c r="UF32" s="47"/>
      <c r="UK32" s="47"/>
      <c r="UM32" s="11"/>
      <c r="XT32" s="47"/>
      <c r="XY32" s="47"/>
      <c r="YA32" s="11"/>
      <c r="ABH32" s="47"/>
      <c r="ABM32" s="47"/>
      <c r="ABO32" s="11"/>
      <c r="AEV32" s="47"/>
      <c r="AFA32" s="47"/>
      <c r="AFC32" s="11"/>
      <c r="AIJ32" s="47"/>
      <c r="AIO32" s="47"/>
      <c r="AIQ32" s="11"/>
      <c r="ALX32" s="47"/>
      <c r="AMC32" s="47"/>
      <c r="AME32" s="11"/>
      <c r="APL32" s="47"/>
      <c r="APQ32" s="47"/>
      <c r="APS32" s="11"/>
      <c r="ASZ32" s="47"/>
      <c r="ATE32" s="47"/>
      <c r="ATG32" s="11"/>
      <c r="AWN32" s="47"/>
      <c r="AWS32" s="47"/>
      <c r="AWU32" s="11"/>
      <c r="BAB32" s="47"/>
      <c r="BAG32" s="47"/>
      <c r="BAI32" s="11"/>
      <c r="BDP32" s="47"/>
      <c r="BDU32" s="47"/>
      <c r="BDW32" s="11"/>
      <c r="BHD32" s="47"/>
      <c r="BHI32" s="47"/>
      <c r="BHK32" s="11"/>
      <c r="BKR32" s="47"/>
      <c r="BKW32" s="47"/>
      <c r="BKY32" s="11"/>
      <c r="BOF32" s="47"/>
      <c r="BOK32" s="47"/>
      <c r="BOM32" s="11"/>
      <c r="BRT32" s="47"/>
      <c r="BRY32" s="47"/>
      <c r="BSA32" s="11"/>
      <c r="BVH32" s="47"/>
      <c r="BVM32" s="47"/>
      <c r="BVO32" s="11"/>
      <c r="BYV32" s="47"/>
      <c r="BZA32" s="47"/>
      <c r="BZC32" s="11"/>
      <c r="CCJ32" s="47"/>
      <c r="CCO32" s="47"/>
      <c r="CCQ32" s="11"/>
      <c r="CFX32" s="47"/>
      <c r="CGC32" s="47"/>
      <c r="CGE32" s="11"/>
      <c r="CJL32" s="47"/>
      <c r="CJQ32" s="47"/>
      <c r="CJS32" s="11"/>
      <c r="CMZ32" s="47"/>
      <c r="CNE32" s="47"/>
      <c r="CNG32" s="11"/>
      <c r="CQN32" s="47"/>
      <c r="CQS32" s="47"/>
      <c r="CQU32" s="11"/>
      <c r="CUB32" s="47"/>
      <c r="CUG32" s="47"/>
      <c r="CUI32" s="11"/>
      <c r="CXP32" s="47"/>
      <c r="CXU32" s="47"/>
      <c r="CXW32" s="11"/>
      <c r="DBD32" s="47"/>
      <c r="DBI32" s="47"/>
      <c r="DBK32" s="11"/>
      <c r="DER32" s="47"/>
      <c r="DEW32" s="47"/>
      <c r="DEY32" s="11"/>
      <c r="DIF32" s="47"/>
      <c r="DIK32" s="47"/>
      <c r="DIM32" s="11"/>
      <c r="DLT32" s="47"/>
      <c r="DLY32" s="47"/>
      <c r="DMA32" s="11"/>
      <c r="DPH32" s="47"/>
      <c r="DPM32" s="47"/>
      <c r="DPO32" s="11"/>
      <c r="DSV32" s="47"/>
      <c r="DTA32" s="47"/>
      <c r="DTC32" s="11"/>
      <c r="DWJ32" s="47"/>
      <c r="DWO32" s="47"/>
      <c r="DWQ32" s="11"/>
      <c r="DZX32" s="47"/>
      <c r="EAC32" s="47"/>
      <c r="EAE32" s="11"/>
      <c r="EDL32" s="47"/>
      <c r="EDQ32" s="47"/>
      <c r="EDS32" s="11"/>
      <c r="EGZ32" s="47"/>
      <c r="EHE32" s="47"/>
      <c r="EHG32" s="11"/>
      <c r="EKN32" s="47"/>
      <c r="EKS32" s="47"/>
      <c r="EKU32" s="11"/>
      <c r="EOB32" s="47"/>
      <c r="EOG32" s="47"/>
      <c r="EOI32" s="11"/>
      <c r="ERP32" s="47"/>
      <c r="ERU32" s="47"/>
      <c r="ERW32" s="11"/>
      <c r="EVD32" s="47"/>
      <c r="EVI32" s="47"/>
      <c r="EVK32" s="11"/>
      <c r="EYR32" s="47"/>
      <c r="EYW32" s="47"/>
      <c r="EYY32" s="11"/>
      <c r="FCF32" s="47"/>
      <c r="FCK32" s="47"/>
      <c r="FCM32" s="11"/>
      <c r="FFT32" s="47"/>
      <c r="FFY32" s="47"/>
      <c r="FGA32" s="11"/>
      <c r="FJH32" s="47"/>
      <c r="FJM32" s="47"/>
      <c r="FJO32" s="11"/>
      <c r="FMV32" s="47"/>
      <c r="FNA32" s="47"/>
      <c r="FNC32" s="11"/>
      <c r="FQJ32" s="47"/>
      <c r="FQO32" s="47"/>
      <c r="FQQ32" s="11"/>
      <c r="FTX32" s="47"/>
      <c r="FUC32" s="47"/>
      <c r="FUE32" s="11"/>
      <c r="FXL32" s="47"/>
      <c r="FXQ32" s="47"/>
      <c r="FXS32" s="11"/>
      <c r="GAZ32" s="47"/>
      <c r="GBE32" s="47"/>
      <c r="GBG32" s="11"/>
      <c r="GEN32" s="47"/>
      <c r="GES32" s="47"/>
      <c r="GEU32" s="11"/>
      <c r="GIB32" s="47"/>
      <c r="GIG32" s="47"/>
      <c r="GII32" s="11"/>
      <c r="GLP32" s="47"/>
      <c r="GLU32" s="47"/>
      <c r="GLW32" s="11"/>
      <c r="GPD32" s="47"/>
      <c r="GPI32" s="47"/>
      <c r="GPK32" s="11"/>
      <c r="GSR32" s="47"/>
      <c r="GSW32" s="47"/>
      <c r="GSY32" s="11"/>
      <c r="GWF32" s="47"/>
      <c r="GWK32" s="47"/>
      <c r="GWM32" s="11"/>
      <c r="GZT32" s="47"/>
      <c r="GZY32" s="47"/>
      <c r="HAA32" s="11"/>
      <c r="HDH32" s="47"/>
      <c r="HDM32" s="47"/>
      <c r="HDO32" s="11"/>
      <c r="HGV32" s="47"/>
      <c r="HHA32" s="47"/>
      <c r="HHC32" s="11"/>
      <c r="HKJ32" s="47"/>
      <c r="HKO32" s="47"/>
      <c r="HKQ32" s="11"/>
      <c r="HNX32" s="47"/>
      <c r="HOC32" s="47"/>
      <c r="HOE32" s="11"/>
      <c r="HRL32" s="47"/>
      <c r="HRQ32" s="47"/>
      <c r="HRS32" s="11"/>
      <c r="HUZ32" s="47"/>
      <c r="HVE32" s="47"/>
      <c r="HVG32" s="11"/>
      <c r="HYN32" s="47"/>
      <c r="HYS32" s="47"/>
      <c r="HYU32" s="11"/>
      <c r="ICB32" s="47"/>
      <c r="ICG32" s="47"/>
      <c r="ICI32" s="11"/>
      <c r="IFP32" s="47"/>
      <c r="IFU32" s="47"/>
      <c r="IFW32" s="11"/>
      <c r="IJD32" s="47"/>
      <c r="IJI32" s="47"/>
      <c r="IJK32" s="11"/>
      <c r="IMR32" s="47"/>
      <c r="IMW32" s="47"/>
      <c r="IMY32" s="11"/>
      <c r="IQF32" s="47"/>
      <c r="IQK32" s="47"/>
      <c r="IQM32" s="11"/>
      <c r="ITT32" s="47"/>
      <c r="ITY32" s="47"/>
      <c r="IUA32" s="11"/>
      <c r="IXH32" s="47"/>
      <c r="IXM32" s="47"/>
      <c r="IXO32" s="11"/>
      <c r="JAV32" s="47"/>
      <c r="JBA32" s="47"/>
      <c r="JBC32" s="11"/>
      <c r="JEJ32" s="47"/>
      <c r="JEO32" s="47"/>
      <c r="JEQ32" s="11"/>
      <c r="JHX32" s="47"/>
      <c r="JIC32" s="47"/>
      <c r="JIE32" s="11"/>
      <c r="JLL32" s="47"/>
      <c r="JLQ32" s="47"/>
      <c r="JLS32" s="11"/>
      <c r="JOZ32" s="47"/>
      <c r="JPE32" s="47"/>
      <c r="JPG32" s="11"/>
      <c r="JSN32" s="47"/>
      <c r="JSS32" s="47"/>
      <c r="JSU32" s="11"/>
      <c r="JWB32" s="47"/>
      <c r="JWG32" s="47"/>
      <c r="JWI32" s="11"/>
      <c r="JZP32" s="47"/>
      <c r="JZU32" s="47"/>
      <c r="JZW32" s="11"/>
      <c r="KDD32" s="47"/>
      <c r="KDI32" s="47"/>
      <c r="KDK32" s="11"/>
      <c r="KGR32" s="47"/>
      <c r="KGW32" s="47"/>
      <c r="KGY32" s="11"/>
      <c r="KKF32" s="47"/>
      <c r="KKK32" s="47"/>
      <c r="KKM32" s="11"/>
      <c r="KNT32" s="47"/>
      <c r="KNY32" s="47"/>
      <c r="KOA32" s="11"/>
      <c r="KRH32" s="47"/>
      <c r="KRM32" s="47"/>
      <c r="KRO32" s="11"/>
      <c r="KUV32" s="47"/>
      <c r="KVA32" s="47"/>
      <c r="KVC32" s="11"/>
      <c r="KYJ32" s="47"/>
      <c r="KYO32" s="47"/>
      <c r="KYQ32" s="11"/>
      <c r="LBX32" s="47"/>
      <c r="LCC32" s="47"/>
      <c r="LCE32" s="11"/>
      <c r="LFL32" s="47"/>
      <c r="LFQ32" s="47"/>
      <c r="LFS32" s="11"/>
      <c r="LIZ32" s="47"/>
      <c r="LJE32" s="47"/>
      <c r="LJG32" s="11"/>
      <c r="LMN32" s="47"/>
      <c r="LMS32" s="47"/>
      <c r="LMU32" s="11"/>
      <c r="LQB32" s="47"/>
      <c r="LQG32" s="47"/>
      <c r="LQI32" s="11"/>
      <c r="LTP32" s="47"/>
      <c r="LTU32" s="47"/>
      <c r="LTW32" s="11"/>
      <c r="LXD32" s="47"/>
      <c r="LXI32" s="47"/>
      <c r="LXK32" s="11"/>
      <c r="MAR32" s="47"/>
      <c r="MAW32" s="47"/>
      <c r="MAY32" s="11"/>
      <c r="MEF32" s="47"/>
      <c r="MEK32" s="47"/>
      <c r="MEM32" s="11"/>
      <c r="MHT32" s="47"/>
      <c r="MHY32" s="47"/>
      <c r="MIA32" s="11"/>
      <c r="MLH32" s="47"/>
      <c r="MLM32" s="47"/>
      <c r="MLO32" s="11"/>
      <c r="MOV32" s="47"/>
      <c r="MPA32" s="47"/>
      <c r="MPC32" s="11"/>
      <c r="MSJ32" s="47"/>
      <c r="MSO32" s="47"/>
      <c r="MSQ32" s="11"/>
      <c r="MVX32" s="47"/>
      <c r="MWC32" s="47"/>
      <c r="MWE32" s="11"/>
      <c r="MZL32" s="47"/>
      <c r="MZQ32" s="47"/>
      <c r="MZS32" s="11"/>
      <c r="NCZ32" s="47"/>
      <c r="NDE32" s="47"/>
      <c r="NDG32" s="11"/>
      <c r="NGN32" s="47"/>
      <c r="NGS32" s="47"/>
      <c r="NGU32" s="11"/>
      <c r="NKB32" s="47"/>
      <c r="NKG32" s="47"/>
      <c r="NKI32" s="11"/>
      <c r="NNP32" s="47"/>
      <c r="NNU32" s="47"/>
      <c r="NNW32" s="11"/>
      <c r="NRD32" s="47"/>
      <c r="NRI32" s="47"/>
      <c r="NRK32" s="11"/>
      <c r="NUR32" s="47"/>
      <c r="NUW32" s="47"/>
      <c r="NUY32" s="11"/>
      <c r="NYF32" s="47"/>
      <c r="NYK32" s="47"/>
      <c r="NYM32" s="11"/>
      <c r="OBT32" s="47"/>
      <c r="OBY32" s="47"/>
      <c r="OCA32" s="11"/>
      <c r="OFH32" s="47"/>
      <c r="OFM32" s="47"/>
      <c r="OFO32" s="11"/>
      <c r="OIV32" s="47"/>
      <c r="OJA32" s="47"/>
      <c r="OJC32" s="11"/>
      <c r="OMJ32" s="47"/>
      <c r="OMO32" s="47"/>
      <c r="OMQ32" s="11"/>
      <c r="OPX32" s="47"/>
      <c r="OQC32" s="47"/>
      <c r="OQE32" s="11"/>
      <c r="OTL32" s="47"/>
      <c r="OTQ32" s="47"/>
      <c r="OTS32" s="11"/>
      <c r="OWZ32" s="47"/>
      <c r="OXE32" s="47"/>
      <c r="OXG32" s="11"/>
      <c r="PAN32" s="47"/>
      <c r="PAS32" s="47"/>
      <c r="PAU32" s="11"/>
      <c r="PEB32" s="47"/>
      <c r="PEG32" s="47"/>
      <c r="PEI32" s="11"/>
      <c r="PHP32" s="47"/>
      <c r="PHU32" s="47"/>
      <c r="PHW32" s="11"/>
      <c r="PLD32" s="47"/>
      <c r="PLI32" s="47"/>
      <c r="PLK32" s="11"/>
      <c r="POR32" s="47"/>
      <c r="POW32" s="47"/>
      <c r="POY32" s="11"/>
      <c r="PSF32" s="47"/>
      <c r="PSK32" s="47"/>
      <c r="PSM32" s="11"/>
      <c r="PVT32" s="47"/>
      <c r="PVY32" s="47"/>
      <c r="PWA32" s="11"/>
      <c r="PZH32" s="47"/>
      <c r="PZM32" s="47"/>
      <c r="PZO32" s="11"/>
      <c r="QCV32" s="47"/>
      <c r="QDA32" s="47"/>
      <c r="QDC32" s="11"/>
      <c r="QGJ32" s="47"/>
      <c r="QGO32" s="47"/>
      <c r="QGQ32" s="11"/>
      <c r="QJX32" s="47"/>
      <c r="QKC32" s="47"/>
      <c r="QKE32" s="11"/>
      <c r="QNL32" s="47"/>
      <c r="QNQ32" s="47"/>
      <c r="QNS32" s="11"/>
      <c r="QQZ32" s="47"/>
      <c r="QRE32" s="47"/>
      <c r="QRG32" s="11"/>
      <c r="QUN32" s="47"/>
      <c r="QUS32" s="47"/>
      <c r="QUU32" s="11"/>
      <c r="QYB32" s="47"/>
      <c r="QYG32" s="47"/>
      <c r="QYI32" s="11"/>
      <c r="RBP32" s="47"/>
      <c r="RBU32" s="47"/>
      <c r="RBW32" s="11"/>
      <c r="RFD32" s="47"/>
      <c r="RFI32" s="47"/>
      <c r="RFK32" s="11"/>
      <c r="RIR32" s="47"/>
      <c r="RIW32" s="47"/>
      <c r="RIY32" s="11"/>
      <c r="RMF32" s="47"/>
      <c r="RMK32" s="47"/>
      <c r="RMM32" s="11"/>
      <c r="RPT32" s="47"/>
      <c r="RPY32" s="47"/>
      <c r="RQA32" s="11"/>
      <c r="RTH32" s="47"/>
      <c r="RTM32" s="47"/>
      <c r="RTO32" s="11"/>
      <c r="RWV32" s="47"/>
      <c r="RXA32" s="47"/>
      <c r="RXC32" s="11"/>
      <c r="SAJ32" s="47"/>
      <c r="SAO32" s="47"/>
      <c r="SAQ32" s="11"/>
      <c r="SDX32" s="47"/>
      <c r="SEC32" s="47"/>
      <c r="SEE32" s="11"/>
      <c r="SHL32" s="47"/>
      <c r="SHQ32" s="47"/>
      <c r="SHS32" s="11"/>
      <c r="SKZ32" s="47"/>
      <c r="SLE32" s="47"/>
      <c r="SLG32" s="11"/>
      <c r="SON32" s="47"/>
      <c r="SOS32" s="47"/>
      <c r="SOU32" s="11"/>
      <c r="SSB32" s="47"/>
      <c r="SSG32" s="47"/>
      <c r="SSI32" s="11"/>
      <c r="SVP32" s="47"/>
      <c r="SVU32" s="47"/>
      <c r="SVW32" s="11"/>
      <c r="SZD32" s="47"/>
      <c r="SZI32" s="47"/>
      <c r="SZK32" s="11"/>
      <c r="TCR32" s="47"/>
      <c r="TCW32" s="47"/>
      <c r="TCY32" s="11"/>
      <c r="TGF32" s="47"/>
      <c r="TGK32" s="47"/>
      <c r="TGM32" s="11"/>
      <c r="TJT32" s="47"/>
      <c r="TJY32" s="47"/>
      <c r="TKA32" s="11"/>
      <c r="TNH32" s="47"/>
      <c r="TNM32" s="47"/>
      <c r="TNO32" s="11"/>
      <c r="TQV32" s="47"/>
      <c r="TRA32" s="47"/>
      <c r="TRC32" s="11"/>
      <c r="TUJ32" s="47"/>
      <c r="TUO32" s="47"/>
      <c r="TUQ32" s="11"/>
      <c r="TXX32" s="47"/>
      <c r="TYC32" s="47"/>
      <c r="TYE32" s="11"/>
      <c r="UBL32" s="47"/>
      <c r="UBQ32" s="47"/>
      <c r="UBS32" s="11"/>
      <c r="UEZ32" s="47"/>
      <c r="UFE32" s="47"/>
      <c r="UFG32" s="11"/>
      <c r="UIN32" s="47"/>
      <c r="UIS32" s="47"/>
      <c r="UIU32" s="11"/>
      <c r="UMB32" s="47"/>
      <c r="UMG32" s="47"/>
      <c r="UMI32" s="11"/>
      <c r="UPP32" s="47"/>
      <c r="UPU32" s="47"/>
      <c r="UPW32" s="11"/>
      <c r="UTD32" s="47"/>
      <c r="UTI32" s="47"/>
      <c r="UTK32" s="11"/>
      <c r="UWR32" s="47"/>
      <c r="UWW32" s="47"/>
      <c r="UWY32" s="11"/>
      <c r="VAF32" s="47"/>
      <c r="VAK32" s="47"/>
      <c r="VAM32" s="11"/>
      <c r="VDT32" s="47"/>
      <c r="VDY32" s="47"/>
      <c r="VEA32" s="11"/>
      <c r="VHH32" s="47"/>
      <c r="VHM32" s="47"/>
      <c r="VHO32" s="11"/>
      <c r="VKV32" s="47"/>
      <c r="VLA32" s="47"/>
      <c r="VLC32" s="11"/>
      <c r="VOJ32" s="47"/>
      <c r="VOO32" s="47"/>
      <c r="VOQ32" s="11"/>
      <c r="VRX32" s="47"/>
      <c r="VSC32" s="47"/>
      <c r="VSE32" s="11"/>
      <c r="VVL32" s="47"/>
      <c r="VVQ32" s="47"/>
      <c r="VVS32" s="11"/>
      <c r="VYZ32" s="47"/>
      <c r="VZE32" s="47"/>
      <c r="VZG32" s="11"/>
      <c r="WCN32" s="47"/>
      <c r="WCS32" s="47"/>
      <c r="WCU32" s="11"/>
      <c r="WGB32" s="47"/>
      <c r="WGG32" s="47"/>
      <c r="WGI32" s="11"/>
      <c r="WJP32" s="47"/>
      <c r="WJU32" s="47"/>
      <c r="WJW32" s="11"/>
      <c r="WND32" s="47"/>
      <c r="WNI32" s="47"/>
      <c r="WNK32" s="11"/>
      <c r="WQR32" s="47"/>
      <c r="WQW32" s="47"/>
      <c r="WQY32" s="11"/>
      <c r="WUF32" s="47"/>
      <c r="WUK32" s="47"/>
      <c r="WUM32" s="11"/>
      <c r="WXT32" s="47"/>
      <c r="WXY32" s="47"/>
      <c r="WYA32" s="11"/>
      <c r="XBH32" s="47"/>
      <c r="XBM32" s="47"/>
      <c r="XBO32" s="11"/>
      <c r="XEV32" s="47"/>
      <c r="XFA32" s="47"/>
      <c r="XFC32" s="11"/>
    </row>
    <row r="33" spans="1:1019 1104:2031 2116:3043 3128:4055 4140:5067 5152:6079 6164:7091 7176:8188 8193:9207 9292:10219 10304:11231 11316:12243 12328:13255 13340:14267 14352:15279 15364:16383" s="10" customFormat="1" ht="14.5" customHeight="1">
      <c r="E33" s="47"/>
      <c r="G33" s="11"/>
      <c r="CS33" s="47"/>
      <c r="CU33" s="11"/>
      <c r="GB33" s="47"/>
      <c r="GG33" s="47"/>
      <c r="GI33" s="11"/>
      <c r="JP33" s="47"/>
      <c r="JU33" s="47"/>
      <c r="JW33" s="11"/>
      <c r="ND33" s="47"/>
      <c r="NI33" s="47"/>
      <c r="NK33" s="11"/>
      <c r="QR33" s="47"/>
      <c r="QW33" s="47"/>
      <c r="QY33" s="11"/>
      <c r="UF33" s="47"/>
      <c r="UK33" s="47"/>
      <c r="UM33" s="11"/>
      <c r="XT33" s="47"/>
      <c r="XY33" s="47"/>
      <c r="YA33" s="11"/>
      <c r="ABH33" s="47"/>
      <c r="ABM33" s="47"/>
      <c r="ABO33" s="11"/>
      <c r="AEV33" s="47"/>
      <c r="AFA33" s="47"/>
      <c r="AFC33" s="11"/>
      <c r="AIJ33" s="47"/>
      <c r="AIO33" s="47"/>
      <c r="AIQ33" s="11"/>
      <c r="ALX33" s="47"/>
      <c r="AMC33" s="47"/>
      <c r="AME33" s="11"/>
      <c r="APL33" s="47"/>
      <c r="APQ33" s="47"/>
      <c r="APS33" s="11"/>
      <c r="ASZ33" s="47"/>
      <c r="ATE33" s="47"/>
      <c r="ATG33" s="11"/>
      <c r="AWN33" s="47"/>
      <c r="AWS33" s="47"/>
      <c r="AWU33" s="11"/>
      <c r="BAB33" s="47"/>
      <c r="BAG33" s="47"/>
      <c r="BAI33" s="11"/>
      <c r="BDP33" s="47"/>
      <c r="BDU33" s="47"/>
      <c r="BDW33" s="11"/>
      <c r="BHD33" s="47"/>
      <c r="BHI33" s="47"/>
      <c r="BHK33" s="11"/>
      <c r="BKR33" s="47"/>
      <c r="BKW33" s="47"/>
      <c r="BKY33" s="11"/>
      <c r="BOF33" s="47"/>
      <c r="BOK33" s="47"/>
      <c r="BOM33" s="11"/>
      <c r="BRT33" s="47"/>
      <c r="BRY33" s="47"/>
      <c r="BSA33" s="11"/>
      <c r="BVH33" s="47"/>
      <c r="BVM33" s="47"/>
      <c r="BVO33" s="11"/>
      <c r="BYV33" s="47"/>
      <c r="BZA33" s="47"/>
      <c r="BZC33" s="11"/>
      <c r="CCJ33" s="47"/>
      <c r="CCO33" s="47"/>
      <c r="CCQ33" s="11"/>
      <c r="CFX33" s="47"/>
      <c r="CGC33" s="47"/>
      <c r="CGE33" s="11"/>
      <c r="CJL33" s="47"/>
      <c r="CJQ33" s="47"/>
      <c r="CJS33" s="11"/>
      <c r="CMZ33" s="47"/>
      <c r="CNE33" s="47"/>
      <c r="CNG33" s="11"/>
      <c r="CQN33" s="47"/>
      <c r="CQS33" s="47"/>
      <c r="CQU33" s="11"/>
      <c r="CUB33" s="47"/>
      <c r="CUG33" s="47"/>
      <c r="CUI33" s="11"/>
      <c r="CXP33" s="47"/>
      <c r="CXU33" s="47"/>
      <c r="CXW33" s="11"/>
      <c r="DBD33" s="47"/>
      <c r="DBI33" s="47"/>
      <c r="DBK33" s="11"/>
      <c r="DER33" s="47"/>
      <c r="DEW33" s="47"/>
      <c r="DEY33" s="11"/>
      <c r="DIF33" s="47"/>
      <c r="DIK33" s="47"/>
      <c r="DIM33" s="11"/>
      <c r="DLT33" s="47"/>
      <c r="DLY33" s="47"/>
      <c r="DMA33" s="11"/>
      <c r="DPH33" s="47"/>
      <c r="DPM33" s="47"/>
      <c r="DPO33" s="11"/>
      <c r="DSV33" s="47"/>
      <c r="DTA33" s="47"/>
      <c r="DTC33" s="11"/>
      <c r="DWJ33" s="47"/>
      <c r="DWO33" s="47"/>
      <c r="DWQ33" s="11"/>
      <c r="DZX33" s="47"/>
      <c r="EAC33" s="47"/>
      <c r="EAE33" s="11"/>
      <c r="EDL33" s="47"/>
      <c r="EDQ33" s="47"/>
      <c r="EDS33" s="11"/>
      <c r="EGZ33" s="47"/>
      <c r="EHE33" s="47"/>
      <c r="EHG33" s="11"/>
      <c r="EKN33" s="47"/>
      <c r="EKS33" s="47"/>
      <c r="EKU33" s="11"/>
      <c r="EOB33" s="47"/>
      <c r="EOG33" s="47"/>
      <c r="EOI33" s="11"/>
      <c r="ERP33" s="47"/>
      <c r="ERU33" s="47"/>
      <c r="ERW33" s="11"/>
      <c r="EVD33" s="47"/>
      <c r="EVI33" s="47"/>
      <c r="EVK33" s="11"/>
      <c r="EYR33" s="47"/>
      <c r="EYW33" s="47"/>
      <c r="EYY33" s="11"/>
      <c r="FCF33" s="47"/>
      <c r="FCK33" s="47"/>
      <c r="FCM33" s="11"/>
      <c r="FFT33" s="47"/>
      <c r="FFY33" s="47"/>
      <c r="FGA33" s="11"/>
      <c r="FJH33" s="47"/>
      <c r="FJM33" s="47"/>
      <c r="FJO33" s="11"/>
      <c r="FMV33" s="47"/>
      <c r="FNA33" s="47"/>
      <c r="FNC33" s="11"/>
      <c r="FQJ33" s="47"/>
      <c r="FQO33" s="47"/>
      <c r="FQQ33" s="11"/>
      <c r="FTX33" s="47"/>
      <c r="FUC33" s="47"/>
      <c r="FUE33" s="11"/>
      <c r="FXL33" s="47"/>
      <c r="FXQ33" s="47"/>
      <c r="FXS33" s="11"/>
      <c r="GAZ33" s="47"/>
      <c r="GBE33" s="47"/>
      <c r="GBG33" s="11"/>
      <c r="GEN33" s="47"/>
      <c r="GES33" s="47"/>
      <c r="GEU33" s="11"/>
      <c r="GIB33" s="47"/>
      <c r="GIG33" s="47"/>
      <c r="GII33" s="11"/>
      <c r="GLP33" s="47"/>
      <c r="GLU33" s="47"/>
      <c r="GLW33" s="11"/>
      <c r="GPD33" s="47"/>
      <c r="GPI33" s="47"/>
      <c r="GPK33" s="11"/>
      <c r="GSR33" s="47"/>
      <c r="GSW33" s="47"/>
      <c r="GSY33" s="11"/>
      <c r="GWF33" s="47"/>
      <c r="GWK33" s="47"/>
      <c r="GWM33" s="11"/>
      <c r="GZT33" s="47"/>
      <c r="GZY33" s="47"/>
      <c r="HAA33" s="11"/>
      <c r="HDH33" s="47"/>
      <c r="HDM33" s="47"/>
      <c r="HDO33" s="11"/>
      <c r="HGV33" s="47"/>
      <c r="HHA33" s="47"/>
      <c r="HHC33" s="11"/>
      <c r="HKJ33" s="47"/>
      <c r="HKO33" s="47"/>
      <c r="HKQ33" s="11"/>
      <c r="HNX33" s="47"/>
      <c r="HOC33" s="47"/>
      <c r="HOE33" s="11"/>
      <c r="HRL33" s="47"/>
      <c r="HRQ33" s="47"/>
      <c r="HRS33" s="11"/>
      <c r="HUZ33" s="47"/>
      <c r="HVE33" s="47"/>
      <c r="HVG33" s="11"/>
      <c r="HYN33" s="47"/>
      <c r="HYS33" s="47"/>
      <c r="HYU33" s="11"/>
      <c r="ICB33" s="47"/>
      <c r="ICG33" s="47"/>
      <c r="ICI33" s="11"/>
      <c r="IFP33" s="47"/>
      <c r="IFU33" s="47"/>
      <c r="IFW33" s="11"/>
      <c r="IJD33" s="47"/>
      <c r="IJI33" s="47"/>
      <c r="IJK33" s="11"/>
      <c r="IMR33" s="47"/>
      <c r="IMW33" s="47"/>
      <c r="IMY33" s="11"/>
      <c r="IQF33" s="47"/>
      <c r="IQK33" s="47"/>
      <c r="IQM33" s="11"/>
      <c r="ITT33" s="47"/>
      <c r="ITY33" s="47"/>
      <c r="IUA33" s="11"/>
      <c r="IXH33" s="47"/>
      <c r="IXM33" s="47"/>
      <c r="IXO33" s="11"/>
      <c r="JAV33" s="47"/>
      <c r="JBA33" s="47"/>
      <c r="JBC33" s="11"/>
      <c r="JEJ33" s="47"/>
      <c r="JEO33" s="47"/>
      <c r="JEQ33" s="11"/>
      <c r="JHX33" s="47"/>
      <c r="JIC33" s="47"/>
      <c r="JIE33" s="11"/>
      <c r="JLL33" s="47"/>
      <c r="JLQ33" s="47"/>
      <c r="JLS33" s="11"/>
      <c r="JOZ33" s="47"/>
      <c r="JPE33" s="47"/>
      <c r="JPG33" s="11"/>
      <c r="JSN33" s="47"/>
      <c r="JSS33" s="47"/>
      <c r="JSU33" s="11"/>
      <c r="JWB33" s="47"/>
      <c r="JWG33" s="47"/>
      <c r="JWI33" s="11"/>
      <c r="JZP33" s="47"/>
      <c r="JZU33" s="47"/>
      <c r="JZW33" s="11"/>
      <c r="KDD33" s="47"/>
      <c r="KDI33" s="47"/>
      <c r="KDK33" s="11"/>
      <c r="KGR33" s="47"/>
      <c r="KGW33" s="47"/>
      <c r="KGY33" s="11"/>
      <c r="KKF33" s="47"/>
      <c r="KKK33" s="47"/>
      <c r="KKM33" s="11"/>
      <c r="KNT33" s="47"/>
      <c r="KNY33" s="47"/>
      <c r="KOA33" s="11"/>
      <c r="KRH33" s="47"/>
      <c r="KRM33" s="47"/>
      <c r="KRO33" s="11"/>
      <c r="KUV33" s="47"/>
      <c r="KVA33" s="47"/>
      <c r="KVC33" s="11"/>
      <c r="KYJ33" s="47"/>
      <c r="KYO33" s="47"/>
      <c r="KYQ33" s="11"/>
      <c r="LBX33" s="47"/>
      <c r="LCC33" s="47"/>
      <c r="LCE33" s="11"/>
      <c r="LFL33" s="47"/>
      <c r="LFQ33" s="47"/>
      <c r="LFS33" s="11"/>
      <c r="LIZ33" s="47"/>
      <c r="LJE33" s="47"/>
      <c r="LJG33" s="11"/>
      <c r="LMN33" s="47"/>
      <c r="LMS33" s="47"/>
      <c r="LMU33" s="11"/>
      <c r="LQB33" s="47"/>
      <c r="LQG33" s="47"/>
      <c r="LQI33" s="11"/>
      <c r="LTP33" s="47"/>
      <c r="LTU33" s="47"/>
      <c r="LTW33" s="11"/>
      <c r="LXD33" s="47"/>
      <c r="LXI33" s="47"/>
      <c r="LXK33" s="11"/>
      <c r="MAR33" s="47"/>
      <c r="MAW33" s="47"/>
      <c r="MAY33" s="11"/>
      <c r="MEF33" s="47"/>
      <c r="MEK33" s="47"/>
      <c r="MEM33" s="11"/>
      <c r="MHT33" s="47"/>
      <c r="MHY33" s="47"/>
      <c r="MIA33" s="11"/>
      <c r="MLH33" s="47"/>
      <c r="MLM33" s="47"/>
      <c r="MLO33" s="11"/>
      <c r="MOV33" s="47"/>
      <c r="MPA33" s="47"/>
      <c r="MPC33" s="11"/>
      <c r="MSJ33" s="47"/>
      <c r="MSO33" s="47"/>
      <c r="MSQ33" s="11"/>
      <c r="MVX33" s="47"/>
      <c r="MWC33" s="47"/>
      <c r="MWE33" s="11"/>
      <c r="MZL33" s="47"/>
      <c r="MZQ33" s="47"/>
      <c r="MZS33" s="11"/>
      <c r="NCZ33" s="47"/>
      <c r="NDE33" s="47"/>
      <c r="NDG33" s="11"/>
      <c r="NGN33" s="47"/>
      <c r="NGS33" s="47"/>
      <c r="NGU33" s="11"/>
      <c r="NKB33" s="47"/>
      <c r="NKG33" s="47"/>
      <c r="NKI33" s="11"/>
      <c r="NNP33" s="47"/>
      <c r="NNU33" s="47"/>
      <c r="NNW33" s="11"/>
      <c r="NRD33" s="47"/>
      <c r="NRI33" s="47"/>
      <c r="NRK33" s="11"/>
      <c r="NUR33" s="47"/>
      <c r="NUW33" s="47"/>
      <c r="NUY33" s="11"/>
      <c r="NYF33" s="47"/>
      <c r="NYK33" s="47"/>
      <c r="NYM33" s="11"/>
      <c r="OBT33" s="47"/>
      <c r="OBY33" s="47"/>
      <c r="OCA33" s="11"/>
      <c r="OFH33" s="47"/>
      <c r="OFM33" s="47"/>
      <c r="OFO33" s="11"/>
      <c r="OIV33" s="47"/>
      <c r="OJA33" s="47"/>
      <c r="OJC33" s="11"/>
      <c r="OMJ33" s="47"/>
      <c r="OMO33" s="47"/>
      <c r="OMQ33" s="11"/>
      <c r="OPX33" s="47"/>
      <c r="OQC33" s="47"/>
      <c r="OQE33" s="11"/>
      <c r="OTL33" s="47"/>
      <c r="OTQ33" s="47"/>
      <c r="OTS33" s="11"/>
      <c r="OWZ33" s="47"/>
      <c r="OXE33" s="47"/>
      <c r="OXG33" s="11"/>
      <c r="PAN33" s="47"/>
      <c r="PAS33" s="47"/>
      <c r="PAU33" s="11"/>
      <c r="PEB33" s="47"/>
      <c r="PEG33" s="47"/>
      <c r="PEI33" s="11"/>
      <c r="PHP33" s="47"/>
      <c r="PHU33" s="47"/>
      <c r="PHW33" s="11"/>
      <c r="PLD33" s="47"/>
      <c r="PLI33" s="47"/>
      <c r="PLK33" s="11"/>
      <c r="POR33" s="47"/>
      <c r="POW33" s="47"/>
      <c r="POY33" s="11"/>
      <c r="PSF33" s="47"/>
      <c r="PSK33" s="47"/>
      <c r="PSM33" s="11"/>
      <c r="PVT33" s="47"/>
      <c r="PVY33" s="47"/>
      <c r="PWA33" s="11"/>
      <c r="PZH33" s="47"/>
      <c r="PZM33" s="47"/>
      <c r="PZO33" s="11"/>
      <c r="QCV33" s="47"/>
      <c r="QDA33" s="47"/>
      <c r="QDC33" s="11"/>
      <c r="QGJ33" s="47"/>
      <c r="QGO33" s="47"/>
      <c r="QGQ33" s="11"/>
      <c r="QJX33" s="47"/>
      <c r="QKC33" s="47"/>
      <c r="QKE33" s="11"/>
      <c r="QNL33" s="47"/>
      <c r="QNQ33" s="47"/>
      <c r="QNS33" s="11"/>
      <c r="QQZ33" s="47"/>
      <c r="QRE33" s="47"/>
      <c r="QRG33" s="11"/>
      <c r="QUN33" s="47"/>
      <c r="QUS33" s="47"/>
      <c r="QUU33" s="11"/>
      <c r="QYB33" s="47"/>
      <c r="QYG33" s="47"/>
      <c r="QYI33" s="11"/>
      <c r="RBP33" s="47"/>
      <c r="RBU33" s="47"/>
      <c r="RBW33" s="11"/>
      <c r="RFD33" s="47"/>
      <c r="RFI33" s="47"/>
      <c r="RFK33" s="11"/>
      <c r="RIR33" s="47"/>
      <c r="RIW33" s="47"/>
      <c r="RIY33" s="11"/>
      <c r="RMF33" s="47"/>
      <c r="RMK33" s="47"/>
      <c r="RMM33" s="11"/>
      <c r="RPT33" s="47"/>
      <c r="RPY33" s="47"/>
      <c r="RQA33" s="11"/>
      <c r="RTH33" s="47"/>
      <c r="RTM33" s="47"/>
      <c r="RTO33" s="11"/>
      <c r="RWV33" s="47"/>
      <c r="RXA33" s="47"/>
      <c r="RXC33" s="11"/>
      <c r="SAJ33" s="47"/>
      <c r="SAO33" s="47"/>
      <c r="SAQ33" s="11"/>
      <c r="SDX33" s="47"/>
      <c r="SEC33" s="47"/>
      <c r="SEE33" s="11"/>
      <c r="SHL33" s="47"/>
      <c r="SHQ33" s="47"/>
      <c r="SHS33" s="11"/>
      <c r="SKZ33" s="47"/>
      <c r="SLE33" s="47"/>
      <c r="SLG33" s="11"/>
      <c r="SON33" s="47"/>
      <c r="SOS33" s="47"/>
      <c r="SOU33" s="11"/>
      <c r="SSB33" s="47"/>
      <c r="SSG33" s="47"/>
      <c r="SSI33" s="11"/>
      <c r="SVP33" s="47"/>
      <c r="SVU33" s="47"/>
      <c r="SVW33" s="11"/>
      <c r="SZD33" s="47"/>
      <c r="SZI33" s="47"/>
      <c r="SZK33" s="11"/>
      <c r="TCR33" s="47"/>
      <c r="TCW33" s="47"/>
      <c r="TCY33" s="11"/>
      <c r="TGF33" s="47"/>
      <c r="TGK33" s="47"/>
      <c r="TGM33" s="11"/>
      <c r="TJT33" s="47"/>
      <c r="TJY33" s="47"/>
      <c r="TKA33" s="11"/>
      <c r="TNH33" s="47"/>
      <c r="TNM33" s="47"/>
      <c r="TNO33" s="11"/>
      <c r="TQV33" s="47"/>
      <c r="TRA33" s="47"/>
      <c r="TRC33" s="11"/>
      <c r="TUJ33" s="47"/>
      <c r="TUO33" s="47"/>
      <c r="TUQ33" s="11"/>
      <c r="TXX33" s="47"/>
      <c r="TYC33" s="47"/>
      <c r="TYE33" s="11"/>
      <c r="UBL33" s="47"/>
      <c r="UBQ33" s="47"/>
      <c r="UBS33" s="11"/>
      <c r="UEZ33" s="47"/>
      <c r="UFE33" s="47"/>
      <c r="UFG33" s="11"/>
      <c r="UIN33" s="47"/>
      <c r="UIS33" s="47"/>
      <c r="UIU33" s="11"/>
      <c r="UMB33" s="47"/>
      <c r="UMG33" s="47"/>
      <c r="UMI33" s="11"/>
      <c r="UPP33" s="47"/>
      <c r="UPU33" s="47"/>
      <c r="UPW33" s="11"/>
      <c r="UTD33" s="47"/>
      <c r="UTI33" s="47"/>
      <c r="UTK33" s="11"/>
      <c r="UWR33" s="47"/>
      <c r="UWW33" s="47"/>
      <c r="UWY33" s="11"/>
      <c r="VAF33" s="47"/>
      <c r="VAK33" s="47"/>
      <c r="VAM33" s="11"/>
      <c r="VDT33" s="47"/>
      <c r="VDY33" s="47"/>
      <c r="VEA33" s="11"/>
      <c r="VHH33" s="47"/>
      <c r="VHM33" s="47"/>
      <c r="VHO33" s="11"/>
      <c r="VKV33" s="47"/>
      <c r="VLA33" s="47"/>
      <c r="VLC33" s="11"/>
      <c r="VOJ33" s="47"/>
      <c r="VOO33" s="47"/>
      <c r="VOQ33" s="11"/>
      <c r="VRX33" s="47"/>
      <c r="VSC33" s="47"/>
      <c r="VSE33" s="11"/>
      <c r="VVL33" s="47"/>
      <c r="VVQ33" s="47"/>
      <c r="VVS33" s="11"/>
      <c r="VYZ33" s="47"/>
      <c r="VZE33" s="47"/>
      <c r="VZG33" s="11"/>
      <c r="WCN33" s="47"/>
      <c r="WCS33" s="47"/>
      <c r="WCU33" s="11"/>
      <c r="WGB33" s="47"/>
      <c r="WGG33" s="47"/>
      <c r="WGI33" s="11"/>
      <c r="WJP33" s="47"/>
      <c r="WJU33" s="47"/>
      <c r="WJW33" s="11"/>
      <c r="WND33" s="47"/>
      <c r="WNI33" s="47"/>
      <c r="WNK33" s="11"/>
      <c r="WQR33" s="47"/>
      <c r="WQW33" s="47"/>
      <c r="WQY33" s="11"/>
      <c r="WUF33" s="47"/>
      <c r="WUK33" s="47"/>
      <c r="WUM33" s="11"/>
      <c r="WXT33" s="47"/>
      <c r="WXY33" s="47"/>
      <c r="WYA33" s="11"/>
      <c r="XBH33" s="47"/>
      <c r="XBM33" s="47"/>
      <c r="XBO33" s="11"/>
      <c r="XEV33" s="47"/>
      <c r="XFA33" s="47"/>
      <c r="XFC33" s="11"/>
    </row>
    <row r="34" spans="1:1019 1104:2031 2116:3043 3128:4055 4140:5067 5152:6079 6164:7091 7176:8188 8193:9207 9292:10219 10304:11231 11316:12243 12328:13255 13340:14267 14352:15279 15364:16383" s="10" customFormat="1" ht="14.5" customHeight="1">
      <c r="C34" s="367" t="s">
        <v>1017</v>
      </c>
      <c r="E34" s="47"/>
      <c r="G34" s="11"/>
      <c r="CS34" s="47"/>
      <c r="CU34" s="11"/>
      <c r="GB34" s="47"/>
      <c r="GG34" s="47"/>
      <c r="GI34" s="11"/>
      <c r="JP34" s="47"/>
      <c r="JU34" s="47"/>
      <c r="JW34" s="11"/>
      <c r="ND34" s="47"/>
      <c r="NI34" s="47"/>
      <c r="NK34" s="11"/>
      <c r="QR34" s="47"/>
      <c r="QW34" s="47"/>
      <c r="QY34" s="11"/>
      <c r="UF34" s="47"/>
      <c r="UK34" s="47"/>
      <c r="UM34" s="11"/>
      <c r="XT34" s="47"/>
      <c r="XY34" s="47"/>
      <c r="YA34" s="11"/>
      <c r="ABH34" s="47"/>
      <c r="ABM34" s="47"/>
      <c r="ABO34" s="11"/>
      <c r="AEV34" s="47"/>
      <c r="AFA34" s="47"/>
      <c r="AFC34" s="11"/>
      <c r="AIJ34" s="47"/>
      <c r="AIO34" s="47"/>
      <c r="AIQ34" s="11"/>
      <c r="ALX34" s="47"/>
      <c r="AMC34" s="47"/>
      <c r="AME34" s="11"/>
      <c r="APL34" s="47"/>
      <c r="APQ34" s="47"/>
      <c r="APS34" s="11"/>
      <c r="ASZ34" s="47"/>
      <c r="ATE34" s="47"/>
      <c r="ATG34" s="11"/>
      <c r="AWN34" s="47"/>
      <c r="AWS34" s="47"/>
      <c r="AWU34" s="11"/>
      <c r="BAB34" s="47"/>
      <c r="BAG34" s="47"/>
      <c r="BAI34" s="11"/>
      <c r="BDP34" s="47"/>
      <c r="BDU34" s="47"/>
      <c r="BDW34" s="11"/>
      <c r="BHD34" s="47"/>
      <c r="BHI34" s="47"/>
      <c r="BHK34" s="11"/>
      <c r="BKR34" s="47"/>
      <c r="BKW34" s="47"/>
      <c r="BKY34" s="11"/>
      <c r="BOF34" s="47"/>
      <c r="BOK34" s="47"/>
      <c r="BOM34" s="11"/>
      <c r="BRT34" s="47"/>
      <c r="BRY34" s="47"/>
      <c r="BSA34" s="11"/>
      <c r="BVH34" s="47"/>
      <c r="BVM34" s="47"/>
      <c r="BVO34" s="11"/>
      <c r="BYV34" s="47"/>
      <c r="BZA34" s="47"/>
      <c r="BZC34" s="11"/>
      <c r="CCJ34" s="47"/>
      <c r="CCO34" s="47"/>
      <c r="CCQ34" s="11"/>
      <c r="CFX34" s="47"/>
      <c r="CGC34" s="47"/>
      <c r="CGE34" s="11"/>
      <c r="CJL34" s="47"/>
      <c r="CJQ34" s="47"/>
      <c r="CJS34" s="11"/>
      <c r="CMZ34" s="47"/>
      <c r="CNE34" s="47"/>
      <c r="CNG34" s="11"/>
      <c r="CQN34" s="47"/>
      <c r="CQS34" s="47"/>
      <c r="CQU34" s="11"/>
      <c r="CUB34" s="47"/>
      <c r="CUG34" s="47"/>
      <c r="CUI34" s="11"/>
      <c r="CXP34" s="47"/>
      <c r="CXU34" s="47"/>
      <c r="CXW34" s="11"/>
      <c r="DBD34" s="47"/>
      <c r="DBI34" s="47"/>
      <c r="DBK34" s="11"/>
      <c r="DER34" s="47"/>
      <c r="DEW34" s="47"/>
      <c r="DEY34" s="11"/>
      <c r="DIF34" s="47"/>
      <c r="DIK34" s="47"/>
      <c r="DIM34" s="11"/>
      <c r="DLT34" s="47"/>
      <c r="DLY34" s="47"/>
      <c r="DMA34" s="11"/>
      <c r="DPH34" s="47"/>
      <c r="DPM34" s="47"/>
      <c r="DPO34" s="11"/>
      <c r="DSV34" s="47"/>
      <c r="DTA34" s="47"/>
      <c r="DTC34" s="11"/>
      <c r="DWJ34" s="47"/>
      <c r="DWO34" s="47"/>
      <c r="DWQ34" s="11"/>
      <c r="DZX34" s="47"/>
      <c r="EAC34" s="47"/>
      <c r="EAE34" s="11"/>
      <c r="EDL34" s="47"/>
      <c r="EDQ34" s="47"/>
      <c r="EDS34" s="11"/>
      <c r="EGZ34" s="47"/>
      <c r="EHE34" s="47"/>
      <c r="EHG34" s="11"/>
      <c r="EKN34" s="47"/>
      <c r="EKS34" s="47"/>
      <c r="EKU34" s="11"/>
      <c r="EOB34" s="47"/>
      <c r="EOG34" s="47"/>
      <c r="EOI34" s="11"/>
      <c r="ERP34" s="47"/>
      <c r="ERU34" s="47"/>
      <c r="ERW34" s="11"/>
      <c r="EVD34" s="47"/>
      <c r="EVI34" s="47"/>
      <c r="EVK34" s="11"/>
      <c r="EYR34" s="47"/>
      <c r="EYW34" s="47"/>
      <c r="EYY34" s="11"/>
      <c r="FCF34" s="47"/>
      <c r="FCK34" s="47"/>
      <c r="FCM34" s="11"/>
      <c r="FFT34" s="47"/>
      <c r="FFY34" s="47"/>
      <c r="FGA34" s="11"/>
      <c r="FJH34" s="47"/>
      <c r="FJM34" s="47"/>
      <c r="FJO34" s="11"/>
      <c r="FMV34" s="47"/>
      <c r="FNA34" s="47"/>
      <c r="FNC34" s="11"/>
      <c r="FQJ34" s="47"/>
      <c r="FQO34" s="47"/>
      <c r="FQQ34" s="11"/>
      <c r="FTX34" s="47"/>
      <c r="FUC34" s="47"/>
      <c r="FUE34" s="11"/>
      <c r="FXL34" s="47"/>
      <c r="FXQ34" s="47"/>
      <c r="FXS34" s="11"/>
      <c r="GAZ34" s="47"/>
      <c r="GBE34" s="47"/>
      <c r="GBG34" s="11"/>
      <c r="GEN34" s="47"/>
      <c r="GES34" s="47"/>
      <c r="GEU34" s="11"/>
      <c r="GIB34" s="47"/>
      <c r="GIG34" s="47"/>
      <c r="GII34" s="11"/>
      <c r="GLP34" s="47"/>
      <c r="GLU34" s="47"/>
      <c r="GLW34" s="11"/>
      <c r="GPD34" s="47"/>
      <c r="GPI34" s="47"/>
      <c r="GPK34" s="11"/>
      <c r="GSR34" s="47"/>
      <c r="GSW34" s="47"/>
      <c r="GSY34" s="11"/>
      <c r="GWF34" s="47"/>
      <c r="GWK34" s="47"/>
      <c r="GWM34" s="11"/>
      <c r="GZT34" s="47"/>
      <c r="GZY34" s="47"/>
      <c r="HAA34" s="11"/>
      <c r="HDH34" s="47"/>
      <c r="HDM34" s="47"/>
      <c r="HDO34" s="11"/>
      <c r="HGV34" s="47"/>
      <c r="HHA34" s="47"/>
      <c r="HHC34" s="11"/>
      <c r="HKJ34" s="47"/>
      <c r="HKO34" s="47"/>
      <c r="HKQ34" s="11"/>
      <c r="HNX34" s="47"/>
      <c r="HOC34" s="47"/>
      <c r="HOE34" s="11"/>
      <c r="HRL34" s="47"/>
      <c r="HRQ34" s="47"/>
      <c r="HRS34" s="11"/>
      <c r="HUZ34" s="47"/>
      <c r="HVE34" s="47"/>
      <c r="HVG34" s="11"/>
      <c r="HYN34" s="47"/>
      <c r="HYS34" s="47"/>
      <c r="HYU34" s="11"/>
      <c r="ICB34" s="47"/>
      <c r="ICG34" s="47"/>
      <c r="ICI34" s="11"/>
      <c r="IFP34" s="47"/>
      <c r="IFU34" s="47"/>
      <c r="IFW34" s="11"/>
      <c r="IJD34" s="47"/>
      <c r="IJI34" s="47"/>
      <c r="IJK34" s="11"/>
      <c r="IMR34" s="47"/>
      <c r="IMW34" s="47"/>
      <c r="IMY34" s="11"/>
      <c r="IQF34" s="47"/>
      <c r="IQK34" s="47"/>
      <c r="IQM34" s="11"/>
      <c r="ITT34" s="47"/>
      <c r="ITY34" s="47"/>
      <c r="IUA34" s="11"/>
      <c r="IXH34" s="47"/>
      <c r="IXM34" s="47"/>
      <c r="IXO34" s="11"/>
      <c r="JAV34" s="47"/>
      <c r="JBA34" s="47"/>
      <c r="JBC34" s="11"/>
      <c r="JEJ34" s="47"/>
      <c r="JEO34" s="47"/>
      <c r="JEQ34" s="11"/>
      <c r="JHX34" s="47"/>
      <c r="JIC34" s="47"/>
      <c r="JIE34" s="11"/>
      <c r="JLL34" s="47"/>
      <c r="JLQ34" s="47"/>
      <c r="JLS34" s="11"/>
      <c r="JOZ34" s="47"/>
      <c r="JPE34" s="47"/>
      <c r="JPG34" s="11"/>
      <c r="JSN34" s="47"/>
      <c r="JSS34" s="47"/>
      <c r="JSU34" s="11"/>
      <c r="JWB34" s="47"/>
      <c r="JWG34" s="47"/>
      <c r="JWI34" s="11"/>
      <c r="JZP34" s="47"/>
      <c r="JZU34" s="47"/>
      <c r="JZW34" s="11"/>
      <c r="KDD34" s="47"/>
      <c r="KDI34" s="47"/>
      <c r="KDK34" s="11"/>
      <c r="KGR34" s="47"/>
      <c r="KGW34" s="47"/>
      <c r="KGY34" s="11"/>
      <c r="KKF34" s="47"/>
      <c r="KKK34" s="47"/>
      <c r="KKM34" s="11"/>
      <c r="KNT34" s="47"/>
      <c r="KNY34" s="47"/>
      <c r="KOA34" s="11"/>
      <c r="KRH34" s="47"/>
      <c r="KRM34" s="47"/>
      <c r="KRO34" s="11"/>
      <c r="KUV34" s="47"/>
      <c r="KVA34" s="47"/>
      <c r="KVC34" s="11"/>
      <c r="KYJ34" s="47"/>
      <c r="KYO34" s="47"/>
      <c r="KYQ34" s="11"/>
      <c r="LBX34" s="47"/>
      <c r="LCC34" s="47"/>
      <c r="LCE34" s="11"/>
      <c r="LFL34" s="47"/>
      <c r="LFQ34" s="47"/>
      <c r="LFS34" s="11"/>
      <c r="LIZ34" s="47"/>
      <c r="LJE34" s="47"/>
      <c r="LJG34" s="11"/>
      <c r="LMN34" s="47"/>
      <c r="LMS34" s="47"/>
      <c r="LMU34" s="11"/>
      <c r="LQB34" s="47"/>
      <c r="LQG34" s="47"/>
      <c r="LQI34" s="11"/>
      <c r="LTP34" s="47"/>
      <c r="LTU34" s="47"/>
      <c r="LTW34" s="11"/>
      <c r="LXD34" s="47"/>
      <c r="LXI34" s="47"/>
      <c r="LXK34" s="11"/>
      <c r="MAR34" s="47"/>
      <c r="MAW34" s="47"/>
      <c r="MAY34" s="11"/>
      <c r="MEF34" s="47"/>
      <c r="MEK34" s="47"/>
      <c r="MEM34" s="11"/>
      <c r="MHT34" s="47"/>
      <c r="MHY34" s="47"/>
      <c r="MIA34" s="11"/>
      <c r="MLH34" s="47"/>
      <c r="MLM34" s="47"/>
      <c r="MLO34" s="11"/>
      <c r="MOV34" s="47"/>
      <c r="MPA34" s="47"/>
      <c r="MPC34" s="11"/>
      <c r="MSJ34" s="47"/>
      <c r="MSO34" s="47"/>
      <c r="MSQ34" s="11"/>
      <c r="MVX34" s="47"/>
      <c r="MWC34" s="47"/>
      <c r="MWE34" s="11"/>
      <c r="MZL34" s="47"/>
      <c r="MZQ34" s="47"/>
      <c r="MZS34" s="11"/>
      <c r="NCZ34" s="47"/>
      <c r="NDE34" s="47"/>
      <c r="NDG34" s="11"/>
      <c r="NGN34" s="47"/>
      <c r="NGS34" s="47"/>
      <c r="NGU34" s="11"/>
      <c r="NKB34" s="47"/>
      <c r="NKG34" s="47"/>
      <c r="NKI34" s="11"/>
      <c r="NNP34" s="47"/>
      <c r="NNU34" s="47"/>
      <c r="NNW34" s="11"/>
      <c r="NRD34" s="47"/>
      <c r="NRI34" s="47"/>
      <c r="NRK34" s="11"/>
      <c r="NUR34" s="47"/>
      <c r="NUW34" s="47"/>
      <c r="NUY34" s="11"/>
      <c r="NYF34" s="47"/>
      <c r="NYK34" s="47"/>
      <c r="NYM34" s="11"/>
      <c r="OBT34" s="47"/>
      <c r="OBY34" s="47"/>
      <c r="OCA34" s="11"/>
      <c r="OFH34" s="47"/>
      <c r="OFM34" s="47"/>
      <c r="OFO34" s="11"/>
      <c r="OIV34" s="47"/>
      <c r="OJA34" s="47"/>
      <c r="OJC34" s="11"/>
      <c r="OMJ34" s="47"/>
      <c r="OMO34" s="47"/>
      <c r="OMQ34" s="11"/>
      <c r="OPX34" s="47"/>
      <c r="OQC34" s="47"/>
      <c r="OQE34" s="11"/>
      <c r="OTL34" s="47"/>
      <c r="OTQ34" s="47"/>
      <c r="OTS34" s="11"/>
      <c r="OWZ34" s="47"/>
      <c r="OXE34" s="47"/>
      <c r="OXG34" s="11"/>
      <c r="PAN34" s="47"/>
      <c r="PAS34" s="47"/>
      <c r="PAU34" s="11"/>
      <c r="PEB34" s="47"/>
      <c r="PEG34" s="47"/>
      <c r="PEI34" s="11"/>
      <c r="PHP34" s="47"/>
      <c r="PHU34" s="47"/>
      <c r="PHW34" s="11"/>
      <c r="PLD34" s="47"/>
      <c r="PLI34" s="47"/>
      <c r="PLK34" s="11"/>
      <c r="POR34" s="47"/>
      <c r="POW34" s="47"/>
      <c r="POY34" s="11"/>
      <c r="PSF34" s="47"/>
      <c r="PSK34" s="47"/>
      <c r="PSM34" s="11"/>
      <c r="PVT34" s="47"/>
      <c r="PVY34" s="47"/>
      <c r="PWA34" s="11"/>
      <c r="PZH34" s="47"/>
      <c r="PZM34" s="47"/>
      <c r="PZO34" s="11"/>
      <c r="QCV34" s="47"/>
      <c r="QDA34" s="47"/>
      <c r="QDC34" s="11"/>
      <c r="QGJ34" s="47"/>
      <c r="QGO34" s="47"/>
      <c r="QGQ34" s="11"/>
      <c r="QJX34" s="47"/>
      <c r="QKC34" s="47"/>
      <c r="QKE34" s="11"/>
      <c r="QNL34" s="47"/>
      <c r="QNQ34" s="47"/>
      <c r="QNS34" s="11"/>
      <c r="QQZ34" s="47"/>
      <c r="QRE34" s="47"/>
      <c r="QRG34" s="11"/>
      <c r="QUN34" s="47"/>
      <c r="QUS34" s="47"/>
      <c r="QUU34" s="11"/>
      <c r="QYB34" s="47"/>
      <c r="QYG34" s="47"/>
      <c r="QYI34" s="11"/>
      <c r="RBP34" s="47"/>
      <c r="RBU34" s="47"/>
      <c r="RBW34" s="11"/>
      <c r="RFD34" s="47"/>
      <c r="RFI34" s="47"/>
      <c r="RFK34" s="11"/>
      <c r="RIR34" s="47"/>
      <c r="RIW34" s="47"/>
      <c r="RIY34" s="11"/>
      <c r="RMF34" s="47"/>
      <c r="RMK34" s="47"/>
      <c r="RMM34" s="11"/>
      <c r="RPT34" s="47"/>
      <c r="RPY34" s="47"/>
      <c r="RQA34" s="11"/>
      <c r="RTH34" s="47"/>
      <c r="RTM34" s="47"/>
      <c r="RTO34" s="11"/>
      <c r="RWV34" s="47"/>
      <c r="RXA34" s="47"/>
      <c r="RXC34" s="11"/>
      <c r="SAJ34" s="47"/>
      <c r="SAO34" s="47"/>
      <c r="SAQ34" s="11"/>
      <c r="SDX34" s="47"/>
      <c r="SEC34" s="47"/>
      <c r="SEE34" s="11"/>
      <c r="SHL34" s="47"/>
      <c r="SHQ34" s="47"/>
      <c r="SHS34" s="11"/>
      <c r="SKZ34" s="47"/>
      <c r="SLE34" s="47"/>
      <c r="SLG34" s="11"/>
      <c r="SON34" s="47"/>
      <c r="SOS34" s="47"/>
      <c r="SOU34" s="11"/>
      <c r="SSB34" s="47"/>
      <c r="SSG34" s="47"/>
      <c r="SSI34" s="11"/>
      <c r="SVP34" s="47"/>
      <c r="SVU34" s="47"/>
      <c r="SVW34" s="11"/>
      <c r="SZD34" s="47"/>
      <c r="SZI34" s="47"/>
      <c r="SZK34" s="11"/>
      <c r="TCR34" s="47"/>
      <c r="TCW34" s="47"/>
      <c r="TCY34" s="11"/>
      <c r="TGF34" s="47"/>
      <c r="TGK34" s="47"/>
      <c r="TGM34" s="11"/>
      <c r="TJT34" s="47"/>
      <c r="TJY34" s="47"/>
      <c r="TKA34" s="11"/>
      <c r="TNH34" s="47"/>
      <c r="TNM34" s="47"/>
      <c r="TNO34" s="11"/>
      <c r="TQV34" s="47"/>
      <c r="TRA34" s="47"/>
      <c r="TRC34" s="11"/>
      <c r="TUJ34" s="47"/>
      <c r="TUO34" s="47"/>
      <c r="TUQ34" s="11"/>
      <c r="TXX34" s="47"/>
      <c r="TYC34" s="47"/>
      <c r="TYE34" s="11"/>
      <c r="UBL34" s="47"/>
      <c r="UBQ34" s="47"/>
      <c r="UBS34" s="11"/>
      <c r="UEZ34" s="47"/>
      <c r="UFE34" s="47"/>
      <c r="UFG34" s="11"/>
      <c r="UIN34" s="47"/>
      <c r="UIS34" s="47"/>
      <c r="UIU34" s="11"/>
      <c r="UMB34" s="47"/>
      <c r="UMG34" s="47"/>
      <c r="UMI34" s="11"/>
      <c r="UPP34" s="47"/>
      <c r="UPU34" s="47"/>
      <c r="UPW34" s="11"/>
      <c r="UTD34" s="47"/>
      <c r="UTI34" s="47"/>
      <c r="UTK34" s="11"/>
      <c r="UWR34" s="47"/>
      <c r="UWW34" s="47"/>
      <c r="UWY34" s="11"/>
      <c r="VAF34" s="47"/>
      <c r="VAK34" s="47"/>
      <c r="VAM34" s="11"/>
      <c r="VDT34" s="47"/>
      <c r="VDY34" s="47"/>
      <c r="VEA34" s="11"/>
      <c r="VHH34" s="47"/>
      <c r="VHM34" s="47"/>
      <c r="VHO34" s="11"/>
      <c r="VKV34" s="47"/>
      <c r="VLA34" s="47"/>
      <c r="VLC34" s="11"/>
      <c r="VOJ34" s="47"/>
      <c r="VOO34" s="47"/>
      <c r="VOQ34" s="11"/>
      <c r="VRX34" s="47"/>
      <c r="VSC34" s="47"/>
      <c r="VSE34" s="11"/>
      <c r="VVL34" s="47"/>
      <c r="VVQ34" s="47"/>
      <c r="VVS34" s="11"/>
      <c r="VYZ34" s="47"/>
      <c r="VZE34" s="47"/>
      <c r="VZG34" s="11"/>
      <c r="WCN34" s="47"/>
      <c r="WCS34" s="47"/>
      <c r="WCU34" s="11"/>
      <c r="WGB34" s="47"/>
      <c r="WGG34" s="47"/>
      <c r="WGI34" s="11"/>
      <c r="WJP34" s="47"/>
      <c r="WJU34" s="47"/>
      <c r="WJW34" s="11"/>
      <c r="WND34" s="47"/>
      <c r="WNI34" s="47"/>
      <c r="WNK34" s="11"/>
      <c r="WQR34" s="47"/>
      <c r="WQW34" s="47"/>
      <c r="WQY34" s="11"/>
      <c r="WUF34" s="47"/>
      <c r="WUK34" s="47"/>
      <c r="WUM34" s="11"/>
      <c r="WXT34" s="47"/>
      <c r="WXY34" s="47"/>
      <c r="WYA34" s="11"/>
      <c r="XBH34" s="47"/>
      <c r="XBM34" s="47"/>
      <c r="XBO34" s="11"/>
      <c r="XEV34" s="47"/>
      <c r="XFA34" s="47"/>
      <c r="XFC34" s="11"/>
    </row>
    <row r="35" spans="1:1019 1104:2031 2116:3043 3128:4055 4140:5067 5152:6079 6164:7091 7176:8188 8193:9207 9292:10219 10304:11231 11316:12243 12328:13255 13340:14267 14352:15279 15364:16383" s="10" customFormat="1" ht="14.5" customHeight="1">
      <c r="C35" s="17" t="s">
        <v>1018</v>
      </c>
      <c r="E35" s="47"/>
      <c r="G35" s="11" t="str">
        <f>Monetary_Unit</f>
        <v>тыс. руб.</v>
      </c>
      <c r="I35" s="23">
        <f t="shared" ref="I35:I37" ca="1" si="18">SUM(L35:CM35)</f>
        <v>0</v>
      </c>
      <c r="L35" s="10">
        <f t="shared" ref="L35:AQ35" ca="1" si="19" xml:space="preserve"> L106 * (Flag_Construction)</f>
        <v>0</v>
      </c>
      <c r="M35" s="10">
        <f t="shared" ca="1" si="19"/>
        <v>0</v>
      </c>
      <c r="N35" s="10">
        <f t="shared" ca="1" si="19"/>
        <v>0</v>
      </c>
      <c r="O35" s="10">
        <f t="shared" ca="1" si="19"/>
        <v>0</v>
      </c>
      <c r="P35" s="10">
        <f t="shared" ca="1" si="19"/>
        <v>0</v>
      </c>
      <c r="Q35" s="10">
        <f t="shared" ca="1" si="19"/>
        <v>0</v>
      </c>
      <c r="R35" s="10">
        <f t="shared" ca="1" si="19"/>
        <v>0</v>
      </c>
      <c r="S35" s="10">
        <f t="shared" ca="1" si="19"/>
        <v>0</v>
      </c>
      <c r="T35" s="10">
        <f t="shared" ca="1" si="19"/>
        <v>0</v>
      </c>
      <c r="U35" s="10">
        <f t="shared" ca="1" si="19"/>
        <v>0</v>
      </c>
      <c r="V35" s="10">
        <f t="shared" ca="1" si="19"/>
        <v>0</v>
      </c>
      <c r="W35" s="10">
        <f t="shared" ca="1" si="19"/>
        <v>0</v>
      </c>
      <c r="X35" s="10">
        <f t="shared" ca="1" si="19"/>
        <v>0</v>
      </c>
      <c r="Y35" s="10">
        <f t="shared" ca="1" si="19"/>
        <v>0</v>
      </c>
      <c r="Z35" s="10">
        <f t="shared" ca="1" si="19"/>
        <v>0</v>
      </c>
      <c r="AA35" s="10">
        <f t="shared" ca="1" si="19"/>
        <v>0</v>
      </c>
      <c r="AB35" s="10">
        <f t="shared" ca="1" si="19"/>
        <v>0</v>
      </c>
      <c r="AC35" s="10">
        <f t="shared" ca="1" si="19"/>
        <v>0</v>
      </c>
      <c r="AD35" s="10">
        <f t="shared" ca="1" si="19"/>
        <v>0</v>
      </c>
      <c r="AE35" s="10">
        <f t="shared" ca="1" si="19"/>
        <v>0</v>
      </c>
      <c r="AF35" s="10">
        <f t="shared" ca="1" si="19"/>
        <v>0</v>
      </c>
      <c r="AG35" s="10">
        <f t="shared" ca="1" si="19"/>
        <v>0</v>
      </c>
      <c r="AH35" s="10">
        <f t="shared" ca="1" si="19"/>
        <v>0</v>
      </c>
      <c r="AI35" s="10">
        <f t="shared" ca="1" si="19"/>
        <v>0</v>
      </c>
      <c r="AJ35" s="10">
        <f t="shared" ca="1" si="19"/>
        <v>0</v>
      </c>
      <c r="AK35" s="10">
        <f t="shared" ca="1" si="19"/>
        <v>0</v>
      </c>
      <c r="AL35" s="10">
        <f t="shared" ca="1" si="19"/>
        <v>0</v>
      </c>
      <c r="AM35" s="10">
        <f t="shared" ca="1" si="19"/>
        <v>0</v>
      </c>
      <c r="AN35" s="10">
        <f t="shared" ca="1" si="19"/>
        <v>0</v>
      </c>
      <c r="AO35" s="10">
        <f t="shared" ca="1" si="19"/>
        <v>0</v>
      </c>
      <c r="AP35" s="10">
        <f t="shared" ca="1" si="19"/>
        <v>0</v>
      </c>
      <c r="AQ35" s="10">
        <f t="shared" ca="1" si="19"/>
        <v>0</v>
      </c>
      <c r="AR35" s="10">
        <f t="shared" ref="AR35:BW35" ca="1" si="20" xml:space="preserve"> AR106 * (Flag_Construction)</f>
        <v>0</v>
      </c>
      <c r="AS35" s="10">
        <f t="shared" ca="1" si="20"/>
        <v>0</v>
      </c>
      <c r="AT35" s="10">
        <f t="shared" ca="1" si="20"/>
        <v>0</v>
      </c>
      <c r="AU35" s="10">
        <f t="shared" ca="1" si="20"/>
        <v>0</v>
      </c>
      <c r="AV35" s="10">
        <f t="shared" ca="1" si="20"/>
        <v>0</v>
      </c>
      <c r="AW35" s="10">
        <f t="shared" ca="1" si="20"/>
        <v>0</v>
      </c>
      <c r="AX35" s="10">
        <f t="shared" ca="1" si="20"/>
        <v>0</v>
      </c>
      <c r="AY35" s="10">
        <f t="shared" ca="1" si="20"/>
        <v>0</v>
      </c>
      <c r="AZ35" s="10">
        <f t="shared" ca="1" si="20"/>
        <v>0</v>
      </c>
      <c r="BA35" s="10">
        <f t="shared" ca="1" si="20"/>
        <v>0</v>
      </c>
      <c r="BB35" s="10">
        <f t="shared" ca="1" si="20"/>
        <v>0</v>
      </c>
      <c r="BC35" s="10">
        <f t="shared" ca="1" si="20"/>
        <v>0</v>
      </c>
      <c r="BD35" s="10">
        <f t="shared" ca="1" si="20"/>
        <v>0</v>
      </c>
      <c r="BE35" s="10">
        <f t="shared" ca="1" si="20"/>
        <v>0</v>
      </c>
      <c r="BF35" s="10">
        <f t="shared" ca="1" si="20"/>
        <v>0</v>
      </c>
      <c r="BG35" s="10">
        <f t="shared" ca="1" si="20"/>
        <v>0</v>
      </c>
      <c r="BH35" s="10">
        <f t="shared" ca="1" si="20"/>
        <v>0</v>
      </c>
      <c r="BI35" s="10">
        <f t="shared" ca="1" si="20"/>
        <v>0</v>
      </c>
      <c r="BJ35" s="10">
        <f t="shared" ca="1" si="20"/>
        <v>0</v>
      </c>
      <c r="BK35" s="10">
        <f t="shared" ca="1" si="20"/>
        <v>0</v>
      </c>
      <c r="BL35" s="10">
        <f t="shared" ca="1" si="20"/>
        <v>0</v>
      </c>
      <c r="BM35" s="10">
        <f t="shared" ca="1" si="20"/>
        <v>0</v>
      </c>
      <c r="BN35" s="10">
        <f t="shared" ca="1" si="20"/>
        <v>0</v>
      </c>
      <c r="BO35" s="10">
        <f t="shared" ca="1" si="20"/>
        <v>0</v>
      </c>
      <c r="BP35" s="10">
        <f t="shared" ca="1" si="20"/>
        <v>0</v>
      </c>
      <c r="BQ35" s="10">
        <f t="shared" ca="1" si="20"/>
        <v>0</v>
      </c>
      <c r="BR35" s="10">
        <f t="shared" ca="1" si="20"/>
        <v>0</v>
      </c>
      <c r="BS35" s="10">
        <f t="shared" ca="1" si="20"/>
        <v>0</v>
      </c>
      <c r="BT35" s="10">
        <f t="shared" ca="1" si="20"/>
        <v>0</v>
      </c>
      <c r="BU35" s="10">
        <f t="shared" ca="1" si="20"/>
        <v>0</v>
      </c>
      <c r="BV35" s="10">
        <f t="shared" ca="1" si="20"/>
        <v>0</v>
      </c>
      <c r="BW35" s="10">
        <f t="shared" ca="1" si="20"/>
        <v>0</v>
      </c>
      <c r="BX35" s="10">
        <f t="shared" ref="BX35:CM35" ca="1" si="21" xml:space="preserve"> BX106 * (Flag_Construction)</f>
        <v>0</v>
      </c>
      <c r="BY35" s="10">
        <f t="shared" ca="1" si="21"/>
        <v>0</v>
      </c>
      <c r="BZ35" s="10">
        <f t="shared" ca="1" si="21"/>
        <v>0</v>
      </c>
      <c r="CA35" s="10">
        <f t="shared" ca="1" si="21"/>
        <v>0</v>
      </c>
      <c r="CB35" s="10">
        <f t="shared" ca="1" si="21"/>
        <v>0</v>
      </c>
      <c r="CC35" s="10">
        <f t="shared" ca="1" si="21"/>
        <v>0</v>
      </c>
      <c r="CD35" s="10">
        <f t="shared" ca="1" si="21"/>
        <v>0</v>
      </c>
      <c r="CE35" s="10">
        <f t="shared" ca="1" si="21"/>
        <v>0</v>
      </c>
      <c r="CF35" s="10">
        <f t="shared" ca="1" si="21"/>
        <v>0</v>
      </c>
      <c r="CG35" s="10">
        <f t="shared" ca="1" si="21"/>
        <v>0</v>
      </c>
      <c r="CH35" s="10">
        <f t="shared" ca="1" si="21"/>
        <v>0</v>
      </c>
      <c r="CI35" s="10">
        <f t="shared" ca="1" si="21"/>
        <v>0</v>
      </c>
      <c r="CJ35" s="10">
        <f t="shared" ca="1" si="21"/>
        <v>0</v>
      </c>
      <c r="CK35" s="10">
        <f t="shared" ca="1" si="21"/>
        <v>0</v>
      </c>
      <c r="CL35" s="10">
        <f t="shared" ca="1" si="21"/>
        <v>0</v>
      </c>
      <c r="CM35" s="10">
        <f t="shared" ca="1" si="21"/>
        <v>0</v>
      </c>
      <c r="CN35" s="10">
        <f t="shared" ref="CN35:CO35" ca="1" si="22" xml:space="preserve"> CN106 * (Flag_Construction)</f>
        <v>0</v>
      </c>
      <c r="CO35" s="10">
        <f t="shared" ca="1" si="22"/>
        <v>0</v>
      </c>
      <c r="CS35" s="47"/>
      <c r="CU35" s="11"/>
      <c r="GB35" s="47"/>
      <c r="GG35" s="47"/>
      <c r="GI35" s="11"/>
      <c r="JP35" s="47"/>
      <c r="JU35" s="47"/>
      <c r="JW35" s="11"/>
      <c r="ND35" s="47"/>
      <c r="NI35" s="47"/>
      <c r="NK35" s="11"/>
      <c r="QR35" s="47"/>
      <c r="QW35" s="47"/>
      <c r="QY35" s="11"/>
      <c r="UF35" s="47"/>
      <c r="UK35" s="47"/>
      <c r="UM35" s="11"/>
      <c r="XT35" s="47"/>
      <c r="XY35" s="47"/>
      <c r="YA35" s="11"/>
      <c r="ABH35" s="47"/>
      <c r="ABM35" s="47"/>
      <c r="ABO35" s="11"/>
      <c r="AEV35" s="47"/>
      <c r="AFA35" s="47"/>
      <c r="AFC35" s="11"/>
      <c r="AIJ35" s="47"/>
      <c r="AIO35" s="47"/>
      <c r="AIQ35" s="11"/>
      <c r="ALX35" s="47"/>
      <c r="AMC35" s="47"/>
      <c r="AME35" s="11"/>
      <c r="APL35" s="47"/>
      <c r="APQ35" s="47"/>
      <c r="APS35" s="11"/>
      <c r="ASZ35" s="47"/>
      <c r="ATE35" s="47"/>
      <c r="ATG35" s="11"/>
      <c r="AWN35" s="47"/>
      <c r="AWS35" s="47"/>
      <c r="AWU35" s="11"/>
      <c r="BAB35" s="47"/>
      <c r="BAG35" s="47"/>
      <c r="BAI35" s="11"/>
      <c r="BDP35" s="47"/>
      <c r="BDU35" s="47"/>
      <c r="BDW35" s="11"/>
      <c r="BHD35" s="47"/>
      <c r="BHI35" s="47"/>
      <c r="BHK35" s="11"/>
      <c r="BKR35" s="47"/>
      <c r="BKW35" s="47"/>
      <c r="BKY35" s="11"/>
      <c r="BOF35" s="47"/>
      <c r="BOK35" s="47"/>
      <c r="BOM35" s="11"/>
      <c r="BRT35" s="47"/>
      <c r="BRY35" s="47"/>
      <c r="BSA35" s="11"/>
      <c r="BVH35" s="47"/>
      <c r="BVM35" s="47"/>
      <c r="BVO35" s="11"/>
      <c r="BYV35" s="47"/>
      <c r="BZA35" s="47"/>
      <c r="BZC35" s="11"/>
      <c r="CCJ35" s="47"/>
      <c r="CCO35" s="47"/>
      <c r="CCQ35" s="11"/>
      <c r="CFX35" s="47"/>
      <c r="CGC35" s="47"/>
      <c r="CGE35" s="11"/>
      <c r="CJL35" s="47"/>
      <c r="CJQ35" s="47"/>
      <c r="CJS35" s="11"/>
      <c r="CMZ35" s="47"/>
      <c r="CNE35" s="47"/>
      <c r="CNG35" s="11"/>
      <c r="CQN35" s="47"/>
      <c r="CQS35" s="47"/>
      <c r="CQU35" s="11"/>
      <c r="CUB35" s="47"/>
      <c r="CUG35" s="47"/>
      <c r="CUI35" s="11"/>
      <c r="CXP35" s="47"/>
      <c r="CXU35" s="47"/>
      <c r="CXW35" s="11"/>
      <c r="DBD35" s="47"/>
      <c r="DBI35" s="47"/>
      <c r="DBK35" s="11"/>
      <c r="DER35" s="47"/>
      <c r="DEW35" s="47"/>
      <c r="DEY35" s="11"/>
      <c r="DIF35" s="47"/>
      <c r="DIK35" s="47"/>
      <c r="DIM35" s="11"/>
      <c r="DLT35" s="47"/>
      <c r="DLY35" s="47"/>
      <c r="DMA35" s="11"/>
      <c r="DPH35" s="47"/>
      <c r="DPM35" s="47"/>
      <c r="DPO35" s="11"/>
      <c r="DSV35" s="47"/>
      <c r="DTA35" s="47"/>
      <c r="DTC35" s="11"/>
      <c r="DWJ35" s="47"/>
      <c r="DWO35" s="47"/>
      <c r="DWQ35" s="11"/>
      <c r="DZX35" s="47"/>
      <c r="EAC35" s="47"/>
      <c r="EAE35" s="11"/>
      <c r="EDL35" s="47"/>
      <c r="EDQ35" s="47"/>
      <c r="EDS35" s="11"/>
      <c r="EGZ35" s="47"/>
      <c r="EHE35" s="47"/>
      <c r="EHG35" s="11"/>
      <c r="EKN35" s="47"/>
      <c r="EKS35" s="47"/>
      <c r="EKU35" s="11"/>
      <c r="EOB35" s="47"/>
      <c r="EOG35" s="47"/>
      <c r="EOI35" s="11"/>
      <c r="ERP35" s="47"/>
      <c r="ERU35" s="47"/>
      <c r="ERW35" s="11"/>
      <c r="EVD35" s="47"/>
      <c r="EVI35" s="47"/>
      <c r="EVK35" s="11"/>
      <c r="EYR35" s="47"/>
      <c r="EYW35" s="47"/>
      <c r="EYY35" s="11"/>
      <c r="FCF35" s="47"/>
      <c r="FCK35" s="47"/>
      <c r="FCM35" s="11"/>
      <c r="FFT35" s="47"/>
      <c r="FFY35" s="47"/>
      <c r="FGA35" s="11"/>
      <c r="FJH35" s="47"/>
      <c r="FJM35" s="47"/>
      <c r="FJO35" s="11"/>
      <c r="FMV35" s="47"/>
      <c r="FNA35" s="47"/>
      <c r="FNC35" s="11"/>
      <c r="FQJ35" s="47"/>
      <c r="FQO35" s="47"/>
      <c r="FQQ35" s="11"/>
      <c r="FTX35" s="47"/>
      <c r="FUC35" s="47"/>
      <c r="FUE35" s="11"/>
      <c r="FXL35" s="47"/>
      <c r="FXQ35" s="47"/>
      <c r="FXS35" s="11"/>
      <c r="GAZ35" s="47"/>
      <c r="GBE35" s="47"/>
      <c r="GBG35" s="11"/>
      <c r="GEN35" s="47"/>
      <c r="GES35" s="47"/>
      <c r="GEU35" s="11"/>
      <c r="GIB35" s="47"/>
      <c r="GIG35" s="47"/>
      <c r="GII35" s="11"/>
      <c r="GLP35" s="47"/>
      <c r="GLU35" s="47"/>
      <c r="GLW35" s="11"/>
      <c r="GPD35" s="47"/>
      <c r="GPI35" s="47"/>
      <c r="GPK35" s="11"/>
      <c r="GSR35" s="47"/>
      <c r="GSW35" s="47"/>
      <c r="GSY35" s="11"/>
      <c r="GWF35" s="47"/>
      <c r="GWK35" s="47"/>
      <c r="GWM35" s="11"/>
      <c r="GZT35" s="47"/>
      <c r="GZY35" s="47"/>
      <c r="HAA35" s="11"/>
      <c r="HDH35" s="47"/>
      <c r="HDM35" s="47"/>
      <c r="HDO35" s="11"/>
      <c r="HGV35" s="47"/>
      <c r="HHA35" s="47"/>
      <c r="HHC35" s="11"/>
      <c r="HKJ35" s="47"/>
      <c r="HKO35" s="47"/>
      <c r="HKQ35" s="11"/>
      <c r="HNX35" s="47"/>
      <c r="HOC35" s="47"/>
      <c r="HOE35" s="11"/>
      <c r="HRL35" s="47"/>
      <c r="HRQ35" s="47"/>
      <c r="HRS35" s="11"/>
      <c r="HUZ35" s="47"/>
      <c r="HVE35" s="47"/>
      <c r="HVG35" s="11"/>
      <c r="HYN35" s="47"/>
      <c r="HYS35" s="47"/>
      <c r="HYU35" s="11"/>
      <c r="ICB35" s="47"/>
      <c r="ICG35" s="47"/>
      <c r="ICI35" s="11"/>
      <c r="IFP35" s="47"/>
      <c r="IFU35" s="47"/>
      <c r="IFW35" s="11"/>
      <c r="IJD35" s="47"/>
      <c r="IJI35" s="47"/>
      <c r="IJK35" s="11"/>
      <c r="IMR35" s="47"/>
      <c r="IMW35" s="47"/>
      <c r="IMY35" s="11"/>
      <c r="IQF35" s="47"/>
      <c r="IQK35" s="47"/>
      <c r="IQM35" s="11"/>
      <c r="ITT35" s="47"/>
      <c r="ITY35" s="47"/>
      <c r="IUA35" s="11"/>
      <c r="IXH35" s="47"/>
      <c r="IXM35" s="47"/>
      <c r="IXO35" s="11"/>
      <c r="JAV35" s="47"/>
      <c r="JBA35" s="47"/>
      <c r="JBC35" s="11"/>
      <c r="JEJ35" s="47"/>
      <c r="JEO35" s="47"/>
      <c r="JEQ35" s="11"/>
      <c r="JHX35" s="47"/>
      <c r="JIC35" s="47"/>
      <c r="JIE35" s="11"/>
      <c r="JLL35" s="47"/>
      <c r="JLQ35" s="47"/>
      <c r="JLS35" s="11"/>
      <c r="JOZ35" s="47"/>
      <c r="JPE35" s="47"/>
      <c r="JPG35" s="11"/>
      <c r="JSN35" s="47"/>
      <c r="JSS35" s="47"/>
      <c r="JSU35" s="11"/>
      <c r="JWB35" s="47"/>
      <c r="JWG35" s="47"/>
      <c r="JWI35" s="11"/>
      <c r="JZP35" s="47"/>
      <c r="JZU35" s="47"/>
      <c r="JZW35" s="11"/>
      <c r="KDD35" s="47"/>
      <c r="KDI35" s="47"/>
      <c r="KDK35" s="11"/>
      <c r="KGR35" s="47"/>
      <c r="KGW35" s="47"/>
      <c r="KGY35" s="11"/>
      <c r="KKF35" s="47"/>
      <c r="KKK35" s="47"/>
      <c r="KKM35" s="11"/>
      <c r="KNT35" s="47"/>
      <c r="KNY35" s="47"/>
      <c r="KOA35" s="11"/>
      <c r="KRH35" s="47"/>
      <c r="KRM35" s="47"/>
      <c r="KRO35" s="11"/>
      <c r="KUV35" s="47"/>
      <c r="KVA35" s="47"/>
      <c r="KVC35" s="11"/>
      <c r="KYJ35" s="47"/>
      <c r="KYO35" s="47"/>
      <c r="KYQ35" s="11"/>
      <c r="LBX35" s="47"/>
      <c r="LCC35" s="47"/>
      <c r="LCE35" s="11"/>
      <c r="LFL35" s="47"/>
      <c r="LFQ35" s="47"/>
      <c r="LFS35" s="11"/>
      <c r="LIZ35" s="47"/>
      <c r="LJE35" s="47"/>
      <c r="LJG35" s="11"/>
      <c r="LMN35" s="47"/>
      <c r="LMS35" s="47"/>
      <c r="LMU35" s="11"/>
      <c r="LQB35" s="47"/>
      <c r="LQG35" s="47"/>
      <c r="LQI35" s="11"/>
      <c r="LTP35" s="47"/>
      <c r="LTU35" s="47"/>
      <c r="LTW35" s="11"/>
      <c r="LXD35" s="47"/>
      <c r="LXI35" s="47"/>
      <c r="LXK35" s="11"/>
      <c r="MAR35" s="47"/>
      <c r="MAW35" s="47"/>
      <c r="MAY35" s="11"/>
      <c r="MEF35" s="47"/>
      <c r="MEK35" s="47"/>
      <c r="MEM35" s="11"/>
      <c r="MHT35" s="47"/>
      <c r="MHY35" s="47"/>
      <c r="MIA35" s="11"/>
      <c r="MLH35" s="47"/>
      <c r="MLM35" s="47"/>
      <c r="MLO35" s="11"/>
      <c r="MOV35" s="47"/>
      <c r="MPA35" s="47"/>
      <c r="MPC35" s="11"/>
      <c r="MSJ35" s="47"/>
      <c r="MSO35" s="47"/>
      <c r="MSQ35" s="11"/>
      <c r="MVX35" s="47"/>
      <c r="MWC35" s="47"/>
      <c r="MWE35" s="11"/>
      <c r="MZL35" s="47"/>
      <c r="MZQ35" s="47"/>
      <c r="MZS35" s="11"/>
      <c r="NCZ35" s="47"/>
      <c r="NDE35" s="47"/>
      <c r="NDG35" s="11"/>
      <c r="NGN35" s="47"/>
      <c r="NGS35" s="47"/>
      <c r="NGU35" s="11"/>
      <c r="NKB35" s="47"/>
      <c r="NKG35" s="47"/>
      <c r="NKI35" s="11"/>
      <c r="NNP35" s="47"/>
      <c r="NNU35" s="47"/>
      <c r="NNW35" s="11"/>
      <c r="NRD35" s="47"/>
      <c r="NRI35" s="47"/>
      <c r="NRK35" s="11"/>
      <c r="NUR35" s="47"/>
      <c r="NUW35" s="47"/>
      <c r="NUY35" s="11"/>
      <c r="NYF35" s="47"/>
      <c r="NYK35" s="47"/>
      <c r="NYM35" s="11"/>
      <c r="OBT35" s="47"/>
      <c r="OBY35" s="47"/>
      <c r="OCA35" s="11"/>
      <c r="OFH35" s="47"/>
      <c r="OFM35" s="47"/>
      <c r="OFO35" s="11"/>
      <c r="OIV35" s="47"/>
      <c r="OJA35" s="47"/>
      <c r="OJC35" s="11"/>
      <c r="OMJ35" s="47"/>
      <c r="OMO35" s="47"/>
      <c r="OMQ35" s="11"/>
      <c r="OPX35" s="47"/>
      <c r="OQC35" s="47"/>
      <c r="OQE35" s="11"/>
      <c r="OTL35" s="47"/>
      <c r="OTQ35" s="47"/>
      <c r="OTS35" s="11"/>
      <c r="OWZ35" s="47"/>
      <c r="OXE35" s="47"/>
      <c r="OXG35" s="11"/>
      <c r="PAN35" s="47"/>
      <c r="PAS35" s="47"/>
      <c r="PAU35" s="11"/>
      <c r="PEB35" s="47"/>
      <c r="PEG35" s="47"/>
      <c r="PEI35" s="11"/>
      <c r="PHP35" s="47"/>
      <c r="PHU35" s="47"/>
      <c r="PHW35" s="11"/>
      <c r="PLD35" s="47"/>
      <c r="PLI35" s="47"/>
      <c r="PLK35" s="11"/>
      <c r="POR35" s="47"/>
      <c r="POW35" s="47"/>
      <c r="POY35" s="11"/>
      <c r="PSF35" s="47"/>
      <c r="PSK35" s="47"/>
      <c r="PSM35" s="11"/>
      <c r="PVT35" s="47"/>
      <c r="PVY35" s="47"/>
      <c r="PWA35" s="11"/>
      <c r="PZH35" s="47"/>
      <c r="PZM35" s="47"/>
      <c r="PZO35" s="11"/>
      <c r="QCV35" s="47"/>
      <c r="QDA35" s="47"/>
      <c r="QDC35" s="11"/>
      <c r="QGJ35" s="47"/>
      <c r="QGO35" s="47"/>
      <c r="QGQ35" s="11"/>
      <c r="QJX35" s="47"/>
      <c r="QKC35" s="47"/>
      <c r="QKE35" s="11"/>
      <c r="QNL35" s="47"/>
      <c r="QNQ35" s="47"/>
      <c r="QNS35" s="11"/>
      <c r="QQZ35" s="47"/>
      <c r="QRE35" s="47"/>
      <c r="QRG35" s="11"/>
      <c r="QUN35" s="47"/>
      <c r="QUS35" s="47"/>
      <c r="QUU35" s="11"/>
      <c r="QYB35" s="47"/>
      <c r="QYG35" s="47"/>
      <c r="QYI35" s="11"/>
      <c r="RBP35" s="47"/>
      <c r="RBU35" s="47"/>
      <c r="RBW35" s="11"/>
      <c r="RFD35" s="47"/>
      <c r="RFI35" s="47"/>
      <c r="RFK35" s="11"/>
      <c r="RIR35" s="47"/>
      <c r="RIW35" s="47"/>
      <c r="RIY35" s="11"/>
      <c r="RMF35" s="47"/>
      <c r="RMK35" s="47"/>
      <c r="RMM35" s="11"/>
      <c r="RPT35" s="47"/>
      <c r="RPY35" s="47"/>
      <c r="RQA35" s="11"/>
      <c r="RTH35" s="47"/>
      <c r="RTM35" s="47"/>
      <c r="RTO35" s="11"/>
      <c r="RWV35" s="47"/>
      <c r="RXA35" s="47"/>
      <c r="RXC35" s="11"/>
      <c r="SAJ35" s="47"/>
      <c r="SAO35" s="47"/>
      <c r="SAQ35" s="11"/>
      <c r="SDX35" s="47"/>
      <c r="SEC35" s="47"/>
      <c r="SEE35" s="11"/>
      <c r="SHL35" s="47"/>
      <c r="SHQ35" s="47"/>
      <c r="SHS35" s="11"/>
      <c r="SKZ35" s="47"/>
      <c r="SLE35" s="47"/>
      <c r="SLG35" s="11"/>
      <c r="SON35" s="47"/>
      <c r="SOS35" s="47"/>
      <c r="SOU35" s="11"/>
      <c r="SSB35" s="47"/>
      <c r="SSG35" s="47"/>
      <c r="SSI35" s="11"/>
      <c r="SVP35" s="47"/>
      <c r="SVU35" s="47"/>
      <c r="SVW35" s="11"/>
      <c r="SZD35" s="47"/>
      <c r="SZI35" s="47"/>
      <c r="SZK35" s="11"/>
      <c r="TCR35" s="47"/>
      <c r="TCW35" s="47"/>
      <c r="TCY35" s="11"/>
      <c r="TGF35" s="47"/>
      <c r="TGK35" s="47"/>
      <c r="TGM35" s="11"/>
      <c r="TJT35" s="47"/>
      <c r="TJY35" s="47"/>
      <c r="TKA35" s="11"/>
      <c r="TNH35" s="47"/>
      <c r="TNM35" s="47"/>
      <c r="TNO35" s="11"/>
      <c r="TQV35" s="47"/>
      <c r="TRA35" s="47"/>
      <c r="TRC35" s="11"/>
      <c r="TUJ35" s="47"/>
      <c r="TUO35" s="47"/>
      <c r="TUQ35" s="11"/>
      <c r="TXX35" s="47"/>
      <c r="TYC35" s="47"/>
      <c r="TYE35" s="11"/>
      <c r="UBL35" s="47"/>
      <c r="UBQ35" s="47"/>
      <c r="UBS35" s="11"/>
      <c r="UEZ35" s="47"/>
      <c r="UFE35" s="47"/>
      <c r="UFG35" s="11"/>
      <c r="UIN35" s="47"/>
      <c r="UIS35" s="47"/>
      <c r="UIU35" s="11"/>
      <c r="UMB35" s="47"/>
      <c r="UMG35" s="47"/>
      <c r="UMI35" s="11"/>
      <c r="UPP35" s="47"/>
      <c r="UPU35" s="47"/>
      <c r="UPW35" s="11"/>
      <c r="UTD35" s="47"/>
      <c r="UTI35" s="47"/>
      <c r="UTK35" s="11"/>
      <c r="UWR35" s="47"/>
      <c r="UWW35" s="47"/>
      <c r="UWY35" s="11"/>
      <c r="VAF35" s="47"/>
      <c r="VAK35" s="47"/>
      <c r="VAM35" s="11"/>
      <c r="VDT35" s="47"/>
      <c r="VDY35" s="47"/>
      <c r="VEA35" s="11"/>
      <c r="VHH35" s="47"/>
      <c r="VHM35" s="47"/>
      <c r="VHO35" s="11"/>
      <c r="VKV35" s="47"/>
      <c r="VLA35" s="47"/>
      <c r="VLC35" s="11"/>
      <c r="VOJ35" s="47"/>
      <c r="VOO35" s="47"/>
      <c r="VOQ35" s="11"/>
      <c r="VRX35" s="47"/>
      <c r="VSC35" s="47"/>
      <c r="VSE35" s="11"/>
      <c r="VVL35" s="47"/>
      <c r="VVQ35" s="47"/>
      <c r="VVS35" s="11"/>
      <c r="VYZ35" s="47"/>
      <c r="VZE35" s="47"/>
      <c r="VZG35" s="11"/>
      <c r="WCN35" s="47"/>
      <c r="WCS35" s="47"/>
      <c r="WCU35" s="11"/>
      <c r="WGB35" s="47"/>
      <c r="WGG35" s="47"/>
      <c r="WGI35" s="11"/>
      <c r="WJP35" s="47"/>
      <c r="WJU35" s="47"/>
      <c r="WJW35" s="11"/>
      <c r="WND35" s="47"/>
      <c r="WNI35" s="47"/>
      <c r="WNK35" s="11"/>
      <c r="WQR35" s="47"/>
      <c r="WQW35" s="47"/>
      <c r="WQY35" s="11"/>
      <c r="WUF35" s="47"/>
      <c r="WUK35" s="47"/>
      <c r="WUM35" s="11"/>
      <c r="WXT35" s="47"/>
      <c r="WXY35" s="47"/>
      <c r="WYA35" s="11"/>
      <c r="XBH35" s="47"/>
      <c r="XBM35" s="47"/>
      <c r="XBO35" s="11"/>
      <c r="XEV35" s="47"/>
      <c r="XFA35" s="47"/>
      <c r="XFC35" s="11"/>
    </row>
    <row r="36" spans="1:1019 1104:2031 2116:3043 3128:4055 4140:5067 5152:6079 6164:7091 7176:8188 8193:9207 9292:10219 10304:11231 11316:12243 12328:13255 13340:14267 14352:15279 15364:16383" s="10" customFormat="1" ht="14.5" customHeight="1" thickBot="1">
      <c r="C36" s="17" t="s">
        <v>1019</v>
      </c>
      <c r="E36" s="47"/>
      <c r="G36" s="11" t="str">
        <f>Monetary_Unit</f>
        <v>тыс. руб.</v>
      </c>
      <c r="I36" s="23">
        <f t="shared" ca="1" si="18"/>
        <v>-1675258.4544093378</v>
      </c>
      <c r="L36" s="10">
        <f t="shared" ref="L36:AQ36" ca="1" si="23" xml:space="preserve"> L106 * (Flag_Operations)</f>
        <v>0</v>
      </c>
      <c r="M36" s="10">
        <f t="shared" ca="1" si="23"/>
        <v>0</v>
      </c>
      <c r="N36" s="10">
        <f t="shared" ca="1" si="23"/>
        <v>0</v>
      </c>
      <c r="O36" s="10">
        <f t="shared" ca="1" si="23"/>
        <v>0</v>
      </c>
      <c r="P36" s="10">
        <f t="shared" ca="1" si="23"/>
        <v>0</v>
      </c>
      <c r="Q36" s="10">
        <f t="shared" ca="1" si="23"/>
        <v>0</v>
      </c>
      <c r="R36" s="10">
        <f t="shared" ca="1" si="23"/>
        <v>0</v>
      </c>
      <c r="S36" s="10">
        <f t="shared" ca="1" si="23"/>
        <v>0</v>
      </c>
      <c r="T36" s="10">
        <f t="shared" ca="1" si="23"/>
        <v>0</v>
      </c>
      <c r="U36" s="10">
        <f t="shared" ca="1" si="23"/>
        <v>0</v>
      </c>
      <c r="V36" s="10">
        <f t="shared" ca="1" si="23"/>
        <v>0</v>
      </c>
      <c r="W36" s="10">
        <f t="shared" ca="1" si="23"/>
        <v>0</v>
      </c>
      <c r="X36" s="10">
        <f t="shared" ca="1" si="23"/>
        <v>0</v>
      </c>
      <c r="Y36" s="10">
        <f t="shared" ca="1" si="23"/>
        <v>0</v>
      </c>
      <c r="Z36" s="10">
        <f t="shared" ca="1" si="23"/>
        <v>0</v>
      </c>
      <c r="AA36" s="10">
        <f t="shared" ca="1" si="23"/>
        <v>0</v>
      </c>
      <c r="AB36" s="10">
        <f t="shared" ca="1" si="23"/>
        <v>0</v>
      </c>
      <c r="AC36" s="10">
        <f t="shared" ca="1" si="23"/>
        <v>-822950.5265705483</v>
      </c>
      <c r="AD36" s="10">
        <f t="shared" ca="1" si="23"/>
        <v>-138729.37438541927</v>
      </c>
      <c r="AE36" s="10">
        <f t="shared" ca="1" si="23"/>
        <v>-27657.854729723622</v>
      </c>
      <c r="AF36" s="10">
        <f t="shared" ca="1" si="23"/>
        <v>-35977.194758761754</v>
      </c>
      <c r="AG36" s="10">
        <f t="shared" ca="1" si="23"/>
        <v>-21332.999630498191</v>
      </c>
      <c r="AH36" s="10">
        <f t="shared" ca="1" si="23"/>
        <v>-20935.510251790613</v>
      </c>
      <c r="AI36" s="10">
        <f t="shared" ca="1" si="23"/>
        <v>-33018.653414808359</v>
      </c>
      <c r="AJ36" s="10">
        <f t="shared" ca="1" si="23"/>
        <v>-42754.698534125666</v>
      </c>
      <c r="AK36" s="10">
        <f t="shared" ca="1" si="23"/>
        <v>-25239.903367357718</v>
      </c>
      <c r="AL36" s="10">
        <f t="shared" ca="1" si="23"/>
        <v>-24669.686938507919</v>
      </c>
      <c r="AM36" s="10">
        <f t="shared" ca="1" si="23"/>
        <v>-38764.063427132365</v>
      </c>
      <c r="AN36" s="10">
        <f t="shared" ca="1" si="23"/>
        <v>-50016.839099904617</v>
      </c>
      <c r="AO36" s="10">
        <f t="shared" ca="1" si="23"/>
        <v>-29425.226603757212</v>
      </c>
      <c r="AP36" s="10">
        <f t="shared" ca="1" si="23"/>
        <v>-28987.510731031776</v>
      </c>
      <c r="AQ36" s="10">
        <f t="shared" ca="1" si="23"/>
        <v>-44916.139278325398</v>
      </c>
      <c r="AR36" s="10">
        <f t="shared" ref="AR36:BW36" ca="1" si="24" xml:space="preserve"> AR106 * (Flag_Operations)</f>
        <v>-56347.895721601075</v>
      </c>
      <c r="AS36" s="10">
        <f t="shared" ca="1" si="24"/>
        <v>-32253.472392079697</v>
      </c>
      <c r="AT36" s="10">
        <f t="shared" ca="1" si="24"/>
        <v>-30599.147878715095</v>
      </c>
      <c r="AU36" s="10">
        <f t="shared" ca="1" si="24"/>
        <v>-46712.927450777694</v>
      </c>
      <c r="AV36" s="10">
        <f t="shared" ca="1" si="24"/>
        <v>-58601.957139381448</v>
      </c>
      <c r="AW36" s="10">
        <f t="shared" ca="1" si="24"/>
        <v>-33543.758311225945</v>
      </c>
      <c r="AX36" s="10">
        <f t="shared" ca="1" si="24"/>
        <v>-31823.113793863693</v>
      </c>
      <c r="AY36" s="10">
        <f t="shared" ca="1" si="24"/>
        <v>0</v>
      </c>
      <c r="AZ36" s="10">
        <f t="shared" ca="1" si="24"/>
        <v>0</v>
      </c>
      <c r="BA36" s="10">
        <f t="shared" ca="1" si="24"/>
        <v>0</v>
      </c>
      <c r="BB36" s="10">
        <f t="shared" ca="1" si="24"/>
        <v>0</v>
      </c>
      <c r="BC36" s="10">
        <f t="shared" ca="1" si="24"/>
        <v>0</v>
      </c>
      <c r="BD36" s="10">
        <f t="shared" ca="1" si="24"/>
        <v>0</v>
      </c>
      <c r="BE36" s="10">
        <f t="shared" ca="1" si="24"/>
        <v>0</v>
      </c>
      <c r="BF36" s="10">
        <f t="shared" ca="1" si="24"/>
        <v>0</v>
      </c>
      <c r="BG36" s="10">
        <f t="shared" ca="1" si="24"/>
        <v>0</v>
      </c>
      <c r="BH36" s="10">
        <f t="shared" ca="1" si="24"/>
        <v>0</v>
      </c>
      <c r="BI36" s="10">
        <f t="shared" ca="1" si="24"/>
        <v>0</v>
      </c>
      <c r="BJ36" s="10">
        <f t="shared" ca="1" si="24"/>
        <v>0</v>
      </c>
      <c r="BK36" s="10">
        <f t="shared" ca="1" si="24"/>
        <v>0</v>
      </c>
      <c r="BL36" s="10">
        <f t="shared" ca="1" si="24"/>
        <v>0</v>
      </c>
      <c r="BM36" s="10">
        <f t="shared" ca="1" si="24"/>
        <v>0</v>
      </c>
      <c r="BN36" s="10">
        <f t="shared" ca="1" si="24"/>
        <v>0</v>
      </c>
      <c r="BO36" s="10">
        <f t="shared" ca="1" si="24"/>
        <v>0</v>
      </c>
      <c r="BP36" s="10">
        <f t="shared" ca="1" si="24"/>
        <v>0</v>
      </c>
      <c r="BQ36" s="10">
        <f t="shared" ca="1" si="24"/>
        <v>0</v>
      </c>
      <c r="BR36" s="10">
        <f t="shared" ca="1" si="24"/>
        <v>0</v>
      </c>
      <c r="BS36" s="10">
        <f t="shared" ca="1" si="24"/>
        <v>0</v>
      </c>
      <c r="BT36" s="10">
        <f t="shared" ca="1" si="24"/>
        <v>0</v>
      </c>
      <c r="BU36" s="10">
        <f t="shared" ca="1" si="24"/>
        <v>0</v>
      </c>
      <c r="BV36" s="10">
        <f t="shared" ca="1" si="24"/>
        <v>0</v>
      </c>
      <c r="BW36" s="10">
        <f t="shared" ca="1" si="24"/>
        <v>0</v>
      </c>
      <c r="BX36" s="10">
        <f t="shared" ref="BX36:CM36" ca="1" si="25" xml:space="preserve"> BX106 * (Flag_Operations)</f>
        <v>0</v>
      </c>
      <c r="BY36" s="10">
        <f t="shared" ca="1" si="25"/>
        <v>0</v>
      </c>
      <c r="BZ36" s="10">
        <f t="shared" ca="1" si="25"/>
        <v>0</v>
      </c>
      <c r="CA36" s="10">
        <f t="shared" ca="1" si="25"/>
        <v>0</v>
      </c>
      <c r="CB36" s="10">
        <f t="shared" ca="1" si="25"/>
        <v>0</v>
      </c>
      <c r="CC36" s="10">
        <f t="shared" ca="1" si="25"/>
        <v>0</v>
      </c>
      <c r="CD36" s="10">
        <f t="shared" ca="1" si="25"/>
        <v>0</v>
      </c>
      <c r="CE36" s="10">
        <f t="shared" ca="1" si="25"/>
        <v>0</v>
      </c>
      <c r="CF36" s="10">
        <f t="shared" ca="1" si="25"/>
        <v>0</v>
      </c>
      <c r="CG36" s="10">
        <f t="shared" ca="1" si="25"/>
        <v>0</v>
      </c>
      <c r="CH36" s="10">
        <f t="shared" ca="1" si="25"/>
        <v>0</v>
      </c>
      <c r="CI36" s="10">
        <f t="shared" ca="1" si="25"/>
        <v>0</v>
      </c>
      <c r="CJ36" s="10">
        <f t="shared" ca="1" si="25"/>
        <v>0</v>
      </c>
      <c r="CK36" s="10">
        <f t="shared" ca="1" si="25"/>
        <v>0</v>
      </c>
      <c r="CL36" s="10">
        <f t="shared" ca="1" si="25"/>
        <v>0</v>
      </c>
      <c r="CM36" s="10">
        <f t="shared" ca="1" si="25"/>
        <v>0</v>
      </c>
      <c r="CN36" s="10">
        <f t="shared" ref="CN36:CO36" ca="1" si="26" xml:space="preserve"> CN106 * (Flag_Operations)</f>
        <v>0</v>
      </c>
      <c r="CO36" s="10">
        <f t="shared" ca="1" si="26"/>
        <v>0</v>
      </c>
      <c r="CS36" s="47"/>
      <c r="CU36" s="11"/>
      <c r="GB36" s="47"/>
      <c r="GG36" s="47"/>
      <c r="GI36" s="11"/>
      <c r="JP36" s="47"/>
      <c r="JU36" s="47"/>
      <c r="JW36" s="11"/>
      <c r="ND36" s="47"/>
      <c r="NI36" s="47"/>
      <c r="NK36" s="11"/>
      <c r="QR36" s="47"/>
      <c r="QW36" s="47"/>
      <c r="QY36" s="11"/>
      <c r="UF36" s="47"/>
      <c r="UK36" s="47"/>
      <c r="UM36" s="11"/>
      <c r="XT36" s="47"/>
      <c r="XY36" s="47"/>
      <c r="YA36" s="11"/>
      <c r="ABH36" s="47"/>
      <c r="ABM36" s="47"/>
      <c r="ABO36" s="11"/>
      <c r="AEV36" s="47"/>
      <c r="AFA36" s="47"/>
      <c r="AFC36" s="11"/>
      <c r="AIJ36" s="47"/>
      <c r="AIO36" s="47"/>
      <c r="AIQ36" s="11"/>
      <c r="ALX36" s="47"/>
      <c r="AMC36" s="47"/>
      <c r="AME36" s="11"/>
      <c r="APL36" s="47"/>
      <c r="APQ36" s="47"/>
      <c r="APS36" s="11"/>
      <c r="ASZ36" s="47"/>
      <c r="ATE36" s="47"/>
      <c r="ATG36" s="11"/>
      <c r="AWN36" s="47"/>
      <c r="AWS36" s="47"/>
      <c r="AWU36" s="11"/>
      <c r="BAB36" s="47"/>
      <c r="BAG36" s="47"/>
      <c r="BAI36" s="11"/>
      <c r="BDP36" s="47"/>
      <c r="BDU36" s="47"/>
      <c r="BDW36" s="11"/>
      <c r="BHD36" s="47"/>
      <c r="BHI36" s="47"/>
      <c r="BHK36" s="11"/>
      <c r="BKR36" s="47"/>
      <c r="BKW36" s="47"/>
      <c r="BKY36" s="11"/>
      <c r="BOF36" s="47"/>
      <c r="BOK36" s="47"/>
      <c r="BOM36" s="11"/>
      <c r="BRT36" s="47"/>
      <c r="BRY36" s="47"/>
      <c r="BSA36" s="11"/>
      <c r="BVH36" s="47"/>
      <c r="BVM36" s="47"/>
      <c r="BVO36" s="11"/>
      <c r="BYV36" s="47"/>
      <c r="BZA36" s="47"/>
      <c r="BZC36" s="11"/>
      <c r="CCJ36" s="47"/>
      <c r="CCO36" s="47"/>
      <c r="CCQ36" s="11"/>
      <c r="CFX36" s="47"/>
      <c r="CGC36" s="47"/>
      <c r="CGE36" s="11"/>
      <c r="CJL36" s="47"/>
      <c r="CJQ36" s="47"/>
      <c r="CJS36" s="11"/>
      <c r="CMZ36" s="47"/>
      <c r="CNE36" s="47"/>
      <c r="CNG36" s="11"/>
      <c r="CQN36" s="47"/>
      <c r="CQS36" s="47"/>
      <c r="CQU36" s="11"/>
      <c r="CUB36" s="47"/>
      <c r="CUG36" s="47"/>
      <c r="CUI36" s="11"/>
      <c r="CXP36" s="47"/>
      <c r="CXU36" s="47"/>
      <c r="CXW36" s="11"/>
      <c r="DBD36" s="47"/>
      <c r="DBI36" s="47"/>
      <c r="DBK36" s="11"/>
      <c r="DER36" s="47"/>
      <c r="DEW36" s="47"/>
      <c r="DEY36" s="11"/>
      <c r="DIF36" s="47"/>
      <c r="DIK36" s="47"/>
      <c r="DIM36" s="11"/>
      <c r="DLT36" s="47"/>
      <c r="DLY36" s="47"/>
      <c r="DMA36" s="11"/>
      <c r="DPH36" s="47"/>
      <c r="DPM36" s="47"/>
      <c r="DPO36" s="11"/>
      <c r="DSV36" s="47"/>
      <c r="DTA36" s="47"/>
      <c r="DTC36" s="11"/>
      <c r="DWJ36" s="47"/>
      <c r="DWO36" s="47"/>
      <c r="DWQ36" s="11"/>
      <c r="DZX36" s="47"/>
      <c r="EAC36" s="47"/>
      <c r="EAE36" s="11"/>
      <c r="EDL36" s="47"/>
      <c r="EDQ36" s="47"/>
      <c r="EDS36" s="11"/>
      <c r="EGZ36" s="47"/>
      <c r="EHE36" s="47"/>
      <c r="EHG36" s="11"/>
      <c r="EKN36" s="47"/>
      <c r="EKS36" s="47"/>
      <c r="EKU36" s="11"/>
      <c r="EOB36" s="47"/>
      <c r="EOG36" s="47"/>
      <c r="EOI36" s="11"/>
      <c r="ERP36" s="47"/>
      <c r="ERU36" s="47"/>
      <c r="ERW36" s="11"/>
      <c r="EVD36" s="47"/>
      <c r="EVI36" s="47"/>
      <c r="EVK36" s="11"/>
      <c r="EYR36" s="47"/>
      <c r="EYW36" s="47"/>
      <c r="EYY36" s="11"/>
      <c r="FCF36" s="47"/>
      <c r="FCK36" s="47"/>
      <c r="FCM36" s="11"/>
      <c r="FFT36" s="47"/>
      <c r="FFY36" s="47"/>
      <c r="FGA36" s="11"/>
      <c r="FJH36" s="47"/>
      <c r="FJM36" s="47"/>
      <c r="FJO36" s="11"/>
      <c r="FMV36" s="47"/>
      <c r="FNA36" s="47"/>
      <c r="FNC36" s="11"/>
      <c r="FQJ36" s="47"/>
      <c r="FQO36" s="47"/>
      <c r="FQQ36" s="11"/>
      <c r="FTX36" s="47"/>
      <c r="FUC36" s="47"/>
      <c r="FUE36" s="11"/>
      <c r="FXL36" s="47"/>
      <c r="FXQ36" s="47"/>
      <c r="FXS36" s="11"/>
      <c r="GAZ36" s="47"/>
      <c r="GBE36" s="47"/>
      <c r="GBG36" s="11"/>
      <c r="GEN36" s="47"/>
      <c r="GES36" s="47"/>
      <c r="GEU36" s="11"/>
      <c r="GIB36" s="47"/>
      <c r="GIG36" s="47"/>
      <c r="GII36" s="11"/>
      <c r="GLP36" s="47"/>
      <c r="GLU36" s="47"/>
      <c r="GLW36" s="11"/>
      <c r="GPD36" s="47"/>
      <c r="GPI36" s="47"/>
      <c r="GPK36" s="11"/>
      <c r="GSR36" s="47"/>
      <c r="GSW36" s="47"/>
      <c r="GSY36" s="11"/>
      <c r="GWF36" s="47"/>
      <c r="GWK36" s="47"/>
      <c r="GWM36" s="11"/>
      <c r="GZT36" s="47"/>
      <c r="GZY36" s="47"/>
      <c r="HAA36" s="11"/>
      <c r="HDH36" s="47"/>
      <c r="HDM36" s="47"/>
      <c r="HDO36" s="11"/>
      <c r="HGV36" s="47"/>
      <c r="HHA36" s="47"/>
      <c r="HHC36" s="11"/>
      <c r="HKJ36" s="47"/>
      <c r="HKO36" s="47"/>
      <c r="HKQ36" s="11"/>
      <c r="HNX36" s="47"/>
      <c r="HOC36" s="47"/>
      <c r="HOE36" s="11"/>
      <c r="HRL36" s="47"/>
      <c r="HRQ36" s="47"/>
      <c r="HRS36" s="11"/>
      <c r="HUZ36" s="47"/>
      <c r="HVE36" s="47"/>
      <c r="HVG36" s="11"/>
      <c r="HYN36" s="47"/>
      <c r="HYS36" s="47"/>
      <c r="HYU36" s="11"/>
      <c r="ICB36" s="47"/>
      <c r="ICG36" s="47"/>
      <c r="ICI36" s="11"/>
      <c r="IFP36" s="47"/>
      <c r="IFU36" s="47"/>
      <c r="IFW36" s="11"/>
      <c r="IJD36" s="47"/>
      <c r="IJI36" s="47"/>
      <c r="IJK36" s="11"/>
      <c r="IMR36" s="47"/>
      <c r="IMW36" s="47"/>
      <c r="IMY36" s="11"/>
      <c r="IQF36" s="47"/>
      <c r="IQK36" s="47"/>
      <c r="IQM36" s="11"/>
      <c r="ITT36" s="47"/>
      <c r="ITY36" s="47"/>
      <c r="IUA36" s="11"/>
      <c r="IXH36" s="47"/>
      <c r="IXM36" s="47"/>
      <c r="IXO36" s="11"/>
      <c r="JAV36" s="47"/>
      <c r="JBA36" s="47"/>
      <c r="JBC36" s="11"/>
      <c r="JEJ36" s="47"/>
      <c r="JEO36" s="47"/>
      <c r="JEQ36" s="11"/>
      <c r="JHX36" s="47"/>
      <c r="JIC36" s="47"/>
      <c r="JIE36" s="11"/>
      <c r="JLL36" s="47"/>
      <c r="JLQ36" s="47"/>
      <c r="JLS36" s="11"/>
      <c r="JOZ36" s="47"/>
      <c r="JPE36" s="47"/>
      <c r="JPG36" s="11"/>
      <c r="JSN36" s="47"/>
      <c r="JSS36" s="47"/>
      <c r="JSU36" s="11"/>
      <c r="JWB36" s="47"/>
      <c r="JWG36" s="47"/>
      <c r="JWI36" s="11"/>
      <c r="JZP36" s="47"/>
      <c r="JZU36" s="47"/>
      <c r="JZW36" s="11"/>
      <c r="KDD36" s="47"/>
      <c r="KDI36" s="47"/>
      <c r="KDK36" s="11"/>
      <c r="KGR36" s="47"/>
      <c r="KGW36" s="47"/>
      <c r="KGY36" s="11"/>
      <c r="KKF36" s="47"/>
      <c r="KKK36" s="47"/>
      <c r="KKM36" s="11"/>
      <c r="KNT36" s="47"/>
      <c r="KNY36" s="47"/>
      <c r="KOA36" s="11"/>
      <c r="KRH36" s="47"/>
      <c r="KRM36" s="47"/>
      <c r="KRO36" s="11"/>
      <c r="KUV36" s="47"/>
      <c r="KVA36" s="47"/>
      <c r="KVC36" s="11"/>
      <c r="KYJ36" s="47"/>
      <c r="KYO36" s="47"/>
      <c r="KYQ36" s="11"/>
      <c r="LBX36" s="47"/>
      <c r="LCC36" s="47"/>
      <c r="LCE36" s="11"/>
      <c r="LFL36" s="47"/>
      <c r="LFQ36" s="47"/>
      <c r="LFS36" s="11"/>
      <c r="LIZ36" s="47"/>
      <c r="LJE36" s="47"/>
      <c r="LJG36" s="11"/>
      <c r="LMN36" s="47"/>
      <c r="LMS36" s="47"/>
      <c r="LMU36" s="11"/>
      <c r="LQB36" s="47"/>
      <c r="LQG36" s="47"/>
      <c r="LQI36" s="11"/>
      <c r="LTP36" s="47"/>
      <c r="LTU36" s="47"/>
      <c r="LTW36" s="11"/>
      <c r="LXD36" s="47"/>
      <c r="LXI36" s="47"/>
      <c r="LXK36" s="11"/>
      <c r="MAR36" s="47"/>
      <c r="MAW36" s="47"/>
      <c r="MAY36" s="11"/>
      <c r="MEF36" s="47"/>
      <c r="MEK36" s="47"/>
      <c r="MEM36" s="11"/>
      <c r="MHT36" s="47"/>
      <c r="MHY36" s="47"/>
      <c r="MIA36" s="11"/>
      <c r="MLH36" s="47"/>
      <c r="MLM36" s="47"/>
      <c r="MLO36" s="11"/>
      <c r="MOV36" s="47"/>
      <c r="MPA36" s="47"/>
      <c r="MPC36" s="11"/>
      <c r="MSJ36" s="47"/>
      <c r="MSO36" s="47"/>
      <c r="MSQ36" s="11"/>
      <c r="MVX36" s="47"/>
      <c r="MWC36" s="47"/>
      <c r="MWE36" s="11"/>
      <c r="MZL36" s="47"/>
      <c r="MZQ36" s="47"/>
      <c r="MZS36" s="11"/>
      <c r="NCZ36" s="47"/>
      <c r="NDE36" s="47"/>
      <c r="NDG36" s="11"/>
      <c r="NGN36" s="47"/>
      <c r="NGS36" s="47"/>
      <c r="NGU36" s="11"/>
      <c r="NKB36" s="47"/>
      <c r="NKG36" s="47"/>
      <c r="NKI36" s="11"/>
      <c r="NNP36" s="47"/>
      <c r="NNU36" s="47"/>
      <c r="NNW36" s="11"/>
      <c r="NRD36" s="47"/>
      <c r="NRI36" s="47"/>
      <c r="NRK36" s="11"/>
      <c r="NUR36" s="47"/>
      <c r="NUW36" s="47"/>
      <c r="NUY36" s="11"/>
      <c r="NYF36" s="47"/>
      <c r="NYK36" s="47"/>
      <c r="NYM36" s="11"/>
      <c r="OBT36" s="47"/>
      <c r="OBY36" s="47"/>
      <c r="OCA36" s="11"/>
      <c r="OFH36" s="47"/>
      <c r="OFM36" s="47"/>
      <c r="OFO36" s="11"/>
      <c r="OIV36" s="47"/>
      <c r="OJA36" s="47"/>
      <c r="OJC36" s="11"/>
      <c r="OMJ36" s="47"/>
      <c r="OMO36" s="47"/>
      <c r="OMQ36" s="11"/>
      <c r="OPX36" s="47"/>
      <c r="OQC36" s="47"/>
      <c r="OQE36" s="11"/>
      <c r="OTL36" s="47"/>
      <c r="OTQ36" s="47"/>
      <c r="OTS36" s="11"/>
      <c r="OWZ36" s="47"/>
      <c r="OXE36" s="47"/>
      <c r="OXG36" s="11"/>
      <c r="PAN36" s="47"/>
      <c r="PAS36" s="47"/>
      <c r="PAU36" s="11"/>
      <c r="PEB36" s="47"/>
      <c r="PEG36" s="47"/>
      <c r="PEI36" s="11"/>
      <c r="PHP36" s="47"/>
      <c r="PHU36" s="47"/>
      <c r="PHW36" s="11"/>
      <c r="PLD36" s="47"/>
      <c r="PLI36" s="47"/>
      <c r="PLK36" s="11"/>
      <c r="POR36" s="47"/>
      <c r="POW36" s="47"/>
      <c r="POY36" s="11"/>
      <c r="PSF36" s="47"/>
      <c r="PSK36" s="47"/>
      <c r="PSM36" s="11"/>
      <c r="PVT36" s="47"/>
      <c r="PVY36" s="47"/>
      <c r="PWA36" s="11"/>
      <c r="PZH36" s="47"/>
      <c r="PZM36" s="47"/>
      <c r="PZO36" s="11"/>
      <c r="QCV36" s="47"/>
      <c r="QDA36" s="47"/>
      <c r="QDC36" s="11"/>
      <c r="QGJ36" s="47"/>
      <c r="QGO36" s="47"/>
      <c r="QGQ36" s="11"/>
      <c r="QJX36" s="47"/>
      <c r="QKC36" s="47"/>
      <c r="QKE36" s="11"/>
      <c r="QNL36" s="47"/>
      <c r="QNQ36" s="47"/>
      <c r="QNS36" s="11"/>
      <c r="QQZ36" s="47"/>
      <c r="QRE36" s="47"/>
      <c r="QRG36" s="11"/>
      <c r="QUN36" s="47"/>
      <c r="QUS36" s="47"/>
      <c r="QUU36" s="11"/>
      <c r="QYB36" s="47"/>
      <c r="QYG36" s="47"/>
      <c r="QYI36" s="11"/>
      <c r="RBP36" s="47"/>
      <c r="RBU36" s="47"/>
      <c r="RBW36" s="11"/>
      <c r="RFD36" s="47"/>
      <c r="RFI36" s="47"/>
      <c r="RFK36" s="11"/>
      <c r="RIR36" s="47"/>
      <c r="RIW36" s="47"/>
      <c r="RIY36" s="11"/>
      <c r="RMF36" s="47"/>
      <c r="RMK36" s="47"/>
      <c r="RMM36" s="11"/>
      <c r="RPT36" s="47"/>
      <c r="RPY36" s="47"/>
      <c r="RQA36" s="11"/>
      <c r="RTH36" s="47"/>
      <c r="RTM36" s="47"/>
      <c r="RTO36" s="11"/>
      <c r="RWV36" s="47"/>
      <c r="RXA36" s="47"/>
      <c r="RXC36" s="11"/>
      <c r="SAJ36" s="47"/>
      <c r="SAO36" s="47"/>
      <c r="SAQ36" s="11"/>
      <c r="SDX36" s="47"/>
      <c r="SEC36" s="47"/>
      <c r="SEE36" s="11"/>
      <c r="SHL36" s="47"/>
      <c r="SHQ36" s="47"/>
      <c r="SHS36" s="11"/>
      <c r="SKZ36" s="47"/>
      <c r="SLE36" s="47"/>
      <c r="SLG36" s="11"/>
      <c r="SON36" s="47"/>
      <c r="SOS36" s="47"/>
      <c r="SOU36" s="11"/>
      <c r="SSB36" s="47"/>
      <c r="SSG36" s="47"/>
      <c r="SSI36" s="11"/>
      <c r="SVP36" s="47"/>
      <c r="SVU36" s="47"/>
      <c r="SVW36" s="11"/>
      <c r="SZD36" s="47"/>
      <c r="SZI36" s="47"/>
      <c r="SZK36" s="11"/>
      <c r="TCR36" s="47"/>
      <c r="TCW36" s="47"/>
      <c r="TCY36" s="11"/>
      <c r="TGF36" s="47"/>
      <c r="TGK36" s="47"/>
      <c r="TGM36" s="11"/>
      <c r="TJT36" s="47"/>
      <c r="TJY36" s="47"/>
      <c r="TKA36" s="11"/>
      <c r="TNH36" s="47"/>
      <c r="TNM36" s="47"/>
      <c r="TNO36" s="11"/>
      <c r="TQV36" s="47"/>
      <c r="TRA36" s="47"/>
      <c r="TRC36" s="11"/>
      <c r="TUJ36" s="47"/>
      <c r="TUO36" s="47"/>
      <c r="TUQ36" s="11"/>
      <c r="TXX36" s="47"/>
      <c r="TYC36" s="47"/>
      <c r="TYE36" s="11"/>
      <c r="UBL36" s="47"/>
      <c r="UBQ36" s="47"/>
      <c r="UBS36" s="11"/>
      <c r="UEZ36" s="47"/>
      <c r="UFE36" s="47"/>
      <c r="UFG36" s="11"/>
      <c r="UIN36" s="47"/>
      <c r="UIS36" s="47"/>
      <c r="UIU36" s="11"/>
      <c r="UMB36" s="47"/>
      <c r="UMG36" s="47"/>
      <c r="UMI36" s="11"/>
      <c r="UPP36" s="47"/>
      <c r="UPU36" s="47"/>
      <c r="UPW36" s="11"/>
      <c r="UTD36" s="47"/>
      <c r="UTI36" s="47"/>
      <c r="UTK36" s="11"/>
      <c r="UWR36" s="47"/>
      <c r="UWW36" s="47"/>
      <c r="UWY36" s="11"/>
      <c r="VAF36" s="47"/>
      <c r="VAK36" s="47"/>
      <c r="VAM36" s="11"/>
      <c r="VDT36" s="47"/>
      <c r="VDY36" s="47"/>
      <c r="VEA36" s="11"/>
      <c r="VHH36" s="47"/>
      <c r="VHM36" s="47"/>
      <c r="VHO36" s="11"/>
      <c r="VKV36" s="47"/>
      <c r="VLA36" s="47"/>
      <c r="VLC36" s="11"/>
      <c r="VOJ36" s="47"/>
      <c r="VOO36" s="47"/>
      <c r="VOQ36" s="11"/>
      <c r="VRX36" s="47"/>
      <c r="VSC36" s="47"/>
      <c r="VSE36" s="11"/>
      <c r="VVL36" s="47"/>
      <c r="VVQ36" s="47"/>
      <c r="VVS36" s="11"/>
      <c r="VYZ36" s="47"/>
      <c r="VZE36" s="47"/>
      <c r="VZG36" s="11"/>
      <c r="WCN36" s="47"/>
      <c r="WCS36" s="47"/>
      <c r="WCU36" s="11"/>
      <c r="WGB36" s="47"/>
      <c r="WGG36" s="47"/>
      <c r="WGI36" s="11"/>
      <c r="WJP36" s="47"/>
      <c r="WJU36" s="47"/>
      <c r="WJW36" s="11"/>
      <c r="WND36" s="47"/>
      <c r="WNI36" s="47"/>
      <c r="WNK36" s="11"/>
      <c r="WQR36" s="47"/>
      <c r="WQW36" s="47"/>
      <c r="WQY36" s="11"/>
      <c r="WUF36" s="47"/>
      <c r="WUK36" s="47"/>
      <c r="WUM36" s="11"/>
      <c r="WXT36" s="47"/>
      <c r="WXY36" s="47"/>
      <c r="WYA36" s="11"/>
      <c r="XBH36" s="47"/>
      <c r="XBM36" s="47"/>
      <c r="XBO36" s="11"/>
      <c r="XEV36" s="47"/>
      <c r="XFA36" s="47"/>
      <c r="XFC36" s="11"/>
    </row>
    <row r="37" spans="1:1019 1104:2031 2116:3043 3128:4055 4140:5067 5152:6079 6164:7091 7176:8188 8193:9207 9292:10219 10304:11231 11316:12243 12328:13255 13340:14267 14352:15279 15364:16383" s="141" customFormat="1" ht="15" customHeight="1" thickTop="1">
      <c r="A37" s="153"/>
      <c r="B37" s="153"/>
      <c r="C37" s="49" t="s">
        <v>1020</v>
      </c>
      <c r="D37" s="49"/>
      <c r="E37" s="49"/>
      <c r="F37" s="49"/>
      <c r="G37" s="159" t="str">
        <f>Monetary_Unit</f>
        <v>тыс. руб.</v>
      </c>
      <c r="H37" s="49"/>
      <c r="I37" s="23">
        <f t="shared" ca="1" si="18"/>
        <v>-1675258.4544093378</v>
      </c>
      <c r="J37" s="49"/>
      <c r="K37" s="49"/>
      <c r="L37" s="49">
        <f ca="1">SUM(L35:L36)</f>
        <v>0</v>
      </c>
      <c r="M37" s="49">
        <f t="shared" ref="M37:BX37" ca="1" si="27">SUM(M35:M36)</f>
        <v>0</v>
      </c>
      <c r="N37" s="49">
        <f t="shared" ca="1" si="27"/>
        <v>0</v>
      </c>
      <c r="O37" s="49">
        <f t="shared" ca="1" si="27"/>
        <v>0</v>
      </c>
      <c r="P37" s="49">
        <f t="shared" ca="1" si="27"/>
        <v>0</v>
      </c>
      <c r="Q37" s="49">
        <f t="shared" ca="1" si="27"/>
        <v>0</v>
      </c>
      <c r="R37" s="49">
        <f t="shared" ca="1" si="27"/>
        <v>0</v>
      </c>
      <c r="S37" s="49">
        <f t="shared" ca="1" si="27"/>
        <v>0</v>
      </c>
      <c r="T37" s="49">
        <f t="shared" ca="1" si="27"/>
        <v>0</v>
      </c>
      <c r="U37" s="49">
        <f t="shared" ca="1" si="27"/>
        <v>0</v>
      </c>
      <c r="V37" s="49">
        <f t="shared" ca="1" si="27"/>
        <v>0</v>
      </c>
      <c r="W37" s="49">
        <f t="shared" ca="1" si="27"/>
        <v>0</v>
      </c>
      <c r="X37" s="49">
        <f t="shared" ca="1" si="27"/>
        <v>0</v>
      </c>
      <c r="Y37" s="49">
        <f t="shared" ca="1" si="27"/>
        <v>0</v>
      </c>
      <c r="Z37" s="49">
        <f t="shared" ca="1" si="27"/>
        <v>0</v>
      </c>
      <c r="AA37" s="49">
        <f t="shared" ca="1" si="27"/>
        <v>0</v>
      </c>
      <c r="AB37" s="49">
        <f t="shared" ca="1" si="27"/>
        <v>0</v>
      </c>
      <c r="AC37" s="49">
        <f t="shared" ca="1" si="27"/>
        <v>-822950.5265705483</v>
      </c>
      <c r="AD37" s="49">
        <f t="shared" ca="1" si="27"/>
        <v>-138729.37438541927</v>
      </c>
      <c r="AE37" s="49">
        <f t="shared" ca="1" si="27"/>
        <v>-27657.854729723622</v>
      </c>
      <c r="AF37" s="49">
        <f t="shared" ca="1" si="27"/>
        <v>-35977.194758761754</v>
      </c>
      <c r="AG37" s="49">
        <f t="shared" ca="1" si="27"/>
        <v>-21332.999630498191</v>
      </c>
      <c r="AH37" s="49">
        <f t="shared" ca="1" si="27"/>
        <v>-20935.510251790613</v>
      </c>
      <c r="AI37" s="49">
        <f t="shared" ca="1" si="27"/>
        <v>-33018.653414808359</v>
      </c>
      <c r="AJ37" s="49">
        <f t="shared" ca="1" si="27"/>
        <v>-42754.698534125666</v>
      </c>
      <c r="AK37" s="49">
        <f t="shared" ca="1" si="27"/>
        <v>-25239.903367357718</v>
      </c>
      <c r="AL37" s="49">
        <f t="shared" ca="1" si="27"/>
        <v>-24669.686938507919</v>
      </c>
      <c r="AM37" s="49">
        <f t="shared" ca="1" si="27"/>
        <v>-38764.063427132365</v>
      </c>
      <c r="AN37" s="49">
        <f t="shared" ca="1" si="27"/>
        <v>-50016.839099904617</v>
      </c>
      <c r="AO37" s="49">
        <f t="shared" ca="1" si="27"/>
        <v>-29425.226603757212</v>
      </c>
      <c r="AP37" s="49">
        <f t="shared" ca="1" si="27"/>
        <v>-28987.510731031776</v>
      </c>
      <c r="AQ37" s="49">
        <f t="shared" ca="1" si="27"/>
        <v>-44916.139278325398</v>
      </c>
      <c r="AR37" s="49">
        <f t="shared" ca="1" si="27"/>
        <v>-56347.895721601075</v>
      </c>
      <c r="AS37" s="49">
        <f t="shared" ca="1" si="27"/>
        <v>-32253.472392079697</v>
      </c>
      <c r="AT37" s="49">
        <f t="shared" ca="1" si="27"/>
        <v>-30599.147878715095</v>
      </c>
      <c r="AU37" s="49">
        <f t="shared" ca="1" si="27"/>
        <v>-46712.927450777694</v>
      </c>
      <c r="AV37" s="49">
        <f t="shared" ca="1" si="27"/>
        <v>-58601.957139381448</v>
      </c>
      <c r="AW37" s="49">
        <f t="shared" ca="1" si="27"/>
        <v>-33543.758311225945</v>
      </c>
      <c r="AX37" s="49">
        <f t="shared" ca="1" si="27"/>
        <v>-31823.113793863693</v>
      </c>
      <c r="AY37" s="49">
        <f t="shared" ca="1" si="27"/>
        <v>0</v>
      </c>
      <c r="AZ37" s="49">
        <f t="shared" ca="1" si="27"/>
        <v>0</v>
      </c>
      <c r="BA37" s="49">
        <f t="shared" ca="1" si="27"/>
        <v>0</v>
      </c>
      <c r="BB37" s="49">
        <f t="shared" ca="1" si="27"/>
        <v>0</v>
      </c>
      <c r="BC37" s="49">
        <f t="shared" ca="1" si="27"/>
        <v>0</v>
      </c>
      <c r="BD37" s="49">
        <f t="shared" ca="1" si="27"/>
        <v>0</v>
      </c>
      <c r="BE37" s="49">
        <f t="shared" ca="1" si="27"/>
        <v>0</v>
      </c>
      <c r="BF37" s="49">
        <f t="shared" ca="1" si="27"/>
        <v>0</v>
      </c>
      <c r="BG37" s="49">
        <f t="shared" ca="1" si="27"/>
        <v>0</v>
      </c>
      <c r="BH37" s="49">
        <f t="shared" ca="1" si="27"/>
        <v>0</v>
      </c>
      <c r="BI37" s="49">
        <f t="shared" ca="1" si="27"/>
        <v>0</v>
      </c>
      <c r="BJ37" s="49">
        <f t="shared" ca="1" si="27"/>
        <v>0</v>
      </c>
      <c r="BK37" s="49">
        <f t="shared" ca="1" si="27"/>
        <v>0</v>
      </c>
      <c r="BL37" s="49">
        <f t="shared" ca="1" si="27"/>
        <v>0</v>
      </c>
      <c r="BM37" s="49">
        <f t="shared" ca="1" si="27"/>
        <v>0</v>
      </c>
      <c r="BN37" s="49">
        <f t="shared" ca="1" si="27"/>
        <v>0</v>
      </c>
      <c r="BO37" s="49">
        <f t="shared" ca="1" si="27"/>
        <v>0</v>
      </c>
      <c r="BP37" s="49">
        <f t="shared" ca="1" si="27"/>
        <v>0</v>
      </c>
      <c r="BQ37" s="49">
        <f t="shared" ca="1" si="27"/>
        <v>0</v>
      </c>
      <c r="BR37" s="49">
        <f t="shared" ca="1" si="27"/>
        <v>0</v>
      </c>
      <c r="BS37" s="49">
        <f t="shared" ca="1" si="27"/>
        <v>0</v>
      </c>
      <c r="BT37" s="49">
        <f t="shared" ca="1" si="27"/>
        <v>0</v>
      </c>
      <c r="BU37" s="49">
        <f t="shared" ca="1" si="27"/>
        <v>0</v>
      </c>
      <c r="BV37" s="49">
        <f t="shared" ca="1" si="27"/>
        <v>0</v>
      </c>
      <c r="BW37" s="49">
        <f t="shared" ca="1" si="27"/>
        <v>0</v>
      </c>
      <c r="BX37" s="49">
        <f t="shared" ca="1" si="27"/>
        <v>0</v>
      </c>
      <c r="BY37" s="49">
        <f t="shared" ref="BY37:CM37" ca="1" si="28">SUM(BY35:BY36)</f>
        <v>0</v>
      </c>
      <c r="BZ37" s="49">
        <f t="shared" ca="1" si="28"/>
        <v>0</v>
      </c>
      <c r="CA37" s="49">
        <f t="shared" ca="1" si="28"/>
        <v>0</v>
      </c>
      <c r="CB37" s="49">
        <f t="shared" ca="1" si="28"/>
        <v>0</v>
      </c>
      <c r="CC37" s="49">
        <f t="shared" ca="1" si="28"/>
        <v>0</v>
      </c>
      <c r="CD37" s="49">
        <f t="shared" ca="1" si="28"/>
        <v>0</v>
      </c>
      <c r="CE37" s="49">
        <f t="shared" ca="1" si="28"/>
        <v>0</v>
      </c>
      <c r="CF37" s="49">
        <f t="shared" ca="1" si="28"/>
        <v>0</v>
      </c>
      <c r="CG37" s="49">
        <f t="shared" ca="1" si="28"/>
        <v>0</v>
      </c>
      <c r="CH37" s="49">
        <f t="shared" ca="1" si="28"/>
        <v>0</v>
      </c>
      <c r="CI37" s="49">
        <f t="shared" ca="1" si="28"/>
        <v>0</v>
      </c>
      <c r="CJ37" s="49">
        <f t="shared" ca="1" si="28"/>
        <v>0</v>
      </c>
      <c r="CK37" s="49">
        <f t="shared" ca="1" si="28"/>
        <v>0</v>
      </c>
      <c r="CL37" s="49">
        <f t="shared" ca="1" si="28"/>
        <v>0</v>
      </c>
      <c r="CM37" s="49">
        <f t="shared" ca="1" si="28"/>
        <v>0</v>
      </c>
      <c r="CN37" s="49">
        <f t="shared" ref="CN37:CO37" ca="1" si="29">SUM(CN35:CN36)</f>
        <v>0</v>
      </c>
      <c r="CO37" s="49">
        <f t="shared" ca="1" si="29"/>
        <v>0</v>
      </c>
    </row>
    <row r="38" spans="1:1019 1104:2031 2116:3043 3128:4055 4140:5067 5152:6079 6164:7091 7176:8188 8193:9207 9292:10219 10304:11231 11316:12243 12328:13255 13340:14267 14352:15279 15364:16383" s="10" customFormat="1" ht="14.5" customHeight="1">
      <c r="E38" s="47"/>
      <c r="G38" s="11"/>
      <c r="CS38" s="47"/>
      <c r="CU38" s="11"/>
      <c r="GB38" s="47"/>
      <c r="GG38" s="47"/>
      <c r="GI38" s="11"/>
      <c r="JP38" s="47"/>
      <c r="JU38" s="47"/>
      <c r="JW38" s="11"/>
      <c r="ND38" s="47"/>
      <c r="NI38" s="47"/>
      <c r="NK38" s="11"/>
      <c r="QR38" s="47"/>
      <c r="QW38" s="47"/>
      <c r="QY38" s="11"/>
      <c r="UF38" s="47"/>
      <c r="UK38" s="47"/>
      <c r="UM38" s="11"/>
      <c r="XT38" s="47"/>
      <c r="XY38" s="47"/>
      <c r="YA38" s="11"/>
      <c r="ABH38" s="47"/>
      <c r="ABM38" s="47"/>
      <c r="ABO38" s="11"/>
      <c r="AEV38" s="47"/>
      <c r="AFA38" s="47"/>
      <c r="AFC38" s="11"/>
      <c r="AIJ38" s="47"/>
      <c r="AIO38" s="47"/>
      <c r="AIQ38" s="11"/>
      <c r="ALX38" s="47"/>
      <c r="AMC38" s="47"/>
      <c r="AME38" s="11"/>
      <c r="APL38" s="47"/>
      <c r="APQ38" s="47"/>
      <c r="APS38" s="11"/>
      <c r="ASZ38" s="47"/>
      <c r="ATE38" s="47"/>
      <c r="ATG38" s="11"/>
      <c r="AWN38" s="47"/>
      <c r="AWS38" s="47"/>
      <c r="AWU38" s="11"/>
      <c r="BAB38" s="47"/>
      <c r="BAG38" s="47"/>
      <c r="BAI38" s="11"/>
      <c r="BDP38" s="47"/>
      <c r="BDU38" s="47"/>
      <c r="BDW38" s="11"/>
      <c r="BHD38" s="47"/>
      <c r="BHI38" s="47"/>
      <c r="BHK38" s="11"/>
      <c r="BKR38" s="47"/>
      <c r="BKW38" s="47"/>
      <c r="BKY38" s="11"/>
      <c r="BOF38" s="47"/>
      <c r="BOK38" s="47"/>
      <c r="BOM38" s="11"/>
      <c r="BRT38" s="47"/>
      <c r="BRY38" s="47"/>
      <c r="BSA38" s="11"/>
      <c r="BVH38" s="47"/>
      <c r="BVM38" s="47"/>
      <c r="BVO38" s="11"/>
      <c r="BYV38" s="47"/>
      <c r="BZA38" s="47"/>
      <c r="BZC38" s="11"/>
      <c r="CCJ38" s="47"/>
      <c r="CCO38" s="47"/>
      <c r="CCQ38" s="11"/>
      <c r="CFX38" s="47"/>
      <c r="CGC38" s="47"/>
      <c r="CGE38" s="11"/>
      <c r="CJL38" s="47"/>
      <c r="CJQ38" s="47"/>
      <c r="CJS38" s="11"/>
      <c r="CMZ38" s="47"/>
      <c r="CNE38" s="47"/>
      <c r="CNG38" s="11"/>
      <c r="CQN38" s="47"/>
      <c r="CQS38" s="47"/>
      <c r="CQU38" s="11"/>
      <c r="CUB38" s="47"/>
      <c r="CUG38" s="47"/>
      <c r="CUI38" s="11"/>
      <c r="CXP38" s="47"/>
      <c r="CXU38" s="47"/>
      <c r="CXW38" s="11"/>
      <c r="DBD38" s="47"/>
      <c r="DBI38" s="47"/>
      <c r="DBK38" s="11"/>
      <c r="DER38" s="47"/>
      <c r="DEW38" s="47"/>
      <c r="DEY38" s="11"/>
      <c r="DIF38" s="47"/>
      <c r="DIK38" s="47"/>
      <c r="DIM38" s="11"/>
      <c r="DLT38" s="47"/>
      <c r="DLY38" s="47"/>
      <c r="DMA38" s="11"/>
      <c r="DPH38" s="47"/>
      <c r="DPM38" s="47"/>
      <c r="DPO38" s="11"/>
      <c r="DSV38" s="47"/>
      <c r="DTA38" s="47"/>
      <c r="DTC38" s="11"/>
      <c r="DWJ38" s="47"/>
      <c r="DWO38" s="47"/>
      <c r="DWQ38" s="11"/>
      <c r="DZX38" s="47"/>
      <c r="EAC38" s="47"/>
      <c r="EAE38" s="11"/>
      <c r="EDL38" s="47"/>
      <c r="EDQ38" s="47"/>
      <c r="EDS38" s="11"/>
      <c r="EGZ38" s="47"/>
      <c r="EHE38" s="47"/>
      <c r="EHG38" s="11"/>
      <c r="EKN38" s="47"/>
      <c r="EKS38" s="47"/>
      <c r="EKU38" s="11"/>
      <c r="EOB38" s="47"/>
      <c r="EOG38" s="47"/>
      <c r="EOI38" s="11"/>
      <c r="ERP38" s="47"/>
      <c r="ERU38" s="47"/>
      <c r="ERW38" s="11"/>
      <c r="EVD38" s="47"/>
      <c r="EVI38" s="47"/>
      <c r="EVK38" s="11"/>
      <c r="EYR38" s="47"/>
      <c r="EYW38" s="47"/>
      <c r="EYY38" s="11"/>
      <c r="FCF38" s="47"/>
      <c r="FCK38" s="47"/>
      <c r="FCM38" s="11"/>
      <c r="FFT38" s="47"/>
      <c r="FFY38" s="47"/>
      <c r="FGA38" s="11"/>
      <c r="FJH38" s="47"/>
      <c r="FJM38" s="47"/>
      <c r="FJO38" s="11"/>
      <c r="FMV38" s="47"/>
      <c r="FNA38" s="47"/>
      <c r="FNC38" s="11"/>
      <c r="FQJ38" s="47"/>
      <c r="FQO38" s="47"/>
      <c r="FQQ38" s="11"/>
      <c r="FTX38" s="47"/>
      <c r="FUC38" s="47"/>
      <c r="FUE38" s="11"/>
      <c r="FXL38" s="47"/>
      <c r="FXQ38" s="47"/>
      <c r="FXS38" s="11"/>
      <c r="GAZ38" s="47"/>
      <c r="GBE38" s="47"/>
      <c r="GBG38" s="11"/>
      <c r="GEN38" s="47"/>
      <c r="GES38" s="47"/>
      <c r="GEU38" s="11"/>
      <c r="GIB38" s="47"/>
      <c r="GIG38" s="47"/>
      <c r="GII38" s="11"/>
      <c r="GLP38" s="47"/>
      <c r="GLU38" s="47"/>
      <c r="GLW38" s="11"/>
      <c r="GPD38" s="47"/>
      <c r="GPI38" s="47"/>
      <c r="GPK38" s="11"/>
      <c r="GSR38" s="47"/>
      <c r="GSW38" s="47"/>
      <c r="GSY38" s="11"/>
      <c r="GWF38" s="47"/>
      <c r="GWK38" s="47"/>
      <c r="GWM38" s="11"/>
      <c r="GZT38" s="47"/>
      <c r="GZY38" s="47"/>
      <c r="HAA38" s="11"/>
      <c r="HDH38" s="47"/>
      <c r="HDM38" s="47"/>
      <c r="HDO38" s="11"/>
      <c r="HGV38" s="47"/>
      <c r="HHA38" s="47"/>
      <c r="HHC38" s="11"/>
      <c r="HKJ38" s="47"/>
      <c r="HKO38" s="47"/>
      <c r="HKQ38" s="11"/>
      <c r="HNX38" s="47"/>
      <c r="HOC38" s="47"/>
      <c r="HOE38" s="11"/>
      <c r="HRL38" s="47"/>
      <c r="HRQ38" s="47"/>
      <c r="HRS38" s="11"/>
      <c r="HUZ38" s="47"/>
      <c r="HVE38" s="47"/>
      <c r="HVG38" s="11"/>
      <c r="HYN38" s="47"/>
      <c r="HYS38" s="47"/>
      <c r="HYU38" s="11"/>
      <c r="ICB38" s="47"/>
      <c r="ICG38" s="47"/>
      <c r="ICI38" s="11"/>
      <c r="IFP38" s="47"/>
      <c r="IFU38" s="47"/>
      <c r="IFW38" s="11"/>
      <c r="IJD38" s="47"/>
      <c r="IJI38" s="47"/>
      <c r="IJK38" s="11"/>
      <c r="IMR38" s="47"/>
      <c r="IMW38" s="47"/>
      <c r="IMY38" s="11"/>
      <c r="IQF38" s="47"/>
      <c r="IQK38" s="47"/>
      <c r="IQM38" s="11"/>
      <c r="ITT38" s="47"/>
      <c r="ITY38" s="47"/>
      <c r="IUA38" s="11"/>
      <c r="IXH38" s="47"/>
      <c r="IXM38" s="47"/>
      <c r="IXO38" s="11"/>
      <c r="JAV38" s="47"/>
      <c r="JBA38" s="47"/>
      <c r="JBC38" s="11"/>
      <c r="JEJ38" s="47"/>
      <c r="JEO38" s="47"/>
      <c r="JEQ38" s="11"/>
      <c r="JHX38" s="47"/>
      <c r="JIC38" s="47"/>
      <c r="JIE38" s="11"/>
      <c r="JLL38" s="47"/>
      <c r="JLQ38" s="47"/>
      <c r="JLS38" s="11"/>
      <c r="JOZ38" s="47"/>
      <c r="JPE38" s="47"/>
      <c r="JPG38" s="11"/>
      <c r="JSN38" s="47"/>
      <c r="JSS38" s="47"/>
      <c r="JSU38" s="11"/>
      <c r="JWB38" s="47"/>
      <c r="JWG38" s="47"/>
      <c r="JWI38" s="11"/>
      <c r="JZP38" s="47"/>
      <c r="JZU38" s="47"/>
      <c r="JZW38" s="11"/>
      <c r="KDD38" s="47"/>
      <c r="KDI38" s="47"/>
      <c r="KDK38" s="11"/>
      <c r="KGR38" s="47"/>
      <c r="KGW38" s="47"/>
      <c r="KGY38" s="11"/>
      <c r="KKF38" s="47"/>
      <c r="KKK38" s="47"/>
      <c r="KKM38" s="11"/>
      <c r="KNT38" s="47"/>
      <c r="KNY38" s="47"/>
      <c r="KOA38" s="11"/>
      <c r="KRH38" s="47"/>
      <c r="KRM38" s="47"/>
      <c r="KRO38" s="11"/>
      <c r="KUV38" s="47"/>
      <c r="KVA38" s="47"/>
      <c r="KVC38" s="11"/>
      <c r="KYJ38" s="47"/>
      <c r="KYO38" s="47"/>
      <c r="KYQ38" s="11"/>
      <c r="LBX38" s="47"/>
      <c r="LCC38" s="47"/>
      <c r="LCE38" s="11"/>
      <c r="LFL38" s="47"/>
      <c r="LFQ38" s="47"/>
      <c r="LFS38" s="11"/>
      <c r="LIZ38" s="47"/>
      <c r="LJE38" s="47"/>
      <c r="LJG38" s="11"/>
      <c r="LMN38" s="47"/>
      <c r="LMS38" s="47"/>
      <c r="LMU38" s="11"/>
      <c r="LQB38" s="47"/>
      <c r="LQG38" s="47"/>
      <c r="LQI38" s="11"/>
      <c r="LTP38" s="47"/>
      <c r="LTU38" s="47"/>
      <c r="LTW38" s="11"/>
      <c r="LXD38" s="47"/>
      <c r="LXI38" s="47"/>
      <c r="LXK38" s="11"/>
      <c r="MAR38" s="47"/>
      <c r="MAW38" s="47"/>
      <c r="MAY38" s="11"/>
      <c r="MEF38" s="47"/>
      <c r="MEK38" s="47"/>
      <c r="MEM38" s="11"/>
      <c r="MHT38" s="47"/>
      <c r="MHY38" s="47"/>
      <c r="MIA38" s="11"/>
      <c r="MLH38" s="47"/>
      <c r="MLM38" s="47"/>
      <c r="MLO38" s="11"/>
      <c r="MOV38" s="47"/>
      <c r="MPA38" s="47"/>
      <c r="MPC38" s="11"/>
      <c r="MSJ38" s="47"/>
      <c r="MSO38" s="47"/>
      <c r="MSQ38" s="11"/>
      <c r="MVX38" s="47"/>
      <c r="MWC38" s="47"/>
      <c r="MWE38" s="11"/>
      <c r="MZL38" s="47"/>
      <c r="MZQ38" s="47"/>
      <c r="MZS38" s="11"/>
      <c r="NCZ38" s="47"/>
      <c r="NDE38" s="47"/>
      <c r="NDG38" s="11"/>
      <c r="NGN38" s="47"/>
      <c r="NGS38" s="47"/>
      <c r="NGU38" s="11"/>
      <c r="NKB38" s="47"/>
      <c r="NKG38" s="47"/>
      <c r="NKI38" s="11"/>
      <c r="NNP38" s="47"/>
      <c r="NNU38" s="47"/>
      <c r="NNW38" s="11"/>
      <c r="NRD38" s="47"/>
      <c r="NRI38" s="47"/>
      <c r="NRK38" s="11"/>
      <c r="NUR38" s="47"/>
      <c r="NUW38" s="47"/>
      <c r="NUY38" s="11"/>
      <c r="NYF38" s="47"/>
      <c r="NYK38" s="47"/>
      <c r="NYM38" s="11"/>
      <c r="OBT38" s="47"/>
      <c r="OBY38" s="47"/>
      <c r="OCA38" s="11"/>
      <c r="OFH38" s="47"/>
      <c r="OFM38" s="47"/>
      <c r="OFO38" s="11"/>
      <c r="OIV38" s="47"/>
      <c r="OJA38" s="47"/>
      <c r="OJC38" s="11"/>
      <c r="OMJ38" s="47"/>
      <c r="OMO38" s="47"/>
      <c r="OMQ38" s="11"/>
      <c r="OPX38" s="47"/>
      <c r="OQC38" s="47"/>
      <c r="OQE38" s="11"/>
      <c r="OTL38" s="47"/>
      <c r="OTQ38" s="47"/>
      <c r="OTS38" s="11"/>
      <c r="OWZ38" s="47"/>
      <c r="OXE38" s="47"/>
      <c r="OXG38" s="11"/>
      <c r="PAN38" s="47"/>
      <c r="PAS38" s="47"/>
      <c r="PAU38" s="11"/>
      <c r="PEB38" s="47"/>
      <c r="PEG38" s="47"/>
      <c r="PEI38" s="11"/>
      <c r="PHP38" s="47"/>
      <c r="PHU38" s="47"/>
      <c r="PHW38" s="11"/>
      <c r="PLD38" s="47"/>
      <c r="PLI38" s="47"/>
      <c r="PLK38" s="11"/>
      <c r="POR38" s="47"/>
      <c r="POW38" s="47"/>
      <c r="POY38" s="11"/>
      <c r="PSF38" s="47"/>
      <c r="PSK38" s="47"/>
      <c r="PSM38" s="11"/>
      <c r="PVT38" s="47"/>
      <c r="PVY38" s="47"/>
      <c r="PWA38" s="11"/>
      <c r="PZH38" s="47"/>
      <c r="PZM38" s="47"/>
      <c r="PZO38" s="11"/>
      <c r="QCV38" s="47"/>
      <c r="QDA38" s="47"/>
      <c r="QDC38" s="11"/>
      <c r="QGJ38" s="47"/>
      <c r="QGO38" s="47"/>
      <c r="QGQ38" s="11"/>
      <c r="QJX38" s="47"/>
      <c r="QKC38" s="47"/>
      <c r="QKE38" s="11"/>
      <c r="QNL38" s="47"/>
      <c r="QNQ38" s="47"/>
      <c r="QNS38" s="11"/>
      <c r="QQZ38" s="47"/>
      <c r="QRE38" s="47"/>
      <c r="QRG38" s="11"/>
      <c r="QUN38" s="47"/>
      <c r="QUS38" s="47"/>
      <c r="QUU38" s="11"/>
      <c r="QYB38" s="47"/>
      <c r="QYG38" s="47"/>
      <c r="QYI38" s="11"/>
      <c r="RBP38" s="47"/>
      <c r="RBU38" s="47"/>
      <c r="RBW38" s="11"/>
      <c r="RFD38" s="47"/>
      <c r="RFI38" s="47"/>
      <c r="RFK38" s="11"/>
      <c r="RIR38" s="47"/>
      <c r="RIW38" s="47"/>
      <c r="RIY38" s="11"/>
      <c r="RMF38" s="47"/>
      <c r="RMK38" s="47"/>
      <c r="RMM38" s="11"/>
      <c r="RPT38" s="47"/>
      <c r="RPY38" s="47"/>
      <c r="RQA38" s="11"/>
      <c r="RTH38" s="47"/>
      <c r="RTM38" s="47"/>
      <c r="RTO38" s="11"/>
      <c r="RWV38" s="47"/>
      <c r="RXA38" s="47"/>
      <c r="RXC38" s="11"/>
      <c r="SAJ38" s="47"/>
      <c r="SAO38" s="47"/>
      <c r="SAQ38" s="11"/>
      <c r="SDX38" s="47"/>
      <c r="SEC38" s="47"/>
      <c r="SEE38" s="11"/>
      <c r="SHL38" s="47"/>
      <c r="SHQ38" s="47"/>
      <c r="SHS38" s="11"/>
      <c r="SKZ38" s="47"/>
      <c r="SLE38" s="47"/>
      <c r="SLG38" s="11"/>
      <c r="SON38" s="47"/>
      <c r="SOS38" s="47"/>
      <c r="SOU38" s="11"/>
      <c r="SSB38" s="47"/>
      <c r="SSG38" s="47"/>
      <c r="SSI38" s="11"/>
      <c r="SVP38" s="47"/>
      <c r="SVU38" s="47"/>
      <c r="SVW38" s="11"/>
      <c r="SZD38" s="47"/>
      <c r="SZI38" s="47"/>
      <c r="SZK38" s="11"/>
      <c r="TCR38" s="47"/>
      <c r="TCW38" s="47"/>
      <c r="TCY38" s="11"/>
      <c r="TGF38" s="47"/>
      <c r="TGK38" s="47"/>
      <c r="TGM38" s="11"/>
      <c r="TJT38" s="47"/>
      <c r="TJY38" s="47"/>
      <c r="TKA38" s="11"/>
      <c r="TNH38" s="47"/>
      <c r="TNM38" s="47"/>
      <c r="TNO38" s="11"/>
      <c r="TQV38" s="47"/>
      <c r="TRA38" s="47"/>
      <c r="TRC38" s="11"/>
      <c r="TUJ38" s="47"/>
      <c r="TUO38" s="47"/>
      <c r="TUQ38" s="11"/>
      <c r="TXX38" s="47"/>
      <c r="TYC38" s="47"/>
      <c r="TYE38" s="11"/>
      <c r="UBL38" s="47"/>
      <c r="UBQ38" s="47"/>
      <c r="UBS38" s="11"/>
      <c r="UEZ38" s="47"/>
      <c r="UFE38" s="47"/>
      <c r="UFG38" s="11"/>
      <c r="UIN38" s="47"/>
      <c r="UIS38" s="47"/>
      <c r="UIU38" s="11"/>
      <c r="UMB38" s="47"/>
      <c r="UMG38" s="47"/>
      <c r="UMI38" s="11"/>
      <c r="UPP38" s="47"/>
      <c r="UPU38" s="47"/>
      <c r="UPW38" s="11"/>
      <c r="UTD38" s="47"/>
      <c r="UTI38" s="47"/>
      <c r="UTK38" s="11"/>
      <c r="UWR38" s="47"/>
      <c r="UWW38" s="47"/>
      <c r="UWY38" s="11"/>
      <c r="VAF38" s="47"/>
      <c r="VAK38" s="47"/>
      <c r="VAM38" s="11"/>
      <c r="VDT38" s="47"/>
      <c r="VDY38" s="47"/>
      <c r="VEA38" s="11"/>
      <c r="VHH38" s="47"/>
      <c r="VHM38" s="47"/>
      <c r="VHO38" s="11"/>
      <c r="VKV38" s="47"/>
      <c r="VLA38" s="47"/>
      <c r="VLC38" s="11"/>
      <c r="VOJ38" s="47"/>
      <c r="VOO38" s="47"/>
      <c r="VOQ38" s="11"/>
      <c r="VRX38" s="47"/>
      <c r="VSC38" s="47"/>
      <c r="VSE38" s="11"/>
      <c r="VVL38" s="47"/>
      <c r="VVQ38" s="47"/>
      <c r="VVS38" s="11"/>
      <c r="VYZ38" s="47"/>
      <c r="VZE38" s="47"/>
      <c r="VZG38" s="11"/>
      <c r="WCN38" s="47"/>
      <c r="WCS38" s="47"/>
      <c r="WCU38" s="11"/>
      <c r="WGB38" s="47"/>
      <c r="WGG38" s="47"/>
      <c r="WGI38" s="11"/>
      <c r="WJP38" s="47"/>
      <c r="WJU38" s="47"/>
      <c r="WJW38" s="11"/>
      <c r="WND38" s="47"/>
      <c r="WNI38" s="47"/>
      <c r="WNK38" s="11"/>
      <c r="WQR38" s="47"/>
      <c r="WQW38" s="47"/>
      <c r="WQY38" s="11"/>
      <c r="WUF38" s="47"/>
      <c r="WUK38" s="47"/>
      <c r="WUM38" s="11"/>
      <c r="WXT38" s="47"/>
      <c r="WXY38" s="47"/>
      <c r="WYA38" s="11"/>
      <c r="XBH38" s="47"/>
      <c r="XBM38" s="47"/>
      <c r="XBO38" s="11"/>
      <c r="XEV38" s="47"/>
      <c r="XFA38" s="47"/>
      <c r="XFC38" s="11"/>
    </row>
    <row r="39" spans="1:1019 1104:2031 2116:3043 3128:4055 4140:5067 5152:6079 6164:7091 7176:8188 8193:9207 9292:10219 10304:11231 11316:12243 12328:13255 13340:14267 14352:15279 15364:16383" s="10" customFormat="1" ht="14.5" customHeight="1">
      <c r="C39" s="367" t="s">
        <v>1021</v>
      </c>
      <c r="E39" s="47"/>
      <c r="G39" s="11"/>
      <c r="CS39" s="47"/>
      <c r="CU39" s="11"/>
      <c r="GB39" s="47"/>
      <c r="GG39" s="47"/>
      <c r="GI39" s="11"/>
      <c r="JP39" s="47"/>
      <c r="JU39" s="47"/>
      <c r="JW39" s="11"/>
      <c r="ND39" s="47"/>
      <c r="NI39" s="47"/>
      <c r="NK39" s="11"/>
      <c r="QR39" s="47"/>
      <c r="QW39" s="47"/>
      <c r="QY39" s="11"/>
      <c r="UF39" s="47"/>
      <c r="UK39" s="47"/>
      <c r="UM39" s="11"/>
      <c r="XT39" s="47"/>
      <c r="XY39" s="47"/>
      <c r="YA39" s="11"/>
      <c r="ABH39" s="47"/>
      <c r="ABM39" s="47"/>
      <c r="ABO39" s="11"/>
      <c r="AEV39" s="47"/>
      <c r="AFA39" s="47"/>
      <c r="AFC39" s="11"/>
      <c r="AIJ39" s="47"/>
      <c r="AIO39" s="47"/>
      <c r="AIQ39" s="11"/>
      <c r="ALX39" s="47"/>
      <c r="AMC39" s="47"/>
      <c r="AME39" s="11"/>
      <c r="APL39" s="47"/>
      <c r="APQ39" s="47"/>
      <c r="APS39" s="11"/>
      <c r="ASZ39" s="47"/>
      <c r="ATE39" s="47"/>
      <c r="ATG39" s="11"/>
      <c r="AWN39" s="47"/>
      <c r="AWS39" s="47"/>
      <c r="AWU39" s="11"/>
      <c r="BAB39" s="47"/>
      <c r="BAG39" s="47"/>
      <c r="BAI39" s="11"/>
      <c r="BDP39" s="47"/>
      <c r="BDU39" s="47"/>
      <c r="BDW39" s="11"/>
      <c r="BHD39" s="47"/>
      <c r="BHI39" s="47"/>
      <c r="BHK39" s="11"/>
      <c r="BKR39" s="47"/>
      <c r="BKW39" s="47"/>
      <c r="BKY39" s="11"/>
      <c r="BOF39" s="47"/>
      <c r="BOK39" s="47"/>
      <c r="BOM39" s="11"/>
      <c r="BRT39" s="47"/>
      <c r="BRY39" s="47"/>
      <c r="BSA39" s="11"/>
      <c r="BVH39" s="47"/>
      <c r="BVM39" s="47"/>
      <c r="BVO39" s="11"/>
      <c r="BYV39" s="47"/>
      <c r="BZA39" s="47"/>
      <c r="BZC39" s="11"/>
      <c r="CCJ39" s="47"/>
      <c r="CCO39" s="47"/>
      <c r="CCQ39" s="11"/>
      <c r="CFX39" s="47"/>
      <c r="CGC39" s="47"/>
      <c r="CGE39" s="11"/>
      <c r="CJL39" s="47"/>
      <c r="CJQ39" s="47"/>
      <c r="CJS39" s="11"/>
      <c r="CMZ39" s="47"/>
      <c r="CNE39" s="47"/>
      <c r="CNG39" s="11"/>
      <c r="CQN39" s="47"/>
      <c r="CQS39" s="47"/>
      <c r="CQU39" s="11"/>
      <c r="CUB39" s="47"/>
      <c r="CUG39" s="47"/>
      <c r="CUI39" s="11"/>
      <c r="CXP39" s="47"/>
      <c r="CXU39" s="47"/>
      <c r="CXW39" s="11"/>
      <c r="DBD39" s="47"/>
      <c r="DBI39" s="47"/>
      <c r="DBK39" s="11"/>
      <c r="DER39" s="47"/>
      <c r="DEW39" s="47"/>
      <c r="DEY39" s="11"/>
      <c r="DIF39" s="47"/>
      <c r="DIK39" s="47"/>
      <c r="DIM39" s="11"/>
      <c r="DLT39" s="47"/>
      <c r="DLY39" s="47"/>
      <c r="DMA39" s="11"/>
      <c r="DPH39" s="47"/>
      <c r="DPM39" s="47"/>
      <c r="DPO39" s="11"/>
      <c r="DSV39" s="47"/>
      <c r="DTA39" s="47"/>
      <c r="DTC39" s="11"/>
      <c r="DWJ39" s="47"/>
      <c r="DWO39" s="47"/>
      <c r="DWQ39" s="11"/>
      <c r="DZX39" s="47"/>
      <c r="EAC39" s="47"/>
      <c r="EAE39" s="11"/>
      <c r="EDL39" s="47"/>
      <c r="EDQ39" s="47"/>
      <c r="EDS39" s="11"/>
      <c r="EGZ39" s="47"/>
      <c r="EHE39" s="47"/>
      <c r="EHG39" s="11"/>
      <c r="EKN39" s="47"/>
      <c r="EKS39" s="47"/>
      <c r="EKU39" s="11"/>
      <c r="EOB39" s="47"/>
      <c r="EOG39" s="47"/>
      <c r="EOI39" s="11"/>
      <c r="ERP39" s="47"/>
      <c r="ERU39" s="47"/>
      <c r="ERW39" s="11"/>
      <c r="EVD39" s="47"/>
      <c r="EVI39" s="47"/>
      <c r="EVK39" s="11"/>
      <c r="EYR39" s="47"/>
      <c r="EYW39" s="47"/>
      <c r="EYY39" s="11"/>
      <c r="FCF39" s="47"/>
      <c r="FCK39" s="47"/>
      <c r="FCM39" s="11"/>
      <c r="FFT39" s="47"/>
      <c r="FFY39" s="47"/>
      <c r="FGA39" s="11"/>
      <c r="FJH39" s="47"/>
      <c r="FJM39" s="47"/>
      <c r="FJO39" s="11"/>
      <c r="FMV39" s="47"/>
      <c r="FNA39" s="47"/>
      <c r="FNC39" s="11"/>
      <c r="FQJ39" s="47"/>
      <c r="FQO39" s="47"/>
      <c r="FQQ39" s="11"/>
      <c r="FTX39" s="47"/>
      <c r="FUC39" s="47"/>
      <c r="FUE39" s="11"/>
      <c r="FXL39" s="47"/>
      <c r="FXQ39" s="47"/>
      <c r="FXS39" s="11"/>
      <c r="GAZ39" s="47"/>
      <c r="GBE39" s="47"/>
      <c r="GBG39" s="11"/>
      <c r="GEN39" s="47"/>
      <c r="GES39" s="47"/>
      <c r="GEU39" s="11"/>
      <c r="GIB39" s="47"/>
      <c r="GIG39" s="47"/>
      <c r="GII39" s="11"/>
      <c r="GLP39" s="47"/>
      <c r="GLU39" s="47"/>
      <c r="GLW39" s="11"/>
      <c r="GPD39" s="47"/>
      <c r="GPI39" s="47"/>
      <c r="GPK39" s="11"/>
      <c r="GSR39" s="47"/>
      <c r="GSW39" s="47"/>
      <c r="GSY39" s="11"/>
      <c r="GWF39" s="47"/>
      <c r="GWK39" s="47"/>
      <c r="GWM39" s="11"/>
      <c r="GZT39" s="47"/>
      <c r="GZY39" s="47"/>
      <c r="HAA39" s="11"/>
      <c r="HDH39" s="47"/>
      <c r="HDM39" s="47"/>
      <c r="HDO39" s="11"/>
      <c r="HGV39" s="47"/>
      <c r="HHA39" s="47"/>
      <c r="HHC39" s="11"/>
      <c r="HKJ39" s="47"/>
      <c r="HKO39" s="47"/>
      <c r="HKQ39" s="11"/>
      <c r="HNX39" s="47"/>
      <c r="HOC39" s="47"/>
      <c r="HOE39" s="11"/>
      <c r="HRL39" s="47"/>
      <c r="HRQ39" s="47"/>
      <c r="HRS39" s="11"/>
      <c r="HUZ39" s="47"/>
      <c r="HVE39" s="47"/>
      <c r="HVG39" s="11"/>
      <c r="HYN39" s="47"/>
      <c r="HYS39" s="47"/>
      <c r="HYU39" s="11"/>
      <c r="ICB39" s="47"/>
      <c r="ICG39" s="47"/>
      <c r="ICI39" s="11"/>
      <c r="IFP39" s="47"/>
      <c r="IFU39" s="47"/>
      <c r="IFW39" s="11"/>
      <c r="IJD39" s="47"/>
      <c r="IJI39" s="47"/>
      <c r="IJK39" s="11"/>
      <c r="IMR39" s="47"/>
      <c r="IMW39" s="47"/>
      <c r="IMY39" s="11"/>
      <c r="IQF39" s="47"/>
      <c r="IQK39" s="47"/>
      <c r="IQM39" s="11"/>
      <c r="ITT39" s="47"/>
      <c r="ITY39" s="47"/>
      <c r="IUA39" s="11"/>
      <c r="IXH39" s="47"/>
      <c r="IXM39" s="47"/>
      <c r="IXO39" s="11"/>
      <c r="JAV39" s="47"/>
      <c r="JBA39" s="47"/>
      <c r="JBC39" s="11"/>
      <c r="JEJ39" s="47"/>
      <c r="JEO39" s="47"/>
      <c r="JEQ39" s="11"/>
      <c r="JHX39" s="47"/>
      <c r="JIC39" s="47"/>
      <c r="JIE39" s="11"/>
      <c r="JLL39" s="47"/>
      <c r="JLQ39" s="47"/>
      <c r="JLS39" s="11"/>
      <c r="JOZ39" s="47"/>
      <c r="JPE39" s="47"/>
      <c r="JPG39" s="11"/>
      <c r="JSN39" s="47"/>
      <c r="JSS39" s="47"/>
      <c r="JSU39" s="11"/>
      <c r="JWB39" s="47"/>
      <c r="JWG39" s="47"/>
      <c r="JWI39" s="11"/>
      <c r="JZP39" s="47"/>
      <c r="JZU39" s="47"/>
      <c r="JZW39" s="11"/>
      <c r="KDD39" s="47"/>
      <c r="KDI39" s="47"/>
      <c r="KDK39" s="11"/>
      <c r="KGR39" s="47"/>
      <c r="KGW39" s="47"/>
      <c r="KGY39" s="11"/>
      <c r="KKF39" s="47"/>
      <c r="KKK39" s="47"/>
      <c r="KKM39" s="11"/>
      <c r="KNT39" s="47"/>
      <c r="KNY39" s="47"/>
      <c r="KOA39" s="11"/>
      <c r="KRH39" s="47"/>
      <c r="KRM39" s="47"/>
      <c r="KRO39" s="11"/>
      <c r="KUV39" s="47"/>
      <c r="KVA39" s="47"/>
      <c r="KVC39" s="11"/>
      <c r="KYJ39" s="47"/>
      <c r="KYO39" s="47"/>
      <c r="KYQ39" s="11"/>
      <c r="LBX39" s="47"/>
      <c r="LCC39" s="47"/>
      <c r="LCE39" s="11"/>
      <c r="LFL39" s="47"/>
      <c r="LFQ39" s="47"/>
      <c r="LFS39" s="11"/>
      <c r="LIZ39" s="47"/>
      <c r="LJE39" s="47"/>
      <c r="LJG39" s="11"/>
      <c r="LMN39" s="47"/>
      <c r="LMS39" s="47"/>
      <c r="LMU39" s="11"/>
      <c r="LQB39" s="47"/>
      <c r="LQG39" s="47"/>
      <c r="LQI39" s="11"/>
      <c r="LTP39" s="47"/>
      <c r="LTU39" s="47"/>
      <c r="LTW39" s="11"/>
      <c r="LXD39" s="47"/>
      <c r="LXI39" s="47"/>
      <c r="LXK39" s="11"/>
      <c r="MAR39" s="47"/>
      <c r="MAW39" s="47"/>
      <c r="MAY39" s="11"/>
      <c r="MEF39" s="47"/>
      <c r="MEK39" s="47"/>
      <c r="MEM39" s="11"/>
      <c r="MHT39" s="47"/>
      <c r="MHY39" s="47"/>
      <c r="MIA39" s="11"/>
      <c r="MLH39" s="47"/>
      <c r="MLM39" s="47"/>
      <c r="MLO39" s="11"/>
      <c r="MOV39" s="47"/>
      <c r="MPA39" s="47"/>
      <c r="MPC39" s="11"/>
      <c r="MSJ39" s="47"/>
      <c r="MSO39" s="47"/>
      <c r="MSQ39" s="11"/>
      <c r="MVX39" s="47"/>
      <c r="MWC39" s="47"/>
      <c r="MWE39" s="11"/>
      <c r="MZL39" s="47"/>
      <c r="MZQ39" s="47"/>
      <c r="MZS39" s="11"/>
      <c r="NCZ39" s="47"/>
      <c r="NDE39" s="47"/>
      <c r="NDG39" s="11"/>
      <c r="NGN39" s="47"/>
      <c r="NGS39" s="47"/>
      <c r="NGU39" s="11"/>
      <c r="NKB39" s="47"/>
      <c r="NKG39" s="47"/>
      <c r="NKI39" s="11"/>
      <c r="NNP39" s="47"/>
      <c r="NNU39" s="47"/>
      <c r="NNW39" s="11"/>
      <c r="NRD39" s="47"/>
      <c r="NRI39" s="47"/>
      <c r="NRK39" s="11"/>
      <c r="NUR39" s="47"/>
      <c r="NUW39" s="47"/>
      <c r="NUY39" s="11"/>
      <c r="NYF39" s="47"/>
      <c r="NYK39" s="47"/>
      <c r="NYM39" s="11"/>
      <c r="OBT39" s="47"/>
      <c r="OBY39" s="47"/>
      <c r="OCA39" s="11"/>
      <c r="OFH39" s="47"/>
      <c r="OFM39" s="47"/>
      <c r="OFO39" s="11"/>
      <c r="OIV39" s="47"/>
      <c r="OJA39" s="47"/>
      <c r="OJC39" s="11"/>
      <c r="OMJ39" s="47"/>
      <c r="OMO39" s="47"/>
      <c r="OMQ39" s="11"/>
      <c r="OPX39" s="47"/>
      <c r="OQC39" s="47"/>
      <c r="OQE39" s="11"/>
      <c r="OTL39" s="47"/>
      <c r="OTQ39" s="47"/>
      <c r="OTS39" s="11"/>
      <c r="OWZ39" s="47"/>
      <c r="OXE39" s="47"/>
      <c r="OXG39" s="11"/>
      <c r="PAN39" s="47"/>
      <c r="PAS39" s="47"/>
      <c r="PAU39" s="11"/>
      <c r="PEB39" s="47"/>
      <c r="PEG39" s="47"/>
      <c r="PEI39" s="11"/>
      <c r="PHP39" s="47"/>
      <c r="PHU39" s="47"/>
      <c r="PHW39" s="11"/>
      <c r="PLD39" s="47"/>
      <c r="PLI39" s="47"/>
      <c r="PLK39" s="11"/>
      <c r="POR39" s="47"/>
      <c r="POW39" s="47"/>
      <c r="POY39" s="11"/>
      <c r="PSF39" s="47"/>
      <c r="PSK39" s="47"/>
      <c r="PSM39" s="11"/>
      <c r="PVT39" s="47"/>
      <c r="PVY39" s="47"/>
      <c r="PWA39" s="11"/>
      <c r="PZH39" s="47"/>
      <c r="PZM39" s="47"/>
      <c r="PZO39" s="11"/>
      <c r="QCV39" s="47"/>
      <c r="QDA39" s="47"/>
      <c r="QDC39" s="11"/>
      <c r="QGJ39" s="47"/>
      <c r="QGO39" s="47"/>
      <c r="QGQ39" s="11"/>
      <c r="QJX39" s="47"/>
      <c r="QKC39" s="47"/>
      <c r="QKE39" s="11"/>
      <c r="QNL39" s="47"/>
      <c r="QNQ39" s="47"/>
      <c r="QNS39" s="11"/>
      <c r="QQZ39" s="47"/>
      <c r="QRE39" s="47"/>
      <c r="QRG39" s="11"/>
      <c r="QUN39" s="47"/>
      <c r="QUS39" s="47"/>
      <c r="QUU39" s="11"/>
      <c r="QYB39" s="47"/>
      <c r="QYG39" s="47"/>
      <c r="QYI39" s="11"/>
      <c r="RBP39" s="47"/>
      <c r="RBU39" s="47"/>
      <c r="RBW39" s="11"/>
      <c r="RFD39" s="47"/>
      <c r="RFI39" s="47"/>
      <c r="RFK39" s="11"/>
      <c r="RIR39" s="47"/>
      <c r="RIW39" s="47"/>
      <c r="RIY39" s="11"/>
      <c r="RMF39" s="47"/>
      <c r="RMK39" s="47"/>
      <c r="RMM39" s="11"/>
      <c r="RPT39" s="47"/>
      <c r="RPY39" s="47"/>
      <c r="RQA39" s="11"/>
      <c r="RTH39" s="47"/>
      <c r="RTM39" s="47"/>
      <c r="RTO39" s="11"/>
      <c r="RWV39" s="47"/>
      <c r="RXA39" s="47"/>
      <c r="RXC39" s="11"/>
      <c r="SAJ39" s="47"/>
      <c r="SAO39" s="47"/>
      <c r="SAQ39" s="11"/>
      <c r="SDX39" s="47"/>
      <c r="SEC39" s="47"/>
      <c r="SEE39" s="11"/>
      <c r="SHL39" s="47"/>
      <c r="SHQ39" s="47"/>
      <c r="SHS39" s="11"/>
      <c r="SKZ39" s="47"/>
      <c r="SLE39" s="47"/>
      <c r="SLG39" s="11"/>
      <c r="SON39" s="47"/>
      <c r="SOS39" s="47"/>
      <c r="SOU39" s="11"/>
      <c r="SSB39" s="47"/>
      <c r="SSG39" s="47"/>
      <c r="SSI39" s="11"/>
      <c r="SVP39" s="47"/>
      <c r="SVU39" s="47"/>
      <c r="SVW39" s="11"/>
      <c r="SZD39" s="47"/>
      <c r="SZI39" s="47"/>
      <c r="SZK39" s="11"/>
      <c r="TCR39" s="47"/>
      <c r="TCW39" s="47"/>
      <c r="TCY39" s="11"/>
      <c r="TGF39" s="47"/>
      <c r="TGK39" s="47"/>
      <c r="TGM39" s="11"/>
      <c r="TJT39" s="47"/>
      <c r="TJY39" s="47"/>
      <c r="TKA39" s="11"/>
      <c r="TNH39" s="47"/>
      <c r="TNM39" s="47"/>
      <c r="TNO39" s="11"/>
      <c r="TQV39" s="47"/>
      <c r="TRA39" s="47"/>
      <c r="TRC39" s="11"/>
      <c r="TUJ39" s="47"/>
      <c r="TUO39" s="47"/>
      <c r="TUQ39" s="11"/>
      <c r="TXX39" s="47"/>
      <c r="TYC39" s="47"/>
      <c r="TYE39" s="11"/>
      <c r="UBL39" s="47"/>
      <c r="UBQ39" s="47"/>
      <c r="UBS39" s="11"/>
      <c r="UEZ39" s="47"/>
      <c r="UFE39" s="47"/>
      <c r="UFG39" s="11"/>
      <c r="UIN39" s="47"/>
      <c r="UIS39" s="47"/>
      <c r="UIU39" s="11"/>
      <c r="UMB39" s="47"/>
      <c r="UMG39" s="47"/>
      <c r="UMI39" s="11"/>
      <c r="UPP39" s="47"/>
      <c r="UPU39" s="47"/>
      <c r="UPW39" s="11"/>
      <c r="UTD39" s="47"/>
      <c r="UTI39" s="47"/>
      <c r="UTK39" s="11"/>
      <c r="UWR39" s="47"/>
      <c r="UWW39" s="47"/>
      <c r="UWY39" s="11"/>
      <c r="VAF39" s="47"/>
      <c r="VAK39" s="47"/>
      <c r="VAM39" s="11"/>
      <c r="VDT39" s="47"/>
      <c r="VDY39" s="47"/>
      <c r="VEA39" s="11"/>
      <c r="VHH39" s="47"/>
      <c r="VHM39" s="47"/>
      <c r="VHO39" s="11"/>
      <c r="VKV39" s="47"/>
      <c r="VLA39" s="47"/>
      <c r="VLC39" s="11"/>
      <c r="VOJ39" s="47"/>
      <c r="VOO39" s="47"/>
      <c r="VOQ39" s="11"/>
      <c r="VRX39" s="47"/>
      <c r="VSC39" s="47"/>
      <c r="VSE39" s="11"/>
      <c r="VVL39" s="47"/>
      <c r="VVQ39" s="47"/>
      <c r="VVS39" s="11"/>
      <c r="VYZ39" s="47"/>
      <c r="VZE39" s="47"/>
      <c r="VZG39" s="11"/>
      <c r="WCN39" s="47"/>
      <c r="WCS39" s="47"/>
      <c r="WCU39" s="11"/>
      <c r="WGB39" s="47"/>
      <c r="WGG39" s="47"/>
      <c r="WGI39" s="11"/>
      <c r="WJP39" s="47"/>
      <c r="WJU39" s="47"/>
      <c r="WJW39" s="11"/>
      <c r="WND39" s="47"/>
      <c r="WNI39" s="47"/>
      <c r="WNK39" s="11"/>
      <c r="WQR39" s="47"/>
      <c r="WQW39" s="47"/>
      <c r="WQY39" s="11"/>
      <c r="WUF39" s="47"/>
      <c r="WUK39" s="47"/>
      <c r="WUM39" s="11"/>
      <c r="WXT39" s="47"/>
      <c r="WXY39" s="47"/>
      <c r="WYA39" s="11"/>
      <c r="XBH39" s="47"/>
      <c r="XBM39" s="47"/>
      <c r="XBO39" s="11"/>
      <c r="XEV39" s="47"/>
      <c r="XFA39" s="47"/>
      <c r="XFC39" s="11"/>
    </row>
    <row r="40" spans="1:1019 1104:2031 2116:3043 3128:4055 4140:5067 5152:6079 6164:7091 7176:8188 8193:9207 9292:10219 10304:11231 11316:12243 12328:13255 13340:14267 14352:15279 15364:16383" s="10" customFormat="1" ht="14.5" customHeight="1">
      <c r="C40" s="17" t="s">
        <v>1022</v>
      </c>
      <c r="E40" s="47"/>
      <c r="G40" s="11" t="str">
        <f>Monetary_Unit</f>
        <v>тыс. руб.</v>
      </c>
      <c r="I40" s="23">
        <f t="shared" ref="I40:I42" ca="1" si="30">SUM(L40:CM40)</f>
        <v>8695089.1857452895</v>
      </c>
      <c r="L40" s="10">
        <f ca="1" xml:space="preserve"> L66</f>
        <v>0</v>
      </c>
      <c r="M40" s="10">
        <f t="shared" ref="M40:BX40" ca="1" si="31" xml:space="preserve"> M66</f>
        <v>0</v>
      </c>
      <c r="N40" s="10">
        <f t="shared" ca="1" si="31"/>
        <v>0</v>
      </c>
      <c r="O40" s="10">
        <f t="shared" ca="1" si="31"/>
        <v>0</v>
      </c>
      <c r="P40" s="10">
        <f t="shared" ca="1" si="31"/>
        <v>0</v>
      </c>
      <c r="Q40" s="10">
        <f t="shared" ca="1" si="31"/>
        <v>0</v>
      </c>
      <c r="R40" s="10">
        <f t="shared" ca="1" si="31"/>
        <v>0</v>
      </c>
      <c r="S40" s="10">
        <f t="shared" ca="1" si="31"/>
        <v>0</v>
      </c>
      <c r="T40" s="10">
        <f t="shared" ca="1" si="31"/>
        <v>0</v>
      </c>
      <c r="U40" s="10">
        <f t="shared" ca="1" si="31"/>
        <v>0</v>
      </c>
      <c r="V40" s="10">
        <f t="shared" ca="1" si="31"/>
        <v>0</v>
      </c>
      <c r="W40" s="10">
        <f t="shared" ca="1" si="31"/>
        <v>0</v>
      </c>
      <c r="X40" s="10">
        <f t="shared" ca="1" si="31"/>
        <v>0</v>
      </c>
      <c r="Y40" s="10">
        <f t="shared" ca="1" si="31"/>
        <v>0</v>
      </c>
      <c r="Z40" s="10">
        <f t="shared" ca="1" si="31"/>
        <v>0</v>
      </c>
      <c r="AA40" s="10">
        <f t="shared" ca="1" si="31"/>
        <v>0</v>
      </c>
      <c r="AB40" s="10">
        <f t="shared" ca="1" si="31"/>
        <v>0</v>
      </c>
      <c r="AC40" s="10">
        <f t="shared" ca="1" si="31"/>
        <v>33960.780468298522</v>
      </c>
      <c r="AD40" s="10">
        <f t="shared" ca="1" si="31"/>
        <v>45581.253080651091</v>
      </c>
      <c r="AE40" s="10">
        <f t="shared" ca="1" si="31"/>
        <v>26523.378198406412</v>
      </c>
      <c r="AF40" s="10">
        <f t="shared" ca="1" si="31"/>
        <v>26037.36669823722</v>
      </c>
      <c r="AG40" s="10">
        <f t="shared" ca="1" si="31"/>
        <v>41785.068029249975</v>
      </c>
      <c r="AH40" s="10">
        <f t="shared" ca="1" si="31"/>
        <v>54476.204928620631</v>
      </c>
      <c r="AI40" s="10">
        <f t="shared" ca="1" si="31"/>
        <v>31680.274923682897</v>
      </c>
      <c r="AJ40" s="10">
        <f t="shared" ca="1" si="31"/>
        <v>30968.740483282425</v>
      </c>
      <c r="AK40" s="10">
        <f t="shared" ca="1" si="31"/>
        <v>49337.806663015632</v>
      </c>
      <c r="AL40" s="10">
        <f t="shared" ca="1" si="31"/>
        <v>64006.249542953919</v>
      </c>
      <c r="AM40" s="10">
        <f t="shared" ca="1" si="31"/>
        <v>37203.717406748168</v>
      </c>
      <c r="AN40" s="10">
        <f t="shared" ca="1" si="31"/>
        <v>36659.686113468648</v>
      </c>
      <c r="AO40" s="10">
        <f t="shared" ca="1" si="31"/>
        <v>57425.618148068381</v>
      </c>
      <c r="AP40" s="10">
        <f t="shared" ca="1" si="31"/>
        <v>73109.459997727448</v>
      </c>
      <c r="AQ40" s="10">
        <f t="shared" ca="1" si="31"/>
        <v>42325.81039593192</v>
      </c>
      <c r="AR40" s="10">
        <f t="shared" ca="1" si="31"/>
        <v>40107.56930087183</v>
      </c>
      <c r="AS40" s="10">
        <f t="shared" ca="1" si="31"/>
        <v>62297.135549394428</v>
      </c>
      <c r="AT40" s="10">
        <f t="shared" ca="1" si="31"/>
        <v>78678.404868594604</v>
      </c>
      <c r="AU40" s="10">
        <f t="shared" ca="1" si="31"/>
        <v>51943.038036941551</v>
      </c>
      <c r="AV40" s="10">
        <f t="shared" ca="1" si="31"/>
        <v>49152.621308405207</v>
      </c>
      <c r="AW40" s="10">
        <f t="shared" ca="1" si="31"/>
        <v>69081.640738771879</v>
      </c>
      <c r="AX40" s="10">
        <f t="shared" ca="1" si="31"/>
        <v>168101.30800737377</v>
      </c>
      <c r="AY40" s="10">
        <f t="shared" ca="1" si="31"/>
        <v>148300.46323571014</v>
      </c>
      <c r="AZ40" s="10">
        <f t="shared" ca="1" si="31"/>
        <v>102808.84214217607</v>
      </c>
      <c r="BA40" s="10">
        <f t="shared" ca="1" si="31"/>
        <v>126900.17656409295</v>
      </c>
      <c r="BB40" s="10">
        <f t="shared" ca="1" si="31"/>
        <v>175588.65161453781</v>
      </c>
      <c r="BC40" s="10">
        <f t="shared" ca="1" si="31"/>
        <v>155108.9526461208</v>
      </c>
      <c r="BD40" s="10">
        <f t="shared" ca="1" si="31"/>
        <v>108376.80849644975</v>
      </c>
      <c r="BE40" s="10">
        <f t="shared" ca="1" si="31"/>
        <v>135423.18808380869</v>
      </c>
      <c r="BF40" s="10">
        <f t="shared" ca="1" si="31"/>
        <v>185451.047705998</v>
      </c>
      <c r="BG40" s="10">
        <f t="shared" ca="1" si="31"/>
        <v>164122.70897369343</v>
      </c>
      <c r="BH40" s="10">
        <f t="shared" ca="1" si="31"/>
        <v>114945.0677776782</v>
      </c>
      <c r="BI40" s="10">
        <f t="shared" ca="1" si="31"/>
        <v>140904.0132717182</v>
      </c>
      <c r="BJ40" s="10">
        <f t="shared" ca="1" si="31"/>
        <v>193409.3046864582</v>
      </c>
      <c r="BK40" s="10">
        <f t="shared" ca="1" si="31"/>
        <v>170959.33184515205</v>
      </c>
      <c r="BL40" s="10">
        <f t="shared" ca="1" si="31"/>
        <v>119630.58603893399</v>
      </c>
      <c r="BM40" s="10">
        <f t="shared" ca="1" si="31"/>
        <v>146628.17200844947</v>
      </c>
      <c r="BN40" s="10">
        <f t="shared" ca="1" si="31"/>
        <v>201233.78573883619</v>
      </c>
      <c r="BO40" s="10">
        <f t="shared" ca="1" si="31"/>
        <v>190831.49362876322</v>
      </c>
      <c r="BP40" s="10">
        <f t="shared" ca="1" si="31"/>
        <v>136652.76196575112</v>
      </c>
      <c r="BQ40" s="10">
        <f t="shared" ca="1" si="31"/>
        <v>172556.25968862709</v>
      </c>
      <c r="BR40" s="10">
        <f t="shared" ca="1" si="31"/>
        <v>235119.10690499615</v>
      </c>
      <c r="BS40" s="10">
        <f t="shared" ca="1" si="31"/>
        <v>198659.85157480717</v>
      </c>
      <c r="BT40" s="10">
        <f t="shared" ca="1" si="31"/>
        <v>143170.57722543861</v>
      </c>
      <c r="BU40" s="10">
        <f t="shared" ca="1" si="31"/>
        <v>180389.21193586767</v>
      </c>
      <c r="BV40" s="10">
        <f t="shared" ca="1" si="31"/>
        <v>244720.84532498082</v>
      </c>
      <c r="BW40" s="10">
        <f t="shared" ca="1" si="31"/>
        <v>206803.22517607646</v>
      </c>
      <c r="BX40" s="10">
        <f t="shared" ca="1" si="31"/>
        <v>148200.82141928779</v>
      </c>
      <c r="BY40" s="10">
        <f t="shared" ref="BY40:CM40" ca="1" si="32" xml:space="preserve"> BY66</f>
        <v>187034.35094627243</v>
      </c>
      <c r="BZ40" s="10">
        <f t="shared" ca="1" si="32"/>
        <v>254702.82635826647</v>
      </c>
      <c r="CA40" s="10">
        <f t="shared" ca="1" si="32"/>
        <v>215268.49579313409</v>
      </c>
      <c r="CB40" s="10">
        <f t="shared" ca="1" si="32"/>
        <v>154323.26120365303</v>
      </c>
      <c r="CC40" s="10">
        <f t="shared" ca="1" si="32"/>
        <v>194710.57815424755</v>
      </c>
      <c r="CD40" s="10">
        <f t="shared" ca="1" si="32"/>
        <v>265086.03761349071</v>
      </c>
      <c r="CE40" s="10">
        <f t="shared" ca="1" si="32"/>
        <v>224074.33382575301</v>
      </c>
      <c r="CF40" s="10">
        <f t="shared" ca="1" si="32"/>
        <v>160690.79979115407</v>
      </c>
      <c r="CG40" s="10">
        <f t="shared" ca="1" si="32"/>
        <v>202693.85445054172</v>
      </c>
      <c r="CH40" s="10">
        <f t="shared" ca="1" si="32"/>
        <v>275884.57731892384</v>
      </c>
      <c r="CI40" s="10">
        <f t="shared" ca="1" si="32"/>
        <v>233232.40537967661</v>
      </c>
      <c r="CJ40" s="10">
        <f t="shared" ca="1" si="32"/>
        <v>168316.50357242135</v>
      </c>
      <c r="CK40" s="10">
        <f t="shared" ca="1" si="32"/>
        <v>211857.04197992972</v>
      </c>
      <c r="CL40" s="10">
        <f t="shared" ca="1" si="32"/>
        <v>287116.99165037088</v>
      </c>
      <c r="CM40" s="10">
        <f t="shared" ca="1" si="32"/>
        <v>242758.73914434673</v>
      </c>
      <c r="CN40" s="10">
        <f t="shared" ref="CN40:CO40" ca="1" si="33" xml:space="preserve"> CN66</f>
        <v>174200.39599426289</v>
      </c>
      <c r="CO40" s="10">
        <f t="shared" ca="1" si="33"/>
        <v>219631.1734407593</v>
      </c>
      <c r="CS40" s="47"/>
      <c r="CU40" s="11"/>
      <c r="GB40" s="47"/>
      <c r="GG40" s="47"/>
      <c r="GI40" s="11"/>
      <c r="JP40" s="47"/>
      <c r="JU40" s="47"/>
      <c r="JW40" s="11"/>
      <c r="ND40" s="47"/>
      <c r="NI40" s="47"/>
      <c r="NK40" s="11"/>
      <c r="QR40" s="47"/>
      <c r="QW40" s="47"/>
      <c r="QY40" s="11"/>
      <c r="UF40" s="47"/>
      <c r="UK40" s="47"/>
      <c r="UM40" s="11"/>
      <c r="XT40" s="47"/>
      <c r="XY40" s="47"/>
      <c r="YA40" s="11"/>
      <c r="ABH40" s="47"/>
      <c r="ABM40" s="47"/>
      <c r="ABO40" s="11"/>
      <c r="AEV40" s="47"/>
      <c r="AFA40" s="47"/>
      <c r="AFC40" s="11"/>
      <c r="AIJ40" s="47"/>
      <c r="AIO40" s="47"/>
      <c r="AIQ40" s="11"/>
      <c r="ALX40" s="47"/>
      <c r="AMC40" s="47"/>
      <c r="AME40" s="11"/>
      <c r="APL40" s="47"/>
      <c r="APQ40" s="47"/>
      <c r="APS40" s="11"/>
      <c r="ASZ40" s="47"/>
      <c r="ATE40" s="47"/>
      <c r="ATG40" s="11"/>
      <c r="AWN40" s="47"/>
      <c r="AWS40" s="47"/>
      <c r="AWU40" s="11"/>
      <c r="BAB40" s="47"/>
      <c r="BAG40" s="47"/>
      <c r="BAI40" s="11"/>
      <c r="BDP40" s="47"/>
      <c r="BDU40" s="47"/>
      <c r="BDW40" s="11"/>
      <c r="BHD40" s="47"/>
      <c r="BHI40" s="47"/>
      <c r="BHK40" s="11"/>
      <c r="BKR40" s="47"/>
      <c r="BKW40" s="47"/>
      <c r="BKY40" s="11"/>
      <c r="BOF40" s="47"/>
      <c r="BOK40" s="47"/>
      <c r="BOM40" s="11"/>
      <c r="BRT40" s="47"/>
      <c r="BRY40" s="47"/>
      <c r="BSA40" s="11"/>
      <c r="BVH40" s="47"/>
      <c r="BVM40" s="47"/>
      <c r="BVO40" s="11"/>
      <c r="BYV40" s="47"/>
      <c r="BZA40" s="47"/>
      <c r="BZC40" s="11"/>
      <c r="CCJ40" s="47"/>
      <c r="CCO40" s="47"/>
      <c r="CCQ40" s="11"/>
      <c r="CFX40" s="47"/>
      <c r="CGC40" s="47"/>
      <c r="CGE40" s="11"/>
      <c r="CJL40" s="47"/>
      <c r="CJQ40" s="47"/>
      <c r="CJS40" s="11"/>
      <c r="CMZ40" s="47"/>
      <c r="CNE40" s="47"/>
      <c r="CNG40" s="11"/>
      <c r="CQN40" s="47"/>
      <c r="CQS40" s="47"/>
      <c r="CQU40" s="11"/>
      <c r="CUB40" s="47"/>
      <c r="CUG40" s="47"/>
      <c r="CUI40" s="11"/>
      <c r="CXP40" s="47"/>
      <c r="CXU40" s="47"/>
      <c r="CXW40" s="11"/>
      <c r="DBD40" s="47"/>
      <c r="DBI40" s="47"/>
      <c r="DBK40" s="11"/>
      <c r="DER40" s="47"/>
      <c r="DEW40" s="47"/>
      <c r="DEY40" s="11"/>
      <c r="DIF40" s="47"/>
      <c r="DIK40" s="47"/>
      <c r="DIM40" s="11"/>
      <c r="DLT40" s="47"/>
      <c r="DLY40" s="47"/>
      <c r="DMA40" s="11"/>
      <c r="DPH40" s="47"/>
      <c r="DPM40" s="47"/>
      <c r="DPO40" s="11"/>
      <c r="DSV40" s="47"/>
      <c r="DTA40" s="47"/>
      <c r="DTC40" s="11"/>
      <c r="DWJ40" s="47"/>
      <c r="DWO40" s="47"/>
      <c r="DWQ40" s="11"/>
      <c r="DZX40" s="47"/>
      <c r="EAC40" s="47"/>
      <c r="EAE40" s="11"/>
      <c r="EDL40" s="47"/>
      <c r="EDQ40" s="47"/>
      <c r="EDS40" s="11"/>
      <c r="EGZ40" s="47"/>
      <c r="EHE40" s="47"/>
      <c r="EHG40" s="11"/>
      <c r="EKN40" s="47"/>
      <c r="EKS40" s="47"/>
      <c r="EKU40" s="11"/>
      <c r="EOB40" s="47"/>
      <c r="EOG40" s="47"/>
      <c r="EOI40" s="11"/>
      <c r="ERP40" s="47"/>
      <c r="ERU40" s="47"/>
      <c r="ERW40" s="11"/>
      <c r="EVD40" s="47"/>
      <c r="EVI40" s="47"/>
      <c r="EVK40" s="11"/>
      <c r="EYR40" s="47"/>
      <c r="EYW40" s="47"/>
      <c r="EYY40" s="11"/>
      <c r="FCF40" s="47"/>
      <c r="FCK40" s="47"/>
      <c r="FCM40" s="11"/>
      <c r="FFT40" s="47"/>
      <c r="FFY40" s="47"/>
      <c r="FGA40" s="11"/>
      <c r="FJH40" s="47"/>
      <c r="FJM40" s="47"/>
      <c r="FJO40" s="11"/>
      <c r="FMV40" s="47"/>
      <c r="FNA40" s="47"/>
      <c r="FNC40" s="11"/>
      <c r="FQJ40" s="47"/>
      <c r="FQO40" s="47"/>
      <c r="FQQ40" s="11"/>
      <c r="FTX40" s="47"/>
      <c r="FUC40" s="47"/>
      <c r="FUE40" s="11"/>
      <c r="FXL40" s="47"/>
      <c r="FXQ40" s="47"/>
      <c r="FXS40" s="11"/>
      <c r="GAZ40" s="47"/>
      <c r="GBE40" s="47"/>
      <c r="GBG40" s="11"/>
      <c r="GEN40" s="47"/>
      <c r="GES40" s="47"/>
      <c r="GEU40" s="11"/>
      <c r="GIB40" s="47"/>
      <c r="GIG40" s="47"/>
      <c r="GII40" s="11"/>
      <c r="GLP40" s="47"/>
      <c r="GLU40" s="47"/>
      <c r="GLW40" s="11"/>
      <c r="GPD40" s="47"/>
      <c r="GPI40" s="47"/>
      <c r="GPK40" s="11"/>
      <c r="GSR40" s="47"/>
      <c r="GSW40" s="47"/>
      <c r="GSY40" s="11"/>
      <c r="GWF40" s="47"/>
      <c r="GWK40" s="47"/>
      <c r="GWM40" s="11"/>
      <c r="GZT40" s="47"/>
      <c r="GZY40" s="47"/>
      <c r="HAA40" s="11"/>
      <c r="HDH40" s="47"/>
      <c r="HDM40" s="47"/>
      <c r="HDO40" s="11"/>
      <c r="HGV40" s="47"/>
      <c r="HHA40" s="47"/>
      <c r="HHC40" s="11"/>
      <c r="HKJ40" s="47"/>
      <c r="HKO40" s="47"/>
      <c r="HKQ40" s="11"/>
      <c r="HNX40" s="47"/>
      <c r="HOC40" s="47"/>
      <c r="HOE40" s="11"/>
      <c r="HRL40" s="47"/>
      <c r="HRQ40" s="47"/>
      <c r="HRS40" s="11"/>
      <c r="HUZ40" s="47"/>
      <c r="HVE40" s="47"/>
      <c r="HVG40" s="11"/>
      <c r="HYN40" s="47"/>
      <c r="HYS40" s="47"/>
      <c r="HYU40" s="11"/>
      <c r="ICB40" s="47"/>
      <c r="ICG40" s="47"/>
      <c r="ICI40" s="11"/>
      <c r="IFP40" s="47"/>
      <c r="IFU40" s="47"/>
      <c r="IFW40" s="11"/>
      <c r="IJD40" s="47"/>
      <c r="IJI40" s="47"/>
      <c r="IJK40" s="11"/>
      <c r="IMR40" s="47"/>
      <c r="IMW40" s="47"/>
      <c r="IMY40" s="11"/>
      <c r="IQF40" s="47"/>
      <c r="IQK40" s="47"/>
      <c r="IQM40" s="11"/>
      <c r="ITT40" s="47"/>
      <c r="ITY40" s="47"/>
      <c r="IUA40" s="11"/>
      <c r="IXH40" s="47"/>
      <c r="IXM40" s="47"/>
      <c r="IXO40" s="11"/>
      <c r="JAV40" s="47"/>
      <c r="JBA40" s="47"/>
      <c r="JBC40" s="11"/>
      <c r="JEJ40" s="47"/>
      <c r="JEO40" s="47"/>
      <c r="JEQ40" s="11"/>
      <c r="JHX40" s="47"/>
      <c r="JIC40" s="47"/>
      <c r="JIE40" s="11"/>
      <c r="JLL40" s="47"/>
      <c r="JLQ40" s="47"/>
      <c r="JLS40" s="11"/>
      <c r="JOZ40" s="47"/>
      <c r="JPE40" s="47"/>
      <c r="JPG40" s="11"/>
      <c r="JSN40" s="47"/>
      <c r="JSS40" s="47"/>
      <c r="JSU40" s="11"/>
      <c r="JWB40" s="47"/>
      <c r="JWG40" s="47"/>
      <c r="JWI40" s="11"/>
      <c r="JZP40" s="47"/>
      <c r="JZU40" s="47"/>
      <c r="JZW40" s="11"/>
      <c r="KDD40" s="47"/>
      <c r="KDI40" s="47"/>
      <c r="KDK40" s="11"/>
      <c r="KGR40" s="47"/>
      <c r="KGW40" s="47"/>
      <c r="KGY40" s="11"/>
      <c r="KKF40" s="47"/>
      <c r="KKK40" s="47"/>
      <c r="KKM40" s="11"/>
      <c r="KNT40" s="47"/>
      <c r="KNY40" s="47"/>
      <c r="KOA40" s="11"/>
      <c r="KRH40" s="47"/>
      <c r="KRM40" s="47"/>
      <c r="KRO40" s="11"/>
      <c r="KUV40" s="47"/>
      <c r="KVA40" s="47"/>
      <c r="KVC40" s="11"/>
      <c r="KYJ40" s="47"/>
      <c r="KYO40" s="47"/>
      <c r="KYQ40" s="11"/>
      <c r="LBX40" s="47"/>
      <c r="LCC40" s="47"/>
      <c r="LCE40" s="11"/>
      <c r="LFL40" s="47"/>
      <c r="LFQ40" s="47"/>
      <c r="LFS40" s="11"/>
      <c r="LIZ40" s="47"/>
      <c r="LJE40" s="47"/>
      <c r="LJG40" s="11"/>
      <c r="LMN40" s="47"/>
      <c r="LMS40" s="47"/>
      <c r="LMU40" s="11"/>
      <c r="LQB40" s="47"/>
      <c r="LQG40" s="47"/>
      <c r="LQI40" s="11"/>
      <c r="LTP40" s="47"/>
      <c r="LTU40" s="47"/>
      <c r="LTW40" s="11"/>
      <c r="LXD40" s="47"/>
      <c r="LXI40" s="47"/>
      <c r="LXK40" s="11"/>
      <c r="MAR40" s="47"/>
      <c r="MAW40" s="47"/>
      <c r="MAY40" s="11"/>
      <c r="MEF40" s="47"/>
      <c r="MEK40" s="47"/>
      <c r="MEM40" s="11"/>
      <c r="MHT40" s="47"/>
      <c r="MHY40" s="47"/>
      <c r="MIA40" s="11"/>
      <c r="MLH40" s="47"/>
      <c r="MLM40" s="47"/>
      <c r="MLO40" s="11"/>
      <c r="MOV40" s="47"/>
      <c r="MPA40" s="47"/>
      <c r="MPC40" s="11"/>
      <c r="MSJ40" s="47"/>
      <c r="MSO40" s="47"/>
      <c r="MSQ40" s="11"/>
      <c r="MVX40" s="47"/>
      <c r="MWC40" s="47"/>
      <c r="MWE40" s="11"/>
      <c r="MZL40" s="47"/>
      <c r="MZQ40" s="47"/>
      <c r="MZS40" s="11"/>
      <c r="NCZ40" s="47"/>
      <c r="NDE40" s="47"/>
      <c r="NDG40" s="11"/>
      <c r="NGN40" s="47"/>
      <c r="NGS40" s="47"/>
      <c r="NGU40" s="11"/>
      <c r="NKB40" s="47"/>
      <c r="NKG40" s="47"/>
      <c r="NKI40" s="11"/>
      <c r="NNP40" s="47"/>
      <c r="NNU40" s="47"/>
      <c r="NNW40" s="11"/>
      <c r="NRD40" s="47"/>
      <c r="NRI40" s="47"/>
      <c r="NRK40" s="11"/>
      <c r="NUR40" s="47"/>
      <c r="NUW40" s="47"/>
      <c r="NUY40" s="11"/>
      <c r="NYF40" s="47"/>
      <c r="NYK40" s="47"/>
      <c r="NYM40" s="11"/>
      <c r="OBT40" s="47"/>
      <c r="OBY40" s="47"/>
      <c r="OCA40" s="11"/>
      <c r="OFH40" s="47"/>
      <c r="OFM40" s="47"/>
      <c r="OFO40" s="11"/>
      <c r="OIV40" s="47"/>
      <c r="OJA40" s="47"/>
      <c r="OJC40" s="11"/>
      <c r="OMJ40" s="47"/>
      <c r="OMO40" s="47"/>
      <c r="OMQ40" s="11"/>
      <c r="OPX40" s="47"/>
      <c r="OQC40" s="47"/>
      <c r="OQE40" s="11"/>
      <c r="OTL40" s="47"/>
      <c r="OTQ40" s="47"/>
      <c r="OTS40" s="11"/>
      <c r="OWZ40" s="47"/>
      <c r="OXE40" s="47"/>
      <c r="OXG40" s="11"/>
      <c r="PAN40" s="47"/>
      <c r="PAS40" s="47"/>
      <c r="PAU40" s="11"/>
      <c r="PEB40" s="47"/>
      <c r="PEG40" s="47"/>
      <c r="PEI40" s="11"/>
      <c r="PHP40" s="47"/>
      <c r="PHU40" s="47"/>
      <c r="PHW40" s="11"/>
      <c r="PLD40" s="47"/>
      <c r="PLI40" s="47"/>
      <c r="PLK40" s="11"/>
      <c r="POR40" s="47"/>
      <c r="POW40" s="47"/>
      <c r="POY40" s="11"/>
      <c r="PSF40" s="47"/>
      <c r="PSK40" s="47"/>
      <c r="PSM40" s="11"/>
      <c r="PVT40" s="47"/>
      <c r="PVY40" s="47"/>
      <c r="PWA40" s="11"/>
      <c r="PZH40" s="47"/>
      <c r="PZM40" s="47"/>
      <c r="PZO40" s="11"/>
      <c r="QCV40" s="47"/>
      <c r="QDA40" s="47"/>
      <c r="QDC40" s="11"/>
      <c r="QGJ40" s="47"/>
      <c r="QGO40" s="47"/>
      <c r="QGQ40" s="11"/>
      <c r="QJX40" s="47"/>
      <c r="QKC40" s="47"/>
      <c r="QKE40" s="11"/>
      <c r="QNL40" s="47"/>
      <c r="QNQ40" s="47"/>
      <c r="QNS40" s="11"/>
      <c r="QQZ40" s="47"/>
      <c r="QRE40" s="47"/>
      <c r="QRG40" s="11"/>
      <c r="QUN40" s="47"/>
      <c r="QUS40" s="47"/>
      <c r="QUU40" s="11"/>
      <c r="QYB40" s="47"/>
      <c r="QYG40" s="47"/>
      <c r="QYI40" s="11"/>
      <c r="RBP40" s="47"/>
      <c r="RBU40" s="47"/>
      <c r="RBW40" s="11"/>
      <c r="RFD40" s="47"/>
      <c r="RFI40" s="47"/>
      <c r="RFK40" s="11"/>
      <c r="RIR40" s="47"/>
      <c r="RIW40" s="47"/>
      <c r="RIY40" s="11"/>
      <c r="RMF40" s="47"/>
      <c r="RMK40" s="47"/>
      <c r="RMM40" s="11"/>
      <c r="RPT40" s="47"/>
      <c r="RPY40" s="47"/>
      <c r="RQA40" s="11"/>
      <c r="RTH40" s="47"/>
      <c r="RTM40" s="47"/>
      <c r="RTO40" s="11"/>
      <c r="RWV40" s="47"/>
      <c r="RXA40" s="47"/>
      <c r="RXC40" s="11"/>
      <c r="SAJ40" s="47"/>
      <c r="SAO40" s="47"/>
      <c r="SAQ40" s="11"/>
      <c r="SDX40" s="47"/>
      <c r="SEC40" s="47"/>
      <c r="SEE40" s="11"/>
      <c r="SHL40" s="47"/>
      <c r="SHQ40" s="47"/>
      <c r="SHS40" s="11"/>
      <c r="SKZ40" s="47"/>
      <c r="SLE40" s="47"/>
      <c r="SLG40" s="11"/>
      <c r="SON40" s="47"/>
      <c r="SOS40" s="47"/>
      <c r="SOU40" s="11"/>
      <c r="SSB40" s="47"/>
      <c r="SSG40" s="47"/>
      <c r="SSI40" s="11"/>
      <c r="SVP40" s="47"/>
      <c r="SVU40" s="47"/>
      <c r="SVW40" s="11"/>
      <c r="SZD40" s="47"/>
      <c r="SZI40" s="47"/>
      <c r="SZK40" s="11"/>
      <c r="TCR40" s="47"/>
      <c r="TCW40" s="47"/>
      <c r="TCY40" s="11"/>
      <c r="TGF40" s="47"/>
      <c r="TGK40" s="47"/>
      <c r="TGM40" s="11"/>
      <c r="TJT40" s="47"/>
      <c r="TJY40" s="47"/>
      <c r="TKA40" s="11"/>
      <c r="TNH40" s="47"/>
      <c r="TNM40" s="47"/>
      <c r="TNO40" s="11"/>
      <c r="TQV40" s="47"/>
      <c r="TRA40" s="47"/>
      <c r="TRC40" s="11"/>
      <c r="TUJ40" s="47"/>
      <c r="TUO40" s="47"/>
      <c r="TUQ40" s="11"/>
      <c r="TXX40" s="47"/>
      <c r="TYC40" s="47"/>
      <c r="TYE40" s="11"/>
      <c r="UBL40" s="47"/>
      <c r="UBQ40" s="47"/>
      <c r="UBS40" s="11"/>
      <c r="UEZ40" s="47"/>
      <c r="UFE40" s="47"/>
      <c r="UFG40" s="11"/>
      <c r="UIN40" s="47"/>
      <c r="UIS40" s="47"/>
      <c r="UIU40" s="11"/>
      <c r="UMB40" s="47"/>
      <c r="UMG40" s="47"/>
      <c r="UMI40" s="11"/>
      <c r="UPP40" s="47"/>
      <c r="UPU40" s="47"/>
      <c r="UPW40" s="11"/>
      <c r="UTD40" s="47"/>
      <c r="UTI40" s="47"/>
      <c r="UTK40" s="11"/>
      <c r="UWR40" s="47"/>
      <c r="UWW40" s="47"/>
      <c r="UWY40" s="11"/>
      <c r="VAF40" s="47"/>
      <c r="VAK40" s="47"/>
      <c r="VAM40" s="11"/>
      <c r="VDT40" s="47"/>
      <c r="VDY40" s="47"/>
      <c r="VEA40" s="11"/>
      <c r="VHH40" s="47"/>
      <c r="VHM40" s="47"/>
      <c r="VHO40" s="11"/>
      <c r="VKV40" s="47"/>
      <c r="VLA40" s="47"/>
      <c r="VLC40" s="11"/>
      <c r="VOJ40" s="47"/>
      <c r="VOO40" s="47"/>
      <c r="VOQ40" s="11"/>
      <c r="VRX40" s="47"/>
      <c r="VSC40" s="47"/>
      <c r="VSE40" s="11"/>
      <c r="VVL40" s="47"/>
      <c r="VVQ40" s="47"/>
      <c r="VVS40" s="11"/>
      <c r="VYZ40" s="47"/>
      <c r="VZE40" s="47"/>
      <c r="VZG40" s="11"/>
      <c r="WCN40" s="47"/>
      <c r="WCS40" s="47"/>
      <c r="WCU40" s="11"/>
      <c r="WGB40" s="47"/>
      <c r="WGG40" s="47"/>
      <c r="WGI40" s="11"/>
      <c r="WJP40" s="47"/>
      <c r="WJU40" s="47"/>
      <c r="WJW40" s="11"/>
      <c r="WND40" s="47"/>
      <c r="WNI40" s="47"/>
      <c r="WNK40" s="11"/>
      <c r="WQR40" s="47"/>
      <c r="WQW40" s="47"/>
      <c r="WQY40" s="11"/>
      <c r="WUF40" s="47"/>
      <c r="WUK40" s="47"/>
      <c r="WUM40" s="11"/>
      <c r="WXT40" s="47"/>
      <c r="WXY40" s="47"/>
      <c r="WYA40" s="11"/>
      <c r="XBH40" s="47"/>
      <c r="XBM40" s="47"/>
      <c r="XBO40" s="11"/>
      <c r="XEV40" s="47"/>
      <c r="XFA40" s="47"/>
      <c r="XFC40" s="11"/>
    </row>
    <row r="41" spans="1:1019 1104:2031 2116:3043 3128:4055 4140:5067 5152:6079 6164:7091 7176:8188 8193:9207 9292:10219 10304:11231 11316:12243 12328:13255 13340:14267 14352:15279 15364:16383" s="10" customFormat="1" ht="14.5" customHeight="1" thickBot="1">
      <c r="C41" s="17" t="s">
        <v>1023</v>
      </c>
      <c r="E41" s="47"/>
      <c r="G41" s="11" t="str">
        <f>Monetary_Unit</f>
        <v>тыс. руб.</v>
      </c>
      <c r="I41" s="23">
        <f t="shared" si="30"/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0</v>
      </c>
      <c r="AO41" s="10">
        <v>0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0</v>
      </c>
      <c r="BD41" s="10">
        <v>0</v>
      </c>
      <c r="BE41" s="10">
        <v>0</v>
      </c>
      <c r="BF41" s="10">
        <v>0</v>
      </c>
      <c r="BG41" s="10">
        <v>0</v>
      </c>
      <c r="BH41" s="10">
        <v>0</v>
      </c>
      <c r="BI41" s="10">
        <v>0</v>
      </c>
      <c r="BJ41" s="10">
        <v>0</v>
      </c>
      <c r="BK41" s="10">
        <v>0</v>
      </c>
      <c r="BL41" s="10">
        <v>0</v>
      </c>
      <c r="BM41" s="10">
        <v>0</v>
      </c>
      <c r="BN41" s="10">
        <v>0</v>
      </c>
      <c r="BO41" s="10">
        <v>0</v>
      </c>
      <c r="BP41" s="10">
        <v>0</v>
      </c>
      <c r="BQ41" s="10">
        <v>0</v>
      </c>
      <c r="BR41" s="10">
        <v>0</v>
      </c>
      <c r="BS41" s="10">
        <v>0</v>
      </c>
      <c r="BT41" s="10">
        <v>0</v>
      </c>
      <c r="BU41" s="10">
        <v>0</v>
      </c>
      <c r="BV41" s="10">
        <v>0</v>
      </c>
      <c r="BW41" s="10">
        <v>0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S41" s="47"/>
      <c r="CU41" s="11"/>
      <c r="GB41" s="47"/>
      <c r="GG41" s="47"/>
      <c r="GI41" s="11"/>
      <c r="JP41" s="47"/>
      <c r="JU41" s="47"/>
      <c r="JW41" s="11"/>
      <c r="ND41" s="47"/>
      <c r="NI41" s="47"/>
      <c r="NK41" s="11"/>
      <c r="QR41" s="47"/>
      <c r="QW41" s="47"/>
      <c r="QY41" s="11"/>
      <c r="UF41" s="47"/>
      <c r="UK41" s="47"/>
      <c r="UM41" s="11"/>
      <c r="XT41" s="47"/>
      <c r="XY41" s="47"/>
      <c r="YA41" s="11"/>
      <c r="ABH41" s="47"/>
      <c r="ABM41" s="47"/>
      <c r="ABO41" s="11"/>
      <c r="AEV41" s="47"/>
      <c r="AFA41" s="47"/>
      <c r="AFC41" s="11"/>
      <c r="AIJ41" s="47"/>
      <c r="AIO41" s="47"/>
      <c r="AIQ41" s="11"/>
      <c r="ALX41" s="47"/>
      <c r="AMC41" s="47"/>
      <c r="AME41" s="11"/>
      <c r="APL41" s="47"/>
      <c r="APQ41" s="47"/>
      <c r="APS41" s="11"/>
      <c r="ASZ41" s="47"/>
      <c r="ATE41" s="47"/>
      <c r="ATG41" s="11"/>
      <c r="AWN41" s="47"/>
      <c r="AWS41" s="47"/>
      <c r="AWU41" s="11"/>
      <c r="BAB41" s="47"/>
      <c r="BAG41" s="47"/>
      <c r="BAI41" s="11"/>
      <c r="BDP41" s="47"/>
      <c r="BDU41" s="47"/>
      <c r="BDW41" s="11"/>
      <c r="BHD41" s="47"/>
      <c r="BHI41" s="47"/>
      <c r="BHK41" s="11"/>
      <c r="BKR41" s="47"/>
      <c r="BKW41" s="47"/>
      <c r="BKY41" s="11"/>
      <c r="BOF41" s="47"/>
      <c r="BOK41" s="47"/>
      <c r="BOM41" s="11"/>
      <c r="BRT41" s="47"/>
      <c r="BRY41" s="47"/>
      <c r="BSA41" s="11"/>
      <c r="BVH41" s="47"/>
      <c r="BVM41" s="47"/>
      <c r="BVO41" s="11"/>
      <c r="BYV41" s="47"/>
      <c r="BZA41" s="47"/>
      <c r="BZC41" s="11"/>
      <c r="CCJ41" s="47"/>
      <c r="CCO41" s="47"/>
      <c r="CCQ41" s="11"/>
      <c r="CFX41" s="47"/>
      <c r="CGC41" s="47"/>
      <c r="CGE41" s="11"/>
      <c r="CJL41" s="47"/>
      <c r="CJQ41" s="47"/>
      <c r="CJS41" s="11"/>
      <c r="CMZ41" s="47"/>
      <c r="CNE41" s="47"/>
      <c r="CNG41" s="11"/>
      <c r="CQN41" s="47"/>
      <c r="CQS41" s="47"/>
      <c r="CQU41" s="11"/>
      <c r="CUB41" s="47"/>
      <c r="CUG41" s="47"/>
      <c r="CUI41" s="11"/>
      <c r="CXP41" s="47"/>
      <c r="CXU41" s="47"/>
      <c r="CXW41" s="11"/>
      <c r="DBD41" s="47"/>
      <c r="DBI41" s="47"/>
      <c r="DBK41" s="11"/>
      <c r="DER41" s="47"/>
      <c r="DEW41" s="47"/>
      <c r="DEY41" s="11"/>
      <c r="DIF41" s="47"/>
      <c r="DIK41" s="47"/>
      <c r="DIM41" s="11"/>
      <c r="DLT41" s="47"/>
      <c r="DLY41" s="47"/>
      <c r="DMA41" s="11"/>
      <c r="DPH41" s="47"/>
      <c r="DPM41" s="47"/>
      <c r="DPO41" s="11"/>
      <c r="DSV41" s="47"/>
      <c r="DTA41" s="47"/>
      <c r="DTC41" s="11"/>
      <c r="DWJ41" s="47"/>
      <c r="DWO41" s="47"/>
      <c r="DWQ41" s="11"/>
      <c r="DZX41" s="47"/>
      <c r="EAC41" s="47"/>
      <c r="EAE41" s="11"/>
      <c r="EDL41" s="47"/>
      <c r="EDQ41" s="47"/>
      <c r="EDS41" s="11"/>
      <c r="EGZ41" s="47"/>
      <c r="EHE41" s="47"/>
      <c r="EHG41" s="11"/>
      <c r="EKN41" s="47"/>
      <c r="EKS41" s="47"/>
      <c r="EKU41" s="11"/>
      <c r="EOB41" s="47"/>
      <c r="EOG41" s="47"/>
      <c r="EOI41" s="11"/>
      <c r="ERP41" s="47"/>
      <c r="ERU41" s="47"/>
      <c r="ERW41" s="11"/>
      <c r="EVD41" s="47"/>
      <c r="EVI41" s="47"/>
      <c r="EVK41" s="11"/>
      <c r="EYR41" s="47"/>
      <c r="EYW41" s="47"/>
      <c r="EYY41" s="11"/>
      <c r="FCF41" s="47"/>
      <c r="FCK41" s="47"/>
      <c r="FCM41" s="11"/>
      <c r="FFT41" s="47"/>
      <c r="FFY41" s="47"/>
      <c r="FGA41" s="11"/>
      <c r="FJH41" s="47"/>
      <c r="FJM41" s="47"/>
      <c r="FJO41" s="11"/>
      <c r="FMV41" s="47"/>
      <c r="FNA41" s="47"/>
      <c r="FNC41" s="11"/>
      <c r="FQJ41" s="47"/>
      <c r="FQO41" s="47"/>
      <c r="FQQ41" s="11"/>
      <c r="FTX41" s="47"/>
      <c r="FUC41" s="47"/>
      <c r="FUE41" s="11"/>
      <c r="FXL41" s="47"/>
      <c r="FXQ41" s="47"/>
      <c r="FXS41" s="11"/>
      <c r="GAZ41" s="47"/>
      <c r="GBE41" s="47"/>
      <c r="GBG41" s="11"/>
      <c r="GEN41" s="47"/>
      <c r="GES41" s="47"/>
      <c r="GEU41" s="11"/>
      <c r="GIB41" s="47"/>
      <c r="GIG41" s="47"/>
      <c r="GII41" s="11"/>
      <c r="GLP41" s="47"/>
      <c r="GLU41" s="47"/>
      <c r="GLW41" s="11"/>
      <c r="GPD41" s="47"/>
      <c r="GPI41" s="47"/>
      <c r="GPK41" s="11"/>
      <c r="GSR41" s="47"/>
      <c r="GSW41" s="47"/>
      <c r="GSY41" s="11"/>
      <c r="GWF41" s="47"/>
      <c r="GWK41" s="47"/>
      <c r="GWM41" s="11"/>
      <c r="GZT41" s="47"/>
      <c r="GZY41" s="47"/>
      <c r="HAA41" s="11"/>
      <c r="HDH41" s="47"/>
      <c r="HDM41" s="47"/>
      <c r="HDO41" s="11"/>
      <c r="HGV41" s="47"/>
      <c r="HHA41" s="47"/>
      <c r="HHC41" s="11"/>
      <c r="HKJ41" s="47"/>
      <c r="HKO41" s="47"/>
      <c r="HKQ41" s="11"/>
      <c r="HNX41" s="47"/>
      <c r="HOC41" s="47"/>
      <c r="HOE41" s="11"/>
      <c r="HRL41" s="47"/>
      <c r="HRQ41" s="47"/>
      <c r="HRS41" s="11"/>
      <c r="HUZ41" s="47"/>
      <c r="HVE41" s="47"/>
      <c r="HVG41" s="11"/>
      <c r="HYN41" s="47"/>
      <c r="HYS41" s="47"/>
      <c r="HYU41" s="11"/>
      <c r="ICB41" s="47"/>
      <c r="ICG41" s="47"/>
      <c r="ICI41" s="11"/>
      <c r="IFP41" s="47"/>
      <c r="IFU41" s="47"/>
      <c r="IFW41" s="11"/>
      <c r="IJD41" s="47"/>
      <c r="IJI41" s="47"/>
      <c r="IJK41" s="11"/>
      <c r="IMR41" s="47"/>
      <c r="IMW41" s="47"/>
      <c r="IMY41" s="11"/>
      <c r="IQF41" s="47"/>
      <c r="IQK41" s="47"/>
      <c r="IQM41" s="11"/>
      <c r="ITT41" s="47"/>
      <c r="ITY41" s="47"/>
      <c r="IUA41" s="11"/>
      <c r="IXH41" s="47"/>
      <c r="IXM41" s="47"/>
      <c r="IXO41" s="11"/>
      <c r="JAV41" s="47"/>
      <c r="JBA41" s="47"/>
      <c r="JBC41" s="11"/>
      <c r="JEJ41" s="47"/>
      <c r="JEO41" s="47"/>
      <c r="JEQ41" s="11"/>
      <c r="JHX41" s="47"/>
      <c r="JIC41" s="47"/>
      <c r="JIE41" s="11"/>
      <c r="JLL41" s="47"/>
      <c r="JLQ41" s="47"/>
      <c r="JLS41" s="11"/>
      <c r="JOZ41" s="47"/>
      <c r="JPE41" s="47"/>
      <c r="JPG41" s="11"/>
      <c r="JSN41" s="47"/>
      <c r="JSS41" s="47"/>
      <c r="JSU41" s="11"/>
      <c r="JWB41" s="47"/>
      <c r="JWG41" s="47"/>
      <c r="JWI41" s="11"/>
      <c r="JZP41" s="47"/>
      <c r="JZU41" s="47"/>
      <c r="JZW41" s="11"/>
      <c r="KDD41" s="47"/>
      <c r="KDI41" s="47"/>
      <c r="KDK41" s="11"/>
      <c r="KGR41" s="47"/>
      <c r="KGW41" s="47"/>
      <c r="KGY41" s="11"/>
      <c r="KKF41" s="47"/>
      <c r="KKK41" s="47"/>
      <c r="KKM41" s="11"/>
      <c r="KNT41" s="47"/>
      <c r="KNY41" s="47"/>
      <c r="KOA41" s="11"/>
      <c r="KRH41" s="47"/>
      <c r="KRM41" s="47"/>
      <c r="KRO41" s="11"/>
      <c r="KUV41" s="47"/>
      <c r="KVA41" s="47"/>
      <c r="KVC41" s="11"/>
      <c r="KYJ41" s="47"/>
      <c r="KYO41" s="47"/>
      <c r="KYQ41" s="11"/>
      <c r="LBX41" s="47"/>
      <c r="LCC41" s="47"/>
      <c r="LCE41" s="11"/>
      <c r="LFL41" s="47"/>
      <c r="LFQ41" s="47"/>
      <c r="LFS41" s="11"/>
      <c r="LIZ41" s="47"/>
      <c r="LJE41" s="47"/>
      <c r="LJG41" s="11"/>
      <c r="LMN41" s="47"/>
      <c r="LMS41" s="47"/>
      <c r="LMU41" s="11"/>
      <c r="LQB41" s="47"/>
      <c r="LQG41" s="47"/>
      <c r="LQI41" s="11"/>
      <c r="LTP41" s="47"/>
      <c r="LTU41" s="47"/>
      <c r="LTW41" s="11"/>
      <c r="LXD41" s="47"/>
      <c r="LXI41" s="47"/>
      <c r="LXK41" s="11"/>
      <c r="MAR41" s="47"/>
      <c r="MAW41" s="47"/>
      <c r="MAY41" s="11"/>
      <c r="MEF41" s="47"/>
      <c r="MEK41" s="47"/>
      <c r="MEM41" s="11"/>
      <c r="MHT41" s="47"/>
      <c r="MHY41" s="47"/>
      <c r="MIA41" s="11"/>
      <c r="MLH41" s="47"/>
      <c r="MLM41" s="47"/>
      <c r="MLO41" s="11"/>
      <c r="MOV41" s="47"/>
      <c r="MPA41" s="47"/>
      <c r="MPC41" s="11"/>
      <c r="MSJ41" s="47"/>
      <c r="MSO41" s="47"/>
      <c r="MSQ41" s="11"/>
      <c r="MVX41" s="47"/>
      <c r="MWC41" s="47"/>
      <c r="MWE41" s="11"/>
      <c r="MZL41" s="47"/>
      <c r="MZQ41" s="47"/>
      <c r="MZS41" s="11"/>
      <c r="NCZ41" s="47"/>
      <c r="NDE41" s="47"/>
      <c r="NDG41" s="11"/>
      <c r="NGN41" s="47"/>
      <c r="NGS41" s="47"/>
      <c r="NGU41" s="11"/>
      <c r="NKB41" s="47"/>
      <c r="NKG41" s="47"/>
      <c r="NKI41" s="11"/>
      <c r="NNP41" s="47"/>
      <c r="NNU41" s="47"/>
      <c r="NNW41" s="11"/>
      <c r="NRD41" s="47"/>
      <c r="NRI41" s="47"/>
      <c r="NRK41" s="11"/>
      <c r="NUR41" s="47"/>
      <c r="NUW41" s="47"/>
      <c r="NUY41" s="11"/>
      <c r="NYF41" s="47"/>
      <c r="NYK41" s="47"/>
      <c r="NYM41" s="11"/>
      <c r="OBT41" s="47"/>
      <c r="OBY41" s="47"/>
      <c r="OCA41" s="11"/>
      <c r="OFH41" s="47"/>
      <c r="OFM41" s="47"/>
      <c r="OFO41" s="11"/>
      <c r="OIV41" s="47"/>
      <c r="OJA41" s="47"/>
      <c r="OJC41" s="11"/>
      <c r="OMJ41" s="47"/>
      <c r="OMO41" s="47"/>
      <c r="OMQ41" s="11"/>
      <c r="OPX41" s="47"/>
      <c r="OQC41" s="47"/>
      <c r="OQE41" s="11"/>
      <c r="OTL41" s="47"/>
      <c r="OTQ41" s="47"/>
      <c r="OTS41" s="11"/>
      <c r="OWZ41" s="47"/>
      <c r="OXE41" s="47"/>
      <c r="OXG41" s="11"/>
      <c r="PAN41" s="47"/>
      <c r="PAS41" s="47"/>
      <c r="PAU41" s="11"/>
      <c r="PEB41" s="47"/>
      <c r="PEG41" s="47"/>
      <c r="PEI41" s="11"/>
      <c r="PHP41" s="47"/>
      <c r="PHU41" s="47"/>
      <c r="PHW41" s="11"/>
      <c r="PLD41" s="47"/>
      <c r="PLI41" s="47"/>
      <c r="PLK41" s="11"/>
      <c r="POR41" s="47"/>
      <c r="POW41" s="47"/>
      <c r="POY41" s="11"/>
      <c r="PSF41" s="47"/>
      <c r="PSK41" s="47"/>
      <c r="PSM41" s="11"/>
      <c r="PVT41" s="47"/>
      <c r="PVY41" s="47"/>
      <c r="PWA41" s="11"/>
      <c r="PZH41" s="47"/>
      <c r="PZM41" s="47"/>
      <c r="PZO41" s="11"/>
      <c r="QCV41" s="47"/>
      <c r="QDA41" s="47"/>
      <c r="QDC41" s="11"/>
      <c r="QGJ41" s="47"/>
      <c r="QGO41" s="47"/>
      <c r="QGQ41" s="11"/>
      <c r="QJX41" s="47"/>
      <c r="QKC41" s="47"/>
      <c r="QKE41" s="11"/>
      <c r="QNL41" s="47"/>
      <c r="QNQ41" s="47"/>
      <c r="QNS41" s="11"/>
      <c r="QQZ41" s="47"/>
      <c r="QRE41" s="47"/>
      <c r="QRG41" s="11"/>
      <c r="QUN41" s="47"/>
      <c r="QUS41" s="47"/>
      <c r="QUU41" s="11"/>
      <c r="QYB41" s="47"/>
      <c r="QYG41" s="47"/>
      <c r="QYI41" s="11"/>
      <c r="RBP41" s="47"/>
      <c r="RBU41" s="47"/>
      <c r="RBW41" s="11"/>
      <c r="RFD41" s="47"/>
      <c r="RFI41" s="47"/>
      <c r="RFK41" s="11"/>
      <c r="RIR41" s="47"/>
      <c r="RIW41" s="47"/>
      <c r="RIY41" s="11"/>
      <c r="RMF41" s="47"/>
      <c r="RMK41" s="47"/>
      <c r="RMM41" s="11"/>
      <c r="RPT41" s="47"/>
      <c r="RPY41" s="47"/>
      <c r="RQA41" s="11"/>
      <c r="RTH41" s="47"/>
      <c r="RTM41" s="47"/>
      <c r="RTO41" s="11"/>
      <c r="RWV41" s="47"/>
      <c r="RXA41" s="47"/>
      <c r="RXC41" s="11"/>
      <c r="SAJ41" s="47"/>
      <c r="SAO41" s="47"/>
      <c r="SAQ41" s="11"/>
      <c r="SDX41" s="47"/>
      <c r="SEC41" s="47"/>
      <c r="SEE41" s="11"/>
      <c r="SHL41" s="47"/>
      <c r="SHQ41" s="47"/>
      <c r="SHS41" s="11"/>
      <c r="SKZ41" s="47"/>
      <c r="SLE41" s="47"/>
      <c r="SLG41" s="11"/>
      <c r="SON41" s="47"/>
      <c r="SOS41" s="47"/>
      <c r="SOU41" s="11"/>
      <c r="SSB41" s="47"/>
      <c r="SSG41" s="47"/>
      <c r="SSI41" s="11"/>
      <c r="SVP41" s="47"/>
      <c r="SVU41" s="47"/>
      <c r="SVW41" s="11"/>
      <c r="SZD41" s="47"/>
      <c r="SZI41" s="47"/>
      <c r="SZK41" s="11"/>
      <c r="TCR41" s="47"/>
      <c r="TCW41" s="47"/>
      <c r="TCY41" s="11"/>
      <c r="TGF41" s="47"/>
      <c r="TGK41" s="47"/>
      <c r="TGM41" s="11"/>
      <c r="TJT41" s="47"/>
      <c r="TJY41" s="47"/>
      <c r="TKA41" s="11"/>
      <c r="TNH41" s="47"/>
      <c r="TNM41" s="47"/>
      <c r="TNO41" s="11"/>
      <c r="TQV41" s="47"/>
      <c r="TRA41" s="47"/>
      <c r="TRC41" s="11"/>
      <c r="TUJ41" s="47"/>
      <c r="TUO41" s="47"/>
      <c r="TUQ41" s="11"/>
      <c r="TXX41" s="47"/>
      <c r="TYC41" s="47"/>
      <c r="TYE41" s="11"/>
      <c r="UBL41" s="47"/>
      <c r="UBQ41" s="47"/>
      <c r="UBS41" s="11"/>
      <c r="UEZ41" s="47"/>
      <c r="UFE41" s="47"/>
      <c r="UFG41" s="11"/>
      <c r="UIN41" s="47"/>
      <c r="UIS41" s="47"/>
      <c r="UIU41" s="11"/>
      <c r="UMB41" s="47"/>
      <c r="UMG41" s="47"/>
      <c r="UMI41" s="11"/>
      <c r="UPP41" s="47"/>
      <c r="UPU41" s="47"/>
      <c r="UPW41" s="11"/>
      <c r="UTD41" s="47"/>
      <c r="UTI41" s="47"/>
      <c r="UTK41" s="11"/>
      <c r="UWR41" s="47"/>
      <c r="UWW41" s="47"/>
      <c r="UWY41" s="11"/>
      <c r="VAF41" s="47"/>
      <c r="VAK41" s="47"/>
      <c r="VAM41" s="11"/>
      <c r="VDT41" s="47"/>
      <c r="VDY41" s="47"/>
      <c r="VEA41" s="11"/>
      <c r="VHH41" s="47"/>
      <c r="VHM41" s="47"/>
      <c r="VHO41" s="11"/>
      <c r="VKV41" s="47"/>
      <c r="VLA41" s="47"/>
      <c r="VLC41" s="11"/>
      <c r="VOJ41" s="47"/>
      <c r="VOO41" s="47"/>
      <c r="VOQ41" s="11"/>
      <c r="VRX41" s="47"/>
      <c r="VSC41" s="47"/>
      <c r="VSE41" s="11"/>
      <c r="VVL41" s="47"/>
      <c r="VVQ41" s="47"/>
      <c r="VVS41" s="11"/>
      <c r="VYZ41" s="47"/>
      <c r="VZE41" s="47"/>
      <c r="VZG41" s="11"/>
      <c r="WCN41" s="47"/>
      <c r="WCS41" s="47"/>
      <c r="WCU41" s="11"/>
      <c r="WGB41" s="47"/>
      <c r="WGG41" s="47"/>
      <c r="WGI41" s="11"/>
      <c r="WJP41" s="47"/>
      <c r="WJU41" s="47"/>
      <c r="WJW41" s="11"/>
      <c r="WND41" s="47"/>
      <c r="WNI41" s="47"/>
      <c r="WNK41" s="11"/>
      <c r="WQR41" s="47"/>
      <c r="WQW41" s="47"/>
      <c r="WQY41" s="11"/>
      <c r="WUF41" s="47"/>
      <c r="WUK41" s="47"/>
      <c r="WUM41" s="11"/>
      <c r="WXT41" s="47"/>
      <c r="WXY41" s="47"/>
      <c r="WYA41" s="11"/>
      <c r="XBH41" s="47"/>
      <c r="XBM41" s="47"/>
      <c r="XBO41" s="11"/>
      <c r="XEV41" s="47"/>
      <c r="XFA41" s="47"/>
      <c r="XFC41" s="11"/>
    </row>
    <row r="42" spans="1:1019 1104:2031 2116:3043 3128:4055 4140:5067 5152:6079 6164:7091 7176:8188 8193:9207 9292:10219 10304:11231 11316:12243 12328:13255 13340:14267 14352:15279 15364:16383" s="141" customFormat="1" ht="15" customHeight="1" thickTop="1">
      <c r="A42" s="153"/>
      <c r="B42" s="153"/>
      <c r="C42" s="49" t="s">
        <v>1024</v>
      </c>
      <c r="D42" s="49"/>
      <c r="E42" s="49"/>
      <c r="F42" s="49"/>
      <c r="G42" s="159" t="str">
        <f>Monetary_Unit</f>
        <v>тыс. руб.</v>
      </c>
      <c r="H42" s="49"/>
      <c r="I42" s="176">
        <f t="shared" ca="1" si="30"/>
        <v>8695089.1857452895</v>
      </c>
      <c r="J42" s="49"/>
      <c r="K42" s="49"/>
      <c r="L42" s="49">
        <f ca="1">SUM(L40:L41)</f>
        <v>0</v>
      </c>
      <c r="M42" s="49">
        <f t="shared" ref="M42:BX42" ca="1" si="34">SUM(M40:M41)</f>
        <v>0</v>
      </c>
      <c r="N42" s="49">
        <f t="shared" ca="1" si="34"/>
        <v>0</v>
      </c>
      <c r="O42" s="49">
        <f t="shared" ca="1" si="34"/>
        <v>0</v>
      </c>
      <c r="P42" s="49">
        <f t="shared" ca="1" si="34"/>
        <v>0</v>
      </c>
      <c r="Q42" s="49">
        <f t="shared" ca="1" si="34"/>
        <v>0</v>
      </c>
      <c r="R42" s="49">
        <f t="shared" ca="1" si="34"/>
        <v>0</v>
      </c>
      <c r="S42" s="49">
        <f t="shared" ca="1" si="34"/>
        <v>0</v>
      </c>
      <c r="T42" s="49">
        <f t="shared" ca="1" si="34"/>
        <v>0</v>
      </c>
      <c r="U42" s="49">
        <f t="shared" ca="1" si="34"/>
        <v>0</v>
      </c>
      <c r="V42" s="49">
        <f t="shared" ca="1" si="34"/>
        <v>0</v>
      </c>
      <c r="W42" s="49">
        <f t="shared" ca="1" si="34"/>
        <v>0</v>
      </c>
      <c r="X42" s="49">
        <f t="shared" ca="1" si="34"/>
        <v>0</v>
      </c>
      <c r="Y42" s="49">
        <f t="shared" ca="1" si="34"/>
        <v>0</v>
      </c>
      <c r="Z42" s="49">
        <f t="shared" ca="1" si="34"/>
        <v>0</v>
      </c>
      <c r="AA42" s="49">
        <f t="shared" ca="1" si="34"/>
        <v>0</v>
      </c>
      <c r="AB42" s="49">
        <f t="shared" ca="1" si="34"/>
        <v>0</v>
      </c>
      <c r="AC42" s="49">
        <f t="shared" ca="1" si="34"/>
        <v>33960.780468298522</v>
      </c>
      <c r="AD42" s="49">
        <f t="shared" ca="1" si="34"/>
        <v>45581.253080651091</v>
      </c>
      <c r="AE42" s="49">
        <f t="shared" ca="1" si="34"/>
        <v>26523.378198406412</v>
      </c>
      <c r="AF42" s="49">
        <f t="shared" ca="1" si="34"/>
        <v>26037.36669823722</v>
      </c>
      <c r="AG42" s="49">
        <f t="shared" ca="1" si="34"/>
        <v>41785.068029249975</v>
      </c>
      <c r="AH42" s="49">
        <f t="shared" ca="1" si="34"/>
        <v>54476.204928620631</v>
      </c>
      <c r="AI42" s="49">
        <f t="shared" ca="1" si="34"/>
        <v>31680.274923682897</v>
      </c>
      <c r="AJ42" s="49">
        <f t="shared" ca="1" si="34"/>
        <v>30968.740483282425</v>
      </c>
      <c r="AK42" s="49">
        <f t="shared" ca="1" si="34"/>
        <v>49337.806663015632</v>
      </c>
      <c r="AL42" s="49">
        <f t="shared" ca="1" si="34"/>
        <v>64006.249542953919</v>
      </c>
      <c r="AM42" s="49">
        <f t="shared" ca="1" si="34"/>
        <v>37203.717406748168</v>
      </c>
      <c r="AN42" s="49">
        <f t="shared" ca="1" si="34"/>
        <v>36659.686113468648</v>
      </c>
      <c r="AO42" s="49">
        <f t="shared" ca="1" si="34"/>
        <v>57425.618148068381</v>
      </c>
      <c r="AP42" s="49">
        <f t="shared" ca="1" si="34"/>
        <v>73109.459997727448</v>
      </c>
      <c r="AQ42" s="49">
        <f t="shared" ca="1" si="34"/>
        <v>42325.81039593192</v>
      </c>
      <c r="AR42" s="49">
        <f t="shared" ca="1" si="34"/>
        <v>40107.56930087183</v>
      </c>
      <c r="AS42" s="49">
        <f t="shared" ca="1" si="34"/>
        <v>62297.135549394428</v>
      </c>
      <c r="AT42" s="49">
        <f t="shared" ca="1" si="34"/>
        <v>78678.404868594604</v>
      </c>
      <c r="AU42" s="49">
        <f t="shared" ca="1" si="34"/>
        <v>51943.038036941551</v>
      </c>
      <c r="AV42" s="49">
        <f t="shared" ca="1" si="34"/>
        <v>49152.621308405207</v>
      </c>
      <c r="AW42" s="49">
        <f t="shared" ca="1" si="34"/>
        <v>69081.640738771879</v>
      </c>
      <c r="AX42" s="49">
        <f t="shared" ca="1" si="34"/>
        <v>168101.30800737377</v>
      </c>
      <c r="AY42" s="49">
        <f t="shared" ca="1" si="34"/>
        <v>148300.46323571014</v>
      </c>
      <c r="AZ42" s="49">
        <f t="shared" ca="1" si="34"/>
        <v>102808.84214217607</v>
      </c>
      <c r="BA42" s="49">
        <f t="shared" ca="1" si="34"/>
        <v>126900.17656409295</v>
      </c>
      <c r="BB42" s="49">
        <f t="shared" ca="1" si="34"/>
        <v>175588.65161453781</v>
      </c>
      <c r="BC42" s="49">
        <f t="shared" ca="1" si="34"/>
        <v>155108.9526461208</v>
      </c>
      <c r="BD42" s="49">
        <f t="shared" ca="1" si="34"/>
        <v>108376.80849644975</v>
      </c>
      <c r="BE42" s="49">
        <f t="shared" ca="1" si="34"/>
        <v>135423.18808380869</v>
      </c>
      <c r="BF42" s="49">
        <f t="shared" ca="1" si="34"/>
        <v>185451.047705998</v>
      </c>
      <c r="BG42" s="49">
        <f t="shared" ca="1" si="34"/>
        <v>164122.70897369343</v>
      </c>
      <c r="BH42" s="49">
        <f t="shared" ca="1" si="34"/>
        <v>114945.0677776782</v>
      </c>
      <c r="BI42" s="49">
        <f t="shared" ca="1" si="34"/>
        <v>140904.0132717182</v>
      </c>
      <c r="BJ42" s="49">
        <f t="shared" ca="1" si="34"/>
        <v>193409.3046864582</v>
      </c>
      <c r="BK42" s="49">
        <f t="shared" ca="1" si="34"/>
        <v>170959.33184515205</v>
      </c>
      <c r="BL42" s="49">
        <f t="shared" ca="1" si="34"/>
        <v>119630.58603893399</v>
      </c>
      <c r="BM42" s="49">
        <f t="shared" ca="1" si="34"/>
        <v>146628.17200844947</v>
      </c>
      <c r="BN42" s="49">
        <f t="shared" ca="1" si="34"/>
        <v>201233.78573883619</v>
      </c>
      <c r="BO42" s="49">
        <f t="shared" ca="1" si="34"/>
        <v>190831.49362876322</v>
      </c>
      <c r="BP42" s="49">
        <f t="shared" ca="1" si="34"/>
        <v>136652.76196575112</v>
      </c>
      <c r="BQ42" s="49">
        <f t="shared" ca="1" si="34"/>
        <v>172556.25968862709</v>
      </c>
      <c r="BR42" s="49">
        <f t="shared" ca="1" si="34"/>
        <v>235119.10690499615</v>
      </c>
      <c r="BS42" s="49">
        <f t="shared" ca="1" si="34"/>
        <v>198659.85157480717</v>
      </c>
      <c r="BT42" s="49">
        <f t="shared" ca="1" si="34"/>
        <v>143170.57722543861</v>
      </c>
      <c r="BU42" s="49">
        <f t="shared" ca="1" si="34"/>
        <v>180389.21193586767</v>
      </c>
      <c r="BV42" s="49">
        <f t="shared" ca="1" si="34"/>
        <v>244720.84532498082</v>
      </c>
      <c r="BW42" s="49">
        <f t="shared" ca="1" si="34"/>
        <v>206803.22517607646</v>
      </c>
      <c r="BX42" s="49">
        <f t="shared" ca="1" si="34"/>
        <v>148200.82141928779</v>
      </c>
      <c r="BY42" s="49">
        <f t="shared" ref="BY42:CM42" ca="1" si="35">SUM(BY40:BY41)</f>
        <v>187034.35094627243</v>
      </c>
      <c r="BZ42" s="49">
        <f t="shared" ca="1" si="35"/>
        <v>254702.82635826647</v>
      </c>
      <c r="CA42" s="49">
        <f t="shared" ca="1" si="35"/>
        <v>215268.49579313409</v>
      </c>
      <c r="CB42" s="49">
        <f t="shared" ca="1" si="35"/>
        <v>154323.26120365303</v>
      </c>
      <c r="CC42" s="49">
        <f t="shared" ca="1" si="35"/>
        <v>194710.57815424755</v>
      </c>
      <c r="CD42" s="49">
        <f t="shared" ca="1" si="35"/>
        <v>265086.03761349071</v>
      </c>
      <c r="CE42" s="49">
        <f t="shared" ca="1" si="35"/>
        <v>224074.33382575301</v>
      </c>
      <c r="CF42" s="49">
        <f t="shared" ca="1" si="35"/>
        <v>160690.79979115407</v>
      </c>
      <c r="CG42" s="49">
        <f t="shared" ca="1" si="35"/>
        <v>202693.85445054172</v>
      </c>
      <c r="CH42" s="49">
        <f t="shared" ca="1" si="35"/>
        <v>275884.57731892384</v>
      </c>
      <c r="CI42" s="49">
        <f t="shared" ca="1" si="35"/>
        <v>233232.40537967661</v>
      </c>
      <c r="CJ42" s="49">
        <f t="shared" ca="1" si="35"/>
        <v>168316.50357242135</v>
      </c>
      <c r="CK42" s="49">
        <f t="shared" ca="1" si="35"/>
        <v>211857.04197992972</v>
      </c>
      <c r="CL42" s="49">
        <f t="shared" ca="1" si="35"/>
        <v>287116.99165037088</v>
      </c>
      <c r="CM42" s="49">
        <f t="shared" ca="1" si="35"/>
        <v>242758.73914434673</v>
      </c>
      <c r="CN42" s="49">
        <f t="shared" ref="CN42:CO42" ca="1" si="36">SUM(CN40:CN41)</f>
        <v>174200.39599426289</v>
      </c>
      <c r="CO42" s="49">
        <f t="shared" ca="1" si="36"/>
        <v>219631.1734407593</v>
      </c>
    </row>
    <row r="43" spans="1:1019 1104:2031 2116:3043 3128:4055 4140:5067 5152:6079 6164:7091 7176:8188 8193:9207 9292:10219 10304:11231 11316:12243 12328:13255 13340:14267 14352:15279 15364:16383" s="10" customFormat="1" ht="14.5" customHeight="1">
      <c r="E43" s="47"/>
      <c r="G43" s="11"/>
      <c r="CS43" s="47"/>
      <c r="CU43" s="11"/>
      <c r="GB43" s="47"/>
      <c r="GG43" s="47"/>
      <c r="GI43" s="11"/>
      <c r="JP43" s="47"/>
      <c r="JU43" s="47"/>
      <c r="JW43" s="11"/>
      <c r="ND43" s="47"/>
      <c r="NI43" s="47"/>
      <c r="NK43" s="11"/>
      <c r="QR43" s="47"/>
      <c r="QW43" s="47"/>
      <c r="QY43" s="11"/>
      <c r="UF43" s="47"/>
      <c r="UK43" s="47"/>
      <c r="UM43" s="11"/>
      <c r="XT43" s="47"/>
      <c r="XY43" s="47"/>
      <c r="YA43" s="11"/>
      <c r="ABH43" s="47"/>
      <c r="ABM43" s="47"/>
      <c r="ABO43" s="11"/>
      <c r="AEV43" s="47"/>
      <c r="AFA43" s="47"/>
      <c r="AFC43" s="11"/>
      <c r="AIJ43" s="47"/>
      <c r="AIO43" s="47"/>
      <c r="AIQ43" s="11"/>
      <c r="ALX43" s="47"/>
      <c r="AMC43" s="47"/>
      <c r="AME43" s="11"/>
      <c r="APL43" s="47"/>
      <c r="APQ43" s="47"/>
      <c r="APS43" s="11"/>
      <c r="ASZ43" s="47"/>
      <c r="ATE43" s="47"/>
      <c r="ATG43" s="11"/>
      <c r="AWN43" s="47"/>
      <c r="AWS43" s="47"/>
      <c r="AWU43" s="11"/>
      <c r="BAB43" s="47"/>
      <c r="BAG43" s="47"/>
      <c r="BAI43" s="11"/>
      <c r="BDP43" s="47"/>
      <c r="BDU43" s="47"/>
      <c r="BDW43" s="11"/>
      <c r="BHD43" s="47"/>
      <c r="BHI43" s="47"/>
      <c r="BHK43" s="11"/>
      <c r="BKR43" s="47"/>
      <c r="BKW43" s="47"/>
      <c r="BKY43" s="11"/>
      <c r="BOF43" s="47"/>
      <c r="BOK43" s="47"/>
      <c r="BOM43" s="11"/>
      <c r="BRT43" s="47"/>
      <c r="BRY43" s="47"/>
      <c r="BSA43" s="11"/>
      <c r="BVH43" s="47"/>
      <c r="BVM43" s="47"/>
      <c r="BVO43" s="11"/>
      <c r="BYV43" s="47"/>
      <c r="BZA43" s="47"/>
      <c r="BZC43" s="11"/>
      <c r="CCJ43" s="47"/>
      <c r="CCO43" s="47"/>
      <c r="CCQ43" s="11"/>
      <c r="CFX43" s="47"/>
      <c r="CGC43" s="47"/>
      <c r="CGE43" s="11"/>
      <c r="CJL43" s="47"/>
      <c r="CJQ43" s="47"/>
      <c r="CJS43" s="11"/>
      <c r="CMZ43" s="47"/>
      <c r="CNE43" s="47"/>
      <c r="CNG43" s="11"/>
      <c r="CQN43" s="47"/>
      <c r="CQS43" s="47"/>
      <c r="CQU43" s="11"/>
      <c r="CUB43" s="47"/>
      <c r="CUG43" s="47"/>
      <c r="CUI43" s="11"/>
      <c r="CXP43" s="47"/>
      <c r="CXU43" s="47"/>
      <c r="CXW43" s="11"/>
      <c r="DBD43" s="47"/>
      <c r="DBI43" s="47"/>
      <c r="DBK43" s="11"/>
      <c r="DER43" s="47"/>
      <c r="DEW43" s="47"/>
      <c r="DEY43" s="11"/>
      <c r="DIF43" s="47"/>
      <c r="DIK43" s="47"/>
      <c r="DIM43" s="11"/>
      <c r="DLT43" s="47"/>
      <c r="DLY43" s="47"/>
      <c r="DMA43" s="11"/>
      <c r="DPH43" s="47"/>
      <c r="DPM43" s="47"/>
      <c r="DPO43" s="11"/>
      <c r="DSV43" s="47"/>
      <c r="DTA43" s="47"/>
      <c r="DTC43" s="11"/>
      <c r="DWJ43" s="47"/>
      <c r="DWO43" s="47"/>
      <c r="DWQ43" s="11"/>
      <c r="DZX43" s="47"/>
      <c r="EAC43" s="47"/>
      <c r="EAE43" s="11"/>
      <c r="EDL43" s="47"/>
      <c r="EDQ43" s="47"/>
      <c r="EDS43" s="11"/>
      <c r="EGZ43" s="47"/>
      <c r="EHE43" s="47"/>
      <c r="EHG43" s="11"/>
      <c r="EKN43" s="47"/>
      <c r="EKS43" s="47"/>
      <c r="EKU43" s="11"/>
      <c r="EOB43" s="47"/>
      <c r="EOG43" s="47"/>
      <c r="EOI43" s="11"/>
      <c r="ERP43" s="47"/>
      <c r="ERU43" s="47"/>
      <c r="ERW43" s="11"/>
      <c r="EVD43" s="47"/>
      <c r="EVI43" s="47"/>
      <c r="EVK43" s="11"/>
      <c r="EYR43" s="47"/>
      <c r="EYW43" s="47"/>
      <c r="EYY43" s="11"/>
      <c r="FCF43" s="47"/>
      <c r="FCK43" s="47"/>
      <c r="FCM43" s="11"/>
      <c r="FFT43" s="47"/>
      <c r="FFY43" s="47"/>
      <c r="FGA43" s="11"/>
      <c r="FJH43" s="47"/>
      <c r="FJM43" s="47"/>
      <c r="FJO43" s="11"/>
      <c r="FMV43" s="47"/>
      <c r="FNA43" s="47"/>
      <c r="FNC43" s="11"/>
      <c r="FQJ43" s="47"/>
      <c r="FQO43" s="47"/>
      <c r="FQQ43" s="11"/>
      <c r="FTX43" s="47"/>
      <c r="FUC43" s="47"/>
      <c r="FUE43" s="11"/>
      <c r="FXL43" s="47"/>
      <c r="FXQ43" s="47"/>
      <c r="FXS43" s="11"/>
      <c r="GAZ43" s="47"/>
      <c r="GBE43" s="47"/>
      <c r="GBG43" s="11"/>
      <c r="GEN43" s="47"/>
      <c r="GES43" s="47"/>
      <c r="GEU43" s="11"/>
      <c r="GIB43" s="47"/>
      <c r="GIG43" s="47"/>
      <c r="GII43" s="11"/>
      <c r="GLP43" s="47"/>
      <c r="GLU43" s="47"/>
      <c r="GLW43" s="11"/>
      <c r="GPD43" s="47"/>
      <c r="GPI43" s="47"/>
      <c r="GPK43" s="11"/>
      <c r="GSR43" s="47"/>
      <c r="GSW43" s="47"/>
      <c r="GSY43" s="11"/>
      <c r="GWF43" s="47"/>
      <c r="GWK43" s="47"/>
      <c r="GWM43" s="11"/>
      <c r="GZT43" s="47"/>
      <c r="GZY43" s="47"/>
      <c r="HAA43" s="11"/>
      <c r="HDH43" s="47"/>
      <c r="HDM43" s="47"/>
      <c r="HDO43" s="11"/>
      <c r="HGV43" s="47"/>
      <c r="HHA43" s="47"/>
      <c r="HHC43" s="11"/>
      <c r="HKJ43" s="47"/>
      <c r="HKO43" s="47"/>
      <c r="HKQ43" s="11"/>
      <c r="HNX43" s="47"/>
      <c r="HOC43" s="47"/>
      <c r="HOE43" s="11"/>
      <c r="HRL43" s="47"/>
      <c r="HRQ43" s="47"/>
      <c r="HRS43" s="11"/>
      <c r="HUZ43" s="47"/>
      <c r="HVE43" s="47"/>
      <c r="HVG43" s="11"/>
      <c r="HYN43" s="47"/>
      <c r="HYS43" s="47"/>
      <c r="HYU43" s="11"/>
      <c r="ICB43" s="47"/>
      <c r="ICG43" s="47"/>
      <c r="ICI43" s="11"/>
      <c r="IFP43" s="47"/>
      <c r="IFU43" s="47"/>
      <c r="IFW43" s="11"/>
      <c r="IJD43" s="47"/>
      <c r="IJI43" s="47"/>
      <c r="IJK43" s="11"/>
      <c r="IMR43" s="47"/>
      <c r="IMW43" s="47"/>
      <c r="IMY43" s="11"/>
      <c r="IQF43" s="47"/>
      <c r="IQK43" s="47"/>
      <c r="IQM43" s="11"/>
      <c r="ITT43" s="47"/>
      <c r="ITY43" s="47"/>
      <c r="IUA43" s="11"/>
      <c r="IXH43" s="47"/>
      <c r="IXM43" s="47"/>
      <c r="IXO43" s="11"/>
      <c r="JAV43" s="47"/>
      <c r="JBA43" s="47"/>
      <c r="JBC43" s="11"/>
      <c r="JEJ43" s="47"/>
      <c r="JEO43" s="47"/>
      <c r="JEQ43" s="11"/>
      <c r="JHX43" s="47"/>
      <c r="JIC43" s="47"/>
      <c r="JIE43" s="11"/>
      <c r="JLL43" s="47"/>
      <c r="JLQ43" s="47"/>
      <c r="JLS43" s="11"/>
      <c r="JOZ43" s="47"/>
      <c r="JPE43" s="47"/>
      <c r="JPG43" s="11"/>
      <c r="JSN43" s="47"/>
      <c r="JSS43" s="47"/>
      <c r="JSU43" s="11"/>
      <c r="JWB43" s="47"/>
      <c r="JWG43" s="47"/>
      <c r="JWI43" s="11"/>
      <c r="JZP43" s="47"/>
      <c r="JZU43" s="47"/>
      <c r="JZW43" s="11"/>
      <c r="KDD43" s="47"/>
      <c r="KDI43" s="47"/>
      <c r="KDK43" s="11"/>
      <c r="KGR43" s="47"/>
      <c r="KGW43" s="47"/>
      <c r="KGY43" s="11"/>
      <c r="KKF43" s="47"/>
      <c r="KKK43" s="47"/>
      <c r="KKM43" s="11"/>
      <c r="KNT43" s="47"/>
      <c r="KNY43" s="47"/>
      <c r="KOA43" s="11"/>
      <c r="KRH43" s="47"/>
      <c r="KRM43" s="47"/>
      <c r="KRO43" s="11"/>
      <c r="KUV43" s="47"/>
      <c r="KVA43" s="47"/>
      <c r="KVC43" s="11"/>
      <c r="KYJ43" s="47"/>
      <c r="KYO43" s="47"/>
      <c r="KYQ43" s="11"/>
      <c r="LBX43" s="47"/>
      <c r="LCC43" s="47"/>
      <c r="LCE43" s="11"/>
      <c r="LFL43" s="47"/>
      <c r="LFQ43" s="47"/>
      <c r="LFS43" s="11"/>
      <c r="LIZ43" s="47"/>
      <c r="LJE43" s="47"/>
      <c r="LJG43" s="11"/>
      <c r="LMN43" s="47"/>
      <c r="LMS43" s="47"/>
      <c r="LMU43" s="11"/>
      <c r="LQB43" s="47"/>
      <c r="LQG43" s="47"/>
      <c r="LQI43" s="11"/>
      <c r="LTP43" s="47"/>
      <c r="LTU43" s="47"/>
      <c r="LTW43" s="11"/>
      <c r="LXD43" s="47"/>
      <c r="LXI43" s="47"/>
      <c r="LXK43" s="11"/>
      <c r="MAR43" s="47"/>
      <c r="MAW43" s="47"/>
      <c r="MAY43" s="11"/>
      <c r="MEF43" s="47"/>
      <c r="MEK43" s="47"/>
      <c r="MEM43" s="11"/>
      <c r="MHT43" s="47"/>
      <c r="MHY43" s="47"/>
      <c r="MIA43" s="11"/>
      <c r="MLH43" s="47"/>
      <c r="MLM43" s="47"/>
      <c r="MLO43" s="11"/>
      <c r="MOV43" s="47"/>
      <c r="MPA43" s="47"/>
      <c r="MPC43" s="11"/>
      <c r="MSJ43" s="47"/>
      <c r="MSO43" s="47"/>
      <c r="MSQ43" s="11"/>
      <c r="MVX43" s="47"/>
      <c r="MWC43" s="47"/>
      <c r="MWE43" s="11"/>
      <c r="MZL43" s="47"/>
      <c r="MZQ43" s="47"/>
      <c r="MZS43" s="11"/>
      <c r="NCZ43" s="47"/>
      <c r="NDE43" s="47"/>
      <c r="NDG43" s="11"/>
      <c r="NGN43" s="47"/>
      <c r="NGS43" s="47"/>
      <c r="NGU43" s="11"/>
      <c r="NKB43" s="47"/>
      <c r="NKG43" s="47"/>
      <c r="NKI43" s="11"/>
      <c r="NNP43" s="47"/>
      <c r="NNU43" s="47"/>
      <c r="NNW43" s="11"/>
      <c r="NRD43" s="47"/>
      <c r="NRI43" s="47"/>
      <c r="NRK43" s="11"/>
      <c r="NUR43" s="47"/>
      <c r="NUW43" s="47"/>
      <c r="NUY43" s="11"/>
      <c r="NYF43" s="47"/>
      <c r="NYK43" s="47"/>
      <c r="NYM43" s="11"/>
      <c r="OBT43" s="47"/>
      <c r="OBY43" s="47"/>
      <c r="OCA43" s="11"/>
      <c r="OFH43" s="47"/>
      <c r="OFM43" s="47"/>
      <c r="OFO43" s="11"/>
      <c r="OIV43" s="47"/>
      <c r="OJA43" s="47"/>
      <c r="OJC43" s="11"/>
      <c r="OMJ43" s="47"/>
      <c r="OMO43" s="47"/>
      <c r="OMQ43" s="11"/>
      <c r="OPX43" s="47"/>
      <c r="OQC43" s="47"/>
      <c r="OQE43" s="11"/>
      <c r="OTL43" s="47"/>
      <c r="OTQ43" s="47"/>
      <c r="OTS43" s="11"/>
      <c r="OWZ43" s="47"/>
      <c r="OXE43" s="47"/>
      <c r="OXG43" s="11"/>
      <c r="PAN43" s="47"/>
      <c r="PAS43" s="47"/>
      <c r="PAU43" s="11"/>
      <c r="PEB43" s="47"/>
      <c r="PEG43" s="47"/>
      <c r="PEI43" s="11"/>
      <c r="PHP43" s="47"/>
      <c r="PHU43" s="47"/>
      <c r="PHW43" s="11"/>
      <c r="PLD43" s="47"/>
      <c r="PLI43" s="47"/>
      <c r="PLK43" s="11"/>
      <c r="POR43" s="47"/>
      <c r="POW43" s="47"/>
      <c r="POY43" s="11"/>
      <c r="PSF43" s="47"/>
      <c r="PSK43" s="47"/>
      <c r="PSM43" s="11"/>
      <c r="PVT43" s="47"/>
      <c r="PVY43" s="47"/>
      <c r="PWA43" s="11"/>
      <c r="PZH43" s="47"/>
      <c r="PZM43" s="47"/>
      <c r="PZO43" s="11"/>
      <c r="QCV43" s="47"/>
      <c r="QDA43" s="47"/>
      <c r="QDC43" s="11"/>
      <c r="QGJ43" s="47"/>
      <c r="QGO43" s="47"/>
      <c r="QGQ43" s="11"/>
      <c r="QJX43" s="47"/>
      <c r="QKC43" s="47"/>
      <c r="QKE43" s="11"/>
      <c r="QNL43" s="47"/>
      <c r="QNQ43" s="47"/>
      <c r="QNS43" s="11"/>
      <c r="QQZ43" s="47"/>
      <c r="QRE43" s="47"/>
      <c r="QRG43" s="11"/>
      <c r="QUN43" s="47"/>
      <c r="QUS43" s="47"/>
      <c r="QUU43" s="11"/>
      <c r="QYB43" s="47"/>
      <c r="QYG43" s="47"/>
      <c r="QYI43" s="11"/>
      <c r="RBP43" s="47"/>
      <c r="RBU43" s="47"/>
      <c r="RBW43" s="11"/>
      <c r="RFD43" s="47"/>
      <c r="RFI43" s="47"/>
      <c r="RFK43" s="11"/>
      <c r="RIR43" s="47"/>
      <c r="RIW43" s="47"/>
      <c r="RIY43" s="11"/>
      <c r="RMF43" s="47"/>
      <c r="RMK43" s="47"/>
      <c r="RMM43" s="11"/>
      <c r="RPT43" s="47"/>
      <c r="RPY43" s="47"/>
      <c r="RQA43" s="11"/>
      <c r="RTH43" s="47"/>
      <c r="RTM43" s="47"/>
      <c r="RTO43" s="11"/>
      <c r="RWV43" s="47"/>
      <c r="RXA43" s="47"/>
      <c r="RXC43" s="11"/>
      <c r="SAJ43" s="47"/>
      <c r="SAO43" s="47"/>
      <c r="SAQ43" s="11"/>
      <c r="SDX43" s="47"/>
      <c r="SEC43" s="47"/>
      <c r="SEE43" s="11"/>
      <c r="SHL43" s="47"/>
      <c r="SHQ43" s="47"/>
      <c r="SHS43" s="11"/>
      <c r="SKZ43" s="47"/>
      <c r="SLE43" s="47"/>
      <c r="SLG43" s="11"/>
      <c r="SON43" s="47"/>
      <c r="SOS43" s="47"/>
      <c r="SOU43" s="11"/>
      <c r="SSB43" s="47"/>
      <c r="SSG43" s="47"/>
      <c r="SSI43" s="11"/>
      <c r="SVP43" s="47"/>
      <c r="SVU43" s="47"/>
      <c r="SVW43" s="11"/>
      <c r="SZD43" s="47"/>
      <c r="SZI43" s="47"/>
      <c r="SZK43" s="11"/>
      <c r="TCR43" s="47"/>
      <c r="TCW43" s="47"/>
      <c r="TCY43" s="11"/>
      <c r="TGF43" s="47"/>
      <c r="TGK43" s="47"/>
      <c r="TGM43" s="11"/>
      <c r="TJT43" s="47"/>
      <c r="TJY43" s="47"/>
      <c r="TKA43" s="11"/>
      <c r="TNH43" s="47"/>
      <c r="TNM43" s="47"/>
      <c r="TNO43" s="11"/>
      <c r="TQV43" s="47"/>
      <c r="TRA43" s="47"/>
      <c r="TRC43" s="11"/>
      <c r="TUJ43" s="47"/>
      <c r="TUO43" s="47"/>
      <c r="TUQ43" s="11"/>
      <c r="TXX43" s="47"/>
      <c r="TYC43" s="47"/>
      <c r="TYE43" s="11"/>
      <c r="UBL43" s="47"/>
      <c r="UBQ43" s="47"/>
      <c r="UBS43" s="11"/>
      <c r="UEZ43" s="47"/>
      <c r="UFE43" s="47"/>
      <c r="UFG43" s="11"/>
      <c r="UIN43" s="47"/>
      <c r="UIS43" s="47"/>
      <c r="UIU43" s="11"/>
      <c r="UMB43" s="47"/>
      <c r="UMG43" s="47"/>
      <c r="UMI43" s="11"/>
      <c r="UPP43" s="47"/>
      <c r="UPU43" s="47"/>
      <c r="UPW43" s="11"/>
      <c r="UTD43" s="47"/>
      <c r="UTI43" s="47"/>
      <c r="UTK43" s="11"/>
      <c r="UWR43" s="47"/>
      <c r="UWW43" s="47"/>
      <c r="UWY43" s="11"/>
      <c r="VAF43" s="47"/>
      <c r="VAK43" s="47"/>
      <c r="VAM43" s="11"/>
      <c r="VDT43" s="47"/>
      <c r="VDY43" s="47"/>
      <c r="VEA43" s="11"/>
      <c r="VHH43" s="47"/>
      <c r="VHM43" s="47"/>
      <c r="VHO43" s="11"/>
      <c r="VKV43" s="47"/>
      <c r="VLA43" s="47"/>
      <c r="VLC43" s="11"/>
      <c r="VOJ43" s="47"/>
      <c r="VOO43" s="47"/>
      <c r="VOQ43" s="11"/>
      <c r="VRX43" s="47"/>
      <c r="VSC43" s="47"/>
      <c r="VSE43" s="11"/>
      <c r="VVL43" s="47"/>
      <c r="VVQ43" s="47"/>
      <c r="VVS43" s="11"/>
      <c r="VYZ43" s="47"/>
      <c r="VZE43" s="47"/>
      <c r="VZG43" s="11"/>
      <c r="WCN43" s="47"/>
      <c r="WCS43" s="47"/>
      <c r="WCU43" s="11"/>
      <c r="WGB43" s="47"/>
      <c r="WGG43" s="47"/>
      <c r="WGI43" s="11"/>
      <c r="WJP43" s="47"/>
      <c r="WJU43" s="47"/>
      <c r="WJW43" s="11"/>
      <c r="WND43" s="47"/>
      <c r="WNI43" s="47"/>
      <c r="WNK43" s="11"/>
      <c r="WQR43" s="47"/>
      <c r="WQW43" s="47"/>
      <c r="WQY43" s="11"/>
      <c r="WUF43" s="47"/>
      <c r="WUK43" s="47"/>
      <c r="WUM43" s="11"/>
      <c r="WXT43" s="47"/>
      <c r="WXY43" s="47"/>
      <c r="WYA43" s="11"/>
      <c r="XBH43" s="47"/>
      <c r="XBM43" s="47"/>
      <c r="XBO43" s="11"/>
      <c r="XEV43" s="47"/>
      <c r="XFA43" s="47"/>
      <c r="XFC43" s="11"/>
    </row>
    <row r="44" spans="1:1019 1104:2031 2116:3043 3128:4055 4140:5067 5152:6079 6164:7091 7176:8188 8193:9207 9292:10219 10304:11231 11316:12243 12328:13255 13340:14267 14352:15279 15364:16383" s="10" customFormat="1" ht="14.5" customHeight="1">
      <c r="C44" s="367" t="s">
        <v>1025</v>
      </c>
      <c r="E44" s="47"/>
      <c r="G44" s="11"/>
      <c r="CS44" s="47"/>
      <c r="CU44" s="11"/>
      <c r="GB44" s="47"/>
      <c r="GG44" s="47"/>
      <c r="GI44" s="11"/>
      <c r="JP44" s="47"/>
      <c r="JU44" s="47"/>
      <c r="JW44" s="11"/>
      <c r="ND44" s="47"/>
      <c r="NI44" s="47"/>
      <c r="NK44" s="11"/>
      <c r="QR44" s="47"/>
      <c r="QW44" s="47"/>
      <c r="QY44" s="11"/>
      <c r="UF44" s="47"/>
      <c r="UK44" s="47"/>
      <c r="UM44" s="11"/>
      <c r="XT44" s="47"/>
      <c r="XY44" s="47"/>
      <c r="YA44" s="11"/>
      <c r="ABH44" s="47"/>
      <c r="ABM44" s="47"/>
      <c r="ABO44" s="11"/>
      <c r="AEV44" s="47"/>
      <c r="AFA44" s="47"/>
      <c r="AFC44" s="11"/>
      <c r="AIJ44" s="47"/>
      <c r="AIO44" s="47"/>
      <c r="AIQ44" s="11"/>
      <c r="ALX44" s="47"/>
      <c r="AMC44" s="47"/>
      <c r="AME44" s="11"/>
      <c r="APL44" s="47"/>
      <c r="APQ44" s="47"/>
      <c r="APS44" s="11"/>
      <c r="ASZ44" s="47"/>
      <c r="ATE44" s="47"/>
      <c r="ATG44" s="11"/>
      <c r="AWN44" s="47"/>
      <c r="AWS44" s="47"/>
      <c r="AWU44" s="11"/>
      <c r="BAB44" s="47"/>
      <c r="BAG44" s="47"/>
      <c r="BAI44" s="11"/>
      <c r="BDP44" s="47"/>
      <c r="BDU44" s="47"/>
      <c r="BDW44" s="11"/>
      <c r="BHD44" s="47"/>
      <c r="BHI44" s="47"/>
      <c r="BHK44" s="11"/>
      <c r="BKR44" s="47"/>
      <c r="BKW44" s="47"/>
      <c r="BKY44" s="11"/>
      <c r="BOF44" s="47"/>
      <c r="BOK44" s="47"/>
      <c r="BOM44" s="11"/>
      <c r="BRT44" s="47"/>
      <c r="BRY44" s="47"/>
      <c r="BSA44" s="11"/>
      <c r="BVH44" s="47"/>
      <c r="BVM44" s="47"/>
      <c r="BVO44" s="11"/>
      <c r="BYV44" s="47"/>
      <c r="BZA44" s="47"/>
      <c r="BZC44" s="11"/>
      <c r="CCJ44" s="47"/>
      <c r="CCO44" s="47"/>
      <c r="CCQ44" s="11"/>
      <c r="CFX44" s="47"/>
      <c r="CGC44" s="47"/>
      <c r="CGE44" s="11"/>
      <c r="CJL44" s="47"/>
      <c r="CJQ44" s="47"/>
      <c r="CJS44" s="11"/>
      <c r="CMZ44" s="47"/>
      <c r="CNE44" s="47"/>
      <c r="CNG44" s="11"/>
      <c r="CQN44" s="47"/>
      <c r="CQS44" s="47"/>
      <c r="CQU44" s="11"/>
      <c r="CUB44" s="47"/>
      <c r="CUG44" s="47"/>
      <c r="CUI44" s="11"/>
      <c r="CXP44" s="47"/>
      <c r="CXU44" s="47"/>
      <c r="CXW44" s="11"/>
      <c r="DBD44" s="47"/>
      <c r="DBI44" s="47"/>
      <c r="DBK44" s="11"/>
      <c r="DER44" s="47"/>
      <c r="DEW44" s="47"/>
      <c r="DEY44" s="11"/>
      <c r="DIF44" s="47"/>
      <c r="DIK44" s="47"/>
      <c r="DIM44" s="11"/>
      <c r="DLT44" s="47"/>
      <c r="DLY44" s="47"/>
      <c r="DMA44" s="11"/>
      <c r="DPH44" s="47"/>
      <c r="DPM44" s="47"/>
      <c r="DPO44" s="11"/>
      <c r="DSV44" s="47"/>
      <c r="DTA44" s="47"/>
      <c r="DTC44" s="11"/>
      <c r="DWJ44" s="47"/>
      <c r="DWO44" s="47"/>
      <c r="DWQ44" s="11"/>
      <c r="DZX44" s="47"/>
      <c r="EAC44" s="47"/>
      <c r="EAE44" s="11"/>
      <c r="EDL44" s="47"/>
      <c r="EDQ44" s="47"/>
      <c r="EDS44" s="11"/>
      <c r="EGZ44" s="47"/>
      <c r="EHE44" s="47"/>
      <c r="EHG44" s="11"/>
      <c r="EKN44" s="47"/>
      <c r="EKS44" s="47"/>
      <c r="EKU44" s="11"/>
      <c r="EOB44" s="47"/>
      <c r="EOG44" s="47"/>
      <c r="EOI44" s="11"/>
      <c r="ERP44" s="47"/>
      <c r="ERU44" s="47"/>
      <c r="ERW44" s="11"/>
      <c r="EVD44" s="47"/>
      <c r="EVI44" s="47"/>
      <c r="EVK44" s="11"/>
      <c r="EYR44" s="47"/>
      <c r="EYW44" s="47"/>
      <c r="EYY44" s="11"/>
      <c r="FCF44" s="47"/>
      <c r="FCK44" s="47"/>
      <c r="FCM44" s="11"/>
      <c r="FFT44" s="47"/>
      <c r="FFY44" s="47"/>
      <c r="FGA44" s="11"/>
      <c r="FJH44" s="47"/>
      <c r="FJM44" s="47"/>
      <c r="FJO44" s="11"/>
      <c r="FMV44" s="47"/>
      <c r="FNA44" s="47"/>
      <c r="FNC44" s="11"/>
      <c r="FQJ44" s="47"/>
      <c r="FQO44" s="47"/>
      <c r="FQQ44" s="11"/>
      <c r="FTX44" s="47"/>
      <c r="FUC44" s="47"/>
      <c r="FUE44" s="11"/>
      <c r="FXL44" s="47"/>
      <c r="FXQ44" s="47"/>
      <c r="FXS44" s="11"/>
      <c r="GAZ44" s="47"/>
      <c r="GBE44" s="47"/>
      <c r="GBG44" s="11"/>
      <c r="GEN44" s="47"/>
      <c r="GES44" s="47"/>
      <c r="GEU44" s="11"/>
      <c r="GIB44" s="47"/>
      <c r="GIG44" s="47"/>
      <c r="GII44" s="11"/>
      <c r="GLP44" s="47"/>
      <c r="GLU44" s="47"/>
      <c r="GLW44" s="11"/>
      <c r="GPD44" s="47"/>
      <c r="GPI44" s="47"/>
      <c r="GPK44" s="11"/>
      <c r="GSR44" s="47"/>
      <c r="GSW44" s="47"/>
      <c r="GSY44" s="11"/>
      <c r="GWF44" s="47"/>
      <c r="GWK44" s="47"/>
      <c r="GWM44" s="11"/>
      <c r="GZT44" s="47"/>
      <c r="GZY44" s="47"/>
      <c r="HAA44" s="11"/>
      <c r="HDH44" s="47"/>
      <c r="HDM44" s="47"/>
      <c r="HDO44" s="11"/>
      <c r="HGV44" s="47"/>
      <c r="HHA44" s="47"/>
      <c r="HHC44" s="11"/>
      <c r="HKJ44" s="47"/>
      <c r="HKO44" s="47"/>
      <c r="HKQ44" s="11"/>
      <c r="HNX44" s="47"/>
      <c r="HOC44" s="47"/>
      <c r="HOE44" s="11"/>
      <c r="HRL44" s="47"/>
      <c r="HRQ44" s="47"/>
      <c r="HRS44" s="11"/>
      <c r="HUZ44" s="47"/>
      <c r="HVE44" s="47"/>
      <c r="HVG44" s="11"/>
      <c r="HYN44" s="47"/>
      <c r="HYS44" s="47"/>
      <c r="HYU44" s="11"/>
      <c r="ICB44" s="47"/>
      <c r="ICG44" s="47"/>
      <c r="ICI44" s="11"/>
      <c r="IFP44" s="47"/>
      <c r="IFU44" s="47"/>
      <c r="IFW44" s="11"/>
      <c r="IJD44" s="47"/>
      <c r="IJI44" s="47"/>
      <c r="IJK44" s="11"/>
      <c r="IMR44" s="47"/>
      <c r="IMW44" s="47"/>
      <c r="IMY44" s="11"/>
      <c r="IQF44" s="47"/>
      <c r="IQK44" s="47"/>
      <c r="IQM44" s="11"/>
      <c r="ITT44" s="47"/>
      <c r="ITY44" s="47"/>
      <c r="IUA44" s="11"/>
      <c r="IXH44" s="47"/>
      <c r="IXM44" s="47"/>
      <c r="IXO44" s="11"/>
      <c r="JAV44" s="47"/>
      <c r="JBA44" s="47"/>
      <c r="JBC44" s="11"/>
      <c r="JEJ44" s="47"/>
      <c r="JEO44" s="47"/>
      <c r="JEQ44" s="11"/>
      <c r="JHX44" s="47"/>
      <c r="JIC44" s="47"/>
      <c r="JIE44" s="11"/>
      <c r="JLL44" s="47"/>
      <c r="JLQ44" s="47"/>
      <c r="JLS44" s="11"/>
      <c r="JOZ44" s="47"/>
      <c r="JPE44" s="47"/>
      <c r="JPG44" s="11"/>
      <c r="JSN44" s="47"/>
      <c r="JSS44" s="47"/>
      <c r="JSU44" s="11"/>
      <c r="JWB44" s="47"/>
      <c r="JWG44" s="47"/>
      <c r="JWI44" s="11"/>
      <c r="JZP44" s="47"/>
      <c r="JZU44" s="47"/>
      <c r="JZW44" s="11"/>
      <c r="KDD44" s="47"/>
      <c r="KDI44" s="47"/>
      <c r="KDK44" s="11"/>
      <c r="KGR44" s="47"/>
      <c r="KGW44" s="47"/>
      <c r="KGY44" s="11"/>
      <c r="KKF44" s="47"/>
      <c r="KKK44" s="47"/>
      <c r="KKM44" s="11"/>
      <c r="KNT44" s="47"/>
      <c r="KNY44" s="47"/>
      <c r="KOA44" s="11"/>
      <c r="KRH44" s="47"/>
      <c r="KRM44" s="47"/>
      <c r="KRO44" s="11"/>
      <c r="KUV44" s="47"/>
      <c r="KVA44" s="47"/>
      <c r="KVC44" s="11"/>
      <c r="KYJ44" s="47"/>
      <c r="KYO44" s="47"/>
      <c r="KYQ44" s="11"/>
      <c r="LBX44" s="47"/>
      <c r="LCC44" s="47"/>
      <c r="LCE44" s="11"/>
      <c r="LFL44" s="47"/>
      <c r="LFQ44" s="47"/>
      <c r="LFS44" s="11"/>
      <c r="LIZ44" s="47"/>
      <c r="LJE44" s="47"/>
      <c r="LJG44" s="11"/>
      <c r="LMN44" s="47"/>
      <c r="LMS44" s="47"/>
      <c r="LMU44" s="11"/>
      <c r="LQB44" s="47"/>
      <c r="LQG44" s="47"/>
      <c r="LQI44" s="11"/>
      <c r="LTP44" s="47"/>
      <c r="LTU44" s="47"/>
      <c r="LTW44" s="11"/>
      <c r="LXD44" s="47"/>
      <c r="LXI44" s="47"/>
      <c r="LXK44" s="11"/>
      <c r="MAR44" s="47"/>
      <c r="MAW44" s="47"/>
      <c r="MAY44" s="11"/>
      <c r="MEF44" s="47"/>
      <c r="MEK44" s="47"/>
      <c r="MEM44" s="11"/>
      <c r="MHT44" s="47"/>
      <c r="MHY44" s="47"/>
      <c r="MIA44" s="11"/>
      <c r="MLH44" s="47"/>
      <c r="MLM44" s="47"/>
      <c r="MLO44" s="11"/>
      <c r="MOV44" s="47"/>
      <c r="MPA44" s="47"/>
      <c r="MPC44" s="11"/>
      <c r="MSJ44" s="47"/>
      <c r="MSO44" s="47"/>
      <c r="MSQ44" s="11"/>
      <c r="MVX44" s="47"/>
      <c r="MWC44" s="47"/>
      <c r="MWE44" s="11"/>
      <c r="MZL44" s="47"/>
      <c r="MZQ44" s="47"/>
      <c r="MZS44" s="11"/>
      <c r="NCZ44" s="47"/>
      <c r="NDE44" s="47"/>
      <c r="NDG44" s="11"/>
      <c r="NGN44" s="47"/>
      <c r="NGS44" s="47"/>
      <c r="NGU44" s="11"/>
      <c r="NKB44" s="47"/>
      <c r="NKG44" s="47"/>
      <c r="NKI44" s="11"/>
      <c r="NNP44" s="47"/>
      <c r="NNU44" s="47"/>
      <c r="NNW44" s="11"/>
      <c r="NRD44" s="47"/>
      <c r="NRI44" s="47"/>
      <c r="NRK44" s="11"/>
      <c r="NUR44" s="47"/>
      <c r="NUW44" s="47"/>
      <c r="NUY44" s="11"/>
      <c r="NYF44" s="47"/>
      <c r="NYK44" s="47"/>
      <c r="NYM44" s="11"/>
      <c r="OBT44" s="47"/>
      <c r="OBY44" s="47"/>
      <c r="OCA44" s="11"/>
      <c r="OFH44" s="47"/>
      <c r="OFM44" s="47"/>
      <c r="OFO44" s="11"/>
      <c r="OIV44" s="47"/>
      <c r="OJA44" s="47"/>
      <c r="OJC44" s="11"/>
      <c r="OMJ44" s="47"/>
      <c r="OMO44" s="47"/>
      <c r="OMQ44" s="11"/>
      <c r="OPX44" s="47"/>
      <c r="OQC44" s="47"/>
      <c r="OQE44" s="11"/>
      <c r="OTL44" s="47"/>
      <c r="OTQ44" s="47"/>
      <c r="OTS44" s="11"/>
      <c r="OWZ44" s="47"/>
      <c r="OXE44" s="47"/>
      <c r="OXG44" s="11"/>
      <c r="PAN44" s="47"/>
      <c r="PAS44" s="47"/>
      <c r="PAU44" s="11"/>
      <c r="PEB44" s="47"/>
      <c r="PEG44" s="47"/>
      <c r="PEI44" s="11"/>
      <c r="PHP44" s="47"/>
      <c r="PHU44" s="47"/>
      <c r="PHW44" s="11"/>
      <c r="PLD44" s="47"/>
      <c r="PLI44" s="47"/>
      <c r="PLK44" s="11"/>
      <c r="POR44" s="47"/>
      <c r="POW44" s="47"/>
      <c r="POY44" s="11"/>
      <c r="PSF44" s="47"/>
      <c r="PSK44" s="47"/>
      <c r="PSM44" s="11"/>
      <c r="PVT44" s="47"/>
      <c r="PVY44" s="47"/>
      <c r="PWA44" s="11"/>
      <c r="PZH44" s="47"/>
      <c r="PZM44" s="47"/>
      <c r="PZO44" s="11"/>
      <c r="QCV44" s="47"/>
      <c r="QDA44" s="47"/>
      <c r="QDC44" s="11"/>
      <c r="QGJ44" s="47"/>
      <c r="QGO44" s="47"/>
      <c r="QGQ44" s="11"/>
      <c r="QJX44" s="47"/>
      <c r="QKC44" s="47"/>
      <c r="QKE44" s="11"/>
      <c r="QNL44" s="47"/>
      <c r="QNQ44" s="47"/>
      <c r="QNS44" s="11"/>
      <c r="QQZ44" s="47"/>
      <c r="QRE44" s="47"/>
      <c r="QRG44" s="11"/>
      <c r="QUN44" s="47"/>
      <c r="QUS44" s="47"/>
      <c r="QUU44" s="11"/>
      <c r="QYB44" s="47"/>
      <c r="QYG44" s="47"/>
      <c r="QYI44" s="11"/>
      <c r="RBP44" s="47"/>
      <c r="RBU44" s="47"/>
      <c r="RBW44" s="11"/>
      <c r="RFD44" s="47"/>
      <c r="RFI44" s="47"/>
      <c r="RFK44" s="11"/>
      <c r="RIR44" s="47"/>
      <c r="RIW44" s="47"/>
      <c r="RIY44" s="11"/>
      <c r="RMF44" s="47"/>
      <c r="RMK44" s="47"/>
      <c r="RMM44" s="11"/>
      <c r="RPT44" s="47"/>
      <c r="RPY44" s="47"/>
      <c r="RQA44" s="11"/>
      <c r="RTH44" s="47"/>
      <c r="RTM44" s="47"/>
      <c r="RTO44" s="11"/>
      <c r="RWV44" s="47"/>
      <c r="RXA44" s="47"/>
      <c r="RXC44" s="11"/>
      <c r="SAJ44" s="47"/>
      <c r="SAO44" s="47"/>
      <c r="SAQ44" s="11"/>
      <c r="SDX44" s="47"/>
      <c r="SEC44" s="47"/>
      <c r="SEE44" s="11"/>
      <c r="SHL44" s="47"/>
      <c r="SHQ44" s="47"/>
      <c r="SHS44" s="11"/>
      <c r="SKZ44" s="47"/>
      <c r="SLE44" s="47"/>
      <c r="SLG44" s="11"/>
      <c r="SON44" s="47"/>
      <c r="SOS44" s="47"/>
      <c r="SOU44" s="11"/>
      <c r="SSB44" s="47"/>
      <c r="SSG44" s="47"/>
      <c r="SSI44" s="11"/>
      <c r="SVP44" s="47"/>
      <c r="SVU44" s="47"/>
      <c r="SVW44" s="11"/>
      <c r="SZD44" s="47"/>
      <c r="SZI44" s="47"/>
      <c r="SZK44" s="11"/>
      <c r="TCR44" s="47"/>
      <c r="TCW44" s="47"/>
      <c r="TCY44" s="11"/>
      <c r="TGF44" s="47"/>
      <c r="TGK44" s="47"/>
      <c r="TGM44" s="11"/>
      <c r="TJT44" s="47"/>
      <c r="TJY44" s="47"/>
      <c r="TKA44" s="11"/>
      <c r="TNH44" s="47"/>
      <c r="TNM44" s="47"/>
      <c r="TNO44" s="11"/>
      <c r="TQV44" s="47"/>
      <c r="TRA44" s="47"/>
      <c r="TRC44" s="11"/>
      <c r="TUJ44" s="47"/>
      <c r="TUO44" s="47"/>
      <c r="TUQ44" s="11"/>
      <c r="TXX44" s="47"/>
      <c r="TYC44" s="47"/>
      <c r="TYE44" s="11"/>
      <c r="UBL44" s="47"/>
      <c r="UBQ44" s="47"/>
      <c r="UBS44" s="11"/>
      <c r="UEZ44" s="47"/>
      <c r="UFE44" s="47"/>
      <c r="UFG44" s="11"/>
      <c r="UIN44" s="47"/>
      <c r="UIS44" s="47"/>
      <c r="UIU44" s="11"/>
      <c r="UMB44" s="47"/>
      <c r="UMG44" s="47"/>
      <c r="UMI44" s="11"/>
      <c r="UPP44" s="47"/>
      <c r="UPU44" s="47"/>
      <c r="UPW44" s="11"/>
      <c r="UTD44" s="47"/>
      <c r="UTI44" s="47"/>
      <c r="UTK44" s="11"/>
      <c r="UWR44" s="47"/>
      <c r="UWW44" s="47"/>
      <c r="UWY44" s="11"/>
      <c r="VAF44" s="47"/>
      <c r="VAK44" s="47"/>
      <c r="VAM44" s="11"/>
      <c r="VDT44" s="47"/>
      <c r="VDY44" s="47"/>
      <c r="VEA44" s="11"/>
      <c r="VHH44" s="47"/>
      <c r="VHM44" s="47"/>
      <c r="VHO44" s="11"/>
      <c r="VKV44" s="47"/>
      <c r="VLA44" s="47"/>
      <c r="VLC44" s="11"/>
      <c r="VOJ44" s="47"/>
      <c r="VOO44" s="47"/>
      <c r="VOQ44" s="11"/>
      <c r="VRX44" s="47"/>
      <c r="VSC44" s="47"/>
      <c r="VSE44" s="11"/>
      <c r="VVL44" s="47"/>
      <c r="VVQ44" s="47"/>
      <c r="VVS44" s="11"/>
      <c r="VYZ44" s="47"/>
      <c r="VZE44" s="47"/>
      <c r="VZG44" s="11"/>
      <c r="WCN44" s="47"/>
      <c r="WCS44" s="47"/>
      <c r="WCU44" s="11"/>
      <c r="WGB44" s="47"/>
      <c r="WGG44" s="47"/>
      <c r="WGI44" s="11"/>
      <c r="WJP44" s="47"/>
      <c r="WJU44" s="47"/>
      <c r="WJW44" s="11"/>
      <c r="WND44" s="47"/>
      <c r="WNI44" s="47"/>
      <c r="WNK44" s="11"/>
      <c r="WQR44" s="47"/>
      <c r="WQW44" s="47"/>
      <c r="WQY44" s="11"/>
      <c r="WUF44" s="47"/>
      <c r="WUK44" s="47"/>
      <c r="WUM44" s="11"/>
      <c r="WXT44" s="47"/>
      <c r="WXY44" s="47"/>
      <c r="WYA44" s="11"/>
      <c r="XBH44" s="47"/>
      <c r="XBM44" s="47"/>
      <c r="XBO44" s="11"/>
      <c r="XEV44" s="47"/>
      <c r="XFA44" s="47"/>
      <c r="XFC44" s="11"/>
    </row>
    <row r="45" spans="1:1019 1104:2031 2116:3043 3128:4055 4140:5067 5152:6079 6164:7091 7176:8188 8193:9207 9292:10219 10304:11231 11316:12243 12328:13255 13340:14267 14352:15279 15364:16383" s="10" customFormat="1" ht="14.5" customHeight="1">
      <c r="C45" s="17" t="s">
        <v>1026</v>
      </c>
      <c r="E45" s="47"/>
      <c r="G45" s="11" t="str">
        <f>Monetary_Unit</f>
        <v>тыс. руб.</v>
      </c>
      <c r="I45" s="23">
        <f t="shared" ref="I45:I53" si="37">SUM(L45:CM45)</f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>
        <v>0</v>
      </c>
      <c r="AS45" s="10">
        <v>0</v>
      </c>
      <c r="AT45" s="10">
        <v>0</v>
      </c>
      <c r="AU45" s="10">
        <v>0</v>
      </c>
      <c r="AV45" s="10">
        <v>0</v>
      </c>
      <c r="AW45" s="10">
        <v>0</v>
      </c>
      <c r="AX45" s="10">
        <v>0</v>
      </c>
      <c r="AY45" s="10">
        <v>0</v>
      </c>
      <c r="AZ45" s="10">
        <v>0</v>
      </c>
      <c r="BA45" s="10">
        <v>0</v>
      </c>
      <c r="BB45" s="10">
        <v>0</v>
      </c>
      <c r="BC45" s="10">
        <v>0</v>
      </c>
      <c r="BD45" s="10">
        <v>0</v>
      </c>
      <c r="BE45" s="10">
        <v>0</v>
      </c>
      <c r="BF45" s="10">
        <v>0</v>
      </c>
      <c r="BG45" s="10">
        <v>0</v>
      </c>
      <c r="BH45" s="10">
        <v>0</v>
      </c>
      <c r="BI45" s="10">
        <v>0</v>
      </c>
      <c r="BJ45" s="10">
        <v>0</v>
      </c>
      <c r="BK45" s="10">
        <v>0</v>
      </c>
      <c r="BL45" s="10">
        <v>0</v>
      </c>
      <c r="BM45" s="10">
        <v>0</v>
      </c>
      <c r="BN45" s="10">
        <v>0</v>
      </c>
      <c r="BO45" s="10">
        <v>0</v>
      </c>
      <c r="BP45" s="10">
        <v>0</v>
      </c>
      <c r="BQ45" s="10">
        <v>0</v>
      </c>
      <c r="BR45" s="10">
        <v>0</v>
      </c>
      <c r="BS45" s="10">
        <v>0</v>
      </c>
      <c r="BT45" s="10">
        <v>0</v>
      </c>
      <c r="BU45" s="10">
        <v>0</v>
      </c>
      <c r="BV45" s="10">
        <v>0</v>
      </c>
      <c r="BW45" s="10">
        <v>0</v>
      </c>
      <c r="BX45" s="10">
        <v>0</v>
      </c>
      <c r="BY45" s="10">
        <v>0</v>
      </c>
      <c r="BZ45" s="10">
        <v>0</v>
      </c>
      <c r="CA45" s="10">
        <v>0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S45" s="47"/>
      <c r="CU45" s="11"/>
      <c r="GB45" s="47"/>
      <c r="GG45" s="47"/>
      <c r="GI45" s="11"/>
      <c r="JP45" s="47"/>
      <c r="JU45" s="47"/>
      <c r="JW45" s="11"/>
      <c r="ND45" s="47"/>
      <c r="NI45" s="47"/>
      <c r="NK45" s="11"/>
      <c r="QR45" s="47"/>
      <c r="QW45" s="47"/>
      <c r="QY45" s="11"/>
      <c r="UF45" s="47"/>
      <c r="UK45" s="47"/>
      <c r="UM45" s="11"/>
      <c r="XT45" s="47"/>
      <c r="XY45" s="47"/>
      <c r="YA45" s="11"/>
      <c r="ABH45" s="47"/>
      <c r="ABM45" s="47"/>
      <c r="ABO45" s="11"/>
      <c r="AEV45" s="47"/>
      <c r="AFA45" s="47"/>
      <c r="AFC45" s="11"/>
      <c r="AIJ45" s="47"/>
      <c r="AIO45" s="47"/>
      <c r="AIQ45" s="11"/>
      <c r="ALX45" s="47"/>
      <c r="AMC45" s="47"/>
      <c r="AME45" s="11"/>
      <c r="APL45" s="47"/>
      <c r="APQ45" s="47"/>
      <c r="APS45" s="11"/>
      <c r="ASZ45" s="47"/>
      <c r="ATE45" s="47"/>
      <c r="ATG45" s="11"/>
      <c r="AWN45" s="47"/>
      <c r="AWS45" s="47"/>
      <c r="AWU45" s="11"/>
      <c r="BAB45" s="47"/>
      <c r="BAG45" s="47"/>
      <c r="BAI45" s="11"/>
      <c r="BDP45" s="47"/>
      <c r="BDU45" s="47"/>
      <c r="BDW45" s="11"/>
      <c r="BHD45" s="47"/>
      <c r="BHI45" s="47"/>
      <c r="BHK45" s="11"/>
      <c r="BKR45" s="47"/>
      <c r="BKW45" s="47"/>
      <c r="BKY45" s="11"/>
      <c r="BOF45" s="47"/>
      <c r="BOK45" s="47"/>
      <c r="BOM45" s="11"/>
      <c r="BRT45" s="47"/>
      <c r="BRY45" s="47"/>
      <c r="BSA45" s="11"/>
      <c r="BVH45" s="47"/>
      <c r="BVM45" s="47"/>
      <c r="BVO45" s="11"/>
      <c r="BYV45" s="47"/>
      <c r="BZA45" s="47"/>
      <c r="BZC45" s="11"/>
      <c r="CCJ45" s="47"/>
      <c r="CCO45" s="47"/>
      <c r="CCQ45" s="11"/>
      <c r="CFX45" s="47"/>
      <c r="CGC45" s="47"/>
      <c r="CGE45" s="11"/>
      <c r="CJL45" s="47"/>
      <c r="CJQ45" s="47"/>
      <c r="CJS45" s="11"/>
      <c r="CMZ45" s="47"/>
      <c r="CNE45" s="47"/>
      <c r="CNG45" s="11"/>
      <c r="CQN45" s="47"/>
      <c r="CQS45" s="47"/>
      <c r="CQU45" s="11"/>
      <c r="CUB45" s="47"/>
      <c r="CUG45" s="47"/>
      <c r="CUI45" s="11"/>
      <c r="CXP45" s="47"/>
      <c r="CXU45" s="47"/>
      <c r="CXW45" s="11"/>
      <c r="DBD45" s="47"/>
      <c r="DBI45" s="47"/>
      <c r="DBK45" s="11"/>
      <c r="DER45" s="47"/>
      <c r="DEW45" s="47"/>
      <c r="DEY45" s="11"/>
      <c r="DIF45" s="47"/>
      <c r="DIK45" s="47"/>
      <c r="DIM45" s="11"/>
      <c r="DLT45" s="47"/>
      <c r="DLY45" s="47"/>
      <c r="DMA45" s="11"/>
      <c r="DPH45" s="47"/>
      <c r="DPM45" s="47"/>
      <c r="DPO45" s="11"/>
      <c r="DSV45" s="47"/>
      <c r="DTA45" s="47"/>
      <c r="DTC45" s="11"/>
      <c r="DWJ45" s="47"/>
      <c r="DWO45" s="47"/>
      <c r="DWQ45" s="11"/>
      <c r="DZX45" s="47"/>
      <c r="EAC45" s="47"/>
      <c r="EAE45" s="11"/>
      <c r="EDL45" s="47"/>
      <c r="EDQ45" s="47"/>
      <c r="EDS45" s="11"/>
      <c r="EGZ45" s="47"/>
      <c r="EHE45" s="47"/>
      <c r="EHG45" s="11"/>
      <c r="EKN45" s="47"/>
      <c r="EKS45" s="47"/>
      <c r="EKU45" s="11"/>
      <c r="EOB45" s="47"/>
      <c r="EOG45" s="47"/>
      <c r="EOI45" s="11"/>
      <c r="ERP45" s="47"/>
      <c r="ERU45" s="47"/>
      <c r="ERW45" s="11"/>
      <c r="EVD45" s="47"/>
      <c r="EVI45" s="47"/>
      <c r="EVK45" s="11"/>
      <c r="EYR45" s="47"/>
      <c r="EYW45" s="47"/>
      <c r="EYY45" s="11"/>
      <c r="FCF45" s="47"/>
      <c r="FCK45" s="47"/>
      <c r="FCM45" s="11"/>
      <c r="FFT45" s="47"/>
      <c r="FFY45" s="47"/>
      <c r="FGA45" s="11"/>
      <c r="FJH45" s="47"/>
      <c r="FJM45" s="47"/>
      <c r="FJO45" s="11"/>
      <c r="FMV45" s="47"/>
      <c r="FNA45" s="47"/>
      <c r="FNC45" s="11"/>
      <c r="FQJ45" s="47"/>
      <c r="FQO45" s="47"/>
      <c r="FQQ45" s="11"/>
      <c r="FTX45" s="47"/>
      <c r="FUC45" s="47"/>
      <c r="FUE45" s="11"/>
      <c r="FXL45" s="47"/>
      <c r="FXQ45" s="47"/>
      <c r="FXS45" s="11"/>
      <c r="GAZ45" s="47"/>
      <c r="GBE45" s="47"/>
      <c r="GBG45" s="11"/>
      <c r="GEN45" s="47"/>
      <c r="GES45" s="47"/>
      <c r="GEU45" s="11"/>
      <c r="GIB45" s="47"/>
      <c r="GIG45" s="47"/>
      <c r="GII45" s="11"/>
      <c r="GLP45" s="47"/>
      <c r="GLU45" s="47"/>
      <c r="GLW45" s="11"/>
      <c r="GPD45" s="47"/>
      <c r="GPI45" s="47"/>
      <c r="GPK45" s="11"/>
      <c r="GSR45" s="47"/>
      <c r="GSW45" s="47"/>
      <c r="GSY45" s="11"/>
      <c r="GWF45" s="47"/>
      <c r="GWK45" s="47"/>
      <c r="GWM45" s="11"/>
      <c r="GZT45" s="47"/>
      <c r="GZY45" s="47"/>
      <c r="HAA45" s="11"/>
      <c r="HDH45" s="47"/>
      <c r="HDM45" s="47"/>
      <c r="HDO45" s="11"/>
      <c r="HGV45" s="47"/>
      <c r="HHA45" s="47"/>
      <c r="HHC45" s="11"/>
      <c r="HKJ45" s="47"/>
      <c r="HKO45" s="47"/>
      <c r="HKQ45" s="11"/>
      <c r="HNX45" s="47"/>
      <c r="HOC45" s="47"/>
      <c r="HOE45" s="11"/>
      <c r="HRL45" s="47"/>
      <c r="HRQ45" s="47"/>
      <c r="HRS45" s="11"/>
      <c r="HUZ45" s="47"/>
      <c r="HVE45" s="47"/>
      <c r="HVG45" s="11"/>
      <c r="HYN45" s="47"/>
      <c r="HYS45" s="47"/>
      <c r="HYU45" s="11"/>
      <c r="ICB45" s="47"/>
      <c r="ICG45" s="47"/>
      <c r="ICI45" s="11"/>
      <c r="IFP45" s="47"/>
      <c r="IFU45" s="47"/>
      <c r="IFW45" s="11"/>
      <c r="IJD45" s="47"/>
      <c r="IJI45" s="47"/>
      <c r="IJK45" s="11"/>
      <c r="IMR45" s="47"/>
      <c r="IMW45" s="47"/>
      <c r="IMY45" s="11"/>
      <c r="IQF45" s="47"/>
      <c r="IQK45" s="47"/>
      <c r="IQM45" s="11"/>
      <c r="ITT45" s="47"/>
      <c r="ITY45" s="47"/>
      <c r="IUA45" s="11"/>
      <c r="IXH45" s="47"/>
      <c r="IXM45" s="47"/>
      <c r="IXO45" s="11"/>
      <c r="JAV45" s="47"/>
      <c r="JBA45" s="47"/>
      <c r="JBC45" s="11"/>
      <c r="JEJ45" s="47"/>
      <c r="JEO45" s="47"/>
      <c r="JEQ45" s="11"/>
      <c r="JHX45" s="47"/>
      <c r="JIC45" s="47"/>
      <c r="JIE45" s="11"/>
      <c r="JLL45" s="47"/>
      <c r="JLQ45" s="47"/>
      <c r="JLS45" s="11"/>
      <c r="JOZ45" s="47"/>
      <c r="JPE45" s="47"/>
      <c r="JPG45" s="11"/>
      <c r="JSN45" s="47"/>
      <c r="JSS45" s="47"/>
      <c r="JSU45" s="11"/>
      <c r="JWB45" s="47"/>
      <c r="JWG45" s="47"/>
      <c r="JWI45" s="11"/>
      <c r="JZP45" s="47"/>
      <c r="JZU45" s="47"/>
      <c r="JZW45" s="11"/>
      <c r="KDD45" s="47"/>
      <c r="KDI45" s="47"/>
      <c r="KDK45" s="11"/>
      <c r="KGR45" s="47"/>
      <c r="KGW45" s="47"/>
      <c r="KGY45" s="11"/>
      <c r="KKF45" s="47"/>
      <c r="KKK45" s="47"/>
      <c r="KKM45" s="11"/>
      <c r="KNT45" s="47"/>
      <c r="KNY45" s="47"/>
      <c r="KOA45" s="11"/>
      <c r="KRH45" s="47"/>
      <c r="KRM45" s="47"/>
      <c r="KRO45" s="11"/>
      <c r="KUV45" s="47"/>
      <c r="KVA45" s="47"/>
      <c r="KVC45" s="11"/>
      <c r="KYJ45" s="47"/>
      <c r="KYO45" s="47"/>
      <c r="KYQ45" s="11"/>
      <c r="LBX45" s="47"/>
      <c r="LCC45" s="47"/>
      <c r="LCE45" s="11"/>
      <c r="LFL45" s="47"/>
      <c r="LFQ45" s="47"/>
      <c r="LFS45" s="11"/>
      <c r="LIZ45" s="47"/>
      <c r="LJE45" s="47"/>
      <c r="LJG45" s="11"/>
      <c r="LMN45" s="47"/>
      <c r="LMS45" s="47"/>
      <c r="LMU45" s="11"/>
      <c r="LQB45" s="47"/>
      <c r="LQG45" s="47"/>
      <c r="LQI45" s="11"/>
      <c r="LTP45" s="47"/>
      <c r="LTU45" s="47"/>
      <c r="LTW45" s="11"/>
      <c r="LXD45" s="47"/>
      <c r="LXI45" s="47"/>
      <c r="LXK45" s="11"/>
      <c r="MAR45" s="47"/>
      <c r="MAW45" s="47"/>
      <c r="MAY45" s="11"/>
      <c r="MEF45" s="47"/>
      <c r="MEK45" s="47"/>
      <c r="MEM45" s="11"/>
      <c r="MHT45" s="47"/>
      <c r="MHY45" s="47"/>
      <c r="MIA45" s="11"/>
      <c r="MLH45" s="47"/>
      <c r="MLM45" s="47"/>
      <c r="MLO45" s="11"/>
      <c r="MOV45" s="47"/>
      <c r="MPA45" s="47"/>
      <c r="MPC45" s="11"/>
      <c r="MSJ45" s="47"/>
      <c r="MSO45" s="47"/>
      <c r="MSQ45" s="11"/>
      <c r="MVX45" s="47"/>
      <c r="MWC45" s="47"/>
      <c r="MWE45" s="11"/>
      <c r="MZL45" s="47"/>
      <c r="MZQ45" s="47"/>
      <c r="MZS45" s="11"/>
      <c r="NCZ45" s="47"/>
      <c r="NDE45" s="47"/>
      <c r="NDG45" s="11"/>
      <c r="NGN45" s="47"/>
      <c r="NGS45" s="47"/>
      <c r="NGU45" s="11"/>
      <c r="NKB45" s="47"/>
      <c r="NKG45" s="47"/>
      <c r="NKI45" s="11"/>
      <c r="NNP45" s="47"/>
      <c r="NNU45" s="47"/>
      <c r="NNW45" s="11"/>
      <c r="NRD45" s="47"/>
      <c r="NRI45" s="47"/>
      <c r="NRK45" s="11"/>
      <c r="NUR45" s="47"/>
      <c r="NUW45" s="47"/>
      <c r="NUY45" s="11"/>
      <c r="NYF45" s="47"/>
      <c r="NYK45" s="47"/>
      <c r="NYM45" s="11"/>
      <c r="OBT45" s="47"/>
      <c r="OBY45" s="47"/>
      <c r="OCA45" s="11"/>
      <c r="OFH45" s="47"/>
      <c r="OFM45" s="47"/>
      <c r="OFO45" s="11"/>
      <c r="OIV45" s="47"/>
      <c r="OJA45" s="47"/>
      <c r="OJC45" s="11"/>
      <c r="OMJ45" s="47"/>
      <c r="OMO45" s="47"/>
      <c r="OMQ45" s="11"/>
      <c r="OPX45" s="47"/>
      <c r="OQC45" s="47"/>
      <c r="OQE45" s="11"/>
      <c r="OTL45" s="47"/>
      <c r="OTQ45" s="47"/>
      <c r="OTS45" s="11"/>
      <c r="OWZ45" s="47"/>
      <c r="OXE45" s="47"/>
      <c r="OXG45" s="11"/>
      <c r="PAN45" s="47"/>
      <c r="PAS45" s="47"/>
      <c r="PAU45" s="11"/>
      <c r="PEB45" s="47"/>
      <c r="PEG45" s="47"/>
      <c r="PEI45" s="11"/>
      <c r="PHP45" s="47"/>
      <c r="PHU45" s="47"/>
      <c r="PHW45" s="11"/>
      <c r="PLD45" s="47"/>
      <c r="PLI45" s="47"/>
      <c r="PLK45" s="11"/>
      <c r="POR45" s="47"/>
      <c r="POW45" s="47"/>
      <c r="POY45" s="11"/>
      <c r="PSF45" s="47"/>
      <c r="PSK45" s="47"/>
      <c r="PSM45" s="11"/>
      <c r="PVT45" s="47"/>
      <c r="PVY45" s="47"/>
      <c r="PWA45" s="11"/>
      <c r="PZH45" s="47"/>
      <c r="PZM45" s="47"/>
      <c r="PZO45" s="11"/>
      <c r="QCV45" s="47"/>
      <c r="QDA45" s="47"/>
      <c r="QDC45" s="11"/>
      <c r="QGJ45" s="47"/>
      <c r="QGO45" s="47"/>
      <c r="QGQ45" s="11"/>
      <c r="QJX45" s="47"/>
      <c r="QKC45" s="47"/>
      <c r="QKE45" s="11"/>
      <c r="QNL45" s="47"/>
      <c r="QNQ45" s="47"/>
      <c r="QNS45" s="11"/>
      <c r="QQZ45" s="47"/>
      <c r="QRE45" s="47"/>
      <c r="QRG45" s="11"/>
      <c r="QUN45" s="47"/>
      <c r="QUS45" s="47"/>
      <c r="QUU45" s="11"/>
      <c r="QYB45" s="47"/>
      <c r="QYG45" s="47"/>
      <c r="QYI45" s="11"/>
      <c r="RBP45" s="47"/>
      <c r="RBU45" s="47"/>
      <c r="RBW45" s="11"/>
      <c r="RFD45" s="47"/>
      <c r="RFI45" s="47"/>
      <c r="RFK45" s="11"/>
      <c r="RIR45" s="47"/>
      <c r="RIW45" s="47"/>
      <c r="RIY45" s="11"/>
      <c r="RMF45" s="47"/>
      <c r="RMK45" s="47"/>
      <c r="RMM45" s="11"/>
      <c r="RPT45" s="47"/>
      <c r="RPY45" s="47"/>
      <c r="RQA45" s="11"/>
      <c r="RTH45" s="47"/>
      <c r="RTM45" s="47"/>
      <c r="RTO45" s="11"/>
      <c r="RWV45" s="47"/>
      <c r="RXA45" s="47"/>
      <c r="RXC45" s="11"/>
      <c r="SAJ45" s="47"/>
      <c r="SAO45" s="47"/>
      <c r="SAQ45" s="11"/>
      <c r="SDX45" s="47"/>
      <c r="SEC45" s="47"/>
      <c r="SEE45" s="11"/>
      <c r="SHL45" s="47"/>
      <c r="SHQ45" s="47"/>
      <c r="SHS45" s="11"/>
      <c r="SKZ45" s="47"/>
      <c r="SLE45" s="47"/>
      <c r="SLG45" s="11"/>
      <c r="SON45" s="47"/>
      <c r="SOS45" s="47"/>
      <c r="SOU45" s="11"/>
      <c r="SSB45" s="47"/>
      <c r="SSG45" s="47"/>
      <c r="SSI45" s="11"/>
      <c r="SVP45" s="47"/>
      <c r="SVU45" s="47"/>
      <c r="SVW45" s="11"/>
      <c r="SZD45" s="47"/>
      <c r="SZI45" s="47"/>
      <c r="SZK45" s="11"/>
      <c r="TCR45" s="47"/>
      <c r="TCW45" s="47"/>
      <c r="TCY45" s="11"/>
      <c r="TGF45" s="47"/>
      <c r="TGK45" s="47"/>
      <c r="TGM45" s="11"/>
      <c r="TJT45" s="47"/>
      <c r="TJY45" s="47"/>
      <c r="TKA45" s="11"/>
      <c r="TNH45" s="47"/>
      <c r="TNM45" s="47"/>
      <c r="TNO45" s="11"/>
      <c r="TQV45" s="47"/>
      <c r="TRA45" s="47"/>
      <c r="TRC45" s="11"/>
      <c r="TUJ45" s="47"/>
      <c r="TUO45" s="47"/>
      <c r="TUQ45" s="11"/>
      <c r="TXX45" s="47"/>
      <c r="TYC45" s="47"/>
      <c r="TYE45" s="11"/>
      <c r="UBL45" s="47"/>
      <c r="UBQ45" s="47"/>
      <c r="UBS45" s="11"/>
      <c r="UEZ45" s="47"/>
      <c r="UFE45" s="47"/>
      <c r="UFG45" s="11"/>
      <c r="UIN45" s="47"/>
      <c r="UIS45" s="47"/>
      <c r="UIU45" s="11"/>
      <c r="UMB45" s="47"/>
      <c r="UMG45" s="47"/>
      <c r="UMI45" s="11"/>
      <c r="UPP45" s="47"/>
      <c r="UPU45" s="47"/>
      <c r="UPW45" s="11"/>
      <c r="UTD45" s="47"/>
      <c r="UTI45" s="47"/>
      <c r="UTK45" s="11"/>
      <c r="UWR45" s="47"/>
      <c r="UWW45" s="47"/>
      <c r="UWY45" s="11"/>
      <c r="VAF45" s="47"/>
      <c r="VAK45" s="47"/>
      <c r="VAM45" s="11"/>
      <c r="VDT45" s="47"/>
      <c r="VDY45" s="47"/>
      <c r="VEA45" s="11"/>
      <c r="VHH45" s="47"/>
      <c r="VHM45" s="47"/>
      <c r="VHO45" s="11"/>
      <c r="VKV45" s="47"/>
      <c r="VLA45" s="47"/>
      <c r="VLC45" s="11"/>
      <c r="VOJ45" s="47"/>
      <c r="VOO45" s="47"/>
      <c r="VOQ45" s="11"/>
      <c r="VRX45" s="47"/>
      <c r="VSC45" s="47"/>
      <c r="VSE45" s="11"/>
      <c r="VVL45" s="47"/>
      <c r="VVQ45" s="47"/>
      <c r="VVS45" s="11"/>
      <c r="VYZ45" s="47"/>
      <c r="VZE45" s="47"/>
      <c r="VZG45" s="11"/>
      <c r="WCN45" s="47"/>
      <c r="WCS45" s="47"/>
      <c r="WCU45" s="11"/>
      <c r="WGB45" s="47"/>
      <c r="WGG45" s="47"/>
      <c r="WGI45" s="11"/>
      <c r="WJP45" s="47"/>
      <c r="WJU45" s="47"/>
      <c r="WJW45" s="11"/>
      <c r="WND45" s="47"/>
      <c r="WNI45" s="47"/>
      <c r="WNK45" s="11"/>
      <c r="WQR45" s="47"/>
      <c r="WQW45" s="47"/>
      <c r="WQY45" s="11"/>
      <c r="WUF45" s="47"/>
      <c r="WUK45" s="47"/>
      <c r="WUM45" s="11"/>
      <c r="WXT45" s="47"/>
      <c r="WXY45" s="47"/>
      <c r="WYA45" s="11"/>
      <c r="XBH45" s="47"/>
      <c r="XBM45" s="47"/>
      <c r="XBO45" s="11"/>
      <c r="XEV45" s="47"/>
      <c r="XFA45" s="47"/>
      <c r="XFC45" s="11"/>
    </row>
    <row r="46" spans="1:1019 1104:2031 2116:3043 3128:4055 4140:5067 5152:6079 6164:7091 7176:8188 8193:9207 9292:10219 10304:11231 11316:12243 12328:13255 13340:14267 14352:15279 15364:16383" s="10" customFormat="1" ht="14.5" customHeight="1" thickBot="1">
      <c r="C46" s="17" t="s">
        <v>1027</v>
      </c>
      <c r="E46" s="47"/>
      <c r="G46" s="11" t="str">
        <f>Monetary_Unit</f>
        <v>тыс. руб.</v>
      </c>
      <c r="I46" s="23">
        <f t="shared" si="37"/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10">
        <v>0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Q46" s="10">
        <v>0</v>
      </c>
      <c r="AR46" s="10">
        <v>0</v>
      </c>
      <c r="AS46" s="10">
        <v>0</v>
      </c>
      <c r="AT46" s="10">
        <v>0</v>
      </c>
      <c r="AU46" s="10">
        <v>0</v>
      </c>
      <c r="AV46" s="10">
        <v>0</v>
      </c>
      <c r="AW46" s="10">
        <v>0</v>
      </c>
      <c r="AX46" s="10">
        <v>0</v>
      </c>
      <c r="AY46" s="10">
        <v>0</v>
      </c>
      <c r="AZ46" s="10">
        <v>0</v>
      </c>
      <c r="BA46" s="10">
        <v>0</v>
      </c>
      <c r="BB46" s="10">
        <v>0</v>
      </c>
      <c r="BC46" s="10">
        <v>0</v>
      </c>
      <c r="BD46" s="10">
        <v>0</v>
      </c>
      <c r="BE46" s="10">
        <v>0</v>
      </c>
      <c r="BF46" s="10">
        <v>0</v>
      </c>
      <c r="BG46" s="10">
        <v>0</v>
      </c>
      <c r="BH46" s="10">
        <v>0</v>
      </c>
      <c r="BI46" s="10">
        <v>0</v>
      </c>
      <c r="BJ46" s="10">
        <v>0</v>
      </c>
      <c r="BK46" s="10">
        <v>0</v>
      </c>
      <c r="BL46" s="10">
        <v>0</v>
      </c>
      <c r="BM46" s="10">
        <v>0</v>
      </c>
      <c r="BN46" s="10">
        <v>0</v>
      </c>
      <c r="BO46" s="10">
        <v>0</v>
      </c>
      <c r="BP46" s="10">
        <v>0</v>
      </c>
      <c r="BQ46" s="10">
        <v>0</v>
      </c>
      <c r="BR46" s="10">
        <v>0</v>
      </c>
      <c r="BS46" s="10">
        <v>0</v>
      </c>
      <c r="BT46" s="10">
        <v>0</v>
      </c>
      <c r="BU46" s="10">
        <v>0</v>
      </c>
      <c r="BV46" s="10">
        <v>0</v>
      </c>
      <c r="BW46" s="10">
        <v>0</v>
      </c>
      <c r="BX46" s="10">
        <v>0</v>
      </c>
      <c r="BY46" s="10">
        <v>0</v>
      </c>
      <c r="BZ46" s="10">
        <v>0</v>
      </c>
      <c r="CA46" s="10">
        <v>0</v>
      </c>
      <c r="CB46" s="10">
        <v>0</v>
      </c>
      <c r="CC46" s="10">
        <v>0</v>
      </c>
      <c r="CD46" s="10">
        <v>0</v>
      </c>
      <c r="CE46" s="10">
        <v>0</v>
      </c>
      <c r="CF46" s="10">
        <v>0</v>
      </c>
      <c r="CG46" s="10">
        <v>0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S46" s="47"/>
      <c r="CU46" s="11"/>
      <c r="GB46" s="47"/>
      <c r="GG46" s="47"/>
      <c r="GI46" s="11"/>
      <c r="JP46" s="47"/>
      <c r="JU46" s="47"/>
      <c r="JW46" s="11"/>
      <c r="ND46" s="47"/>
      <c r="NI46" s="47"/>
      <c r="NK46" s="11"/>
      <c r="QR46" s="47"/>
      <c r="QW46" s="47"/>
      <c r="QY46" s="11"/>
      <c r="UF46" s="47"/>
      <c r="UK46" s="47"/>
      <c r="UM46" s="11"/>
      <c r="XT46" s="47"/>
      <c r="XY46" s="47"/>
      <c r="YA46" s="11"/>
      <c r="ABH46" s="47"/>
      <c r="ABM46" s="47"/>
      <c r="ABO46" s="11"/>
      <c r="AEV46" s="47"/>
      <c r="AFA46" s="47"/>
      <c r="AFC46" s="11"/>
      <c r="AIJ46" s="47"/>
      <c r="AIO46" s="47"/>
      <c r="AIQ46" s="11"/>
      <c r="ALX46" s="47"/>
      <c r="AMC46" s="47"/>
      <c r="AME46" s="11"/>
      <c r="APL46" s="47"/>
      <c r="APQ46" s="47"/>
      <c r="APS46" s="11"/>
      <c r="ASZ46" s="47"/>
      <c r="ATE46" s="47"/>
      <c r="ATG46" s="11"/>
      <c r="AWN46" s="47"/>
      <c r="AWS46" s="47"/>
      <c r="AWU46" s="11"/>
      <c r="BAB46" s="47"/>
      <c r="BAG46" s="47"/>
      <c r="BAI46" s="11"/>
      <c r="BDP46" s="47"/>
      <c r="BDU46" s="47"/>
      <c r="BDW46" s="11"/>
      <c r="BHD46" s="47"/>
      <c r="BHI46" s="47"/>
      <c r="BHK46" s="11"/>
      <c r="BKR46" s="47"/>
      <c r="BKW46" s="47"/>
      <c r="BKY46" s="11"/>
      <c r="BOF46" s="47"/>
      <c r="BOK46" s="47"/>
      <c r="BOM46" s="11"/>
      <c r="BRT46" s="47"/>
      <c r="BRY46" s="47"/>
      <c r="BSA46" s="11"/>
      <c r="BVH46" s="47"/>
      <c r="BVM46" s="47"/>
      <c r="BVO46" s="11"/>
      <c r="BYV46" s="47"/>
      <c r="BZA46" s="47"/>
      <c r="BZC46" s="11"/>
      <c r="CCJ46" s="47"/>
      <c r="CCO46" s="47"/>
      <c r="CCQ46" s="11"/>
      <c r="CFX46" s="47"/>
      <c r="CGC46" s="47"/>
      <c r="CGE46" s="11"/>
      <c r="CJL46" s="47"/>
      <c r="CJQ46" s="47"/>
      <c r="CJS46" s="11"/>
      <c r="CMZ46" s="47"/>
      <c r="CNE46" s="47"/>
      <c r="CNG46" s="11"/>
      <c r="CQN46" s="47"/>
      <c r="CQS46" s="47"/>
      <c r="CQU46" s="11"/>
      <c r="CUB46" s="47"/>
      <c r="CUG46" s="47"/>
      <c r="CUI46" s="11"/>
      <c r="CXP46" s="47"/>
      <c r="CXU46" s="47"/>
      <c r="CXW46" s="11"/>
      <c r="DBD46" s="47"/>
      <c r="DBI46" s="47"/>
      <c r="DBK46" s="11"/>
      <c r="DER46" s="47"/>
      <c r="DEW46" s="47"/>
      <c r="DEY46" s="11"/>
      <c r="DIF46" s="47"/>
      <c r="DIK46" s="47"/>
      <c r="DIM46" s="11"/>
      <c r="DLT46" s="47"/>
      <c r="DLY46" s="47"/>
      <c r="DMA46" s="11"/>
      <c r="DPH46" s="47"/>
      <c r="DPM46" s="47"/>
      <c r="DPO46" s="11"/>
      <c r="DSV46" s="47"/>
      <c r="DTA46" s="47"/>
      <c r="DTC46" s="11"/>
      <c r="DWJ46" s="47"/>
      <c r="DWO46" s="47"/>
      <c r="DWQ46" s="11"/>
      <c r="DZX46" s="47"/>
      <c r="EAC46" s="47"/>
      <c r="EAE46" s="11"/>
      <c r="EDL46" s="47"/>
      <c r="EDQ46" s="47"/>
      <c r="EDS46" s="11"/>
      <c r="EGZ46" s="47"/>
      <c r="EHE46" s="47"/>
      <c r="EHG46" s="11"/>
      <c r="EKN46" s="47"/>
      <c r="EKS46" s="47"/>
      <c r="EKU46" s="11"/>
      <c r="EOB46" s="47"/>
      <c r="EOG46" s="47"/>
      <c r="EOI46" s="11"/>
      <c r="ERP46" s="47"/>
      <c r="ERU46" s="47"/>
      <c r="ERW46" s="11"/>
      <c r="EVD46" s="47"/>
      <c r="EVI46" s="47"/>
      <c r="EVK46" s="11"/>
      <c r="EYR46" s="47"/>
      <c r="EYW46" s="47"/>
      <c r="EYY46" s="11"/>
      <c r="FCF46" s="47"/>
      <c r="FCK46" s="47"/>
      <c r="FCM46" s="11"/>
      <c r="FFT46" s="47"/>
      <c r="FFY46" s="47"/>
      <c r="FGA46" s="11"/>
      <c r="FJH46" s="47"/>
      <c r="FJM46" s="47"/>
      <c r="FJO46" s="11"/>
      <c r="FMV46" s="47"/>
      <c r="FNA46" s="47"/>
      <c r="FNC46" s="11"/>
      <c r="FQJ46" s="47"/>
      <c r="FQO46" s="47"/>
      <c r="FQQ46" s="11"/>
      <c r="FTX46" s="47"/>
      <c r="FUC46" s="47"/>
      <c r="FUE46" s="11"/>
      <c r="FXL46" s="47"/>
      <c r="FXQ46" s="47"/>
      <c r="FXS46" s="11"/>
      <c r="GAZ46" s="47"/>
      <c r="GBE46" s="47"/>
      <c r="GBG46" s="11"/>
      <c r="GEN46" s="47"/>
      <c r="GES46" s="47"/>
      <c r="GEU46" s="11"/>
      <c r="GIB46" s="47"/>
      <c r="GIG46" s="47"/>
      <c r="GII46" s="11"/>
      <c r="GLP46" s="47"/>
      <c r="GLU46" s="47"/>
      <c r="GLW46" s="11"/>
      <c r="GPD46" s="47"/>
      <c r="GPI46" s="47"/>
      <c r="GPK46" s="11"/>
      <c r="GSR46" s="47"/>
      <c r="GSW46" s="47"/>
      <c r="GSY46" s="11"/>
      <c r="GWF46" s="47"/>
      <c r="GWK46" s="47"/>
      <c r="GWM46" s="11"/>
      <c r="GZT46" s="47"/>
      <c r="GZY46" s="47"/>
      <c r="HAA46" s="11"/>
      <c r="HDH46" s="47"/>
      <c r="HDM46" s="47"/>
      <c r="HDO46" s="11"/>
      <c r="HGV46" s="47"/>
      <c r="HHA46" s="47"/>
      <c r="HHC46" s="11"/>
      <c r="HKJ46" s="47"/>
      <c r="HKO46" s="47"/>
      <c r="HKQ46" s="11"/>
      <c r="HNX46" s="47"/>
      <c r="HOC46" s="47"/>
      <c r="HOE46" s="11"/>
      <c r="HRL46" s="47"/>
      <c r="HRQ46" s="47"/>
      <c r="HRS46" s="11"/>
      <c r="HUZ46" s="47"/>
      <c r="HVE46" s="47"/>
      <c r="HVG46" s="11"/>
      <c r="HYN46" s="47"/>
      <c r="HYS46" s="47"/>
      <c r="HYU46" s="11"/>
      <c r="ICB46" s="47"/>
      <c r="ICG46" s="47"/>
      <c r="ICI46" s="11"/>
      <c r="IFP46" s="47"/>
      <c r="IFU46" s="47"/>
      <c r="IFW46" s="11"/>
      <c r="IJD46" s="47"/>
      <c r="IJI46" s="47"/>
      <c r="IJK46" s="11"/>
      <c r="IMR46" s="47"/>
      <c r="IMW46" s="47"/>
      <c r="IMY46" s="11"/>
      <c r="IQF46" s="47"/>
      <c r="IQK46" s="47"/>
      <c r="IQM46" s="11"/>
      <c r="ITT46" s="47"/>
      <c r="ITY46" s="47"/>
      <c r="IUA46" s="11"/>
      <c r="IXH46" s="47"/>
      <c r="IXM46" s="47"/>
      <c r="IXO46" s="11"/>
      <c r="JAV46" s="47"/>
      <c r="JBA46" s="47"/>
      <c r="JBC46" s="11"/>
      <c r="JEJ46" s="47"/>
      <c r="JEO46" s="47"/>
      <c r="JEQ46" s="11"/>
      <c r="JHX46" s="47"/>
      <c r="JIC46" s="47"/>
      <c r="JIE46" s="11"/>
      <c r="JLL46" s="47"/>
      <c r="JLQ46" s="47"/>
      <c r="JLS46" s="11"/>
      <c r="JOZ46" s="47"/>
      <c r="JPE46" s="47"/>
      <c r="JPG46" s="11"/>
      <c r="JSN46" s="47"/>
      <c r="JSS46" s="47"/>
      <c r="JSU46" s="11"/>
      <c r="JWB46" s="47"/>
      <c r="JWG46" s="47"/>
      <c r="JWI46" s="11"/>
      <c r="JZP46" s="47"/>
      <c r="JZU46" s="47"/>
      <c r="JZW46" s="11"/>
      <c r="KDD46" s="47"/>
      <c r="KDI46" s="47"/>
      <c r="KDK46" s="11"/>
      <c r="KGR46" s="47"/>
      <c r="KGW46" s="47"/>
      <c r="KGY46" s="11"/>
      <c r="KKF46" s="47"/>
      <c r="KKK46" s="47"/>
      <c r="KKM46" s="11"/>
      <c r="KNT46" s="47"/>
      <c r="KNY46" s="47"/>
      <c r="KOA46" s="11"/>
      <c r="KRH46" s="47"/>
      <c r="KRM46" s="47"/>
      <c r="KRO46" s="11"/>
      <c r="KUV46" s="47"/>
      <c r="KVA46" s="47"/>
      <c r="KVC46" s="11"/>
      <c r="KYJ46" s="47"/>
      <c r="KYO46" s="47"/>
      <c r="KYQ46" s="11"/>
      <c r="LBX46" s="47"/>
      <c r="LCC46" s="47"/>
      <c r="LCE46" s="11"/>
      <c r="LFL46" s="47"/>
      <c r="LFQ46" s="47"/>
      <c r="LFS46" s="11"/>
      <c r="LIZ46" s="47"/>
      <c r="LJE46" s="47"/>
      <c r="LJG46" s="11"/>
      <c r="LMN46" s="47"/>
      <c r="LMS46" s="47"/>
      <c r="LMU46" s="11"/>
      <c r="LQB46" s="47"/>
      <c r="LQG46" s="47"/>
      <c r="LQI46" s="11"/>
      <c r="LTP46" s="47"/>
      <c r="LTU46" s="47"/>
      <c r="LTW46" s="11"/>
      <c r="LXD46" s="47"/>
      <c r="LXI46" s="47"/>
      <c r="LXK46" s="11"/>
      <c r="MAR46" s="47"/>
      <c r="MAW46" s="47"/>
      <c r="MAY46" s="11"/>
      <c r="MEF46" s="47"/>
      <c r="MEK46" s="47"/>
      <c r="MEM46" s="11"/>
      <c r="MHT46" s="47"/>
      <c r="MHY46" s="47"/>
      <c r="MIA46" s="11"/>
      <c r="MLH46" s="47"/>
      <c r="MLM46" s="47"/>
      <c r="MLO46" s="11"/>
      <c r="MOV46" s="47"/>
      <c r="MPA46" s="47"/>
      <c r="MPC46" s="11"/>
      <c r="MSJ46" s="47"/>
      <c r="MSO46" s="47"/>
      <c r="MSQ46" s="11"/>
      <c r="MVX46" s="47"/>
      <c r="MWC46" s="47"/>
      <c r="MWE46" s="11"/>
      <c r="MZL46" s="47"/>
      <c r="MZQ46" s="47"/>
      <c r="MZS46" s="11"/>
      <c r="NCZ46" s="47"/>
      <c r="NDE46" s="47"/>
      <c r="NDG46" s="11"/>
      <c r="NGN46" s="47"/>
      <c r="NGS46" s="47"/>
      <c r="NGU46" s="11"/>
      <c r="NKB46" s="47"/>
      <c r="NKG46" s="47"/>
      <c r="NKI46" s="11"/>
      <c r="NNP46" s="47"/>
      <c r="NNU46" s="47"/>
      <c r="NNW46" s="11"/>
      <c r="NRD46" s="47"/>
      <c r="NRI46" s="47"/>
      <c r="NRK46" s="11"/>
      <c r="NUR46" s="47"/>
      <c r="NUW46" s="47"/>
      <c r="NUY46" s="11"/>
      <c r="NYF46" s="47"/>
      <c r="NYK46" s="47"/>
      <c r="NYM46" s="11"/>
      <c r="OBT46" s="47"/>
      <c r="OBY46" s="47"/>
      <c r="OCA46" s="11"/>
      <c r="OFH46" s="47"/>
      <c r="OFM46" s="47"/>
      <c r="OFO46" s="11"/>
      <c r="OIV46" s="47"/>
      <c r="OJA46" s="47"/>
      <c r="OJC46" s="11"/>
      <c r="OMJ46" s="47"/>
      <c r="OMO46" s="47"/>
      <c r="OMQ46" s="11"/>
      <c r="OPX46" s="47"/>
      <c r="OQC46" s="47"/>
      <c r="OQE46" s="11"/>
      <c r="OTL46" s="47"/>
      <c r="OTQ46" s="47"/>
      <c r="OTS46" s="11"/>
      <c r="OWZ46" s="47"/>
      <c r="OXE46" s="47"/>
      <c r="OXG46" s="11"/>
      <c r="PAN46" s="47"/>
      <c r="PAS46" s="47"/>
      <c r="PAU46" s="11"/>
      <c r="PEB46" s="47"/>
      <c r="PEG46" s="47"/>
      <c r="PEI46" s="11"/>
      <c r="PHP46" s="47"/>
      <c r="PHU46" s="47"/>
      <c r="PHW46" s="11"/>
      <c r="PLD46" s="47"/>
      <c r="PLI46" s="47"/>
      <c r="PLK46" s="11"/>
      <c r="POR46" s="47"/>
      <c r="POW46" s="47"/>
      <c r="POY46" s="11"/>
      <c r="PSF46" s="47"/>
      <c r="PSK46" s="47"/>
      <c r="PSM46" s="11"/>
      <c r="PVT46" s="47"/>
      <c r="PVY46" s="47"/>
      <c r="PWA46" s="11"/>
      <c r="PZH46" s="47"/>
      <c r="PZM46" s="47"/>
      <c r="PZO46" s="11"/>
      <c r="QCV46" s="47"/>
      <c r="QDA46" s="47"/>
      <c r="QDC46" s="11"/>
      <c r="QGJ46" s="47"/>
      <c r="QGO46" s="47"/>
      <c r="QGQ46" s="11"/>
      <c r="QJX46" s="47"/>
      <c r="QKC46" s="47"/>
      <c r="QKE46" s="11"/>
      <c r="QNL46" s="47"/>
      <c r="QNQ46" s="47"/>
      <c r="QNS46" s="11"/>
      <c r="QQZ46" s="47"/>
      <c r="QRE46" s="47"/>
      <c r="QRG46" s="11"/>
      <c r="QUN46" s="47"/>
      <c r="QUS46" s="47"/>
      <c r="QUU46" s="11"/>
      <c r="QYB46" s="47"/>
      <c r="QYG46" s="47"/>
      <c r="QYI46" s="11"/>
      <c r="RBP46" s="47"/>
      <c r="RBU46" s="47"/>
      <c r="RBW46" s="11"/>
      <c r="RFD46" s="47"/>
      <c r="RFI46" s="47"/>
      <c r="RFK46" s="11"/>
      <c r="RIR46" s="47"/>
      <c r="RIW46" s="47"/>
      <c r="RIY46" s="11"/>
      <c r="RMF46" s="47"/>
      <c r="RMK46" s="47"/>
      <c r="RMM46" s="11"/>
      <c r="RPT46" s="47"/>
      <c r="RPY46" s="47"/>
      <c r="RQA46" s="11"/>
      <c r="RTH46" s="47"/>
      <c r="RTM46" s="47"/>
      <c r="RTO46" s="11"/>
      <c r="RWV46" s="47"/>
      <c r="RXA46" s="47"/>
      <c r="RXC46" s="11"/>
      <c r="SAJ46" s="47"/>
      <c r="SAO46" s="47"/>
      <c r="SAQ46" s="11"/>
      <c r="SDX46" s="47"/>
      <c r="SEC46" s="47"/>
      <c r="SEE46" s="11"/>
      <c r="SHL46" s="47"/>
      <c r="SHQ46" s="47"/>
      <c r="SHS46" s="11"/>
      <c r="SKZ46" s="47"/>
      <c r="SLE46" s="47"/>
      <c r="SLG46" s="11"/>
      <c r="SON46" s="47"/>
      <c r="SOS46" s="47"/>
      <c r="SOU46" s="11"/>
      <c r="SSB46" s="47"/>
      <c r="SSG46" s="47"/>
      <c r="SSI46" s="11"/>
      <c r="SVP46" s="47"/>
      <c r="SVU46" s="47"/>
      <c r="SVW46" s="11"/>
      <c r="SZD46" s="47"/>
      <c r="SZI46" s="47"/>
      <c r="SZK46" s="11"/>
      <c r="TCR46" s="47"/>
      <c r="TCW46" s="47"/>
      <c r="TCY46" s="11"/>
      <c r="TGF46" s="47"/>
      <c r="TGK46" s="47"/>
      <c r="TGM46" s="11"/>
      <c r="TJT46" s="47"/>
      <c r="TJY46" s="47"/>
      <c r="TKA46" s="11"/>
      <c r="TNH46" s="47"/>
      <c r="TNM46" s="47"/>
      <c r="TNO46" s="11"/>
      <c r="TQV46" s="47"/>
      <c r="TRA46" s="47"/>
      <c r="TRC46" s="11"/>
      <c r="TUJ46" s="47"/>
      <c r="TUO46" s="47"/>
      <c r="TUQ46" s="11"/>
      <c r="TXX46" s="47"/>
      <c r="TYC46" s="47"/>
      <c r="TYE46" s="11"/>
      <c r="UBL46" s="47"/>
      <c r="UBQ46" s="47"/>
      <c r="UBS46" s="11"/>
      <c r="UEZ46" s="47"/>
      <c r="UFE46" s="47"/>
      <c r="UFG46" s="11"/>
      <c r="UIN46" s="47"/>
      <c r="UIS46" s="47"/>
      <c r="UIU46" s="11"/>
      <c r="UMB46" s="47"/>
      <c r="UMG46" s="47"/>
      <c r="UMI46" s="11"/>
      <c r="UPP46" s="47"/>
      <c r="UPU46" s="47"/>
      <c r="UPW46" s="11"/>
      <c r="UTD46" s="47"/>
      <c r="UTI46" s="47"/>
      <c r="UTK46" s="11"/>
      <c r="UWR46" s="47"/>
      <c r="UWW46" s="47"/>
      <c r="UWY46" s="11"/>
      <c r="VAF46" s="47"/>
      <c r="VAK46" s="47"/>
      <c r="VAM46" s="11"/>
      <c r="VDT46" s="47"/>
      <c r="VDY46" s="47"/>
      <c r="VEA46" s="11"/>
      <c r="VHH46" s="47"/>
      <c r="VHM46" s="47"/>
      <c r="VHO46" s="11"/>
      <c r="VKV46" s="47"/>
      <c r="VLA46" s="47"/>
      <c r="VLC46" s="11"/>
      <c r="VOJ46" s="47"/>
      <c r="VOO46" s="47"/>
      <c r="VOQ46" s="11"/>
      <c r="VRX46" s="47"/>
      <c r="VSC46" s="47"/>
      <c r="VSE46" s="11"/>
      <c r="VVL46" s="47"/>
      <c r="VVQ46" s="47"/>
      <c r="VVS46" s="11"/>
      <c r="VYZ46" s="47"/>
      <c r="VZE46" s="47"/>
      <c r="VZG46" s="11"/>
      <c r="WCN46" s="47"/>
      <c r="WCS46" s="47"/>
      <c r="WCU46" s="11"/>
      <c r="WGB46" s="47"/>
      <c r="WGG46" s="47"/>
      <c r="WGI46" s="11"/>
      <c r="WJP46" s="47"/>
      <c r="WJU46" s="47"/>
      <c r="WJW46" s="11"/>
      <c r="WND46" s="47"/>
      <c r="WNI46" s="47"/>
      <c r="WNK46" s="11"/>
      <c r="WQR46" s="47"/>
      <c r="WQW46" s="47"/>
      <c r="WQY46" s="11"/>
      <c r="WUF46" s="47"/>
      <c r="WUK46" s="47"/>
      <c r="WUM46" s="11"/>
      <c r="WXT46" s="47"/>
      <c r="WXY46" s="47"/>
      <c r="WYA46" s="11"/>
      <c r="XBH46" s="47"/>
      <c r="XBM46" s="47"/>
      <c r="XBO46" s="11"/>
      <c r="XEV46" s="47"/>
      <c r="XFA46" s="47"/>
      <c r="XFC46" s="11"/>
    </row>
    <row r="47" spans="1:1019 1104:2031 2116:3043 3128:4055 4140:5067 5152:6079 6164:7091 7176:8188 8193:9207 9292:10219 10304:11231 11316:12243 12328:13255 13340:14267 14352:15279 15364:16383" s="141" customFormat="1" ht="15" customHeight="1" thickTop="1">
      <c r="A47" s="153"/>
      <c r="B47" s="153"/>
      <c r="C47" s="49" t="s">
        <v>1028</v>
      </c>
      <c r="D47" s="49"/>
      <c r="E47" s="49"/>
      <c r="F47" s="49"/>
      <c r="G47" s="159" t="str">
        <f>Monetary_Unit</f>
        <v>тыс. руб.</v>
      </c>
      <c r="H47" s="49"/>
      <c r="I47" s="176">
        <f t="shared" si="37"/>
        <v>0</v>
      </c>
      <c r="J47" s="49"/>
      <c r="K47" s="49"/>
      <c r="L47" s="49">
        <f t="shared" ref="L47:BS47" si="38">SUM(L45:L46)</f>
        <v>0</v>
      </c>
      <c r="M47" s="49">
        <f t="shared" si="38"/>
        <v>0</v>
      </c>
      <c r="N47" s="49">
        <f t="shared" si="38"/>
        <v>0</v>
      </c>
      <c r="O47" s="49">
        <f t="shared" si="38"/>
        <v>0</v>
      </c>
      <c r="P47" s="49">
        <f t="shared" si="38"/>
        <v>0</v>
      </c>
      <c r="Q47" s="49">
        <f t="shared" si="38"/>
        <v>0</v>
      </c>
      <c r="R47" s="49">
        <f t="shared" si="38"/>
        <v>0</v>
      </c>
      <c r="S47" s="49">
        <f t="shared" si="38"/>
        <v>0</v>
      </c>
      <c r="T47" s="49">
        <f t="shared" si="38"/>
        <v>0</v>
      </c>
      <c r="U47" s="49">
        <f t="shared" si="38"/>
        <v>0</v>
      </c>
      <c r="V47" s="49">
        <f t="shared" si="38"/>
        <v>0</v>
      </c>
      <c r="W47" s="49">
        <f t="shared" si="38"/>
        <v>0</v>
      </c>
      <c r="X47" s="49">
        <f t="shared" si="38"/>
        <v>0</v>
      </c>
      <c r="Y47" s="49">
        <f t="shared" si="38"/>
        <v>0</v>
      </c>
      <c r="Z47" s="49">
        <f t="shared" si="38"/>
        <v>0</v>
      </c>
      <c r="AA47" s="49">
        <f t="shared" si="38"/>
        <v>0</v>
      </c>
      <c r="AB47" s="49">
        <f t="shared" si="38"/>
        <v>0</v>
      </c>
      <c r="AC47" s="49">
        <f t="shared" si="38"/>
        <v>0</v>
      </c>
      <c r="AD47" s="49">
        <f t="shared" si="38"/>
        <v>0</v>
      </c>
      <c r="AE47" s="49">
        <f t="shared" si="38"/>
        <v>0</v>
      </c>
      <c r="AF47" s="49">
        <f t="shared" si="38"/>
        <v>0</v>
      </c>
      <c r="AG47" s="49">
        <f t="shared" si="38"/>
        <v>0</v>
      </c>
      <c r="AH47" s="49">
        <f t="shared" si="38"/>
        <v>0</v>
      </c>
      <c r="AI47" s="49">
        <f t="shared" si="38"/>
        <v>0</v>
      </c>
      <c r="AJ47" s="49">
        <f t="shared" si="38"/>
        <v>0</v>
      </c>
      <c r="AK47" s="49">
        <f t="shared" si="38"/>
        <v>0</v>
      </c>
      <c r="AL47" s="49">
        <f t="shared" si="38"/>
        <v>0</v>
      </c>
      <c r="AM47" s="49">
        <f t="shared" si="38"/>
        <v>0</v>
      </c>
      <c r="AN47" s="49">
        <f t="shared" si="38"/>
        <v>0</v>
      </c>
      <c r="AO47" s="49">
        <f t="shared" si="38"/>
        <v>0</v>
      </c>
      <c r="AP47" s="49">
        <f t="shared" si="38"/>
        <v>0</v>
      </c>
      <c r="AQ47" s="49">
        <f t="shared" si="38"/>
        <v>0</v>
      </c>
      <c r="AR47" s="49">
        <f t="shared" si="38"/>
        <v>0</v>
      </c>
      <c r="AS47" s="49">
        <f t="shared" si="38"/>
        <v>0</v>
      </c>
      <c r="AT47" s="49">
        <f t="shared" si="38"/>
        <v>0</v>
      </c>
      <c r="AU47" s="49">
        <f t="shared" si="38"/>
        <v>0</v>
      </c>
      <c r="AV47" s="49">
        <f t="shared" si="38"/>
        <v>0</v>
      </c>
      <c r="AW47" s="49">
        <f t="shared" si="38"/>
        <v>0</v>
      </c>
      <c r="AX47" s="49">
        <f t="shared" si="38"/>
        <v>0</v>
      </c>
      <c r="AY47" s="49">
        <f t="shared" si="38"/>
        <v>0</v>
      </c>
      <c r="AZ47" s="49">
        <f t="shared" si="38"/>
        <v>0</v>
      </c>
      <c r="BA47" s="49">
        <f t="shared" si="38"/>
        <v>0</v>
      </c>
      <c r="BB47" s="49">
        <f t="shared" si="38"/>
        <v>0</v>
      </c>
      <c r="BC47" s="49">
        <f t="shared" si="38"/>
        <v>0</v>
      </c>
      <c r="BD47" s="49">
        <f t="shared" si="38"/>
        <v>0</v>
      </c>
      <c r="BE47" s="49">
        <f t="shared" si="38"/>
        <v>0</v>
      </c>
      <c r="BF47" s="49">
        <f t="shared" si="38"/>
        <v>0</v>
      </c>
      <c r="BG47" s="49">
        <f t="shared" si="38"/>
        <v>0</v>
      </c>
      <c r="BH47" s="49">
        <f t="shared" si="38"/>
        <v>0</v>
      </c>
      <c r="BI47" s="49">
        <f t="shared" si="38"/>
        <v>0</v>
      </c>
      <c r="BJ47" s="49">
        <f t="shared" si="38"/>
        <v>0</v>
      </c>
      <c r="BK47" s="49">
        <f t="shared" si="38"/>
        <v>0</v>
      </c>
      <c r="BL47" s="49">
        <f t="shared" si="38"/>
        <v>0</v>
      </c>
      <c r="BM47" s="49">
        <f t="shared" si="38"/>
        <v>0</v>
      </c>
      <c r="BN47" s="49">
        <f t="shared" si="38"/>
        <v>0</v>
      </c>
      <c r="BO47" s="49">
        <f t="shared" si="38"/>
        <v>0</v>
      </c>
      <c r="BP47" s="49">
        <f t="shared" si="38"/>
        <v>0</v>
      </c>
      <c r="BQ47" s="49">
        <f t="shared" si="38"/>
        <v>0</v>
      </c>
      <c r="BR47" s="49">
        <f t="shared" si="38"/>
        <v>0</v>
      </c>
      <c r="BS47" s="49">
        <f t="shared" si="38"/>
        <v>0</v>
      </c>
      <c r="BT47" s="49">
        <f>SUM(BT45:BT46)</f>
        <v>0</v>
      </c>
      <c r="BU47" s="49">
        <f t="shared" ref="BU47:CM47" si="39">SUM(BU45:BU46)</f>
        <v>0</v>
      </c>
      <c r="BV47" s="49">
        <f t="shared" si="39"/>
        <v>0</v>
      </c>
      <c r="BW47" s="49">
        <f t="shared" si="39"/>
        <v>0</v>
      </c>
      <c r="BX47" s="49">
        <f t="shared" si="39"/>
        <v>0</v>
      </c>
      <c r="BY47" s="49">
        <f t="shared" si="39"/>
        <v>0</v>
      </c>
      <c r="BZ47" s="49">
        <f t="shared" si="39"/>
        <v>0</v>
      </c>
      <c r="CA47" s="49">
        <f t="shared" si="39"/>
        <v>0</v>
      </c>
      <c r="CB47" s="49">
        <f t="shared" si="39"/>
        <v>0</v>
      </c>
      <c r="CC47" s="49">
        <f t="shared" si="39"/>
        <v>0</v>
      </c>
      <c r="CD47" s="49">
        <f t="shared" si="39"/>
        <v>0</v>
      </c>
      <c r="CE47" s="49">
        <f t="shared" si="39"/>
        <v>0</v>
      </c>
      <c r="CF47" s="49">
        <f t="shared" si="39"/>
        <v>0</v>
      </c>
      <c r="CG47" s="49">
        <f t="shared" si="39"/>
        <v>0</v>
      </c>
      <c r="CH47" s="49">
        <f t="shared" si="39"/>
        <v>0</v>
      </c>
      <c r="CI47" s="49">
        <f t="shared" si="39"/>
        <v>0</v>
      </c>
      <c r="CJ47" s="49">
        <f t="shared" si="39"/>
        <v>0</v>
      </c>
      <c r="CK47" s="49">
        <f t="shared" si="39"/>
        <v>0</v>
      </c>
      <c r="CL47" s="49">
        <f t="shared" si="39"/>
        <v>0</v>
      </c>
      <c r="CM47" s="49">
        <f t="shared" si="39"/>
        <v>0</v>
      </c>
      <c r="CN47" s="49">
        <f t="shared" ref="CN47:CO47" si="40">SUM(CN45:CN46)</f>
        <v>0</v>
      </c>
      <c r="CO47" s="49">
        <f t="shared" si="40"/>
        <v>0</v>
      </c>
    </row>
    <row r="48" spans="1:1019 1104:2031 2116:3043 3128:4055 4140:5067 5152:6079 6164:7091 7176:8188 8193:9207 9292:10219 10304:11231 11316:12243 12328:13255 13340:14267 14352:15279 15364:16383" s="10" customFormat="1" ht="14.5" customHeight="1">
      <c r="E48" s="47"/>
      <c r="G48" s="11"/>
      <c r="CS48" s="47"/>
      <c r="CU48" s="11"/>
      <c r="GB48" s="47"/>
      <c r="GG48" s="47"/>
      <c r="GI48" s="11"/>
      <c r="JP48" s="47"/>
      <c r="JU48" s="47"/>
      <c r="JW48" s="11"/>
      <c r="ND48" s="47"/>
      <c r="NI48" s="47"/>
      <c r="NK48" s="11"/>
      <c r="QR48" s="47"/>
      <c r="QW48" s="47"/>
      <c r="QY48" s="11"/>
      <c r="UF48" s="47"/>
      <c r="UK48" s="47"/>
      <c r="UM48" s="11"/>
      <c r="XT48" s="47"/>
      <c r="XY48" s="47"/>
      <c r="YA48" s="11"/>
      <c r="ABH48" s="47"/>
      <c r="ABM48" s="47"/>
      <c r="ABO48" s="11"/>
      <c r="AEV48" s="47"/>
      <c r="AFA48" s="47"/>
      <c r="AFC48" s="11"/>
      <c r="AIJ48" s="47"/>
      <c r="AIO48" s="47"/>
      <c r="AIQ48" s="11"/>
      <c r="ALX48" s="47"/>
      <c r="AMC48" s="47"/>
      <c r="AME48" s="11"/>
      <c r="APL48" s="47"/>
      <c r="APQ48" s="47"/>
      <c r="APS48" s="11"/>
      <c r="ASZ48" s="47"/>
      <c r="ATE48" s="47"/>
      <c r="ATG48" s="11"/>
      <c r="AWN48" s="47"/>
      <c r="AWS48" s="47"/>
      <c r="AWU48" s="11"/>
      <c r="BAB48" s="47"/>
      <c r="BAG48" s="47"/>
      <c r="BAI48" s="11"/>
      <c r="BDP48" s="47"/>
      <c r="BDU48" s="47"/>
      <c r="BDW48" s="11"/>
      <c r="BHD48" s="47"/>
      <c r="BHI48" s="47"/>
      <c r="BHK48" s="11"/>
      <c r="BKR48" s="47"/>
      <c r="BKW48" s="47"/>
      <c r="BKY48" s="11"/>
      <c r="BOF48" s="47"/>
      <c r="BOK48" s="47"/>
      <c r="BOM48" s="11"/>
      <c r="BRT48" s="47"/>
      <c r="BRY48" s="47"/>
      <c r="BSA48" s="11"/>
      <c r="BVH48" s="47"/>
      <c r="BVM48" s="47"/>
      <c r="BVO48" s="11"/>
      <c r="BYV48" s="47"/>
      <c r="BZA48" s="47"/>
      <c r="BZC48" s="11"/>
      <c r="CCJ48" s="47"/>
      <c r="CCO48" s="47"/>
      <c r="CCQ48" s="11"/>
      <c r="CFX48" s="47"/>
      <c r="CGC48" s="47"/>
      <c r="CGE48" s="11"/>
      <c r="CJL48" s="47"/>
      <c r="CJQ48" s="47"/>
      <c r="CJS48" s="11"/>
      <c r="CMZ48" s="47"/>
      <c r="CNE48" s="47"/>
      <c r="CNG48" s="11"/>
      <c r="CQN48" s="47"/>
      <c r="CQS48" s="47"/>
      <c r="CQU48" s="11"/>
      <c r="CUB48" s="47"/>
      <c r="CUG48" s="47"/>
      <c r="CUI48" s="11"/>
      <c r="CXP48" s="47"/>
      <c r="CXU48" s="47"/>
      <c r="CXW48" s="11"/>
      <c r="DBD48" s="47"/>
      <c r="DBI48" s="47"/>
      <c r="DBK48" s="11"/>
      <c r="DER48" s="47"/>
      <c r="DEW48" s="47"/>
      <c r="DEY48" s="11"/>
      <c r="DIF48" s="47"/>
      <c r="DIK48" s="47"/>
      <c r="DIM48" s="11"/>
      <c r="DLT48" s="47"/>
      <c r="DLY48" s="47"/>
      <c r="DMA48" s="11"/>
      <c r="DPH48" s="47"/>
      <c r="DPM48" s="47"/>
      <c r="DPO48" s="11"/>
      <c r="DSV48" s="47"/>
      <c r="DTA48" s="47"/>
      <c r="DTC48" s="11"/>
      <c r="DWJ48" s="47"/>
      <c r="DWO48" s="47"/>
      <c r="DWQ48" s="11"/>
      <c r="DZX48" s="47"/>
      <c r="EAC48" s="47"/>
      <c r="EAE48" s="11"/>
      <c r="EDL48" s="47"/>
      <c r="EDQ48" s="47"/>
      <c r="EDS48" s="11"/>
      <c r="EGZ48" s="47"/>
      <c r="EHE48" s="47"/>
      <c r="EHG48" s="11"/>
      <c r="EKN48" s="47"/>
      <c r="EKS48" s="47"/>
      <c r="EKU48" s="11"/>
      <c r="EOB48" s="47"/>
      <c r="EOG48" s="47"/>
      <c r="EOI48" s="11"/>
      <c r="ERP48" s="47"/>
      <c r="ERU48" s="47"/>
      <c r="ERW48" s="11"/>
      <c r="EVD48" s="47"/>
      <c r="EVI48" s="47"/>
      <c r="EVK48" s="11"/>
      <c r="EYR48" s="47"/>
      <c r="EYW48" s="47"/>
      <c r="EYY48" s="11"/>
      <c r="FCF48" s="47"/>
      <c r="FCK48" s="47"/>
      <c r="FCM48" s="11"/>
      <c r="FFT48" s="47"/>
      <c r="FFY48" s="47"/>
      <c r="FGA48" s="11"/>
      <c r="FJH48" s="47"/>
      <c r="FJM48" s="47"/>
      <c r="FJO48" s="11"/>
      <c r="FMV48" s="47"/>
      <c r="FNA48" s="47"/>
      <c r="FNC48" s="11"/>
      <c r="FQJ48" s="47"/>
      <c r="FQO48" s="47"/>
      <c r="FQQ48" s="11"/>
      <c r="FTX48" s="47"/>
      <c r="FUC48" s="47"/>
      <c r="FUE48" s="11"/>
      <c r="FXL48" s="47"/>
      <c r="FXQ48" s="47"/>
      <c r="FXS48" s="11"/>
      <c r="GAZ48" s="47"/>
      <c r="GBE48" s="47"/>
      <c r="GBG48" s="11"/>
      <c r="GEN48" s="47"/>
      <c r="GES48" s="47"/>
      <c r="GEU48" s="11"/>
      <c r="GIB48" s="47"/>
      <c r="GIG48" s="47"/>
      <c r="GII48" s="11"/>
      <c r="GLP48" s="47"/>
      <c r="GLU48" s="47"/>
      <c r="GLW48" s="11"/>
      <c r="GPD48" s="47"/>
      <c r="GPI48" s="47"/>
      <c r="GPK48" s="11"/>
      <c r="GSR48" s="47"/>
      <c r="GSW48" s="47"/>
      <c r="GSY48" s="11"/>
      <c r="GWF48" s="47"/>
      <c r="GWK48" s="47"/>
      <c r="GWM48" s="11"/>
      <c r="GZT48" s="47"/>
      <c r="GZY48" s="47"/>
      <c r="HAA48" s="11"/>
      <c r="HDH48" s="47"/>
      <c r="HDM48" s="47"/>
      <c r="HDO48" s="11"/>
      <c r="HGV48" s="47"/>
      <c r="HHA48" s="47"/>
      <c r="HHC48" s="11"/>
      <c r="HKJ48" s="47"/>
      <c r="HKO48" s="47"/>
      <c r="HKQ48" s="11"/>
      <c r="HNX48" s="47"/>
      <c r="HOC48" s="47"/>
      <c r="HOE48" s="11"/>
      <c r="HRL48" s="47"/>
      <c r="HRQ48" s="47"/>
      <c r="HRS48" s="11"/>
      <c r="HUZ48" s="47"/>
      <c r="HVE48" s="47"/>
      <c r="HVG48" s="11"/>
      <c r="HYN48" s="47"/>
      <c r="HYS48" s="47"/>
      <c r="HYU48" s="11"/>
      <c r="ICB48" s="47"/>
      <c r="ICG48" s="47"/>
      <c r="ICI48" s="11"/>
      <c r="IFP48" s="47"/>
      <c r="IFU48" s="47"/>
      <c r="IFW48" s="11"/>
      <c r="IJD48" s="47"/>
      <c r="IJI48" s="47"/>
      <c r="IJK48" s="11"/>
      <c r="IMR48" s="47"/>
      <c r="IMW48" s="47"/>
      <c r="IMY48" s="11"/>
      <c r="IQF48" s="47"/>
      <c r="IQK48" s="47"/>
      <c r="IQM48" s="11"/>
      <c r="ITT48" s="47"/>
      <c r="ITY48" s="47"/>
      <c r="IUA48" s="11"/>
      <c r="IXH48" s="47"/>
      <c r="IXM48" s="47"/>
      <c r="IXO48" s="11"/>
      <c r="JAV48" s="47"/>
      <c r="JBA48" s="47"/>
      <c r="JBC48" s="11"/>
      <c r="JEJ48" s="47"/>
      <c r="JEO48" s="47"/>
      <c r="JEQ48" s="11"/>
      <c r="JHX48" s="47"/>
      <c r="JIC48" s="47"/>
      <c r="JIE48" s="11"/>
      <c r="JLL48" s="47"/>
      <c r="JLQ48" s="47"/>
      <c r="JLS48" s="11"/>
      <c r="JOZ48" s="47"/>
      <c r="JPE48" s="47"/>
      <c r="JPG48" s="11"/>
      <c r="JSN48" s="47"/>
      <c r="JSS48" s="47"/>
      <c r="JSU48" s="11"/>
      <c r="JWB48" s="47"/>
      <c r="JWG48" s="47"/>
      <c r="JWI48" s="11"/>
      <c r="JZP48" s="47"/>
      <c r="JZU48" s="47"/>
      <c r="JZW48" s="11"/>
      <c r="KDD48" s="47"/>
      <c r="KDI48" s="47"/>
      <c r="KDK48" s="11"/>
      <c r="KGR48" s="47"/>
      <c r="KGW48" s="47"/>
      <c r="KGY48" s="11"/>
      <c r="KKF48" s="47"/>
      <c r="KKK48" s="47"/>
      <c r="KKM48" s="11"/>
      <c r="KNT48" s="47"/>
      <c r="KNY48" s="47"/>
      <c r="KOA48" s="11"/>
      <c r="KRH48" s="47"/>
      <c r="KRM48" s="47"/>
      <c r="KRO48" s="11"/>
      <c r="KUV48" s="47"/>
      <c r="KVA48" s="47"/>
      <c r="KVC48" s="11"/>
      <c r="KYJ48" s="47"/>
      <c r="KYO48" s="47"/>
      <c r="KYQ48" s="11"/>
      <c r="LBX48" s="47"/>
      <c r="LCC48" s="47"/>
      <c r="LCE48" s="11"/>
      <c r="LFL48" s="47"/>
      <c r="LFQ48" s="47"/>
      <c r="LFS48" s="11"/>
      <c r="LIZ48" s="47"/>
      <c r="LJE48" s="47"/>
      <c r="LJG48" s="11"/>
      <c r="LMN48" s="47"/>
      <c r="LMS48" s="47"/>
      <c r="LMU48" s="11"/>
      <c r="LQB48" s="47"/>
      <c r="LQG48" s="47"/>
      <c r="LQI48" s="11"/>
      <c r="LTP48" s="47"/>
      <c r="LTU48" s="47"/>
      <c r="LTW48" s="11"/>
      <c r="LXD48" s="47"/>
      <c r="LXI48" s="47"/>
      <c r="LXK48" s="11"/>
      <c r="MAR48" s="47"/>
      <c r="MAW48" s="47"/>
      <c r="MAY48" s="11"/>
      <c r="MEF48" s="47"/>
      <c r="MEK48" s="47"/>
      <c r="MEM48" s="11"/>
      <c r="MHT48" s="47"/>
      <c r="MHY48" s="47"/>
      <c r="MIA48" s="11"/>
      <c r="MLH48" s="47"/>
      <c r="MLM48" s="47"/>
      <c r="MLO48" s="11"/>
      <c r="MOV48" s="47"/>
      <c r="MPA48" s="47"/>
      <c r="MPC48" s="11"/>
      <c r="MSJ48" s="47"/>
      <c r="MSO48" s="47"/>
      <c r="MSQ48" s="11"/>
      <c r="MVX48" s="47"/>
      <c r="MWC48" s="47"/>
      <c r="MWE48" s="11"/>
      <c r="MZL48" s="47"/>
      <c r="MZQ48" s="47"/>
      <c r="MZS48" s="11"/>
      <c r="NCZ48" s="47"/>
      <c r="NDE48" s="47"/>
      <c r="NDG48" s="11"/>
      <c r="NGN48" s="47"/>
      <c r="NGS48" s="47"/>
      <c r="NGU48" s="11"/>
      <c r="NKB48" s="47"/>
      <c r="NKG48" s="47"/>
      <c r="NKI48" s="11"/>
      <c r="NNP48" s="47"/>
      <c r="NNU48" s="47"/>
      <c r="NNW48" s="11"/>
      <c r="NRD48" s="47"/>
      <c r="NRI48" s="47"/>
      <c r="NRK48" s="11"/>
      <c r="NUR48" s="47"/>
      <c r="NUW48" s="47"/>
      <c r="NUY48" s="11"/>
      <c r="NYF48" s="47"/>
      <c r="NYK48" s="47"/>
      <c r="NYM48" s="11"/>
      <c r="OBT48" s="47"/>
      <c r="OBY48" s="47"/>
      <c r="OCA48" s="11"/>
      <c r="OFH48" s="47"/>
      <c r="OFM48" s="47"/>
      <c r="OFO48" s="11"/>
      <c r="OIV48" s="47"/>
      <c r="OJA48" s="47"/>
      <c r="OJC48" s="11"/>
      <c r="OMJ48" s="47"/>
      <c r="OMO48" s="47"/>
      <c r="OMQ48" s="11"/>
      <c r="OPX48" s="47"/>
      <c r="OQC48" s="47"/>
      <c r="OQE48" s="11"/>
      <c r="OTL48" s="47"/>
      <c r="OTQ48" s="47"/>
      <c r="OTS48" s="11"/>
      <c r="OWZ48" s="47"/>
      <c r="OXE48" s="47"/>
      <c r="OXG48" s="11"/>
      <c r="PAN48" s="47"/>
      <c r="PAS48" s="47"/>
      <c r="PAU48" s="11"/>
      <c r="PEB48" s="47"/>
      <c r="PEG48" s="47"/>
      <c r="PEI48" s="11"/>
      <c r="PHP48" s="47"/>
      <c r="PHU48" s="47"/>
      <c r="PHW48" s="11"/>
      <c r="PLD48" s="47"/>
      <c r="PLI48" s="47"/>
      <c r="PLK48" s="11"/>
      <c r="POR48" s="47"/>
      <c r="POW48" s="47"/>
      <c r="POY48" s="11"/>
      <c r="PSF48" s="47"/>
      <c r="PSK48" s="47"/>
      <c r="PSM48" s="11"/>
      <c r="PVT48" s="47"/>
      <c r="PVY48" s="47"/>
      <c r="PWA48" s="11"/>
      <c r="PZH48" s="47"/>
      <c r="PZM48" s="47"/>
      <c r="PZO48" s="11"/>
      <c r="QCV48" s="47"/>
      <c r="QDA48" s="47"/>
      <c r="QDC48" s="11"/>
      <c r="QGJ48" s="47"/>
      <c r="QGO48" s="47"/>
      <c r="QGQ48" s="11"/>
      <c r="QJX48" s="47"/>
      <c r="QKC48" s="47"/>
      <c r="QKE48" s="11"/>
      <c r="QNL48" s="47"/>
      <c r="QNQ48" s="47"/>
      <c r="QNS48" s="11"/>
      <c r="QQZ48" s="47"/>
      <c r="QRE48" s="47"/>
      <c r="QRG48" s="11"/>
      <c r="QUN48" s="47"/>
      <c r="QUS48" s="47"/>
      <c r="QUU48" s="11"/>
      <c r="QYB48" s="47"/>
      <c r="QYG48" s="47"/>
      <c r="QYI48" s="11"/>
      <c r="RBP48" s="47"/>
      <c r="RBU48" s="47"/>
      <c r="RBW48" s="11"/>
      <c r="RFD48" s="47"/>
      <c r="RFI48" s="47"/>
      <c r="RFK48" s="11"/>
      <c r="RIR48" s="47"/>
      <c r="RIW48" s="47"/>
      <c r="RIY48" s="11"/>
      <c r="RMF48" s="47"/>
      <c r="RMK48" s="47"/>
      <c r="RMM48" s="11"/>
      <c r="RPT48" s="47"/>
      <c r="RPY48" s="47"/>
      <c r="RQA48" s="11"/>
      <c r="RTH48" s="47"/>
      <c r="RTM48" s="47"/>
      <c r="RTO48" s="11"/>
      <c r="RWV48" s="47"/>
      <c r="RXA48" s="47"/>
      <c r="RXC48" s="11"/>
      <c r="SAJ48" s="47"/>
      <c r="SAO48" s="47"/>
      <c r="SAQ48" s="11"/>
      <c r="SDX48" s="47"/>
      <c r="SEC48" s="47"/>
      <c r="SEE48" s="11"/>
      <c r="SHL48" s="47"/>
      <c r="SHQ48" s="47"/>
      <c r="SHS48" s="11"/>
      <c r="SKZ48" s="47"/>
      <c r="SLE48" s="47"/>
      <c r="SLG48" s="11"/>
      <c r="SON48" s="47"/>
      <c r="SOS48" s="47"/>
      <c r="SOU48" s="11"/>
      <c r="SSB48" s="47"/>
      <c r="SSG48" s="47"/>
      <c r="SSI48" s="11"/>
      <c r="SVP48" s="47"/>
      <c r="SVU48" s="47"/>
      <c r="SVW48" s="11"/>
      <c r="SZD48" s="47"/>
      <c r="SZI48" s="47"/>
      <c r="SZK48" s="11"/>
      <c r="TCR48" s="47"/>
      <c r="TCW48" s="47"/>
      <c r="TCY48" s="11"/>
      <c r="TGF48" s="47"/>
      <c r="TGK48" s="47"/>
      <c r="TGM48" s="11"/>
      <c r="TJT48" s="47"/>
      <c r="TJY48" s="47"/>
      <c r="TKA48" s="11"/>
      <c r="TNH48" s="47"/>
      <c r="TNM48" s="47"/>
      <c r="TNO48" s="11"/>
      <c r="TQV48" s="47"/>
      <c r="TRA48" s="47"/>
      <c r="TRC48" s="11"/>
      <c r="TUJ48" s="47"/>
      <c r="TUO48" s="47"/>
      <c r="TUQ48" s="11"/>
      <c r="TXX48" s="47"/>
      <c r="TYC48" s="47"/>
      <c r="TYE48" s="11"/>
      <c r="UBL48" s="47"/>
      <c r="UBQ48" s="47"/>
      <c r="UBS48" s="11"/>
      <c r="UEZ48" s="47"/>
      <c r="UFE48" s="47"/>
      <c r="UFG48" s="11"/>
      <c r="UIN48" s="47"/>
      <c r="UIS48" s="47"/>
      <c r="UIU48" s="11"/>
      <c r="UMB48" s="47"/>
      <c r="UMG48" s="47"/>
      <c r="UMI48" s="11"/>
      <c r="UPP48" s="47"/>
      <c r="UPU48" s="47"/>
      <c r="UPW48" s="11"/>
      <c r="UTD48" s="47"/>
      <c r="UTI48" s="47"/>
      <c r="UTK48" s="11"/>
      <c r="UWR48" s="47"/>
      <c r="UWW48" s="47"/>
      <c r="UWY48" s="11"/>
      <c r="VAF48" s="47"/>
      <c r="VAK48" s="47"/>
      <c r="VAM48" s="11"/>
      <c r="VDT48" s="47"/>
      <c r="VDY48" s="47"/>
      <c r="VEA48" s="11"/>
      <c r="VHH48" s="47"/>
      <c r="VHM48" s="47"/>
      <c r="VHO48" s="11"/>
      <c r="VKV48" s="47"/>
      <c r="VLA48" s="47"/>
      <c r="VLC48" s="11"/>
      <c r="VOJ48" s="47"/>
      <c r="VOO48" s="47"/>
      <c r="VOQ48" s="11"/>
      <c r="VRX48" s="47"/>
      <c r="VSC48" s="47"/>
      <c r="VSE48" s="11"/>
      <c r="VVL48" s="47"/>
      <c r="VVQ48" s="47"/>
      <c r="VVS48" s="11"/>
      <c r="VYZ48" s="47"/>
      <c r="VZE48" s="47"/>
      <c r="VZG48" s="11"/>
      <c r="WCN48" s="47"/>
      <c r="WCS48" s="47"/>
      <c r="WCU48" s="11"/>
      <c r="WGB48" s="47"/>
      <c r="WGG48" s="47"/>
      <c r="WGI48" s="11"/>
      <c r="WJP48" s="47"/>
      <c r="WJU48" s="47"/>
      <c r="WJW48" s="11"/>
      <c r="WND48" s="47"/>
      <c r="WNI48" s="47"/>
      <c r="WNK48" s="11"/>
      <c r="WQR48" s="47"/>
      <c r="WQW48" s="47"/>
      <c r="WQY48" s="11"/>
      <c r="WUF48" s="47"/>
      <c r="WUK48" s="47"/>
      <c r="WUM48" s="11"/>
      <c r="WXT48" s="47"/>
      <c r="WXY48" s="47"/>
      <c r="WYA48" s="11"/>
      <c r="XBH48" s="47"/>
      <c r="XBM48" s="47"/>
      <c r="XBO48" s="11"/>
      <c r="XEV48" s="47"/>
      <c r="XFA48" s="47"/>
      <c r="XFC48" s="11"/>
    </row>
    <row r="49" spans="3:1019 1104:2031 2116:3043 3128:4055 4140:5067 5152:6079 6164:7091 7176:8188 8193:9207 9292:10219 10304:11231 11316:12243 12328:13255 13340:14267 14352:15279 15364:16383" s="35" customFormat="1" ht="14.5" customHeight="1">
      <c r="C49" s="35" t="s">
        <v>1029</v>
      </c>
      <c r="E49" s="368"/>
      <c r="G49" s="162" t="str">
        <f>Monetary_Unit</f>
        <v>тыс. руб.</v>
      </c>
      <c r="I49" s="23">
        <f t="shared" ca="1" si="37"/>
        <v>7019830.7313359501</v>
      </c>
      <c r="L49" s="35">
        <f ca="1" xml:space="preserve"> L37 + L42 + L47</f>
        <v>0</v>
      </c>
      <c r="M49" s="35">
        <f t="shared" ref="M49:BX49" ca="1" si="41" xml:space="preserve"> M37 + M42 + M47</f>
        <v>0</v>
      </c>
      <c r="N49" s="35">
        <f t="shared" ca="1" si="41"/>
        <v>0</v>
      </c>
      <c r="O49" s="35">
        <f t="shared" ca="1" si="41"/>
        <v>0</v>
      </c>
      <c r="P49" s="35">
        <f t="shared" ca="1" si="41"/>
        <v>0</v>
      </c>
      <c r="Q49" s="35">
        <f t="shared" ca="1" si="41"/>
        <v>0</v>
      </c>
      <c r="R49" s="35">
        <f t="shared" ca="1" si="41"/>
        <v>0</v>
      </c>
      <c r="S49" s="35">
        <f t="shared" ca="1" si="41"/>
        <v>0</v>
      </c>
      <c r="T49" s="35">
        <f t="shared" ca="1" si="41"/>
        <v>0</v>
      </c>
      <c r="U49" s="35">
        <f t="shared" ca="1" si="41"/>
        <v>0</v>
      </c>
      <c r="V49" s="35">
        <f t="shared" ca="1" si="41"/>
        <v>0</v>
      </c>
      <c r="W49" s="35">
        <f t="shared" ca="1" si="41"/>
        <v>0</v>
      </c>
      <c r="X49" s="35">
        <f t="shared" ca="1" si="41"/>
        <v>0</v>
      </c>
      <c r="Y49" s="35">
        <f t="shared" ca="1" si="41"/>
        <v>0</v>
      </c>
      <c r="Z49" s="35">
        <f t="shared" ca="1" si="41"/>
        <v>0</v>
      </c>
      <c r="AA49" s="35">
        <f t="shared" ca="1" si="41"/>
        <v>0</v>
      </c>
      <c r="AB49" s="35">
        <f t="shared" ca="1" si="41"/>
        <v>0</v>
      </c>
      <c r="AC49" s="35">
        <f t="shared" ca="1" si="41"/>
        <v>-788989.74610224983</v>
      </c>
      <c r="AD49" s="35">
        <f t="shared" ca="1" si="41"/>
        <v>-93148.121304768181</v>
      </c>
      <c r="AE49" s="35">
        <f t="shared" ca="1" si="41"/>
        <v>-1134.4765313172102</v>
      </c>
      <c r="AF49" s="35">
        <f t="shared" ca="1" si="41"/>
        <v>-9939.8280605245345</v>
      </c>
      <c r="AG49" s="35">
        <f t="shared" ca="1" si="41"/>
        <v>20452.068398751784</v>
      </c>
      <c r="AH49" s="35">
        <f t="shared" ca="1" si="41"/>
        <v>33540.694676830019</v>
      </c>
      <c r="AI49" s="35">
        <f t="shared" ca="1" si="41"/>
        <v>-1338.3784911254625</v>
      </c>
      <c r="AJ49" s="35">
        <f t="shared" ca="1" si="41"/>
        <v>-11785.958050843241</v>
      </c>
      <c r="AK49" s="35">
        <f t="shared" ca="1" si="41"/>
        <v>24097.903295657914</v>
      </c>
      <c r="AL49" s="35">
        <f t="shared" ca="1" si="41"/>
        <v>39336.562604446</v>
      </c>
      <c r="AM49" s="35">
        <f t="shared" ca="1" si="41"/>
        <v>-1560.3460203841969</v>
      </c>
      <c r="AN49" s="35">
        <f t="shared" ca="1" si="41"/>
        <v>-13357.152986435969</v>
      </c>
      <c r="AO49" s="35">
        <f t="shared" ca="1" si="41"/>
        <v>28000.391544311169</v>
      </c>
      <c r="AP49" s="35">
        <f t="shared" ca="1" si="41"/>
        <v>44121.949266695672</v>
      </c>
      <c r="AQ49" s="35">
        <f t="shared" ca="1" si="41"/>
        <v>-2590.3288823934781</v>
      </c>
      <c r="AR49" s="35">
        <f t="shared" ca="1" si="41"/>
        <v>-16240.326420729245</v>
      </c>
      <c r="AS49" s="35">
        <f t="shared" ca="1" si="41"/>
        <v>30043.663157314732</v>
      </c>
      <c r="AT49" s="35">
        <f t="shared" ca="1" si="41"/>
        <v>48079.256989879505</v>
      </c>
      <c r="AU49" s="35">
        <f t="shared" ca="1" si="41"/>
        <v>5230.1105861638571</v>
      </c>
      <c r="AV49" s="35">
        <f t="shared" ca="1" si="41"/>
        <v>-9449.3358309762407</v>
      </c>
      <c r="AW49" s="35">
        <f t="shared" ca="1" si="41"/>
        <v>35537.882427545934</v>
      </c>
      <c r="AX49" s="35">
        <f t="shared" ca="1" si="41"/>
        <v>136278.19421351008</v>
      </c>
      <c r="AY49" s="35">
        <f t="shared" ca="1" si="41"/>
        <v>148300.46323571014</v>
      </c>
      <c r="AZ49" s="35">
        <f t="shared" ca="1" si="41"/>
        <v>102808.84214217607</v>
      </c>
      <c r="BA49" s="35">
        <f t="shared" ca="1" si="41"/>
        <v>126900.17656409295</v>
      </c>
      <c r="BB49" s="35">
        <f t="shared" ca="1" si="41"/>
        <v>175588.65161453781</v>
      </c>
      <c r="BC49" s="35">
        <f t="shared" ca="1" si="41"/>
        <v>155108.9526461208</v>
      </c>
      <c r="BD49" s="35">
        <f t="shared" ca="1" si="41"/>
        <v>108376.80849644975</v>
      </c>
      <c r="BE49" s="35">
        <f t="shared" ca="1" si="41"/>
        <v>135423.18808380869</v>
      </c>
      <c r="BF49" s="35">
        <f t="shared" ca="1" si="41"/>
        <v>185451.047705998</v>
      </c>
      <c r="BG49" s="35">
        <f t="shared" ca="1" si="41"/>
        <v>164122.70897369343</v>
      </c>
      <c r="BH49" s="35">
        <f t="shared" ca="1" si="41"/>
        <v>114945.0677776782</v>
      </c>
      <c r="BI49" s="35">
        <f t="shared" ca="1" si="41"/>
        <v>140904.0132717182</v>
      </c>
      <c r="BJ49" s="35">
        <f t="shared" ca="1" si="41"/>
        <v>193409.3046864582</v>
      </c>
      <c r="BK49" s="35">
        <f t="shared" ca="1" si="41"/>
        <v>170959.33184515205</v>
      </c>
      <c r="BL49" s="35">
        <f t="shared" ca="1" si="41"/>
        <v>119630.58603893399</v>
      </c>
      <c r="BM49" s="35">
        <f t="shared" ca="1" si="41"/>
        <v>146628.17200844947</v>
      </c>
      <c r="BN49" s="35">
        <f t="shared" ca="1" si="41"/>
        <v>201233.78573883619</v>
      </c>
      <c r="BO49" s="35">
        <f t="shared" ca="1" si="41"/>
        <v>190831.49362876322</v>
      </c>
      <c r="BP49" s="35">
        <f t="shared" ca="1" si="41"/>
        <v>136652.76196575112</v>
      </c>
      <c r="BQ49" s="35">
        <f t="shared" ca="1" si="41"/>
        <v>172556.25968862709</v>
      </c>
      <c r="BR49" s="35">
        <f t="shared" ca="1" si="41"/>
        <v>235119.10690499615</v>
      </c>
      <c r="BS49" s="35">
        <f t="shared" ca="1" si="41"/>
        <v>198659.85157480717</v>
      </c>
      <c r="BT49" s="35">
        <f t="shared" ca="1" si="41"/>
        <v>143170.57722543861</v>
      </c>
      <c r="BU49" s="35">
        <f t="shared" ca="1" si="41"/>
        <v>180389.21193586767</v>
      </c>
      <c r="BV49" s="35">
        <f t="shared" ca="1" si="41"/>
        <v>244720.84532498082</v>
      </c>
      <c r="BW49" s="35">
        <f t="shared" ca="1" si="41"/>
        <v>206803.22517607646</v>
      </c>
      <c r="BX49" s="35">
        <f t="shared" ca="1" si="41"/>
        <v>148200.82141928779</v>
      </c>
      <c r="BY49" s="35">
        <f t="shared" ref="BY49:CM49" ca="1" si="42" xml:space="preserve"> BY37 + BY42 + BY47</f>
        <v>187034.35094627243</v>
      </c>
      <c r="BZ49" s="35">
        <f t="shared" ca="1" si="42"/>
        <v>254702.82635826647</v>
      </c>
      <c r="CA49" s="35">
        <f t="shared" ca="1" si="42"/>
        <v>215268.49579313409</v>
      </c>
      <c r="CB49" s="35">
        <f t="shared" ca="1" si="42"/>
        <v>154323.26120365303</v>
      </c>
      <c r="CC49" s="35">
        <f t="shared" ca="1" si="42"/>
        <v>194710.57815424755</v>
      </c>
      <c r="CD49" s="35">
        <f t="shared" ca="1" si="42"/>
        <v>265086.03761349071</v>
      </c>
      <c r="CE49" s="35">
        <f t="shared" ca="1" si="42"/>
        <v>224074.33382575301</v>
      </c>
      <c r="CF49" s="35">
        <f t="shared" ca="1" si="42"/>
        <v>160690.79979115407</v>
      </c>
      <c r="CG49" s="35">
        <f t="shared" ca="1" si="42"/>
        <v>202693.85445054172</v>
      </c>
      <c r="CH49" s="35">
        <f t="shared" ca="1" si="42"/>
        <v>275884.57731892384</v>
      </c>
      <c r="CI49" s="35">
        <f t="shared" ca="1" si="42"/>
        <v>233232.40537967661</v>
      </c>
      <c r="CJ49" s="35">
        <f t="shared" ca="1" si="42"/>
        <v>168316.50357242135</v>
      </c>
      <c r="CK49" s="35">
        <f t="shared" ca="1" si="42"/>
        <v>211857.04197992972</v>
      </c>
      <c r="CL49" s="35">
        <f t="shared" ca="1" si="42"/>
        <v>287116.99165037088</v>
      </c>
      <c r="CM49" s="35">
        <f t="shared" ca="1" si="42"/>
        <v>242758.73914434673</v>
      </c>
      <c r="CN49" s="35">
        <f t="shared" ref="CN49:CO49" ca="1" si="43" xml:space="preserve"> CN37 + CN42 + CN47</f>
        <v>174200.39599426289</v>
      </c>
      <c r="CO49" s="35">
        <f t="shared" ca="1" si="43"/>
        <v>219631.1734407593</v>
      </c>
      <c r="CS49" s="368"/>
      <c r="CU49" s="162"/>
      <c r="GB49" s="368"/>
      <c r="GG49" s="368"/>
      <c r="GI49" s="162"/>
      <c r="JP49" s="368"/>
      <c r="JU49" s="368"/>
      <c r="JW49" s="162"/>
      <c r="ND49" s="368"/>
      <c r="NI49" s="368"/>
      <c r="NK49" s="162"/>
      <c r="QR49" s="368"/>
      <c r="QW49" s="368"/>
      <c r="QY49" s="162"/>
      <c r="UF49" s="368"/>
      <c r="UK49" s="368"/>
      <c r="UM49" s="162"/>
      <c r="XT49" s="368"/>
      <c r="XY49" s="368"/>
      <c r="YA49" s="162"/>
      <c r="ABH49" s="368"/>
      <c r="ABM49" s="368"/>
      <c r="ABO49" s="162"/>
      <c r="AEV49" s="368"/>
      <c r="AFA49" s="368"/>
      <c r="AFC49" s="162"/>
      <c r="AIJ49" s="368"/>
      <c r="AIO49" s="368"/>
      <c r="AIQ49" s="162"/>
      <c r="ALX49" s="368"/>
      <c r="AMC49" s="368"/>
      <c r="AME49" s="162"/>
      <c r="APL49" s="368"/>
      <c r="APQ49" s="368"/>
      <c r="APS49" s="162"/>
      <c r="ASZ49" s="368"/>
      <c r="ATE49" s="368"/>
      <c r="ATG49" s="162"/>
      <c r="AWN49" s="368"/>
      <c r="AWS49" s="368"/>
      <c r="AWU49" s="162"/>
      <c r="BAB49" s="368"/>
      <c r="BAG49" s="368"/>
      <c r="BAI49" s="162"/>
      <c r="BDP49" s="368"/>
      <c r="BDU49" s="368"/>
      <c r="BDW49" s="162"/>
      <c r="BHD49" s="368"/>
      <c r="BHI49" s="368"/>
      <c r="BHK49" s="162"/>
      <c r="BKR49" s="368"/>
      <c r="BKW49" s="368"/>
      <c r="BKY49" s="162"/>
      <c r="BOF49" s="368"/>
      <c r="BOK49" s="368"/>
      <c r="BOM49" s="162"/>
      <c r="BRT49" s="368"/>
      <c r="BRY49" s="368"/>
      <c r="BSA49" s="162"/>
      <c r="BVH49" s="368"/>
      <c r="BVM49" s="368"/>
      <c r="BVO49" s="162"/>
      <c r="BYV49" s="368"/>
      <c r="BZA49" s="368"/>
      <c r="BZC49" s="162"/>
      <c r="CCJ49" s="368"/>
      <c r="CCO49" s="368"/>
      <c r="CCQ49" s="162"/>
      <c r="CFX49" s="368"/>
      <c r="CGC49" s="368"/>
      <c r="CGE49" s="162"/>
      <c r="CJL49" s="368"/>
      <c r="CJQ49" s="368"/>
      <c r="CJS49" s="162"/>
      <c r="CMZ49" s="368"/>
      <c r="CNE49" s="368"/>
      <c r="CNG49" s="162"/>
      <c r="CQN49" s="368"/>
      <c r="CQS49" s="368"/>
      <c r="CQU49" s="162"/>
      <c r="CUB49" s="368"/>
      <c r="CUG49" s="368"/>
      <c r="CUI49" s="162"/>
      <c r="CXP49" s="368"/>
      <c r="CXU49" s="368"/>
      <c r="CXW49" s="162"/>
      <c r="DBD49" s="368"/>
      <c r="DBI49" s="368"/>
      <c r="DBK49" s="162"/>
      <c r="DER49" s="368"/>
      <c r="DEW49" s="368"/>
      <c r="DEY49" s="162"/>
      <c r="DIF49" s="368"/>
      <c r="DIK49" s="368"/>
      <c r="DIM49" s="162"/>
      <c r="DLT49" s="368"/>
      <c r="DLY49" s="368"/>
      <c r="DMA49" s="162"/>
      <c r="DPH49" s="368"/>
      <c r="DPM49" s="368"/>
      <c r="DPO49" s="162"/>
      <c r="DSV49" s="368"/>
      <c r="DTA49" s="368"/>
      <c r="DTC49" s="162"/>
      <c r="DWJ49" s="368"/>
      <c r="DWO49" s="368"/>
      <c r="DWQ49" s="162"/>
      <c r="DZX49" s="368"/>
      <c r="EAC49" s="368"/>
      <c r="EAE49" s="162"/>
      <c r="EDL49" s="368"/>
      <c r="EDQ49" s="368"/>
      <c r="EDS49" s="162"/>
      <c r="EGZ49" s="368"/>
      <c r="EHE49" s="368"/>
      <c r="EHG49" s="162"/>
      <c r="EKN49" s="368"/>
      <c r="EKS49" s="368"/>
      <c r="EKU49" s="162"/>
      <c r="EOB49" s="368"/>
      <c r="EOG49" s="368"/>
      <c r="EOI49" s="162"/>
      <c r="ERP49" s="368"/>
      <c r="ERU49" s="368"/>
      <c r="ERW49" s="162"/>
      <c r="EVD49" s="368"/>
      <c r="EVI49" s="368"/>
      <c r="EVK49" s="162"/>
      <c r="EYR49" s="368"/>
      <c r="EYW49" s="368"/>
      <c r="EYY49" s="162"/>
      <c r="FCF49" s="368"/>
      <c r="FCK49" s="368"/>
      <c r="FCM49" s="162"/>
      <c r="FFT49" s="368"/>
      <c r="FFY49" s="368"/>
      <c r="FGA49" s="162"/>
      <c r="FJH49" s="368"/>
      <c r="FJM49" s="368"/>
      <c r="FJO49" s="162"/>
      <c r="FMV49" s="368"/>
      <c r="FNA49" s="368"/>
      <c r="FNC49" s="162"/>
      <c r="FQJ49" s="368"/>
      <c r="FQO49" s="368"/>
      <c r="FQQ49" s="162"/>
      <c r="FTX49" s="368"/>
      <c r="FUC49" s="368"/>
      <c r="FUE49" s="162"/>
      <c r="FXL49" s="368"/>
      <c r="FXQ49" s="368"/>
      <c r="FXS49" s="162"/>
      <c r="GAZ49" s="368"/>
      <c r="GBE49" s="368"/>
      <c r="GBG49" s="162"/>
      <c r="GEN49" s="368"/>
      <c r="GES49" s="368"/>
      <c r="GEU49" s="162"/>
      <c r="GIB49" s="368"/>
      <c r="GIG49" s="368"/>
      <c r="GII49" s="162"/>
      <c r="GLP49" s="368"/>
      <c r="GLU49" s="368"/>
      <c r="GLW49" s="162"/>
      <c r="GPD49" s="368"/>
      <c r="GPI49" s="368"/>
      <c r="GPK49" s="162"/>
      <c r="GSR49" s="368"/>
      <c r="GSW49" s="368"/>
      <c r="GSY49" s="162"/>
      <c r="GWF49" s="368"/>
      <c r="GWK49" s="368"/>
      <c r="GWM49" s="162"/>
      <c r="GZT49" s="368"/>
      <c r="GZY49" s="368"/>
      <c r="HAA49" s="162"/>
      <c r="HDH49" s="368"/>
      <c r="HDM49" s="368"/>
      <c r="HDO49" s="162"/>
      <c r="HGV49" s="368"/>
      <c r="HHA49" s="368"/>
      <c r="HHC49" s="162"/>
      <c r="HKJ49" s="368"/>
      <c r="HKO49" s="368"/>
      <c r="HKQ49" s="162"/>
      <c r="HNX49" s="368"/>
      <c r="HOC49" s="368"/>
      <c r="HOE49" s="162"/>
      <c r="HRL49" s="368"/>
      <c r="HRQ49" s="368"/>
      <c r="HRS49" s="162"/>
      <c r="HUZ49" s="368"/>
      <c r="HVE49" s="368"/>
      <c r="HVG49" s="162"/>
      <c r="HYN49" s="368"/>
      <c r="HYS49" s="368"/>
      <c r="HYU49" s="162"/>
      <c r="ICB49" s="368"/>
      <c r="ICG49" s="368"/>
      <c r="ICI49" s="162"/>
      <c r="IFP49" s="368"/>
      <c r="IFU49" s="368"/>
      <c r="IFW49" s="162"/>
      <c r="IJD49" s="368"/>
      <c r="IJI49" s="368"/>
      <c r="IJK49" s="162"/>
      <c r="IMR49" s="368"/>
      <c r="IMW49" s="368"/>
      <c r="IMY49" s="162"/>
      <c r="IQF49" s="368"/>
      <c r="IQK49" s="368"/>
      <c r="IQM49" s="162"/>
      <c r="ITT49" s="368"/>
      <c r="ITY49" s="368"/>
      <c r="IUA49" s="162"/>
      <c r="IXH49" s="368"/>
      <c r="IXM49" s="368"/>
      <c r="IXO49" s="162"/>
      <c r="JAV49" s="368"/>
      <c r="JBA49" s="368"/>
      <c r="JBC49" s="162"/>
      <c r="JEJ49" s="368"/>
      <c r="JEO49" s="368"/>
      <c r="JEQ49" s="162"/>
      <c r="JHX49" s="368"/>
      <c r="JIC49" s="368"/>
      <c r="JIE49" s="162"/>
      <c r="JLL49" s="368"/>
      <c r="JLQ49" s="368"/>
      <c r="JLS49" s="162"/>
      <c r="JOZ49" s="368"/>
      <c r="JPE49" s="368"/>
      <c r="JPG49" s="162"/>
      <c r="JSN49" s="368"/>
      <c r="JSS49" s="368"/>
      <c r="JSU49" s="162"/>
      <c r="JWB49" s="368"/>
      <c r="JWG49" s="368"/>
      <c r="JWI49" s="162"/>
      <c r="JZP49" s="368"/>
      <c r="JZU49" s="368"/>
      <c r="JZW49" s="162"/>
      <c r="KDD49" s="368"/>
      <c r="KDI49" s="368"/>
      <c r="KDK49" s="162"/>
      <c r="KGR49" s="368"/>
      <c r="KGW49" s="368"/>
      <c r="KGY49" s="162"/>
      <c r="KKF49" s="368"/>
      <c r="KKK49" s="368"/>
      <c r="KKM49" s="162"/>
      <c r="KNT49" s="368"/>
      <c r="KNY49" s="368"/>
      <c r="KOA49" s="162"/>
      <c r="KRH49" s="368"/>
      <c r="KRM49" s="368"/>
      <c r="KRO49" s="162"/>
      <c r="KUV49" s="368"/>
      <c r="KVA49" s="368"/>
      <c r="KVC49" s="162"/>
      <c r="KYJ49" s="368"/>
      <c r="KYO49" s="368"/>
      <c r="KYQ49" s="162"/>
      <c r="LBX49" s="368"/>
      <c r="LCC49" s="368"/>
      <c r="LCE49" s="162"/>
      <c r="LFL49" s="368"/>
      <c r="LFQ49" s="368"/>
      <c r="LFS49" s="162"/>
      <c r="LIZ49" s="368"/>
      <c r="LJE49" s="368"/>
      <c r="LJG49" s="162"/>
      <c r="LMN49" s="368"/>
      <c r="LMS49" s="368"/>
      <c r="LMU49" s="162"/>
      <c r="LQB49" s="368"/>
      <c r="LQG49" s="368"/>
      <c r="LQI49" s="162"/>
      <c r="LTP49" s="368"/>
      <c r="LTU49" s="368"/>
      <c r="LTW49" s="162"/>
      <c r="LXD49" s="368"/>
      <c r="LXI49" s="368"/>
      <c r="LXK49" s="162"/>
      <c r="MAR49" s="368"/>
      <c r="MAW49" s="368"/>
      <c r="MAY49" s="162"/>
      <c r="MEF49" s="368"/>
      <c r="MEK49" s="368"/>
      <c r="MEM49" s="162"/>
      <c r="MHT49" s="368"/>
      <c r="MHY49" s="368"/>
      <c r="MIA49" s="162"/>
      <c r="MLH49" s="368"/>
      <c r="MLM49" s="368"/>
      <c r="MLO49" s="162"/>
      <c r="MOV49" s="368"/>
      <c r="MPA49" s="368"/>
      <c r="MPC49" s="162"/>
      <c r="MSJ49" s="368"/>
      <c r="MSO49" s="368"/>
      <c r="MSQ49" s="162"/>
      <c r="MVX49" s="368"/>
      <c r="MWC49" s="368"/>
      <c r="MWE49" s="162"/>
      <c r="MZL49" s="368"/>
      <c r="MZQ49" s="368"/>
      <c r="MZS49" s="162"/>
      <c r="NCZ49" s="368"/>
      <c r="NDE49" s="368"/>
      <c r="NDG49" s="162"/>
      <c r="NGN49" s="368"/>
      <c r="NGS49" s="368"/>
      <c r="NGU49" s="162"/>
      <c r="NKB49" s="368"/>
      <c r="NKG49" s="368"/>
      <c r="NKI49" s="162"/>
      <c r="NNP49" s="368"/>
      <c r="NNU49" s="368"/>
      <c r="NNW49" s="162"/>
      <c r="NRD49" s="368"/>
      <c r="NRI49" s="368"/>
      <c r="NRK49" s="162"/>
      <c r="NUR49" s="368"/>
      <c r="NUW49" s="368"/>
      <c r="NUY49" s="162"/>
      <c r="NYF49" s="368"/>
      <c r="NYK49" s="368"/>
      <c r="NYM49" s="162"/>
      <c r="OBT49" s="368"/>
      <c r="OBY49" s="368"/>
      <c r="OCA49" s="162"/>
      <c r="OFH49" s="368"/>
      <c r="OFM49" s="368"/>
      <c r="OFO49" s="162"/>
      <c r="OIV49" s="368"/>
      <c r="OJA49" s="368"/>
      <c r="OJC49" s="162"/>
      <c r="OMJ49" s="368"/>
      <c r="OMO49" s="368"/>
      <c r="OMQ49" s="162"/>
      <c r="OPX49" s="368"/>
      <c r="OQC49" s="368"/>
      <c r="OQE49" s="162"/>
      <c r="OTL49" s="368"/>
      <c r="OTQ49" s="368"/>
      <c r="OTS49" s="162"/>
      <c r="OWZ49" s="368"/>
      <c r="OXE49" s="368"/>
      <c r="OXG49" s="162"/>
      <c r="PAN49" s="368"/>
      <c r="PAS49" s="368"/>
      <c r="PAU49" s="162"/>
      <c r="PEB49" s="368"/>
      <c r="PEG49" s="368"/>
      <c r="PEI49" s="162"/>
      <c r="PHP49" s="368"/>
      <c r="PHU49" s="368"/>
      <c r="PHW49" s="162"/>
      <c r="PLD49" s="368"/>
      <c r="PLI49" s="368"/>
      <c r="PLK49" s="162"/>
      <c r="POR49" s="368"/>
      <c r="POW49" s="368"/>
      <c r="POY49" s="162"/>
      <c r="PSF49" s="368"/>
      <c r="PSK49" s="368"/>
      <c r="PSM49" s="162"/>
      <c r="PVT49" s="368"/>
      <c r="PVY49" s="368"/>
      <c r="PWA49" s="162"/>
      <c r="PZH49" s="368"/>
      <c r="PZM49" s="368"/>
      <c r="PZO49" s="162"/>
      <c r="QCV49" s="368"/>
      <c r="QDA49" s="368"/>
      <c r="QDC49" s="162"/>
      <c r="QGJ49" s="368"/>
      <c r="QGO49" s="368"/>
      <c r="QGQ49" s="162"/>
      <c r="QJX49" s="368"/>
      <c r="QKC49" s="368"/>
      <c r="QKE49" s="162"/>
      <c r="QNL49" s="368"/>
      <c r="QNQ49" s="368"/>
      <c r="QNS49" s="162"/>
      <c r="QQZ49" s="368"/>
      <c r="QRE49" s="368"/>
      <c r="QRG49" s="162"/>
      <c r="QUN49" s="368"/>
      <c r="QUS49" s="368"/>
      <c r="QUU49" s="162"/>
      <c r="QYB49" s="368"/>
      <c r="QYG49" s="368"/>
      <c r="QYI49" s="162"/>
      <c r="RBP49" s="368"/>
      <c r="RBU49" s="368"/>
      <c r="RBW49" s="162"/>
      <c r="RFD49" s="368"/>
      <c r="RFI49" s="368"/>
      <c r="RFK49" s="162"/>
      <c r="RIR49" s="368"/>
      <c r="RIW49" s="368"/>
      <c r="RIY49" s="162"/>
      <c r="RMF49" s="368"/>
      <c r="RMK49" s="368"/>
      <c r="RMM49" s="162"/>
      <c r="RPT49" s="368"/>
      <c r="RPY49" s="368"/>
      <c r="RQA49" s="162"/>
      <c r="RTH49" s="368"/>
      <c r="RTM49" s="368"/>
      <c r="RTO49" s="162"/>
      <c r="RWV49" s="368"/>
      <c r="RXA49" s="368"/>
      <c r="RXC49" s="162"/>
      <c r="SAJ49" s="368"/>
      <c r="SAO49" s="368"/>
      <c r="SAQ49" s="162"/>
      <c r="SDX49" s="368"/>
      <c r="SEC49" s="368"/>
      <c r="SEE49" s="162"/>
      <c r="SHL49" s="368"/>
      <c r="SHQ49" s="368"/>
      <c r="SHS49" s="162"/>
      <c r="SKZ49" s="368"/>
      <c r="SLE49" s="368"/>
      <c r="SLG49" s="162"/>
      <c r="SON49" s="368"/>
      <c r="SOS49" s="368"/>
      <c r="SOU49" s="162"/>
      <c r="SSB49" s="368"/>
      <c r="SSG49" s="368"/>
      <c r="SSI49" s="162"/>
      <c r="SVP49" s="368"/>
      <c r="SVU49" s="368"/>
      <c r="SVW49" s="162"/>
      <c r="SZD49" s="368"/>
      <c r="SZI49" s="368"/>
      <c r="SZK49" s="162"/>
      <c r="TCR49" s="368"/>
      <c r="TCW49" s="368"/>
      <c r="TCY49" s="162"/>
      <c r="TGF49" s="368"/>
      <c r="TGK49" s="368"/>
      <c r="TGM49" s="162"/>
      <c r="TJT49" s="368"/>
      <c r="TJY49" s="368"/>
      <c r="TKA49" s="162"/>
      <c r="TNH49" s="368"/>
      <c r="TNM49" s="368"/>
      <c r="TNO49" s="162"/>
      <c r="TQV49" s="368"/>
      <c r="TRA49" s="368"/>
      <c r="TRC49" s="162"/>
      <c r="TUJ49" s="368"/>
      <c r="TUO49" s="368"/>
      <c r="TUQ49" s="162"/>
      <c r="TXX49" s="368"/>
      <c r="TYC49" s="368"/>
      <c r="TYE49" s="162"/>
      <c r="UBL49" s="368"/>
      <c r="UBQ49" s="368"/>
      <c r="UBS49" s="162"/>
      <c r="UEZ49" s="368"/>
      <c r="UFE49" s="368"/>
      <c r="UFG49" s="162"/>
      <c r="UIN49" s="368"/>
      <c r="UIS49" s="368"/>
      <c r="UIU49" s="162"/>
      <c r="UMB49" s="368"/>
      <c r="UMG49" s="368"/>
      <c r="UMI49" s="162"/>
      <c r="UPP49" s="368"/>
      <c r="UPU49" s="368"/>
      <c r="UPW49" s="162"/>
      <c r="UTD49" s="368"/>
      <c r="UTI49" s="368"/>
      <c r="UTK49" s="162"/>
      <c r="UWR49" s="368"/>
      <c r="UWW49" s="368"/>
      <c r="UWY49" s="162"/>
      <c r="VAF49" s="368"/>
      <c r="VAK49" s="368"/>
      <c r="VAM49" s="162"/>
      <c r="VDT49" s="368"/>
      <c r="VDY49" s="368"/>
      <c r="VEA49" s="162"/>
      <c r="VHH49" s="368"/>
      <c r="VHM49" s="368"/>
      <c r="VHO49" s="162"/>
      <c r="VKV49" s="368"/>
      <c r="VLA49" s="368"/>
      <c r="VLC49" s="162"/>
      <c r="VOJ49" s="368"/>
      <c r="VOO49" s="368"/>
      <c r="VOQ49" s="162"/>
      <c r="VRX49" s="368"/>
      <c r="VSC49" s="368"/>
      <c r="VSE49" s="162"/>
      <c r="VVL49" s="368"/>
      <c r="VVQ49" s="368"/>
      <c r="VVS49" s="162"/>
      <c r="VYZ49" s="368"/>
      <c r="VZE49" s="368"/>
      <c r="VZG49" s="162"/>
      <c r="WCN49" s="368"/>
      <c r="WCS49" s="368"/>
      <c r="WCU49" s="162"/>
      <c r="WGB49" s="368"/>
      <c r="WGG49" s="368"/>
      <c r="WGI49" s="162"/>
      <c r="WJP49" s="368"/>
      <c r="WJU49" s="368"/>
      <c r="WJW49" s="162"/>
      <c r="WND49" s="368"/>
      <c r="WNI49" s="368"/>
      <c r="WNK49" s="162"/>
      <c r="WQR49" s="368"/>
      <c r="WQW49" s="368"/>
      <c r="WQY49" s="162"/>
      <c r="WUF49" s="368"/>
      <c r="WUK49" s="368"/>
      <c r="WUM49" s="162"/>
      <c r="WXT49" s="368"/>
      <c r="WXY49" s="368"/>
      <c r="WYA49" s="162"/>
      <c r="XBH49" s="368"/>
      <c r="XBM49" s="368"/>
      <c r="XBO49" s="162"/>
      <c r="XEV49" s="368"/>
      <c r="XFA49" s="368"/>
      <c r="XFC49" s="162"/>
    </row>
    <row r="50" spans="3:1019 1104:2031 2116:3043 3128:4055 4140:5067 5152:6079 6164:7091 7176:8188 8193:9207 9292:10219 10304:11231 11316:12243 12328:13255 13340:14267 14352:15279 15364:16383" s="10" customFormat="1" ht="14.5" customHeight="1">
      <c r="E50" s="47"/>
      <c r="G50" s="11"/>
      <c r="CS50" s="47"/>
      <c r="CU50" s="11"/>
      <c r="GB50" s="47"/>
      <c r="GG50" s="47"/>
      <c r="GI50" s="11"/>
      <c r="JP50" s="47"/>
      <c r="JU50" s="47"/>
      <c r="JW50" s="11"/>
      <c r="ND50" s="47"/>
      <c r="NI50" s="47"/>
      <c r="NK50" s="11"/>
      <c r="QR50" s="47"/>
      <c r="QW50" s="47"/>
      <c r="QY50" s="11"/>
      <c r="UF50" s="47"/>
      <c r="UK50" s="47"/>
      <c r="UM50" s="11"/>
      <c r="XT50" s="47"/>
      <c r="XY50" s="47"/>
      <c r="YA50" s="11"/>
      <c r="ABH50" s="47"/>
      <c r="ABM50" s="47"/>
      <c r="ABO50" s="11"/>
      <c r="AEV50" s="47"/>
      <c r="AFA50" s="47"/>
      <c r="AFC50" s="11"/>
      <c r="AIJ50" s="47"/>
      <c r="AIO50" s="47"/>
      <c r="AIQ50" s="11"/>
      <c r="ALX50" s="47"/>
      <c r="AMC50" s="47"/>
      <c r="AME50" s="11"/>
      <c r="APL50" s="47"/>
      <c r="APQ50" s="47"/>
      <c r="APS50" s="11"/>
      <c r="ASZ50" s="47"/>
      <c r="ATE50" s="47"/>
      <c r="ATG50" s="11"/>
      <c r="AWN50" s="47"/>
      <c r="AWS50" s="47"/>
      <c r="AWU50" s="11"/>
      <c r="BAB50" s="47"/>
      <c r="BAG50" s="47"/>
      <c r="BAI50" s="11"/>
      <c r="BDP50" s="47"/>
      <c r="BDU50" s="47"/>
      <c r="BDW50" s="11"/>
      <c r="BHD50" s="47"/>
      <c r="BHI50" s="47"/>
      <c r="BHK50" s="11"/>
      <c r="BKR50" s="47"/>
      <c r="BKW50" s="47"/>
      <c r="BKY50" s="11"/>
      <c r="BOF50" s="47"/>
      <c r="BOK50" s="47"/>
      <c r="BOM50" s="11"/>
      <c r="BRT50" s="47"/>
      <c r="BRY50" s="47"/>
      <c r="BSA50" s="11"/>
      <c r="BVH50" s="47"/>
      <c r="BVM50" s="47"/>
      <c r="BVO50" s="11"/>
      <c r="BYV50" s="47"/>
      <c r="BZA50" s="47"/>
      <c r="BZC50" s="11"/>
      <c r="CCJ50" s="47"/>
      <c r="CCO50" s="47"/>
      <c r="CCQ50" s="11"/>
      <c r="CFX50" s="47"/>
      <c r="CGC50" s="47"/>
      <c r="CGE50" s="11"/>
      <c r="CJL50" s="47"/>
      <c r="CJQ50" s="47"/>
      <c r="CJS50" s="11"/>
      <c r="CMZ50" s="47"/>
      <c r="CNE50" s="47"/>
      <c r="CNG50" s="11"/>
      <c r="CQN50" s="47"/>
      <c r="CQS50" s="47"/>
      <c r="CQU50" s="11"/>
      <c r="CUB50" s="47"/>
      <c r="CUG50" s="47"/>
      <c r="CUI50" s="11"/>
      <c r="CXP50" s="47"/>
      <c r="CXU50" s="47"/>
      <c r="CXW50" s="11"/>
      <c r="DBD50" s="47"/>
      <c r="DBI50" s="47"/>
      <c r="DBK50" s="11"/>
      <c r="DER50" s="47"/>
      <c r="DEW50" s="47"/>
      <c r="DEY50" s="11"/>
      <c r="DIF50" s="47"/>
      <c r="DIK50" s="47"/>
      <c r="DIM50" s="11"/>
      <c r="DLT50" s="47"/>
      <c r="DLY50" s="47"/>
      <c r="DMA50" s="11"/>
      <c r="DPH50" s="47"/>
      <c r="DPM50" s="47"/>
      <c r="DPO50" s="11"/>
      <c r="DSV50" s="47"/>
      <c r="DTA50" s="47"/>
      <c r="DTC50" s="11"/>
      <c r="DWJ50" s="47"/>
      <c r="DWO50" s="47"/>
      <c r="DWQ50" s="11"/>
      <c r="DZX50" s="47"/>
      <c r="EAC50" s="47"/>
      <c r="EAE50" s="11"/>
      <c r="EDL50" s="47"/>
      <c r="EDQ50" s="47"/>
      <c r="EDS50" s="11"/>
      <c r="EGZ50" s="47"/>
      <c r="EHE50" s="47"/>
      <c r="EHG50" s="11"/>
      <c r="EKN50" s="47"/>
      <c r="EKS50" s="47"/>
      <c r="EKU50" s="11"/>
      <c r="EOB50" s="47"/>
      <c r="EOG50" s="47"/>
      <c r="EOI50" s="11"/>
      <c r="ERP50" s="47"/>
      <c r="ERU50" s="47"/>
      <c r="ERW50" s="11"/>
      <c r="EVD50" s="47"/>
      <c r="EVI50" s="47"/>
      <c r="EVK50" s="11"/>
      <c r="EYR50" s="47"/>
      <c r="EYW50" s="47"/>
      <c r="EYY50" s="11"/>
      <c r="FCF50" s="47"/>
      <c r="FCK50" s="47"/>
      <c r="FCM50" s="11"/>
      <c r="FFT50" s="47"/>
      <c r="FFY50" s="47"/>
      <c r="FGA50" s="11"/>
      <c r="FJH50" s="47"/>
      <c r="FJM50" s="47"/>
      <c r="FJO50" s="11"/>
      <c r="FMV50" s="47"/>
      <c r="FNA50" s="47"/>
      <c r="FNC50" s="11"/>
      <c r="FQJ50" s="47"/>
      <c r="FQO50" s="47"/>
      <c r="FQQ50" s="11"/>
      <c r="FTX50" s="47"/>
      <c r="FUC50" s="47"/>
      <c r="FUE50" s="11"/>
      <c r="FXL50" s="47"/>
      <c r="FXQ50" s="47"/>
      <c r="FXS50" s="11"/>
      <c r="GAZ50" s="47"/>
      <c r="GBE50" s="47"/>
      <c r="GBG50" s="11"/>
      <c r="GEN50" s="47"/>
      <c r="GES50" s="47"/>
      <c r="GEU50" s="11"/>
      <c r="GIB50" s="47"/>
      <c r="GIG50" s="47"/>
      <c r="GII50" s="11"/>
      <c r="GLP50" s="47"/>
      <c r="GLU50" s="47"/>
      <c r="GLW50" s="11"/>
      <c r="GPD50" s="47"/>
      <c r="GPI50" s="47"/>
      <c r="GPK50" s="11"/>
      <c r="GSR50" s="47"/>
      <c r="GSW50" s="47"/>
      <c r="GSY50" s="11"/>
      <c r="GWF50" s="47"/>
      <c r="GWK50" s="47"/>
      <c r="GWM50" s="11"/>
      <c r="GZT50" s="47"/>
      <c r="GZY50" s="47"/>
      <c r="HAA50" s="11"/>
      <c r="HDH50" s="47"/>
      <c r="HDM50" s="47"/>
      <c r="HDO50" s="11"/>
      <c r="HGV50" s="47"/>
      <c r="HHA50" s="47"/>
      <c r="HHC50" s="11"/>
      <c r="HKJ50" s="47"/>
      <c r="HKO50" s="47"/>
      <c r="HKQ50" s="11"/>
      <c r="HNX50" s="47"/>
      <c r="HOC50" s="47"/>
      <c r="HOE50" s="11"/>
      <c r="HRL50" s="47"/>
      <c r="HRQ50" s="47"/>
      <c r="HRS50" s="11"/>
      <c r="HUZ50" s="47"/>
      <c r="HVE50" s="47"/>
      <c r="HVG50" s="11"/>
      <c r="HYN50" s="47"/>
      <c r="HYS50" s="47"/>
      <c r="HYU50" s="11"/>
      <c r="ICB50" s="47"/>
      <c r="ICG50" s="47"/>
      <c r="ICI50" s="11"/>
      <c r="IFP50" s="47"/>
      <c r="IFU50" s="47"/>
      <c r="IFW50" s="11"/>
      <c r="IJD50" s="47"/>
      <c r="IJI50" s="47"/>
      <c r="IJK50" s="11"/>
      <c r="IMR50" s="47"/>
      <c r="IMW50" s="47"/>
      <c r="IMY50" s="11"/>
      <c r="IQF50" s="47"/>
      <c r="IQK50" s="47"/>
      <c r="IQM50" s="11"/>
      <c r="ITT50" s="47"/>
      <c r="ITY50" s="47"/>
      <c r="IUA50" s="11"/>
      <c r="IXH50" s="47"/>
      <c r="IXM50" s="47"/>
      <c r="IXO50" s="11"/>
      <c r="JAV50" s="47"/>
      <c r="JBA50" s="47"/>
      <c r="JBC50" s="11"/>
      <c r="JEJ50" s="47"/>
      <c r="JEO50" s="47"/>
      <c r="JEQ50" s="11"/>
      <c r="JHX50" s="47"/>
      <c r="JIC50" s="47"/>
      <c r="JIE50" s="11"/>
      <c r="JLL50" s="47"/>
      <c r="JLQ50" s="47"/>
      <c r="JLS50" s="11"/>
      <c r="JOZ50" s="47"/>
      <c r="JPE50" s="47"/>
      <c r="JPG50" s="11"/>
      <c r="JSN50" s="47"/>
      <c r="JSS50" s="47"/>
      <c r="JSU50" s="11"/>
      <c r="JWB50" s="47"/>
      <c r="JWG50" s="47"/>
      <c r="JWI50" s="11"/>
      <c r="JZP50" s="47"/>
      <c r="JZU50" s="47"/>
      <c r="JZW50" s="11"/>
      <c r="KDD50" s="47"/>
      <c r="KDI50" s="47"/>
      <c r="KDK50" s="11"/>
      <c r="KGR50" s="47"/>
      <c r="KGW50" s="47"/>
      <c r="KGY50" s="11"/>
      <c r="KKF50" s="47"/>
      <c r="KKK50" s="47"/>
      <c r="KKM50" s="11"/>
      <c r="KNT50" s="47"/>
      <c r="KNY50" s="47"/>
      <c r="KOA50" s="11"/>
      <c r="KRH50" s="47"/>
      <c r="KRM50" s="47"/>
      <c r="KRO50" s="11"/>
      <c r="KUV50" s="47"/>
      <c r="KVA50" s="47"/>
      <c r="KVC50" s="11"/>
      <c r="KYJ50" s="47"/>
      <c r="KYO50" s="47"/>
      <c r="KYQ50" s="11"/>
      <c r="LBX50" s="47"/>
      <c r="LCC50" s="47"/>
      <c r="LCE50" s="11"/>
      <c r="LFL50" s="47"/>
      <c r="LFQ50" s="47"/>
      <c r="LFS50" s="11"/>
      <c r="LIZ50" s="47"/>
      <c r="LJE50" s="47"/>
      <c r="LJG50" s="11"/>
      <c r="LMN50" s="47"/>
      <c r="LMS50" s="47"/>
      <c r="LMU50" s="11"/>
      <c r="LQB50" s="47"/>
      <c r="LQG50" s="47"/>
      <c r="LQI50" s="11"/>
      <c r="LTP50" s="47"/>
      <c r="LTU50" s="47"/>
      <c r="LTW50" s="11"/>
      <c r="LXD50" s="47"/>
      <c r="LXI50" s="47"/>
      <c r="LXK50" s="11"/>
      <c r="MAR50" s="47"/>
      <c r="MAW50" s="47"/>
      <c r="MAY50" s="11"/>
      <c r="MEF50" s="47"/>
      <c r="MEK50" s="47"/>
      <c r="MEM50" s="11"/>
      <c r="MHT50" s="47"/>
      <c r="MHY50" s="47"/>
      <c r="MIA50" s="11"/>
      <c r="MLH50" s="47"/>
      <c r="MLM50" s="47"/>
      <c r="MLO50" s="11"/>
      <c r="MOV50" s="47"/>
      <c r="MPA50" s="47"/>
      <c r="MPC50" s="11"/>
      <c r="MSJ50" s="47"/>
      <c r="MSO50" s="47"/>
      <c r="MSQ50" s="11"/>
      <c r="MVX50" s="47"/>
      <c r="MWC50" s="47"/>
      <c r="MWE50" s="11"/>
      <c r="MZL50" s="47"/>
      <c r="MZQ50" s="47"/>
      <c r="MZS50" s="11"/>
      <c r="NCZ50" s="47"/>
      <c r="NDE50" s="47"/>
      <c r="NDG50" s="11"/>
      <c r="NGN50" s="47"/>
      <c r="NGS50" s="47"/>
      <c r="NGU50" s="11"/>
      <c r="NKB50" s="47"/>
      <c r="NKG50" s="47"/>
      <c r="NKI50" s="11"/>
      <c r="NNP50" s="47"/>
      <c r="NNU50" s="47"/>
      <c r="NNW50" s="11"/>
      <c r="NRD50" s="47"/>
      <c r="NRI50" s="47"/>
      <c r="NRK50" s="11"/>
      <c r="NUR50" s="47"/>
      <c r="NUW50" s="47"/>
      <c r="NUY50" s="11"/>
      <c r="NYF50" s="47"/>
      <c r="NYK50" s="47"/>
      <c r="NYM50" s="11"/>
      <c r="OBT50" s="47"/>
      <c r="OBY50" s="47"/>
      <c r="OCA50" s="11"/>
      <c r="OFH50" s="47"/>
      <c r="OFM50" s="47"/>
      <c r="OFO50" s="11"/>
      <c r="OIV50" s="47"/>
      <c r="OJA50" s="47"/>
      <c r="OJC50" s="11"/>
      <c r="OMJ50" s="47"/>
      <c r="OMO50" s="47"/>
      <c r="OMQ50" s="11"/>
      <c r="OPX50" s="47"/>
      <c r="OQC50" s="47"/>
      <c r="OQE50" s="11"/>
      <c r="OTL50" s="47"/>
      <c r="OTQ50" s="47"/>
      <c r="OTS50" s="11"/>
      <c r="OWZ50" s="47"/>
      <c r="OXE50" s="47"/>
      <c r="OXG50" s="11"/>
      <c r="PAN50" s="47"/>
      <c r="PAS50" s="47"/>
      <c r="PAU50" s="11"/>
      <c r="PEB50" s="47"/>
      <c r="PEG50" s="47"/>
      <c r="PEI50" s="11"/>
      <c r="PHP50" s="47"/>
      <c r="PHU50" s="47"/>
      <c r="PHW50" s="11"/>
      <c r="PLD50" s="47"/>
      <c r="PLI50" s="47"/>
      <c r="PLK50" s="11"/>
      <c r="POR50" s="47"/>
      <c r="POW50" s="47"/>
      <c r="POY50" s="11"/>
      <c r="PSF50" s="47"/>
      <c r="PSK50" s="47"/>
      <c r="PSM50" s="11"/>
      <c r="PVT50" s="47"/>
      <c r="PVY50" s="47"/>
      <c r="PWA50" s="11"/>
      <c r="PZH50" s="47"/>
      <c r="PZM50" s="47"/>
      <c r="PZO50" s="11"/>
      <c r="QCV50" s="47"/>
      <c r="QDA50" s="47"/>
      <c r="QDC50" s="11"/>
      <c r="QGJ50" s="47"/>
      <c r="QGO50" s="47"/>
      <c r="QGQ50" s="11"/>
      <c r="QJX50" s="47"/>
      <c r="QKC50" s="47"/>
      <c r="QKE50" s="11"/>
      <c r="QNL50" s="47"/>
      <c r="QNQ50" s="47"/>
      <c r="QNS50" s="11"/>
      <c r="QQZ50" s="47"/>
      <c r="QRE50" s="47"/>
      <c r="QRG50" s="11"/>
      <c r="QUN50" s="47"/>
      <c r="QUS50" s="47"/>
      <c r="QUU50" s="11"/>
      <c r="QYB50" s="47"/>
      <c r="QYG50" s="47"/>
      <c r="QYI50" s="11"/>
      <c r="RBP50" s="47"/>
      <c r="RBU50" s="47"/>
      <c r="RBW50" s="11"/>
      <c r="RFD50" s="47"/>
      <c r="RFI50" s="47"/>
      <c r="RFK50" s="11"/>
      <c r="RIR50" s="47"/>
      <c r="RIW50" s="47"/>
      <c r="RIY50" s="11"/>
      <c r="RMF50" s="47"/>
      <c r="RMK50" s="47"/>
      <c r="RMM50" s="11"/>
      <c r="RPT50" s="47"/>
      <c r="RPY50" s="47"/>
      <c r="RQA50" s="11"/>
      <c r="RTH50" s="47"/>
      <c r="RTM50" s="47"/>
      <c r="RTO50" s="11"/>
      <c r="RWV50" s="47"/>
      <c r="RXA50" s="47"/>
      <c r="RXC50" s="11"/>
      <c r="SAJ50" s="47"/>
      <c r="SAO50" s="47"/>
      <c r="SAQ50" s="11"/>
      <c r="SDX50" s="47"/>
      <c r="SEC50" s="47"/>
      <c r="SEE50" s="11"/>
      <c r="SHL50" s="47"/>
      <c r="SHQ50" s="47"/>
      <c r="SHS50" s="11"/>
      <c r="SKZ50" s="47"/>
      <c r="SLE50" s="47"/>
      <c r="SLG50" s="11"/>
      <c r="SON50" s="47"/>
      <c r="SOS50" s="47"/>
      <c r="SOU50" s="11"/>
      <c r="SSB50" s="47"/>
      <c r="SSG50" s="47"/>
      <c r="SSI50" s="11"/>
      <c r="SVP50" s="47"/>
      <c r="SVU50" s="47"/>
      <c r="SVW50" s="11"/>
      <c r="SZD50" s="47"/>
      <c r="SZI50" s="47"/>
      <c r="SZK50" s="11"/>
      <c r="TCR50" s="47"/>
      <c r="TCW50" s="47"/>
      <c r="TCY50" s="11"/>
      <c r="TGF50" s="47"/>
      <c r="TGK50" s="47"/>
      <c r="TGM50" s="11"/>
      <c r="TJT50" s="47"/>
      <c r="TJY50" s="47"/>
      <c r="TKA50" s="11"/>
      <c r="TNH50" s="47"/>
      <c r="TNM50" s="47"/>
      <c r="TNO50" s="11"/>
      <c r="TQV50" s="47"/>
      <c r="TRA50" s="47"/>
      <c r="TRC50" s="11"/>
      <c r="TUJ50" s="47"/>
      <c r="TUO50" s="47"/>
      <c r="TUQ50" s="11"/>
      <c r="TXX50" s="47"/>
      <c r="TYC50" s="47"/>
      <c r="TYE50" s="11"/>
      <c r="UBL50" s="47"/>
      <c r="UBQ50" s="47"/>
      <c r="UBS50" s="11"/>
      <c r="UEZ50" s="47"/>
      <c r="UFE50" s="47"/>
      <c r="UFG50" s="11"/>
      <c r="UIN50" s="47"/>
      <c r="UIS50" s="47"/>
      <c r="UIU50" s="11"/>
      <c r="UMB50" s="47"/>
      <c r="UMG50" s="47"/>
      <c r="UMI50" s="11"/>
      <c r="UPP50" s="47"/>
      <c r="UPU50" s="47"/>
      <c r="UPW50" s="11"/>
      <c r="UTD50" s="47"/>
      <c r="UTI50" s="47"/>
      <c r="UTK50" s="11"/>
      <c r="UWR50" s="47"/>
      <c r="UWW50" s="47"/>
      <c r="UWY50" s="11"/>
      <c r="VAF50" s="47"/>
      <c r="VAK50" s="47"/>
      <c r="VAM50" s="11"/>
      <c r="VDT50" s="47"/>
      <c r="VDY50" s="47"/>
      <c r="VEA50" s="11"/>
      <c r="VHH50" s="47"/>
      <c r="VHM50" s="47"/>
      <c r="VHO50" s="11"/>
      <c r="VKV50" s="47"/>
      <c r="VLA50" s="47"/>
      <c r="VLC50" s="11"/>
      <c r="VOJ50" s="47"/>
      <c r="VOO50" s="47"/>
      <c r="VOQ50" s="11"/>
      <c r="VRX50" s="47"/>
      <c r="VSC50" s="47"/>
      <c r="VSE50" s="11"/>
      <c r="VVL50" s="47"/>
      <c r="VVQ50" s="47"/>
      <c r="VVS50" s="11"/>
      <c r="VYZ50" s="47"/>
      <c r="VZE50" s="47"/>
      <c r="VZG50" s="11"/>
      <c r="WCN50" s="47"/>
      <c r="WCS50" s="47"/>
      <c r="WCU50" s="11"/>
      <c r="WGB50" s="47"/>
      <c r="WGG50" s="47"/>
      <c r="WGI50" s="11"/>
      <c r="WJP50" s="47"/>
      <c r="WJU50" s="47"/>
      <c r="WJW50" s="11"/>
      <c r="WND50" s="47"/>
      <c r="WNI50" s="47"/>
      <c r="WNK50" s="11"/>
      <c r="WQR50" s="47"/>
      <c r="WQW50" s="47"/>
      <c r="WQY50" s="11"/>
      <c r="WUF50" s="47"/>
      <c r="WUK50" s="47"/>
      <c r="WUM50" s="11"/>
      <c r="WXT50" s="47"/>
      <c r="WXY50" s="47"/>
      <c r="WYA50" s="11"/>
      <c r="XBH50" s="47"/>
      <c r="XBM50" s="47"/>
      <c r="XBO50" s="11"/>
      <c r="XEV50" s="47"/>
      <c r="XFA50" s="47"/>
      <c r="XFC50" s="11"/>
    </row>
    <row r="51" spans="3:1019 1104:2031 2116:3043 3128:4055 4140:5067 5152:6079 6164:7091 7176:8188 8193:9207 9292:10219 10304:11231 11316:12243 12328:13255 13340:14267 14352:15279 15364:16383" s="10" customFormat="1" ht="14.5" customHeight="1">
      <c r="C51" s="35" t="s">
        <v>1007</v>
      </c>
      <c r="E51" s="47"/>
      <c r="G51" s="162" t="str">
        <f>Monetary_Unit</f>
        <v>тыс. руб.</v>
      </c>
      <c r="I51" s="23">
        <f ca="1">SUM(L51:CM51)</f>
        <v>-721104.62107270537</v>
      </c>
      <c r="L51" s="10">
        <f ca="1" xml:space="preserve"> L37 * L$30</f>
        <v>0</v>
      </c>
      <c r="M51" s="10">
        <f t="shared" ref="M51:BX51" ca="1" si="44" xml:space="preserve"> M37 * M$30</f>
        <v>0</v>
      </c>
      <c r="N51" s="10">
        <f t="shared" ca="1" si="44"/>
        <v>0</v>
      </c>
      <c r="O51" s="10">
        <f t="shared" ca="1" si="44"/>
        <v>0</v>
      </c>
      <c r="P51" s="10">
        <f t="shared" ca="1" si="44"/>
        <v>0</v>
      </c>
      <c r="Q51" s="10">
        <f t="shared" ca="1" si="44"/>
        <v>0</v>
      </c>
      <c r="R51" s="10">
        <f t="shared" ca="1" si="44"/>
        <v>0</v>
      </c>
      <c r="S51" s="10">
        <f t="shared" ca="1" si="44"/>
        <v>0</v>
      </c>
      <c r="T51" s="10">
        <f t="shared" ca="1" si="44"/>
        <v>0</v>
      </c>
      <c r="U51" s="10">
        <f t="shared" ca="1" si="44"/>
        <v>0</v>
      </c>
      <c r="V51" s="10">
        <f t="shared" ca="1" si="44"/>
        <v>0</v>
      </c>
      <c r="W51" s="10">
        <f t="shared" ca="1" si="44"/>
        <v>0</v>
      </c>
      <c r="X51" s="10">
        <f t="shared" ca="1" si="44"/>
        <v>0</v>
      </c>
      <c r="Y51" s="10">
        <f t="shared" ca="1" si="44"/>
        <v>0</v>
      </c>
      <c r="Z51" s="10">
        <f t="shared" ca="1" si="44"/>
        <v>0</v>
      </c>
      <c r="AA51" s="10">
        <f t="shared" ca="1" si="44"/>
        <v>0</v>
      </c>
      <c r="AB51" s="10">
        <f t="shared" ca="1" si="44"/>
        <v>0</v>
      </c>
      <c r="AC51" s="10">
        <f t="shared" ca="1" si="44"/>
        <v>-418741.64152946632</v>
      </c>
      <c r="AD51" s="10">
        <f t="shared" ca="1" si="44"/>
        <v>-67989.104266137292</v>
      </c>
      <c r="AE51" s="10">
        <f t="shared" ca="1" si="44"/>
        <v>-13055.32990859786</v>
      </c>
      <c r="AF51" s="10">
        <f t="shared" ca="1" si="44"/>
        <v>-16356.678780590972</v>
      </c>
      <c r="AG51" s="10">
        <f t="shared" ca="1" si="44"/>
        <v>-9341.5344885791019</v>
      </c>
      <c r="AH51" s="10">
        <f t="shared" ca="1" si="44"/>
        <v>-8829.7480989896649</v>
      </c>
      <c r="AI51" s="10">
        <f t="shared" ca="1" si="44"/>
        <v>-13412.896992123069</v>
      </c>
      <c r="AJ51" s="10">
        <f t="shared" ca="1" si="44"/>
        <v>-16728.058870324065</v>
      </c>
      <c r="AK51" s="10">
        <f t="shared" ca="1" si="44"/>
        <v>-9511.4746661045283</v>
      </c>
      <c r="AL51" s="10">
        <f t="shared" ca="1" si="44"/>
        <v>-8954.1068780362984</v>
      </c>
      <c r="AM51" s="10">
        <f t="shared" ca="1" si="44"/>
        <v>-13551.469723207325</v>
      </c>
      <c r="AN51" s="10">
        <f t="shared" ca="1" si="44"/>
        <v>-16841.152708792801</v>
      </c>
      <c r="AO51" s="10">
        <f t="shared" ca="1" si="44"/>
        <v>-9542.7567951724614</v>
      </c>
      <c r="AP51" s="10">
        <f t="shared" ca="1" si="44"/>
        <v>-9054.4782533548569</v>
      </c>
      <c r="AQ51" s="10">
        <f t="shared" ca="1" si="44"/>
        <v>-13513.050364044197</v>
      </c>
      <c r="AR51" s="10">
        <f t="shared" ca="1" si="44"/>
        <v>-16327.780214020106</v>
      </c>
      <c r="AS51" s="10">
        <f t="shared" ca="1" si="44"/>
        <v>-9001.6969707254102</v>
      </c>
      <c r="AT51" s="10">
        <f t="shared" ca="1" si="44"/>
        <v>-8225.3750978198768</v>
      </c>
      <c r="AU51" s="10">
        <f t="shared" ca="1" si="44"/>
        <v>-12094.333287700239</v>
      </c>
      <c r="AV51" s="10">
        <f t="shared" ca="1" si="44"/>
        <v>-14613.540111441351</v>
      </c>
      <c r="AW51" s="10">
        <f t="shared" ca="1" si="44"/>
        <v>-8056.6315685682066</v>
      </c>
      <c r="AX51" s="10">
        <f t="shared" ca="1" si="44"/>
        <v>-7361.781498909354</v>
      </c>
      <c r="AY51" s="10">
        <f t="shared" ca="1" si="44"/>
        <v>0</v>
      </c>
      <c r="AZ51" s="10">
        <f t="shared" ca="1" si="44"/>
        <v>0</v>
      </c>
      <c r="BA51" s="10">
        <f t="shared" ca="1" si="44"/>
        <v>0</v>
      </c>
      <c r="BB51" s="10">
        <f t="shared" ca="1" si="44"/>
        <v>0</v>
      </c>
      <c r="BC51" s="10">
        <f t="shared" ca="1" si="44"/>
        <v>0</v>
      </c>
      <c r="BD51" s="10">
        <f t="shared" ca="1" si="44"/>
        <v>0</v>
      </c>
      <c r="BE51" s="10">
        <f t="shared" ca="1" si="44"/>
        <v>0</v>
      </c>
      <c r="BF51" s="10">
        <f t="shared" ca="1" si="44"/>
        <v>0</v>
      </c>
      <c r="BG51" s="10">
        <f t="shared" ca="1" si="44"/>
        <v>0</v>
      </c>
      <c r="BH51" s="10">
        <f t="shared" ca="1" si="44"/>
        <v>0</v>
      </c>
      <c r="BI51" s="10">
        <f t="shared" ca="1" si="44"/>
        <v>0</v>
      </c>
      <c r="BJ51" s="10">
        <f t="shared" ca="1" si="44"/>
        <v>0</v>
      </c>
      <c r="BK51" s="10">
        <f t="shared" ca="1" si="44"/>
        <v>0</v>
      </c>
      <c r="BL51" s="10">
        <f t="shared" ca="1" si="44"/>
        <v>0</v>
      </c>
      <c r="BM51" s="10">
        <f t="shared" ca="1" si="44"/>
        <v>0</v>
      </c>
      <c r="BN51" s="10">
        <f t="shared" ca="1" si="44"/>
        <v>0</v>
      </c>
      <c r="BO51" s="10">
        <f t="shared" ca="1" si="44"/>
        <v>0</v>
      </c>
      <c r="BP51" s="10">
        <f t="shared" ca="1" si="44"/>
        <v>0</v>
      </c>
      <c r="BQ51" s="10">
        <f t="shared" ca="1" si="44"/>
        <v>0</v>
      </c>
      <c r="BR51" s="10">
        <f t="shared" ca="1" si="44"/>
        <v>0</v>
      </c>
      <c r="BS51" s="10">
        <f t="shared" ca="1" si="44"/>
        <v>0</v>
      </c>
      <c r="BT51" s="10">
        <f t="shared" ca="1" si="44"/>
        <v>0</v>
      </c>
      <c r="BU51" s="10">
        <f t="shared" ca="1" si="44"/>
        <v>0</v>
      </c>
      <c r="BV51" s="10">
        <f t="shared" ca="1" si="44"/>
        <v>0</v>
      </c>
      <c r="BW51" s="10">
        <f t="shared" ca="1" si="44"/>
        <v>0</v>
      </c>
      <c r="BX51" s="10">
        <f t="shared" ca="1" si="44"/>
        <v>0</v>
      </c>
      <c r="BY51" s="10">
        <f t="shared" ref="BY51:CM51" ca="1" si="45" xml:space="preserve"> BY37 * BY$30</f>
        <v>0</v>
      </c>
      <c r="BZ51" s="10">
        <f t="shared" ca="1" si="45"/>
        <v>0</v>
      </c>
      <c r="CA51" s="10">
        <f t="shared" ca="1" si="45"/>
        <v>0</v>
      </c>
      <c r="CB51" s="10">
        <f t="shared" ca="1" si="45"/>
        <v>0</v>
      </c>
      <c r="CC51" s="10">
        <f t="shared" ca="1" si="45"/>
        <v>0</v>
      </c>
      <c r="CD51" s="10">
        <f t="shared" ca="1" si="45"/>
        <v>0</v>
      </c>
      <c r="CE51" s="10">
        <f t="shared" ca="1" si="45"/>
        <v>0</v>
      </c>
      <c r="CF51" s="10">
        <f t="shared" ca="1" si="45"/>
        <v>0</v>
      </c>
      <c r="CG51" s="10">
        <f t="shared" ca="1" si="45"/>
        <v>0</v>
      </c>
      <c r="CH51" s="10">
        <f t="shared" ca="1" si="45"/>
        <v>0</v>
      </c>
      <c r="CI51" s="10">
        <f t="shared" ca="1" si="45"/>
        <v>0</v>
      </c>
      <c r="CJ51" s="10">
        <f t="shared" ca="1" si="45"/>
        <v>0</v>
      </c>
      <c r="CK51" s="10">
        <f t="shared" ca="1" si="45"/>
        <v>0</v>
      </c>
      <c r="CL51" s="10">
        <f t="shared" ca="1" si="45"/>
        <v>0</v>
      </c>
      <c r="CM51" s="10">
        <f t="shared" ca="1" si="45"/>
        <v>0</v>
      </c>
      <c r="CN51" s="10">
        <f t="shared" ref="CN51:CO51" ca="1" si="46" xml:space="preserve"> CN37 * CN$30</f>
        <v>0</v>
      </c>
      <c r="CO51" s="10">
        <f t="shared" ca="1" si="46"/>
        <v>0</v>
      </c>
      <c r="CS51" s="47"/>
      <c r="CU51" s="11"/>
      <c r="GB51" s="47"/>
      <c r="GG51" s="47"/>
      <c r="GI51" s="11"/>
      <c r="JP51" s="47"/>
      <c r="JU51" s="47"/>
      <c r="JW51" s="11"/>
      <c r="ND51" s="47"/>
      <c r="NI51" s="47"/>
      <c r="NK51" s="11"/>
      <c r="QR51" s="47"/>
      <c r="QW51" s="47"/>
      <c r="QY51" s="11"/>
      <c r="UF51" s="47"/>
      <c r="UK51" s="47"/>
      <c r="UM51" s="11"/>
      <c r="XT51" s="47"/>
      <c r="XY51" s="47"/>
      <c r="YA51" s="11"/>
      <c r="ABH51" s="47"/>
      <c r="ABM51" s="47"/>
      <c r="ABO51" s="11"/>
      <c r="AEV51" s="47"/>
      <c r="AFA51" s="47"/>
      <c r="AFC51" s="11"/>
      <c r="AIJ51" s="47"/>
      <c r="AIO51" s="47"/>
      <c r="AIQ51" s="11"/>
      <c r="ALX51" s="47"/>
      <c r="AMC51" s="47"/>
      <c r="AME51" s="11"/>
      <c r="APL51" s="47"/>
      <c r="APQ51" s="47"/>
      <c r="APS51" s="11"/>
      <c r="ASZ51" s="47"/>
      <c r="ATE51" s="47"/>
      <c r="ATG51" s="11"/>
      <c r="AWN51" s="47"/>
      <c r="AWS51" s="47"/>
      <c r="AWU51" s="11"/>
      <c r="BAB51" s="47"/>
      <c r="BAG51" s="47"/>
      <c r="BAI51" s="11"/>
      <c r="BDP51" s="47"/>
      <c r="BDU51" s="47"/>
      <c r="BDW51" s="11"/>
      <c r="BHD51" s="47"/>
      <c r="BHI51" s="47"/>
      <c r="BHK51" s="11"/>
      <c r="BKR51" s="47"/>
      <c r="BKW51" s="47"/>
      <c r="BKY51" s="11"/>
      <c r="BOF51" s="47"/>
      <c r="BOK51" s="47"/>
      <c r="BOM51" s="11"/>
      <c r="BRT51" s="47"/>
      <c r="BRY51" s="47"/>
      <c r="BSA51" s="11"/>
      <c r="BVH51" s="47"/>
      <c r="BVM51" s="47"/>
      <c r="BVO51" s="11"/>
      <c r="BYV51" s="47"/>
      <c r="BZA51" s="47"/>
      <c r="BZC51" s="11"/>
      <c r="CCJ51" s="47"/>
      <c r="CCO51" s="47"/>
      <c r="CCQ51" s="11"/>
      <c r="CFX51" s="47"/>
      <c r="CGC51" s="47"/>
      <c r="CGE51" s="11"/>
      <c r="CJL51" s="47"/>
      <c r="CJQ51" s="47"/>
      <c r="CJS51" s="11"/>
      <c r="CMZ51" s="47"/>
      <c r="CNE51" s="47"/>
      <c r="CNG51" s="11"/>
      <c r="CQN51" s="47"/>
      <c r="CQS51" s="47"/>
      <c r="CQU51" s="11"/>
      <c r="CUB51" s="47"/>
      <c r="CUG51" s="47"/>
      <c r="CUI51" s="11"/>
      <c r="CXP51" s="47"/>
      <c r="CXU51" s="47"/>
      <c r="CXW51" s="11"/>
      <c r="DBD51" s="47"/>
      <c r="DBI51" s="47"/>
      <c r="DBK51" s="11"/>
      <c r="DER51" s="47"/>
      <c r="DEW51" s="47"/>
      <c r="DEY51" s="11"/>
      <c r="DIF51" s="47"/>
      <c r="DIK51" s="47"/>
      <c r="DIM51" s="11"/>
      <c r="DLT51" s="47"/>
      <c r="DLY51" s="47"/>
      <c r="DMA51" s="11"/>
      <c r="DPH51" s="47"/>
      <c r="DPM51" s="47"/>
      <c r="DPO51" s="11"/>
      <c r="DSV51" s="47"/>
      <c r="DTA51" s="47"/>
      <c r="DTC51" s="11"/>
      <c r="DWJ51" s="47"/>
      <c r="DWO51" s="47"/>
      <c r="DWQ51" s="11"/>
      <c r="DZX51" s="47"/>
      <c r="EAC51" s="47"/>
      <c r="EAE51" s="11"/>
      <c r="EDL51" s="47"/>
      <c r="EDQ51" s="47"/>
      <c r="EDS51" s="11"/>
      <c r="EGZ51" s="47"/>
      <c r="EHE51" s="47"/>
      <c r="EHG51" s="11"/>
      <c r="EKN51" s="47"/>
      <c r="EKS51" s="47"/>
      <c r="EKU51" s="11"/>
      <c r="EOB51" s="47"/>
      <c r="EOG51" s="47"/>
      <c r="EOI51" s="11"/>
      <c r="ERP51" s="47"/>
      <c r="ERU51" s="47"/>
      <c r="ERW51" s="11"/>
      <c r="EVD51" s="47"/>
      <c r="EVI51" s="47"/>
      <c r="EVK51" s="11"/>
      <c r="EYR51" s="47"/>
      <c r="EYW51" s="47"/>
      <c r="EYY51" s="11"/>
      <c r="FCF51" s="47"/>
      <c r="FCK51" s="47"/>
      <c r="FCM51" s="11"/>
      <c r="FFT51" s="47"/>
      <c r="FFY51" s="47"/>
      <c r="FGA51" s="11"/>
      <c r="FJH51" s="47"/>
      <c r="FJM51" s="47"/>
      <c r="FJO51" s="11"/>
      <c r="FMV51" s="47"/>
      <c r="FNA51" s="47"/>
      <c r="FNC51" s="11"/>
      <c r="FQJ51" s="47"/>
      <c r="FQO51" s="47"/>
      <c r="FQQ51" s="11"/>
      <c r="FTX51" s="47"/>
      <c r="FUC51" s="47"/>
      <c r="FUE51" s="11"/>
      <c r="FXL51" s="47"/>
      <c r="FXQ51" s="47"/>
      <c r="FXS51" s="11"/>
      <c r="GAZ51" s="47"/>
      <c r="GBE51" s="47"/>
      <c r="GBG51" s="11"/>
      <c r="GEN51" s="47"/>
      <c r="GES51" s="47"/>
      <c r="GEU51" s="11"/>
      <c r="GIB51" s="47"/>
      <c r="GIG51" s="47"/>
      <c r="GII51" s="11"/>
      <c r="GLP51" s="47"/>
      <c r="GLU51" s="47"/>
      <c r="GLW51" s="11"/>
      <c r="GPD51" s="47"/>
      <c r="GPI51" s="47"/>
      <c r="GPK51" s="11"/>
      <c r="GSR51" s="47"/>
      <c r="GSW51" s="47"/>
      <c r="GSY51" s="11"/>
      <c r="GWF51" s="47"/>
      <c r="GWK51" s="47"/>
      <c r="GWM51" s="11"/>
      <c r="GZT51" s="47"/>
      <c r="GZY51" s="47"/>
      <c r="HAA51" s="11"/>
      <c r="HDH51" s="47"/>
      <c r="HDM51" s="47"/>
      <c r="HDO51" s="11"/>
      <c r="HGV51" s="47"/>
      <c r="HHA51" s="47"/>
      <c r="HHC51" s="11"/>
      <c r="HKJ51" s="47"/>
      <c r="HKO51" s="47"/>
      <c r="HKQ51" s="11"/>
      <c r="HNX51" s="47"/>
      <c r="HOC51" s="47"/>
      <c r="HOE51" s="11"/>
      <c r="HRL51" s="47"/>
      <c r="HRQ51" s="47"/>
      <c r="HRS51" s="11"/>
      <c r="HUZ51" s="47"/>
      <c r="HVE51" s="47"/>
      <c r="HVG51" s="11"/>
      <c r="HYN51" s="47"/>
      <c r="HYS51" s="47"/>
      <c r="HYU51" s="11"/>
      <c r="ICB51" s="47"/>
      <c r="ICG51" s="47"/>
      <c r="ICI51" s="11"/>
      <c r="IFP51" s="47"/>
      <c r="IFU51" s="47"/>
      <c r="IFW51" s="11"/>
      <c r="IJD51" s="47"/>
      <c r="IJI51" s="47"/>
      <c r="IJK51" s="11"/>
      <c r="IMR51" s="47"/>
      <c r="IMW51" s="47"/>
      <c r="IMY51" s="11"/>
      <c r="IQF51" s="47"/>
      <c r="IQK51" s="47"/>
      <c r="IQM51" s="11"/>
      <c r="ITT51" s="47"/>
      <c r="ITY51" s="47"/>
      <c r="IUA51" s="11"/>
      <c r="IXH51" s="47"/>
      <c r="IXM51" s="47"/>
      <c r="IXO51" s="11"/>
      <c r="JAV51" s="47"/>
      <c r="JBA51" s="47"/>
      <c r="JBC51" s="11"/>
      <c r="JEJ51" s="47"/>
      <c r="JEO51" s="47"/>
      <c r="JEQ51" s="11"/>
      <c r="JHX51" s="47"/>
      <c r="JIC51" s="47"/>
      <c r="JIE51" s="11"/>
      <c r="JLL51" s="47"/>
      <c r="JLQ51" s="47"/>
      <c r="JLS51" s="11"/>
      <c r="JOZ51" s="47"/>
      <c r="JPE51" s="47"/>
      <c r="JPG51" s="11"/>
      <c r="JSN51" s="47"/>
      <c r="JSS51" s="47"/>
      <c r="JSU51" s="11"/>
      <c r="JWB51" s="47"/>
      <c r="JWG51" s="47"/>
      <c r="JWI51" s="11"/>
      <c r="JZP51" s="47"/>
      <c r="JZU51" s="47"/>
      <c r="JZW51" s="11"/>
      <c r="KDD51" s="47"/>
      <c r="KDI51" s="47"/>
      <c r="KDK51" s="11"/>
      <c r="KGR51" s="47"/>
      <c r="KGW51" s="47"/>
      <c r="KGY51" s="11"/>
      <c r="KKF51" s="47"/>
      <c r="KKK51" s="47"/>
      <c r="KKM51" s="11"/>
      <c r="KNT51" s="47"/>
      <c r="KNY51" s="47"/>
      <c r="KOA51" s="11"/>
      <c r="KRH51" s="47"/>
      <c r="KRM51" s="47"/>
      <c r="KRO51" s="11"/>
      <c r="KUV51" s="47"/>
      <c r="KVA51" s="47"/>
      <c r="KVC51" s="11"/>
      <c r="KYJ51" s="47"/>
      <c r="KYO51" s="47"/>
      <c r="KYQ51" s="11"/>
      <c r="LBX51" s="47"/>
      <c r="LCC51" s="47"/>
      <c r="LCE51" s="11"/>
      <c r="LFL51" s="47"/>
      <c r="LFQ51" s="47"/>
      <c r="LFS51" s="11"/>
      <c r="LIZ51" s="47"/>
      <c r="LJE51" s="47"/>
      <c r="LJG51" s="11"/>
      <c r="LMN51" s="47"/>
      <c r="LMS51" s="47"/>
      <c r="LMU51" s="11"/>
      <c r="LQB51" s="47"/>
      <c r="LQG51" s="47"/>
      <c r="LQI51" s="11"/>
      <c r="LTP51" s="47"/>
      <c r="LTU51" s="47"/>
      <c r="LTW51" s="11"/>
      <c r="LXD51" s="47"/>
      <c r="LXI51" s="47"/>
      <c r="LXK51" s="11"/>
      <c r="MAR51" s="47"/>
      <c r="MAW51" s="47"/>
      <c r="MAY51" s="11"/>
      <c r="MEF51" s="47"/>
      <c r="MEK51" s="47"/>
      <c r="MEM51" s="11"/>
      <c r="MHT51" s="47"/>
      <c r="MHY51" s="47"/>
      <c r="MIA51" s="11"/>
      <c r="MLH51" s="47"/>
      <c r="MLM51" s="47"/>
      <c r="MLO51" s="11"/>
      <c r="MOV51" s="47"/>
      <c r="MPA51" s="47"/>
      <c r="MPC51" s="11"/>
      <c r="MSJ51" s="47"/>
      <c r="MSO51" s="47"/>
      <c r="MSQ51" s="11"/>
      <c r="MVX51" s="47"/>
      <c r="MWC51" s="47"/>
      <c r="MWE51" s="11"/>
      <c r="MZL51" s="47"/>
      <c r="MZQ51" s="47"/>
      <c r="MZS51" s="11"/>
      <c r="NCZ51" s="47"/>
      <c r="NDE51" s="47"/>
      <c r="NDG51" s="11"/>
      <c r="NGN51" s="47"/>
      <c r="NGS51" s="47"/>
      <c r="NGU51" s="11"/>
      <c r="NKB51" s="47"/>
      <c r="NKG51" s="47"/>
      <c r="NKI51" s="11"/>
      <c r="NNP51" s="47"/>
      <c r="NNU51" s="47"/>
      <c r="NNW51" s="11"/>
      <c r="NRD51" s="47"/>
      <c r="NRI51" s="47"/>
      <c r="NRK51" s="11"/>
      <c r="NUR51" s="47"/>
      <c r="NUW51" s="47"/>
      <c r="NUY51" s="11"/>
      <c r="NYF51" s="47"/>
      <c r="NYK51" s="47"/>
      <c r="NYM51" s="11"/>
      <c r="OBT51" s="47"/>
      <c r="OBY51" s="47"/>
      <c r="OCA51" s="11"/>
      <c r="OFH51" s="47"/>
      <c r="OFM51" s="47"/>
      <c r="OFO51" s="11"/>
      <c r="OIV51" s="47"/>
      <c r="OJA51" s="47"/>
      <c r="OJC51" s="11"/>
      <c r="OMJ51" s="47"/>
      <c r="OMO51" s="47"/>
      <c r="OMQ51" s="11"/>
      <c r="OPX51" s="47"/>
      <c r="OQC51" s="47"/>
      <c r="OQE51" s="11"/>
      <c r="OTL51" s="47"/>
      <c r="OTQ51" s="47"/>
      <c r="OTS51" s="11"/>
      <c r="OWZ51" s="47"/>
      <c r="OXE51" s="47"/>
      <c r="OXG51" s="11"/>
      <c r="PAN51" s="47"/>
      <c r="PAS51" s="47"/>
      <c r="PAU51" s="11"/>
      <c r="PEB51" s="47"/>
      <c r="PEG51" s="47"/>
      <c r="PEI51" s="11"/>
      <c r="PHP51" s="47"/>
      <c r="PHU51" s="47"/>
      <c r="PHW51" s="11"/>
      <c r="PLD51" s="47"/>
      <c r="PLI51" s="47"/>
      <c r="PLK51" s="11"/>
      <c r="POR51" s="47"/>
      <c r="POW51" s="47"/>
      <c r="POY51" s="11"/>
      <c r="PSF51" s="47"/>
      <c r="PSK51" s="47"/>
      <c r="PSM51" s="11"/>
      <c r="PVT51" s="47"/>
      <c r="PVY51" s="47"/>
      <c r="PWA51" s="11"/>
      <c r="PZH51" s="47"/>
      <c r="PZM51" s="47"/>
      <c r="PZO51" s="11"/>
      <c r="QCV51" s="47"/>
      <c r="QDA51" s="47"/>
      <c r="QDC51" s="11"/>
      <c r="QGJ51" s="47"/>
      <c r="QGO51" s="47"/>
      <c r="QGQ51" s="11"/>
      <c r="QJX51" s="47"/>
      <c r="QKC51" s="47"/>
      <c r="QKE51" s="11"/>
      <c r="QNL51" s="47"/>
      <c r="QNQ51" s="47"/>
      <c r="QNS51" s="11"/>
      <c r="QQZ51" s="47"/>
      <c r="QRE51" s="47"/>
      <c r="QRG51" s="11"/>
      <c r="QUN51" s="47"/>
      <c r="QUS51" s="47"/>
      <c r="QUU51" s="11"/>
      <c r="QYB51" s="47"/>
      <c r="QYG51" s="47"/>
      <c r="QYI51" s="11"/>
      <c r="RBP51" s="47"/>
      <c r="RBU51" s="47"/>
      <c r="RBW51" s="11"/>
      <c r="RFD51" s="47"/>
      <c r="RFI51" s="47"/>
      <c r="RFK51" s="11"/>
      <c r="RIR51" s="47"/>
      <c r="RIW51" s="47"/>
      <c r="RIY51" s="11"/>
      <c r="RMF51" s="47"/>
      <c r="RMK51" s="47"/>
      <c r="RMM51" s="11"/>
      <c r="RPT51" s="47"/>
      <c r="RPY51" s="47"/>
      <c r="RQA51" s="11"/>
      <c r="RTH51" s="47"/>
      <c r="RTM51" s="47"/>
      <c r="RTO51" s="11"/>
      <c r="RWV51" s="47"/>
      <c r="RXA51" s="47"/>
      <c r="RXC51" s="11"/>
      <c r="SAJ51" s="47"/>
      <c r="SAO51" s="47"/>
      <c r="SAQ51" s="11"/>
      <c r="SDX51" s="47"/>
      <c r="SEC51" s="47"/>
      <c r="SEE51" s="11"/>
      <c r="SHL51" s="47"/>
      <c r="SHQ51" s="47"/>
      <c r="SHS51" s="11"/>
      <c r="SKZ51" s="47"/>
      <c r="SLE51" s="47"/>
      <c r="SLG51" s="11"/>
      <c r="SON51" s="47"/>
      <c r="SOS51" s="47"/>
      <c r="SOU51" s="11"/>
      <c r="SSB51" s="47"/>
      <c r="SSG51" s="47"/>
      <c r="SSI51" s="11"/>
      <c r="SVP51" s="47"/>
      <c r="SVU51" s="47"/>
      <c r="SVW51" s="11"/>
      <c r="SZD51" s="47"/>
      <c r="SZI51" s="47"/>
      <c r="SZK51" s="11"/>
      <c r="TCR51" s="47"/>
      <c r="TCW51" s="47"/>
      <c r="TCY51" s="11"/>
      <c r="TGF51" s="47"/>
      <c r="TGK51" s="47"/>
      <c r="TGM51" s="11"/>
      <c r="TJT51" s="47"/>
      <c r="TJY51" s="47"/>
      <c r="TKA51" s="11"/>
      <c r="TNH51" s="47"/>
      <c r="TNM51" s="47"/>
      <c r="TNO51" s="11"/>
      <c r="TQV51" s="47"/>
      <c r="TRA51" s="47"/>
      <c r="TRC51" s="11"/>
      <c r="TUJ51" s="47"/>
      <c r="TUO51" s="47"/>
      <c r="TUQ51" s="11"/>
      <c r="TXX51" s="47"/>
      <c r="TYC51" s="47"/>
      <c r="TYE51" s="11"/>
      <c r="UBL51" s="47"/>
      <c r="UBQ51" s="47"/>
      <c r="UBS51" s="11"/>
      <c r="UEZ51" s="47"/>
      <c r="UFE51" s="47"/>
      <c r="UFG51" s="11"/>
      <c r="UIN51" s="47"/>
      <c r="UIS51" s="47"/>
      <c r="UIU51" s="11"/>
      <c r="UMB51" s="47"/>
      <c r="UMG51" s="47"/>
      <c r="UMI51" s="11"/>
      <c r="UPP51" s="47"/>
      <c r="UPU51" s="47"/>
      <c r="UPW51" s="11"/>
      <c r="UTD51" s="47"/>
      <c r="UTI51" s="47"/>
      <c r="UTK51" s="11"/>
      <c r="UWR51" s="47"/>
      <c r="UWW51" s="47"/>
      <c r="UWY51" s="11"/>
      <c r="VAF51" s="47"/>
      <c r="VAK51" s="47"/>
      <c r="VAM51" s="11"/>
      <c r="VDT51" s="47"/>
      <c r="VDY51" s="47"/>
      <c r="VEA51" s="11"/>
      <c r="VHH51" s="47"/>
      <c r="VHM51" s="47"/>
      <c r="VHO51" s="11"/>
      <c r="VKV51" s="47"/>
      <c r="VLA51" s="47"/>
      <c r="VLC51" s="11"/>
      <c r="VOJ51" s="47"/>
      <c r="VOO51" s="47"/>
      <c r="VOQ51" s="11"/>
      <c r="VRX51" s="47"/>
      <c r="VSC51" s="47"/>
      <c r="VSE51" s="11"/>
      <c r="VVL51" s="47"/>
      <c r="VVQ51" s="47"/>
      <c r="VVS51" s="11"/>
      <c r="VYZ51" s="47"/>
      <c r="VZE51" s="47"/>
      <c r="VZG51" s="11"/>
      <c r="WCN51" s="47"/>
      <c r="WCS51" s="47"/>
      <c r="WCU51" s="11"/>
      <c r="WGB51" s="47"/>
      <c r="WGG51" s="47"/>
      <c r="WGI51" s="11"/>
      <c r="WJP51" s="47"/>
      <c r="WJU51" s="47"/>
      <c r="WJW51" s="11"/>
      <c r="WND51" s="47"/>
      <c r="WNI51" s="47"/>
      <c r="WNK51" s="11"/>
      <c r="WQR51" s="47"/>
      <c r="WQW51" s="47"/>
      <c r="WQY51" s="11"/>
      <c r="WUF51" s="47"/>
      <c r="WUK51" s="47"/>
      <c r="WUM51" s="11"/>
      <c r="WXT51" s="47"/>
      <c r="WXY51" s="47"/>
      <c r="WYA51" s="11"/>
      <c r="XBH51" s="47"/>
      <c r="XBM51" s="47"/>
      <c r="XBO51" s="11"/>
      <c r="XEV51" s="47"/>
      <c r="XFA51" s="47"/>
      <c r="XFC51" s="11"/>
    </row>
    <row r="52" spans="3:1019 1104:2031 2116:3043 3128:4055 4140:5067 5152:6079 6164:7091 7176:8188 8193:9207 9292:10219 10304:11231 11316:12243 12328:13255 13340:14267 14352:15279 15364:16383" s="10" customFormat="1" ht="14.5" customHeight="1">
      <c r="C52" s="35" t="s">
        <v>1008</v>
      </c>
      <c r="E52" s="47"/>
      <c r="G52" s="162" t="str">
        <f>Monetary_Unit</f>
        <v>тыс. руб.</v>
      </c>
      <c r="I52" s="23">
        <f ca="1">SUM(L52:CM52)</f>
        <v>1190751.9501992262</v>
      </c>
      <c r="L52" s="10">
        <f ca="1" xml:space="preserve"> L42 * L$30</f>
        <v>0</v>
      </c>
      <c r="M52" s="10">
        <f t="shared" ref="M52:BX52" ca="1" si="47" xml:space="preserve"> M42 * M$30</f>
        <v>0</v>
      </c>
      <c r="N52" s="10">
        <f t="shared" ca="1" si="47"/>
        <v>0</v>
      </c>
      <c r="O52" s="10">
        <f t="shared" ca="1" si="47"/>
        <v>0</v>
      </c>
      <c r="P52" s="10">
        <f t="shared" ca="1" si="47"/>
        <v>0</v>
      </c>
      <c r="Q52" s="10">
        <f t="shared" ca="1" si="47"/>
        <v>0</v>
      </c>
      <c r="R52" s="10">
        <f t="shared" ca="1" si="47"/>
        <v>0</v>
      </c>
      <c r="S52" s="10">
        <f t="shared" ca="1" si="47"/>
        <v>0</v>
      </c>
      <c r="T52" s="10">
        <f t="shared" ca="1" si="47"/>
        <v>0</v>
      </c>
      <c r="U52" s="10">
        <f ca="1" xml:space="preserve"> U42 * U$30</f>
        <v>0</v>
      </c>
      <c r="V52" s="10">
        <f t="shared" ca="1" si="47"/>
        <v>0</v>
      </c>
      <c r="W52" s="10">
        <f t="shared" ca="1" si="47"/>
        <v>0</v>
      </c>
      <c r="X52" s="10">
        <f t="shared" ca="1" si="47"/>
        <v>0</v>
      </c>
      <c r="Y52" s="10">
        <f t="shared" ca="1" si="47"/>
        <v>0</v>
      </c>
      <c r="Z52" s="10">
        <f t="shared" ca="1" si="47"/>
        <v>0</v>
      </c>
      <c r="AA52" s="10">
        <f t="shared" ca="1" si="47"/>
        <v>0</v>
      </c>
      <c r="AB52" s="10">
        <f t="shared" ca="1" si="47"/>
        <v>0</v>
      </c>
      <c r="AC52" s="10">
        <f t="shared" ca="1" si="47"/>
        <v>17280.252581135046</v>
      </c>
      <c r="AD52" s="10">
        <f t="shared" ca="1" si="47"/>
        <v>22338.661743487919</v>
      </c>
      <c r="AE52" s="10">
        <f t="shared" ca="1" si="47"/>
        <v>12519.823249291028</v>
      </c>
      <c r="AF52" s="10">
        <f t="shared" ca="1" si="47"/>
        <v>11837.633429488114</v>
      </c>
      <c r="AG52" s="10">
        <f t="shared" ca="1" si="47"/>
        <v>18297.316873564632</v>
      </c>
      <c r="AH52" s="10">
        <f t="shared" ca="1" si="47"/>
        <v>22975.851131572905</v>
      </c>
      <c r="AI52" s="10">
        <f t="shared" ca="1" si="47"/>
        <v>12869.218465551543</v>
      </c>
      <c r="AJ52" s="10">
        <f t="shared" ca="1" si="47"/>
        <v>12116.724750863235</v>
      </c>
      <c r="AK52" s="10">
        <f t="shared" ca="1" si="47"/>
        <v>18592.594881458266</v>
      </c>
      <c r="AL52" s="10">
        <f t="shared" ca="1" si="47"/>
        <v>23231.701346613641</v>
      </c>
      <c r="AM52" s="10">
        <f t="shared" ca="1" si="47"/>
        <v>13005.990741296378</v>
      </c>
      <c r="AN52" s="10">
        <f t="shared" ca="1" si="47"/>
        <v>12343.670315913942</v>
      </c>
      <c r="AO52" s="10">
        <f t="shared" ca="1" si="47"/>
        <v>18623.432036016551</v>
      </c>
      <c r="AP52" s="10">
        <f t="shared" ca="1" si="47"/>
        <v>22836.31808906201</v>
      </c>
      <c r="AQ52" s="10">
        <f t="shared" ca="1" si="47"/>
        <v>12733.748197615292</v>
      </c>
      <c r="AR52" s="10">
        <f t="shared" ca="1" si="47"/>
        <v>11621.86392369876</v>
      </c>
      <c r="AS52" s="10">
        <f t="shared" ca="1" si="47"/>
        <v>17386.653118861137</v>
      </c>
      <c r="AT52" s="10">
        <f t="shared" ca="1" si="47"/>
        <v>21149.588697941981</v>
      </c>
      <c r="AU52" s="10">
        <f t="shared" ca="1" si="47"/>
        <v>13448.448818722089</v>
      </c>
      <c r="AV52" s="10">
        <f t="shared" ca="1" si="47"/>
        <v>12257.16406304392</v>
      </c>
      <c r="AW52" s="10">
        <f t="shared" ca="1" si="47"/>
        <v>16592.217318660256</v>
      </c>
      <c r="AX52" s="10">
        <f t="shared" ca="1" si="47"/>
        <v>38887.618202520884</v>
      </c>
      <c r="AY52" s="10">
        <f t="shared" ca="1" si="47"/>
        <v>33043.133656524049</v>
      </c>
      <c r="AZ52" s="10">
        <f t="shared" ca="1" si="47"/>
        <v>22063.157004120549</v>
      </c>
      <c r="BA52" s="10">
        <f t="shared" ca="1" si="47"/>
        <v>26229.975309517169</v>
      </c>
      <c r="BB52" s="10">
        <f t="shared" ca="1" si="47"/>
        <v>34956.71125301651</v>
      </c>
      <c r="BC52" s="10">
        <f t="shared" ca="1" si="47"/>
        <v>29741.951202062002</v>
      </c>
      <c r="BD52" s="10">
        <f t="shared" ca="1" si="47"/>
        <v>20015.544867309898</v>
      </c>
      <c r="BE52" s="10">
        <f t="shared" ca="1" si="47"/>
        <v>24089.210183875995</v>
      </c>
      <c r="BF52" s="10">
        <f t="shared" ca="1" si="47"/>
        <v>31772.931509380123</v>
      </c>
      <c r="BG52" s="10">
        <f t="shared" ca="1" si="47"/>
        <v>27082.898372915464</v>
      </c>
      <c r="BH52" s="10">
        <f t="shared" ca="1" si="47"/>
        <v>18269.020874626785</v>
      </c>
      <c r="BI52" s="10">
        <f t="shared" ca="1" si="47"/>
        <v>21569.831988628925</v>
      </c>
      <c r="BJ52" s="10">
        <f t="shared" ca="1" si="47"/>
        <v>28516.697644664146</v>
      </c>
      <c r="BK52" s="10">
        <f t="shared" ca="1" si="47"/>
        <v>24278.013418182098</v>
      </c>
      <c r="BL52" s="10">
        <f t="shared" ca="1" si="47"/>
        <v>16362.928531359461</v>
      </c>
      <c r="BM52" s="10">
        <f t="shared" ca="1" si="47"/>
        <v>19316.778129891725</v>
      </c>
      <c r="BN52" s="10">
        <f t="shared" ca="1" si="47"/>
        <v>25533.869636209289</v>
      </c>
      <c r="BO52" s="10">
        <f t="shared" ca="1" si="47"/>
        <v>23321.917608797547</v>
      </c>
      <c r="BP52" s="10">
        <f t="shared" ca="1" si="47"/>
        <v>16085.371259365811</v>
      </c>
      <c r="BQ52" s="10">
        <f t="shared" ca="1" si="47"/>
        <v>19563.288597669878</v>
      </c>
      <c r="BR52" s="10">
        <f t="shared" ca="1" si="47"/>
        <v>25674.236333793597</v>
      </c>
      <c r="BS52" s="10">
        <f t="shared" ca="1" si="47"/>
        <v>20893.836208273438</v>
      </c>
      <c r="BT52" s="10">
        <f t="shared" ca="1" si="47"/>
        <v>14503.082688819248</v>
      </c>
      <c r="BU52" s="10">
        <f t="shared" ca="1" si="47"/>
        <v>17600.117873520066</v>
      </c>
      <c r="BV52" s="10">
        <f t="shared" ca="1" si="47"/>
        <v>22997.172735328288</v>
      </c>
      <c r="BW52" s="10">
        <f t="shared" ca="1" si="47"/>
        <v>18717.992054792536</v>
      </c>
      <c r="BX52" s="10">
        <f t="shared" ca="1" si="47"/>
        <v>12919.658369348301</v>
      </c>
      <c r="BY52" s="10">
        <f t="shared" ref="BY52:CM52" ca="1" si="48" xml:space="preserve"> BY42 * BY$30</f>
        <v>15704.360785014618</v>
      </c>
      <c r="BZ52" s="10">
        <f t="shared" ca="1" si="48"/>
        <v>20598.287680585767</v>
      </c>
      <c r="CA52" s="10">
        <f t="shared" ca="1" si="48"/>
        <v>16767.808262405426</v>
      </c>
      <c r="CB52" s="10">
        <f t="shared" ca="1" si="48"/>
        <v>11577.790411610866</v>
      </c>
      <c r="CC52" s="10">
        <f t="shared" ca="1" si="48"/>
        <v>14069.61797353839</v>
      </c>
      <c r="CD52" s="10">
        <f t="shared" ca="1" si="48"/>
        <v>18449.223011544174</v>
      </c>
      <c r="CE52" s="10">
        <f t="shared" ca="1" si="48"/>
        <v>15020.410745109315</v>
      </c>
      <c r="CF52" s="10">
        <f t="shared" ca="1" si="48"/>
        <v>10374.786669498393</v>
      </c>
      <c r="CG52" s="10">
        <f t="shared" ca="1" si="48"/>
        <v>12604.546139437085</v>
      </c>
      <c r="CH52" s="10">
        <f t="shared" ca="1" si="48"/>
        <v>16523.898626171289</v>
      </c>
      <c r="CI52" s="10">
        <f t="shared" ca="1" si="48"/>
        <v>13454.651655674883</v>
      </c>
      <c r="CJ52" s="10">
        <f t="shared" ca="1" si="48"/>
        <v>9352.0912562276353</v>
      </c>
      <c r="CK52" s="10">
        <f t="shared" ca="1" si="48"/>
        <v>11337.659430235837</v>
      </c>
      <c r="CL52" s="10">
        <f t="shared" ca="1" si="48"/>
        <v>14799.187270753473</v>
      </c>
      <c r="CM52" s="10">
        <f t="shared" ca="1" si="48"/>
        <v>12051.810993046776</v>
      </c>
      <c r="CN52" s="10">
        <f t="shared" ref="CN52:CO52" ca="1" si="49" xml:space="preserve"> CN42 * CN$30</f>
        <v>8329.6172307291399</v>
      </c>
      <c r="CO52" s="10">
        <f t="shared" ca="1" si="49"/>
        <v>10115.057521039933</v>
      </c>
      <c r="CS52" s="47"/>
      <c r="CU52" s="11"/>
      <c r="GB52" s="47"/>
      <c r="GG52" s="47"/>
      <c r="GI52" s="11"/>
      <c r="JP52" s="47"/>
      <c r="JU52" s="47"/>
      <c r="JW52" s="11"/>
      <c r="ND52" s="47"/>
      <c r="NI52" s="47"/>
      <c r="NK52" s="11"/>
      <c r="QR52" s="47"/>
      <c r="QW52" s="47"/>
      <c r="QY52" s="11"/>
      <c r="UF52" s="47"/>
      <c r="UK52" s="47"/>
      <c r="UM52" s="11"/>
      <c r="XT52" s="47"/>
      <c r="XY52" s="47"/>
      <c r="YA52" s="11"/>
      <c r="ABH52" s="47"/>
      <c r="ABM52" s="47"/>
      <c r="ABO52" s="11"/>
      <c r="AEV52" s="47"/>
      <c r="AFA52" s="47"/>
      <c r="AFC52" s="11"/>
      <c r="AIJ52" s="47"/>
      <c r="AIO52" s="47"/>
      <c r="AIQ52" s="11"/>
      <c r="ALX52" s="47"/>
      <c r="AMC52" s="47"/>
      <c r="AME52" s="11"/>
      <c r="APL52" s="47"/>
      <c r="APQ52" s="47"/>
      <c r="APS52" s="11"/>
      <c r="ASZ52" s="47"/>
      <c r="ATE52" s="47"/>
      <c r="ATG52" s="11"/>
      <c r="AWN52" s="47"/>
      <c r="AWS52" s="47"/>
      <c r="AWU52" s="11"/>
      <c r="BAB52" s="47"/>
      <c r="BAG52" s="47"/>
      <c r="BAI52" s="11"/>
      <c r="BDP52" s="47"/>
      <c r="BDU52" s="47"/>
      <c r="BDW52" s="11"/>
      <c r="BHD52" s="47"/>
      <c r="BHI52" s="47"/>
      <c r="BHK52" s="11"/>
      <c r="BKR52" s="47"/>
      <c r="BKW52" s="47"/>
      <c r="BKY52" s="11"/>
      <c r="BOF52" s="47"/>
      <c r="BOK52" s="47"/>
      <c r="BOM52" s="11"/>
      <c r="BRT52" s="47"/>
      <c r="BRY52" s="47"/>
      <c r="BSA52" s="11"/>
      <c r="BVH52" s="47"/>
      <c r="BVM52" s="47"/>
      <c r="BVO52" s="11"/>
      <c r="BYV52" s="47"/>
      <c r="BZA52" s="47"/>
      <c r="BZC52" s="11"/>
      <c r="CCJ52" s="47"/>
      <c r="CCO52" s="47"/>
      <c r="CCQ52" s="11"/>
      <c r="CFX52" s="47"/>
      <c r="CGC52" s="47"/>
      <c r="CGE52" s="11"/>
      <c r="CJL52" s="47"/>
      <c r="CJQ52" s="47"/>
      <c r="CJS52" s="11"/>
      <c r="CMZ52" s="47"/>
      <c r="CNE52" s="47"/>
      <c r="CNG52" s="11"/>
      <c r="CQN52" s="47"/>
      <c r="CQS52" s="47"/>
      <c r="CQU52" s="11"/>
      <c r="CUB52" s="47"/>
      <c r="CUG52" s="47"/>
      <c r="CUI52" s="11"/>
      <c r="CXP52" s="47"/>
      <c r="CXU52" s="47"/>
      <c r="CXW52" s="11"/>
      <c r="DBD52" s="47"/>
      <c r="DBI52" s="47"/>
      <c r="DBK52" s="11"/>
      <c r="DER52" s="47"/>
      <c r="DEW52" s="47"/>
      <c r="DEY52" s="11"/>
      <c r="DIF52" s="47"/>
      <c r="DIK52" s="47"/>
      <c r="DIM52" s="11"/>
      <c r="DLT52" s="47"/>
      <c r="DLY52" s="47"/>
      <c r="DMA52" s="11"/>
      <c r="DPH52" s="47"/>
      <c r="DPM52" s="47"/>
      <c r="DPO52" s="11"/>
      <c r="DSV52" s="47"/>
      <c r="DTA52" s="47"/>
      <c r="DTC52" s="11"/>
      <c r="DWJ52" s="47"/>
      <c r="DWO52" s="47"/>
      <c r="DWQ52" s="11"/>
      <c r="DZX52" s="47"/>
      <c r="EAC52" s="47"/>
      <c r="EAE52" s="11"/>
      <c r="EDL52" s="47"/>
      <c r="EDQ52" s="47"/>
      <c r="EDS52" s="11"/>
      <c r="EGZ52" s="47"/>
      <c r="EHE52" s="47"/>
      <c r="EHG52" s="11"/>
      <c r="EKN52" s="47"/>
      <c r="EKS52" s="47"/>
      <c r="EKU52" s="11"/>
      <c r="EOB52" s="47"/>
      <c r="EOG52" s="47"/>
      <c r="EOI52" s="11"/>
      <c r="ERP52" s="47"/>
      <c r="ERU52" s="47"/>
      <c r="ERW52" s="11"/>
      <c r="EVD52" s="47"/>
      <c r="EVI52" s="47"/>
      <c r="EVK52" s="11"/>
      <c r="EYR52" s="47"/>
      <c r="EYW52" s="47"/>
      <c r="EYY52" s="11"/>
      <c r="FCF52" s="47"/>
      <c r="FCK52" s="47"/>
      <c r="FCM52" s="11"/>
      <c r="FFT52" s="47"/>
      <c r="FFY52" s="47"/>
      <c r="FGA52" s="11"/>
      <c r="FJH52" s="47"/>
      <c r="FJM52" s="47"/>
      <c r="FJO52" s="11"/>
      <c r="FMV52" s="47"/>
      <c r="FNA52" s="47"/>
      <c r="FNC52" s="11"/>
      <c r="FQJ52" s="47"/>
      <c r="FQO52" s="47"/>
      <c r="FQQ52" s="11"/>
      <c r="FTX52" s="47"/>
      <c r="FUC52" s="47"/>
      <c r="FUE52" s="11"/>
      <c r="FXL52" s="47"/>
      <c r="FXQ52" s="47"/>
      <c r="FXS52" s="11"/>
      <c r="GAZ52" s="47"/>
      <c r="GBE52" s="47"/>
      <c r="GBG52" s="11"/>
      <c r="GEN52" s="47"/>
      <c r="GES52" s="47"/>
      <c r="GEU52" s="11"/>
      <c r="GIB52" s="47"/>
      <c r="GIG52" s="47"/>
      <c r="GII52" s="11"/>
      <c r="GLP52" s="47"/>
      <c r="GLU52" s="47"/>
      <c r="GLW52" s="11"/>
      <c r="GPD52" s="47"/>
      <c r="GPI52" s="47"/>
      <c r="GPK52" s="11"/>
      <c r="GSR52" s="47"/>
      <c r="GSW52" s="47"/>
      <c r="GSY52" s="11"/>
      <c r="GWF52" s="47"/>
      <c r="GWK52" s="47"/>
      <c r="GWM52" s="11"/>
      <c r="GZT52" s="47"/>
      <c r="GZY52" s="47"/>
      <c r="HAA52" s="11"/>
      <c r="HDH52" s="47"/>
      <c r="HDM52" s="47"/>
      <c r="HDO52" s="11"/>
      <c r="HGV52" s="47"/>
      <c r="HHA52" s="47"/>
      <c r="HHC52" s="11"/>
      <c r="HKJ52" s="47"/>
      <c r="HKO52" s="47"/>
      <c r="HKQ52" s="11"/>
      <c r="HNX52" s="47"/>
      <c r="HOC52" s="47"/>
      <c r="HOE52" s="11"/>
      <c r="HRL52" s="47"/>
      <c r="HRQ52" s="47"/>
      <c r="HRS52" s="11"/>
      <c r="HUZ52" s="47"/>
      <c r="HVE52" s="47"/>
      <c r="HVG52" s="11"/>
      <c r="HYN52" s="47"/>
      <c r="HYS52" s="47"/>
      <c r="HYU52" s="11"/>
      <c r="ICB52" s="47"/>
      <c r="ICG52" s="47"/>
      <c r="ICI52" s="11"/>
      <c r="IFP52" s="47"/>
      <c r="IFU52" s="47"/>
      <c r="IFW52" s="11"/>
      <c r="IJD52" s="47"/>
      <c r="IJI52" s="47"/>
      <c r="IJK52" s="11"/>
      <c r="IMR52" s="47"/>
      <c r="IMW52" s="47"/>
      <c r="IMY52" s="11"/>
      <c r="IQF52" s="47"/>
      <c r="IQK52" s="47"/>
      <c r="IQM52" s="11"/>
      <c r="ITT52" s="47"/>
      <c r="ITY52" s="47"/>
      <c r="IUA52" s="11"/>
      <c r="IXH52" s="47"/>
      <c r="IXM52" s="47"/>
      <c r="IXO52" s="11"/>
      <c r="JAV52" s="47"/>
      <c r="JBA52" s="47"/>
      <c r="JBC52" s="11"/>
      <c r="JEJ52" s="47"/>
      <c r="JEO52" s="47"/>
      <c r="JEQ52" s="11"/>
      <c r="JHX52" s="47"/>
      <c r="JIC52" s="47"/>
      <c r="JIE52" s="11"/>
      <c r="JLL52" s="47"/>
      <c r="JLQ52" s="47"/>
      <c r="JLS52" s="11"/>
      <c r="JOZ52" s="47"/>
      <c r="JPE52" s="47"/>
      <c r="JPG52" s="11"/>
      <c r="JSN52" s="47"/>
      <c r="JSS52" s="47"/>
      <c r="JSU52" s="11"/>
      <c r="JWB52" s="47"/>
      <c r="JWG52" s="47"/>
      <c r="JWI52" s="11"/>
      <c r="JZP52" s="47"/>
      <c r="JZU52" s="47"/>
      <c r="JZW52" s="11"/>
      <c r="KDD52" s="47"/>
      <c r="KDI52" s="47"/>
      <c r="KDK52" s="11"/>
      <c r="KGR52" s="47"/>
      <c r="KGW52" s="47"/>
      <c r="KGY52" s="11"/>
      <c r="KKF52" s="47"/>
      <c r="KKK52" s="47"/>
      <c r="KKM52" s="11"/>
      <c r="KNT52" s="47"/>
      <c r="KNY52" s="47"/>
      <c r="KOA52" s="11"/>
      <c r="KRH52" s="47"/>
      <c r="KRM52" s="47"/>
      <c r="KRO52" s="11"/>
      <c r="KUV52" s="47"/>
      <c r="KVA52" s="47"/>
      <c r="KVC52" s="11"/>
      <c r="KYJ52" s="47"/>
      <c r="KYO52" s="47"/>
      <c r="KYQ52" s="11"/>
      <c r="LBX52" s="47"/>
      <c r="LCC52" s="47"/>
      <c r="LCE52" s="11"/>
      <c r="LFL52" s="47"/>
      <c r="LFQ52" s="47"/>
      <c r="LFS52" s="11"/>
      <c r="LIZ52" s="47"/>
      <c r="LJE52" s="47"/>
      <c r="LJG52" s="11"/>
      <c r="LMN52" s="47"/>
      <c r="LMS52" s="47"/>
      <c r="LMU52" s="11"/>
      <c r="LQB52" s="47"/>
      <c r="LQG52" s="47"/>
      <c r="LQI52" s="11"/>
      <c r="LTP52" s="47"/>
      <c r="LTU52" s="47"/>
      <c r="LTW52" s="11"/>
      <c r="LXD52" s="47"/>
      <c r="LXI52" s="47"/>
      <c r="LXK52" s="11"/>
      <c r="MAR52" s="47"/>
      <c r="MAW52" s="47"/>
      <c r="MAY52" s="11"/>
      <c r="MEF52" s="47"/>
      <c r="MEK52" s="47"/>
      <c r="MEM52" s="11"/>
      <c r="MHT52" s="47"/>
      <c r="MHY52" s="47"/>
      <c r="MIA52" s="11"/>
      <c r="MLH52" s="47"/>
      <c r="MLM52" s="47"/>
      <c r="MLO52" s="11"/>
      <c r="MOV52" s="47"/>
      <c r="MPA52" s="47"/>
      <c r="MPC52" s="11"/>
      <c r="MSJ52" s="47"/>
      <c r="MSO52" s="47"/>
      <c r="MSQ52" s="11"/>
      <c r="MVX52" s="47"/>
      <c r="MWC52" s="47"/>
      <c r="MWE52" s="11"/>
      <c r="MZL52" s="47"/>
      <c r="MZQ52" s="47"/>
      <c r="MZS52" s="11"/>
      <c r="NCZ52" s="47"/>
      <c r="NDE52" s="47"/>
      <c r="NDG52" s="11"/>
      <c r="NGN52" s="47"/>
      <c r="NGS52" s="47"/>
      <c r="NGU52" s="11"/>
      <c r="NKB52" s="47"/>
      <c r="NKG52" s="47"/>
      <c r="NKI52" s="11"/>
      <c r="NNP52" s="47"/>
      <c r="NNU52" s="47"/>
      <c r="NNW52" s="11"/>
      <c r="NRD52" s="47"/>
      <c r="NRI52" s="47"/>
      <c r="NRK52" s="11"/>
      <c r="NUR52" s="47"/>
      <c r="NUW52" s="47"/>
      <c r="NUY52" s="11"/>
      <c r="NYF52" s="47"/>
      <c r="NYK52" s="47"/>
      <c r="NYM52" s="11"/>
      <c r="OBT52" s="47"/>
      <c r="OBY52" s="47"/>
      <c r="OCA52" s="11"/>
      <c r="OFH52" s="47"/>
      <c r="OFM52" s="47"/>
      <c r="OFO52" s="11"/>
      <c r="OIV52" s="47"/>
      <c r="OJA52" s="47"/>
      <c r="OJC52" s="11"/>
      <c r="OMJ52" s="47"/>
      <c r="OMO52" s="47"/>
      <c r="OMQ52" s="11"/>
      <c r="OPX52" s="47"/>
      <c r="OQC52" s="47"/>
      <c r="OQE52" s="11"/>
      <c r="OTL52" s="47"/>
      <c r="OTQ52" s="47"/>
      <c r="OTS52" s="11"/>
      <c r="OWZ52" s="47"/>
      <c r="OXE52" s="47"/>
      <c r="OXG52" s="11"/>
      <c r="PAN52" s="47"/>
      <c r="PAS52" s="47"/>
      <c r="PAU52" s="11"/>
      <c r="PEB52" s="47"/>
      <c r="PEG52" s="47"/>
      <c r="PEI52" s="11"/>
      <c r="PHP52" s="47"/>
      <c r="PHU52" s="47"/>
      <c r="PHW52" s="11"/>
      <c r="PLD52" s="47"/>
      <c r="PLI52" s="47"/>
      <c r="PLK52" s="11"/>
      <c r="POR52" s="47"/>
      <c r="POW52" s="47"/>
      <c r="POY52" s="11"/>
      <c r="PSF52" s="47"/>
      <c r="PSK52" s="47"/>
      <c r="PSM52" s="11"/>
      <c r="PVT52" s="47"/>
      <c r="PVY52" s="47"/>
      <c r="PWA52" s="11"/>
      <c r="PZH52" s="47"/>
      <c r="PZM52" s="47"/>
      <c r="PZO52" s="11"/>
      <c r="QCV52" s="47"/>
      <c r="QDA52" s="47"/>
      <c r="QDC52" s="11"/>
      <c r="QGJ52" s="47"/>
      <c r="QGO52" s="47"/>
      <c r="QGQ52" s="11"/>
      <c r="QJX52" s="47"/>
      <c r="QKC52" s="47"/>
      <c r="QKE52" s="11"/>
      <c r="QNL52" s="47"/>
      <c r="QNQ52" s="47"/>
      <c r="QNS52" s="11"/>
      <c r="QQZ52" s="47"/>
      <c r="QRE52" s="47"/>
      <c r="QRG52" s="11"/>
      <c r="QUN52" s="47"/>
      <c r="QUS52" s="47"/>
      <c r="QUU52" s="11"/>
      <c r="QYB52" s="47"/>
      <c r="QYG52" s="47"/>
      <c r="QYI52" s="11"/>
      <c r="RBP52" s="47"/>
      <c r="RBU52" s="47"/>
      <c r="RBW52" s="11"/>
      <c r="RFD52" s="47"/>
      <c r="RFI52" s="47"/>
      <c r="RFK52" s="11"/>
      <c r="RIR52" s="47"/>
      <c r="RIW52" s="47"/>
      <c r="RIY52" s="11"/>
      <c r="RMF52" s="47"/>
      <c r="RMK52" s="47"/>
      <c r="RMM52" s="11"/>
      <c r="RPT52" s="47"/>
      <c r="RPY52" s="47"/>
      <c r="RQA52" s="11"/>
      <c r="RTH52" s="47"/>
      <c r="RTM52" s="47"/>
      <c r="RTO52" s="11"/>
      <c r="RWV52" s="47"/>
      <c r="RXA52" s="47"/>
      <c r="RXC52" s="11"/>
      <c r="SAJ52" s="47"/>
      <c r="SAO52" s="47"/>
      <c r="SAQ52" s="11"/>
      <c r="SDX52" s="47"/>
      <c r="SEC52" s="47"/>
      <c r="SEE52" s="11"/>
      <c r="SHL52" s="47"/>
      <c r="SHQ52" s="47"/>
      <c r="SHS52" s="11"/>
      <c r="SKZ52" s="47"/>
      <c r="SLE52" s="47"/>
      <c r="SLG52" s="11"/>
      <c r="SON52" s="47"/>
      <c r="SOS52" s="47"/>
      <c r="SOU52" s="11"/>
      <c r="SSB52" s="47"/>
      <c r="SSG52" s="47"/>
      <c r="SSI52" s="11"/>
      <c r="SVP52" s="47"/>
      <c r="SVU52" s="47"/>
      <c r="SVW52" s="11"/>
      <c r="SZD52" s="47"/>
      <c r="SZI52" s="47"/>
      <c r="SZK52" s="11"/>
      <c r="TCR52" s="47"/>
      <c r="TCW52" s="47"/>
      <c r="TCY52" s="11"/>
      <c r="TGF52" s="47"/>
      <c r="TGK52" s="47"/>
      <c r="TGM52" s="11"/>
      <c r="TJT52" s="47"/>
      <c r="TJY52" s="47"/>
      <c r="TKA52" s="11"/>
      <c r="TNH52" s="47"/>
      <c r="TNM52" s="47"/>
      <c r="TNO52" s="11"/>
      <c r="TQV52" s="47"/>
      <c r="TRA52" s="47"/>
      <c r="TRC52" s="11"/>
      <c r="TUJ52" s="47"/>
      <c r="TUO52" s="47"/>
      <c r="TUQ52" s="11"/>
      <c r="TXX52" s="47"/>
      <c r="TYC52" s="47"/>
      <c r="TYE52" s="11"/>
      <c r="UBL52" s="47"/>
      <c r="UBQ52" s="47"/>
      <c r="UBS52" s="11"/>
      <c r="UEZ52" s="47"/>
      <c r="UFE52" s="47"/>
      <c r="UFG52" s="11"/>
      <c r="UIN52" s="47"/>
      <c r="UIS52" s="47"/>
      <c r="UIU52" s="11"/>
      <c r="UMB52" s="47"/>
      <c r="UMG52" s="47"/>
      <c r="UMI52" s="11"/>
      <c r="UPP52" s="47"/>
      <c r="UPU52" s="47"/>
      <c r="UPW52" s="11"/>
      <c r="UTD52" s="47"/>
      <c r="UTI52" s="47"/>
      <c r="UTK52" s="11"/>
      <c r="UWR52" s="47"/>
      <c r="UWW52" s="47"/>
      <c r="UWY52" s="11"/>
      <c r="VAF52" s="47"/>
      <c r="VAK52" s="47"/>
      <c r="VAM52" s="11"/>
      <c r="VDT52" s="47"/>
      <c r="VDY52" s="47"/>
      <c r="VEA52" s="11"/>
      <c r="VHH52" s="47"/>
      <c r="VHM52" s="47"/>
      <c r="VHO52" s="11"/>
      <c r="VKV52" s="47"/>
      <c r="VLA52" s="47"/>
      <c r="VLC52" s="11"/>
      <c r="VOJ52" s="47"/>
      <c r="VOO52" s="47"/>
      <c r="VOQ52" s="11"/>
      <c r="VRX52" s="47"/>
      <c r="VSC52" s="47"/>
      <c r="VSE52" s="11"/>
      <c r="VVL52" s="47"/>
      <c r="VVQ52" s="47"/>
      <c r="VVS52" s="11"/>
      <c r="VYZ52" s="47"/>
      <c r="VZE52" s="47"/>
      <c r="VZG52" s="11"/>
      <c r="WCN52" s="47"/>
      <c r="WCS52" s="47"/>
      <c r="WCU52" s="11"/>
      <c r="WGB52" s="47"/>
      <c r="WGG52" s="47"/>
      <c r="WGI52" s="11"/>
      <c r="WJP52" s="47"/>
      <c r="WJU52" s="47"/>
      <c r="WJW52" s="11"/>
      <c r="WND52" s="47"/>
      <c r="WNI52" s="47"/>
      <c r="WNK52" s="11"/>
      <c r="WQR52" s="47"/>
      <c r="WQW52" s="47"/>
      <c r="WQY52" s="11"/>
      <c r="WUF52" s="47"/>
      <c r="WUK52" s="47"/>
      <c r="WUM52" s="11"/>
      <c r="WXT52" s="47"/>
      <c r="WXY52" s="47"/>
      <c r="WYA52" s="11"/>
      <c r="XBH52" s="47"/>
      <c r="XBM52" s="47"/>
      <c r="XBO52" s="11"/>
      <c r="XEV52" s="47"/>
      <c r="XFA52" s="47"/>
      <c r="XFC52" s="11"/>
    </row>
    <row r="53" spans="3:1019 1104:2031 2116:3043 3128:4055 4140:5067 5152:6079 6164:7091 7176:8188 8193:9207 9292:10219 10304:11231 11316:12243 12328:13255 13340:14267 14352:15279 15364:16383" s="10" customFormat="1" ht="14.5" customHeight="1">
      <c r="C53" s="35" t="s">
        <v>1009</v>
      </c>
      <c r="E53" s="47"/>
      <c r="G53" s="162" t="str">
        <f>Monetary_Unit</f>
        <v>тыс. руб.</v>
      </c>
      <c r="I53" s="23">
        <f t="shared" si="37"/>
        <v>0</v>
      </c>
      <c r="L53" s="10">
        <f xml:space="preserve"> L47 * L$30</f>
        <v>0</v>
      </c>
      <c r="M53" s="10">
        <f t="shared" ref="M53:BX53" si="50" xml:space="preserve"> M47 * M$30</f>
        <v>0</v>
      </c>
      <c r="N53" s="10">
        <f t="shared" si="50"/>
        <v>0</v>
      </c>
      <c r="O53" s="10">
        <f t="shared" si="50"/>
        <v>0</v>
      </c>
      <c r="P53" s="10">
        <f t="shared" si="50"/>
        <v>0</v>
      </c>
      <c r="Q53" s="10">
        <f t="shared" si="50"/>
        <v>0</v>
      </c>
      <c r="R53" s="10">
        <f t="shared" si="50"/>
        <v>0</v>
      </c>
      <c r="S53" s="10">
        <f t="shared" si="50"/>
        <v>0</v>
      </c>
      <c r="T53" s="10">
        <f t="shared" si="50"/>
        <v>0</v>
      </c>
      <c r="U53" s="10">
        <f t="shared" si="50"/>
        <v>0</v>
      </c>
      <c r="V53" s="10">
        <f t="shared" si="50"/>
        <v>0</v>
      </c>
      <c r="W53" s="10">
        <f t="shared" si="50"/>
        <v>0</v>
      </c>
      <c r="X53" s="10">
        <f t="shared" si="50"/>
        <v>0</v>
      </c>
      <c r="Y53" s="10">
        <f t="shared" si="50"/>
        <v>0</v>
      </c>
      <c r="Z53" s="10">
        <f t="shared" si="50"/>
        <v>0</v>
      </c>
      <c r="AA53" s="10">
        <f t="shared" si="50"/>
        <v>0</v>
      </c>
      <c r="AB53" s="10">
        <f t="shared" si="50"/>
        <v>0</v>
      </c>
      <c r="AC53" s="10">
        <f t="shared" si="50"/>
        <v>0</v>
      </c>
      <c r="AD53" s="10">
        <f t="shared" si="50"/>
        <v>0</v>
      </c>
      <c r="AE53" s="10">
        <f t="shared" si="50"/>
        <v>0</v>
      </c>
      <c r="AF53" s="10">
        <f t="shared" si="50"/>
        <v>0</v>
      </c>
      <c r="AG53" s="10">
        <f t="shared" si="50"/>
        <v>0</v>
      </c>
      <c r="AH53" s="10">
        <f t="shared" si="50"/>
        <v>0</v>
      </c>
      <c r="AI53" s="10">
        <f t="shared" si="50"/>
        <v>0</v>
      </c>
      <c r="AJ53" s="10">
        <f t="shared" si="50"/>
        <v>0</v>
      </c>
      <c r="AK53" s="10">
        <f t="shared" si="50"/>
        <v>0</v>
      </c>
      <c r="AL53" s="10">
        <f t="shared" si="50"/>
        <v>0</v>
      </c>
      <c r="AM53" s="10">
        <f t="shared" si="50"/>
        <v>0</v>
      </c>
      <c r="AN53" s="10">
        <f t="shared" si="50"/>
        <v>0</v>
      </c>
      <c r="AO53" s="10">
        <f t="shared" si="50"/>
        <v>0</v>
      </c>
      <c r="AP53" s="10">
        <f t="shared" si="50"/>
        <v>0</v>
      </c>
      <c r="AQ53" s="10">
        <f t="shared" si="50"/>
        <v>0</v>
      </c>
      <c r="AR53" s="10">
        <f t="shared" si="50"/>
        <v>0</v>
      </c>
      <c r="AS53" s="10">
        <f t="shared" si="50"/>
        <v>0</v>
      </c>
      <c r="AT53" s="10">
        <f t="shared" si="50"/>
        <v>0</v>
      </c>
      <c r="AU53" s="10">
        <f t="shared" si="50"/>
        <v>0</v>
      </c>
      <c r="AV53" s="10">
        <f t="shared" si="50"/>
        <v>0</v>
      </c>
      <c r="AW53" s="10">
        <f t="shared" si="50"/>
        <v>0</v>
      </c>
      <c r="AX53" s="10">
        <f t="shared" si="50"/>
        <v>0</v>
      </c>
      <c r="AY53" s="10">
        <f t="shared" si="50"/>
        <v>0</v>
      </c>
      <c r="AZ53" s="10">
        <f t="shared" si="50"/>
        <v>0</v>
      </c>
      <c r="BA53" s="10">
        <f t="shared" si="50"/>
        <v>0</v>
      </c>
      <c r="BB53" s="10">
        <f t="shared" si="50"/>
        <v>0</v>
      </c>
      <c r="BC53" s="10">
        <f t="shared" si="50"/>
        <v>0</v>
      </c>
      <c r="BD53" s="10">
        <f t="shared" si="50"/>
        <v>0</v>
      </c>
      <c r="BE53" s="10">
        <f t="shared" si="50"/>
        <v>0</v>
      </c>
      <c r="BF53" s="10">
        <f t="shared" si="50"/>
        <v>0</v>
      </c>
      <c r="BG53" s="10">
        <f t="shared" si="50"/>
        <v>0</v>
      </c>
      <c r="BH53" s="10">
        <f t="shared" si="50"/>
        <v>0</v>
      </c>
      <c r="BI53" s="10">
        <f t="shared" si="50"/>
        <v>0</v>
      </c>
      <c r="BJ53" s="10">
        <f t="shared" si="50"/>
        <v>0</v>
      </c>
      <c r="BK53" s="10">
        <f t="shared" si="50"/>
        <v>0</v>
      </c>
      <c r="BL53" s="10">
        <f t="shared" si="50"/>
        <v>0</v>
      </c>
      <c r="BM53" s="10">
        <f t="shared" si="50"/>
        <v>0</v>
      </c>
      <c r="BN53" s="10">
        <f t="shared" si="50"/>
        <v>0</v>
      </c>
      <c r="BO53" s="10">
        <f t="shared" si="50"/>
        <v>0</v>
      </c>
      <c r="BP53" s="10">
        <f t="shared" si="50"/>
        <v>0</v>
      </c>
      <c r="BQ53" s="10">
        <f t="shared" si="50"/>
        <v>0</v>
      </c>
      <c r="BR53" s="10">
        <f t="shared" si="50"/>
        <v>0</v>
      </c>
      <c r="BS53" s="10">
        <f t="shared" si="50"/>
        <v>0</v>
      </c>
      <c r="BT53" s="10">
        <f t="shared" si="50"/>
        <v>0</v>
      </c>
      <c r="BU53" s="10">
        <f t="shared" si="50"/>
        <v>0</v>
      </c>
      <c r="BV53" s="10">
        <f t="shared" si="50"/>
        <v>0</v>
      </c>
      <c r="BW53" s="10">
        <f t="shared" si="50"/>
        <v>0</v>
      </c>
      <c r="BX53" s="10">
        <f t="shared" si="50"/>
        <v>0</v>
      </c>
      <c r="BY53" s="10">
        <f t="shared" ref="BY53:CM53" si="51" xml:space="preserve"> BY47 * BY$30</f>
        <v>0</v>
      </c>
      <c r="BZ53" s="10">
        <f t="shared" si="51"/>
        <v>0</v>
      </c>
      <c r="CA53" s="10">
        <f t="shared" si="51"/>
        <v>0</v>
      </c>
      <c r="CB53" s="10">
        <f t="shared" si="51"/>
        <v>0</v>
      </c>
      <c r="CC53" s="10">
        <f t="shared" si="51"/>
        <v>0</v>
      </c>
      <c r="CD53" s="10">
        <f t="shared" si="51"/>
        <v>0</v>
      </c>
      <c r="CE53" s="10">
        <f t="shared" si="51"/>
        <v>0</v>
      </c>
      <c r="CF53" s="10">
        <f t="shared" si="51"/>
        <v>0</v>
      </c>
      <c r="CG53" s="10">
        <f t="shared" si="51"/>
        <v>0</v>
      </c>
      <c r="CH53" s="10">
        <f t="shared" si="51"/>
        <v>0</v>
      </c>
      <c r="CI53" s="10">
        <f t="shared" si="51"/>
        <v>0</v>
      </c>
      <c r="CJ53" s="10">
        <f t="shared" si="51"/>
        <v>0</v>
      </c>
      <c r="CK53" s="10">
        <f t="shared" si="51"/>
        <v>0</v>
      </c>
      <c r="CL53" s="10">
        <f t="shared" si="51"/>
        <v>0</v>
      </c>
      <c r="CM53" s="10">
        <f t="shared" si="51"/>
        <v>0</v>
      </c>
      <c r="CN53" s="10">
        <f t="shared" ref="CN53:CO53" si="52" xml:space="preserve"> CN47 * CN$30</f>
        <v>0</v>
      </c>
      <c r="CO53" s="10">
        <f t="shared" si="52"/>
        <v>0</v>
      </c>
      <c r="CS53" s="47"/>
      <c r="CU53" s="11"/>
      <c r="GB53" s="47"/>
      <c r="GG53" s="47"/>
      <c r="GI53" s="11"/>
      <c r="JP53" s="47"/>
      <c r="JU53" s="47"/>
      <c r="JW53" s="11"/>
      <c r="ND53" s="47"/>
      <c r="NI53" s="47"/>
      <c r="NK53" s="11"/>
      <c r="QR53" s="47"/>
      <c r="QW53" s="47"/>
      <c r="QY53" s="11"/>
      <c r="UF53" s="47"/>
      <c r="UK53" s="47"/>
      <c r="UM53" s="11"/>
      <c r="XT53" s="47"/>
      <c r="XY53" s="47"/>
      <c r="YA53" s="11"/>
      <c r="ABH53" s="47"/>
      <c r="ABM53" s="47"/>
      <c r="ABO53" s="11"/>
      <c r="AEV53" s="47"/>
      <c r="AFA53" s="47"/>
      <c r="AFC53" s="11"/>
      <c r="AIJ53" s="47"/>
      <c r="AIO53" s="47"/>
      <c r="AIQ53" s="11"/>
      <c r="ALX53" s="47"/>
      <c r="AMC53" s="47"/>
      <c r="AME53" s="11"/>
      <c r="APL53" s="47"/>
      <c r="APQ53" s="47"/>
      <c r="APS53" s="11"/>
      <c r="ASZ53" s="47"/>
      <c r="ATE53" s="47"/>
      <c r="ATG53" s="11"/>
      <c r="AWN53" s="47"/>
      <c r="AWS53" s="47"/>
      <c r="AWU53" s="11"/>
      <c r="BAB53" s="47"/>
      <c r="BAG53" s="47"/>
      <c r="BAI53" s="11"/>
      <c r="BDP53" s="47"/>
      <c r="BDU53" s="47"/>
      <c r="BDW53" s="11"/>
      <c r="BHD53" s="47"/>
      <c r="BHI53" s="47"/>
      <c r="BHK53" s="11"/>
      <c r="BKR53" s="47"/>
      <c r="BKW53" s="47"/>
      <c r="BKY53" s="11"/>
      <c r="BOF53" s="47"/>
      <c r="BOK53" s="47"/>
      <c r="BOM53" s="11"/>
      <c r="BRT53" s="47"/>
      <c r="BRY53" s="47"/>
      <c r="BSA53" s="11"/>
      <c r="BVH53" s="47"/>
      <c r="BVM53" s="47"/>
      <c r="BVO53" s="11"/>
      <c r="BYV53" s="47"/>
      <c r="BZA53" s="47"/>
      <c r="BZC53" s="11"/>
      <c r="CCJ53" s="47"/>
      <c r="CCO53" s="47"/>
      <c r="CCQ53" s="11"/>
      <c r="CFX53" s="47"/>
      <c r="CGC53" s="47"/>
      <c r="CGE53" s="11"/>
      <c r="CJL53" s="47"/>
      <c r="CJQ53" s="47"/>
      <c r="CJS53" s="11"/>
      <c r="CMZ53" s="47"/>
      <c r="CNE53" s="47"/>
      <c r="CNG53" s="11"/>
      <c r="CQN53" s="47"/>
      <c r="CQS53" s="47"/>
      <c r="CQU53" s="11"/>
      <c r="CUB53" s="47"/>
      <c r="CUG53" s="47"/>
      <c r="CUI53" s="11"/>
      <c r="CXP53" s="47"/>
      <c r="CXU53" s="47"/>
      <c r="CXW53" s="11"/>
      <c r="DBD53" s="47"/>
      <c r="DBI53" s="47"/>
      <c r="DBK53" s="11"/>
      <c r="DER53" s="47"/>
      <c r="DEW53" s="47"/>
      <c r="DEY53" s="11"/>
      <c r="DIF53" s="47"/>
      <c r="DIK53" s="47"/>
      <c r="DIM53" s="11"/>
      <c r="DLT53" s="47"/>
      <c r="DLY53" s="47"/>
      <c r="DMA53" s="11"/>
      <c r="DPH53" s="47"/>
      <c r="DPM53" s="47"/>
      <c r="DPO53" s="11"/>
      <c r="DSV53" s="47"/>
      <c r="DTA53" s="47"/>
      <c r="DTC53" s="11"/>
      <c r="DWJ53" s="47"/>
      <c r="DWO53" s="47"/>
      <c r="DWQ53" s="11"/>
      <c r="DZX53" s="47"/>
      <c r="EAC53" s="47"/>
      <c r="EAE53" s="11"/>
      <c r="EDL53" s="47"/>
      <c r="EDQ53" s="47"/>
      <c r="EDS53" s="11"/>
      <c r="EGZ53" s="47"/>
      <c r="EHE53" s="47"/>
      <c r="EHG53" s="11"/>
      <c r="EKN53" s="47"/>
      <c r="EKS53" s="47"/>
      <c r="EKU53" s="11"/>
      <c r="EOB53" s="47"/>
      <c r="EOG53" s="47"/>
      <c r="EOI53" s="11"/>
      <c r="ERP53" s="47"/>
      <c r="ERU53" s="47"/>
      <c r="ERW53" s="11"/>
      <c r="EVD53" s="47"/>
      <c r="EVI53" s="47"/>
      <c r="EVK53" s="11"/>
      <c r="EYR53" s="47"/>
      <c r="EYW53" s="47"/>
      <c r="EYY53" s="11"/>
      <c r="FCF53" s="47"/>
      <c r="FCK53" s="47"/>
      <c r="FCM53" s="11"/>
      <c r="FFT53" s="47"/>
      <c r="FFY53" s="47"/>
      <c r="FGA53" s="11"/>
      <c r="FJH53" s="47"/>
      <c r="FJM53" s="47"/>
      <c r="FJO53" s="11"/>
      <c r="FMV53" s="47"/>
      <c r="FNA53" s="47"/>
      <c r="FNC53" s="11"/>
      <c r="FQJ53" s="47"/>
      <c r="FQO53" s="47"/>
      <c r="FQQ53" s="11"/>
      <c r="FTX53" s="47"/>
      <c r="FUC53" s="47"/>
      <c r="FUE53" s="11"/>
      <c r="FXL53" s="47"/>
      <c r="FXQ53" s="47"/>
      <c r="FXS53" s="11"/>
      <c r="GAZ53" s="47"/>
      <c r="GBE53" s="47"/>
      <c r="GBG53" s="11"/>
      <c r="GEN53" s="47"/>
      <c r="GES53" s="47"/>
      <c r="GEU53" s="11"/>
      <c r="GIB53" s="47"/>
      <c r="GIG53" s="47"/>
      <c r="GII53" s="11"/>
      <c r="GLP53" s="47"/>
      <c r="GLU53" s="47"/>
      <c r="GLW53" s="11"/>
      <c r="GPD53" s="47"/>
      <c r="GPI53" s="47"/>
      <c r="GPK53" s="11"/>
      <c r="GSR53" s="47"/>
      <c r="GSW53" s="47"/>
      <c r="GSY53" s="11"/>
      <c r="GWF53" s="47"/>
      <c r="GWK53" s="47"/>
      <c r="GWM53" s="11"/>
      <c r="GZT53" s="47"/>
      <c r="GZY53" s="47"/>
      <c r="HAA53" s="11"/>
      <c r="HDH53" s="47"/>
      <c r="HDM53" s="47"/>
      <c r="HDO53" s="11"/>
      <c r="HGV53" s="47"/>
      <c r="HHA53" s="47"/>
      <c r="HHC53" s="11"/>
      <c r="HKJ53" s="47"/>
      <c r="HKO53" s="47"/>
      <c r="HKQ53" s="11"/>
      <c r="HNX53" s="47"/>
      <c r="HOC53" s="47"/>
      <c r="HOE53" s="11"/>
      <c r="HRL53" s="47"/>
      <c r="HRQ53" s="47"/>
      <c r="HRS53" s="11"/>
      <c r="HUZ53" s="47"/>
      <c r="HVE53" s="47"/>
      <c r="HVG53" s="11"/>
      <c r="HYN53" s="47"/>
      <c r="HYS53" s="47"/>
      <c r="HYU53" s="11"/>
      <c r="ICB53" s="47"/>
      <c r="ICG53" s="47"/>
      <c r="ICI53" s="11"/>
      <c r="IFP53" s="47"/>
      <c r="IFU53" s="47"/>
      <c r="IFW53" s="11"/>
      <c r="IJD53" s="47"/>
      <c r="IJI53" s="47"/>
      <c r="IJK53" s="11"/>
      <c r="IMR53" s="47"/>
      <c r="IMW53" s="47"/>
      <c r="IMY53" s="11"/>
      <c r="IQF53" s="47"/>
      <c r="IQK53" s="47"/>
      <c r="IQM53" s="11"/>
      <c r="ITT53" s="47"/>
      <c r="ITY53" s="47"/>
      <c r="IUA53" s="11"/>
      <c r="IXH53" s="47"/>
      <c r="IXM53" s="47"/>
      <c r="IXO53" s="11"/>
      <c r="JAV53" s="47"/>
      <c r="JBA53" s="47"/>
      <c r="JBC53" s="11"/>
      <c r="JEJ53" s="47"/>
      <c r="JEO53" s="47"/>
      <c r="JEQ53" s="11"/>
      <c r="JHX53" s="47"/>
      <c r="JIC53" s="47"/>
      <c r="JIE53" s="11"/>
      <c r="JLL53" s="47"/>
      <c r="JLQ53" s="47"/>
      <c r="JLS53" s="11"/>
      <c r="JOZ53" s="47"/>
      <c r="JPE53" s="47"/>
      <c r="JPG53" s="11"/>
      <c r="JSN53" s="47"/>
      <c r="JSS53" s="47"/>
      <c r="JSU53" s="11"/>
      <c r="JWB53" s="47"/>
      <c r="JWG53" s="47"/>
      <c r="JWI53" s="11"/>
      <c r="JZP53" s="47"/>
      <c r="JZU53" s="47"/>
      <c r="JZW53" s="11"/>
      <c r="KDD53" s="47"/>
      <c r="KDI53" s="47"/>
      <c r="KDK53" s="11"/>
      <c r="KGR53" s="47"/>
      <c r="KGW53" s="47"/>
      <c r="KGY53" s="11"/>
      <c r="KKF53" s="47"/>
      <c r="KKK53" s="47"/>
      <c r="KKM53" s="11"/>
      <c r="KNT53" s="47"/>
      <c r="KNY53" s="47"/>
      <c r="KOA53" s="11"/>
      <c r="KRH53" s="47"/>
      <c r="KRM53" s="47"/>
      <c r="KRO53" s="11"/>
      <c r="KUV53" s="47"/>
      <c r="KVA53" s="47"/>
      <c r="KVC53" s="11"/>
      <c r="KYJ53" s="47"/>
      <c r="KYO53" s="47"/>
      <c r="KYQ53" s="11"/>
      <c r="LBX53" s="47"/>
      <c r="LCC53" s="47"/>
      <c r="LCE53" s="11"/>
      <c r="LFL53" s="47"/>
      <c r="LFQ53" s="47"/>
      <c r="LFS53" s="11"/>
      <c r="LIZ53" s="47"/>
      <c r="LJE53" s="47"/>
      <c r="LJG53" s="11"/>
      <c r="LMN53" s="47"/>
      <c r="LMS53" s="47"/>
      <c r="LMU53" s="11"/>
      <c r="LQB53" s="47"/>
      <c r="LQG53" s="47"/>
      <c r="LQI53" s="11"/>
      <c r="LTP53" s="47"/>
      <c r="LTU53" s="47"/>
      <c r="LTW53" s="11"/>
      <c r="LXD53" s="47"/>
      <c r="LXI53" s="47"/>
      <c r="LXK53" s="11"/>
      <c r="MAR53" s="47"/>
      <c r="MAW53" s="47"/>
      <c r="MAY53" s="11"/>
      <c r="MEF53" s="47"/>
      <c r="MEK53" s="47"/>
      <c r="MEM53" s="11"/>
      <c r="MHT53" s="47"/>
      <c r="MHY53" s="47"/>
      <c r="MIA53" s="11"/>
      <c r="MLH53" s="47"/>
      <c r="MLM53" s="47"/>
      <c r="MLO53" s="11"/>
      <c r="MOV53" s="47"/>
      <c r="MPA53" s="47"/>
      <c r="MPC53" s="11"/>
      <c r="MSJ53" s="47"/>
      <c r="MSO53" s="47"/>
      <c r="MSQ53" s="11"/>
      <c r="MVX53" s="47"/>
      <c r="MWC53" s="47"/>
      <c r="MWE53" s="11"/>
      <c r="MZL53" s="47"/>
      <c r="MZQ53" s="47"/>
      <c r="MZS53" s="11"/>
      <c r="NCZ53" s="47"/>
      <c r="NDE53" s="47"/>
      <c r="NDG53" s="11"/>
      <c r="NGN53" s="47"/>
      <c r="NGS53" s="47"/>
      <c r="NGU53" s="11"/>
      <c r="NKB53" s="47"/>
      <c r="NKG53" s="47"/>
      <c r="NKI53" s="11"/>
      <c r="NNP53" s="47"/>
      <c r="NNU53" s="47"/>
      <c r="NNW53" s="11"/>
      <c r="NRD53" s="47"/>
      <c r="NRI53" s="47"/>
      <c r="NRK53" s="11"/>
      <c r="NUR53" s="47"/>
      <c r="NUW53" s="47"/>
      <c r="NUY53" s="11"/>
      <c r="NYF53" s="47"/>
      <c r="NYK53" s="47"/>
      <c r="NYM53" s="11"/>
      <c r="OBT53" s="47"/>
      <c r="OBY53" s="47"/>
      <c r="OCA53" s="11"/>
      <c r="OFH53" s="47"/>
      <c r="OFM53" s="47"/>
      <c r="OFO53" s="11"/>
      <c r="OIV53" s="47"/>
      <c r="OJA53" s="47"/>
      <c r="OJC53" s="11"/>
      <c r="OMJ53" s="47"/>
      <c r="OMO53" s="47"/>
      <c r="OMQ53" s="11"/>
      <c r="OPX53" s="47"/>
      <c r="OQC53" s="47"/>
      <c r="OQE53" s="11"/>
      <c r="OTL53" s="47"/>
      <c r="OTQ53" s="47"/>
      <c r="OTS53" s="11"/>
      <c r="OWZ53" s="47"/>
      <c r="OXE53" s="47"/>
      <c r="OXG53" s="11"/>
      <c r="PAN53" s="47"/>
      <c r="PAS53" s="47"/>
      <c r="PAU53" s="11"/>
      <c r="PEB53" s="47"/>
      <c r="PEG53" s="47"/>
      <c r="PEI53" s="11"/>
      <c r="PHP53" s="47"/>
      <c r="PHU53" s="47"/>
      <c r="PHW53" s="11"/>
      <c r="PLD53" s="47"/>
      <c r="PLI53" s="47"/>
      <c r="PLK53" s="11"/>
      <c r="POR53" s="47"/>
      <c r="POW53" s="47"/>
      <c r="POY53" s="11"/>
      <c r="PSF53" s="47"/>
      <c r="PSK53" s="47"/>
      <c r="PSM53" s="11"/>
      <c r="PVT53" s="47"/>
      <c r="PVY53" s="47"/>
      <c r="PWA53" s="11"/>
      <c r="PZH53" s="47"/>
      <c r="PZM53" s="47"/>
      <c r="PZO53" s="11"/>
      <c r="QCV53" s="47"/>
      <c r="QDA53" s="47"/>
      <c r="QDC53" s="11"/>
      <c r="QGJ53" s="47"/>
      <c r="QGO53" s="47"/>
      <c r="QGQ53" s="11"/>
      <c r="QJX53" s="47"/>
      <c r="QKC53" s="47"/>
      <c r="QKE53" s="11"/>
      <c r="QNL53" s="47"/>
      <c r="QNQ53" s="47"/>
      <c r="QNS53" s="11"/>
      <c r="QQZ53" s="47"/>
      <c r="QRE53" s="47"/>
      <c r="QRG53" s="11"/>
      <c r="QUN53" s="47"/>
      <c r="QUS53" s="47"/>
      <c r="QUU53" s="11"/>
      <c r="QYB53" s="47"/>
      <c r="QYG53" s="47"/>
      <c r="QYI53" s="11"/>
      <c r="RBP53" s="47"/>
      <c r="RBU53" s="47"/>
      <c r="RBW53" s="11"/>
      <c r="RFD53" s="47"/>
      <c r="RFI53" s="47"/>
      <c r="RFK53" s="11"/>
      <c r="RIR53" s="47"/>
      <c r="RIW53" s="47"/>
      <c r="RIY53" s="11"/>
      <c r="RMF53" s="47"/>
      <c r="RMK53" s="47"/>
      <c r="RMM53" s="11"/>
      <c r="RPT53" s="47"/>
      <c r="RPY53" s="47"/>
      <c r="RQA53" s="11"/>
      <c r="RTH53" s="47"/>
      <c r="RTM53" s="47"/>
      <c r="RTO53" s="11"/>
      <c r="RWV53" s="47"/>
      <c r="RXA53" s="47"/>
      <c r="RXC53" s="11"/>
      <c r="SAJ53" s="47"/>
      <c r="SAO53" s="47"/>
      <c r="SAQ53" s="11"/>
      <c r="SDX53" s="47"/>
      <c r="SEC53" s="47"/>
      <c r="SEE53" s="11"/>
      <c r="SHL53" s="47"/>
      <c r="SHQ53" s="47"/>
      <c r="SHS53" s="11"/>
      <c r="SKZ53" s="47"/>
      <c r="SLE53" s="47"/>
      <c r="SLG53" s="11"/>
      <c r="SON53" s="47"/>
      <c r="SOS53" s="47"/>
      <c r="SOU53" s="11"/>
      <c r="SSB53" s="47"/>
      <c r="SSG53" s="47"/>
      <c r="SSI53" s="11"/>
      <c r="SVP53" s="47"/>
      <c r="SVU53" s="47"/>
      <c r="SVW53" s="11"/>
      <c r="SZD53" s="47"/>
      <c r="SZI53" s="47"/>
      <c r="SZK53" s="11"/>
      <c r="TCR53" s="47"/>
      <c r="TCW53" s="47"/>
      <c r="TCY53" s="11"/>
      <c r="TGF53" s="47"/>
      <c r="TGK53" s="47"/>
      <c r="TGM53" s="11"/>
      <c r="TJT53" s="47"/>
      <c r="TJY53" s="47"/>
      <c r="TKA53" s="11"/>
      <c r="TNH53" s="47"/>
      <c r="TNM53" s="47"/>
      <c r="TNO53" s="11"/>
      <c r="TQV53" s="47"/>
      <c r="TRA53" s="47"/>
      <c r="TRC53" s="11"/>
      <c r="TUJ53" s="47"/>
      <c r="TUO53" s="47"/>
      <c r="TUQ53" s="11"/>
      <c r="TXX53" s="47"/>
      <c r="TYC53" s="47"/>
      <c r="TYE53" s="11"/>
      <c r="UBL53" s="47"/>
      <c r="UBQ53" s="47"/>
      <c r="UBS53" s="11"/>
      <c r="UEZ53" s="47"/>
      <c r="UFE53" s="47"/>
      <c r="UFG53" s="11"/>
      <c r="UIN53" s="47"/>
      <c r="UIS53" s="47"/>
      <c r="UIU53" s="11"/>
      <c r="UMB53" s="47"/>
      <c r="UMG53" s="47"/>
      <c r="UMI53" s="11"/>
      <c r="UPP53" s="47"/>
      <c r="UPU53" s="47"/>
      <c r="UPW53" s="11"/>
      <c r="UTD53" s="47"/>
      <c r="UTI53" s="47"/>
      <c r="UTK53" s="11"/>
      <c r="UWR53" s="47"/>
      <c r="UWW53" s="47"/>
      <c r="UWY53" s="11"/>
      <c r="VAF53" s="47"/>
      <c r="VAK53" s="47"/>
      <c r="VAM53" s="11"/>
      <c r="VDT53" s="47"/>
      <c r="VDY53" s="47"/>
      <c r="VEA53" s="11"/>
      <c r="VHH53" s="47"/>
      <c r="VHM53" s="47"/>
      <c r="VHO53" s="11"/>
      <c r="VKV53" s="47"/>
      <c r="VLA53" s="47"/>
      <c r="VLC53" s="11"/>
      <c r="VOJ53" s="47"/>
      <c r="VOO53" s="47"/>
      <c r="VOQ53" s="11"/>
      <c r="VRX53" s="47"/>
      <c r="VSC53" s="47"/>
      <c r="VSE53" s="11"/>
      <c r="VVL53" s="47"/>
      <c r="VVQ53" s="47"/>
      <c r="VVS53" s="11"/>
      <c r="VYZ53" s="47"/>
      <c r="VZE53" s="47"/>
      <c r="VZG53" s="11"/>
      <c r="WCN53" s="47"/>
      <c r="WCS53" s="47"/>
      <c r="WCU53" s="11"/>
      <c r="WGB53" s="47"/>
      <c r="WGG53" s="47"/>
      <c r="WGI53" s="11"/>
      <c r="WJP53" s="47"/>
      <c r="WJU53" s="47"/>
      <c r="WJW53" s="11"/>
      <c r="WND53" s="47"/>
      <c r="WNI53" s="47"/>
      <c r="WNK53" s="11"/>
      <c r="WQR53" s="47"/>
      <c r="WQW53" s="47"/>
      <c r="WQY53" s="11"/>
      <c r="WUF53" s="47"/>
      <c r="WUK53" s="47"/>
      <c r="WUM53" s="11"/>
      <c r="WXT53" s="47"/>
      <c r="WXY53" s="47"/>
      <c r="WYA53" s="11"/>
      <c r="XBH53" s="47"/>
      <c r="XBM53" s="47"/>
      <c r="XBO53" s="11"/>
      <c r="XEV53" s="47"/>
      <c r="XFA53" s="47"/>
      <c r="XFC53" s="11"/>
    </row>
    <row r="54" spans="3:1019 1104:2031 2116:3043 3128:4055 4140:5067 5152:6079 6164:7091 7176:8188 8193:9207 9292:10219 10304:11231 11316:12243 12328:13255 13340:14267 14352:15279 15364:16383" s="10" customFormat="1" ht="14.5" customHeight="1">
      <c r="C54" s="35"/>
      <c r="E54" s="47"/>
      <c r="G54" s="11"/>
      <c r="CS54" s="47"/>
      <c r="CU54" s="11"/>
      <c r="GB54" s="47"/>
      <c r="GG54" s="47"/>
      <c r="GI54" s="11"/>
      <c r="JP54" s="47"/>
      <c r="JU54" s="47"/>
      <c r="JW54" s="11"/>
      <c r="ND54" s="47"/>
      <c r="NI54" s="47"/>
      <c r="NK54" s="11"/>
      <c r="QR54" s="47"/>
      <c r="QW54" s="47"/>
      <c r="QY54" s="11"/>
      <c r="UF54" s="47"/>
      <c r="UK54" s="47"/>
      <c r="UM54" s="11"/>
      <c r="XT54" s="47"/>
      <c r="XY54" s="47"/>
      <c r="YA54" s="11"/>
      <c r="ABH54" s="47"/>
      <c r="ABM54" s="47"/>
      <c r="ABO54" s="11"/>
      <c r="AEV54" s="47"/>
      <c r="AFA54" s="47"/>
      <c r="AFC54" s="11"/>
      <c r="AIJ54" s="47"/>
      <c r="AIO54" s="47"/>
      <c r="AIQ54" s="11"/>
      <c r="ALX54" s="47"/>
      <c r="AMC54" s="47"/>
      <c r="AME54" s="11"/>
      <c r="APL54" s="47"/>
      <c r="APQ54" s="47"/>
      <c r="APS54" s="11"/>
      <c r="ASZ54" s="47"/>
      <c r="ATE54" s="47"/>
      <c r="ATG54" s="11"/>
      <c r="AWN54" s="47"/>
      <c r="AWS54" s="47"/>
      <c r="AWU54" s="11"/>
      <c r="BAB54" s="47"/>
      <c r="BAG54" s="47"/>
      <c r="BAI54" s="11"/>
      <c r="BDP54" s="47"/>
      <c r="BDU54" s="47"/>
      <c r="BDW54" s="11"/>
      <c r="BHD54" s="47"/>
      <c r="BHI54" s="47"/>
      <c r="BHK54" s="11"/>
      <c r="BKR54" s="47"/>
      <c r="BKW54" s="47"/>
      <c r="BKY54" s="11"/>
      <c r="BOF54" s="47"/>
      <c r="BOK54" s="47"/>
      <c r="BOM54" s="11"/>
      <c r="BRT54" s="47"/>
      <c r="BRY54" s="47"/>
      <c r="BSA54" s="11"/>
      <c r="BVH54" s="47"/>
      <c r="BVM54" s="47"/>
      <c r="BVO54" s="11"/>
      <c r="BYV54" s="47"/>
      <c r="BZA54" s="47"/>
      <c r="BZC54" s="11"/>
      <c r="CCJ54" s="47"/>
      <c r="CCO54" s="47"/>
      <c r="CCQ54" s="11"/>
      <c r="CFX54" s="47"/>
      <c r="CGC54" s="47"/>
      <c r="CGE54" s="11"/>
      <c r="CJL54" s="47"/>
      <c r="CJQ54" s="47"/>
      <c r="CJS54" s="11"/>
      <c r="CMZ54" s="47"/>
      <c r="CNE54" s="47"/>
      <c r="CNG54" s="11"/>
      <c r="CQN54" s="47"/>
      <c r="CQS54" s="47"/>
      <c r="CQU54" s="11"/>
      <c r="CUB54" s="47"/>
      <c r="CUG54" s="47"/>
      <c r="CUI54" s="11"/>
      <c r="CXP54" s="47"/>
      <c r="CXU54" s="47"/>
      <c r="CXW54" s="11"/>
      <c r="DBD54" s="47"/>
      <c r="DBI54" s="47"/>
      <c r="DBK54" s="11"/>
      <c r="DER54" s="47"/>
      <c r="DEW54" s="47"/>
      <c r="DEY54" s="11"/>
      <c r="DIF54" s="47"/>
      <c r="DIK54" s="47"/>
      <c r="DIM54" s="11"/>
      <c r="DLT54" s="47"/>
      <c r="DLY54" s="47"/>
      <c r="DMA54" s="11"/>
      <c r="DPH54" s="47"/>
      <c r="DPM54" s="47"/>
      <c r="DPO54" s="11"/>
      <c r="DSV54" s="47"/>
      <c r="DTA54" s="47"/>
      <c r="DTC54" s="11"/>
      <c r="DWJ54" s="47"/>
      <c r="DWO54" s="47"/>
      <c r="DWQ54" s="11"/>
      <c r="DZX54" s="47"/>
      <c r="EAC54" s="47"/>
      <c r="EAE54" s="11"/>
      <c r="EDL54" s="47"/>
      <c r="EDQ54" s="47"/>
      <c r="EDS54" s="11"/>
      <c r="EGZ54" s="47"/>
      <c r="EHE54" s="47"/>
      <c r="EHG54" s="11"/>
      <c r="EKN54" s="47"/>
      <c r="EKS54" s="47"/>
      <c r="EKU54" s="11"/>
      <c r="EOB54" s="47"/>
      <c r="EOG54" s="47"/>
      <c r="EOI54" s="11"/>
      <c r="ERP54" s="47"/>
      <c r="ERU54" s="47"/>
      <c r="ERW54" s="11"/>
      <c r="EVD54" s="47"/>
      <c r="EVI54" s="47"/>
      <c r="EVK54" s="11"/>
      <c r="EYR54" s="47"/>
      <c r="EYW54" s="47"/>
      <c r="EYY54" s="11"/>
      <c r="FCF54" s="47"/>
      <c r="FCK54" s="47"/>
      <c r="FCM54" s="11"/>
      <c r="FFT54" s="47"/>
      <c r="FFY54" s="47"/>
      <c r="FGA54" s="11"/>
      <c r="FJH54" s="47"/>
      <c r="FJM54" s="47"/>
      <c r="FJO54" s="11"/>
      <c r="FMV54" s="47"/>
      <c r="FNA54" s="47"/>
      <c r="FNC54" s="11"/>
      <c r="FQJ54" s="47"/>
      <c r="FQO54" s="47"/>
      <c r="FQQ54" s="11"/>
      <c r="FTX54" s="47"/>
      <c r="FUC54" s="47"/>
      <c r="FUE54" s="11"/>
      <c r="FXL54" s="47"/>
      <c r="FXQ54" s="47"/>
      <c r="FXS54" s="11"/>
      <c r="GAZ54" s="47"/>
      <c r="GBE54" s="47"/>
      <c r="GBG54" s="11"/>
      <c r="GEN54" s="47"/>
      <c r="GES54" s="47"/>
      <c r="GEU54" s="11"/>
      <c r="GIB54" s="47"/>
      <c r="GIG54" s="47"/>
      <c r="GII54" s="11"/>
      <c r="GLP54" s="47"/>
      <c r="GLU54" s="47"/>
      <c r="GLW54" s="11"/>
      <c r="GPD54" s="47"/>
      <c r="GPI54" s="47"/>
      <c r="GPK54" s="11"/>
      <c r="GSR54" s="47"/>
      <c r="GSW54" s="47"/>
      <c r="GSY54" s="11"/>
      <c r="GWF54" s="47"/>
      <c r="GWK54" s="47"/>
      <c r="GWM54" s="11"/>
      <c r="GZT54" s="47"/>
      <c r="GZY54" s="47"/>
      <c r="HAA54" s="11"/>
      <c r="HDH54" s="47"/>
      <c r="HDM54" s="47"/>
      <c r="HDO54" s="11"/>
      <c r="HGV54" s="47"/>
      <c r="HHA54" s="47"/>
      <c r="HHC54" s="11"/>
      <c r="HKJ54" s="47"/>
      <c r="HKO54" s="47"/>
      <c r="HKQ54" s="11"/>
      <c r="HNX54" s="47"/>
      <c r="HOC54" s="47"/>
      <c r="HOE54" s="11"/>
      <c r="HRL54" s="47"/>
      <c r="HRQ54" s="47"/>
      <c r="HRS54" s="11"/>
      <c r="HUZ54" s="47"/>
      <c r="HVE54" s="47"/>
      <c r="HVG54" s="11"/>
      <c r="HYN54" s="47"/>
      <c r="HYS54" s="47"/>
      <c r="HYU54" s="11"/>
      <c r="ICB54" s="47"/>
      <c r="ICG54" s="47"/>
      <c r="ICI54" s="11"/>
      <c r="IFP54" s="47"/>
      <c r="IFU54" s="47"/>
      <c r="IFW54" s="11"/>
      <c r="IJD54" s="47"/>
      <c r="IJI54" s="47"/>
      <c r="IJK54" s="11"/>
      <c r="IMR54" s="47"/>
      <c r="IMW54" s="47"/>
      <c r="IMY54" s="11"/>
      <c r="IQF54" s="47"/>
      <c r="IQK54" s="47"/>
      <c r="IQM54" s="11"/>
      <c r="ITT54" s="47"/>
      <c r="ITY54" s="47"/>
      <c r="IUA54" s="11"/>
      <c r="IXH54" s="47"/>
      <c r="IXM54" s="47"/>
      <c r="IXO54" s="11"/>
      <c r="JAV54" s="47"/>
      <c r="JBA54" s="47"/>
      <c r="JBC54" s="11"/>
      <c r="JEJ54" s="47"/>
      <c r="JEO54" s="47"/>
      <c r="JEQ54" s="11"/>
      <c r="JHX54" s="47"/>
      <c r="JIC54" s="47"/>
      <c r="JIE54" s="11"/>
      <c r="JLL54" s="47"/>
      <c r="JLQ54" s="47"/>
      <c r="JLS54" s="11"/>
      <c r="JOZ54" s="47"/>
      <c r="JPE54" s="47"/>
      <c r="JPG54" s="11"/>
      <c r="JSN54" s="47"/>
      <c r="JSS54" s="47"/>
      <c r="JSU54" s="11"/>
      <c r="JWB54" s="47"/>
      <c r="JWG54" s="47"/>
      <c r="JWI54" s="11"/>
      <c r="JZP54" s="47"/>
      <c r="JZU54" s="47"/>
      <c r="JZW54" s="11"/>
      <c r="KDD54" s="47"/>
      <c r="KDI54" s="47"/>
      <c r="KDK54" s="11"/>
      <c r="KGR54" s="47"/>
      <c r="KGW54" s="47"/>
      <c r="KGY54" s="11"/>
      <c r="KKF54" s="47"/>
      <c r="KKK54" s="47"/>
      <c r="KKM54" s="11"/>
      <c r="KNT54" s="47"/>
      <c r="KNY54" s="47"/>
      <c r="KOA54" s="11"/>
      <c r="KRH54" s="47"/>
      <c r="KRM54" s="47"/>
      <c r="KRO54" s="11"/>
      <c r="KUV54" s="47"/>
      <c r="KVA54" s="47"/>
      <c r="KVC54" s="11"/>
      <c r="KYJ54" s="47"/>
      <c r="KYO54" s="47"/>
      <c r="KYQ54" s="11"/>
      <c r="LBX54" s="47"/>
      <c r="LCC54" s="47"/>
      <c r="LCE54" s="11"/>
      <c r="LFL54" s="47"/>
      <c r="LFQ54" s="47"/>
      <c r="LFS54" s="11"/>
      <c r="LIZ54" s="47"/>
      <c r="LJE54" s="47"/>
      <c r="LJG54" s="11"/>
      <c r="LMN54" s="47"/>
      <c r="LMS54" s="47"/>
      <c r="LMU54" s="11"/>
      <c r="LQB54" s="47"/>
      <c r="LQG54" s="47"/>
      <c r="LQI54" s="11"/>
      <c r="LTP54" s="47"/>
      <c r="LTU54" s="47"/>
      <c r="LTW54" s="11"/>
      <c r="LXD54" s="47"/>
      <c r="LXI54" s="47"/>
      <c r="LXK54" s="11"/>
      <c r="MAR54" s="47"/>
      <c r="MAW54" s="47"/>
      <c r="MAY54" s="11"/>
      <c r="MEF54" s="47"/>
      <c r="MEK54" s="47"/>
      <c r="MEM54" s="11"/>
      <c r="MHT54" s="47"/>
      <c r="MHY54" s="47"/>
      <c r="MIA54" s="11"/>
      <c r="MLH54" s="47"/>
      <c r="MLM54" s="47"/>
      <c r="MLO54" s="11"/>
      <c r="MOV54" s="47"/>
      <c r="MPA54" s="47"/>
      <c r="MPC54" s="11"/>
      <c r="MSJ54" s="47"/>
      <c r="MSO54" s="47"/>
      <c r="MSQ54" s="11"/>
      <c r="MVX54" s="47"/>
      <c r="MWC54" s="47"/>
      <c r="MWE54" s="11"/>
      <c r="MZL54" s="47"/>
      <c r="MZQ54" s="47"/>
      <c r="MZS54" s="11"/>
      <c r="NCZ54" s="47"/>
      <c r="NDE54" s="47"/>
      <c r="NDG54" s="11"/>
      <c r="NGN54" s="47"/>
      <c r="NGS54" s="47"/>
      <c r="NGU54" s="11"/>
      <c r="NKB54" s="47"/>
      <c r="NKG54" s="47"/>
      <c r="NKI54" s="11"/>
      <c r="NNP54" s="47"/>
      <c r="NNU54" s="47"/>
      <c r="NNW54" s="11"/>
      <c r="NRD54" s="47"/>
      <c r="NRI54" s="47"/>
      <c r="NRK54" s="11"/>
      <c r="NUR54" s="47"/>
      <c r="NUW54" s="47"/>
      <c r="NUY54" s="11"/>
      <c r="NYF54" s="47"/>
      <c r="NYK54" s="47"/>
      <c r="NYM54" s="11"/>
      <c r="OBT54" s="47"/>
      <c r="OBY54" s="47"/>
      <c r="OCA54" s="11"/>
      <c r="OFH54" s="47"/>
      <c r="OFM54" s="47"/>
      <c r="OFO54" s="11"/>
      <c r="OIV54" s="47"/>
      <c r="OJA54" s="47"/>
      <c r="OJC54" s="11"/>
      <c r="OMJ54" s="47"/>
      <c r="OMO54" s="47"/>
      <c r="OMQ54" s="11"/>
      <c r="OPX54" s="47"/>
      <c r="OQC54" s="47"/>
      <c r="OQE54" s="11"/>
      <c r="OTL54" s="47"/>
      <c r="OTQ54" s="47"/>
      <c r="OTS54" s="11"/>
      <c r="OWZ54" s="47"/>
      <c r="OXE54" s="47"/>
      <c r="OXG54" s="11"/>
      <c r="PAN54" s="47"/>
      <c r="PAS54" s="47"/>
      <c r="PAU54" s="11"/>
      <c r="PEB54" s="47"/>
      <c r="PEG54" s="47"/>
      <c r="PEI54" s="11"/>
      <c r="PHP54" s="47"/>
      <c r="PHU54" s="47"/>
      <c r="PHW54" s="11"/>
      <c r="PLD54" s="47"/>
      <c r="PLI54" s="47"/>
      <c r="PLK54" s="11"/>
      <c r="POR54" s="47"/>
      <c r="POW54" s="47"/>
      <c r="POY54" s="11"/>
      <c r="PSF54" s="47"/>
      <c r="PSK54" s="47"/>
      <c r="PSM54" s="11"/>
      <c r="PVT54" s="47"/>
      <c r="PVY54" s="47"/>
      <c r="PWA54" s="11"/>
      <c r="PZH54" s="47"/>
      <c r="PZM54" s="47"/>
      <c r="PZO54" s="11"/>
      <c r="QCV54" s="47"/>
      <c r="QDA54" s="47"/>
      <c r="QDC54" s="11"/>
      <c r="QGJ54" s="47"/>
      <c r="QGO54" s="47"/>
      <c r="QGQ54" s="11"/>
      <c r="QJX54" s="47"/>
      <c r="QKC54" s="47"/>
      <c r="QKE54" s="11"/>
      <c r="QNL54" s="47"/>
      <c r="QNQ54" s="47"/>
      <c r="QNS54" s="11"/>
      <c r="QQZ54" s="47"/>
      <c r="QRE54" s="47"/>
      <c r="QRG54" s="11"/>
      <c r="QUN54" s="47"/>
      <c r="QUS54" s="47"/>
      <c r="QUU54" s="11"/>
      <c r="QYB54" s="47"/>
      <c r="QYG54" s="47"/>
      <c r="QYI54" s="11"/>
      <c r="RBP54" s="47"/>
      <c r="RBU54" s="47"/>
      <c r="RBW54" s="11"/>
      <c r="RFD54" s="47"/>
      <c r="RFI54" s="47"/>
      <c r="RFK54" s="11"/>
      <c r="RIR54" s="47"/>
      <c r="RIW54" s="47"/>
      <c r="RIY54" s="11"/>
      <c r="RMF54" s="47"/>
      <c r="RMK54" s="47"/>
      <c r="RMM54" s="11"/>
      <c r="RPT54" s="47"/>
      <c r="RPY54" s="47"/>
      <c r="RQA54" s="11"/>
      <c r="RTH54" s="47"/>
      <c r="RTM54" s="47"/>
      <c r="RTO54" s="11"/>
      <c r="RWV54" s="47"/>
      <c r="RXA54" s="47"/>
      <c r="RXC54" s="11"/>
      <c r="SAJ54" s="47"/>
      <c r="SAO54" s="47"/>
      <c r="SAQ54" s="11"/>
      <c r="SDX54" s="47"/>
      <c r="SEC54" s="47"/>
      <c r="SEE54" s="11"/>
      <c r="SHL54" s="47"/>
      <c r="SHQ54" s="47"/>
      <c r="SHS54" s="11"/>
      <c r="SKZ54" s="47"/>
      <c r="SLE54" s="47"/>
      <c r="SLG54" s="11"/>
      <c r="SON54" s="47"/>
      <c r="SOS54" s="47"/>
      <c r="SOU54" s="11"/>
      <c r="SSB54" s="47"/>
      <c r="SSG54" s="47"/>
      <c r="SSI54" s="11"/>
      <c r="SVP54" s="47"/>
      <c r="SVU54" s="47"/>
      <c r="SVW54" s="11"/>
      <c r="SZD54" s="47"/>
      <c r="SZI54" s="47"/>
      <c r="SZK54" s="11"/>
      <c r="TCR54" s="47"/>
      <c r="TCW54" s="47"/>
      <c r="TCY54" s="11"/>
      <c r="TGF54" s="47"/>
      <c r="TGK54" s="47"/>
      <c r="TGM54" s="11"/>
      <c r="TJT54" s="47"/>
      <c r="TJY54" s="47"/>
      <c r="TKA54" s="11"/>
      <c r="TNH54" s="47"/>
      <c r="TNM54" s="47"/>
      <c r="TNO54" s="11"/>
      <c r="TQV54" s="47"/>
      <c r="TRA54" s="47"/>
      <c r="TRC54" s="11"/>
      <c r="TUJ54" s="47"/>
      <c r="TUO54" s="47"/>
      <c r="TUQ54" s="11"/>
      <c r="TXX54" s="47"/>
      <c r="TYC54" s="47"/>
      <c r="TYE54" s="11"/>
      <c r="UBL54" s="47"/>
      <c r="UBQ54" s="47"/>
      <c r="UBS54" s="11"/>
      <c r="UEZ54" s="47"/>
      <c r="UFE54" s="47"/>
      <c r="UFG54" s="11"/>
      <c r="UIN54" s="47"/>
      <c r="UIS54" s="47"/>
      <c r="UIU54" s="11"/>
      <c r="UMB54" s="47"/>
      <c r="UMG54" s="47"/>
      <c r="UMI54" s="11"/>
      <c r="UPP54" s="47"/>
      <c r="UPU54" s="47"/>
      <c r="UPW54" s="11"/>
      <c r="UTD54" s="47"/>
      <c r="UTI54" s="47"/>
      <c r="UTK54" s="11"/>
      <c r="UWR54" s="47"/>
      <c r="UWW54" s="47"/>
      <c r="UWY54" s="11"/>
      <c r="VAF54" s="47"/>
      <c r="VAK54" s="47"/>
      <c r="VAM54" s="11"/>
      <c r="VDT54" s="47"/>
      <c r="VDY54" s="47"/>
      <c r="VEA54" s="11"/>
      <c r="VHH54" s="47"/>
      <c r="VHM54" s="47"/>
      <c r="VHO54" s="11"/>
      <c r="VKV54" s="47"/>
      <c r="VLA54" s="47"/>
      <c r="VLC54" s="11"/>
      <c r="VOJ54" s="47"/>
      <c r="VOO54" s="47"/>
      <c r="VOQ54" s="11"/>
      <c r="VRX54" s="47"/>
      <c r="VSC54" s="47"/>
      <c r="VSE54" s="11"/>
      <c r="VVL54" s="47"/>
      <c r="VVQ54" s="47"/>
      <c r="VVS54" s="11"/>
      <c r="VYZ54" s="47"/>
      <c r="VZE54" s="47"/>
      <c r="VZG54" s="11"/>
      <c r="WCN54" s="47"/>
      <c r="WCS54" s="47"/>
      <c r="WCU54" s="11"/>
      <c r="WGB54" s="47"/>
      <c r="WGG54" s="47"/>
      <c r="WGI54" s="11"/>
      <c r="WJP54" s="47"/>
      <c r="WJU54" s="47"/>
      <c r="WJW54" s="11"/>
      <c r="WND54" s="47"/>
      <c r="WNI54" s="47"/>
      <c r="WNK54" s="11"/>
      <c r="WQR54" s="47"/>
      <c r="WQW54" s="47"/>
      <c r="WQY54" s="11"/>
      <c r="WUF54" s="47"/>
      <c r="WUK54" s="47"/>
      <c r="WUM54" s="11"/>
      <c r="WXT54" s="47"/>
      <c r="WXY54" s="47"/>
      <c r="WYA54" s="11"/>
      <c r="XBH54" s="47"/>
      <c r="XBM54" s="47"/>
      <c r="XBO54" s="11"/>
      <c r="XEV54" s="47"/>
      <c r="XFA54" s="47"/>
      <c r="XFC54" s="11"/>
    </row>
    <row r="55" spans="3:1019 1104:2031 2116:3043 3128:4055 4140:5067 5152:6079 6164:7091 7176:8188 8193:9207 9292:10219 10304:11231 11316:12243 12328:13255 13340:14267 14352:15279 15364:16383" s="10" customFormat="1" ht="14.5" customHeight="1">
      <c r="C55" s="35" t="s">
        <v>1010</v>
      </c>
      <c r="E55" s="47"/>
      <c r="G55" s="162" t="str">
        <f>Monetary_Unit</f>
        <v>тыс. руб.</v>
      </c>
      <c r="I55" s="363">
        <f ca="1">SUM(I51:I53)</f>
        <v>469647.32912652078</v>
      </c>
      <c r="CS55" s="47"/>
      <c r="CU55" s="11"/>
      <c r="GB55" s="47"/>
      <c r="GG55" s="47"/>
      <c r="GI55" s="11"/>
      <c r="JP55" s="47"/>
      <c r="JU55" s="47"/>
      <c r="JW55" s="11"/>
      <c r="ND55" s="47"/>
      <c r="NI55" s="47"/>
      <c r="NK55" s="11"/>
      <c r="QR55" s="47"/>
      <c r="QW55" s="47"/>
      <c r="QY55" s="11"/>
      <c r="UF55" s="47"/>
      <c r="UK55" s="47"/>
      <c r="UM55" s="11"/>
      <c r="XT55" s="47"/>
      <c r="XY55" s="47"/>
      <c r="YA55" s="11"/>
      <c r="ABH55" s="47"/>
      <c r="ABM55" s="47"/>
      <c r="ABO55" s="11"/>
      <c r="AEV55" s="47"/>
      <c r="AFA55" s="47"/>
      <c r="AFC55" s="11"/>
      <c r="AIJ55" s="47"/>
      <c r="AIO55" s="47"/>
      <c r="AIQ55" s="11"/>
      <c r="ALX55" s="47"/>
      <c r="AMC55" s="47"/>
      <c r="AME55" s="11"/>
      <c r="APL55" s="47"/>
      <c r="APQ55" s="47"/>
      <c r="APS55" s="11"/>
      <c r="ASZ55" s="47"/>
      <c r="ATE55" s="47"/>
      <c r="ATG55" s="11"/>
      <c r="AWN55" s="47"/>
      <c r="AWS55" s="47"/>
      <c r="AWU55" s="11"/>
      <c r="BAB55" s="47"/>
      <c r="BAG55" s="47"/>
      <c r="BAI55" s="11"/>
      <c r="BDP55" s="47"/>
      <c r="BDU55" s="47"/>
      <c r="BDW55" s="11"/>
      <c r="BHD55" s="47"/>
      <c r="BHI55" s="47"/>
      <c r="BHK55" s="11"/>
      <c r="BKR55" s="47"/>
      <c r="BKW55" s="47"/>
      <c r="BKY55" s="11"/>
      <c r="BOF55" s="47"/>
      <c r="BOK55" s="47"/>
      <c r="BOM55" s="11"/>
      <c r="BRT55" s="47"/>
      <c r="BRY55" s="47"/>
      <c r="BSA55" s="11"/>
      <c r="BVH55" s="47"/>
      <c r="BVM55" s="47"/>
      <c r="BVO55" s="11"/>
      <c r="BYV55" s="47"/>
      <c r="BZA55" s="47"/>
      <c r="BZC55" s="11"/>
      <c r="CCJ55" s="47"/>
      <c r="CCO55" s="47"/>
      <c r="CCQ55" s="11"/>
      <c r="CFX55" s="47"/>
      <c r="CGC55" s="47"/>
      <c r="CGE55" s="11"/>
      <c r="CJL55" s="47"/>
      <c r="CJQ55" s="47"/>
      <c r="CJS55" s="11"/>
      <c r="CMZ55" s="47"/>
      <c r="CNE55" s="47"/>
      <c r="CNG55" s="11"/>
      <c r="CQN55" s="47"/>
      <c r="CQS55" s="47"/>
      <c r="CQU55" s="11"/>
      <c r="CUB55" s="47"/>
      <c r="CUG55" s="47"/>
      <c r="CUI55" s="11"/>
      <c r="CXP55" s="47"/>
      <c r="CXU55" s="47"/>
      <c r="CXW55" s="11"/>
      <c r="DBD55" s="47"/>
      <c r="DBI55" s="47"/>
      <c r="DBK55" s="11"/>
      <c r="DER55" s="47"/>
      <c r="DEW55" s="47"/>
      <c r="DEY55" s="11"/>
      <c r="DIF55" s="47"/>
      <c r="DIK55" s="47"/>
      <c r="DIM55" s="11"/>
      <c r="DLT55" s="47"/>
      <c r="DLY55" s="47"/>
      <c r="DMA55" s="11"/>
      <c r="DPH55" s="47"/>
      <c r="DPM55" s="47"/>
      <c r="DPO55" s="11"/>
      <c r="DSV55" s="47"/>
      <c r="DTA55" s="47"/>
      <c r="DTC55" s="11"/>
      <c r="DWJ55" s="47"/>
      <c r="DWO55" s="47"/>
      <c r="DWQ55" s="11"/>
      <c r="DZX55" s="47"/>
      <c r="EAC55" s="47"/>
      <c r="EAE55" s="11"/>
      <c r="EDL55" s="47"/>
      <c r="EDQ55" s="47"/>
      <c r="EDS55" s="11"/>
      <c r="EGZ55" s="47"/>
      <c r="EHE55" s="47"/>
      <c r="EHG55" s="11"/>
      <c r="EKN55" s="47"/>
      <c r="EKS55" s="47"/>
      <c r="EKU55" s="11"/>
      <c r="EOB55" s="47"/>
      <c r="EOG55" s="47"/>
      <c r="EOI55" s="11"/>
      <c r="ERP55" s="47"/>
      <c r="ERU55" s="47"/>
      <c r="ERW55" s="11"/>
      <c r="EVD55" s="47"/>
      <c r="EVI55" s="47"/>
      <c r="EVK55" s="11"/>
      <c r="EYR55" s="47"/>
      <c r="EYW55" s="47"/>
      <c r="EYY55" s="11"/>
      <c r="FCF55" s="47"/>
      <c r="FCK55" s="47"/>
      <c r="FCM55" s="11"/>
      <c r="FFT55" s="47"/>
      <c r="FFY55" s="47"/>
      <c r="FGA55" s="11"/>
      <c r="FJH55" s="47"/>
      <c r="FJM55" s="47"/>
      <c r="FJO55" s="11"/>
      <c r="FMV55" s="47"/>
      <c r="FNA55" s="47"/>
      <c r="FNC55" s="11"/>
      <c r="FQJ55" s="47"/>
      <c r="FQO55" s="47"/>
      <c r="FQQ55" s="11"/>
      <c r="FTX55" s="47"/>
      <c r="FUC55" s="47"/>
      <c r="FUE55" s="11"/>
      <c r="FXL55" s="47"/>
      <c r="FXQ55" s="47"/>
      <c r="FXS55" s="11"/>
      <c r="GAZ55" s="47"/>
      <c r="GBE55" s="47"/>
      <c r="GBG55" s="11"/>
      <c r="GEN55" s="47"/>
      <c r="GES55" s="47"/>
      <c r="GEU55" s="11"/>
      <c r="GIB55" s="47"/>
      <c r="GIG55" s="47"/>
      <c r="GII55" s="11"/>
      <c r="GLP55" s="47"/>
      <c r="GLU55" s="47"/>
      <c r="GLW55" s="11"/>
      <c r="GPD55" s="47"/>
      <c r="GPI55" s="47"/>
      <c r="GPK55" s="11"/>
      <c r="GSR55" s="47"/>
      <c r="GSW55" s="47"/>
      <c r="GSY55" s="11"/>
      <c r="GWF55" s="47"/>
      <c r="GWK55" s="47"/>
      <c r="GWM55" s="11"/>
      <c r="GZT55" s="47"/>
      <c r="GZY55" s="47"/>
      <c r="HAA55" s="11"/>
      <c r="HDH55" s="47"/>
      <c r="HDM55" s="47"/>
      <c r="HDO55" s="11"/>
      <c r="HGV55" s="47"/>
      <c r="HHA55" s="47"/>
      <c r="HHC55" s="11"/>
      <c r="HKJ55" s="47"/>
      <c r="HKO55" s="47"/>
      <c r="HKQ55" s="11"/>
      <c r="HNX55" s="47"/>
      <c r="HOC55" s="47"/>
      <c r="HOE55" s="11"/>
      <c r="HRL55" s="47"/>
      <c r="HRQ55" s="47"/>
      <c r="HRS55" s="11"/>
      <c r="HUZ55" s="47"/>
      <c r="HVE55" s="47"/>
      <c r="HVG55" s="11"/>
      <c r="HYN55" s="47"/>
      <c r="HYS55" s="47"/>
      <c r="HYU55" s="11"/>
      <c r="ICB55" s="47"/>
      <c r="ICG55" s="47"/>
      <c r="ICI55" s="11"/>
      <c r="IFP55" s="47"/>
      <c r="IFU55" s="47"/>
      <c r="IFW55" s="11"/>
      <c r="IJD55" s="47"/>
      <c r="IJI55" s="47"/>
      <c r="IJK55" s="11"/>
      <c r="IMR55" s="47"/>
      <c r="IMW55" s="47"/>
      <c r="IMY55" s="11"/>
      <c r="IQF55" s="47"/>
      <c r="IQK55" s="47"/>
      <c r="IQM55" s="11"/>
      <c r="ITT55" s="47"/>
      <c r="ITY55" s="47"/>
      <c r="IUA55" s="11"/>
      <c r="IXH55" s="47"/>
      <c r="IXM55" s="47"/>
      <c r="IXO55" s="11"/>
      <c r="JAV55" s="47"/>
      <c r="JBA55" s="47"/>
      <c r="JBC55" s="11"/>
      <c r="JEJ55" s="47"/>
      <c r="JEO55" s="47"/>
      <c r="JEQ55" s="11"/>
      <c r="JHX55" s="47"/>
      <c r="JIC55" s="47"/>
      <c r="JIE55" s="11"/>
      <c r="JLL55" s="47"/>
      <c r="JLQ55" s="47"/>
      <c r="JLS55" s="11"/>
      <c r="JOZ55" s="47"/>
      <c r="JPE55" s="47"/>
      <c r="JPG55" s="11"/>
      <c r="JSN55" s="47"/>
      <c r="JSS55" s="47"/>
      <c r="JSU55" s="11"/>
      <c r="JWB55" s="47"/>
      <c r="JWG55" s="47"/>
      <c r="JWI55" s="11"/>
      <c r="JZP55" s="47"/>
      <c r="JZU55" s="47"/>
      <c r="JZW55" s="11"/>
      <c r="KDD55" s="47"/>
      <c r="KDI55" s="47"/>
      <c r="KDK55" s="11"/>
      <c r="KGR55" s="47"/>
      <c r="KGW55" s="47"/>
      <c r="KGY55" s="11"/>
      <c r="KKF55" s="47"/>
      <c r="KKK55" s="47"/>
      <c r="KKM55" s="11"/>
      <c r="KNT55" s="47"/>
      <c r="KNY55" s="47"/>
      <c r="KOA55" s="11"/>
      <c r="KRH55" s="47"/>
      <c r="KRM55" s="47"/>
      <c r="KRO55" s="11"/>
      <c r="KUV55" s="47"/>
      <c r="KVA55" s="47"/>
      <c r="KVC55" s="11"/>
      <c r="KYJ55" s="47"/>
      <c r="KYO55" s="47"/>
      <c r="KYQ55" s="11"/>
      <c r="LBX55" s="47"/>
      <c r="LCC55" s="47"/>
      <c r="LCE55" s="11"/>
      <c r="LFL55" s="47"/>
      <c r="LFQ55" s="47"/>
      <c r="LFS55" s="11"/>
      <c r="LIZ55" s="47"/>
      <c r="LJE55" s="47"/>
      <c r="LJG55" s="11"/>
      <c r="LMN55" s="47"/>
      <c r="LMS55" s="47"/>
      <c r="LMU55" s="11"/>
      <c r="LQB55" s="47"/>
      <c r="LQG55" s="47"/>
      <c r="LQI55" s="11"/>
      <c r="LTP55" s="47"/>
      <c r="LTU55" s="47"/>
      <c r="LTW55" s="11"/>
      <c r="LXD55" s="47"/>
      <c r="LXI55" s="47"/>
      <c r="LXK55" s="11"/>
      <c r="MAR55" s="47"/>
      <c r="MAW55" s="47"/>
      <c r="MAY55" s="11"/>
      <c r="MEF55" s="47"/>
      <c r="MEK55" s="47"/>
      <c r="MEM55" s="11"/>
      <c r="MHT55" s="47"/>
      <c r="MHY55" s="47"/>
      <c r="MIA55" s="11"/>
      <c r="MLH55" s="47"/>
      <c r="MLM55" s="47"/>
      <c r="MLO55" s="11"/>
      <c r="MOV55" s="47"/>
      <c r="MPA55" s="47"/>
      <c r="MPC55" s="11"/>
      <c r="MSJ55" s="47"/>
      <c r="MSO55" s="47"/>
      <c r="MSQ55" s="11"/>
      <c r="MVX55" s="47"/>
      <c r="MWC55" s="47"/>
      <c r="MWE55" s="11"/>
      <c r="MZL55" s="47"/>
      <c r="MZQ55" s="47"/>
      <c r="MZS55" s="11"/>
      <c r="NCZ55" s="47"/>
      <c r="NDE55" s="47"/>
      <c r="NDG55" s="11"/>
      <c r="NGN55" s="47"/>
      <c r="NGS55" s="47"/>
      <c r="NGU55" s="11"/>
      <c r="NKB55" s="47"/>
      <c r="NKG55" s="47"/>
      <c r="NKI55" s="11"/>
      <c r="NNP55" s="47"/>
      <c r="NNU55" s="47"/>
      <c r="NNW55" s="11"/>
      <c r="NRD55" s="47"/>
      <c r="NRI55" s="47"/>
      <c r="NRK55" s="11"/>
      <c r="NUR55" s="47"/>
      <c r="NUW55" s="47"/>
      <c r="NUY55" s="11"/>
      <c r="NYF55" s="47"/>
      <c r="NYK55" s="47"/>
      <c r="NYM55" s="11"/>
      <c r="OBT55" s="47"/>
      <c r="OBY55" s="47"/>
      <c r="OCA55" s="11"/>
      <c r="OFH55" s="47"/>
      <c r="OFM55" s="47"/>
      <c r="OFO55" s="11"/>
      <c r="OIV55" s="47"/>
      <c r="OJA55" s="47"/>
      <c r="OJC55" s="11"/>
      <c r="OMJ55" s="47"/>
      <c r="OMO55" s="47"/>
      <c r="OMQ55" s="11"/>
      <c r="OPX55" s="47"/>
      <c r="OQC55" s="47"/>
      <c r="OQE55" s="11"/>
      <c r="OTL55" s="47"/>
      <c r="OTQ55" s="47"/>
      <c r="OTS55" s="11"/>
      <c r="OWZ55" s="47"/>
      <c r="OXE55" s="47"/>
      <c r="OXG55" s="11"/>
      <c r="PAN55" s="47"/>
      <c r="PAS55" s="47"/>
      <c r="PAU55" s="11"/>
      <c r="PEB55" s="47"/>
      <c r="PEG55" s="47"/>
      <c r="PEI55" s="11"/>
      <c r="PHP55" s="47"/>
      <c r="PHU55" s="47"/>
      <c r="PHW55" s="11"/>
      <c r="PLD55" s="47"/>
      <c r="PLI55" s="47"/>
      <c r="PLK55" s="11"/>
      <c r="POR55" s="47"/>
      <c r="POW55" s="47"/>
      <c r="POY55" s="11"/>
      <c r="PSF55" s="47"/>
      <c r="PSK55" s="47"/>
      <c r="PSM55" s="11"/>
      <c r="PVT55" s="47"/>
      <c r="PVY55" s="47"/>
      <c r="PWA55" s="11"/>
      <c r="PZH55" s="47"/>
      <c r="PZM55" s="47"/>
      <c r="PZO55" s="11"/>
      <c r="QCV55" s="47"/>
      <c r="QDA55" s="47"/>
      <c r="QDC55" s="11"/>
      <c r="QGJ55" s="47"/>
      <c r="QGO55" s="47"/>
      <c r="QGQ55" s="11"/>
      <c r="QJX55" s="47"/>
      <c r="QKC55" s="47"/>
      <c r="QKE55" s="11"/>
      <c r="QNL55" s="47"/>
      <c r="QNQ55" s="47"/>
      <c r="QNS55" s="11"/>
      <c r="QQZ55" s="47"/>
      <c r="QRE55" s="47"/>
      <c r="QRG55" s="11"/>
      <c r="QUN55" s="47"/>
      <c r="QUS55" s="47"/>
      <c r="QUU55" s="11"/>
      <c r="QYB55" s="47"/>
      <c r="QYG55" s="47"/>
      <c r="QYI55" s="11"/>
      <c r="RBP55" s="47"/>
      <c r="RBU55" s="47"/>
      <c r="RBW55" s="11"/>
      <c r="RFD55" s="47"/>
      <c r="RFI55" s="47"/>
      <c r="RFK55" s="11"/>
      <c r="RIR55" s="47"/>
      <c r="RIW55" s="47"/>
      <c r="RIY55" s="11"/>
      <c r="RMF55" s="47"/>
      <c r="RMK55" s="47"/>
      <c r="RMM55" s="11"/>
      <c r="RPT55" s="47"/>
      <c r="RPY55" s="47"/>
      <c r="RQA55" s="11"/>
      <c r="RTH55" s="47"/>
      <c r="RTM55" s="47"/>
      <c r="RTO55" s="11"/>
      <c r="RWV55" s="47"/>
      <c r="RXA55" s="47"/>
      <c r="RXC55" s="11"/>
      <c r="SAJ55" s="47"/>
      <c r="SAO55" s="47"/>
      <c r="SAQ55" s="11"/>
      <c r="SDX55" s="47"/>
      <c r="SEC55" s="47"/>
      <c r="SEE55" s="11"/>
      <c r="SHL55" s="47"/>
      <c r="SHQ55" s="47"/>
      <c r="SHS55" s="11"/>
      <c r="SKZ55" s="47"/>
      <c r="SLE55" s="47"/>
      <c r="SLG55" s="11"/>
      <c r="SON55" s="47"/>
      <c r="SOS55" s="47"/>
      <c r="SOU55" s="11"/>
      <c r="SSB55" s="47"/>
      <c r="SSG55" s="47"/>
      <c r="SSI55" s="11"/>
      <c r="SVP55" s="47"/>
      <c r="SVU55" s="47"/>
      <c r="SVW55" s="11"/>
      <c r="SZD55" s="47"/>
      <c r="SZI55" s="47"/>
      <c r="SZK55" s="11"/>
      <c r="TCR55" s="47"/>
      <c r="TCW55" s="47"/>
      <c r="TCY55" s="11"/>
      <c r="TGF55" s="47"/>
      <c r="TGK55" s="47"/>
      <c r="TGM55" s="11"/>
      <c r="TJT55" s="47"/>
      <c r="TJY55" s="47"/>
      <c r="TKA55" s="11"/>
      <c r="TNH55" s="47"/>
      <c r="TNM55" s="47"/>
      <c r="TNO55" s="11"/>
      <c r="TQV55" s="47"/>
      <c r="TRA55" s="47"/>
      <c r="TRC55" s="11"/>
      <c r="TUJ55" s="47"/>
      <c r="TUO55" s="47"/>
      <c r="TUQ55" s="11"/>
      <c r="TXX55" s="47"/>
      <c r="TYC55" s="47"/>
      <c r="TYE55" s="11"/>
      <c r="UBL55" s="47"/>
      <c r="UBQ55" s="47"/>
      <c r="UBS55" s="11"/>
      <c r="UEZ55" s="47"/>
      <c r="UFE55" s="47"/>
      <c r="UFG55" s="11"/>
      <c r="UIN55" s="47"/>
      <c r="UIS55" s="47"/>
      <c r="UIU55" s="11"/>
      <c r="UMB55" s="47"/>
      <c r="UMG55" s="47"/>
      <c r="UMI55" s="11"/>
      <c r="UPP55" s="47"/>
      <c r="UPU55" s="47"/>
      <c r="UPW55" s="11"/>
      <c r="UTD55" s="47"/>
      <c r="UTI55" s="47"/>
      <c r="UTK55" s="11"/>
      <c r="UWR55" s="47"/>
      <c r="UWW55" s="47"/>
      <c r="UWY55" s="11"/>
      <c r="VAF55" s="47"/>
      <c r="VAK55" s="47"/>
      <c r="VAM55" s="11"/>
      <c r="VDT55" s="47"/>
      <c r="VDY55" s="47"/>
      <c r="VEA55" s="11"/>
      <c r="VHH55" s="47"/>
      <c r="VHM55" s="47"/>
      <c r="VHO55" s="11"/>
      <c r="VKV55" s="47"/>
      <c r="VLA55" s="47"/>
      <c r="VLC55" s="11"/>
      <c r="VOJ55" s="47"/>
      <c r="VOO55" s="47"/>
      <c r="VOQ55" s="11"/>
      <c r="VRX55" s="47"/>
      <c r="VSC55" s="47"/>
      <c r="VSE55" s="11"/>
      <c r="VVL55" s="47"/>
      <c r="VVQ55" s="47"/>
      <c r="VVS55" s="11"/>
      <c r="VYZ55" s="47"/>
      <c r="VZE55" s="47"/>
      <c r="VZG55" s="11"/>
      <c r="WCN55" s="47"/>
      <c r="WCS55" s="47"/>
      <c r="WCU55" s="11"/>
      <c r="WGB55" s="47"/>
      <c r="WGG55" s="47"/>
      <c r="WGI55" s="11"/>
      <c r="WJP55" s="47"/>
      <c r="WJU55" s="47"/>
      <c r="WJW55" s="11"/>
      <c r="WND55" s="47"/>
      <c r="WNI55" s="47"/>
      <c r="WNK55" s="11"/>
      <c r="WQR55" s="47"/>
      <c r="WQW55" s="47"/>
      <c r="WQY55" s="11"/>
      <c r="WUF55" s="47"/>
      <c r="WUK55" s="47"/>
      <c r="WUM55" s="11"/>
      <c r="WXT55" s="47"/>
      <c r="WXY55" s="47"/>
      <c r="WYA55" s="11"/>
      <c r="XBH55" s="47"/>
      <c r="XBM55" s="47"/>
      <c r="XBO55" s="11"/>
      <c r="XEV55" s="47"/>
      <c r="XFA55" s="47"/>
      <c r="XFC55" s="11"/>
    </row>
    <row r="56" spans="3:1019 1104:2031 2116:3043 3128:4055 4140:5067 5152:6079 6164:7091 7176:8188 8193:9207 9292:10219 10304:11231 11316:12243 12328:13255 13340:14267 14352:15279 15364:16383" s="10" customFormat="1" ht="14.5" customHeight="1">
      <c r="C56" s="35" t="s">
        <v>1011</v>
      </c>
      <c r="E56" s="47"/>
      <c r="G56" s="162" t="s">
        <v>956</v>
      </c>
      <c r="I56" s="364">
        <f ca="1" xml:space="preserve"> (I52 + I53) / - I51</f>
        <v>1.6512887525639204</v>
      </c>
      <c r="CS56" s="47"/>
      <c r="CU56" s="11"/>
      <c r="GB56" s="47"/>
      <c r="GG56" s="47"/>
      <c r="GI56" s="11"/>
      <c r="JP56" s="47"/>
      <c r="JU56" s="47"/>
      <c r="JW56" s="11"/>
      <c r="ND56" s="47"/>
      <c r="NI56" s="47"/>
      <c r="NK56" s="11"/>
      <c r="QR56" s="47"/>
      <c r="QW56" s="47"/>
      <c r="QY56" s="11"/>
      <c r="UF56" s="47"/>
      <c r="UK56" s="47"/>
      <c r="UM56" s="11"/>
      <c r="XT56" s="47"/>
      <c r="XY56" s="47"/>
      <c r="YA56" s="11"/>
      <c r="ABH56" s="47"/>
      <c r="ABM56" s="47"/>
      <c r="ABO56" s="11"/>
      <c r="AEV56" s="47"/>
      <c r="AFA56" s="47"/>
      <c r="AFC56" s="11"/>
      <c r="AIJ56" s="47"/>
      <c r="AIO56" s="47"/>
      <c r="AIQ56" s="11"/>
      <c r="ALX56" s="47"/>
      <c r="AMC56" s="47"/>
      <c r="AME56" s="11"/>
      <c r="APL56" s="47"/>
      <c r="APQ56" s="47"/>
      <c r="APS56" s="11"/>
      <c r="ASZ56" s="47"/>
      <c r="ATE56" s="47"/>
      <c r="ATG56" s="11"/>
      <c r="AWN56" s="47"/>
      <c r="AWS56" s="47"/>
      <c r="AWU56" s="11"/>
      <c r="BAB56" s="47"/>
      <c r="BAG56" s="47"/>
      <c r="BAI56" s="11"/>
      <c r="BDP56" s="47"/>
      <c r="BDU56" s="47"/>
      <c r="BDW56" s="11"/>
      <c r="BHD56" s="47"/>
      <c r="BHI56" s="47"/>
      <c r="BHK56" s="11"/>
      <c r="BKR56" s="47"/>
      <c r="BKW56" s="47"/>
      <c r="BKY56" s="11"/>
      <c r="BOF56" s="47"/>
      <c r="BOK56" s="47"/>
      <c r="BOM56" s="11"/>
      <c r="BRT56" s="47"/>
      <c r="BRY56" s="47"/>
      <c r="BSA56" s="11"/>
      <c r="BVH56" s="47"/>
      <c r="BVM56" s="47"/>
      <c r="BVO56" s="11"/>
      <c r="BYV56" s="47"/>
      <c r="BZA56" s="47"/>
      <c r="BZC56" s="11"/>
      <c r="CCJ56" s="47"/>
      <c r="CCO56" s="47"/>
      <c r="CCQ56" s="11"/>
      <c r="CFX56" s="47"/>
      <c r="CGC56" s="47"/>
      <c r="CGE56" s="11"/>
      <c r="CJL56" s="47"/>
      <c r="CJQ56" s="47"/>
      <c r="CJS56" s="11"/>
      <c r="CMZ56" s="47"/>
      <c r="CNE56" s="47"/>
      <c r="CNG56" s="11"/>
      <c r="CQN56" s="47"/>
      <c r="CQS56" s="47"/>
      <c r="CQU56" s="11"/>
      <c r="CUB56" s="47"/>
      <c r="CUG56" s="47"/>
      <c r="CUI56" s="11"/>
      <c r="CXP56" s="47"/>
      <c r="CXU56" s="47"/>
      <c r="CXW56" s="11"/>
      <c r="DBD56" s="47"/>
      <c r="DBI56" s="47"/>
      <c r="DBK56" s="11"/>
      <c r="DER56" s="47"/>
      <c r="DEW56" s="47"/>
      <c r="DEY56" s="11"/>
      <c r="DIF56" s="47"/>
      <c r="DIK56" s="47"/>
      <c r="DIM56" s="11"/>
      <c r="DLT56" s="47"/>
      <c r="DLY56" s="47"/>
      <c r="DMA56" s="11"/>
      <c r="DPH56" s="47"/>
      <c r="DPM56" s="47"/>
      <c r="DPO56" s="11"/>
      <c r="DSV56" s="47"/>
      <c r="DTA56" s="47"/>
      <c r="DTC56" s="11"/>
      <c r="DWJ56" s="47"/>
      <c r="DWO56" s="47"/>
      <c r="DWQ56" s="11"/>
      <c r="DZX56" s="47"/>
      <c r="EAC56" s="47"/>
      <c r="EAE56" s="11"/>
      <c r="EDL56" s="47"/>
      <c r="EDQ56" s="47"/>
      <c r="EDS56" s="11"/>
      <c r="EGZ56" s="47"/>
      <c r="EHE56" s="47"/>
      <c r="EHG56" s="11"/>
      <c r="EKN56" s="47"/>
      <c r="EKS56" s="47"/>
      <c r="EKU56" s="11"/>
      <c r="EOB56" s="47"/>
      <c r="EOG56" s="47"/>
      <c r="EOI56" s="11"/>
      <c r="ERP56" s="47"/>
      <c r="ERU56" s="47"/>
      <c r="ERW56" s="11"/>
      <c r="EVD56" s="47"/>
      <c r="EVI56" s="47"/>
      <c r="EVK56" s="11"/>
      <c r="EYR56" s="47"/>
      <c r="EYW56" s="47"/>
      <c r="EYY56" s="11"/>
      <c r="FCF56" s="47"/>
      <c r="FCK56" s="47"/>
      <c r="FCM56" s="11"/>
      <c r="FFT56" s="47"/>
      <c r="FFY56" s="47"/>
      <c r="FGA56" s="11"/>
      <c r="FJH56" s="47"/>
      <c r="FJM56" s="47"/>
      <c r="FJO56" s="11"/>
      <c r="FMV56" s="47"/>
      <c r="FNA56" s="47"/>
      <c r="FNC56" s="11"/>
      <c r="FQJ56" s="47"/>
      <c r="FQO56" s="47"/>
      <c r="FQQ56" s="11"/>
      <c r="FTX56" s="47"/>
      <c r="FUC56" s="47"/>
      <c r="FUE56" s="11"/>
      <c r="FXL56" s="47"/>
      <c r="FXQ56" s="47"/>
      <c r="FXS56" s="11"/>
      <c r="GAZ56" s="47"/>
      <c r="GBE56" s="47"/>
      <c r="GBG56" s="11"/>
      <c r="GEN56" s="47"/>
      <c r="GES56" s="47"/>
      <c r="GEU56" s="11"/>
      <c r="GIB56" s="47"/>
      <c r="GIG56" s="47"/>
      <c r="GII56" s="11"/>
      <c r="GLP56" s="47"/>
      <c r="GLU56" s="47"/>
      <c r="GLW56" s="11"/>
      <c r="GPD56" s="47"/>
      <c r="GPI56" s="47"/>
      <c r="GPK56" s="11"/>
      <c r="GSR56" s="47"/>
      <c r="GSW56" s="47"/>
      <c r="GSY56" s="11"/>
      <c r="GWF56" s="47"/>
      <c r="GWK56" s="47"/>
      <c r="GWM56" s="11"/>
      <c r="GZT56" s="47"/>
      <c r="GZY56" s="47"/>
      <c r="HAA56" s="11"/>
      <c r="HDH56" s="47"/>
      <c r="HDM56" s="47"/>
      <c r="HDO56" s="11"/>
      <c r="HGV56" s="47"/>
      <c r="HHA56" s="47"/>
      <c r="HHC56" s="11"/>
      <c r="HKJ56" s="47"/>
      <c r="HKO56" s="47"/>
      <c r="HKQ56" s="11"/>
      <c r="HNX56" s="47"/>
      <c r="HOC56" s="47"/>
      <c r="HOE56" s="11"/>
      <c r="HRL56" s="47"/>
      <c r="HRQ56" s="47"/>
      <c r="HRS56" s="11"/>
      <c r="HUZ56" s="47"/>
      <c r="HVE56" s="47"/>
      <c r="HVG56" s="11"/>
      <c r="HYN56" s="47"/>
      <c r="HYS56" s="47"/>
      <c r="HYU56" s="11"/>
      <c r="ICB56" s="47"/>
      <c r="ICG56" s="47"/>
      <c r="ICI56" s="11"/>
      <c r="IFP56" s="47"/>
      <c r="IFU56" s="47"/>
      <c r="IFW56" s="11"/>
      <c r="IJD56" s="47"/>
      <c r="IJI56" s="47"/>
      <c r="IJK56" s="11"/>
      <c r="IMR56" s="47"/>
      <c r="IMW56" s="47"/>
      <c r="IMY56" s="11"/>
      <c r="IQF56" s="47"/>
      <c r="IQK56" s="47"/>
      <c r="IQM56" s="11"/>
      <c r="ITT56" s="47"/>
      <c r="ITY56" s="47"/>
      <c r="IUA56" s="11"/>
      <c r="IXH56" s="47"/>
      <c r="IXM56" s="47"/>
      <c r="IXO56" s="11"/>
      <c r="JAV56" s="47"/>
      <c r="JBA56" s="47"/>
      <c r="JBC56" s="11"/>
      <c r="JEJ56" s="47"/>
      <c r="JEO56" s="47"/>
      <c r="JEQ56" s="11"/>
      <c r="JHX56" s="47"/>
      <c r="JIC56" s="47"/>
      <c r="JIE56" s="11"/>
      <c r="JLL56" s="47"/>
      <c r="JLQ56" s="47"/>
      <c r="JLS56" s="11"/>
      <c r="JOZ56" s="47"/>
      <c r="JPE56" s="47"/>
      <c r="JPG56" s="11"/>
      <c r="JSN56" s="47"/>
      <c r="JSS56" s="47"/>
      <c r="JSU56" s="11"/>
      <c r="JWB56" s="47"/>
      <c r="JWG56" s="47"/>
      <c r="JWI56" s="11"/>
      <c r="JZP56" s="47"/>
      <c r="JZU56" s="47"/>
      <c r="JZW56" s="11"/>
      <c r="KDD56" s="47"/>
      <c r="KDI56" s="47"/>
      <c r="KDK56" s="11"/>
      <c r="KGR56" s="47"/>
      <c r="KGW56" s="47"/>
      <c r="KGY56" s="11"/>
      <c r="KKF56" s="47"/>
      <c r="KKK56" s="47"/>
      <c r="KKM56" s="11"/>
      <c r="KNT56" s="47"/>
      <c r="KNY56" s="47"/>
      <c r="KOA56" s="11"/>
      <c r="KRH56" s="47"/>
      <c r="KRM56" s="47"/>
      <c r="KRO56" s="11"/>
      <c r="KUV56" s="47"/>
      <c r="KVA56" s="47"/>
      <c r="KVC56" s="11"/>
      <c r="KYJ56" s="47"/>
      <c r="KYO56" s="47"/>
      <c r="KYQ56" s="11"/>
      <c r="LBX56" s="47"/>
      <c r="LCC56" s="47"/>
      <c r="LCE56" s="11"/>
      <c r="LFL56" s="47"/>
      <c r="LFQ56" s="47"/>
      <c r="LFS56" s="11"/>
      <c r="LIZ56" s="47"/>
      <c r="LJE56" s="47"/>
      <c r="LJG56" s="11"/>
      <c r="LMN56" s="47"/>
      <c r="LMS56" s="47"/>
      <c r="LMU56" s="11"/>
      <c r="LQB56" s="47"/>
      <c r="LQG56" s="47"/>
      <c r="LQI56" s="11"/>
      <c r="LTP56" s="47"/>
      <c r="LTU56" s="47"/>
      <c r="LTW56" s="11"/>
      <c r="LXD56" s="47"/>
      <c r="LXI56" s="47"/>
      <c r="LXK56" s="11"/>
      <c r="MAR56" s="47"/>
      <c r="MAW56" s="47"/>
      <c r="MAY56" s="11"/>
      <c r="MEF56" s="47"/>
      <c r="MEK56" s="47"/>
      <c r="MEM56" s="11"/>
      <c r="MHT56" s="47"/>
      <c r="MHY56" s="47"/>
      <c r="MIA56" s="11"/>
      <c r="MLH56" s="47"/>
      <c r="MLM56" s="47"/>
      <c r="MLO56" s="11"/>
      <c r="MOV56" s="47"/>
      <c r="MPA56" s="47"/>
      <c r="MPC56" s="11"/>
      <c r="MSJ56" s="47"/>
      <c r="MSO56" s="47"/>
      <c r="MSQ56" s="11"/>
      <c r="MVX56" s="47"/>
      <c r="MWC56" s="47"/>
      <c r="MWE56" s="11"/>
      <c r="MZL56" s="47"/>
      <c r="MZQ56" s="47"/>
      <c r="MZS56" s="11"/>
      <c r="NCZ56" s="47"/>
      <c r="NDE56" s="47"/>
      <c r="NDG56" s="11"/>
      <c r="NGN56" s="47"/>
      <c r="NGS56" s="47"/>
      <c r="NGU56" s="11"/>
      <c r="NKB56" s="47"/>
      <c r="NKG56" s="47"/>
      <c r="NKI56" s="11"/>
      <c r="NNP56" s="47"/>
      <c r="NNU56" s="47"/>
      <c r="NNW56" s="11"/>
      <c r="NRD56" s="47"/>
      <c r="NRI56" s="47"/>
      <c r="NRK56" s="11"/>
      <c r="NUR56" s="47"/>
      <c r="NUW56" s="47"/>
      <c r="NUY56" s="11"/>
      <c r="NYF56" s="47"/>
      <c r="NYK56" s="47"/>
      <c r="NYM56" s="11"/>
      <c r="OBT56" s="47"/>
      <c r="OBY56" s="47"/>
      <c r="OCA56" s="11"/>
      <c r="OFH56" s="47"/>
      <c r="OFM56" s="47"/>
      <c r="OFO56" s="11"/>
      <c r="OIV56" s="47"/>
      <c r="OJA56" s="47"/>
      <c r="OJC56" s="11"/>
      <c r="OMJ56" s="47"/>
      <c r="OMO56" s="47"/>
      <c r="OMQ56" s="11"/>
      <c r="OPX56" s="47"/>
      <c r="OQC56" s="47"/>
      <c r="OQE56" s="11"/>
      <c r="OTL56" s="47"/>
      <c r="OTQ56" s="47"/>
      <c r="OTS56" s="11"/>
      <c r="OWZ56" s="47"/>
      <c r="OXE56" s="47"/>
      <c r="OXG56" s="11"/>
      <c r="PAN56" s="47"/>
      <c r="PAS56" s="47"/>
      <c r="PAU56" s="11"/>
      <c r="PEB56" s="47"/>
      <c r="PEG56" s="47"/>
      <c r="PEI56" s="11"/>
      <c r="PHP56" s="47"/>
      <c r="PHU56" s="47"/>
      <c r="PHW56" s="11"/>
      <c r="PLD56" s="47"/>
      <c r="PLI56" s="47"/>
      <c r="PLK56" s="11"/>
      <c r="POR56" s="47"/>
      <c r="POW56" s="47"/>
      <c r="POY56" s="11"/>
      <c r="PSF56" s="47"/>
      <c r="PSK56" s="47"/>
      <c r="PSM56" s="11"/>
      <c r="PVT56" s="47"/>
      <c r="PVY56" s="47"/>
      <c r="PWA56" s="11"/>
      <c r="PZH56" s="47"/>
      <c r="PZM56" s="47"/>
      <c r="PZO56" s="11"/>
      <c r="QCV56" s="47"/>
      <c r="QDA56" s="47"/>
      <c r="QDC56" s="11"/>
      <c r="QGJ56" s="47"/>
      <c r="QGO56" s="47"/>
      <c r="QGQ56" s="11"/>
      <c r="QJX56" s="47"/>
      <c r="QKC56" s="47"/>
      <c r="QKE56" s="11"/>
      <c r="QNL56" s="47"/>
      <c r="QNQ56" s="47"/>
      <c r="QNS56" s="11"/>
      <c r="QQZ56" s="47"/>
      <c r="QRE56" s="47"/>
      <c r="QRG56" s="11"/>
      <c r="QUN56" s="47"/>
      <c r="QUS56" s="47"/>
      <c r="QUU56" s="11"/>
      <c r="QYB56" s="47"/>
      <c r="QYG56" s="47"/>
      <c r="QYI56" s="11"/>
      <c r="RBP56" s="47"/>
      <c r="RBU56" s="47"/>
      <c r="RBW56" s="11"/>
      <c r="RFD56" s="47"/>
      <c r="RFI56" s="47"/>
      <c r="RFK56" s="11"/>
      <c r="RIR56" s="47"/>
      <c r="RIW56" s="47"/>
      <c r="RIY56" s="11"/>
      <c r="RMF56" s="47"/>
      <c r="RMK56" s="47"/>
      <c r="RMM56" s="11"/>
      <c r="RPT56" s="47"/>
      <c r="RPY56" s="47"/>
      <c r="RQA56" s="11"/>
      <c r="RTH56" s="47"/>
      <c r="RTM56" s="47"/>
      <c r="RTO56" s="11"/>
      <c r="RWV56" s="47"/>
      <c r="RXA56" s="47"/>
      <c r="RXC56" s="11"/>
      <c r="SAJ56" s="47"/>
      <c r="SAO56" s="47"/>
      <c r="SAQ56" s="11"/>
      <c r="SDX56" s="47"/>
      <c r="SEC56" s="47"/>
      <c r="SEE56" s="11"/>
      <c r="SHL56" s="47"/>
      <c r="SHQ56" s="47"/>
      <c r="SHS56" s="11"/>
      <c r="SKZ56" s="47"/>
      <c r="SLE56" s="47"/>
      <c r="SLG56" s="11"/>
      <c r="SON56" s="47"/>
      <c r="SOS56" s="47"/>
      <c r="SOU56" s="11"/>
      <c r="SSB56" s="47"/>
      <c r="SSG56" s="47"/>
      <c r="SSI56" s="11"/>
      <c r="SVP56" s="47"/>
      <c r="SVU56" s="47"/>
      <c r="SVW56" s="11"/>
      <c r="SZD56" s="47"/>
      <c r="SZI56" s="47"/>
      <c r="SZK56" s="11"/>
      <c r="TCR56" s="47"/>
      <c r="TCW56" s="47"/>
      <c r="TCY56" s="11"/>
      <c r="TGF56" s="47"/>
      <c r="TGK56" s="47"/>
      <c r="TGM56" s="11"/>
      <c r="TJT56" s="47"/>
      <c r="TJY56" s="47"/>
      <c r="TKA56" s="11"/>
      <c r="TNH56" s="47"/>
      <c r="TNM56" s="47"/>
      <c r="TNO56" s="11"/>
      <c r="TQV56" s="47"/>
      <c r="TRA56" s="47"/>
      <c r="TRC56" s="11"/>
      <c r="TUJ56" s="47"/>
      <c r="TUO56" s="47"/>
      <c r="TUQ56" s="11"/>
      <c r="TXX56" s="47"/>
      <c r="TYC56" s="47"/>
      <c r="TYE56" s="11"/>
      <c r="UBL56" s="47"/>
      <c r="UBQ56" s="47"/>
      <c r="UBS56" s="11"/>
      <c r="UEZ56" s="47"/>
      <c r="UFE56" s="47"/>
      <c r="UFG56" s="11"/>
      <c r="UIN56" s="47"/>
      <c r="UIS56" s="47"/>
      <c r="UIU56" s="11"/>
      <c r="UMB56" s="47"/>
      <c r="UMG56" s="47"/>
      <c r="UMI56" s="11"/>
      <c r="UPP56" s="47"/>
      <c r="UPU56" s="47"/>
      <c r="UPW56" s="11"/>
      <c r="UTD56" s="47"/>
      <c r="UTI56" s="47"/>
      <c r="UTK56" s="11"/>
      <c r="UWR56" s="47"/>
      <c r="UWW56" s="47"/>
      <c r="UWY56" s="11"/>
      <c r="VAF56" s="47"/>
      <c r="VAK56" s="47"/>
      <c r="VAM56" s="11"/>
      <c r="VDT56" s="47"/>
      <c r="VDY56" s="47"/>
      <c r="VEA56" s="11"/>
      <c r="VHH56" s="47"/>
      <c r="VHM56" s="47"/>
      <c r="VHO56" s="11"/>
      <c r="VKV56" s="47"/>
      <c r="VLA56" s="47"/>
      <c r="VLC56" s="11"/>
      <c r="VOJ56" s="47"/>
      <c r="VOO56" s="47"/>
      <c r="VOQ56" s="11"/>
      <c r="VRX56" s="47"/>
      <c r="VSC56" s="47"/>
      <c r="VSE56" s="11"/>
      <c r="VVL56" s="47"/>
      <c r="VVQ56" s="47"/>
      <c r="VVS56" s="11"/>
      <c r="VYZ56" s="47"/>
      <c r="VZE56" s="47"/>
      <c r="VZG56" s="11"/>
      <c r="WCN56" s="47"/>
      <c r="WCS56" s="47"/>
      <c r="WCU56" s="11"/>
      <c r="WGB56" s="47"/>
      <c r="WGG56" s="47"/>
      <c r="WGI56" s="11"/>
      <c r="WJP56" s="47"/>
      <c r="WJU56" s="47"/>
      <c r="WJW56" s="11"/>
      <c r="WND56" s="47"/>
      <c r="WNI56" s="47"/>
      <c r="WNK56" s="11"/>
      <c r="WQR56" s="47"/>
      <c r="WQW56" s="47"/>
      <c r="WQY56" s="11"/>
      <c r="WUF56" s="47"/>
      <c r="WUK56" s="47"/>
      <c r="WUM56" s="11"/>
      <c r="WXT56" s="47"/>
      <c r="WXY56" s="47"/>
      <c r="WYA56" s="11"/>
      <c r="XBH56" s="47"/>
      <c r="XBM56" s="47"/>
      <c r="XBO56" s="11"/>
      <c r="XEV56" s="47"/>
      <c r="XFA56" s="47"/>
      <c r="XFC56" s="11"/>
    </row>
    <row r="57" spans="3:1019 1104:2031 2116:3043 3128:4055 4140:5067 5152:6079 6164:7091 7176:8188 8193:9207 9292:10219 10304:11231 11316:12243 12328:13255 13340:14267 14352:15279 15364:16383" s="10" customFormat="1" ht="14.5" customHeight="1">
      <c r="E57" s="47"/>
      <c r="G57" s="11"/>
      <c r="CS57" s="47"/>
      <c r="CU57" s="11"/>
      <c r="GB57" s="47"/>
      <c r="GG57" s="47"/>
      <c r="GI57" s="11"/>
      <c r="JP57" s="47"/>
      <c r="JU57" s="47"/>
      <c r="JW57" s="11"/>
      <c r="ND57" s="47"/>
      <c r="NI57" s="47"/>
      <c r="NK57" s="11"/>
      <c r="QR57" s="47"/>
      <c r="QW57" s="47"/>
      <c r="QY57" s="11"/>
      <c r="UF57" s="47"/>
      <c r="UK57" s="47"/>
      <c r="UM57" s="11"/>
      <c r="XT57" s="47"/>
      <c r="XY57" s="47"/>
      <c r="YA57" s="11"/>
      <c r="ABH57" s="47"/>
      <c r="ABM57" s="47"/>
      <c r="ABO57" s="11"/>
      <c r="AEV57" s="47"/>
      <c r="AFA57" s="47"/>
      <c r="AFC57" s="11"/>
      <c r="AIJ57" s="47"/>
      <c r="AIO57" s="47"/>
      <c r="AIQ57" s="11"/>
      <c r="ALX57" s="47"/>
      <c r="AMC57" s="47"/>
      <c r="AME57" s="11"/>
      <c r="APL57" s="47"/>
      <c r="APQ57" s="47"/>
      <c r="APS57" s="11"/>
      <c r="ASZ57" s="47"/>
      <c r="ATE57" s="47"/>
      <c r="ATG57" s="11"/>
      <c r="AWN57" s="47"/>
      <c r="AWS57" s="47"/>
      <c r="AWU57" s="11"/>
      <c r="BAB57" s="47"/>
      <c r="BAG57" s="47"/>
      <c r="BAI57" s="11"/>
      <c r="BDP57" s="47"/>
      <c r="BDU57" s="47"/>
      <c r="BDW57" s="11"/>
      <c r="BHD57" s="47"/>
      <c r="BHI57" s="47"/>
      <c r="BHK57" s="11"/>
      <c r="BKR57" s="47"/>
      <c r="BKW57" s="47"/>
      <c r="BKY57" s="11"/>
      <c r="BOF57" s="47"/>
      <c r="BOK57" s="47"/>
      <c r="BOM57" s="11"/>
      <c r="BRT57" s="47"/>
      <c r="BRY57" s="47"/>
      <c r="BSA57" s="11"/>
      <c r="BVH57" s="47"/>
      <c r="BVM57" s="47"/>
      <c r="BVO57" s="11"/>
      <c r="BYV57" s="47"/>
      <c r="BZA57" s="47"/>
      <c r="BZC57" s="11"/>
      <c r="CCJ57" s="47"/>
      <c r="CCO57" s="47"/>
      <c r="CCQ57" s="11"/>
      <c r="CFX57" s="47"/>
      <c r="CGC57" s="47"/>
      <c r="CGE57" s="11"/>
      <c r="CJL57" s="47"/>
      <c r="CJQ57" s="47"/>
      <c r="CJS57" s="11"/>
      <c r="CMZ57" s="47"/>
      <c r="CNE57" s="47"/>
      <c r="CNG57" s="11"/>
      <c r="CQN57" s="47"/>
      <c r="CQS57" s="47"/>
      <c r="CQU57" s="11"/>
      <c r="CUB57" s="47"/>
      <c r="CUG57" s="47"/>
      <c r="CUI57" s="11"/>
      <c r="CXP57" s="47"/>
      <c r="CXU57" s="47"/>
      <c r="CXW57" s="11"/>
      <c r="DBD57" s="47"/>
      <c r="DBI57" s="47"/>
      <c r="DBK57" s="11"/>
      <c r="DER57" s="47"/>
      <c r="DEW57" s="47"/>
      <c r="DEY57" s="11"/>
      <c r="DIF57" s="47"/>
      <c r="DIK57" s="47"/>
      <c r="DIM57" s="11"/>
      <c r="DLT57" s="47"/>
      <c r="DLY57" s="47"/>
      <c r="DMA57" s="11"/>
      <c r="DPH57" s="47"/>
      <c r="DPM57" s="47"/>
      <c r="DPO57" s="11"/>
      <c r="DSV57" s="47"/>
      <c r="DTA57" s="47"/>
      <c r="DTC57" s="11"/>
      <c r="DWJ57" s="47"/>
      <c r="DWO57" s="47"/>
      <c r="DWQ57" s="11"/>
      <c r="DZX57" s="47"/>
      <c r="EAC57" s="47"/>
      <c r="EAE57" s="11"/>
      <c r="EDL57" s="47"/>
      <c r="EDQ57" s="47"/>
      <c r="EDS57" s="11"/>
      <c r="EGZ57" s="47"/>
      <c r="EHE57" s="47"/>
      <c r="EHG57" s="11"/>
      <c r="EKN57" s="47"/>
      <c r="EKS57" s="47"/>
      <c r="EKU57" s="11"/>
      <c r="EOB57" s="47"/>
      <c r="EOG57" s="47"/>
      <c r="EOI57" s="11"/>
      <c r="ERP57" s="47"/>
      <c r="ERU57" s="47"/>
      <c r="ERW57" s="11"/>
      <c r="EVD57" s="47"/>
      <c r="EVI57" s="47"/>
      <c r="EVK57" s="11"/>
      <c r="EYR57" s="47"/>
      <c r="EYW57" s="47"/>
      <c r="EYY57" s="11"/>
      <c r="FCF57" s="47"/>
      <c r="FCK57" s="47"/>
      <c r="FCM57" s="11"/>
      <c r="FFT57" s="47"/>
      <c r="FFY57" s="47"/>
      <c r="FGA57" s="11"/>
      <c r="FJH57" s="47"/>
      <c r="FJM57" s="47"/>
      <c r="FJO57" s="11"/>
      <c r="FMV57" s="47"/>
      <c r="FNA57" s="47"/>
      <c r="FNC57" s="11"/>
      <c r="FQJ57" s="47"/>
      <c r="FQO57" s="47"/>
      <c r="FQQ57" s="11"/>
      <c r="FTX57" s="47"/>
      <c r="FUC57" s="47"/>
      <c r="FUE57" s="11"/>
      <c r="FXL57" s="47"/>
      <c r="FXQ57" s="47"/>
      <c r="FXS57" s="11"/>
      <c r="GAZ57" s="47"/>
      <c r="GBE57" s="47"/>
      <c r="GBG57" s="11"/>
      <c r="GEN57" s="47"/>
      <c r="GES57" s="47"/>
      <c r="GEU57" s="11"/>
      <c r="GIB57" s="47"/>
      <c r="GIG57" s="47"/>
      <c r="GII57" s="11"/>
      <c r="GLP57" s="47"/>
      <c r="GLU57" s="47"/>
      <c r="GLW57" s="11"/>
      <c r="GPD57" s="47"/>
      <c r="GPI57" s="47"/>
      <c r="GPK57" s="11"/>
      <c r="GSR57" s="47"/>
      <c r="GSW57" s="47"/>
      <c r="GSY57" s="11"/>
      <c r="GWF57" s="47"/>
      <c r="GWK57" s="47"/>
      <c r="GWM57" s="11"/>
      <c r="GZT57" s="47"/>
      <c r="GZY57" s="47"/>
      <c r="HAA57" s="11"/>
      <c r="HDH57" s="47"/>
      <c r="HDM57" s="47"/>
      <c r="HDO57" s="11"/>
      <c r="HGV57" s="47"/>
      <c r="HHA57" s="47"/>
      <c r="HHC57" s="11"/>
      <c r="HKJ57" s="47"/>
      <c r="HKO57" s="47"/>
      <c r="HKQ57" s="11"/>
      <c r="HNX57" s="47"/>
      <c r="HOC57" s="47"/>
      <c r="HOE57" s="11"/>
      <c r="HRL57" s="47"/>
      <c r="HRQ57" s="47"/>
      <c r="HRS57" s="11"/>
      <c r="HUZ57" s="47"/>
      <c r="HVE57" s="47"/>
      <c r="HVG57" s="11"/>
      <c r="HYN57" s="47"/>
      <c r="HYS57" s="47"/>
      <c r="HYU57" s="11"/>
      <c r="ICB57" s="47"/>
      <c r="ICG57" s="47"/>
      <c r="ICI57" s="11"/>
      <c r="IFP57" s="47"/>
      <c r="IFU57" s="47"/>
      <c r="IFW57" s="11"/>
      <c r="IJD57" s="47"/>
      <c r="IJI57" s="47"/>
      <c r="IJK57" s="11"/>
      <c r="IMR57" s="47"/>
      <c r="IMW57" s="47"/>
      <c r="IMY57" s="11"/>
      <c r="IQF57" s="47"/>
      <c r="IQK57" s="47"/>
      <c r="IQM57" s="11"/>
      <c r="ITT57" s="47"/>
      <c r="ITY57" s="47"/>
      <c r="IUA57" s="11"/>
      <c r="IXH57" s="47"/>
      <c r="IXM57" s="47"/>
      <c r="IXO57" s="11"/>
      <c r="JAV57" s="47"/>
      <c r="JBA57" s="47"/>
      <c r="JBC57" s="11"/>
      <c r="JEJ57" s="47"/>
      <c r="JEO57" s="47"/>
      <c r="JEQ57" s="11"/>
      <c r="JHX57" s="47"/>
      <c r="JIC57" s="47"/>
      <c r="JIE57" s="11"/>
      <c r="JLL57" s="47"/>
      <c r="JLQ57" s="47"/>
      <c r="JLS57" s="11"/>
      <c r="JOZ57" s="47"/>
      <c r="JPE57" s="47"/>
      <c r="JPG57" s="11"/>
      <c r="JSN57" s="47"/>
      <c r="JSS57" s="47"/>
      <c r="JSU57" s="11"/>
      <c r="JWB57" s="47"/>
      <c r="JWG57" s="47"/>
      <c r="JWI57" s="11"/>
      <c r="JZP57" s="47"/>
      <c r="JZU57" s="47"/>
      <c r="JZW57" s="11"/>
      <c r="KDD57" s="47"/>
      <c r="KDI57" s="47"/>
      <c r="KDK57" s="11"/>
      <c r="KGR57" s="47"/>
      <c r="KGW57" s="47"/>
      <c r="KGY57" s="11"/>
      <c r="KKF57" s="47"/>
      <c r="KKK57" s="47"/>
      <c r="KKM57" s="11"/>
      <c r="KNT57" s="47"/>
      <c r="KNY57" s="47"/>
      <c r="KOA57" s="11"/>
      <c r="KRH57" s="47"/>
      <c r="KRM57" s="47"/>
      <c r="KRO57" s="11"/>
      <c r="KUV57" s="47"/>
      <c r="KVA57" s="47"/>
      <c r="KVC57" s="11"/>
      <c r="KYJ57" s="47"/>
      <c r="KYO57" s="47"/>
      <c r="KYQ57" s="11"/>
      <c r="LBX57" s="47"/>
      <c r="LCC57" s="47"/>
      <c r="LCE57" s="11"/>
      <c r="LFL57" s="47"/>
      <c r="LFQ57" s="47"/>
      <c r="LFS57" s="11"/>
      <c r="LIZ57" s="47"/>
      <c r="LJE57" s="47"/>
      <c r="LJG57" s="11"/>
      <c r="LMN57" s="47"/>
      <c r="LMS57" s="47"/>
      <c r="LMU57" s="11"/>
      <c r="LQB57" s="47"/>
      <c r="LQG57" s="47"/>
      <c r="LQI57" s="11"/>
      <c r="LTP57" s="47"/>
      <c r="LTU57" s="47"/>
      <c r="LTW57" s="11"/>
      <c r="LXD57" s="47"/>
      <c r="LXI57" s="47"/>
      <c r="LXK57" s="11"/>
      <c r="MAR57" s="47"/>
      <c r="MAW57" s="47"/>
      <c r="MAY57" s="11"/>
      <c r="MEF57" s="47"/>
      <c r="MEK57" s="47"/>
      <c r="MEM57" s="11"/>
      <c r="MHT57" s="47"/>
      <c r="MHY57" s="47"/>
      <c r="MIA57" s="11"/>
      <c r="MLH57" s="47"/>
      <c r="MLM57" s="47"/>
      <c r="MLO57" s="11"/>
      <c r="MOV57" s="47"/>
      <c r="MPA57" s="47"/>
      <c r="MPC57" s="11"/>
      <c r="MSJ57" s="47"/>
      <c r="MSO57" s="47"/>
      <c r="MSQ57" s="11"/>
      <c r="MVX57" s="47"/>
      <c r="MWC57" s="47"/>
      <c r="MWE57" s="11"/>
      <c r="MZL57" s="47"/>
      <c r="MZQ57" s="47"/>
      <c r="MZS57" s="11"/>
      <c r="NCZ57" s="47"/>
      <c r="NDE57" s="47"/>
      <c r="NDG57" s="11"/>
      <c r="NGN57" s="47"/>
      <c r="NGS57" s="47"/>
      <c r="NGU57" s="11"/>
      <c r="NKB57" s="47"/>
      <c r="NKG57" s="47"/>
      <c r="NKI57" s="11"/>
      <c r="NNP57" s="47"/>
      <c r="NNU57" s="47"/>
      <c r="NNW57" s="11"/>
      <c r="NRD57" s="47"/>
      <c r="NRI57" s="47"/>
      <c r="NRK57" s="11"/>
      <c r="NUR57" s="47"/>
      <c r="NUW57" s="47"/>
      <c r="NUY57" s="11"/>
      <c r="NYF57" s="47"/>
      <c r="NYK57" s="47"/>
      <c r="NYM57" s="11"/>
      <c r="OBT57" s="47"/>
      <c r="OBY57" s="47"/>
      <c r="OCA57" s="11"/>
      <c r="OFH57" s="47"/>
      <c r="OFM57" s="47"/>
      <c r="OFO57" s="11"/>
      <c r="OIV57" s="47"/>
      <c r="OJA57" s="47"/>
      <c r="OJC57" s="11"/>
      <c r="OMJ57" s="47"/>
      <c r="OMO57" s="47"/>
      <c r="OMQ57" s="11"/>
      <c r="OPX57" s="47"/>
      <c r="OQC57" s="47"/>
      <c r="OQE57" s="11"/>
      <c r="OTL57" s="47"/>
      <c r="OTQ57" s="47"/>
      <c r="OTS57" s="11"/>
      <c r="OWZ57" s="47"/>
      <c r="OXE57" s="47"/>
      <c r="OXG57" s="11"/>
      <c r="PAN57" s="47"/>
      <c r="PAS57" s="47"/>
      <c r="PAU57" s="11"/>
      <c r="PEB57" s="47"/>
      <c r="PEG57" s="47"/>
      <c r="PEI57" s="11"/>
      <c r="PHP57" s="47"/>
      <c r="PHU57" s="47"/>
      <c r="PHW57" s="11"/>
      <c r="PLD57" s="47"/>
      <c r="PLI57" s="47"/>
      <c r="PLK57" s="11"/>
      <c r="POR57" s="47"/>
      <c r="POW57" s="47"/>
      <c r="POY57" s="11"/>
      <c r="PSF57" s="47"/>
      <c r="PSK57" s="47"/>
      <c r="PSM57" s="11"/>
      <c r="PVT57" s="47"/>
      <c r="PVY57" s="47"/>
      <c r="PWA57" s="11"/>
      <c r="PZH57" s="47"/>
      <c r="PZM57" s="47"/>
      <c r="PZO57" s="11"/>
      <c r="QCV57" s="47"/>
      <c r="QDA57" s="47"/>
      <c r="QDC57" s="11"/>
      <c r="QGJ57" s="47"/>
      <c r="QGO57" s="47"/>
      <c r="QGQ57" s="11"/>
      <c r="QJX57" s="47"/>
      <c r="QKC57" s="47"/>
      <c r="QKE57" s="11"/>
      <c r="QNL57" s="47"/>
      <c r="QNQ57" s="47"/>
      <c r="QNS57" s="11"/>
      <c r="QQZ57" s="47"/>
      <c r="QRE57" s="47"/>
      <c r="QRG57" s="11"/>
      <c r="QUN57" s="47"/>
      <c r="QUS57" s="47"/>
      <c r="QUU57" s="11"/>
      <c r="QYB57" s="47"/>
      <c r="QYG57" s="47"/>
      <c r="QYI57" s="11"/>
      <c r="RBP57" s="47"/>
      <c r="RBU57" s="47"/>
      <c r="RBW57" s="11"/>
      <c r="RFD57" s="47"/>
      <c r="RFI57" s="47"/>
      <c r="RFK57" s="11"/>
      <c r="RIR57" s="47"/>
      <c r="RIW57" s="47"/>
      <c r="RIY57" s="11"/>
      <c r="RMF57" s="47"/>
      <c r="RMK57" s="47"/>
      <c r="RMM57" s="11"/>
      <c r="RPT57" s="47"/>
      <c r="RPY57" s="47"/>
      <c r="RQA57" s="11"/>
      <c r="RTH57" s="47"/>
      <c r="RTM57" s="47"/>
      <c r="RTO57" s="11"/>
      <c r="RWV57" s="47"/>
      <c r="RXA57" s="47"/>
      <c r="RXC57" s="11"/>
      <c r="SAJ57" s="47"/>
      <c r="SAO57" s="47"/>
      <c r="SAQ57" s="11"/>
      <c r="SDX57" s="47"/>
      <c r="SEC57" s="47"/>
      <c r="SEE57" s="11"/>
      <c r="SHL57" s="47"/>
      <c r="SHQ57" s="47"/>
      <c r="SHS57" s="11"/>
      <c r="SKZ57" s="47"/>
      <c r="SLE57" s="47"/>
      <c r="SLG57" s="11"/>
      <c r="SON57" s="47"/>
      <c r="SOS57" s="47"/>
      <c r="SOU57" s="11"/>
      <c r="SSB57" s="47"/>
      <c r="SSG57" s="47"/>
      <c r="SSI57" s="11"/>
      <c r="SVP57" s="47"/>
      <c r="SVU57" s="47"/>
      <c r="SVW57" s="11"/>
      <c r="SZD57" s="47"/>
      <c r="SZI57" s="47"/>
      <c r="SZK57" s="11"/>
      <c r="TCR57" s="47"/>
      <c r="TCW57" s="47"/>
      <c r="TCY57" s="11"/>
      <c r="TGF57" s="47"/>
      <c r="TGK57" s="47"/>
      <c r="TGM57" s="11"/>
      <c r="TJT57" s="47"/>
      <c r="TJY57" s="47"/>
      <c r="TKA57" s="11"/>
      <c r="TNH57" s="47"/>
      <c r="TNM57" s="47"/>
      <c r="TNO57" s="11"/>
      <c r="TQV57" s="47"/>
      <c r="TRA57" s="47"/>
      <c r="TRC57" s="11"/>
      <c r="TUJ57" s="47"/>
      <c r="TUO57" s="47"/>
      <c r="TUQ57" s="11"/>
      <c r="TXX57" s="47"/>
      <c r="TYC57" s="47"/>
      <c r="TYE57" s="11"/>
      <c r="UBL57" s="47"/>
      <c r="UBQ57" s="47"/>
      <c r="UBS57" s="11"/>
      <c r="UEZ57" s="47"/>
      <c r="UFE57" s="47"/>
      <c r="UFG57" s="11"/>
      <c r="UIN57" s="47"/>
      <c r="UIS57" s="47"/>
      <c r="UIU57" s="11"/>
      <c r="UMB57" s="47"/>
      <c r="UMG57" s="47"/>
      <c r="UMI57" s="11"/>
      <c r="UPP57" s="47"/>
      <c r="UPU57" s="47"/>
      <c r="UPW57" s="11"/>
      <c r="UTD57" s="47"/>
      <c r="UTI57" s="47"/>
      <c r="UTK57" s="11"/>
      <c r="UWR57" s="47"/>
      <c r="UWW57" s="47"/>
      <c r="UWY57" s="11"/>
      <c r="VAF57" s="47"/>
      <c r="VAK57" s="47"/>
      <c r="VAM57" s="11"/>
      <c r="VDT57" s="47"/>
      <c r="VDY57" s="47"/>
      <c r="VEA57" s="11"/>
      <c r="VHH57" s="47"/>
      <c r="VHM57" s="47"/>
      <c r="VHO57" s="11"/>
      <c r="VKV57" s="47"/>
      <c r="VLA57" s="47"/>
      <c r="VLC57" s="11"/>
      <c r="VOJ57" s="47"/>
      <c r="VOO57" s="47"/>
      <c r="VOQ57" s="11"/>
      <c r="VRX57" s="47"/>
      <c r="VSC57" s="47"/>
      <c r="VSE57" s="11"/>
      <c r="VVL57" s="47"/>
      <c r="VVQ57" s="47"/>
      <c r="VVS57" s="11"/>
      <c r="VYZ57" s="47"/>
      <c r="VZE57" s="47"/>
      <c r="VZG57" s="11"/>
      <c r="WCN57" s="47"/>
      <c r="WCS57" s="47"/>
      <c r="WCU57" s="11"/>
      <c r="WGB57" s="47"/>
      <c r="WGG57" s="47"/>
      <c r="WGI57" s="11"/>
      <c r="WJP57" s="47"/>
      <c r="WJU57" s="47"/>
      <c r="WJW57" s="11"/>
      <c r="WND57" s="47"/>
      <c r="WNI57" s="47"/>
      <c r="WNK57" s="11"/>
      <c r="WQR57" s="47"/>
      <c r="WQW57" s="47"/>
      <c r="WQY57" s="11"/>
      <c r="WUF57" s="47"/>
      <c r="WUK57" s="47"/>
      <c r="WUM57" s="11"/>
      <c r="WXT57" s="47"/>
      <c r="WXY57" s="47"/>
      <c r="WYA57" s="11"/>
      <c r="XBH57" s="47"/>
      <c r="XBM57" s="47"/>
      <c r="XBO57" s="11"/>
      <c r="XEV57" s="47"/>
      <c r="XFA57" s="47"/>
      <c r="XFC57" s="11"/>
    </row>
    <row r="58" spans="3:1019 1104:2031 2116:3043 3128:4055 4140:5067 5152:6079 6164:7091 7176:8188 8193:9207 9292:10219 10304:11231 11316:12243 12328:13255 13340:14267 14352:15279 15364:16383" s="10" customFormat="1" ht="14.5" customHeight="1" thickBot="1">
      <c r="C58" s="12" t="s">
        <v>1030</v>
      </c>
      <c r="D58" s="12"/>
      <c r="E58" s="12"/>
      <c r="F58" s="12"/>
      <c r="G58" s="362"/>
      <c r="H58" s="12"/>
      <c r="I58" s="12"/>
      <c r="CS58" s="47"/>
      <c r="CU58" s="11"/>
      <c r="GB58" s="47"/>
      <c r="GG58" s="47"/>
      <c r="GI58" s="11"/>
      <c r="JP58" s="47"/>
      <c r="JU58" s="47"/>
      <c r="JW58" s="11"/>
      <c r="ND58" s="47"/>
      <c r="NI58" s="47"/>
      <c r="NK58" s="11"/>
      <c r="QR58" s="47"/>
      <c r="QW58" s="47"/>
      <c r="QY58" s="11"/>
      <c r="UF58" s="47"/>
      <c r="UK58" s="47"/>
      <c r="UM58" s="11"/>
      <c r="XT58" s="47"/>
      <c r="XY58" s="47"/>
      <c r="YA58" s="11"/>
      <c r="ABH58" s="47"/>
      <c r="ABM58" s="47"/>
      <c r="ABO58" s="11"/>
      <c r="AEV58" s="47"/>
      <c r="AFA58" s="47"/>
      <c r="AFC58" s="11"/>
      <c r="AIJ58" s="47"/>
      <c r="AIO58" s="47"/>
      <c r="AIQ58" s="11"/>
      <c r="ALX58" s="47"/>
      <c r="AMC58" s="47"/>
      <c r="AME58" s="11"/>
      <c r="APL58" s="47"/>
      <c r="APQ58" s="47"/>
      <c r="APS58" s="11"/>
      <c r="ASZ58" s="47"/>
      <c r="ATE58" s="47"/>
      <c r="ATG58" s="11"/>
      <c r="AWN58" s="47"/>
      <c r="AWS58" s="47"/>
      <c r="AWU58" s="11"/>
      <c r="BAB58" s="47"/>
      <c r="BAG58" s="47"/>
      <c r="BAI58" s="11"/>
      <c r="BDP58" s="47"/>
      <c r="BDU58" s="47"/>
      <c r="BDW58" s="11"/>
      <c r="BHD58" s="47"/>
      <c r="BHI58" s="47"/>
      <c r="BHK58" s="11"/>
      <c r="BKR58" s="47"/>
      <c r="BKW58" s="47"/>
      <c r="BKY58" s="11"/>
      <c r="BOF58" s="47"/>
      <c r="BOK58" s="47"/>
      <c r="BOM58" s="11"/>
      <c r="BRT58" s="47"/>
      <c r="BRY58" s="47"/>
      <c r="BSA58" s="11"/>
      <c r="BVH58" s="47"/>
      <c r="BVM58" s="47"/>
      <c r="BVO58" s="11"/>
      <c r="BYV58" s="47"/>
      <c r="BZA58" s="47"/>
      <c r="BZC58" s="11"/>
      <c r="CCJ58" s="47"/>
      <c r="CCO58" s="47"/>
      <c r="CCQ58" s="11"/>
      <c r="CFX58" s="47"/>
      <c r="CGC58" s="47"/>
      <c r="CGE58" s="11"/>
      <c r="CJL58" s="47"/>
      <c r="CJQ58" s="47"/>
      <c r="CJS58" s="11"/>
      <c r="CMZ58" s="47"/>
      <c r="CNE58" s="47"/>
      <c r="CNG58" s="11"/>
      <c r="CQN58" s="47"/>
      <c r="CQS58" s="47"/>
      <c r="CQU58" s="11"/>
      <c r="CUB58" s="47"/>
      <c r="CUG58" s="47"/>
      <c r="CUI58" s="11"/>
      <c r="CXP58" s="47"/>
      <c r="CXU58" s="47"/>
      <c r="CXW58" s="11"/>
      <c r="DBD58" s="47"/>
      <c r="DBI58" s="47"/>
      <c r="DBK58" s="11"/>
      <c r="DER58" s="47"/>
      <c r="DEW58" s="47"/>
      <c r="DEY58" s="11"/>
      <c r="DIF58" s="47"/>
      <c r="DIK58" s="47"/>
      <c r="DIM58" s="11"/>
      <c r="DLT58" s="47"/>
      <c r="DLY58" s="47"/>
      <c r="DMA58" s="11"/>
      <c r="DPH58" s="47"/>
      <c r="DPM58" s="47"/>
      <c r="DPO58" s="11"/>
      <c r="DSV58" s="47"/>
      <c r="DTA58" s="47"/>
      <c r="DTC58" s="11"/>
      <c r="DWJ58" s="47"/>
      <c r="DWO58" s="47"/>
      <c r="DWQ58" s="11"/>
      <c r="DZX58" s="47"/>
      <c r="EAC58" s="47"/>
      <c r="EAE58" s="11"/>
      <c r="EDL58" s="47"/>
      <c r="EDQ58" s="47"/>
      <c r="EDS58" s="11"/>
      <c r="EGZ58" s="47"/>
      <c r="EHE58" s="47"/>
      <c r="EHG58" s="11"/>
      <c r="EKN58" s="47"/>
      <c r="EKS58" s="47"/>
      <c r="EKU58" s="11"/>
      <c r="EOB58" s="47"/>
      <c r="EOG58" s="47"/>
      <c r="EOI58" s="11"/>
      <c r="ERP58" s="47"/>
      <c r="ERU58" s="47"/>
      <c r="ERW58" s="11"/>
      <c r="EVD58" s="47"/>
      <c r="EVI58" s="47"/>
      <c r="EVK58" s="11"/>
      <c r="EYR58" s="47"/>
      <c r="EYW58" s="47"/>
      <c r="EYY58" s="11"/>
      <c r="FCF58" s="47"/>
      <c r="FCK58" s="47"/>
      <c r="FCM58" s="11"/>
      <c r="FFT58" s="47"/>
      <c r="FFY58" s="47"/>
      <c r="FGA58" s="11"/>
      <c r="FJH58" s="47"/>
      <c r="FJM58" s="47"/>
      <c r="FJO58" s="11"/>
      <c r="FMV58" s="47"/>
      <c r="FNA58" s="47"/>
      <c r="FNC58" s="11"/>
      <c r="FQJ58" s="47"/>
      <c r="FQO58" s="47"/>
      <c r="FQQ58" s="11"/>
      <c r="FTX58" s="47"/>
      <c r="FUC58" s="47"/>
      <c r="FUE58" s="11"/>
      <c r="FXL58" s="47"/>
      <c r="FXQ58" s="47"/>
      <c r="FXS58" s="11"/>
      <c r="GAZ58" s="47"/>
      <c r="GBE58" s="47"/>
      <c r="GBG58" s="11"/>
      <c r="GEN58" s="47"/>
      <c r="GES58" s="47"/>
      <c r="GEU58" s="11"/>
      <c r="GIB58" s="47"/>
      <c r="GIG58" s="47"/>
      <c r="GII58" s="11"/>
      <c r="GLP58" s="47"/>
      <c r="GLU58" s="47"/>
      <c r="GLW58" s="11"/>
      <c r="GPD58" s="47"/>
      <c r="GPI58" s="47"/>
      <c r="GPK58" s="11"/>
      <c r="GSR58" s="47"/>
      <c r="GSW58" s="47"/>
      <c r="GSY58" s="11"/>
      <c r="GWF58" s="47"/>
      <c r="GWK58" s="47"/>
      <c r="GWM58" s="11"/>
      <c r="GZT58" s="47"/>
      <c r="GZY58" s="47"/>
      <c r="HAA58" s="11"/>
      <c r="HDH58" s="47"/>
      <c r="HDM58" s="47"/>
      <c r="HDO58" s="11"/>
      <c r="HGV58" s="47"/>
      <c r="HHA58" s="47"/>
      <c r="HHC58" s="11"/>
      <c r="HKJ58" s="47"/>
      <c r="HKO58" s="47"/>
      <c r="HKQ58" s="11"/>
      <c r="HNX58" s="47"/>
      <c r="HOC58" s="47"/>
      <c r="HOE58" s="11"/>
      <c r="HRL58" s="47"/>
      <c r="HRQ58" s="47"/>
      <c r="HRS58" s="11"/>
      <c r="HUZ58" s="47"/>
      <c r="HVE58" s="47"/>
      <c r="HVG58" s="11"/>
      <c r="HYN58" s="47"/>
      <c r="HYS58" s="47"/>
      <c r="HYU58" s="11"/>
      <c r="ICB58" s="47"/>
      <c r="ICG58" s="47"/>
      <c r="ICI58" s="11"/>
      <c r="IFP58" s="47"/>
      <c r="IFU58" s="47"/>
      <c r="IFW58" s="11"/>
      <c r="IJD58" s="47"/>
      <c r="IJI58" s="47"/>
      <c r="IJK58" s="11"/>
      <c r="IMR58" s="47"/>
      <c r="IMW58" s="47"/>
      <c r="IMY58" s="11"/>
      <c r="IQF58" s="47"/>
      <c r="IQK58" s="47"/>
      <c r="IQM58" s="11"/>
      <c r="ITT58" s="47"/>
      <c r="ITY58" s="47"/>
      <c r="IUA58" s="11"/>
      <c r="IXH58" s="47"/>
      <c r="IXM58" s="47"/>
      <c r="IXO58" s="11"/>
      <c r="JAV58" s="47"/>
      <c r="JBA58" s="47"/>
      <c r="JBC58" s="11"/>
      <c r="JEJ58" s="47"/>
      <c r="JEO58" s="47"/>
      <c r="JEQ58" s="11"/>
      <c r="JHX58" s="47"/>
      <c r="JIC58" s="47"/>
      <c r="JIE58" s="11"/>
      <c r="JLL58" s="47"/>
      <c r="JLQ58" s="47"/>
      <c r="JLS58" s="11"/>
      <c r="JOZ58" s="47"/>
      <c r="JPE58" s="47"/>
      <c r="JPG58" s="11"/>
      <c r="JSN58" s="47"/>
      <c r="JSS58" s="47"/>
      <c r="JSU58" s="11"/>
      <c r="JWB58" s="47"/>
      <c r="JWG58" s="47"/>
      <c r="JWI58" s="11"/>
      <c r="JZP58" s="47"/>
      <c r="JZU58" s="47"/>
      <c r="JZW58" s="11"/>
      <c r="KDD58" s="47"/>
      <c r="KDI58" s="47"/>
      <c r="KDK58" s="11"/>
      <c r="KGR58" s="47"/>
      <c r="KGW58" s="47"/>
      <c r="KGY58" s="11"/>
      <c r="KKF58" s="47"/>
      <c r="KKK58" s="47"/>
      <c r="KKM58" s="11"/>
      <c r="KNT58" s="47"/>
      <c r="KNY58" s="47"/>
      <c r="KOA58" s="11"/>
      <c r="KRH58" s="47"/>
      <c r="KRM58" s="47"/>
      <c r="KRO58" s="11"/>
      <c r="KUV58" s="47"/>
      <c r="KVA58" s="47"/>
      <c r="KVC58" s="11"/>
      <c r="KYJ58" s="47"/>
      <c r="KYO58" s="47"/>
      <c r="KYQ58" s="11"/>
      <c r="LBX58" s="47"/>
      <c r="LCC58" s="47"/>
      <c r="LCE58" s="11"/>
      <c r="LFL58" s="47"/>
      <c r="LFQ58" s="47"/>
      <c r="LFS58" s="11"/>
      <c r="LIZ58" s="47"/>
      <c r="LJE58" s="47"/>
      <c r="LJG58" s="11"/>
      <c r="LMN58" s="47"/>
      <c r="LMS58" s="47"/>
      <c r="LMU58" s="11"/>
      <c r="LQB58" s="47"/>
      <c r="LQG58" s="47"/>
      <c r="LQI58" s="11"/>
      <c r="LTP58" s="47"/>
      <c r="LTU58" s="47"/>
      <c r="LTW58" s="11"/>
      <c r="LXD58" s="47"/>
      <c r="LXI58" s="47"/>
      <c r="LXK58" s="11"/>
      <c r="MAR58" s="47"/>
      <c r="MAW58" s="47"/>
      <c r="MAY58" s="11"/>
      <c r="MEF58" s="47"/>
      <c r="MEK58" s="47"/>
      <c r="MEM58" s="11"/>
      <c r="MHT58" s="47"/>
      <c r="MHY58" s="47"/>
      <c r="MIA58" s="11"/>
      <c r="MLH58" s="47"/>
      <c r="MLM58" s="47"/>
      <c r="MLO58" s="11"/>
      <c r="MOV58" s="47"/>
      <c r="MPA58" s="47"/>
      <c r="MPC58" s="11"/>
      <c r="MSJ58" s="47"/>
      <c r="MSO58" s="47"/>
      <c r="MSQ58" s="11"/>
      <c r="MVX58" s="47"/>
      <c r="MWC58" s="47"/>
      <c r="MWE58" s="11"/>
      <c r="MZL58" s="47"/>
      <c r="MZQ58" s="47"/>
      <c r="MZS58" s="11"/>
      <c r="NCZ58" s="47"/>
      <c r="NDE58" s="47"/>
      <c r="NDG58" s="11"/>
      <c r="NGN58" s="47"/>
      <c r="NGS58" s="47"/>
      <c r="NGU58" s="11"/>
      <c r="NKB58" s="47"/>
      <c r="NKG58" s="47"/>
      <c r="NKI58" s="11"/>
      <c r="NNP58" s="47"/>
      <c r="NNU58" s="47"/>
      <c r="NNW58" s="11"/>
      <c r="NRD58" s="47"/>
      <c r="NRI58" s="47"/>
      <c r="NRK58" s="11"/>
      <c r="NUR58" s="47"/>
      <c r="NUW58" s="47"/>
      <c r="NUY58" s="11"/>
      <c r="NYF58" s="47"/>
      <c r="NYK58" s="47"/>
      <c r="NYM58" s="11"/>
      <c r="OBT58" s="47"/>
      <c r="OBY58" s="47"/>
      <c r="OCA58" s="11"/>
      <c r="OFH58" s="47"/>
      <c r="OFM58" s="47"/>
      <c r="OFO58" s="11"/>
      <c r="OIV58" s="47"/>
      <c r="OJA58" s="47"/>
      <c r="OJC58" s="11"/>
      <c r="OMJ58" s="47"/>
      <c r="OMO58" s="47"/>
      <c r="OMQ58" s="11"/>
      <c r="OPX58" s="47"/>
      <c r="OQC58" s="47"/>
      <c r="OQE58" s="11"/>
      <c r="OTL58" s="47"/>
      <c r="OTQ58" s="47"/>
      <c r="OTS58" s="11"/>
      <c r="OWZ58" s="47"/>
      <c r="OXE58" s="47"/>
      <c r="OXG58" s="11"/>
      <c r="PAN58" s="47"/>
      <c r="PAS58" s="47"/>
      <c r="PAU58" s="11"/>
      <c r="PEB58" s="47"/>
      <c r="PEG58" s="47"/>
      <c r="PEI58" s="11"/>
      <c r="PHP58" s="47"/>
      <c r="PHU58" s="47"/>
      <c r="PHW58" s="11"/>
      <c r="PLD58" s="47"/>
      <c r="PLI58" s="47"/>
      <c r="PLK58" s="11"/>
      <c r="POR58" s="47"/>
      <c r="POW58" s="47"/>
      <c r="POY58" s="11"/>
      <c r="PSF58" s="47"/>
      <c r="PSK58" s="47"/>
      <c r="PSM58" s="11"/>
      <c r="PVT58" s="47"/>
      <c r="PVY58" s="47"/>
      <c r="PWA58" s="11"/>
      <c r="PZH58" s="47"/>
      <c r="PZM58" s="47"/>
      <c r="PZO58" s="11"/>
      <c r="QCV58" s="47"/>
      <c r="QDA58" s="47"/>
      <c r="QDC58" s="11"/>
      <c r="QGJ58" s="47"/>
      <c r="QGO58" s="47"/>
      <c r="QGQ58" s="11"/>
      <c r="QJX58" s="47"/>
      <c r="QKC58" s="47"/>
      <c r="QKE58" s="11"/>
      <c r="QNL58" s="47"/>
      <c r="QNQ58" s="47"/>
      <c r="QNS58" s="11"/>
      <c r="QQZ58" s="47"/>
      <c r="QRE58" s="47"/>
      <c r="QRG58" s="11"/>
      <c r="QUN58" s="47"/>
      <c r="QUS58" s="47"/>
      <c r="QUU58" s="11"/>
      <c r="QYB58" s="47"/>
      <c r="QYG58" s="47"/>
      <c r="QYI58" s="11"/>
      <c r="RBP58" s="47"/>
      <c r="RBU58" s="47"/>
      <c r="RBW58" s="11"/>
      <c r="RFD58" s="47"/>
      <c r="RFI58" s="47"/>
      <c r="RFK58" s="11"/>
      <c r="RIR58" s="47"/>
      <c r="RIW58" s="47"/>
      <c r="RIY58" s="11"/>
      <c r="RMF58" s="47"/>
      <c r="RMK58" s="47"/>
      <c r="RMM58" s="11"/>
      <c r="RPT58" s="47"/>
      <c r="RPY58" s="47"/>
      <c r="RQA58" s="11"/>
      <c r="RTH58" s="47"/>
      <c r="RTM58" s="47"/>
      <c r="RTO58" s="11"/>
      <c r="RWV58" s="47"/>
      <c r="RXA58" s="47"/>
      <c r="RXC58" s="11"/>
      <c r="SAJ58" s="47"/>
      <c r="SAO58" s="47"/>
      <c r="SAQ58" s="11"/>
      <c r="SDX58" s="47"/>
      <c r="SEC58" s="47"/>
      <c r="SEE58" s="11"/>
      <c r="SHL58" s="47"/>
      <c r="SHQ58" s="47"/>
      <c r="SHS58" s="11"/>
      <c r="SKZ58" s="47"/>
      <c r="SLE58" s="47"/>
      <c r="SLG58" s="11"/>
      <c r="SON58" s="47"/>
      <c r="SOS58" s="47"/>
      <c r="SOU58" s="11"/>
      <c r="SSB58" s="47"/>
      <c r="SSG58" s="47"/>
      <c r="SSI58" s="11"/>
      <c r="SVP58" s="47"/>
      <c r="SVU58" s="47"/>
      <c r="SVW58" s="11"/>
      <c r="SZD58" s="47"/>
      <c r="SZI58" s="47"/>
      <c r="SZK58" s="11"/>
      <c r="TCR58" s="47"/>
      <c r="TCW58" s="47"/>
      <c r="TCY58" s="11"/>
      <c r="TGF58" s="47"/>
      <c r="TGK58" s="47"/>
      <c r="TGM58" s="11"/>
      <c r="TJT58" s="47"/>
      <c r="TJY58" s="47"/>
      <c r="TKA58" s="11"/>
      <c r="TNH58" s="47"/>
      <c r="TNM58" s="47"/>
      <c r="TNO58" s="11"/>
      <c r="TQV58" s="47"/>
      <c r="TRA58" s="47"/>
      <c r="TRC58" s="11"/>
      <c r="TUJ58" s="47"/>
      <c r="TUO58" s="47"/>
      <c r="TUQ58" s="11"/>
      <c r="TXX58" s="47"/>
      <c r="TYC58" s="47"/>
      <c r="TYE58" s="11"/>
      <c r="UBL58" s="47"/>
      <c r="UBQ58" s="47"/>
      <c r="UBS58" s="11"/>
      <c r="UEZ58" s="47"/>
      <c r="UFE58" s="47"/>
      <c r="UFG58" s="11"/>
      <c r="UIN58" s="47"/>
      <c r="UIS58" s="47"/>
      <c r="UIU58" s="11"/>
      <c r="UMB58" s="47"/>
      <c r="UMG58" s="47"/>
      <c r="UMI58" s="11"/>
      <c r="UPP58" s="47"/>
      <c r="UPU58" s="47"/>
      <c r="UPW58" s="11"/>
      <c r="UTD58" s="47"/>
      <c r="UTI58" s="47"/>
      <c r="UTK58" s="11"/>
      <c r="UWR58" s="47"/>
      <c r="UWW58" s="47"/>
      <c r="UWY58" s="11"/>
      <c r="VAF58" s="47"/>
      <c r="VAK58" s="47"/>
      <c r="VAM58" s="11"/>
      <c r="VDT58" s="47"/>
      <c r="VDY58" s="47"/>
      <c r="VEA58" s="11"/>
      <c r="VHH58" s="47"/>
      <c r="VHM58" s="47"/>
      <c r="VHO58" s="11"/>
      <c r="VKV58" s="47"/>
      <c r="VLA58" s="47"/>
      <c r="VLC58" s="11"/>
      <c r="VOJ58" s="47"/>
      <c r="VOO58" s="47"/>
      <c r="VOQ58" s="11"/>
      <c r="VRX58" s="47"/>
      <c r="VSC58" s="47"/>
      <c r="VSE58" s="11"/>
      <c r="VVL58" s="47"/>
      <c r="VVQ58" s="47"/>
      <c r="VVS58" s="11"/>
      <c r="VYZ58" s="47"/>
      <c r="VZE58" s="47"/>
      <c r="VZG58" s="11"/>
      <c r="WCN58" s="47"/>
      <c r="WCS58" s="47"/>
      <c r="WCU58" s="11"/>
      <c r="WGB58" s="47"/>
      <c r="WGG58" s="47"/>
      <c r="WGI58" s="11"/>
      <c r="WJP58" s="47"/>
      <c r="WJU58" s="47"/>
      <c r="WJW58" s="11"/>
      <c r="WND58" s="47"/>
      <c r="WNI58" s="47"/>
      <c r="WNK58" s="11"/>
      <c r="WQR58" s="47"/>
      <c r="WQW58" s="47"/>
      <c r="WQY58" s="11"/>
      <c r="WUF58" s="47"/>
      <c r="WUK58" s="47"/>
      <c r="WUM58" s="11"/>
      <c r="WXT58" s="47"/>
      <c r="WXY58" s="47"/>
      <c r="WYA58" s="11"/>
      <c r="XBH58" s="47"/>
      <c r="XBM58" s="47"/>
      <c r="XBO58" s="11"/>
      <c r="XEV58" s="47"/>
      <c r="XFA58" s="47"/>
      <c r="XFC58" s="11"/>
    </row>
    <row r="59" spans="3:1019 1104:2031 2116:3043 3128:4055 4140:5067 5152:6079 6164:7091 7176:8188 8193:9207 9292:10219 10304:11231 11316:12243 12328:13255 13340:14267 14352:15279 15364:16383" s="10" customFormat="1" ht="14.5" customHeight="1">
      <c r="E59" s="47"/>
      <c r="G59" s="11"/>
      <c r="CS59" s="47"/>
      <c r="CU59" s="11"/>
      <c r="GB59" s="47"/>
      <c r="GG59" s="47"/>
      <c r="GI59" s="11"/>
      <c r="JP59" s="47"/>
      <c r="JU59" s="47"/>
      <c r="JW59" s="11"/>
      <c r="ND59" s="47"/>
      <c r="NI59" s="47"/>
      <c r="NK59" s="11"/>
      <c r="QR59" s="47"/>
      <c r="QW59" s="47"/>
      <c r="QY59" s="11"/>
      <c r="UF59" s="47"/>
      <c r="UK59" s="47"/>
      <c r="UM59" s="11"/>
      <c r="XT59" s="47"/>
      <c r="XY59" s="47"/>
      <c r="YA59" s="11"/>
      <c r="ABH59" s="47"/>
      <c r="ABM59" s="47"/>
      <c r="ABO59" s="11"/>
      <c r="AEV59" s="47"/>
      <c r="AFA59" s="47"/>
      <c r="AFC59" s="11"/>
      <c r="AIJ59" s="47"/>
      <c r="AIO59" s="47"/>
      <c r="AIQ59" s="11"/>
      <c r="ALX59" s="47"/>
      <c r="AMC59" s="47"/>
      <c r="AME59" s="11"/>
      <c r="APL59" s="47"/>
      <c r="APQ59" s="47"/>
      <c r="APS59" s="11"/>
      <c r="ASZ59" s="47"/>
      <c r="ATE59" s="47"/>
      <c r="ATG59" s="11"/>
      <c r="AWN59" s="47"/>
      <c r="AWS59" s="47"/>
      <c r="AWU59" s="11"/>
      <c r="BAB59" s="47"/>
      <c r="BAG59" s="47"/>
      <c r="BAI59" s="11"/>
      <c r="BDP59" s="47"/>
      <c r="BDU59" s="47"/>
      <c r="BDW59" s="11"/>
      <c r="BHD59" s="47"/>
      <c r="BHI59" s="47"/>
      <c r="BHK59" s="11"/>
      <c r="BKR59" s="47"/>
      <c r="BKW59" s="47"/>
      <c r="BKY59" s="11"/>
      <c r="BOF59" s="47"/>
      <c r="BOK59" s="47"/>
      <c r="BOM59" s="11"/>
      <c r="BRT59" s="47"/>
      <c r="BRY59" s="47"/>
      <c r="BSA59" s="11"/>
      <c r="BVH59" s="47"/>
      <c r="BVM59" s="47"/>
      <c r="BVO59" s="11"/>
      <c r="BYV59" s="47"/>
      <c r="BZA59" s="47"/>
      <c r="BZC59" s="11"/>
      <c r="CCJ59" s="47"/>
      <c r="CCO59" s="47"/>
      <c r="CCQ59" s="11"/>
      <c r="CFX59" s="47"/>
      <c r="CGC59" s="47"/>
      <c r="CGE59" s="11"/>
      <c r="CJL59" s="47"/>
      <c r="CJQ59" s="47"/>
      <c r="CJS59" s="11"/>
      <c r="CMZ59" s="47"/>
      <c r="CNE59" s="47"/>
      <c r="CNG59" s="11"/>
      <c r="CQN59" s="47"/>
      <c r="CQS59" s="47"/>
      <c r="CQU59" s="11"/>
      <c r="CUB59" s="47"/>
      <c r="CUG59" s="47"/>
      <c r="CUI59" s="11"/>
      <c r="CXP59" s="47"/>
      <c r="CXU59" s="47"/>
      <c r="CXW59" s="11"/>
      <c r="DBD59" s="47"/>
      <c r="DBI59" s="47"/>
      <c r="DBK59" s="11"/>
      <c r="DER59" s="47"/>
      <c r="DEW59" s="47"/>
      <c r="DEY59" s="11"/>
      <c r="DIF59" s="47"/>
      <c r="DIK59" s="47"/>
      <c r="DIM59" s="11"/>
      <c r="DLT59" s="47"/>
      <c r="DLY59" s="47"/>
      <c r="DMA59" s="11"/>
      <c r="DPH59" s="47"/>
      <c r="DPM59" s="47"/>
      <c r="DPO59" s="11"/>
      <c r="DSV59" s="47"/>
      <c r="DTA59" s="47"/>
      <c r="DTC59" s="11"/>
      <c r="DWJ59" s="47"/>
      <c r="DWO59" s="47"/>
      <c r="DWQ59" s="11"/>
      <c r="DZX59" s="47"/>
      <c r="EAC59" s="47"/>
      <c r="EAE59" s="11"/>
      <c r="EDL59" s="47"/>
      <c r="EDQ59" s="47"/>
      <c r="EDS59" s="11"/>
      <c r="EGZ59" s="47"/>
      <c r="EHE59" s="47"/>
      <c r="EHG59" s="11"/>
      <c r="EKN59" s="47"/>
      <c r="EKS59" s="47"/>
      <c r="EKU59" s="11"/>
      <c r="EOB59" s="47"/>
      <c r="EOG59" s="47"/>
      <c r="EOI59" s="11"/>
      <c r="ERP59" s="47"/>
      <c r="ERU59" s="47"/>
      <c r="ERW59" s="11"/>
      <c r="EVD59" s="47"/>
      <c r="EVI59" s="47"/>
      <c r="EVK59" s="11"/>
      <c r="EYR59" s="47"/>
      <c r="EYW59" s="47"/>
      <c r="EYY59" s="11"/>
      <c r="FCF59" s="47"/>
      <c r="FCK59" s="47"/>
      <c r="FCM59" s="11"/>
      <c r="FFT59" s="47"/>
      <c r="FFY59" s="47"/>
      <c r="FGA59" s="11"/>
      <c r="FJH59" s="47"/>
      <c r="FJM59" s="47"/>
      <c r="FJO59" s="11"/>
      <c r="FMV59" s="47"/>
      <c r="FNA59" s="47"/>
      <c r="FNC59" s="11"/>
      <c r="FQJ59" s="47"/>
      <c r="FQO59" s="47"/>
      <c r="FQQ59" s="11"/>
      <c r="FTX59" s="47"/>
      <c r="FUC59" s="47"/>
      <c r="FUE59" s="11"/>
      <c r="FXL59" s="47"/>
      <c r="FXQ59" s="47"/>
      <c r="FXS59" s="11"/>
      <c r="GAZ59" s="47"/>
      <c r="GBE59" s="47"/>
      <c r="GBG59" s="11"/>
      <c r="GEN59" s="47"/>
      <c r="GES59" s="47"/>
      <c r="GEU59" s="11"/>
      <c r="GIB59" s="47"/>
      <c r="GIG59" s="47"/>
      <c r="GII59" s="11"/>
      <c r="GLP59" s="47"/>
      <c r="GLU59" s="47"/>
      <c r="GLW59" s="11"/>
      <c r="GPD59" s="47"/>
      <c r="GPI59" s="47"/>
      <c r="GPK59" s="11"/>
      <c r="GSR59" s="47"/>
      <c r="GSW59" s="47"/>
      <c r="GSY59" s="11"/>
      <c r="GWF59" s="47"/>
      <c r="GWK59" s="47"/>
      <c r="GWM59" s="11"/>
      <c r="GZT59" s="47"/>
      <c r="GZY59" s="47"/>
      <c r="HAA59" s="11"/>
      <c r="HDH59" s="47"/>
      <c r="HDM59" s="47"/>
      <c r="HDO59" s="11"/>
      <c r="HGV59" s="47"/>
      <c r="HHA59" s="47"/>
      <c r="HHC59" s="11"/>
      <c r="HKJ59" s="47"/>
      <c r="HKO59" s="47"/>
      <c r="HKQ59" s="11"/>
      <c r="HNX59" s="47"/>
      <c r="HOC59" s="47"/>
      <c r="HOE59" s="11"/>
      <c r="HRL59" s="47"/>
      <c r="HRQ59" s="47"/>
      <c r="HRS59" s="11"/>
      <c r="HUZ59" s="47"/>
      <c r="HVE59" s="47"/>
      <c r="HVG59" s="11"/>
      <c r="HYN59" s="47"/>
      <c r="HYS59" s="47"/>
      <c r="HYU59" s="11"/>
      <c r="ICB59" s="47"/>
      <c r="ICG59" s="47"/>
      <c r="ICI59" s="11"/>
      <c r="IFP59" s="47"/>
      <c r="IFU59" s="47"/>
      <c r="IFW59" s="11"/>
      <c r="IJD59" s="47"/>
      <c r="IJI59" s="47"/>
      <c r="IJK59" s="11"/>
      <c r="IMR59" s="47"/>
      <c r="IMW59" s="47"/>
      <c r="IMY59" s="11"/>
      <c r="IQF59" s="47"/>
      <c r="IQK59" s="47"/>
      <c r="IQM59" s="11"/>
      <c r="ITT59" s="47"/>
      <c r="ITY59" s="47"/>
      <c r="IUA59" s="11"/>
      <c r="IXH59" s="47"/>
      <c r="IXM59" s="47"/>
      <c r="IXO59" s="11"/>
      <c r="JAV59" s="47"/>
      <c r="JBA59" s="47"/>
      <c r="JBC59" s="11"/>
      <c r="JEJ59" s="47"/>
      <c r="JEO59" s="47"/>
      <c r="JEQ59" s="11"/>
      <c r="JHX59" s="47"/>
      <c r="JIC59" s="47"/>
      <c r="JIE59" s="11"/>
      <c r="JLL59" s="47"/>
      <c r="JLQ59" s="47"/>
      <c r="JLS59" s="11"/>
      <c r="JOZ59" s="47"/>
      <c r="JPE59" s="47"/>
      <c r="JPG59" s="11"/>
      <c r="JSN59" s="47"/>
      <c r="JSS59" s="47"/>
      <c r="JSU59" s="11"/>
      <c r="JWB59" s="47"/>
      <c r="JWG59" s="47"/>
      <c r="JWI59" s="11"/>
      <c r="JZP59" s="47"/>
      <c r="JZU59" s="47"/>
      <c r="JZW59" s="11"/>
      <c r="KDD59" s="47"/>
      <c r="KDI59" s="47"/>
      <c r="KDK59" s="11"/>
      <c r="KGR59" s="47"/>
      <c r="KGW59" s="47"/>
      <c r="KGY59" s="11"/>
      <c r="KKF59" s="47"/>
      <c r="KKK59" s="47"/>
      <c r="KKM59" s="11"/>
      <c r="KNT59" s="47"/>
      <c r="KNY59" s="47"/>
      <c r="KOA59" s="11"/>
      <c r="KRH59" s="47"/>
      <c r="KRM59" s="47"/>
      <c r="KRO59" s="11"/>
      <c r="KUV59" s="47"/>
      <c r="KVA59" s="47"/>
      <c r="KVC59" s="11"/>
      <c r="KYJ59" s="47"/>
      <c r="KYO59" s="47"/>
      <c r="KYQ59" s="11"/>
      <c r="LBX59" s="47"/>
      <c r="LCC59" s="47"/>
      <c r="LCE59" s="11"/>
      <c r="LFL59" s="47"/>
      <c r="LFQ59" s="47"/>
      <c r="LFS59" s="11"/>
      <c r="LIZ59" s="47"/>
      <c r="LJE59" s="47"/>
      <c r="LJG59" s="11"/>
      <c r="LMN59" s="47"/>
      <c r="LMS59" s="47"/>
      <c r="LMU59" s="11"/>
      <c r="LQB59" s="47"/>
      <c r="LQG59" s="47"/>
      <c r="LQI59" s="11"/>
      <c r="LTP59" s="47"/>
      <c r="LTU59" s="47"/>
      <c r="LTW59" s="11"/>
      <c r="LXD59" s="47"/>
      <c r="LXI59" s="47"/>
      <c r="LXK59" s="11"/>
      <c r="MAR59" s="47"/>
      <c r="MAW59" s="47"/>
      <c r="MAY59" s="11"/>
      <c r="MEF59" s="47"/>
      <c r="MEK59" s="47"/>
      <c r="MEM59" s="11"/>
      <c r="MHT59" s="47"/>
      <c r="MHY59" s="47"/>
      <c r="MIA59" s="11"/>
      <c r="MLH59" s="47"/>
      <c r="MLM59" s="47"/>
      <c r="MLO59" s="11"/>
      <c r="MOV59" s="47"/>
      <c r="MPA59" s="47"/>
      <c r="MPC59" s="11"/>
      <c r="MSJ59" s="47"/>
      <c r="MSO59" s="47"/>
      <c r="MSQ59" s="11"/>
      <c r="MVX59" s="47"/>
      <c r="MWC59" s="47"/>
      <c r="MWE59" s="11"/>
      <c r="MZL59" s="47"/>
      <c r="MZQ59" s="47"/>
      <c r="MZS59" s="11"/>
      <c r="NCZ59" s="47"/>
      <c r="NDE59" s="47"/>
      <c r="NDG59" s="11"/>
      <c r="NGN59" s="47"/>
      <c r="NGS59" s="47"/>
      <c r="NGU59" s="11"/>
      <c r="NKB59" s="47"/>
      <c r="NKG59" s="47"/>
      <c r="NKI59" s="11"/>
      <c r="NNP59" s="47"/>
      <c r="NNU59" s="47"/>
      <c r="NNW59" s="11"/>
      <c r="NRD59" s="47"/>
      <c r="NRI59" s="47"/>
      <c r="NRK59" s="11"/>
      <c r="NUR59" s="47"/>
      <c r="NUW59" s="47"/>
      <c r="NUY59" s="11"/>
      <c r="NYF59" s="47"/>
      <c r="NYK59" s="47"/>
      <c r="NYM59" s="11"/>
      <c r="OBT59" s="47"/>
      <c r="OBY59" s="47"/>
      <c r="OCA59" s="11"/>
      <c r="OFH59" s="47"/>
      <c r="OFM59" s="47"/>
      <c r="OFO59" s="11"/>
      <c r="OIV59" s="47"/>
      <c r="OJA59" s="47"/>
      <c r="OJC59" s="11"/>
      <c r="OMJ59" s="47"/>
      <c r="OMO59" s="47"/>
      <c r="OMQ59" s="11"/>
      <c r="OPX59" s="47"/>
      <c r="OQC59" s="47"/>
      <c r="OQE59" s="11"/>
      <c r="OTL59" s="47"/>
      <c r="OTQ59" s="47"/>
      <c r="OTS59" s="11"/>
      <c r="OWZ59" s="47"/>
      <c r="OXE59" s="47"/>
      <c r="OXG59" s="11"/>
      <c r="PAN59" s="47"/>
      <c r="PAS59" s="47"/>
      <c r="PAU59" s="11"/>
      <c r="PEB59" s="47"/>
      <c r="PEG59" s="47"/>
      <c r="PEI59" s="11"/>
      <c r="PHP59" s="47"/>
      <c r="PHU59" s="47"/>
      <c r="PHW59" s="11"/>
      <c r="PLD59" s="47"/>
      <c r="PLI59" s="47"/>
      <c r="PLK59" s="11"/>
      <c r="POR59" s="47"/>
      <c r="POW59" s="47"/>
      <c r="POY59" s="11"/>
      <c r="PSF59" s="47"/>
      <c r="PSK59" s="47"/>
      <c r="PSM59" s="11"/>
      <c r="PVT59" s="47"/>
      <c r="PVY59" s="47"/>
      <c r="PWA59" s="11"/>
      <c r="PZH59" s="47"/>
      <c r="PZM59" s="47"/>
      <c r="PZO59" s="11"/>
      <c r="QCV59" s="47"/>
      <c r="QDA59" s="47"/>
      <c r="QDC59" s="11"/>
      <c r="QGJ59" s="47"/>
      <c r="QGO59" s="47"/>
      <c r="QGQ59" s="11"/>
      <c r="QJX59" s="47"/>
      <c r="QKC59" s="47"/>
      <c r="QKE59" s="11"/>
      <c r="QNL59" s="47"/>
      <c r="QNQ59" s="47"/>
      <c r="QNS59" s="11"/>
      <c r="QQZ59" s="47"/>
      <c r="QRE59" s="47"/>
      <c r="QRG59" s="11"/>
      <c r="QUN59" s="47"/>
      <c r="QUS59" s="47"/>
      <c r="QUU59" s="11"/>
      <c r="QYB59" s="47"/>
      <c r="QYG59" s="47"/>
      <c r="QYI59" s="11"/>
      <c r="RBP59" s="47"/>
      <c r="RBU59" s="47"/>
      <c r="RBW59" s="11"/>
      <c r="RFD59" s="47"/>
      <c r="RFI59" s="47"/>
      <c r="RFK59" s="11"/>
      <c r="RIR59" s="47"/>
      <c r="RIW59" s="47"/>
      <c r="RIY59" s="11"/>
      <c r="RMF59" s="47"/>
      <c r="RMK59" s="47"/>
      <c r="RMM59" s="11"/>
      <c r="RPT59" s="47"/>
      <c r="RPY59" s="47"/>
      <c r="RQA59" s="11"/>
      <c r="RTH59" s="47"/>
      <c r="RTM59" s="47"/>
      <c r="RTO59" s="11"/>
      <c r="RWV59" s="47"/>
      <c r="RXA59" s="47"/>
      <c r="RXC59" s="11"/>
      <c r="SAJ59" s="47"/>
      <c r="SAO59" s="47"/>
      <c r="SAQ59" s="11"/>
      <c r="SDX59" s="47"/>
      <c r="SEC59" s="47"/>
      <c r="SEE59" s="11"/>
      <c r="SHL59" s="47"/>
      <c r="SHQ59" s="47"/>
      <c r="SHS59" s="11"/>
      <c r="SKZ59" s="47"/>
      <c r="SLE59" s="47"/>
      <c r="SLG59" s="11"/>
      <c r="SON59" s="47"/>
      <c r="SOS59" s="47"/>
      <c r="SOU59" s="11"/>
      <c r="SSB59" s="47"/>
      <c r="SSG59" s="47"/>
      <c r="SSI59" s="11"/>
      <c r="SVP59" s="47"/>
      <c r="SVU59" s="47"/>
      <c r="SVW59" s="11"/>
      <c r="SZD59" s="47"/>
      <c r="SZI59" s="47"/>
      <c r="SZK59" s="11"/>
      <c r="TCR59" s="47"/>
      <c r="TCW59" s="47"/>
      <c r="TCY59" s="11"/>
      <c r="TGF59" s="47"/>
      <c r="TGK59" s="47"/>
      <c r="TGM59" s="11"/>
      <c r="TJT59" s="47"/>
      <c r="TJY59" s="47"/>
      <c r="TKA59" s="11"/>
      <c r="TNH59" s="47"/>
      <c r="TNM59" s="47"/>
      <c r="TNO59" s="11"/>
      <c r="TQV59" s="47"/>
      <c r="TRA59" s="47"/>
      <c r="TRC59" s="11"/>
      <c r="TUJ59" s="47"/>
      <c r="TUO59" s="47"/>
      <c r="TUQ59" s="11"/>
      <c r="TXX59" s="47"/>
      <c r="TYC59" s="47"/>
      <c r="TYE59" s="11"/>
      <c r="UBL59" s="47"/>
      <c r="UBQ59" s="47"/>
      <c r="UBS59" s="11"/>
      <c r="UEZ59" s="47"/>
      <c r="UFE59" s="47"/>
      <c r="UFG59" s="11"/>
      <c r="UIN59" s="47"/>
      <c r="UIS59" s="47"/>
      <c r="UIU59" s="11"/>
      <c r="UMB59" s="47"/>
      <c r="UMG59" s="47"/>
      <c r="UMI59" s="11"/>
      <c r="UPP59" s="47"/>
      <c r="UPU59" s="47"/>
      <c r="UPW59" s="11"/>
      <c r="UTD59" s="47"/>
      <c r="UTI59" s="47"/>
      <c r="UTK59" s="11"/>
      <c r="UWR59" s="47"/>
      <c r="UWW59" s="47"/>
      <c r="UWY59" s="11"/>
      <c r="VAF59" s="47"/>
      <c r="VAK59" s="47"/>
      <c r="VAM59" s="11"/>
      <c r="VDT59" s="47"/>
      <c r="VDY59" s="47"/>
      <c r="VEA59" s="11"/>
      <c r="VHH59" s="47"/>
      <c r="VHM59" s="47"/>
      <c r="VHO59" s="11"/>
      <c r="VKV59" s="47"/>
      <c r="VLA59" s="47"/>
      <c r="VLC59" s="11"/>
      <c r="VOJ59" s="47"/>
      <c r="VOO59" s="47"/>
      <c r="VOQ59" s="11"/>
      <c r="VRX59" s="47"/>
      <c r="VSC59" s="47"/>
      <c r="VSE59" s="11"/>
      <c r="VVL59" s="47"/>
      <c r="VVQ59" s="47"/>
      <c r="VVS59" s="11"/>
      <c r="VYZ59" s="47"/>
      <c r="VZE59" s="47"/>
      <c r="VZG59" s="11"/>
      <c r="WCN59" s="47"/>
      <c r="WCS59" s="47"/>
      <c r="WCU59" s="11"/>
      <c r="WGB59" s="47"/>
      <c r="WGG59" s="47"/>
      <c r="WGI59" s="11"/>
      <c r="WJP59" s="47"/>
      <c r="WJU59" s="47"/>
      <c r="WJW59" s="11"/>
      <c r="WND59" s="47"/>
      <c r="WNI59" s="47"/>
      <c r="WNK59" s="11"/>
      <c r="WQR59" s="47"/>
      <c r="WQW59" s="47"/>
      <c r="WQY59" s="11"/>
      <c r="WUF59" s="47"/>
      <c r="WUK59" s="47"/>
      <c r="WUM59" s="11"/>
      <c r="WXT59" s="47"/>
      <c r="WXY59" s="47"/>
      <c r="WYA59" s="11"/>
      <c r="XBH59" s="47"/>
      <c r="XBM59" s="47"/>
      <c r="XBO59" s="11"/>
      <c r="XEV59" s="47"/>
      <c r="XFA59" s="47"/>
      <c r="XFC59" s="11"/>
    </row>
    <row r="60" spans="3:1019 1104:2031 2116:3043 3128:4055 4140:5067 5152:6079 6164:7091 7176:8188 8193:9207 9292:10219 10304:11231 11316:12243 12328:13255 13340:14267 14352:15279 15364:16383" s="10" customFormat="1" ht="14.5" customHeight="1">
      <c r="C60" s="367" t="s">
        <v>1031</v>
      </c>
      <c r="E60" s="47"/>
      <c r="G60" s="11"/>
      <c r="CS60" s="47"/>
      <c r="CU60" s="11"/>
      <c r="GB60" s="47"/>
      <c r="GG60" s="47"/>
      <c r="GI60" s="11"/>
      <c r="JP60" s="47"/>
      <c r="JU60" s="47"/>
      <c r="JW60" s="11"/>
      <c r="ND60" s="47"/>
      <c r="NI60" s="47"/>
      <c r="NK60" s="11"/>
      <c r="QR60" s="47"/>
      <c r="QW60" s="47"/>
      <c r="QY60" s="11"/>
      <c r="UF60" s="47"/>
      <c r="UK60" s="47"/>
      <c r="UM60" s="11"/>
      <c r="XT60" s="47"/>
      <c r="XY60" s="47"/>
      <c r="YA60" s="11"/>
      <c r="ABH60" s="47"/>
      <c r="ABM60" s="47"/>
      <c r="ABO60" s="11"/>
      <c r="AEV60" s="47"/>
      <c r="AFA60" s="47"/>
      <c r="AFC60" s="11"/>
      <c r="AIJ60" s="47"/>
      <c r="AIO60" s="47"/>
      <c r="AIQ60" s="11"/>
      <c r="ALX60" s="47"/>
      <c r="AMC60" s="47"/>
      <c r="AME60" s="11"/>
      <c r="APL60" s="47"/>
      <c r="APQ60" s="47"/>
      <c r="APS60" s="11"/>
      <c r="ASZ60" s="47"/>
      <c r="ATE60" s="47"/>
      <c r="ATG60" s="11"/>
      <c r="AWN60" s="47"/>
      <c r="AWS60" s="47"/>
      <c r="AWU60" s="11"/>
      <c r="BAB60" s="47"/>
      <c r="BAG60" s="47"/>
      <c r="BAI60" s="11"/>
      <c r="BDP60" s="47"/>
      <c r="BDU60" s="47"/>
      <c r="BDW60" s="11"/>
      <c r="BHD60" s="47"/>
      <c r="BHI60" s="47"/>
      <c r="BHK60" s="11"/>
      <c r="BKR60" s="47"/>
      <c r="BKW60" s="47"/>
      <c r="BKY60" s="11"/>
      <c r="BOF60" s="47"/>
      <c r="BOK60" s="47"/>
      <c r="BOM60" s="11"/>
      <c r="BRT60" s="47"/>
      <c r="BRY60" s="47"/>
      <c r="BSA60" s="11"/>
      <c r="BVH60" s="47"/>
      <c r="BVM60" s="47"/>
      <c r="BVO60" s="11"/>
      <c r="BYV60" s="47"/>
      <c r="BZA60" s="47"/>
      <c r="BZC60" s="11"/>
      <c r="CCJ60" s="47"/>
      <c r="CCO60" s="47"/>
      <c r="CCQ60" s="11"/>
      <c r="CFX60" s="47"/>
      <c r="CGC60" s="47"/>
      <c r="CGE60" s="11"/>
      <c r="CJL60" s="47"/>
      <c r="CJQ60" s="47"/>
      <c r="CJS60" s="11"/>
      <c r="CMZ60" s="47"/>
      <c r="CNE60" s="47"/>
      <c r="CNG60" s="11"/>
      <c r="CQN60" s="47"/>
      <c r="CQS60" s="47"/>
      <c r="CQU60" s="11"/>
      <c r="CUB60" s="47"/>
      <c r="CUG60" s="47"/>
      <c r="CUI60" s="11"/>
      <c r="CXP60" s="47"/>
      <c r="CXU60" s="47"/>
      <c r="CXW60" s="11"/>
      <c r="DBD60" s="47"/>
      <c r="DBI60" s="47"/>
      <c r="DBK60" s="11"/>
      <c r="DER60" s="47"/>
      <c r="DEW60" s="47"/>
      <c r="DEY60" s="11"/>
      <c r="DIF60" s="47"/>
      <c r="DIK60" s="47"/>
      <c r="DIM60" s="11"/>
      <c r="DLT60" s="47"/>
      <c r="DLY60" s="47"/>
      <c r="DMA60" s="11"/>
      <c r="DPH60" s="47"/>
      <c r="DPM60" s="47"/>
      <c r="DPO60" s="11"/>
      <c r="DSV60" s="47"/>
      <c r="DTA60" s="47"/>
      <c r="DTC60" s="11"/>
      <c r="DWJ60" s="47"/>
      <c r="DWO60" s="47"/>
      <c r="DWQ60" s="11"/>
      <c r="DZX60" s="47"/>
      <c r="EAC60" s="47"/>
      <c r="EAE60" s="11"/>
      <c r="EDL60" s="47"/>
      <c r="EDQ60" s="47"/>
      <c r="EDS60" s="11"/>
      <c r="EGZ60" s="47"/>
      <c r="EHE60" s="47"/>
      <c r="EHG60" s="11"/>
      <c r="EKN60" s="47"/>
      <c r="EKS60" s="47"/>
      <c r="EKU60" s="11"/>
      <c r="EOB60" s="47"/>
      <c r="EOG60" s="47"/>
      <c r="EOI60" s="11"/>
      <c r="ERP60" s="47"/>
      <c r="ERU60" s="47"/>
      <c r="ERW60" s="11"/>
      <c r="EVD60" s="47"/>
      <c r="EVI60" s="47"/>
      <c r="EVK60" s="11"/>
      <c r="EYR60" s="47"/>
      <c r="EYW60" s="47"/>
      <c r="EYY60" s="11"/>
      <c r="FCF60" s="47"/>
      <c r="FCK60" s="47"/>
      <c r="FCM60" s="11"/>
      <c r="FFT60" s="47"/>
      <c r="FFY60" s="47"/>
      <c r="FGA60" s="11"/>
      <c r="FJH60" s="47"/>
      <c r="FJM60" s="47"/>
      <c r="FJO60" s="11"/>
      <c r="FMV60" s="47"/>
      <c r="FNA60" s="47"/>
      <c r="FNC60" s="11"/>
      <c r="FQJ60" s="47"/>
      <c r="FQO60" s="47"/>
      <c r="FQQ60" s="11"/>
      <c r="FTX60" s="47"/>
      <c r="FUC60" s="47"/>
      <c r="FUE60" s="11"/>
      <c r="FXL60" s="47"/>
      <c r="FXQ60" s="47"/>
      <c r="FXS60" s="11"/>
      <c r="GAZ60" s="47"/>
      <c r="GBE60" s="47"/>
      <c r="GBG60" s="11"/>
      <c r="GEN60" s="47"/>
      <c r="GES60" s="47"/>
      <c r="GEU60" s="11"/>
      <c r="GIB60" s="47"/>
      <c r="GIG60" s="47"/>
      <c r="GII60" s="11"/>
      <c r="GLP60" s="47"/>
      <c r="GLU60" s="47"/>
      <c r="GLW60" s="11"/>
      <c r="GPD60" s="47"/>
      <c r="GPI60" s="47"/>
      <c r="GPK60" s="11"/>
      <c r="GSR60" s="47"/>
      <c r="GSW60" s="47"/>
      <c r="GSY60" s="11"/>
      <c r="GWF60" s="47"/>
      <c r="GWK60" s="47"/>
      <c r="GWM60" s="11"/>
      <c r="GZT60" s="47"/>
      <c r="GZY60" s="47"/>
      <c r="HAA60" s="11"/>
      <c r="HDH60" s="47"/>
      <c r="HDM60" s="47"/>
      <c r="HDO60" s="11"/>
      <c r="HGV60" s="47"/>
      <c r="HHA60" s="47"/>
      <c r="HHC60" s="11"/>
      <c r="HKJ60" s="47"/>
      <c r="HKO60" s="47"/>
      <c r="HKQ60" s="11"/>
      <c r="HNX60" s="47"/>
      <c r="HOC60" s="47"/>
      <c r="HOE60" s="11"/>
      <c r="HRL60" s="47"/>
      <c r="HRQ60" s="47"/>
      <c r="HRS60" s="11"/>
      <c r="HUZ60" s="47"/>
      <c r="HVE60" s="47"/>
      <c r="HVG60" s="11"/>
      <c r="HYN60" s="47"/>
      <c r="HYS60" s="47"/>
      <c r="HYU60" s="11"/>
      <c r="ICB60" s="47"/>
      <c r="ICG60" s="47"/>
      <c r="ICI60" s="11"/>
      <c r="IFP60" s="47"/>
      <c r="IFU60" s="47"/>
      <c r="IFW60" s="11"/>
      <c r="IJD60" s="47"/>
      <c r="IJI60" s="47"/>
      <c r="IJK60" s="11"/>
      <c r="IMR60" s="47"/>
      <c r="IMW60" s="47"/>
      <c r="IMY60" s="11"/>
      <c r="IQF60" s="47"/>
      <c r="IQK60" s="47"/>
      <c r="IQM60" s="11"/>
      <c r="ITT60" s="47"/>
      <c r="ITY60" s="47"/>
      <c r="IUA60" s="11"/>
      <c r="IXH60" s="47"/>
      <c r="IXM60" s="47"/>
      <c r="IXO60" s="11"/>
      <c r="JAV60" s="47"/>
      <c r="JBA60" s="47"/>
      <c r="JBC60" s="11"/>
      <c r="JEJ60" s="47"/>
      <c r="JEO60" s="47"/>
      <c r="JEQ60" s="11"/>
      <c r="JHX60" s="47"/>
      <c r="JIC60" s="47"/>
      <c r="JIE60" s="11"/>
      <c r="JLL60" s="47"/>
      <c r="JLQ60" s="47"/>
      <c r="JLS60" s="11"/>
      <c r="JOZ60" s="47"/>
      <c r="JPE60" s="47"/>
      <c r="JPG60" s="11"/>
      <c r="JSN60" s="47"/>
      <c r="JSS60" s="47"/>
      <c r="JSU60" s="11"/>
      <c r="JWB60" s="47"/>
      <c r="JWG60" s="47"/>
      <c r="JWI60" s="11"/>
      <c r="JZP60" s="47"/>
      <c r="JZU60" s="47"/>
      <c r="JZW60" s="11"/>
      <c r="KDD60" s="47"/>
      <c r="KDI60" s="47"/>
      <c r="KDK60" s="11"/>
      <c r="KGR60" s="47"/>
      <c r="KGW60" s="47"/>
      <c r="KGY60" s="11"/>
      <c r="KKF60" s="47"/>
      <c r="KKK60" s="47"/>
      <c r="KKM60" s="11"/>
      <c r="KNT60" s="47"/>
      <c r="KNY60" s="47"/>
      <c r="KOA60" s="11"/>
      <c r="KRH60" s="47"/>
      <c r="KRM60" s="47"/>
      <c r="KRO60" s="11"/>
      <c r="KUV60" s="47"/>
      <c r="KVA60" s="47"/>
      <c r="KVC60" s="11"/>
      <c r="KYJ60" s="47"/>
      <c r="KYO60" s="47"/>
      <c r="KYQ60" s="11"/>
      <c r="LBX60" s="47"/>
      <c r="LCC60" s="47"/>
      <c r="LCE60" s="11"/>
      <c r="LFL60" s="47"/>
      <c r="LFQ60" s="47"/>
      <c r="LFS60" s="11"/>
      <c r="LIZ60" s="47"/>
      <c r="LJE60" s="47"/>
      <c r="LJG60" s="11"/>
      <c r="LMN60" s="47"/>
      <c r="LMS60" s="47"/>
      <c r="LMU60" s="11"/>
      <c r="LQB60" s="47"/>
      <c r="LQG60" s="47"/>
      <c r="LQI60" s="11"/>
      <c r="LTP60" s="47"/>
      <c r="LTU60" s="47"/>
      <c r="LTW60" s="11"/>
      <c r="LXD60" s="47"/>
      <c r="LXI60" s="47"/>
      <c r="LXK60" s="11"/>
      <c r="MAR60" s="47"/>
      <c r="MAW60" s="47"/>
      <c r="MAY60" s="11"/>
      <c r="MEF60" s="47"/>
      <c r="MEK60" s="47"/>
      <c r="MEM60" s="11"/>
      <c r="MHT60" s="47"/>
      <c r="MHY60" s="47"/>
      <c r="MIA60" s="11"/>
      <c r="MLH60" s="47"/>
      <c r="MLM60" s="47"/>
      <c r="MLO60" s="11"/>
      <c r="MOV60" s="47"/>
      <c r="MPA60" s="47"/>
      <c r="MPC60" s="11"/>
      <c r="MSJ60" s="47"/>
      <c r="MSO60" s="47"/>
      <c r="MSQ60" s="11"/>
      <c r="MVX60" s="47"/>
      <c r="MWC60" s="47"/>
      <c r="MWE60" s="11"/>
      <c r="MZL60" s="47"/>
      <c r="MZQ60" s="47"/>
      <c r="MZS60" s="11"/>
      <c r="NCZ60" s="47"/>
      <c r="NDE60" s="47"/>
      <c r="NDG60" s="11"/>
      <c r="NGN60" s="47"/>
      <c r="NGS60" s="47"/>
      <c r="NGU60" s="11"/>
      <c r="NKB60" s="47"/>
      <c r="NKG60" s="47"/>
      <c r="NKI60" s="11"/>
      <c r="NNP60" s="47"/>
      <c r="NNU60" s="47"/>
      <c r="NNW60" s="11"/>
      <c r="NRD60" s="47"/>
      <c r="NRI60" s="47"/>
      <c r="NRK60" s="11"/>
      <c r="NUR60" s="47"/>
      <c r="NUW60" s="47"/>
      <c r="NUY60" s="11"/>
      <c r="NYF60" s="47"/>
      <c r="NYK60" s="47"/>
      <c r="NYM60" s="11"/>
      <c r="OBT60" s="47"/>
      <c r="OBY60" s="47"/>
      <c r="OCA60" s="11"/>
      <c r="OFH60" s="47"/>
      <c r="OFM60" s="47"/>
      <c r="OFO60" s="11"/>
      <c r="OIV60" s="47"/>
      <c r="OJA60" s="47"/>
      <c r="OJC60" s="11"/>
      <c r="OMJ60" s="47"/>
      <c r="OMO60" s="47"/>
      <c r="OMQ60" s="11"/>
      <c r="OPX60" s="47"/>
      <c r="OQC60" s="47"/>
      <c r="OQE60" s="11"/>
      <c r="OTL60" s="47"/>
      <c r="OTQ60" s="47"/>
      <c r="OTS60" s="11"/>
      <c r="OWZ60" s="47"/>
      <c r="OXE60" s="47"/>
      <c r="OXG60" s="11"/>
      <c r="PAN60" s="47"/>
      <c r="PAS60" s="47"/>
      <c r="PAU60" s="11"/>
      <c r="PEB60" s="47"/>
      <c r="PEG60" s="47"/>
      <c r="PEI60" s="11"/>
      <c r="PHP60" s="47"/>
      <c r="PHU60" s="47"/>
      <c r="PHW60" s="11"/>
      <c r="PLD60" s="47"/>
      <c r="PLI60" s="47"/>
      <c r="PLK60" s="11"/>
      <c r="POR60" s="47"/>
      <c r="POW60" s="47"/>
      <c r="POY60" s="11"/>
      <c r="PSF60" s="47"/>
      <c r="PSK60" s="47"/>
      <c r="PSM60" s="11"/>
      <c r="PVT60" s="47"/>
      <c r="PVY60" s="47"/>
      <c r="PWA60" s="11"/>
      <c r="PZH60" s="47"/>
      <c r="PZM60" s="47"/>
      <c r="PZO60" s="11"/>
      <c r="QCV60" s="47"/>
      <c r="QDA60" s="47"/>
      <c r="QDC60" s="11"/>
      <c r="QGJ60" s="47"/>
      <c r="QGO60" s="47"/>
      <c r="QGQ60" s="11"/>
      <c r="QJX60" s="47"/>
      <c r="QKC60" s="47"/>
      <c r="QKE60" s="11"/>
      <c r="QNL60" s="47"/>
      <c r="QNQ60" s="47"/>
      <c r="QNS60" s="11"/>
      <c r="QQZ60" s="47"/>
      <c r="QRE60" s="47"/>
      <c r="QRG60" s="11"/>
      <c r="QUN60" s="47"/>
      <c r="QUS60" s="47"/>
      <c r="QUU60" s="11"/>
      <c r="QYB60" s="47"/>
      <c r="QYG60" s="47"/>
      <c r="QYI60" s="11"/>
      <c r="RBP60" s="47"/>
      <c r="RBU60" s="47"/>
      <c r="RBW60" s="11"/>
      <c r="RFD60" s="47"/>
      <c r="RFI60" s="47"/>
      <c r="RFK60" s="11"/>
      <c r="RIR60" s="47"/>
      <c r="RIW60" s="47"/>
      <c r="RIY60" s="11"/>
      <c r="RMF60" s="47"/>
      <c r="RMK60" s="47"/>
      <c r="RMM60" s="11"/>
      <c r="RPT60" s="47"/>
      <c r="RPY60" s="47"/>
      <c r="RQA60" s="11"/>
      <c r="RTH60" s="47"/>
      <c r="RTM60" s="47"/>
      <c r="RTO60" s="11"/>
      <c r="RWV60" s="47"/>
      <c r="RXA60" s="47"/>
      <c r="RXC60" s="11"/>
      <c r="SAJ60" s="47"/>
      <c r="SAO60" s="47"/>
      <c r="SAQ60" s="11"/>
      <c r="SDX60" s="47"/>
      <c r="SEC60" s="47"/>
      <c r="SEE60" s="11"/>
      <c r="SHL60" s="47"/>
      <c r="SHQ60" s="47"/>
      <c r="SHS60" s="11"/>
      <c r="SKZ60" s="47"/>
      <c r="SLE60" s="47"/>
      <c r="SLG60" s="11"/>
      <c r="SON60" s="47"/>
      <c r="SOS60" s="47"/>
      <c r="SOU60" s="11"/>
      <c r="SSB60" s="47"/>
      <c r="SSG60" s="47"/>
      <c r="SSI60" s="11"/>
      <c r="SVP60" s="47"/>
      <c r="SVU60" s="47"/>
      <c r="SVW60" s="11"/>
      <c r="SZD60" s="47"/>
      <c r="SZI60" s="47"/>
      <c r="SZK60" s="11"/>
      <c r="TCR60" s="47"/>
      <c r="TCW60" s="47"/>
      <c r="TCY60" s="11"/>
      <c r="TGF60" s="47"/>
      <c r="TGK60" s="47"/>
      <c r="TGM60" s="11"/>
      <c r="TJT60" s="47"/>
      <c r="TJY60" s="47"/>
      <c r="TKA60" s="11"/>
      <c r="TNH60" s="47"/>
      <c r="TNM60" s="47"/>
      <c r="TNO60" s="11"/>
      <c r="TQV60" s="47"/>
      <c r="TRA60" s="47"/>
      <c r="TRC60" s="11"/>
      <c r="TUJ60" s="47"/>
      <c r="TUO60" s="47"/>
      <c r="TUQ60" s="11"/>
      <c r="TXX60" s="47"/>
      <c r="TYC60" s="47"/>
      <c r="TYE60" s="11"/>
      <c r="UBL60" s="47"/>
      <c r="UBQ60" s="47"/>
      <c r="UBS60" s="11"/>
      <c r="UEZ60" s="47"/>
      <c r="UFE60" s="47"/>
      <c r="UFG60" s="11"/>
      <c r="UIN60" s="47"/>
      <c r="UIS60" s="47"/>
      <c r="UIU60" s="11"/>
      <c r="UMB60" s="47"/>
      <c r="UMG60" s="47"/>
      <c r="UMI60" s="11"/>
      <c r="UPP60" s="47"/>
      <c r="UPU60" s="47"/>
      <c r="UPW60" s="11"/>
      <c r="UTD60" s="47"/>
      <c r="UTI60" s="47"/>
      <c r="UTK60" s="11"/>
      <c r="UWR60" s="47"/>
      <c r="UWW60" s="47"/>
      <c r="UWY60" s="11"/>
      <c r="VAF60" s="47"/>
      <c r="VAK60" s="47"/>
      <c r="VAM60" s="11"/>
      <c r="VDT60" s="47"/>
      <c r="VDY60" s="47"/>
      <c r="VEA60" s="11"/>
      <c r="VHH60" s="47"/>
      <c r="VHM60" s="47"/>
      <c r="VHO60" s="11"/>
      <c r="VKV60" s="47"/>
      <c r="VLA60" s="47"/>
      <c r="VLC60" s="11"/>
      <c r="VOJ60" s="47"/>
      <c r="VOO60" s="47"/>
      <c r="VOQ60" s="11"/>
      <c r="VRX60" s="47"/>
      <c r="VSC60" s="47"/>
      <c r="VSE60" s="11"/>
      <c r="VVL60" s="47"/>
      <c r="VVQ60" s="47"/>
      <c r="VVS60" s="11"/>
      <c r="VYZ60" s="47"/>
      <c r="VZE60" s="47"/>
      <c r="VZG60" s="11"/>
      <c r="WCN60" s="47"/>
      <c r="WCS60" s="47"/>
      <c r="WCU60" s="11"/>
      <c r="WGB60" s="47"/>
      <c r="WGG60" s="47"/>
      <c r="WGI60" s="11"/>
      <c r="WJP60" s="47"/>
      <c r="WJU60" s="47"/>
      <c r="WJW60" s="11"/>
      <c r="WND60" s="47"/>
      <c r="WNI60" s="47"/>
      <c r="WNK60" s="11"/>
      <c r="WQR60" s="47"/>
      <c r="WQW60" s="47"/>
      <c r="WQY60" s="11"/>
      <c r="WUF60" s="47"/>
      <c r="WUK60" s="47"/>
      <c r="WUM60" s="11"/>
      <c r="WXT60" s="47"/>
      <c r="WXY60" s="47"/>
      <c r="WYA60" s="11"/>
      <c r="XBH60" s="47"/>
      <c r="XBM60" s="47"/>
      <c r="XBO60" s="11"/>
      <c r="XEV60" s="47"/>
      <c r="XFA60" s="47"/>
      <c r="XFC60" s="11"/>
    </row>
    <row r="61" spans="3:1019 1104:2031 2116:3043 3128:4055 4140:5067 5152:6079 6164:7091 7176:8188 8193:9207 9292:10219 10304:11231 11316:12243 12328:13255 13340:14267 14352:15279 15364:16383" s="10" customFormat="1" ht="14.5" customHeight="1">
      <c r="C61" s="17" t="s">
        <v>1032</v>
      </c>
      <c r="E61" s="47"/>
      <c r="G61" s="11" t="str">
        <f t="shared" ref="G61:G66" si="53">Monetary_Unit</f>
        <v>тыс. руб.</v>
      </c>
      <c r="I61" s="23">
        <f t="shared" ref="I61:I66" ca="1" si="54">SUM(L61:CM61)</f>
        <v>1169347.3229296249</v>
      </c>
      <c r="L61" s="10">
        <f t="shared" ref="L61:AQ61" ca="1" si="55" xml:space="preserve"> - (Profits_Tax)</f>
        <v>0</v>
      </c>
      <c r="M61" s="10">
        <f t="shared" ca="1" si="55"/>
        <v>0</v>
      </c>
      <c r="N61" s="10">
        <f t="shared" ca="1" si="55"/>
        <v>0</v>
      </c>
      <c r="O61" s="10">
        <f t="shared" ca="1" si="55"/>
        <v>0</v>
      </c>
      <c r="P61" s="10">
        <f t="shared" ca="1" si="55"/>
        <v>0</v>
      </c>
      <c r="Q61" s="10">
        <f t="shared" ca="1" si="55"/>
        <v>0</v>
      </c>
      <c r="R61" s="10">
        <f t="shared" ca="1" si="55"/>
        <v>0</v>
      </c>
      <c r="S61" s="10">
        <f t="shared" ca="1" si="55"/>
        <v>0</v>
      </c>
      <c r="T61" s="10">
        <f t="shared" ca="1" si="55"/>
        <v>0</v>
      </c>
      <c r="U61" s="10">
        <f t="shared" ca="1" si="55"/>
        <v>0</v>
      </c>
      <c r="V61" s="10">
        <f t="shared" ca="1" si="55"/>
        <v>0</v>
      </c>
      <c r="W61" s="10">
        <f t="shared" ca="1" si="55"/>
        <v>0</v>
      </c>
      <c r="X61" s="10">
        <f t="shared" ca="1" si="55"/>
        <v>0</v>
      </c>
      <c r="Y61" s="10">
        <f t="shared" ca="1" si="55"/>
        <v>0</v>
      </c>
      <c r="Z61" s="10">
        <f t="shared" ca="1" si="55"/>
        <v>0</v>
      </c>
      <c r="AA61" s="10">
        <f t="shared" ca="1" si="55"/>
        <v>0</v>
      </c>
      <c r="AB61" s="10">
        <f t="shared" ca="1" si="55"/>
        <v>0</v>
      </c>
      <c r="AC61" s="10">
        <f t="shared" ca="1" si="55"/>
        <v>0</v>
      </c>
      <c r="AD61" s="10">
        <f t="shared" ca="1" si="55"/>
        <v>1389.8901071001442</v>
      </c>
      <c r="AE61" s="10">
        <f t="shared" ca="1" si="55"/>
        <v>343.06807048271355</v>
      </c>
      <c r="AF61" s="10">
        <f t="shared" ca="1" si="55"/>
        <v>345.23353688184091</v>
      </c>
      <c r="AG61" s="10">
        <f t="shared" ca="1" si="55"/>
        <v>1233.380536733503</v>
      </c>
      <c r="AH61" s="10">
        <f t="shared" ca="1" si="55"/>
        <v>1951.6135086286208</v>
      </c>
      <c r="AI61" s="10">
        <f t="shared" ca="1" si="55"/>
        <v>697.23204125733548</v>
      </c>
      <c r="AJ61" s="10">
        <f t="shared" ca="1" si="55"/>
        <v>686.27953043154048</v>
      </c>
      <c r="AK61" s="10">
        <f t="shared" ca="1" si="55"/>
        <v>1722.2768330930526</v>
      </c>
      <c r="AL61" s="10">
        <f t="shared" ca="1" si="55"/>
        <v>2552.4775815632656</v>
      </c>
      <c r="AM61" s="10">
        <f t="shared" ca="1" si="55"/>
        <v>1075.6116456652608</v>
      </c>
      <c r="AN61" s="10">
        <f t="shared" ca="1" si="55"/>
        <v>1069.6795860318255</v>
      </c>
      <c r="AO61" s="10">
        <f t="shared" ca="1" si="55"/>
        <v>2246.021293735289</v>
      </c>
      <c r="AP61" s="10">
        <f t="shared" ca="1" si="55"/>
        <v>3871.5435878940275</v>
      </c>
      <c r="AQ61" s="10">
        <f t="shared" ca="1" si="55"/>
        <v>2721.5949994583566</v>
      </c>
      <c r="AR61" s="10">
        <f t="shared" ref="AR61:BW61" ca="1" si="56" xml:space="preserve"> - (Profits_Tax)</f>
        <v>2537.3669215325235</v>
      </c>
      <c r="AS61" s="10">
        <f t="shared" ca="1" si="56"/>
        <v>4910.3548208880238</v>
      </c>
      <c r="AT61" s="10">
        <f t="shared" ca="1" si="56"/>
        <v>6670.9718023678251</v>
      </c>
      <c r="AU61" s="10">
        <f t="shared" ca="1" si="56"/>
        <v>10754.654024609054</v>
      </c>
      <c r="AV61" s="10">
        <f t="shared" ca="1" si="56"/>
        <v>10079.610833892344</v>
      </c>
      <c r="AW61" s="10">
        <f t="shared" ca="1" si="56"/>
        <v>9399.3887811251989</v>
      </c>
      <c r="AX61" s="10">
        <f t="shared" ca="1" si="56"/>
        <v>13441.647109621965</v>
      </c>
      <c r="AY61" s="10">
        <f t="shared" ca="1" si="56"/>
        <v>5356.1178602904338</v>
      </c>
      <c r="AZ61" s="10">
        <f t="shared" ca="1" si="56"/>
        <v>4934.9720522394755</v>
      </c>
      <c r="BA61" s="10">
        <f t="shared" ca="1" si="56"/>
        <v>10534.546945064436</v>
      </c>
      <c r="BB61" s="10">
        <f t="shared" ca="1" si="56"/>
        <v>14742.604280875961</v>
      </c>
      <c r="BC61" s="10">
        <f t="shared" ca="1" si="56"/>
        <v>6446.8334556844102</v>
      </c>
      <c r="BD61" s="10">
        <f t="shared" ca="1" si="56"/>
        <v>6118.4128459242202</v>
      </c>
      <c r="BE61" s="10">
        <f t="shared" ca="1" si="56"/>
        <v>13775.352981547452</v>
      </c>
      <c r="BF61" s="10">
        <f t="shared" ca="1" si="56"/>
        <v>18170.998071899296</v>
      </c>
      <c r="BG61" s="10">
        <f t="shared" ca="1" si="56"/>
        <v>9513.941247908826</v>
      </c>
      <c r="BH61" s="10">
        <f t="shared" ca="1" si="56"/>
        <v>9084.5245070020428</v>
      </c>
      <c r="BI61" s="10">
        <f t="shared" ca="1" si="56"/>
        <v>15042.948275777006</v>
      </c>
      <c r="BJ61" s="10">
        <f t="shared" ca="1" si="56"/>
        <v>19438.219890369604</v>
      </c>
      <c r="BK61" s="10">
        <f t="shared" ca="1" si="56"/>
        <v>10166.3837287761</v>
      </c>
      <c r="BL61" s="10">
        <f t="shared" ca="1" si="56"/>
        <v>9535.793034087581</v>
      </c>
      <c r="BM61" s="10">
        <f t="shared" ca="1" si="56"/>
        <v>15732.664412670643</v>
      </c>
      <c r="BN61" s="10">
        <f t="shared" ca="1" si="56"/>
        <v>20303.857550904053</v>
      </c>
      <c r="BO61" s="10">
        <f t="shared" ca="1" si="56"/>
        <v>23606.827587732194</v>
      </c>
      <c r="BP61" s="10">
        <f t="shared" ca="1" si="56"/>
        <v>22154.177240710902</v>
      </c>
      <c r="BQ61" s="10">
        <f t="shared" ca="1" si="56"/>
        <v>36424.931789017159</v>
      </c>
      <c r="BR61" s="10">
        <f t="shared" ca="1" si="56"/>
        <v>46951.98158954682</v>
      </c>
      <c r="BS61" s="10">
        <f t="shared" ca="1" si="56"/>
        <v>24746.19889213498</v>
      </c>
      <c r="BT61" s="10">
        <f t="shared" ca="1" si="56"/>
        <v>23542.717741804667</v>
      </c>
      <c r="BU61" s="10">
        <f t="shared" ca="1" si="56"/>
        <v>38078.450736018975</v>
      </c>
      <c r="BV61" s="10">
        <f t="shared" ca="1" si="56"/>
        <v>49026.847343305708</v>
      </c>
      <c r="BW61" s="10">
        <f t="shared" ca="1" si="56"/>
        <v>25932.834801015801</v>
      </c>
      <c r="BX61" s="10">
        <f t="shared" ref="BX61:CO61" ca="1" si="57" xml:space="preserve"> - (Profits_Tax)</f>
        <v>24358.958707836995</v>
      </c>
      <c r="BY61" s="10">
        <f t="shared" ca="1" si="57"/>
        <v>39794.70669005435</v>
      </c>
      <c r="BZ61" s="10">
        <f t="shared" ca="1" si="57"/>
        <v>51181.26361707654</v>
      </c>
      <c r="CA61" s="10">
        <f t="shared" ca="1" si="57"/>
        <v>27163.48905155596</v>
      </c>
      <c r="CB61" s="10">
        <f t="shared" ca="1" si="57"/>
        <v>25527.925195505442</v>
      </c>
      <c r="CC61" s="10">
        <f t="shared" ca="1" si="57"/>
        <v>41581.348127780795</v>
      </c>
      <c r="CD61" s="10">
        <f t="shared" ca="1" si="57"/>
        <v>53423.612362653126</v>
      </c>
      <c r="CE61" s="10">
        <f t="shared" ca="1" si="57"/>
        <v>28445.126814511706</v>
      </c>
      <c r="CF61" s="10">
        <f t="shared" ca="1" si="57"/>
        <v>26743.650342680594</v>
      </c>
      <c r="CG61" s="10">
        <f t="shared" ca="1" si="57"/>
        <v>43439.455223016266</v>
      </c>
      <c r="CH61" s="10">
        <f t="shared" ca="1" si="57"/>
        <v>55755.655058052784</v>
      </c>
      <c r="CI61" s="10">
        <f t="shared" ca="1" si="57"/>
        <v>29778.030087985695</v>
      </c>
      <c r="CJ61" s="10">
        <f t="shared" ca="1" si="57"/>
        <v>28368.828141014976</v>
      </c>
      <c r="CK61" s="10">
        <f t="shared" ca="1" si="57"/>
        <v>45373.579810170959</v>
      </c>
      <c r="CL61" s="10">
        <f t="shared" ca="1" si="57"/>
        <v>58182.692970885604</v>
      </c>
      <c r="CM61" s="10">
        <f t="shared" ca="1" si="57"/>
        <v>31165.964713540445</v>
      </c>
      <c r="CN61" s="10">
        <f t="shared" ca="1" si="57"/>
        <v>29322.932814927386</v>
      </c>
      <c r="CO61" s="10">
        <f t="shared" ca="1" si="57"/>
        <v>47381.615236267782</v>
      </c>
      <c r="CS61" s="47"/>
      <c r="CU61" s="11"/>
      <c r="GB61" s="47"/>
      <c r="GG61" s="47"/>
      <c r="GI61" s="11"/>
      <c r="JP61" s="47"/>
      <c r="JU61" s="47"/>
      <c r="JW61" s="11"/>
      <c r="ND61" s="47"/>
      <c r="NI61" s="47"/>
      <c r="NK61" s="11"/>
      <c r="QR61" s="47"/>
      <c r="QW61" s="47"/>
      <c r="QY61" s="11"/>
      <c r="UF61" s="47"/>
      <c r="UK61" s="47"/>
      <c r="UM61" s="11"/>
      <c r="XT61" s="47"/>
      <c r="XY61" s="47"/>
      <c r="YA61" s="11"/>
      <c r="ABH61" s="47"/>
      <c r="ABM61" s="47"/>
      <c r="ABO61" s="11"/>
      <c r="AEV61" s="47"/>
      <c r="AFA61" s="47"/>
      <c r="AFC61" s="11"/>
      <c r="AIJ61" s="47"/>
      <c r="AIO61" s="47"/>
      <c r="AIQ61" s="11"/>
      <c r="ALX61" s="47"/>
      <c r="AMC61" s="47"/>
      <c r="AME61" s="11"/>
      <c r="APL61" s="47"/>
      <c r="APQ61" s="47"/>
      <c r="APS61" s="11"/>
      <c r="ASZ61" s="47"/>
      <c r="ATE61" s="47"/>
      <c r="ATG61" s="11"/>
      <c r="AWN61" s="47"/>
      <c r="AWS61" s="47"/>
      <c r="AWU61" s="11"/>
      <c r="BAB61" s="47"/>
      <c r="BAG61" s="47"/>
      <c r="BAI61" s="11"/>
      <c r="BDP61" s="47"/>
      <c r="BDU61" s="47"/>
      <c r="BDW61" s="11"/>
      <c r="BHD61" s="47"/>
      <c r="BHI61" s="47"/>
      <c r="BHK61" s="11"/>
      <c r="BKR61" s="47"/>
      <c r="BKW61" s="47"/>
      <c r="BKY61" s="11"/>
      <c r="BOF61" s="47"/>
      <c r="BOK61" s="47"/>
      <c r="BOM61" s="11"/>
      <c r="BRT61" s="47"/>
      <c r="BRY61" s="47"/>
      <c r="BSA61" s="11"/>
      <c r="BVH61" s="47"/>
      <c r="BVM61" s="47"/>
      <c r="BVO61" s="11"/>
      <c r="BYV61" s="47"/>
      <c r="BZA61" s="47"/>
      <c r="BZC61" s="11"/>
      <c r="CCJ61" s="47"/>
      <c r="CCO61" s="47"/>
      <c r="CCQ61" s="11"/>
      <c r="CFX61" s="47"/>
      <c r="CGC61" s="47"/>
      <c r="CGE61" s="11"/>
      <c r="CJL61" s="47"/>
      <c r="CJQ61" s="47"/>
      <c r="CJS61" s="11"/>
      <c r="CMZ61" s="47"/>
      <c r="CNE61" s="47"/>
      <c r="CNG61" s="11"/>
      <c r="CQN61" s="47"/>
      <c r="CQS61" s="47"/>
      <c r="CQU61" s="11"/>
      <c r="CUB61" s="47"/>
      <c r="CUG61" s="47"/>
      <c r="CUI61" s="11"/>
      <c r="CXP61" s="47"/>
      <c r="CXU61" s="47"/>
      <c r="CXW61" s="11"/>
      <c r="DBD61" s="47"/>
      <c r="DBI61" s="47"/>
      <c r="DBK61" s="11"/>
      <c r="DER61" s="47"/>
      <c r="DEW61" s="47"/>
      <c r="DEY61" s="11"/>
      <c r="DIF61" s="47"/>
      <c r="DIK61" s="47"/>
      <c r="DIM61" s="11"/>
      <c r="DLT61" s="47"/>
      <c r="DLY61" s="47"/>
      <c r="DMA61" s="11"/>
      <c r="DPH61" s="47"/>
      <c r="DPM61" s="47"/>
      <c r="DPO61" s="11"/>
      <c r="DSV61" s="47"/>
      <c r="DTA61" s="47"/>
      <c r="DTC61" s="11"/>
      <c r="DWJ61" s="47"/>
      <c r="DWO61" s="47"/>
      <c r="DWQ61" s="11"/>
      <c r="DZX61" s="47"/>
      <c r="EAC61" s="47"/>
      <c r="EAE61" s="11"/>
      <c r="EDL61" s="47"/>
      <c r="EDQ61" s="47"/>
      <c r="EDS61" s="11"/>
      <c r="EGZ61" s="47"/>
      <c r="EHE61" s="47"/>
      <c r="EHG61" s="11"/>
      <c r="EKN61" s="47"/>
      <c r="EKS61" s="47"/>
      <c r="EKU61" s="11"/>
      <c r="EOB61" s="47"/>
      <c r="EOG61" s="47"/>
      <c r="EOI61" s="11"/>
      <c r="ERP61" s="47"/>
      <c r="ERU61" s="47"/>
      <c r="ERW61" s="11"/>
      <c r="EVD61" s="47"/>
      <c r="EVI61" s="47"/>
      <c r="EVK61" s="11"/>
      <c r="EYR61" s="47"/>
      <c r="EYW61" s="47"/>
      <c r="EYY61" s="11"/>
      <c r="FCF61" s="47"/>
      <c r="FCK61" s="47"/>
      <c r="FCM61" s="11"/>
      <c r="FFT61" s="47"/>
      <c r="FFY61" s="47"/>
      <c r="FGA61" s="11"/>
      <c r="FJH61" s="47"/>
      <c r="FJM61" s="47"/>
      <c r="FJO61" s="11"/>
      <c r="FMV61" s="47"/>
      <c r="FNA61" s="47"/>
      <c r="FNC61" s="11"/>
      <c r="FQJ61" s="47"/>
      <c r="FQO61" s="47"/>
      <c r="FQQ61" s="11"/>
      <c r="FTX61" s="47"/>
      <c r="FUC61" s="47"/>
      <c r="FUE61" s="11"/>
      <c r="FXL61" s="47"/>
      <c r="FXQ61" s="47"/>
      <c r="FXS61" s="11"/>
      <c r="GAZ61" s="47"/>
      <c r="GBE61" s="47"/>
      <c r="GBG61" s="11"/>
      <c r="GEN61" s="47"/>
      <c r="GES61" s="47"/>
      <c r="GEU61" s="11"/>
      <c r="GIB61" s="47"/>
      <c r="GIG61" s="47"/>
      <c r="GII61" s="11"/>
      <c r="GLP61" s="47"/>
      <c r="GLU61" s="47"/>
      <c r="GLW61" s="11"/>
      <c r="GPD61" s="47"/>
      <c r="GPI61" s="47"/>
      <c r="GPK61" s="11"/>
      <c r="GSR61" s="47"/>
      <c r="GSW61" s="47"/>
      <c r="GSY61" s="11"/>
      <c r="GWF61" s="47"/>
      <c r="GWK61" s="47"/>
      <c r="GWM61" s="11"/>
      <c r="GZT61" s="47"/>
      <c r="GZY61" s="47"/>
      <c r="HAA61" s="11"/>
      <c r="HDH61" s="47"/>
      <c r="HDM61" s="47"/>
      <c r="HDO61" s="11"/>
      <c r="HGV61" s="47"/>
      <c r="HHA61" s="47"/>
      <c r="HHC61" s="11"/>
      <c r="HKJ61" s="47"/>
      <c r="HKO61" s="47"/>
      <c r="HKQ61" s="11"/>
      <c r="HNX61" s="47"/>
      <c r="HOC61" s="47"/>
      <c r="HOE61" s="11"/>
      <c r="HRL61" s="47"/>
      <c r="HRQ61" s="47"/>
      <c r="HRS61" s="11"/>
      <c r="HUZ61" s="47"/>
      <c r="HVE61" s="47"/>
      <c r="HVG61" s="11"/>
      <c r="HYN61" s="47"/>
      <c r="HYS61" s="47"/>
      <c r="HYU61" s="11"/>
      <c r="ICB61" s="47"/>
      <c r="ICG61" s="47"/>
      <c r="ICI61" s="11"/>
      <c r="IFP61" s="47"/>
      <c r="IFU61" s="47"/>
      <c r="IFW61" s="11"/>
      <c r="IJD61" s="47"/>
      <c r="IJI61" s="47"/>
      <c r="IJK61" s="11"/>
      <c r="IMR61" s="47"/>
      <c r="IMW61" s="47"/>
      <c r="IMY61" s="11"/>
      <c r="IQF61" s="47"/>
      <c r="IQK61" s="47"/>
      <c r="IQM61" s="11"/>
      <c r="ITT61" s="47"/>
      <c r="ITY61" s="47"/>
      <c r="IUA61" s="11"/>
      <c r="IXH61" s="47"/>
      <c r="IXM61" s="47"/>
      <c r="IXO61" s="11"/>
      <c r="JAV61" s="47"/>
      <c r="JBA61" s="47"/>
      <c r="JBC61" s="11"/>
      <c r="JEJ61" s="47"/>
      <c r="JEO61" s="47"/>
      <c r="JEQ61" s="11"/>
      <c r="JHX61" s="47"/>
      <c r="JIC61" s="47"/>
      <c r="JIE61" s="11"/>
      <c r="JLL61" s="47"/>
      <c r="JLQ61" s="47"/>
      <c r="JLS61" s="11"/>
      <c r="JOZ61" s="47"/>
      <c r="JPE61" s="47"/>
      <c r="JPG61" s="11"/>
      <c r="JSN61" s="47"/>
      <c r="JSS61" s="47"/>
      <c r="JSU61" s="11"/>
      <c r="JWB61" s="47"/>
      <c r="JWG61" s="47"/>
      <c r="JWI61" s="11"/>
      <c r="JZP61" s="47"/>
      <c r="JZU61" s="47"/>
      <c r="JZW61" s="11"/>
      <c r="KDD61" s="47"/>
      <c r="KDI61" s="47"/>
      <c r="KDK61" s="11"/>
      <c r="KGR61" s="47"/>
      <c r="KGW61" s="47"/>
      <c r="KGY61" s="11"/>
      <c r="KKF61" s="47"/>
      <c r="KKK61" s="47"/>
      <c r="KKM61" s="11"/>
      <c r="KNT61" s="47"/>
      <c r="KNY61" s="47"/>
      <c r="KOA61" s="11"/>
      <c r="KRH61" s="47"/>
      <c r="KRM61" s="47"/>
      <c r="KRO61" s="11"/>
      <c r="KUV61" s="47"/>
      <c r="KVA61" s="47"/>
      <c r="KVC61" s="11"/>
      <c r="KYJ61" s="47"/>
      <c r="KYO61" s="47"/>
      <c r="KYQ61" s="11"/>
      <c r="LBX61" s="47"/>
      <c r="LCC61" s="47"/>
      <c r="LCE61" s="11"/>
      <c r="LFL61" s="47"/>
      <c r="LFQ61" s="47"/>
      <c r="LFS61" s="11"/>
      <c r="LIZ61" s="47"/>
      <c r="LJE61" s="47"/>
      <c r="LJG61" s="11"/>
      <c r="LMN61" s="47"/>
      <c r="LMS61" s="47"/>
      <c r="LMU61" s="11"/>
      <c r="LQB61" s="47"/>
      <c r="LQG61" s="47"/>
      <c r="LQI61" s="11"/>
      <c r="LTP61" s="47"/>
      <c r="LTU61" s="47"/>
      <c r="LTW61" s="11"/>
      <c r="LXD61" s="47"/>
      <c r="LXI61" s="47"/>
      <c r="LXK61" s="11"/>
      <c r="MAR61" s="47"/>
      <c r="MAW61" s="47"/>
      <c r="MAY61" s="11"/>
      <c r="MEF61" s="47"/>
      <c r="MEK61" s="47"/>
      <c r="MEM61" s="11"/>
      <c r="MHT61" s="47"/>
      <c r="MHY61" s="47"/>
      <c r="MIA61" s="11"/>
      <c r="MLH61" s="47"/>
      <c r="MLM61" s="47"/>
      <c r="MLO61" s="11"/>
      <c r="MOV61" s="47"/>
      <c r="MPA61" s="47"/>
      <c r="MPC61" s="11"/>
      <c r="MSJ61" s="47"/>
      <c r="MSO61" s="47"/>
      <c r="MSQ61" s="11"/>
      <c r="MVX61" s="47"/>
      <c r="MWC61" s="47"/>
      <c r="MWE61" s="11"/>
      <c r="MZL61" s="47"/>
      <c r="MZQ61" s="47"/>
      <c r="MZS61" s="11"/>
      <c r="NCZ61" s="47"/>
      <c r="NDE61" s="47"/>
      <c r="NDG61" s="11"/>
      <c r="NGN61" s="47"/>
      <c r="NGS61" s="47"/>
      <c r="NGU61" s="11"/>
      <c r="NKB61" s="47"/>
      <c r="NKG61" s="47"/>
      <c r="NKI61" s="11"/>
      <c r="NNP61" s="47"/>
      <c r="NNU61" s="47"/>
      <c r="NNW61" s="11"/>
      <c r="NRD61" s="47"/>
      <c r="NRI61" s="47"/>
      <c r="NRK61" s="11"/>
      <c r="NUR61" s="47"/>
      <c r="NUW61" s="47"/>
      <c r="NUY61" s="11"/>
      <c r="NYF61" s="47"/>
      <c r="NYK61" s="47"/>
      <c r="NYM61" s="11"/>
      <c r="OBT61" s="47"/>
      <c r="OBY61" s="47"/>
      <c r="OCA61" s="11"/>
      <c r="OFH61" s="47"/>
      <c r="OFM61" s="47"/>
      <c r="OFO61" s="11"/>
      <c r="OIV61" s="47"/>
      <c r="OJA61" s="47"/>
      <c r="OJC61" s="11"/>
      <c r="OMJ61" s="47"/>
      <c r="OMO61" s="47"/>
      <c r="OMQ61" s="11"/>
      <c r="OPX61" s="47"/>
      <c r="OQC61" s="47"/>
      <c r="OQE61" s="11"/>
      <c r="OTL61" s="47"/>
      <c r="OTQ61" s="47"/>
      <c r="OTS61" s="11"/>
      <c r="OWZ61" s="47"/>
      <c r="OXE61" s="47"/>
      <c r="OXG61" s="11"/>
      <c r="PAN61" s="47"/>
      <c r="PAS61" s="47"/>
      <c r="PAU61" s="11"/>
      <c r="PEB61" s="47"/>
      <c r="PEG61" s="47"/>
      <c r="PEI61" s="11"/>
      <c r="PHP61" s="47"/>
      <c r="PHU61" s="47"/>
      <c r="PHW61" s="11"/>
      <c r="PLD61" s="47"/>
      <c r="PLI61" s="47"/>
      <c r="PLK61" s="11"/>
      <c r="POR61" s="47"/>
      <c r="POW61" s="47"/>
      <c r="POY61" s="11"/>
      <c r="PSF61" s="47"/>
      <c r="PSK61" s="47"/>
      <c r="PSM61" s="11"/>
      <c r="PVT61" s="47"/>
      <c r="PVY61" s="47"/>
      <c r="PWA61" s="11"/>
      <c r="PZH61" s="47"/>
      <c r="PZM61" s="47"/>
      <c r="PZO61" s="11"/>
      <c r="QCV61" s="47"/>
      <c r="QDA61" s="47"/>
      <c r="QDC61" s="11"/>
      <c r="QGJ61" s="47"/>
      <c r="QGO61" s="47"/>
      <c r="QGQ61" s="11"/>
      <c r="QJX61" s="47"/>
      <c r="QKC61" s="47"/>
      <c r="QKE61" s="11"/>
      <c r="QNL61" s="47"/>
      <c r="QNQ61" s="47"/>
      <c r="QNS61" s="11"/>
      <c r="QQZ61" s="47"/>
      <c r="QRE61" s="47"/>
      <c r="QRG61" s="11"/>
      <c r="QUN61" s="47"/>
      <c r="QUS61" s="47"/>
      <c r="QUU61" s="11"/>
      <c r="QYB61" s="47"/>
      <c r="QYG61" s="47"/>
      <c r="QYI61" s="11"/>
      <c r="RBP61" s="47"/>
      <c r="RBU61" s="47"/>
      <c r="RBW61" s="11"/>
      <c r="RFD61" s="47"/>
      <c r="RFI61" s="47"/>
      <c r="RFK61" s="11"/>
      <c r="RIR61" s="47"/>
      <c r="RIW61" s="47"/>
      <c r="RIY61" s="11"/>
      <c r="RMF61" s="47"/>
      <c r="RMK61" s="47"/>
      <c r="RMM61" s="11"/>
      <c r="RPT61" s="47"/>
      <c r="RPY61" s="47"/>
      <c r="RQA61" s="11"/>
      <c r="RTH61" s="47"/>
      <c r="RTM61" s="47"/>
      <c r="RTO61" s="11"/>
      <c r="RWV61" s="47"/>
      <c r="RXA61" s="47"/>
      <c r="RXC61" s="11"/>
      <c r="SAJ61" s="47"/>
      <c r="SAO61" s="47"/>
      <c r="SAQ61" s="11"/>
      <c r="SDX61" s="47"/>
      <c r="SEC61" s="47"/>
      <c r="SEE61" s="11"/>
      <c r="SHL61" s="47"/>
      <c r="SHQ61" s="47"/>
      <c r="SHS61" s="11"/>
      <c r="SKZ61" s="47"/>
      <c r="SLE61" s="47"/>
      <c r="SLG61" s="11"/>
      <c r="SON61" s="47"/>
      <c r="SOS61" s="47"/>
      <c r="SOU61" s="11"/>
      <c r="SSB61" s="47"/>
      <c r="SSG61" s="47"/>
      <c r="SSI61" s="11"/>
      <c r="SVP61" s="47"/>
      <c r="SVU61" s="47"/>
      <c r="SVW61" s="11"/>
      <c r="SZD61" s="47"/>
      <c r="SZI61" s="47"/>
      <c r="SZK61" s="11"/>
      <c r="TCR61" s="47"/>
      <c r="TCW61" s="47"/>
      <c r="TCY61" s="11"/>
      <c r="TGF61" s="47"/>
      <c r="TGK61" s="47"/>
      <c r="TGM61" s="11"/>
      <c r="TJT61" s="47"/>
      <c r="TJY61" s="47"/>
      <c r="TKA61" s="11"/>
      <c r="TNH61" s="47"/>
      <c r="TNM61" s="47"/>
      <c r="TNO61" s="11"/>
      <c r="TQV61" s="47"/>
      <c r="TRA61" s="47"/>
      <c r="TRC61" s="11"/>
      <c r="TUJ61" s="47"/>
      <c r="TUO61" s="47"/>
      <c r="TUQ61" s="11"/>
      <c r="TXX61" s="47"/>
      <c r="TYC61" s="47"/>
      <c r="TYE61" s="11"/>
      <c r="UBL61" s="47"/>
      <c r="UBQ61" s="47"/>
      <c r="UBS61" s="11"/>
      <c r="UEZ61" s="47"/>
      <c r="UFE61" s="47"/>
      <c r="UFG61" s="11"/>
      <c r="UIN61" s="47"/>
      <c r="UIS61" s="47"/>
      <c r="UIU61" s="11"/>
      <c r="UMB61" s="47"/>
      <c r="UMG61" s="47"/>
      <c r="UMI61" s="11"/>
      <c r="UPP61" s="47"/>
      <c r="UPU61" s="47"/>
      <c r="UPW61" s="11"/>
      <c r="UTD61" s="47"/>
      <c r="UTI61" s="47"/>
      <c r="UTK61" s="11"/>
      <c r="UWR61" s="47"/>
      <c r="UWW61" s="47"/>
      <c r="UWY61" s="11"/>
      <c r="VAF61" s="47"/>
      <c r="VAK61" s="47"/>
      <c r="VAM61" s="11"/>
      <c r="VDT61" s="47"/>
      <c r="VDY61" s="47"/>
      <c r="VEA61" s="11"/>
      <c r="VHH61" s="47"/>
      <c r="VHM61" s="47"/>
      <c r="VHO61" s="11"/>
      <c r="VKV61" s="47"/>
      <c r="VLA61" s="47"/>
      <c r="VLC61" s="11"/>
      <c r="VOJ61" s="47"/>
      <c r="VOO61" s="47"/>
      <c r="VOQ61" s="11"/>
      <c r="VRX61" s="47"/>
      <c r="VSC61" s="47"/>
      <c r="VSE61" s="11"/>
      <c r="VVL61" s="47"/>
      <c r="VVQ61" s="47"/>
      <c r="VVS61" s="11"/>
      <c r="VYZ61" s="47"/>
      <c r="VZE61" s="47"/>
      <c r="VZG61" s="11"/>
      <c r="WCN61" s="47"/>
      <c r="WCS61" s="47"/>
      <c r="WCU61" s="11"/>
      <c r="WGB61" s="47"/>
      <c r="WGG61" s="47"/>
      <c r="WGI61" s="11"/>
      <c r="WJP61" s="47"/>
      <c r="WJU61" s="47"/>
      <c r="WJW61" s="11"/>
      <c r="WND61" s="47"/>
      <c r="WNI61" s="47"/>
      <c r="WNK61" s="11"/>
      <c r="WQR61" s="47"/>
      <c r="WQW61" s="47"/>
      <c r="WQY61" s="11"/>
      <c r="WUF61" s="47"/>
      <c r="WUK61" s="47"/>
      <c r="WUM61" s="11"/>
      <c r="WXT61" s="47"/>
      <c r="WXY61" s="47"/>
      <c r="WYA61" s="11"/>
      <c r="XBH61" s="47"/>
      <c r="XBM61" s="47"/>
      <c r="XBO61" s="11"/>
      <c r="XEV61" s="47"/>
      <c r="XFA61" s="47"/>
      <c r="XFC61" s="11"/>
    </row>
    <row r="62" spans="3:1019 1104:2031 2116:3043 3128:4055 4140:5067 5152:6079 6164:7091 7176:8188 8193:9207 9292:10219 10304:11231 11316:12243 12328:13255 13340:14267 14352:15279 15364:16383" s="10" customFormat="1" ht="14.5" customHeight="1">
      <c r="C62" s="17" t="s">
        <v>1033</v>
      </c>
      <c r="E62" s="47"/>
      <c r="G62" s="11" t="str">
        <f t="shared" si="53"/>
        <v>тыс. руб.</v>
      </c>
      <c r="I62" s="23">
        <f t="shared" ca="1" si="54"/>
        <v>0</v>
      </c>
      <c r="L62" s="10">
        <f t="shared" ref="L62:AQ62" ca="1" si="58" xml:space="preserve"> (Property_Tax)</f>
        <v>0</v>
      </c>
      <c r="M62" s="10">
        <f t="shared" ca="1" si="58"/>
        <v>0</v>
      </c>
      <c r="N62" s="10">
        <f t="shared" ca="1" si="58"/>
        <v>0</v>
      </c>
      <c r="O62" s="10">
        <f t="shared" ca="1" si="58"/>
        <v>0</v>
      </c>
      <c r="P62" s="10">
        <f t="shared" ca="1" si="58"/>
        <v>0</v>
      </c>
      <c r="Q62" s="10">
        <f t="shared" ca="1" si="58"/>
        <v>0</v>
      </c>
      <c r="R62" s="10">
        <f t="shared" ca="1" si="58"/>
        <v>0</v>
      </c>
      <c r="S62" s="10">
        <f t="shared" ca="1" si="58"/>
        <v>0</v>
      </c>
      <c r="T62" s="10">
        <f t="shared" ca="1" si="58"/>
        <v>0</v>
      </c>
      <c r="U62" s="10">
        <f t="shared" ca="1" si="58"/>
        <v>0</v>
      </c>
      <c r="V62" s="10">
        <f t="shared" ca="1" si="58"/>
        <v>0</v>
      </c>
      <c r="W62" s="10">
        <f t="shared" ca="1" si="58"/>
        <v>0</v>
      </c>
      <c r="X62" s="10">
        <f t="shared" ca="1" si="58"/>
        <v>0</v>
      </c>
      <c r="Y62" s="10">
        <f t="shared" ca="1" si="58"/>
        <v>0</v>
      </c>
      <c r="Z62" s="10">
        <f t="shared" ca="1" si="58"/>
        <v>0</v>
      </c>
      <c r="AA62" s="10">
        <f t="shared" ca="1" si="58"/>
        <v>0</v>
      </c>
      <c r="AB62" s="10">
        <f t="shared" ca="1" si="58"/>
        <v>0</v>
      </c>
      <c r="AC62" s="10">
        <f t="shared" ca="1" si="58"/>
        <v>0</v>
      </c>
      <c r="AD62" s="10">
        <f t="shared" ca="1" si="58"/>
        <v>0</v>
      </c>
      <c r="AE62" s="10">
        <f t="shared" ca="1" si="58"/>
        <v>0</v>
      </c>
      <c r="AF62" s="10">
        <f t="shared" ca="1" si="58"/>
        <v>0</v>
      </c>
      <c r="AG62" s="10">
        <f t="shared" ca="1" si="58"/>
        <v>0</v>
      </c>
      <c r="AH62" s="10">
        <f t="shared" ca="1" si="58"/>
        <v>0</v>
      </c>
      <c r="AI62" s="10">
        <f t="shared" ca="1" si="58"/>
        <v>0</v>
      </c>
      <c r="AJ62" s="10">
        <f t="shared" ca="1" si="58"/>
        <v>0</v>
      </c>
      <c r="AK62" s="10">
        <f t="shared" ca="1" si="58"/>
        <v>0</v>
      </c>
      <c r="AL62" s="10">
        <f t="shared" ca="1" si="58"/>
        <v>0</v>
      </c>
      <c r="AM62" s="10">
        <f t="shared" ca="1" si="58"/>
        <v>0</v>
      </c>
      <c r="AN62" s="10">
        <f t="shared" ca="1" si="58"/>
        <v>0</v>
      </c>
      <c r="AO62" s="10">
        <f t="shared" ca="1" si="58"/>
        <v>0</v>
      </c>
      <c r="AP62" s="10">
        <f t="shared" ca="1" si="58"/>
        <v>0</v>
      </c>
      <c r="AQ62" s="10">
        <f t="shared" ca="1" si="58"/>
        <v>0</v>
      </c>
      <c r="AR62" s="10">
        <f t="shared" ref="AR62:BW62" ca="1" si="59" xml:space="preserve"> (Property_Tax)</f>
        <v>0</v>
      </c>
      <c r="AS62" s="10">
        <f t="shared" ca="1" si="59"/>
        <v>0</v>
      </c>
      <c r="AT62" s="10">
        <f t="shared" ca="1" si="59"/>
        <v>0</v>
      </c>
      <c r="AU62" s="10">
        <f t="shared" ca="1" si="59"/>
        <v>0</v>
      </c>
      <c r="AV62" s="10">
        <f t="shared" ca="1" si="59"/>
        <v>0</v>
      </c>
      <c r="AW62" s="10">
        <f t="shared" ca="1" si="59"/>
        <v>0</v>
      </c>
      <c r="AX62" s="10">
        <f t="shared" ca="1" si="59"/>
        <v>0</v>
      </c>
      <c r="AY62" s="10">
        <f t="shared" ca="1" si="59"/>
        <v>0</v>
      </c>
      <c r="AZ62" s="10">
        <f t="shared" ca="1" si="59"/>
        <v>0</v>
      </c>
      <c r="BA62" s="10">
        <f t="shared" ca="1" si="59"/>
        <v>0</v>
      </c>
      <c r="BB62" s="10">
        <f t="shared" ca="1" si="59"/>
        <v>0</v>
      </c>
      <c r="BC62" s="10">
        <f t="shared" ca="1" si="59"/>
        <v>0</v>
      </c>
      <c r="BD62" s="10">
        <f t="shared" ca="1" si="59"/>
        <v>0</v>
      </c>
      <c r="BE62" s="10">
        <f t="shared" ca="1" si="59"/>
        <v>0</v>
      </c>
      <c r="BF62" s="10">
        <f t="shared" ca="1" si="59"/>
        <v>0</v>
      </c>
      <c r="BG62" s="10">
        <f t="shared" ca="1" si="59"/>
        <v>0</v>
      </c>
      <c r="BH62" s="10">
        <f t="shared" ca="1" si="59"/>
        <v>0</v>
      </c>
      <c r="BI62" s="10">
        <f t="shared" ca="1" si="59"/>
        <v>0</v>
      </c>
      <c r="BJ62" s="10">
        <f t="shared" ca="1" si="59"/>
        <v>0</v>
      </c>
      <c r="BK62" s="10">
        <f t="shared" ca="1" si="59"/>
        <v>0</v>
      </c>
      <c r="BL62" s="10">
        <f t="shared" ca="1" si="59"/>
        <v>0</v>
      </c>
      <c r="BM62" s="10">
        <f t="shared" ca="1" si="59"/>
        <v>0</v>
      </c>
      <c r="BN62" s="10">
        <f t="shared" ca="1" si="59"/>
        <v>0</v>
      </c>
      <c r="BO62" s="10">
        <f t="shared" ca="1" si="59"/>
        <v>0</v>
      </c>
      <c r="BP62" s="10">
        <f t="shared" ca="1" si="59"/>
        <v>0</v>
      </c>
      <c r="BQ62" s="10">
        <f t="shared" ca="1" si="59"/>
        <v>0</v>
      </c>
      <c r="BR62" s="10">
        <f t="shared" ca="1" si="59"/>
        <v>0</v>
      </c>
      <c r="BS62" s="10">
        <f t="shared" ca="1" si="59"/>
        <v>0</v>
      </c>
      <c r="BT62" s="10">
        <f t="shared" ca="1" si="59"/>
        <v>0</v>
      </c>
      <c r="BU62" s="10">
        <f t="shared" ca="1" si="59"/>
        <v>0</v>
      </c>
      <c r="BV62" s="10">
        <f t="shared" ca="1" si="59"/>
        <v>0</v>
      </c>
      <c r="BW62" s="10">
        <f t="shared" ca="1" si="59"/>
        <v>0</v>
      </c>
      <c r="BX62" s="10">
        <f t="shared" ref="BX62:CO62" ca="1" si="60" xml:space="preserve"> (Property_Tax)</f>
        <v>0</v>
      </c>
      <c r="BY62" s="10">
        <f t="shared" ca="1" si="60"/>
        <v>0</v>
      </c>
      <c r="BZ62" s="10">
        <f t="shared" ca="1" si="60"/>
        <v>0</v>
      </c>
      <c r="CA62" s="10">
        <f t="shared" ca="1" si="60"/>
        <v>0</v>
      </c>
      <c r="CB62" s="10">
        <f t="shared" ca="1" si="60"/>
        <v>0</v>
      </c>
      <c r="CC62" s="10">
        <f t="shared" ca="1" si="60"/>
        <v>0</v>
      </c>
      <c r="CD62" s="10">
        <f t="shared" ca="1" si="60"/>
        <v>0</v>
      </c>
      <c r="CE62" s="10">
        <f t="shared" ca="1" si="60"/>
        <v>0</v>
      </c>
      <c r="CF62" s="10">
        <f t="shared" ca="1" si="60"/>
        <v>0</v>
      </c>
      <c r="CG62" s="10">
        <f t="shared" ca="1" si="60"/>
        <v>0</v>
      </c>
      <c r="CH62" s="10">
        <f t="shared" ca="1" si="60"/>
        <v>0</v>
      </c>
      <c r="CI62" s="10">
        <f t="shared" ca="1" si="60"/>
        <v>0</v>
      </c>
      <c r="CJ62" s="10">
        <f t="shared" ca="1" si="60"/>
        <v>0</v>
      </c>
      <c r="CK62" s="10">
        <f t="shared" ca="1" si="60"/>
        <v>0</v>
      </c>
      <c r="CL62" s="10">
        <f t="shared" ca="1" si="60"/>
        <v>0</v>
      </c>
      <c r="CM62" s="10">
        <f t="shared" ca="1" si="60"/>
        <v>0</v>
      </c>
      <c r="CN62" s="10">
        <f t="shared" ca="1" si="60"/>
        <v>0</v>
      </c>
      <c r="CO62" s="10">
        <f t="shared" ca="1" si="60"/>
        <v>0</v>
      </c>
      <c r="CS62" s="47"/>
      <c r="CU62" s="11"/>
      <c r="GB62" s="47"/>
      <c r="GG62" s="47"/>
      <c r="GI62" s="11"/>
      <c r="JP62" s="47"/>
      <c r="JU62" s="47"/>
      <c r="JW62" s="11"/>
      <c r="ND62" s="47"/>
      <c r="NI62" s="47"/>
      <c r="NK62" s="11"/>
      <c r="QR62" s="47"/>
      <c r="QW62" s="47"/>
      <c r="QY62" s="11"/>
      <c r="UF62" s="47"/>
      <c r="UK62" s="47"/>
      <c r="UM62" s="11"/>
      <c r="XT62" s="47"/>
      <c r="XY62" s="47"/>
      <c r="YA62" s="11"/>
      <c r="ABH62" s="47"/>
      <c r="ABM62" s="47"/>
      <c r="ABO62" s="11"/>
      <c r="AEV62" s="47"/>
      <c r="AFA62" s="47"/>
      <c r="AFC62" s="11"/>
      <c r="AIJ62" s="47"/>
      <c r="AIO62" s="47"/>
      <c r="AIQ62" s="11"/>
      <c r="ALX62" s="47"/>
      <c r="AMC62" s="47"/>
      <c r="AME62" s="11"/>
      <c r="APL62" s="47"/>
      <c r="APQ62" s="47"/>
      <c r="APS62" s="11"/>
      <c r="ASZ62" s="47"/>
      <c r="ATE62" s="47"/>
      <c r="ATG62" s="11"/>
      <c r="AWN62" s="47"/>
      <c r="AWS62" s="47"/>
      <c r="AWU62" s="11"/>
      <c r="BAB62" s="47"/>
      <c r="BAG62" s="47"/>
      <c r="BAI62" s="11"/>
      <c r="BDP62" s="47"/>
      <c r="BDU62" s="47"/>
      <c r="BDW62" s="11"/>
      <c r="BHD62" s="47"/>
      <c r="BHI62" s="47"/>
      <c r="BHK62" s="11"/>
      <c r="BKR62" s="47"/>
      <c r="BKW62" s="47"/>
      <c r="BKY62" s="11"/>
      <c r="BOF62" s="47"/>
      <c r="BOK62" s="47"/>
      <c r="BOM62" s="11"/>
      <c r="BRT62" s="47"/>
      <c r="BRY62" s="47"/>
      <c r="BSA62" s="11"/>
      <c r="BVH62" s="47"/>
      <c r="BVM62" s="47"/>
      <c r="BVO62" s="11"/>
      <c r="BYV62" s="47"/>
      <c r="BZA62" s="47"/>
      <c r="BZC62" s="11"/>
      <c r="CCJ62" s="47"/>
      <c r="CCO62" s="47"/>
      <c r="CCQ62" s="11"/>
      <c r="CFX62" s="47"/>
      <c r="CGC62" s="47"/>
      <c r="CGE62" s="11"/>
      <c r="CJL62" s="47"/>
      <c r="CJQ62" s="47"/>
      <c r="CJS62" s="11"/>
      <c r="CMZ62" s="47"/>
      <c r="CNE62" s="47"/>
      <c r="CNG62" s="11"/>
      <c r="CQN62" s="47"/>
      <c r="CQS62" s="47"/>
      <c r="CQU62" s="11"/>
      <c r="CUB62" s="47"/>
      <c r="CUG62" s="47"/>
      <c r="CUI62" s="11"/>
      <c r="CXP62" s="47"/>
      <c r="CXU62" s="47"/>
      <c r="CXW62" s="11"/>
      <c r="DBD62" s="47"/>
      <c r="DBI62" s="47"/>
      <c r="DBK62" s="11"/>
      <c r="DER62" s="47"/>
      <c r="DEW62" s="47"/>
      <c r="DEY62" s="11"/>
      <c r="DIF62" s="47"/>
      <c r="DIK62" s="47"/>
      <c r="DIM62" s="11"/>
      <c r="DLT62" s="47"/>
      <c r="DLY62" s="47"/>
      <c r="DMA62" s="11"/>
      <c r="DPH62" s="47"/>
      <c r="DPM62" s="47"/>
      <c r="DPO62" s="11"/>
      <c r="DSV62" s="47"/>
      <c r="DTA62" s="47"/>
      <c r="DTC62" s="11"/>
      <c r="DWJ62" s="47"/>
      <c r="DWO62" s="47"/>
      <c r="DWQ62" s="11"/>
      <c r="DZX62" s="47"/>
      <c r="EAC62" s="47"/>
      <c r="EAE62" s="11"/>
      <c r="EDL62" s="47"/>
      <c r="EDQ62" s="47"/>
      <c r="EDS62" s="11"/>
      <c r="EGZ62" s="47"/>
      <c r="EHE62" s="47"/>
      <c r="EHG62" s="11"/>
      <c r="EKN62" s="47"/>
      <c r="EKS62" s="47"/>
      <c r="EKU62" s="11"/>
      <c r="EOB62" s="47"/>
      <c r="EOG62" s="47"/>
      <c r="EOI62" s="11"/>
      <c r="ERP62" s="47"/>
      <c r="ERU62" s="47"/>
      <c r="ERW62" s="11"/>
      <c r="EVD62" s="47"/>
      <c r="EVI62" s="47"/>
      <c r="EVK62" s="11"/>
      <c r="EYR62" s="47"/>
      <c r="EYW62" s="47"/>
      <c r="EYY62" s="11"/>
      <c r="FCF62" s="47"/>
      <c r="FCK62" s="47"/>
      <c r="FCM62" s="11"/>
      <c r="FFT62" s="47"/>
      <c r="FFY62" s="47"/>
      <c r="FGA62" s="11"/>
      <c r="FJH62" s="47"/>
      <c r="FJM62" s="47"/>
      <c r="FJO62" s="11"/>
      <c r="FMV62" s="47"/>
      <c r="FNA62" s="47"/>
      <c r="FNC62" s="11"/>
      <c r="FQJ62" s="47"/>
      <c r="FQO62" s="47"/>
      <c r="FQQ62" s="11"/>
      <c r="FTX62" s="47"/>
      <c r="FUC62" s="47"/>
      <c r="FUE62" s="11"/>
      <c r="FXL62" s="47"/>
      <c r="FXQ62" s="47"/>
      <c r="FXS62" s="11"/>
      <c r="GAZ62" s="47"/>
      <c r="GBE62" s="47"/>
      <c r="GBG62" s="11"/>
      <c r="GEN62" s="47"/>
      <c r="GES62" s="47"/>
      <c r="GEU62" s="11"/>
      <c r="GIB62" s="47"/>
      <c r="GIG62" s="47"/>
      <c r="GII62" s="11"/>
      <c r="GLP62" s="47"/>
      <c r="GLU62" s="47"/>
      <c r="GLW62" s="11"/>
      <c r="GPD62" s="47"/>
      <c r="GPI62" s="47"/>
      <c r="GPK62" s="11"/>
      <c r="GSR62" s="47"/>
      <c r="GSW62" s="47"/>
      <c r="GSY62" s="11"/>
      <c r="GWF62" s="47"/>
      <c r="GWK62" s="47"/>
      <c r="GWM62" s="11"/>
      <c r="GZT62" s="47"/>
      <c r="GZY62" s="47"/>
      <c r="HAA62" s="11"/>
      <c r="HDH62" s="47"/>
      <c r="HDM62" s="47"/>
      <c r="HDO62" s="11"/>
      <c r="HGV62" s="47"/>
      <c r="HHA62" s="47"/>
      <c r="HHC62" s="11"/>
      <c r="HKJ62" s="47"/>
      <c r="HKO62" s="47"/>
      <c r="HKQ62" s="11"/>
      <c r="HNX62" s="47"/>
      <c r="HOC62" s="47"/>
      <c r="HOE62" s="11"/>
      <c r="HRL62" s="47"/>
      <c r="HRQ62" s="47"/>
      <c r="HRS62" s="11"/>
      <c r="HUZ62" s="47"/>
      <c r="HVE62" s="47"/>
      <c r="HVG62" s="11"/>
      <c r="HYN62" s="47"/>
      <c r="HYS62" s="47"/>
      <c r="HYU62" s="11"/>
      <c r="ICB62" s="47"/>
      <c r="ICG62" s="47"/>
      <c r="ICI62" s="11"/>
      <c r="IFP62" s="47"/>
      <c r="IFU62" s="47"/>
      <c r="IFW62" s="11"/>
      <c r="IJD62" s="47"/>
      <c r="IJI62" s="47"/>
      <c r="IJK62" s="11"/>
      <c r="IMR62" s="47"/>
      <c r="IMW62" s="47"/>
      <c r="IMY62" s="11"/>
      <c r="IQF62" s="47"/>
      <c r="IQK62" s="47"/>
      <c r="IQM62" s="11"/>
      <c r="ITT62" s="47"/>
      <c r="ITY62" s="47"/>
      <c r="IUA62" s="11"/>
      <c r="IXH62" s="47"/>
      <c r="IXM62" s="47"/>
      <c r="IXO62" s="11"/>
      <c r="JAV62" s="47"/>
      <c r="JBA62" s="47"/>
      <c r="JBC62" s="11"/>
      <c r="JEJ62" s="47"/>
      <c r="JEO62" s="47"/>
      <c r="JEQ62" s="11"/>
      <c r="JHX62" s="47"/>
      <c r="JIC62" s="47"/>
      <c r="JIE62" s="11"/>
      <c r="JLL62" s="47"/>
      <c r="JLQ62" s="47"/>
      <c r="JLS62" s="11"/>
      <c r="JOZ62" s="47"/>
      <c r="JPE62" s="47"/>
      <c r="JPG62" s="11"/>
      <c r="JSN62" s="47"/>
      <c r="JSS62" s="47"/>
      <c r="JSU62" s="11"/>
      <c r="JWB62" s="47"/>
      <c r="JWG62" s="47"/>
      <c r="JWI62" s="11"/>
      <c r="JZP62" s="47"/>
      <c r="JZU62" s="47"/>
      <c r="JZW62" s="11"/>
      <c r="KDD62" s="47"/>
      <c r="KDI62" s="47"/>
      <c r="KDK62" s="11"/>
      <c r="KGR62" s="47"/>
      <c r="KGW62" s="47"/>
      <c r="KGY62" s="11"/>
      <c r="KKF62" s="47"/>
      <c r="KKK62" s="47"/>
      <c r="KKM62" s="11"/>
      <c r="KNT62" s="47"/>
      <c r="KNY62" s="47"/>
      <c r="KOA62" s="11"/>
      <c r="KRH62" s="47"/>
      <c r="KRM62" s="47"/>
      <c r="KRO62" s="11"/>
      <c r="KUV62" s="47"/>
      <c r="KVA62" s="47"/>
      <c r="KVC62" s="11"/>
      <c r="KYJ62" s="47"/>
      <c r="KYO62" s="47"/>
      <c r="KYQ62" s="11"/>
      <c r="LBX62" s="47"/>
      <c r="LCC62" s="47"/>
      <c r="LCE62" s="11"/>
      <c r="LFL62" s="47"/>
      <c r="LFQ62" s="47"/>
      <c r="LFS62" s="11"/>
      <c r="LIZ62" s="47"/>
      <c r="LJE62" s="47"/>
      <c r="LJG62" s="11"/>
      <c r="LMN62" s="47"/>
      <c r="LMS62" s="47"/>
      <c r="LMU62" s="11"/>
      <c r="LQB62" s="47"/>
      <c r="LQG62" s="47"/>
      <c r="LQI62" s="11"/>
      <c r="LTP62" s="47"/>
      <c r="LTU62" s="47"/>
      <c r="LTW62" s="11"/>
      <c r="LXD62" s="47"/>
      <c r="LXI62" s="47"/>
      <c r="LXK62" s="11"/>
      <c r="MAR62" s="47"/>
      <c r="MAW62" s="47"/>
      <c r="MAY62" s="11"/>
      <c r="MEF62" s="47"/>
      <c r="MEK62" s="47"/>
      <c r="MEM62" s="11"/>
      <c r="MHT62" s="47"/>
      <c r="MHY62" s="47"/>
      <c r="MIA62" s="11"/>
      <c r="MLH62" s="47"/>
      <c r="MLM62" s="47"/>
      <c r="MLO62" s="11"/>
      <c r="MOV62" s="47"/>
      <c r="MPA62" s="47"/>
      <c r="MPC62" s="11"/>
      <c r="MSJ62" s="47"/>
      <c r="MSO62" s="47"/>
      <c r="MSQ62" s="11"/>
      <c r="MVX62" s="47"/>
      <c r="MWC62" s="47"/>
      <c r="MWE62" s="11"/>
      <c r="MZL62" s="47"/>
      <c r="MZQ62" s="47"/>
      <c r="MZS62" s="11"/>
      <c r="NCZ62" s="47"/>
      <c r="NDE62" s="47"/>
      <c r="NDG62" s="11"/>
      <c r="NGN62" s="47"/>
      <c r="NGS62" s="47"/>
      <c r="NGU62" s="11"/>
      <c r="NKB62" s="47"/>
      <c r="NKG62" s="47"/>
      <c r="NKI62" s="11"/>
      <c r="NNP62" s="47"/>
      <c r="NNU62" s="47"/>
      <c r="NNW62" s="11"/>
      <c r="NRD62" s="47"/>
      <c r="NRI62" s="47"/>
      <c r="NRK62" s="11"/>
      <c r="NUR62" s="47"/>
      <c r="NUW62" s="47"/>
      <c r="NUY62" s="11"/>
      <c r="NYF62" s="47"/>
      <c r="NYK62" s="47"/>
      <c r="NYM62" s="11"/>
      <c r="OBT62" s="47"/>
      <c r="OBY62" s="47"/>
      <c r="OCA62" s="11"/>
      <c r="OFH62" s="47"/>
      <c r="OFM62" s="47"/>
      <c r="OFO62" s="11"/>
      <c r="OIV62" s="47"/>
      <c r="OJA62" s="47"/>
      <c r="OJC62" s="11"/>
      <c r="OMJ62" s="47"/>
      <c r="OMO62" s="47"/>
      <c r="OMQ62" s="11"/>
      <c r="OPX62" s="47"/>
      <c r="OQC62" s="47"/>
      <c r="OQE62" s="11"/>
      <c r="OTL62" s="47"/>
      <c r="OTQ62" s="47"/>
      <c r="OTS62" s="11"/>
      <c r="OWZ62" s="47"/>
      <c r="OXE62" s="47"/>
      <c r="OXG62" s="11"/>
      <c r="PAN62" s="47"/>
      <c r="PAS62" s="47"/>
      <c r="PAU62" s="11"/>
      <c r="PEB62" s="47"/>
      <c r="PEG62" s="47"/>
      <c r="PEI62" s="11"/>
      <c r="PHP62" s="47"/>
      <c r="PHU62" s="47"/>
      <c r="PHW62" s="11"/>
      <c r="PLD62" s="47"/>
      <c r="PLI62" s="47"/>
      <c r="PLK62" s="11"/>
      <c r="POR62" s="47"/>
      <c r="POW62" s="47"/>
      <c r="POY62" s="11"/>
      <c r="PSF62" s="47"/>
      <c r="PSK62" s="47"/>
      <c r="PSM62" s="11"/>
      <c r="PVT62" s="47"/>
      <c r="PVY62" s="47"/>
      <c r="PWA62" s="11"/>
      <c r="PZH62" s="47"/>
      <c r="PZM62" s="47"/>
      <c r="PZO62" s="11"/>
      <c r="QCV62" s="47"/>
      <c r="QDA62" s="47"/>
      <c r="QDC62" s="11"/>
      <c r="QGJ62" s="47"/>
      <c r="QGO62" s="47"/>
      <c r="QGQ62" s="11"/>
      <c r="QJX62" s="47"/>
      <c r="QKC62" s="47"/>
      <c r="QKE62" s="11"/>
      <c r="QNL62" s="47"/>
      <c r="QNQ62" s="47"/>
      <c r="QNS62" s="11"/>
      <c r="QQZ62" s="47"/>
      <c r="QRE62" s="47"/>
      <c r="QRG62" s="11"/>
      <c r="QUN62" s="47"/>
      <c r="QUS62" s="47"/>
      <c r="QUU62" s="11"/>
      <c r="QYB62" s="47"/>
      <c r="QYG62" s="47"/>
      <c r="QYI62" s="11"/>
      <c r="RBP62" s="47"/>
      <c r="RBU62" s="47"/>
      <c r="RBW62" s="11"/>
      <c r="RFD62" s="47"/>
      <c r="RFI62" s="47"/>
      <c r="RFK62" s="11"/>
      <c r="RIR62" s="47"/>
      <c r="RIW62" s="47"/>
      <c r="RIY62" s="11"/>
      <c r="RMF62" s="47"/>
      <c r="RMK62" s="47"/>
      <c r="RMM62" s="11"/>
      <c r="RPT62" s="47"/>
      <c r="RPY62" s="47"/>
      <c r="RQA62" s="11"/>
      <c r="RTH62" s="47"/>
      <c r="RTM62" s="47"/>
      <c r="RTO62" s="11"/>
      <c r="RWV62" s="47"/>
      <c r="RXA62" s="47"/>
      <c r="RXC62" s="11"/>
      <c r="SAJ62" s="47"/>
      <c r="SAO62" s="47"/>
      <c r="SAQ62" s="11"/>
      <c r="SDX62" s="47"/>
      <c r="SEC62" s="47"/>
      <c r="SEE62" s="11"/>
      <c r="SHL62" s="47"/>
      <c r="SHQ62" s="47"/>
      <c r="SHS62" s="11"/>
      <c r="SKZ62" s="47"/>
      <c r="SLE62" s="47"/>
      <c r="SLG62" s="11"/>
      <c r="SON62" s="47"/>
      <c r="SOS62" s="47"/>
      <c r="SOU62" s="11"/>
      <c r="SSB62" s="47"/>
      <c r="SSG62" s="47"/>
      <c r="SSI62" s="11"/>
      <c r="SVP62" s="47"/>
      <c r="SVU62" s="47"/>
      <c r="SVW62" s="11"/>
      <c r="SZD62" s="47"/>
      <c r="SZI62" s="47"/>
      <c r="SZK62" s="11"/>
      <c r="TCR62" s="47"/>
      <c r="TCW62" s="47"/>
      <c r="TCY62" s="11"/>
      <c r="TGF62" s="47"/>
      <c r="TGK62" s="47"/>
      <c r="TGM62" s="11"/>
      <c r="TJT62" s="47"/>
      <c r="TJY62" s="47"/>
      <c r="TKA62" s="11"/>
      <c r="TNH62" s="47"/>
      <c r="TNM62" s="47"/>
      <c r="TNO62" s="11"/>
      <c r="TQV62" s="47"/>
      <c r="TRA62" s="47"/>
      <c r="TRC62" s="11"/>
      <c r="TUJ62" s="47"/>
      <c r="TUO62" s="47"/>
      <c r="TUQ62" s="11"/>
      <c r="TXX62" s="47"/>
      <c r="TYC62" s="47"/>
      <c r="TYE62" s="11"/>
      <c r="UBL62" s="47"/>
      <c r="UBQ62" s="47"/>
      <c r="UBS62" s="11"/>
      <c r="UEZ62" s="47"/>
      <c r="UFE62" s="47"/>
      <c r="UFG62" s="11"/>
      <c r="UIN62" s="47"/>
      <c r="UIS62" s="47"/>
      <c r="UIU62" s="11"/>
      <c r="UMB62" s="47"/>
      <c r="UMG62" s="47"/>
      <c r="UMI62" s="11"/>
      <c r="UPP62" s="47"/>
      <c r="UPU62" s="47"/>
      <c r="UPW62" s="11"/>
      <c r="UTD62" s="47"/>
      <c r="UTI62" s="47"/>
      <c r="UTK62" s="11"/>
      <c r="UWR62" s="47"/>
      <c r="UWW62" s="47"/>
      <c r="UWY62" s="11"/>
      <c r="VAF62" s="47"/>
      <c r="VAK62" s="47"/>
      <c r="VAM62" s="11"/>
      <c r="VDT62" s="47"/>
      <c r="VDY62" s="47"/>
      <c r="VEA62" s="11"/>
      <c r="VHH62" s="47"/>
      <c r="VHM62" s="47"/>
      <c r="VHO62" s="11"/>
      <c r="VKV62" s="47"/>
      <c r="VLA62" s="47"/>
      <c r="VLC62" s="11"/>
      <c r="VOJ62" s="47"/>
      <c r="VOO62" s="47"/>
      <c r="VOQ62" s="11"/>
      <c r="VRX62" s="47"/>
      <c r="VSC62" s="47"/>
      <c r="VSE62" s="11"/>
      <c r="VVL62" s="47"/>
      <c r="VVQ62" s="47"/>
      <c r="VVS62" s="11"/>
      <c r="VYZ62" s="47"/>
      <c r="VZE62" s="47"/>
      <c r="VZG62" s="11"/>
      <c r="WCN62" s="47"/>
      <c r="WCS62" s="47"/>
      <c r="WCU62" s="11"/>
      <c r="WGB62" s="47"/>
      <c r="WGG62" s="47"/>
      <c r="WGI62" s="11"/>
      <c r="WJP62" s="47"/>
      <c r="WJU62" s="47"/>
      <c r="WJW62" s="11"/>
      <c r="WND62" s="47"/>
      <c r="WNI62" s="47"/>
      <c r="WNK62" s="11"/>
      <c r="WQR62" s="47"/>
      <c r="WQW62" s="47"/>
      <c r="WQY62" s="11"/>
      <c r="WUF62" s="47"/>
      <c r="WUK62" s="47"/>
      <c r="WUM62" s="11"/>
      <c r="WXT62" s="47"/>
      <c r="WXY62" s="47"/>
      <c r="WYA62" s="11"/>
      <c r="XBH62" s="47"/>
      <c r="XBM62" s="47"/>
      <c r="XBO62" s="11"/>
      <c r="XEV62" s="47"/>
      <c r="XFA62" s="47"/>
      <c r="XFC62" s="11"/>
    </row>
    <row r="63" spans="3:1019 1104:2031 2116:3043 3128:4055 4140:5067 5152:6079 6164:7091 7176:8188 8193:9207 9292:10219 10304:11231 11316:12243 12328:13255 13340:14267 14352:15279 15364:16383" s="10" customFormat="1" ht="14.5" customHeight="1">
      <c r="C63" s="17" t="s">
        <v>1034</v>
      </c>
      <c r="E63" s="47"/>
      <c r="G63" s="11" t="str">
        <f t="shared" si="53"/>
        <v>тыс. руб.</v>
      </c>
      <c r="I63" s="23">
        <f t="shared" ca="1" si="54"/>
        <v>3767241.3260369487</v>
      </c>
      <c r="L63" s="10">
        <f ca="1" xml:space="preserve"> SUM(L105)</f>
        <v>0</v>
      </c>
      <c r="M63" s="10">
        <f t="shared" ref="M63:BX63" ca="1" si="61" xml:space="preserve"> SUM(M105)</f>
        <v>0</v>
      </c>
      <c r="N63" s="10">
        <f t="shared" ca="1" si="61"/>
        <v>0</v>
      </c>
      <c r="O63" s="10">
        <f t="shared" ca="1" si="61"/>
        <v>0</v>
      </c>
      <c r="P63" s="10">
        <f t="shared" ca="1" si="61"/>
        <v>0</v>
      </c>
      <c r="Q63" s="10">
        <f t="shared" ca="1" si="61"/>
        <v>0</v>
      </c>
      <c r="R63" s="10">
        <f t="shared" ca="1" si="61"/>
        <v>0</v>
      </c>
      <c r="S63" s="10">
        <f t="shared" ca="1" si="61"/>
        <v>0</v>
      </c>
      <c r="T63" s="10">
        <f t="shared" ca="1" si="61"/>
        <v>0</v>
      </c>
      <c r="U63" s="10">
        <f t="shared" ca="1" si="61"/>
        <v>0</v>
      </c>
      <c r="V63" s="10">
        <f t="shared" ca="1" si="61"/>
        <v>0</v>
      </c>
      <c r="W63" s="10">
        <f t="shared" ca="1" si="61"/>
        <v>0</v>
      </c>
      <c r="X63" s="10">
        <f t="shared" ca="1" si="61"/>
        <v>0</v>
      </c>
      <c r="Y63" s="10">
        <f t="shared" ca="1" si="61"/>
        <v>0</v>
      </c>
      <c r="Z63" s="10">
        <f t="shared" ca="1" si="61"/>
        <v>0</v>
      </c>
      <c r="AA63" s="10">
        <f t="shared" ca="1" si="61"/>
        <v>0</v>
      </c>
      <c r="AB63" s="10">
        <f t="shared" ca="1" si="61"/>
        <v>0</v>
      </c>
      <c r="AC63" s="10">
        <f t="shared" ca="1" si="61"/>
        <v>0</v>
      </c>
      <c r="AD63" s="10">
        <f t="shared" ca="1" si="61"/>
        <v>0</v>
      </c>
      <c r="AE63" s="10">
        <f t="shared" ca="1" si="61"/>
        <v>0</v>
      </c>
      <c r="AF63" s="10">
        <f t="shared" ca="1" si="61"/>
        <v>0</v>
      </c>
      <c r="AG63" s="10">
        <f t="shared" ca="1" si="61"/>
        <v>0</v>
      </c>
      <c r="AH63" s="10">
        <f t="shared" ca="1" si="61"/>
        <v>0</v>
      </c>
      <c r="AI63" s="10">
        <f t="shared" ca="1" si="61"/>
        <v>0</v>
      </c>
      <c r="AJ63" s="10">
        <f t="shared" ca="1" si="61"/>
        <v>0</v>
      </c>
      <c r="AK63" s="10">
        <f t="shared" ca="1" si="61"/>
        <v>0</v>
      </c>
      <c r="AL63" s="10">
        <f t="shared" ca="1" si="61"/>
        <v>0</v>
      </c>
      <c r="AM63" s="10">
        <f t="shared" ca="1" si="61"/>
        <v>0</v>
      </c>
      <c r="AN63" s="10">
        <f t="shared" ca="1" si="61"/>
        <v>0</v>
      </c>
      <c r="AO63" s="10">
        <f t="shared" ca="1" si="61"/>
        <v>0</v>
      </c>
      <c r="AP63" s="10">
        <f t="shared" ca="1" si="61"/>
        <v>0</v>
      </c>
      <c r="AQ63" s="10">
        <f t="shared" ca="1" si="61"/>
        <v>0</v>
      </c>
      <c r="AR63" s="10">
        <f t="shared" ca="1" si="61"/>
        <v>0</v>
      </c>
      <c r="AS63" s="10">
        <f t="shared" ca="1" si="61"/>
        <v>0</v>
      </c>
      <c r="AT63" s="10">
        <f t="shared" ca="1" si="61"/>
        <v>0</v>
      </c>
      <c r="AU63" s="10">
        <f t="shared" ca="1" si="61"/>
        <v>0</v>
      </c>
      <c r="AV63" s="10">
        <f t="shared" ca="1" si="61"/>
        <v>0</v>
      </c>
      <c r="AW63" s="10">
        <f t="shared" ca="1" si="61"/>
        <v>0</v>
      </c>
      <c r="AX63" s="10">
        <f t="shared" ca="1" si="61"/>
        <v>79771.930508875987</v>
      </c>
      <c r="AY63" s="10">
        <f t="shared" ca="1" si="61"/>
        <v>100108.42600259389</v>
      </c>
      <c r="AZ63" s="10">
        <f t="shared" ca="1" si="61"/>
        <v>57237.939196443214</v>
      </c>
      <c r="BA63" s="10">
        <f t="shared" ca="1" si="61"/>
        <v>54296.087583075983</v>
      </c>
      <c r="BB63" s="10">
        <f t="shared" ca="1" si="61"/>
        <v>82962.807729231004</v>
      </c>
      <c r="BC63" s="10">
        <f t="shared" ca="1" si="61"/>
        <v>104112.76304269757</v>
      </c>
      <c r="BD63" s="10">
        <f t="shared" ca="1" si="61"/>
        <v>59527.45676430095</v>
      </c>
      <c r="BE63" s="10">
        <f t="shared" ca="1" si="61"/>
        <v>57095.511384870617</v>
      </c>
      <c r="BF63" s="10">
        <f t="shared" ca="1" si="61"/>
        <v>86281.480445490641</v>
      </c>
      <c r="BG63" s="10">
        <f t="shared" ca="1" si="61"/>
        <v>108277.43733213624</v>
      </c>
      <c r="BH63" s="10">
        <f t="shared" ca="1" si="61"/>
        <v>61908.720416273733</v>
      </c>
      <c r="BI63" s="10">
        <f t="shared" ca="1" si="61"/>
        <v>58726.64832985495</v>
      </c>
      <c r="BJ63" s="10">
        <f t="shared" ca="1" si="61"/>
        <v>89732.572839936212</v>
      </c>
      <c r="BK63" s="10">
        <f t="shared" ca="1" si="61"/>
        <v>112608.36450698166</v>
      </c>
      <c r="BL63" s="10">
        <f t="shared" ca="1" si="61"/>
        <v>64384.897236267891</v>
      </c>
      <c r="BM63" s="10">
        <f t="shared" ca="1" si="61"/>
        <v>61075.714263049151</v>
      </c>
      <c r="BN63" s="10">
        <f t="shared" ca="1" si="61"/>
        <v>93321.875753533677</v>
      </c>
      <c r="BO63" s="10">
        <f t="shared" ca="1" si="61"/>
        <v>117112.69908726096</v>
      </c>
      <c r="BP63" s="10">
        <f t="shared" ca="1" si="61"/>
        <v>66960.29312571857</v>
      </c>
      <c r="BQ63" s="10">
        <f t="shared" ca="1" si="61"/>
        <v>63518.742833571101</v>
      </c>
      <c r="BR63" s="10">
        <f t="shared" ca="1" si="61"/>
        <v>97054.750783674972</v>
      </c>
      <c r="BS63" s="10">
        <f t="shared" ca="1" si="61"/>
        <v>121797.20705075137</v>
      </c>
      <c r="BT63" s="10">
        <f t="shared" ca="1" si="61"/>
        <v>69638.704850747294</v>
      </c>
      <c r="BU63" s="10">
        <f t="shared" ca="1" si="61"/>
        <v>66793.672731168306</v>
      </c>
      <c r="BV63" s="10">
        <f t="shared" ca="1" si="61"/>
        <v>100937.12846862979</v>
      </c>
      <c r="BW63" s="10">
        <f t="shared" ca="1" si="61"/>
        <v>126669.28691786301</v>
      </c>
      <c r="BX63" s="10">
        <f t="shared" ca="1" si="61"/>
        <v>72424.446517624528</v>
      </c>
      <c r="BY63" s="10">
        <f t="shared" ref="BY63:CM63" ca="1" si="62" xml:space="preserve"> SUM(BY105)</f>
        <v>68701.872248790489</v>
      </c>
      <c r="BZ63" s="10">
        <f t="shared" ca="1" si="62"/>
        <v>104974.4184476228</v>
      </c>
      <c r="CA63" s="10">
        <f t="shared" ca="1" si="62"/>
        <v>131735.85914609258</v>
      </c>
      <c r="CB63" s="10">
        <f t="shared" ca="1" si="62"/>
        <v>75321.223166568263</v>
      </c>
      <c r="CC63" s="10">
        <f t="shared" ca="1" si="62"/>
        <v>71449.947138742078</v>
      </c>
      <c r="CD63" s="10">
        <f t="shared" ca="1" si="62"/>
        <v>109173.39518552777</v>
      </c>
      <c r="CE63" s="10">
        <f t="shared" ca="1" si="62"/>
        <v>137005.29351193635</v>
      </c>
      <c r="CF63" s="10">
        <f t="shared" ca="1" si="62"/>
        <v>78334.072093230992</v>
      </c>
      <c r="CG63" s="10">
        <f t="shared" ca="1" si="62"/>
        <v>74307.945024291766</v>
      </c>
      <c r="CH63" s="10">
        <f t="shared" ca="1" si="62"/>
        <v>113540.33099294885</v>
      </c>
      <c r="CI63" s="10">
        <f t="shared" ca="1" si="62"/>
        <v>142485.50525241374</v>
      </c>
      <c r="CJ63" s="10">
        <f t="shared" ca="1" si="62"/>
        <v>81467.434976960256</v>
      </c>
      <c r="CK63" s="10">
        <f t="shared" ca="1" si="62"/>
        <v>78139.149798395767</v>
      </c>
      <c r="CL63" s="10">
        <f t="shared" ca="1" si="62"/>
        <v>118082.16376084623</v>
      </c>
      <c r="CM63" s="10">
        <f t="shared" ca="1" si="62"/>
        <v>148185.14958995799</v>
      </c>
      <c r="CN63" s="10">
        <f t="shared" ref="CN63:CO63" ca="1" si="63" xml:space="preserve"> SUM(CN105)</f>
        <v>84726.358711905224</v>
      </c>
      <c r="CO63" s="10">
        <f t="shared" ca="1" si="63"/>
        <v>80371.473338273994</v>
      </c>
      <c r="CS63" s="47"/>
      <c r="CU63" s="11"/>
      <c r="GB63" s="47"/>
      <c r="GG63" s="47"/>
      <c r="GI63" s="11"/>
      <c r="JP63" s="47"/>
      <c r="JU63" s="47"/>
      <c r="JW63" s="11"/>
      <c r="ND63" s="47"/>
      <c r="NI63" s="47"/>
      <c r="NK63" s="11"/>
      <c r="QR63" s="47"/>
      <c r="QW63" s="47"/>
      <c r="QY63" s="11"/>
      <c r="UF63" s="47"/>
      <c r="UK63" s="47"/>
      <c r="UM63" s="11"/>
      <c r="XT63" s="47"/>
      <c r="XY63" s="47"/>
      <c r="YA63" s="11"/>
      <c r="ABH63" s="47"/>
      <c r="ABM63" s="47"/>
      <c r="ABO63" s="11"/>
      <c r="AEV63" s="47"/>
      <c r="AFA63" s="47"/>
      <c r="AFC63" s="11"/>
      <c r="AIJ63" s="47"/>
      <c r="AIO63" s="47"/>
      <c r="AIQ63" s="11"/>
      <c r="ALX63" s="47"/>
      <c r="AMC63" s="47"/>
      <c r="AME63" s="11"/>
      <c r="APL63" s="47"/>
      <c r="APQ63" s="47"/>
      <c r="APS63" s="11"/>
      <c r="ASZ63" s="47"/>
      <c r="ATE63" s="47"/>
      <c r="ATG63" s="11"/>
      <c r="AWN63" s="47"/>
      <c r="AWS63" s="47"/>
      <c r="AWU63" s="11"/>
      <c r="BAB63" s="47"/>
      <c r="BAG63" s="47"/>
      <c r="BAI63" s="11"/>
      <c r="BDP63" s="47"/>
      <c r="BDU63" s="47"/>
      <c r="BDW63" s="11"/>
      <c r="BHD63" s="47"/>
      <c r="BHI63" s="47"/>
      <c r="BHK63" s="11"/>
      <c r="BKR63" s="47"/>
      <c r="BKW63" s="47"/>
      <c r="BKY63" s="11"/>
      <c r="BOF63" s="47"/>
      <c r="BOK63" s="47"/>
      <c r="BOM63" s="11"/>
      <c r="BRT63" s="47"/>
      <c r="BRY63" s="47"/>
      <c r="BSA63" s="11"/>
      <c r="BVH63" s="47"/>
      <c r="BVM63" s="47"/>
      <c r="BVO63" s="11"/>
      <c r="BYV63" s="47"/>
      <c r="BZA63" s="47"/>
      <c r="BZC63" s="11"/>
      <c r="CCJ63" s="47"/>
      <c r="CCO63" s="47"/>
      <c r="CCQ63" s="11"/>
      <c r="CFX63" s="47"/>
      <c r="CGC63" s="47"/>
      <c r="CGE63" s="11"/>
      <c r="CJL63" s="47"/>
      <c r="CJQ63" s="47"/>
      <c r="CJS63" s="11"/>
      <c r="CMZ63" s="47"/>
      <c r="CNE63" s="47"/>
      <c r="CNG63" s="11"/>
      <c r="CQN63" s="47"/>
      <c r="CQS63" s="47"/>
      <c r="CQU63" s="11"/>
      <c r="CUB63" s="47"/>
      <c r="CUG63" s="47"/>
      <c r="CUI63" s="11"/>
      <c r="CXP63" s="47"/>
      <c r="CXU63" s="47"/>
      <c r="CXW63" s="11"/>
      <c r="DBD63" s="47"/>
      <c r="DBI63" s="47"/>
      <c r="DBK63" s="11"/>
      <c r="DER63" s="47"/>
      <c r="DEW63" s="47"/>
      <c r="DEY63" s="11"/>
      <c r="DIF63" s="47"/>
      <c r="DIK63" s="47"/>
      <c r="DIM63" s="11"/>
      <c r="DLT63" s="47"/>
      <c r="DLY63" s="47"/>
      <c r="DMA63" s="11"/>
      <c r="DPH63" s="47"/>
      <c r="DPM63" s="47"/>
      <c r="DPO63" s="11"/>
      <c r="DSV63" s="47"/>
      <c r="DTA63" s="47"/>
      <c r="DTC63" s="11"/>
      <c r="DWJ63" s="47"/>
      <c r="DWO63" s="47"/>
      <c r="DWQ63" s="11"/>
      <c r="DZX63" s="47"/>
      <c r="EAC63" s="47"/>
      <c r="EAE63" s="11"/>
      <c r="EDL63" s="47"/>
      <c r="EDQ63" s="47"/>
      <c r="EDS63" s="11"/>
      <c r="EGZ63" s="47"/>
      <c r="EHE63" s="47"/>
      <c r="EHG63" s="11"/>
      <c r="EKN63" s="47"/>
      <c r="EKS63" s="47"/>
      <c r="EKU63" s="11"/>
      <c r="EOB63" s="47"/>
      <c r="EOG63" s="47"/>
      <c r="EOI63" s="11"/>
      <c r="ERP63" s="47"/>
      <c r="ERU63" s="47"/>
      <c r="ERW63" s="11"/>
      <c r="EVD63" s="47"/>
      <c r="EVI63" s="47"/>
      <c r="EVK63" s="11"/>
      <c r="EYR63" s="47"/>
      <c r="EYW63" s="47"/>
      <c r="EYY63" s="11"/>
      <c r="FCF63" s="47"/>
      <c r="FCK63" s="47"/>
      <c r="FCM63" s="11"/>
      <c r="FFT63" s="47"/>
      <c r="FFY63" s="47"/>
      <c r="FGA63" s="11"/>
      <c r="FJH63" s="47"/>
      <c r="FJM63" s="47"/>
      <c r="FJO63" s="11"/>
      <c r="FMV63" s="47"/>
      <c r="FNA63" s="47"/>
      <c r="FNC63" s="11"/>
      <c r="FQJ63" s="47"/>
      <c r="FQO63" s="47"/>
      <c r="FQQ63" s="11"/>
      <c r="FTX63" s="47"/>
      <c r="FUC63" s="47"/>
      <c r="FUE63" s="11"/>
      <c r="FXL63" s="47"/>
      <c r="FXQ63" s="47"/>
      <c r="FXS63" s="11"/>
      <c r="GAZ63" s="47"/>
      <c r="GBE63" s="47"/>
      <c r="GBG63" s="11"/>
      <c r="GEN63" s="47"/>
      <c r="GES63" s="47"/>
      <c r="GEU63" s="11"/>
      <c r="GIB63" s="47"/>
      <c r="GIG63" s="47"/>
      <c r="GII63" s="11"/>
      <c r="GLP63" s="47"/>
      <c r="GLU63" s="47"/>
      <c r="GLW63" s="11"/>
      <c r="GPD63" s="47"/>
      <c r="GPI63" s="47"/>
      <c r="GPK63" s="11"/>
      <c r="GSR63" s="47"/>
      <c r="GSW63" s="47"/>
      <c r="GSY63" s="11"/>
      <c r="GWF63" s="47"/>
      <c r="GWK63" s="47"/>
      <c r="GWM63" s="11"/>
      <c r="GZT63" s="47"/>
      <c r="GZY63" s="47"/>
      <c r="HAA63" s="11"/>
      <c r="HDH63" s="47"/>
      <c r="HDM63" s="47"/>
      <c r="HDO63" s="11"/>
      <c r="HGV63" s="47"/>
      <c r="HHA63" s="47"/>
      <c r="HHC63" s="11"/>
      <c r="HKJ63" s="47"/>
      <c r="HKO63" s="47"/>
      <c r="HKQ63" s="11"/>
      <c r="HNX63" s="47"/>
      <c r="HOC63" s="47"/>
      <c r="HOE63" s="11"/>
      <c r="HRL63" s="47"/>
      <c r="HRQ63" s="47"/>
      <c r="HRS63" s="11"/>
      <c r="HUZ63" s="47"/>
      <c r="HVE63" s="47"/>
      <c r="HVG63" s="11"/>
      <c r="HYN63" s="47"/>
      <c r="HYS63" s="47"/>
      <c r="HYU63" s="11"/>
      <c r="ICB63" s="47"/>
      <c r="ICG63" s="47"/>
      <c r="ICI63" s="11"/>
      <c r="IFP63" s="47"/>
      <c r="IFU63" s="47"/>
      <c r="IFW63" s="11"/>
      <c r="IJD63" s="47"/>
      <c r="IJI63" s="47"/>
      <c r="IJK63" s="11"/>
      <c r="IMR63" s="47"/>
      <c r="IMW63" s="47"/>
      <c r="IMY63" s="11"/>
      <c r="IQF63" s="47"/>
      <c r="IQK63" s="47"/>
      <c r="IQM63" s="11"/>
      <c r="ITT63" s="47"/>
      <c r="ITY63" s="47"/>
      <c r="IUA63" s="11"/>
      <c r="IXH63" s="47"/>
      <c r="IXM63" s="47"/>
      <c r="IXO63" s="11"/>
      <c r="JAV63" s="47"/>
      <c r="JBA63" s="47"/>
      <c r="JBC63" s="11"/>
      <c r="JEJ63" s="47"/>
      <c r="JEO63" s="47"/>
      <c r="JEQ63" s="11"/>
      <c r="JHX63" s="47"/>
      <c r="JIC63" s="47"/>
      <c r="JIE63" s="11"/>
      <c r="JLL63" s="47"/>
      <c r="JLQ63" s="47"/>
      <c r="JLS63" s="11"/>
      <c r="JOZ63" s="47"/>
      <c r="JPE63" s="47"/>
      <c r="JPG63" s="11"/>
      <c r="JSN63" s="47"/>
      <c r="JSS63" s="47"/>
      <c r="JSU63" s="11"/>
      <c r="JWB63" s="47"/>
      <c r="JWG63" s="47"/>
      <c r="JWI63" s="11"/>
      <c r="JZP63" s="47"/>
      <c r="JZU63" s="47"/>
      <c r="JZW63" s="11"/>
      <c r="KDD63" s="47"/>
      <c r="KDI63" s="47"/>
      <c r="KDK63" s="11"/>
      <c r="KGR63" s="47"/>
      <c r="KGW63" s="47"/>
      <c r="KGY63" s="11"/>
      <c r="KKF63" s="47"/>
      <c r="KKK63" s="47"/>
      <c r="KKM63" s="11"/>
      <c r="KNT63" s="47"/>
      <c r="KNY63" s="47"/>
      <c r="KOA63" s="11"/>
      <c r="KRH63" s="47"/>
      <c r="KRM63" s="47"/>
      <c r="KRO63" s="11"/>
      <c r="KUV63" s="47"/>
      <c r="KVA63" s="47"/>
      <c r="KVC63" s="11"/>
      <c r="KYJ63" s="47"/>
      <c r="KYO63" s="47"/>
      <c r="KYQ63" s="11"/>
      <c r="LBX63" s="47"/>
      <c r="LCC63" s="47"/>
      <c r="LCE63" s="11"/>
      <c r="LFL63" s="47"/>
      <c r="LFQ63" s="47"/>
      <c r="LFS63" s="11"/>
      <c r="LIZ63" s="47"/>
      <c r="LJE63" s="47"/>
      <c r="LJG63" s="11"/>
      <c r="LMN63" s="47"/>
      <c r="LMS63" s="47"/>
      <c r="LMU63" s="11"/>
      <c r="LQB63" s="47"/>
      <c r="LQG63" s="47"/>
      <c r="LQI63" s="11"/>
      <c r="LTP63" s="47"/>
      <c r="LTU63" s="47"/>
      <c r="LTW63" s="11"/>
      <c r="LXD63" s="47"/>
      <c r="LXI63" s="47"/>
      <c r="LXK63" s="11"/>
      <c r="MAR63" s="47"/>
      <c r="MAW63" s="47"/>
      <c r="MAY63" s="11"/>
      <c r="MEF63" s="47"/>
      <c r="MEK63" s="47"/>
      <c r="MEM63" s="11"/>
      <c r="MHT63" s="47"/>
      <c r="MHY63" s="47"/>
      <c r="MIA63" s="11"/>
      <c r="MLH63" s="47"/>
      <c r="MLM63" s="47"/>
      <c r="MLO63" s="11"/>
      <c r="MOV63" s="47"/>
      <c r="MPA63" s="47"/>
      <c r="MPC63" s="11"/>
      <c r="MSJ63" s="47"/>
      <c r="MSO63" s="47"/>
      <c r="MSQ63" s="11"/>
      <c r="MVX63" s="47"/>
      <c r="MWC63" s="47"/>
      <c r="MWE63" s="11"/>
      <c r="MZL63" s="47"/>
      <c r="MZQ63" s="47"/>
      <c r="MZS63" s="11"/>
      <c r="NCZ63" s="47"/>
      <c r="NDE63" s="47"/>
      <c r="NDG63" s="11"/>
      <c r="NGN63" s="47"/>
      <c r="NGS63" s="47"/>
      <c r="NGU63" s="11"/>
      <c r="NKB63" s="47"/>
      <c r="NKG63" s="47"/>
      <c r="NKI63" s="11"/>
      <c r="NNP63" s="47"/>
      <c r="NNU63" s="47"/>
      <c r="NNW63" s="11"/>
      <c r="NRD63" s="47"/>
      <c r="NRI63" s="47"/>
      <c r="NRK63" s="11"/>
      <c r="NUR63" s="47"/>
      <c r="NUW63" s="47"/>
      <c r="NUY63" s="11"/>
      <c r="NYF63" s="47"/>
      <c r="NYK63" s="47"/>
      <c r="NYM63" s="11"/>
      <c r="OBT63" s="47"/>
      <c r="OBY63" s="47"/>
      <c r="OCA63" s="11"/>
      <c r="OFH63" s="47"/>
      <c r="OFM63" s="47"/>
      <c r="OFO63" s="11"/>
      <c r="OIV63" s="47"/>
      <c r="OJA63" s="47"/>
      <c r="OJC63" s="11"/>
      <c r="OMJ63" s="47"/>
      <c r="OMO63" s="47"/>
      <c r="OMQ63" s="11"/>
      <c r="OPX63" s="47"/>
      <c r="OQC63" s="47"/>
      <c r="OQE63" s="11"/>
      <c r="OTL63" s="47"/>
      <c r="OTQ63" s="47"/>
      <c r="OTS63" s="11"/>
      <c r="OWZ63" s="47"/>
      <c r="OXE63" s="47"/>
      <c r="OXG63" s="11"/>
      <c r="PAN63" s="47"/>
      <c r="PAS63" s="47"/>
      <c r="PAU63" s="11"/>
      <c r="PEB63" s="47"/>
      <c r="PEG63" s="47"/>
      <c r="PEI63" s="11"/>
      <c r="PHP63" s="47"/>
      <c r="PHU63" s="47"/>
      <c r="PHW63" s="11"/>
      <c r="PLD63" s="47"/>
      <c r="PLI63" s="47"/>
      <c r="PLK63" s="11"/>
      <c r="POR63" s="47"/>
      <c r="POW63" s="47"/>
      <c r="POY63" s="11"/>
      <c r="PSF63" s="47"/>
      <c r="PSK63" s="47"/>
      <c r="PSM63" s="11"/>
      <c r="PVT63" s="47"/>
      <c r="PVY63" s="47"/>
      <c r="PWA63" s="11"/>
      <c r="PZH63" s="47"/>
      <c r="PZM63" s="47"/>
      <c r="PZO63" s="11"/>
      <c r="QCV63" s="47"/>
      <c r="QDA63" s="47"/>
      <c r="QDC63" s="11"/>
      <c r="QGJ63" s="47"/>
      <c r="QGO63" s="47"/>
      <c r="QGQ63" s="11"/>
      <c r="QJX63" s="47"/>
      <c r="QKC63" s="47"/>
      <c r="QKE63" s="11"/>
      <c r="QNL63" s="47"/>
      <c r="QNQ63" s="47"/>
      <c r="QNS63" s="11"/>
      <c r="QQZ63" s="47"/>
      <c r="QRE63" s="47"/>
      <c r="QRG63" s="11"/>
      <c r="QUN63" s="47"/>
      <c r="QUS63" s="47"/>
      <c r="QUU63" s="11"/>
      <c r="QYB63" s="47"/>
      <c r="QYG63" s="47"/>
      <c r="QYI63" s="11"/>
      <c r="RBP63" s="47"/>
      <c r="RBU63" s="47"/>
      <c r="RBW63" s="11"/>
      <c r="RFD63" s="47"/>
      <c r="RFI63" s="47"/>
      <c r="RFK63" s="11"/>
      <c r="RIR63" s="47"/>
      <c r="RIW63" s="47"/>
      <c r="RIY63" s="11"/>
      <c r="RMF63" s="47"/>
      <c r="RMK63" s="47"/>
      <c r="RMM63" s="11"/>
      <c r="RPT63" s="47"/>
      <c r="RPY63" s="47"/>
      <c r="RQA63" s="11"/>
      <c r="RTH63" s="47"/>
      <c r="RTM63" s="47"/>
      <c r="RTO63" s="11"/>
      <c r="RWV63" s="47"/>
      <c r="RXA63" s="47"/>
      <c r="RXC63" s="11"/>
      <c r="SAJ63" s="47"/>
      <c r="SAO63" s="47"/>
      <c r="SAQ63" s="11"/>
      <c r="SDX63" s="47"/>
      <c r="SEC63" s="47"/>
      <c r="SEE63" s="11"/>
      <c r="SHL63" s="47"/>
      <c r="SHQ63" s="47"/>
      <c r="SHS63" s="11"/>
      <c r="SKZ63" s="47"/>
      <c r="SLE63" s="47"/>
      <c r="SLG63" s="11"/>
      <c r="SON63" s="47"/>
      <c r="SOS63" s="47"/>
      <c r="SOU63" s="11"/>
      <c r="SSB63" s="47"/>
      <c r="SSG63" s="47"/>
      <c r="SSI63" s="11"/>
      <c r="SVP63" s="47"/>
      <c r="SVU63" s="47"/>
      <c r="SVW63" s="11"/>
      <c r="SZD63" s="47"/>
      <c r="SZI63" s="47"/>
      <c r="SZK63" s="11"/>
      <c r="TCR63" s="47"/>
      <c r="TCW63" s="47"/>
      <c r="TCY63" s="11"/>
      <c r="TGF63" s="47"/>
      <c r="TGK63" s="47"/>
      <c r="TGM63" s="11"/>
      <c r="TJT63" s="47"/>
      <c r="TJY63" s="47"/>
      <c r="TKA63" s="11"/>
      <c r="TNH63" s="47"/>
      <c r="TNM63" s="47"/>
      <c r="TNO63" s="11"/>
      <c r="TQV63" s="47"/>
      <c r="TRA63" s="47"/>
      <c r="TRC63" s="11"/>
      <c r="TUJ63" s="47"/>
      <c r="TUO63" s="47"/>
      <c r="TUQ63" s="11"/>
      <c r="TXX63" s="47"/>
      <c r="TYC63" s="47"/>
      <c r="TYE63" s="11"/>
      <c r="UBL63" s="47"/>
      <c r="UBQ63" s="47"/>
      <c r="UBS63" s="11"/>
      <c r="UEZ63" s="47"/>
      <c r="UFE63" s="47"/>
      <c r="UFG63" s="11"/>
      <c r="UIN63" s="47"/>
      <c r="UIS63" s="47"/>
      <c r="UIU63" s="11"/>
      <c r="UMB63" s="47"/>
      <c r="UMG63" s="47"/>
      <c r="UMI63" s="11"/>
      <c r="UPP63" s="47"/>
      <c r="UPU63" s="47"/>
      <c r="UPW63" s="11"/>
      <c r="UTD63" s="47"/>
      <c r="UTI63" s="47"/>
      <c r="UTK63" s="11"/>
      <c r="UWR63" s="47"/>
      <c r="UWW63" s="47"/>
      <c r="UWY63" s="11"/>
      <c r="VAF63" s="47"/>
      <c r="VAK63" s="47"/>
      <c r="VAM63" s="11"/>
      <c r="VDT63" s="47"/>
      <c r="VDY63" s="47"/>
      <c r="VEA63" s="11"/>
      <c r="VHH63" s="47"/>
      <c r="VHM63" s="47"/>
      <c r="VHO63" s="11"/>
      <c r="VKV63" s="47"/>
      <c r="VLA63" s="47"/>
      <c r="VLC63" s="11"/>
      <c r="VOJ63" s="47"/>
      <c r="VOO63" s="47"/>
      <c r="VOQ63" s="11"/>
      <c r="VRX63" s="47"/>
      <c r="VSC63" s="47"/>
      <c r="VSE63" s="11"/>
      <c r="VVL63" s="47"/>
      <c r="VVQ63" s="47"/>
      <c r="VVS63" s="11"/>
      <c r="VYZ63" s="47"/>
      <c r="VZE63" s="47"/>
      <c r="VZG63" s="11"/>
      <c r="WCN63" s="47"/>
      <c r="WCS63" s="47"/>
      <c r="WCU63" s="11"/>
      <c r="WGB63" s="47"/>
      <c r="WGG63" s="47"/>
      <c r="WGI63" s="11"/>
      <c r="WJP63" s="47"/>
      <c r="WJU63" s="47"/>
      <c r="WJW63" s="11"/>
      <c r="WND63" s="47"/>
      <c r="WNI63" s="47"/>
      <c r="WNK63" s="11"/>
      <c r="WQR63" s="47"/>
      <c r="WQW63" s="47"/>
      <c r="WQY63" s="11"/>
      <c r="WUF63" s="47"/>
      <c r="WUK63" s="47"/>
      <c r="WUM63" s="11"/>
      <c r="WXT63" s="47"/>
      <c r="WXY63" s="47"/>
      <c r="WYA63" s="11"/>
      <c r="XBH63" s="47"/>
      <c r="XBM63" s="47"/>
      <c r="XBO63" s="11"/>
      <c r="XEV63" s="47"/>
      <c r="XFA63" s="47"/>
      <c r="XFC63" s="11"/>
    </row>
    <row r="64" spans="3:1019 1104:2031 2116:3043 3128:4055 4140:5067 5152:6079 6164:7091 7176:8188 8193:9207 9292:10219 10304:11231 11316:12243 12328:13255 13340:14267 14352:15279 15364:16383" s="10" customFormat="1" ht="14.5" customHeight="1">
      <c r="C64" s="17" t="s">
        <v>1035</v>
      </c>
      <c r="E64" s="47"/>
      <c r="G64" s="11" t="str">
        <f t="shared" si="53"/>
        <v>тыс. руб.</v>
      </c>
      <c r="I64" s="23">
        <f t="shared" ca="1" si="54"/>
        <v>2627470.2826554906</v>
      </c>
      <c r="L64" s="10">
        <f ca="1" xml:space="preserve"> L120</f>
        <v>0</v>
      </c>
      <c r="M64" s="10">
        <f t="shared" ref="M64:BX64" ca="1" si="64" xml:space="preserve"> M120</f>
        <v>0</v>
      </c>
      <c r="N64" s="10">
        <f t="shared" ca="1" si="64"/>
        <v>0</v>
      </c>
      <c r="O64" s="10">
        <f t="shared" ca="1" si="64"/>
        <v>0</v>
      </c>
      <c r="P64" s="10">
        <f t="shared" ca="1" si="64"/>
        <v>0</v>
      </c>
      <c r="Q64" s="10">
        <f t="shared" ca="1" si="64"/>
        <v>0</v>
      </c>
      <c r="R64" s="10">
        <f t="shared" ca="1" si="64"/>
        <v>0</v>
      </c>
      <c r="S64" s="10">
        <f t="shared" ca="1" si="64"/>
        <v>0</v>
      </c>
      <c r="T64" s="10">
        <f t="shared" ca="1" si="64"/>
        <v>0</v>
      </c>
      <c r="U64" s="10">
        <f t="shared" ca="1" si="64"/>
        <v>0</v>
      </c>
      <c r="V64" s="10">
        <f t="shared" ca="1" si="64"/>
        <v>0</v>
      </c>
      <c r="W64" s="10">
        <f t="shared" ca="1" si="64"/>
        <v>0</v>
      </c>
      <c r="X64" s="10">
        <f t="shared" ca="1" si="64"/>
        <v>0</v>
      </c>
      <c r="Y64" s="10">
        <f t="shared" ca="1" si="64"/>
        <v>0</v>
      </c>
      <c r="Z64" s="10">
        <f t="shared" ca="1" si="64"/>
        <v>0</v>
      </c>
      <c r="AA64" s="10">
        <f t="shared" ca="1" si="64"/>
        <v>0</v>
      </c>
      <c r="AB64" s="10">
        <f t="shared" ca="1" si="64"/>
        <v>0</v>
      </c>
      <c r="AC64" s="10">
        <f t="shared" ca="1" si="64"/>
        <v>23741.101160708688</v>
      </c>
      <c r="AD64" s="10">
        <f t="shared" ca="1" si="64"/>
        <v>30893.03615280645</v>
      </c>
      <c r="AE64" s="10">
        <f t="shared" ca="1" si="64"/>
        <v>18301.976061650363</v>
      </c>
      <c r="AF64" s="10">
        <f t="shared" ca="1" si="64"/>
        <v>17960.704200762324</v>
      </c>
      <c r="AG64" s="10">
        <f t="shared" ca="1" si="64"/>
        <v>28348.633385972164</v>
      </c>
      <c r="AH64" s="10">
        <f t="shared" ca="1" si="64"/>
        <v>36718.580113049968</v>
      </c>
      <c r="AI64" s="10">
        <f t="shared" ca="1" si="64"/>
        <v>21659.442015028981</v>
      </c>
      <c r="AJ64" s="10">
        <f t="shared" ca="1" si="64"/>
        <v>21169.683351298532</v>
      </c>
      <c r="AK64" s="10">
        <f t="shared" ca="1" si="64"/>
        <v>33286.782427399579</v>
      </c>
      <c r="AL64" s="10">
        <f t="shared" ca="1" si="64"/>
        <v>42960.738732268466</v>
      </c>
      <c r="AM64" s="10">
        <f t="shared" ca="1" si="64"/>
        <v>25256.222082979257</v>
      </c>
      <c r="AN64" s="10">
        <f t="shared" ca="1" si="64"/>
        <v>24880.050859458152</v>
      </c>
      <c r="AO64" s="10">
        <f t="shared" ca="1" si="64"/>
        <v>38574.625578723593</v>
      </c>
      <c r="AP64" s="10">
        <f t="shared" ca="1" si="64"/>
        <v>48402.432305022441</v>
      </c>
      <c r="AQ64" s="10">
        <f t="shared" ca="1" si="64"/>
        <v>27686.280207719945</v>
      </c>
      <c r="AR64" s="10">
        <f t="shared" ca="1" si="64"/>
        <v>26264.354441112198</v>
      </c>
      <c r="AS64" s="10">
        <f t="shared" ca="1" si="64"/>
        <v>40117.610601872533</v>
      </c>
      <c r="AT64" s="10">
        <f t="shared" ca="1" si="64"/>
        <v>50338.529597223343</v>
      </c>
      <c r="AU64" s="10">
        <f t="shared" ca="1" si="64"/>
        <v>28793.731416028735</v>
      </c>
      <c r="AV64" s="10">
        <f t="shared" ca="1" si="64"/>
        <v>27314.928618756676</v>
      </c>
      <c r="AW64" s="10">
        <f t="shared" ca="1" si="64"/>
        <v>41722.31502594745</v>
      </c>
      <c r="AX64" s="10">
        <f t="shared" ca="1" si="64"/>
        <v>52352.070781112263</v>
      </c>
      <c r="AY64" s="10">
        <f t="shared" ca="1" si="64"/>
        <v>29945.480672669892</v>
      </c>
      <c r="AZ64" s="10">
        <f t="shared" ca="1" si="64"/>
        <v>28407.525763506939</v>
      </c>
      <c r="BA64" s="10">
        <f t="shared" ca="1" si="64"/>
        <v>43391.207626985328</v>
      </c>
      <c r="BB64" s="10">
        <f t="shared" ca="1" si="64"/>
        <v>54446.153612356749</v>
      </c>
      <c r="BC64" s="10">
        <f t="shared" ca="1" si="64"/>
        <v>31143.299899576676</v>
      </c>
      <c r="BD64" s="10">
        <f t="shared" ca="1" si="64"/>
        <v>29872.091536203297</v>
      </c>
      <c r="BE64" s="10">
        <f t="shared" ca="1" si="64"/>
        <v>45126.855932064733</v>
      </c>
      <c r="BF64" s="10">
        <f t="shared" ca="1" si="64"/>
        <v>56623.999756851001</v>
      </c>
      <c r="BG64" s="10">
        <f t="shared" ca="1" si="64"/>
        <v>32389.031895559739</v>
      </c>
      <c r="BH64" s="10">
        <f t="shared" ca="1" si="64"/>
        <v>30725.579865809093</v>
      </c>
      <c r="BI64" s="10">
        <f t="shared" ca="1" si="64"/>
        <v>46931.930169347317</v>
      </c>
      <c r="BJ64" s="10">
        <f t="shared" ca="1" si="64"/>
        <v>58888.959747125038</v>
      </c>
      <c r="BK64" s="10">
        <f t="shared" ca="1" si="64"/>
        <v>33684.593171382126</v>
      </c>
      <c r="BL64" s="10">
        <f t="shared" ca="1" si="64"/>
        <v>31954.603060441463</v>
      </c>
      <c r="BM64" s="10">
        <f t="shared" ca="1" si="64"/>
        <v>48809.207376121209</v>
      </c>
      <c r="BN64" s="10">
        <f t="shared" ca="1" si="64"/>
        <v>61244.51813701004</v>
      </c>
      <c r="BO64" s="10">
        <f t="shared" ca="1" si="64"/>
        <v>35031.976898237393</v>
      </c>
      <c r="BP64" s="10">
        <f t="shared" ca="1" si="64"/>
        <v>33232.787182859116</v>
      </c>
      <c r="BQ64" s="10">
        <f t="shared" ca="1" si="64"/>
        <v>50761.575671166043</v>
      </c>
      <c r="BR64" s="10">
        <f t="shared" ca="1" si="64"/>
        <v>63694.298862490432</v>
      </c>
      <c r="BS64" s="10">
        <f t="shared" ca="1" si="64"/>
        <v>36433.255974166881</v>
      </c>
      <c r="BT64" s="10">
        <f t="shared" ca="1" si="64"/>
        <v>34946.121988730956</v>
      </c>
      <c r="BU64" s="10">
        <f t="shared" ca="1" si="64"/>
        <v>52792.038698012671</v>
      </c>
      <c r="BV64" s="10">
        <f t="shared" ca="1" si="64"/>
        <v>66242.070816990017</v>
      </c>
      <c r="BW64" s="10">
        <f t="shared" ca="1" si="64"/>
        <v>37890.586213133553</v>
      </c>
      <c r="BX64" s="10">
        <f t="shared" ca="1" si="64"/>
        <v>35944.582616980399</v>
      </c>
      <c r="BY64" s="10">
        <f t="shared" ref="BY64:CM64" ca="1" si="65" xml:space="preserve"> BY120</f>
        <v>54903.72024593316</v>
      </c>
      <c r="BZ64" s="10">
        <f t="shared" ca="1" si="65"/>
        <v>68891.753649669627</v>
      </c>
      <c r="CA64" s="10">
        <f t="shared" ca="1" si="65"/>
        <v>39406.20966165889</v>
      </c>
      <c r="CB64" s="10">
        <f t="shared" ca="1" si="65"/>
        <v>37382.365921659621</v>
      </c>
      <c r="CC64" s="10">
        <f t="shared" ca="1" si="65"/>
        <v>57099.869055770498</v>
      </c>
      <c r="CD64" s="10">
        <f t="shared" ca="1" si="65"/>
        <v>71647.423795656388</v>
      </c>
      <c r="CE64" s="10">
        <f t="shared" ca="1" si="65"/>
        <v>40982.458048125241</v>
      </c>
      <c r="CF64" s="10">
        <f t="shared" ca="1" si="65"/>
        <v>38877.660558525997</v>
      </c>
      <c r="CG64" s="10">
        <f t="shared" ca="1" si="65"/>
        <v>59383.863818001322</v>
      </c>
      <c r="CH64" s="10">
        <f t="shared" ca="1" si="65"/>
        <v>74513.320747482634</v>
      </c>
      <c r="CI64" s="10">
        <f t="shared" ca="1" si="65"/>
        <v>42621.756370050265</v>
      </c>
      <c r="CJ64" s="10">
        <f t="shared" ca="1" si="65"/>
        <v>40882.019947321118</v>
      </c>
      <c r="CK64" s="10">
        <f t="shared" ca="1" si="65"/>
        <v>61759.218370721363</v>
      </c>
      <c r="CL64" s="10">
        <f t="shared" ca="1" si="65"/>
        <v>77493.853577381946</v>
      </c>
      <c r="CM64" s="10">
        <f t="shared" ca="1" si="65"/>
        <v>44326.626624852266</v>
      </c>
      <c r="CN64" s="10">
        <f t="shared" ref="CN64:CO64" ca="1" si="66" xml:space="preserve"> CN120</f>
        <v>42050.077660101713</v>
      </c>
      <c r="CO64" s="10">
        <f t="shared" ca="1" si="66"/>
        <v>64229.587105550199</v>
      </c>
      <c r="CS64" s="47"/>
      <c r="CU64" s="11"/>
      <c r="GB64" s="47"/>
      <c r="GG64" s="47"/>
      <c r="GI64" s="11"/>
      <c r="JP64" s="47"/>
      <c r="JU64" s="47"/>
      <c r="JW64" s="11"/>
      <c r="ND64" s="47"/>
      <c r="NI64" s="47"/>
      <c r="NK64" s="11"/>
      <c r="QR64" s="47"/>
      <c r="QW64" s="47"/>
      <c r="QY64" s="11"/>
      <c r="UF64" s="47"/>
      <c r="UK64" s="47"/>
      <c r="UM64" s="11"/>
      <c r="XT64" s="47"/>
      <c r="XY64" s="47"/>
      <c r="YA64" s="11"/>
      <c r="ABH64" s="47"/>
      <c r="ABM64" s="47"/>
      <c r="ABO64" s="11"/>
      <c r="AEV64" s="47"/>
      <c r="AFA64" s="47"/>
      <c r="AFC64" s="11"/>
      <c r="AIJ64" s="47"/>
      <c r="AIO64" s="47"/>
      <c r="AIQ64" s="11"/>
      <c r="ALX64" s="47"/>
      <c r="AMC64" s="47"/>
      <c r="AME64" s="11"/>
      <c r="APL64" s="47"/>
      <c r="APQ64" s="47"/>
      <c r="APS64" s="11"/>
      <c r="ASZ64" s="47"/>
      <c r="ATE64" s="47"/>
      <c r="ATG64" s="11"/>
      <c r="AWN64" s="47"/>
      <c r="AWS64" s="47"/>
      <c r="AWU64" s="11"/>
      <c r="BAB64" s="47"/>
      <c r="BAG64" s="47"/>
      <c r="BAI64" s="11"/>
      <c r="BDP64" s="47"/>
      <c r="BDU64" s="47"/>
      <c r="BDW64" s="11"/>
      <c r="BHD64" s="47"/>
      <c r="BHI64" s="47"/>
      <c r="BHK64" s="11"/>
      <c r="BKR64" s="47"/>
      <c r="BKW64" s="47"/>
      <c r="BKY64" s="11"/>
      <c r="BOF64" s="47"/>
      <c r="BOK64" s="47"/>
      <c r="BOM64" s="11"/>
      <c r="BRT64" s="47"/>
      <c r="BRY64" s="47"/>
      <c r="BSA64" s="11"/>
      <c r="BVH64" s="47"/>
      <c r="BVM64" s="47"/>
      <c r="BVO64" s="11"/>
      <c r="BYV64" s="47"/>
      <c r="BZA64" s="47"/>
      <c r="BZC64" s="11"/>
      <c r="CCJ64" s="47"/>
      <c r="CCO64" s="47"/>
      <c r="CCQ64" s="11"/>
      <c r="CFX64" s="47"/>
      <c r="CGC64" s="47"/>
      <c r="CGE64" s="11"/>
      <c r="CJL64" s="47"/>
      <c r="CJQ64" s="47"/>
      <c r="CJS64" s="11"/>
      <c r="CMZ64" s="47"/>
      <c r="CNE64" s="47"/>
      <c r="CNG64" s="11"/>
      <c r="CQN64" s="47"/>
      <c r="CQS64" s="47"/>
      <c r="CQU64" s="11"/>
      <c r="CUB64" s="47"/>
      <c r="CUG64" s="47"/>
      <c r="CUI64" s="11"/>
      <c r="CXP64" s="47"/>
      <c r="CXU64" s="47"/>
      <c r="CXW64" s="11"/>
      <c r="DBD64" s="47"/>
      <c r="DBI64" s="47"/>
      <c r="DBK64" s="11"/>
      <c r="DER64" s="47"/>
      <c r="DEW64" s="47"/>
      <c r="DEY64" s="11"/>
      <c r="DIF64" s="47"/>
      <c r="DIK64" s="47"/>
      <c r="DIM64" s="11"/>
      <c r="DLT64" s="47"/>
      <c r="DLY64" s="47"/>
      <c r="DMA64" s="11"/>
      <c r="DPH64" s="47"/>
      <c r="DPM64" s="47"/>
      <c r="DPO64" s="11"/>
      <c r="DSV64" s="47"/>
      <c r="DTA64" s="47"/>
      <c r="DTC64" s="11"/>
      <c r="DWJ64" s="47"/>
      <c r="DWO64" s="47"/>
      <c r="DWQ64" s="11"/>
      <c r="DZX64" s="47"/>
      <c r="EAC64" s="47"/>
      <c r="EAE64" s="11"/>
      <c r="EDL64" s="47"/>
      <c r="EDQ64" s="47"/>
      <c r="EDS64" s="11"/>
      <c r="EGZ64" s="47"/>
      <c r="EHE64" s="47"/>
      <c r="EHG64" s="11"/>
      <c r="EKN64" s="47"/>
      <c r="EKS64" s="47"/>
      <c r="EKU64" s="11"/>
      <c r="EOB64" s="47"/>
      <c r="EOG64" s="47"/>
      <c r="EOI64" s="11"/>
      <c r="ERP64" s="47"/>
      <c r="ERU64" s="47"/>
      <c r="ERW64" s="11"/>
      <c r="EVD64" s="47"/>
      <c r="EVI64" s="47"/>
      <c r="EVK64" s="11"/>
      <c r="EYR64" s="47"/>
      <c r="EYW64" s="47"/>
      <c r="EYY64" s="11"/>
      <c r="FCF64" s="47"/>
      <c r="FCK64" s="47"/>
      <c r="FCM64" s="11"/>
      <c r="FFT64" s="47"/>
      <c r="FFY64" s="47"/>
      <c r="FGA64" s="11"/>
      <c r="FJH64" s="47"/>
      <c r="FJM64" s="47"/>
      <c r="FJO64" s="11"/>
      <c r="FMV64" s="47"/>
      <c r="FNA64" s="47"/>
      <c r="FNC64" s="11"/>
      <c r="FQJ64" s="47"/>
      <c r="FQO64" s="47"/>
      <c r="FQQ64" s="11"/>
      <c r="FTX64" s="47"/>
      <c r="FUC64" s="47"/>
      <c r="FUE64" s="11"/>
      <c r="FXL64" s="47"/>
      <c r="FXQ64" s="47"/>
      <c r="FXS64" s="11"/>
      <c r="GAZ64" s="47"/>
      <c r="GBE64" s="47"/>
      <c r="GBG64" s="11"/>
      <c r="GEN64" s="47"/>
      <c r="GES64" s="47"/>
      <c r="GEU64" s="11"/>
      <c r="GIB64" s="47"/>
      <c r="GIG64" s="47"/>
      <c r="GII64" s="11"/>
      <c r="GLP64" s="47"/>
      <c r="GLU64" s="47"/>
      <c r="GLW64" s="11"/>
      <c r="GPD64" s="47"/>
      <c r="GPI64" s="47"/>
      <c r="GPK64" s="11"/>
      <c r="GSR64" s="47"/>
      <c r="GSW64" s="47"/>
      <c r="GSY64" s="11"/>
      <c r="GWF64" s="47"/>
      <c r="GWK64" s="47"/>
      <c r="GWM64" s="11"/>
      <c r="GZT64" s="47"/>
      <c r="GZY64" s="47"/>
      <c r="HAA64" s="11"/>
      <c r="HDH64" s="47"/>
      <c r="HDM64" s="47"/>
      <c r="HDO64" s="11"/>
      <c r="HGV64" s="47"/>
      <c r="HHA64" s="47"/>
      <c r="HHC64" s="11"/>
      <c r="HKJ64" s="47"/>
      <c r="HKO64" s="47"/>
      <c r="HKQ64" s="11"/>
      <c r="HNX64" s="47"/>
      <c r="HOC64" s="47"/>
      <c r="HOE64" s="11"/>
      <c r="HRL64" s="47"/>
      <c r="HRQ64" s="47"/>
      <c r="HRS64" s="11"/>
      <c r="HUZ64" s="47"/>
      <c r="HVE64" s="47"/>
      <c r="HVG64" s="11"/>
      <c r="HYN64" s="47"/>
      <c r="HYS64" s="47"/>
      <c r="HYU64" s="11"/>
      <c r="ICB64" s="47"/>
      <c r="ICG64" s="47"/>
      <c r="ICI64" s="11"/>
      <c r="IFP64" s="47"/>
      <c r="IFU64" s="47"/>
      <c r="IFW64" s="11"/>
      <c r="IJD64" s="47"/>
      <c r="IJI64" s="47"/>
      <c r="IJK64" s="11"/>
      <c r="IMR64" s="47"/>
      <c r="IMW64" s="47"/>
      <c r="IMY64" s="11"/>
      <c r="IQF64" s="47"/>
      <c r="IQK64" s="47"/>
      <c r="IQM64" s="11"/>
      <c r="ITT64" s="47"/>
      <c r="ITY64" s="47"/>
      <c r="IUA64" s="11"/>
      <c r="IXH64" s="47"/>
      <c r="IXM64" s="47"/>
      <c r="IXO64" s="11"/>
      <c r="JAV64" s="47"/>
      <c r="JBA64" s="47"/>
      <c r="JBC64" s="11"/>
      <c r="JEJ64" s="47"/>
      <c r="JEO64" s="47"/>
      <c r="JEQ64" s="11"/>
      <c r="JHX64" s="47"/>
      <c r="JIC64" s="47"/>
      <c r="JIE64" s="11"/>
      <c r="JLL64" s="47"/>
      <c r="JLQ64" s="47"/>
      <c r="JLS64" s="11"/>
      <c r="JOZ64" s="47"/>
      <c r="JPE64" s="47"/>
      <c r="JPG64" s="11"/>
      <c r="JSN64" s="47"/>
      <c r="JSS64" s="47"/>
      <c r="JSU64" s="11"/>
      <c r="JWB64" s="47"/>
      <c r="JWG64" s="47"/>
      <c r="JWI64" s="11"/>
      <c r="JZP64" s="47"/>
      <c r="JZU64" s="47"/>
      <c r="JZW64" s="11"/>
      <c r="KDD64" s="47"/>
      <c r="KDI64" s="47"/>
      <c r="KDK64" s="11"/>
      <c r="KGR64" s="47"/>
      <c r="KGW64" s="47"/>
      <c r="KGY64" s="11"/>
      <c r="KKF64" s="47"/>
      <c r="KKK64" s="47"/>
      <c r="KKM64" s="11"/>
      <c r="KNT64" s="47"/>
      <c r="KNY64" s="47"/>
      <c r="KOA64" s="11"/>
      <c r="KRH64" s="47"/>
      <c r="KRM64" s="47"/>
      <c r="KRO64" s="11"/>
      <c r="KUV64" s="47"/>
      <c r="KVA64" s="47"/>
      <c r="KVC64" s="11"/>
      <c r="KYJ64" s="47"/>
      <c r="KYO64" s="47"/>
      <c r="KYQ64" s="11"/>
      <c r="LBX64" s="47"/>
      <c r="LCC64" s="47"/>
      <c r="LCE64" s="11"/>
      <c r="LFL64" s="47"/>
      <c r="LFQ64" s="47"/>
      <c r="LFS64" s="11"/>
      <c r="LIZ64" s="47"/>
      <c r="LJE64" s="47"/>
      <c r="LJG64" s="11"/>
      <c r="LMN64" s="47"/>
      <c r="LMS64" s="47"/>
      <c r="LMU64" s="11"/>
      <c r="LQB64" s="47"/>
      <c r="LQG64" s="47"/>
      <c r="LQI64" s="11"/>
      <c r="LTP64" s="47"/>
      <c r="LTU64" s="47"/>
      <c r="LTW64" s="11"/>
      <c r="LXD64" s="47"/>
      <c r="LXI64" s="47"/>
      <c r="LXK64" s="11"/>
      <c r="MAR64" s="47"/>
      <c r="MAW64" s="47"/>
      <c r="MAY64" s="11"/>
      <c r="MEF64" s="47"/>
      <c r="MEK64" s="47"/>
      <c r="MEM64" s="11"/>
      <c r="MHT64" s="47"/>
      <c r="MHY64" s="47"/>
      <c r="MIA64" s="11"/>
      <c r="MLH64" s="47"/>
      <c r="MLM64" s="47"/>
      <c r="MLO64" s="11"/>
      <c r="MOV64" s="47"/>
      <c r="MPA64" s="47"/>
      <c r="MPC64" s="11"/>
      <c r="MSJ64" s="47"/>
      <c r="MSO64" s="47"/>
      <c r="MSQ64" s="11"/>
      <c r="MVX64" s="47"/>
      <c r="MWC64" s="47"/>
      <c r="MWE64" s="11"/>
      <c r="MZL64" s="47"/>
      <c r="MZQ64" s="47"/>
      <c r="MZS64" s="11"/>
      <c r="NCZ64" s="47"/>
      <c r="NDE64" s="47"/>
      <c r="NDG64" s="11"/>
      <c r="NGN64" s="47"/>
      <c r="NGS64" s="47"/>
      <c r="NGU64" s="11"/>
      <c r="NKB64" s="47"/>
      <c r="NKG64" s="47"/>
      <c r="NKI64" s="11"/>
      <c r="NNP64" s="47"/>
      <c r="NNU64" s="47"/>
      <c r="NNW64" s="11"/>
      <c r="NRD64" s="47"/>
      <c r="NRI64" s="47"/>
      <c r="NRK64" s="11"/>
      <c r="NUR64" s="47"/>
      <c r="NUW64" s="47"/>
      <c r="NUY64" s="11"/>
      <c r="NYF64" s="47"/>
      <c r="NYK64" s="47"/>
      <c r="NYM64" s="11"/>
      <c r="OBT64" s="47"/>
      <c r="OBY64" s="47"/>
      <c r="OCA64" s="11"/>
      <c r="OFH64" s="47"/>
      <c r="OFM64" s="47"/>
      <c r="OFO64" s="11"/>
      <c r="OIV64" s="47"/>
      <c r="OJA64" s="47"/>
      <c r="OJC64" s="11"/>
      <c r="OMJ64" s="47"/>
      <c r="OMO64" s="47"/>
      <c r="OMQ64" s="11"/>
      <c r="OPX64" s="47"/>
      <c r="OQC64" s="47"/>
      <c r="OQE64" s="11"/>
      <c r="OTL64" s="47"/>
      <c r="OTQ64" s="47"/>
      <c r="OTS64" s="11"/>
      <c r="OWZ64" s="47"/>
      <c r="OXE64" s="47"/>
      <c r="OXG64" s="11"/>
      <c r="PAN64" s="47"/>
      <c r="PAS64" s="47"/>
      <c r="PAU64" s="11"/>
      <c r="PEB64" s="47"/>
      <c r="PEG64" s="47"/>
      <c r="PEI64" s="11"/>
      <c r="PHP64" s="47"/>
      <c r="PHU64" s="47"/>
      <c r="PHW64" s="11"/>
      <c r="PLD64" s="47"/>
      <c r="PLI64" s="47"/>
      <c r="PLK64" s="11"/>
      <c r="POR64" s="47"/>
      <c r="POW64" s="47"/>
      <c r="POY64" s="11"/>
      <c r="PSF64" s="47"/>
      <c r="PSK64" s="47"/>
      <c r="PSM64" s="11"/>
      <c r="PVT64" s="47"/>
      <c r="PVY64" s="47"/>
      <c r="PWA64" s="11"/>
      <c r="PZH64" s="47"/>
      <c r="PZM64" s="47"/>
      <c r="PZO64" s="11"/>
      <c r="QCV64" s="47"/>
      <c r="QDA64" s="47"/>
      <c r="QDC64" s="11"/>
      <c r="QGJ64" s="47"/>
      <c r="QGO64" s="47"/>
      <c r="QGQ64" s="11"/>
      <c r="QJX64" s="47"/>
      <c r="QKC64" s="47"/>
      <c r="QKE64" s="11"/>
      <c r="QNL64" s="47"/>
      <c r="QNQ64" s="47"/>
      <c r="QNS64" s="11"/>
      <c r="QQZ64" s="47"/>
      <c r="QRE64" s="47"/>
      <c r="QRG64" s="11"/>
      <c r="QUN64" s="47"/>
      <c r="QUS64" s="47"/>
      <c r="QUU64" s="11"/>
      <c r="QYB64" s="47"/>
      <c r="QYG64" s="47"/>
      <c r="QYI64" s="11"/>
      <c r="RBP64" s="47"/>
      <c r="RBU64" s="47"/>
      <c r="RBW64" s="11"/>
      <c r="RFD64" s="47"/>
      <c r="RFI64" s="47"/>
      <c r="RFK64" s="11"/>
      <c r="RIR64" s="47"/>
      <c r="RIW64" s="47"/>
      <c r="RIY64" s="11"/>
      <c r="RMF64" s="47"/>
      <c r="RMK64" s="47"/>
      <c r="RMM64" s="11"/>
      <c r="RPT64" s="47"/>
      <c r="RPY64" s="47"/>
      <c r="RQA64" s="11"/>
      <c r="RTH64" s="47"/>
      <c r="RTM64" s="47"/>
      <c r="RTO64" s="11"/>
      <c r="RWV64" s="47"/>
      <c r="RXA64" s="47"/>
      <c r="RXC64" s="11"/>
      <c r="SAJ64" s="47"/>
      <c r="SAO64" s="47"/>
      <c r="SAQ64" s="11"/>
      <c r="SDX64" s="47"/>
      <c r="SEC64" s="47"/>
      <c r="SEE64" s="11"/>
      <c r="SHL64" s="47"/>
      <c r="SHQ64" s="47"/>
      <c r="SHS64" s="11"/>
      <c r="SKZ64" s="47"/>
      <c r="SLE64" s="47"/>
      <c r="SLG64" s="11"/>
      <c r="SON64" s="47"/>
      <c r="SOS64" s="47"/>
      <c r="SOU64" s="11"/>
      <c r="SSB64" s="47"/>
      <c r="SSG64" s="47"/>
      <c r="SSI64" s="11"/>
      <c r="SVP64" s="47"/>
      <c r="SVU64" s="47"/>
      <c r="SVW64" s="11"/>
      <c r="SZD64" s="47"/>
      <c r="SZI64" s="47"/>
      <c r="SZK64" s="11"/>
      <c r="TCR64" s="47"/>
      <c r="TCW64" s="47"/>
      <c r="TCY64" s="11"/>
      <c r="TGF64" s="47"/>
      <c r="TGK64" s="47"/>
      <c r="TGM64" s="11"/>
      <c r="TJT64" s="47"/>
      <c r="TJY64" s="47"/>
      <c r="TKA64" s="11"/>
      <c r="TNH64" s="47"/>
      <c r="TNM64" s="47"/>
      <c r="TNO64" s="11"/>
      <c r="TQV64" s="47"/>
      <c r="TRA64" s="47"/>
      <c r="TRC64" s="11"/>
      <c r="TUJ64" s="47"/>
      <c r="TUO64" s="47"/>
      <c r="TUQ64" s="11"/>
      <c r="TXX64" s="47"/>
      <c r="TYC64" s="47"/>
      <c r="TYE64" s="11"/>
      <c r="UBL64" s="47"/>
      <c r="UBQ64" s="47"/>
      <c r="UBS64" s="11"/>
      <c r="UEZ64" s="47"/>
      <c r="UFE64" s="47"/>
      <c r="UFG64" s="11"/>
      <c r="UIN64" s="47"/>
      <c r="UIS64" s="47"/>
      <c r="UIU64" s="11"/>
      <c r="UMB64" s="47"/>
      <c r="UMG64" s="47"/>
      <c r="UMI64" s="11"/>
      <c r="UPP64" s="47"/>
      <c r="UPU64" s="47"/>
      <c r="UPW64" s="11"/>
      <c r="UTD64" s="47"/>
      <c r="UTI64" s="47"/>
      <c r="UTK64" s="11"/>
      <c r="UWR64" s="47"/>
      <c r="UWW64" s="47"/>
      <c r="UWY64" s="11"/>
      <c r="VAF64" s="47"/>
      <c r="VAK64" s="47"/>
      <c r="VAM64" s="11"/>
      <c r="VDT64" s="47"/>
      <c r="VDY64" s="47"/>
      <c r="VEA64" s="11"/>
      <c r="VHH64" s="47"/>
      <c r="VHM64" s="47"/>
      <c r="VHO64" s="11"/>
      <c r="VKV64" s="47"/>
      <c r="VLA64" s="47"/>
      <c r="VLC64" s="11"/>
      <c r="VOJ64" s="47"/>
      <c r="VOO64" s="47"/>
      <c r="VOQ64" s="11"/>
      <c r="VRX64" s="47"/>
      <c r="VSC64" s="47"/>
      <c r="VSE64" s="11"/>
      <c r="VVL64" s="47"/>
      <c r="VVQ64" s="47"/>
      <c r="VVS64" s="11"/>
      <c r="VYZ64" s="47"/>
      <c r="VZE64" s="47"/>
      <c r="VZG64" s="11"/>
      <c r="WCN64" s="47"/>
      <c r="WCS64" s="47"/>
      <c r="WCU64" s="11"/>
      <c r="WGB64" s="47"/>
      <c r="WGG64" s="47"/>
      <c r="WGI64" s="11"/>
      <c r="WJP64" s="47"/>
      <c r="WJU64" s="47"/>
      <c r="WJW64" s="11"/>
      <c r="WND64" s="47"/>
      <c r="WNI64" s="47"/>
      <c r="WNK64" s="11"/>
      <c r="WQR64" s="47"/>
      <c r="WQW64" s="47"/>
      <c r="WQY64" s="11"/>
      <c r="WUF64" s="47"/>
      <c r="WUK64" s="47"/>
      <c r="WUM64" s="11"/>
      <c r="WXT64" s="47"/>
      <c r="WXY64" s="47"/>
      <c r="WYA64" s="11"/>
      <c r="XBH64" s="47"/>
      <c r="XBM64" s="47"/>
      <c r="XBO64" s="11"/>
      <c r="XEV64" s="47"/>
      <c r="XFA64" s="47"/>
      <c r="XFC64" s="11"/>
    </row>
    <row r="65" spans="1:1019 1104:2031 2116:3043 3128:4055 4140:5067 5152:6079 6164:7091 7176:8188 8193:9207 9292:10219 10304:11231 11316:12243 12328:13255 13340:14267 14352:15279 15364:16383" s="10" customFormat="1" ht="14.5" customHeight="1" thickBot="1">
      <c r="C65" s="17" t="s">
        <v>1036</v>
      </c>
      <c r="E65" s="47"/>
      <c r="G65" s="11" t="str">
        <f t="shared" si="53"/>
        <v>тыс. руб.</v>
      </c>
      <c r="I65" s="23">
        <f t="shared" ca="1" si="54"/>
        <v>1131030.2541232239</v>
      </c>
      <c r="L65" s="10">
        <f ca="1" xml:space="preserve"> L119</f>
        <v>0</v>
      </c>
      <c r="M65" s="10">
        <f t="shared" ref="M65:BX65" ca="1" si="67" xml:space="preserve"> M119</f>
        <v>0</v>
      </c>
      <c r="N65" s="10">
        <f t="shared" ca="1" si="67"/>
        <v>0</v>
      </c>
      <c r="O65" s="10">
        <f t="shared" ca="1" si="67"/>
        <v>0</v>
      </c>
      <c r="P65" s="10">
        <f t="shared" ca="1" si="67"/>
        <v>0</v>
      </c>
      <c r="Q65" s="10">
        <f t="shared" ca="1" si="67"/>
        <v>0</v>
      </c>
      <c r="R65" s="10">
        <f t="shared" ca="1" si="67"/>
        <v>0</v>
      </c>
      <c r="S65" s="10">
        <f t="shared" ca="1" si="67"/>
        <v>0</v>
      </c>
      <c r="T65" s="10">
        <f t="shared" ca="1" si="67"/>
        <v>0</v>
      </c>
      <c r="U65" s="10">
        <f t="shared" ca="1" si="67"/>
        <v>0</v>
      </c>
      <c r="V65" s="10">
        <f t="shared" ca="1" si="67"/>
        <v>0</v>
      </c>
      <c r="W65" s="10">
        <f t="shared" ca="1" si="67"/>
        <v>0</v>
      </c>
      <c r="X65" s="10">
        <f t="shared" ca="1" si="67"/>
        <v>0</v>
      </c>
      <c r="Y65" s="10">
        <f t="shared" ca="1" si="67"/>
        <v>0</v>
      </c>
      <c r="Z65" s="10">
        <f t="shared" ca="1" si="67"/>
        <v>0</v>
      </c>
      <c r="AA65" s="10">
        <f t="shared" ca="1" si="67"/>
        <v>0</v>
      </c>
      <c r="AB65" s="10">
        <f t="shared" ca="1" si="67"/>
        <v>0</v>
      </c>
      <c r="AC65" s="10">
        <f t="shared" ca="1" si="67"/>
        <v>10219.679307589835</v>
      </c>
      <c r="AD65" s="10">
        <f t="shared" ca="1" si="67"/>
        <v>13298.326820744496</v>
      </c>
      <c r="AE65" s="10">
        <f t="shared" ca="1" si="67"/>
        <v>7878.3340662733344</v>
      </c>
      <c r="AF65" s="10">
        <f t="shared" ca="1" si="67"/>
        <v>7731.4289605930526</v>
      </c>
      <c r="AG65" s="10">
        <f t="shared" ca="1" si="67"/>
        <v>12203.054106544309</v>
      </c>
      <c r="AH65" s="10">
        <f t="shared" ca="1" si="67"/>
        <v>15806.01130694204</v>
      </c>
      <c r="AI65" s="10">
        <f t="shared" ca="1" si="67"/>
        <v>9323.6008673965807</v>
      </c>
      <c r="AJ65" s="10">
        <f t="shared" ca="1" si="67"/>
        <v>9112.7776015523505</v>
      </c>
      <c r="AK65" s="10">
        <f t="shared" ca="1" si="67"/>
        <v>14328.747402522999</v>
      </c>
      <c r="AL65" s="10">
        <f t="shared" ca="1" si="67"/>
        <v>18493.033229122186</v>
      </c>
      <c r="AM65" s="10">
        <f t="shared" ca="1" si="67"/>
        <v>10871.883678103653</v>
      </c>
      <c r="AN65" s="10">
        <f t="shared" ca="1" si="67"/>
        <v>10709.955667978673</v>
      </c>
      <c r="AO65" s="10">
        <f t="shared" ca="1" si="67"/>
        <v>16604.971275609496</v>
      </c>
      <c r="AP65" s="10">
        <f t="shared" ca="1" si="67"/>
        <v>20835.484104810985</v>
      </c>
      <c r="AQ65" s="10">
        <f t="shared" ca="1" si="67"/>
        <v>11917.935188753618</v>
      </c>
      <c r="AR65" s="10">
        <f t="shared" ca="1" si="67"/>
        <v>11305.847938227105</v>
      </c>
      <c r="AS65" s="10">
        <f t="shared" ca="1" si="67"/>
        <v>17269.170126633875</v>
      </c>
      <c r="AT65" s="10">
        <f t="shared" ca="1" si="67"/>
        <v>21668.903469003424</v>
      </c>
      <c r="AU65" s="10">
        <f t="shared" ca="1" si="67"/>
        <v>12394.65259630376</v>
      </c>
      <c r="AV65" s="10">
        <f t="shared" ca="1" si="67"/>
        <v>11758.081855756187</v>
      </c>
      <c r="AW65" s="10">
        <f t="shared" ca="1" si="67"/>
        <v>17959.936931699231</v>
      </c>
      <c r="AX65" s="10">
        <f t="shared" ca="1" si="67"/>
        <v>22535.659607763555</v>
      </c>
      <c r="AY65" s="10">
        <f t="shared" ca="1" si="67"/>
        <v>12890.438700155912</v>
      </c>
      <c r="AZ65" s="10">
        <f t="shared" ca="1" si="67"/>
        <v>12228.405129986431</v>
      </c>
      <c r="BA65" s="10">
        <f t="shared" ca="1" si="67"/>
        <v>18678.334408967195</v>
      </c>
      <c r="BB65" s="10">
        <f t="shared" ca="1" si="67"/>
        <v>23437.085992074095</v>
      </c>
      <c r="BC65" s="10">
        <f t="shared" ca="1" si="67"/>
        <v>13406.056248162145</v>
      </c>
      <c r="BD65" s="10">
        <f t="shared" ca="1" si="67"/>
        <v>12858.847350021288</v>
      </c>
      <c r="BE65" s="10">
        <f t="shared" ca="1" si="67"/>
        <v>19425.46778532588</v>
      </c>
      <c r="BF65" s="10">
        <f t="shared" ca="1" si="67"/>
        <v>24374.569431757052</v>
      </c>
      <c r="BG65" s="10">
        <f t="shared" ca="1" si="67"/>
        <v>13942.298498088629</v>
      </c>
      <c r="BH65" s="10">
        <f t="shared" ca="1" si="67"/>
        <v>13226.24298859332</v>
      </c>
      <c r="BI65" s="10">
        <f t="shared" ca="1" si="67"/>
        <v>20202.486496738915</v>
      </c>
      <c r="BJ65" s="10">
        <f t="shared" ca="1" si="67"/>
        <v>25349.552209027337</v>
      </c>
      <c r="BK65" s="10">
        <f t="shared" ca="1" si="67"/>
        <v>14499.990438012172</v>
      </c>
      <c r="BL65" s="10">
        <f t="shared" ca="1" si="67"/>
        <v>13755.292708137054</v>
      </c>
      <c r="BM65" s="10">
        <f t="shared" ca="1" si="67"/>
        <v>21010.585956608469</v>
      </c>
      <c r="BN65" s="10">
        <f t="shared" ca="1" si="67"/>
        <v>26363.534297388425</v>
      </c>
      <c r="BO65" s="10">
        <f t="shared" ca="1" si="67"/>
        <v>15079.990055532657</v>
      </c>
      <c r="BP65" s="10">
        <f t="shared" ca="1" si="67"/>
        <v>14305.504416462534</v>
      </c>
      <c r="BQ65" s="10">
        <f t="shared" ca="1" si="67"/>
        <v>21851.009394872803</v>
      </c>
      <c r="BR65" s="10">
        <f t="shared" ca="1" si="67"/>
        <v>27418.075669283957</v>
      </c>
      <c r="BS65" s="10">
        <f t="shared" ca="1" si="67"/>
        <v>15683.189657753957</v>
      </c>
      <c r="BT65" s="10">
        <f t="shared" ca="1" si="67"/>
        <v>15043.03264415571</v>
      </c>
      <c r="BU65" s="10">
        <f t="shared" ca="1" si="67"/>
        <v>22725.049770667709</v>
      </c>
      <c r="BV65" s="10">
        <f t="shared" ca="1" si="67"/>
        <v>28514.798696055306</v>
      </c>
      <c r="BW65" s="10">
        <f t="shared" ca="1" si="67"/>
        <v>16310.517244064111</v>
      </c>
      <c r="BX65" s="10">
        <f t="shared" ca="1" si="67"/>
        <v>15472.833576845873</v>
      </c>
      <c r="BY65" s="10">
        <f t="shared" ref="BY65:CM65" ca="1" si="68" xml:space="preserve"> BY119</f>
        <v>23634.051761494411</v>
      </c>
      <c r="BZ65" s="10">
        <f t="shared" ca="1" si="68"/>
        <v>29655.390643897517</v>
      </c>
      <c r="CA65" s="10">
        <f t="shared" ca="1" si="68"/>
        <v>16962.937933826674</v>
      </c>
      <c r="CB65" s="10">
        <f t="shared" ca="1" si="68"/>
        <v>16091.746919919706</v>
      </c>
      <c r="CC65" s="10">
        <f t="shared" ca="1" si="68"/>
        <v>24579.413831954189</v>
      </c>
      <c r="CD65" s="10">
        <f t="shared" ca="1" si="68"/>
        <v>30841.606269653414</v>
      </c>
      <c r="CE65" s="10">
        <f t="shared" ca="1" si="68"/>
        <v>17641.45545117974</v>
      </c>
      <c r="CF65" s="10">
        <f t="shared" ca="1" si="68"/>
        <v>16735.41679671649</v>
      </c>
      <c r="CG65" s="10">
        <f t="shared" ca="1" si="68"/>
        <v>25562.590385232357</v>
      </c>
      <c r="CH65" s="10">
        <f t="shared" ca="1" si="68"/>
        <v>32075.270520439546</v>
      </c>
      <c r="CI65" s="10">
        <f t="shared" ca="1" si="68"/>
        <v>18347.113669226932</v>
      </c>
      <c r="CJ65" s="10">
        <f t="shared" ca="1" si="68"/>
        <v>17598.220507124981</v>
      </c>
      <c r="CK65" s="10">
        <f t="shared" ca="1" si="68"/>
        <v>26585.094000641646</v>
      </c>
      <c r="CL65" s="10">
        <f t="shared" ca="1" si="68"/>
        <v>33358.281341257127</v>
      </c>
      <c r="CM65" s="10">
        <f t="shared" ca="1" si="68"/>
        <v>19080.998215996009</v>
      </c>
      <c r="CN65" s="10">
        <f t="shared" ref="CN65:CO65" ca="1" si="69" xml:space="preserve"> CN119</f>
        <v>18101.026807328555</v>
      </c>
      <c r="CO65" s="10">
        <f t="shared" ca="1" si="69"/>
        <v>27648.497760667313</v>
      </c>
      <c r="CS65" s="47"/>
      <c r="CU65" s="11"/>
      <c r="GB65" s="47"/>
      <c r="GG65" s="47"/>
      <c r="GI65" s="11"/>
      <c r="JP65" s="47"/>
      <c r="JU65" s="47"/>
      <c r="JW65" s="11"/>
      <c r="ND65" s="47"/>
      <c r="NI65" s="47"/>
      <c r="NK65" s="11"/>
      <c r="QR65" s="47"/>
      <c r="QW65" s="47"/>
      <c r="QY65" s="11"/>
      <c r="UF65" s="47"/>
      <c r="UK65" s="47"/>
      <c r="UM65" s="11"/>
      <c r="XT65" s="47"/>
      <c r="XY65" s="47"/>
      <c r="YA65" s="11"/>
      <c r="ABH65" s="47"/>
      <c r="ABM65" s="47"/>
      <c r="ABO65" s="11"/>
      <c r="AEV65" s="47"/>
      <c r="AFA65" s="47"/>
      <c r="AFC65" s="11"/>
      <c r="AIJ65" s="47"/>
      <c r="AIO65" s="47"/>
      <c r="AIQ65" s="11"/>
      <c r="ALX65" s="47"/>
      <c r="AMC65" s="47"/>
      <c r="AME65" s="11"/>
      <c r="APL65" s="47"/>
      <c r="APQ65" s="47"/>
      <c r="APS65" s="11"/>
      <c r="ASZ65" s="47"/>
      <c r="ATE65" s="47"/>
      <c r="ATG65" s="11"/>
      <c r="AWN65" s="47"/>
      <c r="AWS65" s="47"/>
      <c r="AWU65" s="11"/>
      <c r="BAB65" s="47"/>
      <c r="BAG65" s="47"/>
      <c r="BAI65" s="11"/>
      <c r="BDP65" s="47"/>
      <c r="BDU65" s="47"/>
      <c r="BDW65" s="11"/>
      <c r="BHD65" s="47"/>
      <c r="BHI65" s="47"/>
      <c r="BHK65" s="11"/>
      <c r="BKR65" s="47"/>
      <c r="BKW65" s="47"/>
      <c r="BKY65" s="11"/>
      <c r="BOF65" s="47"/>
      <c r="BOK65" s="47"/>
      <c r="BOM65" s="11"/>
      <c r="BRT65" s="47"/>
      <c r="BRY65" s="47"/>
      <c r="BSA65" s="11"/>
      <c r="BVH65" s="47"/>
      <c r="BVM65" s="47"/>
      <c r="BVO65" s="11"/>
      <c r="BYV65" s="47"/>
      <c r="BZA65" s="47"/>
      <c r="BZC65" s="11"/>
      <c r="CCJ65" s="47"/>
      <c r="CCO65" s="47"/>
      <c r="CCQ65" s="11"/>
      <c r="CFX65" s="47"/>
      <c r="CGC65" s="47"/>
      <c r="CGE65" s="11"/>
      <c r="CJL65" s="47"/>
      <c r="CJQ65" s="47"/>
      <c r="CJS65" s="11"/>
      <c r="CMZ65" s="47"/>
      <c r="CNE65" s="47"/>
      <c r="CNG65" s="11"/>
      <c r="CQN65" s="47"/>
      <c r="CQS65" s="47"/>
      <c r="CQU65" s="11"/>
      <c r="CUB65" s="47"/>
      <c r="CUG65" s="47"/>
      <c r="CUI65" s="11"/>
      <c r="CXP65" s="47"/>
      <c r="CXU65" s="47"/>
      <c r="CXW65" s="11"/>
      <c r="DBD65" s="47"/>
      <c r="DBI65" s="47"/>
      <c r="DBK65" s="11"/>
      <c r="DER65" s="47"/>
      <c r="DEW65" s="47"/>
      <c r="DEY65" s="11"/>
      <c r="DIF65" s="47"/>
      <c r="DIK65" s="47"/>
      <c r="DIM65" s="11"/>
      <c r="DLT65" s="47"/>
      <c r="DLY65" s="47"/>
      <c r="DMA65" s="11"/>
      <c r="DPH65" s="47"/>
      <c r="DPM65" s="47"/>
      <c r="DPO65" s="11"/>
      <c r="DSV65" s="47"/>
      <c r="DTA65" s="47"/>
      <c r="DTC65" s="11"/>
      <c r="DWJ65" s="47"/>
      <c r="DWO65" s="47"/>
      <c r="DWQ65" s="11"/>
      <c r="DZX65" s="47"/>
      <c r="EAC65" s="47"/>
      <c r="EAE65" s="11"/>
      <c r="EDL65" s="47"/>
      <c r="EDQ65" s="47"/>
      <c r="EDS65" s="11"/>
      <c r="EGZ65" s="47"/>
      <c r="EHE65" s="47"/>
      <c r="EHG65" s="11"/>
      <c r="EKN65" s="47"/>
      <c r="EKS65" s="47"/>
      <c r="EKU65" s="11"/>
      <c r="EOB65" s="47"/>
      <c r="EOG65" s="47"/>
      <c r="EOI65" s="11"/>
      <c r="ERP65" s="47"/>
      <c r="ERU65" s="47"/>
      <c r="ERW65" s="11"/>
      <c r="EVD65" s="47"/>
      <c r="EVI65" s="47"/>
      <c r="EVK65" s="11"/>
      <c r="EYR65" s="47"/>
      <c r="EYW65" s="47"/>
      <c r="EYY65" s="11"/>
      <c r="FCF65" s="47"/>
      <c r="FCK65" s="47"/>
      <c r="FCM65" s="11"/>
      <c r="FFT65" s="47"/>
      <c r="FFY65" s="47"/>
      <c r="FGA65" s="11"/>
      <c r="FJH65" s="47"/>
      <c r="FJM65" s="47"/>
      <c r="FJO65" s="11"/>
      <c r="FMV65" s="47"/>
      <c r="FNA65" s="47"/>
      <c r="FNC65" s="11"/>
      <c r="FQJ65" s="47"/>
      <c r="FQO65" s="47"/>
      <c r="FQQ65" s="11"/>
      <c r="FTX65" s="47"/>
      <c r="FUC65" s="47"/>
      <c r="FUE65" s="11"/>
      <c r="FXL65" s="47"/>
      <c r="FXQ65" s="47"/>
      <c r="FXS65" s="11"/>
      <c r="GAZ65" s="47"/>
      <c r="GBE65" s="47"/>
      <c r="GBG65" s="11"/>
      <c r="GEN65" s="47"/>
      <c r="GES65" s="47"/>
      <c r="GEU65" s="11"/>
      <c r="GIB65" s="47"/>
      <c r="GIG65" s="47"/>
      <c r="GII65" s="11"/>
      <c r="GLP65" s="47"/>
      <c r="GLU65" s="47"/>
      <c r="GLW65" s="11"/>
      <c r="GPD65" s="47"/>
      <c r="GPI65" s="47"/>
      <c r="GPK65" s="11"/>
      <c r="GSR65" s="47"/>
      <c r="GSW65" s="47"/>
      <c r="GSY65" s="11"/>
      <c r="GWF65" s="47"/>
      <c r="GWK65" s="47"/>
      <c r="GWM65" s="11"/>
      <c r="GZT65" s="47"/>
      <c r="GZY65" s="47"/>
      <c r="HAA65" s="11"/>
      <c r="HDH65" s="47"/>
      <c r="HDM65" s="47"/>
      <c r="HDO65" s="11"/>
      <c r="HGV65" s="47"/>
      <c r="HHA65" s="47"/>
      <c r="HHC65" s="11"/>
      <c r="HKJ65" s="47"/>
      <c r="HKO65" s="47"/>
      <c r="HKQ65" s="11"/>
      <c r="HNX65" s="47"/>
      <c r="HOC65" s="47"/>
      <c r="HOE65" s="11"/>
      <c r="HRL65" s="47"/>
      <c r="HRQ65" s="47"/>
      <c r="HRS65" s="11"/>
      <c r="HUZ65" s="47"/>
      <c r="HVE65" s="47"/>
      <c r="HVG65" s="11"/>
      <c r="HYN65" s="47"/>
      <c r="HYS65" s="47"/>
      <c r="HYU65" s="11"/>
      <c r="ICB65" s="47"/>
      <c r="ICG65" s="47"/>
      <c r="ICI65" s="11"/>
      <c r="IFP65" s="47"/>
      <c r="IFU65" s="47"/>
      <c r="IFW65" s="11"/>
      <c r="IJD65" s="47"/>
      <c r="IJI65" s="47"/>
      <c r="IJK65" s="11"/>
      <c r="IMR65" s="47"/>
      <c r="IMW65" s="47"/>
      <c r="IMY65" s="11"/>
      <c r="IQF65" s="47"/>
      <c r="IQK65" s="47"/>
      <c r="IQM65" s="11"/>
      <c r="ITT65" s="47"/>
      <c r="ITY65" s="47"/>
      <c r="IUA65" s="11"/>
      <c r="IXH65" s="47"/>
      <c r="IXM65" s="47"/>
      <c r="IXO65" s="11"/>
      <c r="JAV65" s="47"/>
      <c r="JBA65" s="47"/>
      <c r="JBC65" s="11"/>
      <c r="JEJ65" s="47"/>
      <c r="JEO65" s="47"/>
      <c r="JEQ65" s="11"/>
      <c r="JHX65" s="47"/>
      <c r="JIC65" s="47"/>
      <c r="JIE65" s="11"/>
      <c r="JLL65" s="47"/>
      <c r="JLQ65" s="47"/>
      <c r="JLS65" s="11"/>
      <c r="JOZ65" s="47"/>
      <c r="JPE65" s="47"/>
      <c r="JPG65" s="11"/>
      <c r="JSN65" s="47"/>
      <c r="JSS65" s="47"/>
      <c r="JSU65" s="11"/>
      <c r="JWB65" s="47"/>
      <c r="JWG65" s="47"/>
      <c r="JWI65" s="11"/>
      <c r="JZP65" s="47"/>
      <c r="JZU65" s="47"/>
      <c r="JZW65" s="11"/>
      <c r="KDD65" s="47"/>
      <c r="KDI65" s="47"/>
      <c r="KDK65" s="11"/>
      <c r="KGR65" s="47"/>
      <c r="KGW65" s="47"/>
      <c r="KGY65" s="11"/>
      <c r="KKF65" s="47"/>
      <c r="KKK65" s="47"/>
      <c r="KKM65" s="11"/>
      <c r="KNT65" s="47"/>
      <c r="KNY65" s="47"/>
      <c r="KOA65" s="11"/>
      <c r="KRH65" s="47"/>
      <c r="KRM65" s="47"/>
      <c r="KRO65" s="11"/>
      <c r="KUV65" s="47"/>
      <c r="KVA65" s="47"/>
      <c r="KVC65" s="11"/>
      <c r="KYJ65" s="47"/>
      <c r="KYO65" s="47"/>
      <c r="KYQ65" s="11"/>
      <c r="LBX65" s="47"/>
      <c r="LCC65" s="47"/>
      <c r="LCE65" s="11"/>
      <c r="LFL65" s="47"/>
      <c r="LFQ65" s="47"/>
      <c r="LFS65" s="11"/>
      <c r="LIZ65" s="47"/>
      <c r="LJE65" s="47"/>
      <c r="LJG65" s="11"/>
      <c r="LMN65" s="47"/>
      <c r="LMS65" s="47"/>
      <c r="LMU65" s="11"/>
      <c r="LQB65" s="47"/>
      <c r="LQG65" s="47"/>
      <c r="LQI65" s="11"/>
      <c r="LTP65" s="47"/>
      <c r="LTU65" s="47"/>
      <c r="LTW65" s="11"/>
      <c r="LXD65" s="47"/>
      <c r="LXI65" s="47"/>
      <c r="LXK65" s="11"/>
      <c r="MAR65" s="47"/>
      <c r="MAW65" s="47"/>
      <c r="MAY65" s="11"/>
      <c r="MEF65" s="47"/>
      <c r="MEK65" s="47"/>
      <c r="MEM65" s="11"/>
      <c r="MHT65" s="47"/>
      <c r="MHY65" s="47"/>
      <c r="MIA65" s="11"/>
      <c r="MLH65" s="47"/>
      <c r="MLM65" s="47"/>
      <c r="MLO65" s="11"/>
      <c r="MOV65" s="47"/>
      <c r="MPA65" s="47"/>
      <c r="MPC65" s="11"/>
      <c r="MSJ65" s="47"/>
      <c r="MSO65" s="47"/>
      <c r="MSQ65" s="11"/>
      <c r="MVX65" s="47"/>
      <c r="MWC65" s="47"/>
      <c r="MWE65" s="11"/>
      <c r="MZL65" s="47"/>
      <c r="MZQ65" s="47"/>
      <c r="MZS65" s="11"/>
      <c r="NCZ65" s="47"/>
      <c r="NDE65" s="47"/>
      <c r="NDG65" s="11"/>
      <c r="NGN65" s="47"/>
      <c r="NGS65" s="47"/>
      <c r="NGU65" s="11"/>
      <c r="NKB65" s="47"/>
      <c r="NKG65" s="47"/>
      <c r="NKI65" s="11"/>
      <c r="NNP65" s="47"/>
      <c r="NNU65" s="47"/>
      <c r="NNW65" s="11"/>
      <c r="NRD65" s="47"/>
      <c r="NRI65" s="47"/>
      <c r="NRK65" s="11"/>
      <c r="NUR65" s="47"/>
      <c r="NUW65" s="47"/>
      <c r="NUY65" s="11"/>
      <c r="NYF65" s="47"/>
      <c r="NYK65" s="47"/>
      <c r="NYM65" s="11"/>
      <c r="OBT65" s="47"/>
      <c r="OBY65" s="47"/>
      <c r="OCA65" s="11"/>
      <c r="OFH65" s="47"/>
      <c r="OFM65" s="47"/>
      <c r="OFO65" s="11"/>
      <c r="OIV65" s="47"/>
      <c r="OJA65" s="47"/>
      <c r="OJC65" s="11"/>
      <c r="OMJ65" s="47"/>
      <c r="OMO65" s="47"/>
      <c r="OMQ65" s="11"/>
      <c r="OPX65" s="47"/>
      <c r="OQC65" s="47"/>
      <c r="OQE65" s="11"/>
      <c r="OTL65" s="47"/>
      <c r="OTQ65" s="47"/>
      <c r="OTS65" s="11"/>
      <c r="OWZ65" s="47"/>
      <c r="OXE65" s="47"/>
      <c r="OXG65" s="11"/>
      <c r="PAN65" s="47"/>
      <c r="PAS65" s="47"/>
      <c r="PAU65" s="11"/>
      <c r="PEB65" s="47"/>
      <c r="PEG65" s="47"/>
      <c r="PEI65" s="11"/>
      <c r="PHP65" s="47"/>
      <c r="PHU65" s="47"/>
      <c r="PHW65" s="11"/>
      <c r="PLD65" s="47"/>
      <c r="PLI65" s="47"/>
      <c r="PLK65" s="11"/>
      <c r="POR65" s="47"/>
      <c r="POW65" s="47"/>
      <c r="POY65" s="11"/>
      <c r="PSF65" s="47"/>
      <c r="PSK65" s="47"/>
      <c r="PSM65" s="11"/>
      <c r="PVT65" s="47"/>
      <c r="PVY65" s="47"/>
      <c r="PWA65" s="11"/>
      <c r="PZH65" s="47"/>
      <c r="PZM65" s="47"/>
      <c r="PZO65" s="11"/>
      <c r="QCV65" s="47"/>
      <c r="QDA65" s="47"/>
      <c r="QDC65" s="11"/>
      <c r="QGJ65" s="47"/>
      <c r="QGO65" s="47"/>
      <c r="QGQ65" s="11"/>
      <c r="QJX65" s="47"/>
      <c r="QKC65" s="47"/>
      <c r="QKE65" s="11"/>
      <c r="QNL65" s="47"/>
      <c r="QNQ65" s="47"/>
      <c r="QNS65" s="11"/>
      <c r="QQZ65" s="47"/>
      <c r="QRE65" s="47"/>
      <c r="QRG65" s="11"/>
      <c r="QUN65" s="47"/>
      <c r="QUS65" s="47"/>
      <c r="QUU65" s="11"/>
      <c r="QYB65" s="47"/>
      <c r="QYG65" s="47"/>
      <c r="QYI65" s="11"/>
      <c r="RBP65" s="47"/>
      <c r="RBU65" s="47"/>
      <c r="RBW65" s="11"/>
      <c r="RFD65" s="47"/>
      <c r="RFI65" s="47"/>
      <c r="RFK65" s="11"/>
      <c r="RIR65" s="47"/>
      <c r="RIW65" s="47"/>
      <c r="RIY65" s="11"/>
      <c r="RMF65" s="47"/>
      <c r="RMK65" s="47"/>
      <c r="RMM65" s="11"/>
      <c r="RPT65" s="47"/>
      <c r="RPY65" s="47"/>
      <c r="RQA65" s="11"/>
      <c r="RTH65" s="47"/>
      <c r="RTM65" s="47"/>
      <c r="RTO65" s="11"/>
      <c r="RWV65" s="47"/>
      <c r="RXA65" s="47"/>
      <c r="RXC65" s="11"/>
      <c r="SAJ65" s="47"/>
      <c r="SAO65" s="47"/>
      <c r="SAQ65" s="11"/>
      <c r="SDX65" s="47"/>
      <c r="SEC65" s="47"/>
      <c r="SEE65" s="11"/>
      <c r="SHL65" s="47"/>
      <c r="SHQ65" s="47"/>
      <c r="SHS65" s="11"/>
      <c r="SKZ65" s="47"/>
      <c r="SLE65" s="47"/>
      <c r="SLG65" s="11"/>
      <c r="SON65" s="47"/>
      <c r="SOS65" s="47"/>
      <c r="SOU65" s="11"/>
      <c r="SSB65" s="47"/>
      <c r="SSG65" s="47"/>
      <c r="SSI65" s="11"/>
      <c r="SVP65" s="47"/>
      <c r="SVU65" s="47"/>
      <c r="SVW65" s="11"/>
      <c r="SZD65" s="47"/>
      <c r="SZI65" s="47"/>
      <c r="SZK65" s="11"/>
      <c r="TCR65" s="47"/>
      <c r="TCW65" s="47"/>
      <c r="TCY65" s="11"/>
      <c r="TGF65" s="47"/>
      <c r="TGK65" s="47"/>
      <c r="TGM65" s="11"/>
      <c r="TJT65" s="47"/>
      <c r="TJY65" s="47"/>
      <c r="TKA65" s="11"/>
      <c r="TNH65" s="47"/>
      <c r="TNM65" s="47"/>
      <c r="TNO65" s="11"/>
      <c r="TQV65" s="47"/>
      <c r="TRA65" s="47"/>
      <c r="TRC65" s="11"/>
      <c r="TUJ65" s="47"/>
      <c r="TUO65" s="47"/>
      <c r="TUQ65" s="11"/>
      <c r="TXX65" s="47"/>
      <c r="TYC65" s="47"/>
      <c r="TYE65" s="11"/>
      <c r="UBL65" s="47"/>
      <c r="UBQ65" s="47"/>
      <c r="UBS65" s="11"/>
      <c r="UEZ65" s="47"/>
      <c r="UFE65" s="47"/>
      <c r="UFG65" s="11"/>
      <c r="UIN65" s="47"/>
      <c r="UIS65" s="47"/>
      <c r="UIU65" s="11"/>
      <c r="UMB65" s="47"/>
      <c r="UMG65" s="47"/>
      <c r="UMI65" s="11"/>
      <c r="UPP65" s="47"/>
      <c r="UPU65" s="47"/>
      <c r="UPW65" s="11"/>
      <c r="UTD65" s="47"/>
      <c r="UTI65" s="47"/>
      <c r="UTK65" s="11"/>
      <c r="UWR65" s="47"/>
      <c r="UWW65" s="47"/>
      <c r="UWY65" s="11"/>
      <c r="VAF65" s="47"/>
      <c r="VAK65" s="47"/>
      <c r="VAM65" s="11"/>
      <c r="VDT65" s="47"/>
      <c r="VDY65" s="47"/>
      <c r="VEA65" s="11"/>
      <c r="VHH65" s="47"/>
      <c r="VHM65" s="47"/>
      <c r="VHO65" s="11"/>
      <c r="VKV65" s="47"/>
      <c r="VLA65" s="47"/>
      <c r="VLC65" s="11"/>
      <c r="VOJ65" s="47"/>
      <c r="VOO65" s="47"/>
      <c r="VOQ65" s="11"/>
      <c r="VRX65" s="47"/>
      <c r="VSC65" s="47"/>
      <c r="VSE65" s="11"/>
      <c r="VVL65" s="47"/>
      <c r="VVQ65" s="47"/>
      <c r="VVS65" s="11"/>
      <c r="VYZ65" s="47"/>
      <c r="VZE65" s="47"/>
      <c r="VZG65" s="11"/>
      <c r="WCN65" s="47"/>
      <c r="WCS65" s="47"/>
      <c r="WCU65" s="11"/>
      <c r="WGB65" s="47"/>
      <c r="WGG65" s="47"/>
      <c r="WGI65" s="11"/>
      <c r="WJP65" s="47"/>
      <c r="WJU65" s="47"/>
      <c r="WJW65" s="11"/>
      <c r="WND65" s="47"/>
      <c r="WNI65" s="47"/>
      <c r="WNK65" s="11"/>
      <c r="WQR65" s="47"/>
      <c r="WQW65" s="47"/>
      <c r="WQY65" s="11"/>
      <c r="WUF65" s="47"/>
      <c r="WUK65" s="47"/>
      <c r="WUM65" s="11"/>
      <c r="WXT65" s="47"/>
      <c r="WXY65" s="47"/>
      <c r="WYA65" s="11"/>
      <c r="XBH65" s="47"/>
      <c r="XBM65" s="47"/>
      <c r="XBO65" s="11"/>
      <c r="XEV65" s="47"/>
      <c r="XFA65" s="47"/>
      <c r="XFC65" s="11"/>
    </row>
    <row r="66" spans="1:1019 1104:2031 2116:3043 3128:4055 4140:5067 5152:6079 6164:7091 7176:8188 8193:9207 9292:10219 10304:11231 11316:12243 12328:13255 13340:14267 14352:15279 15364:16383" s="141" customFormat="1" ht="15" customHeight="1" thickTop="1">
      <c r="A66" s="153"/>
      <c r="B66" s="153"/>
      <c r="C66" s="49" t="s">
        <v>1037</v>
      </c>
      <c r="D66" s="49"/>
      <c r="E66" s="49"/>
      <c r="F66" s="49"/>
      <c r="G66" s="159" t="str">
        <f t="shared" si="53"/>
        <v>тыс. руб.</v>
      </c>
      <c r="H66" s="49"/>
      <c r="I66" s="176">
        <f t="shared" ca="1" si="54"/>
        <v>8695089.1857452895</v>
      </c>
      <c r="J66" s="49"/>
      <c r="K66" s="49"/>
      <c r="L66" s="49">
        <f t="shared" ref="L66" ca="1" si="70">SUM(L61:L65)</f>
        <v>0</v>
      </c>
      <c r="M66" s="49">
        <f t="shared" ref="M66:BX66" ca="1" si="71">SUM(M61:M65)</f>
        <v>0</v>
      </c>
      <c r="N66" s="49">
        <f t="shared" ca="1" si="71"/>
        <v>0</v>
      </c>
      <c r="O66" s="49">
        <f t="shared" ca="1" si="71"/>
        <v>0</v>
      </c>
      <c r="P66" s="49">
        <f t="shared" ca="1" si="71"/>
        <v>0</v>
      </c>
      <c r="Q66" s="49">
        <f t="shared" ca="1" si="71"/>
        <v>0</v>
      </c>
      <c r="R66" s="49">
        <f t="shared" ca="1" si="71"/>
        <v>0</v>
      </c>
      <c r="S66" s="49">
        <f t="shared" ca="1" si="71"/>
        <v>0</v>
      </c>
      <c r="T66" s="49">
        <f t="shared" ca="1" si="71"/>
        <v>0</v>
      </c>
      <c r="U66" s="49">
        <f t="shared" ca="1" si="71"/>
        <v>0</v>
      </c>
      <c r="V66" s="49">
        <f t="shared" ca="1" si="71"/>
        <v>0</v>
      </c>
      <c r="W66" s="49">
        <f t="shared" ca="1" si="71"/>
        <v>0</v>
      </c>
      <c r="X66" s="49">
        <f t="shared" ca="1" si="71"/>
        <v>0</v>
      </c>
      <c r="Y66" s="49">
        <f t="shared" ca="1" si="71"/>
        <v>0</v>
      </c>
      <c r="Z66" s="49">
        <f t="shared" ca="1" si="71"/>
        <v>0</v>
      </c>
      <c r="AA66" s="49">
        <f t="shared" ca="1" si="71"/>
        <v>0</v>
      </c>
      <c r="AB66" s="49">
        <f t="shared" ca="1" si="71"/>
        <v>0</v>
      </c>
      <c r="AC66" s="49">
        <f t="shared" ca="1" si="71"/>
        <v>33960.780468298522</v>
      </c>
      <c r="AD66" s="49">
        <f t="shared" ca="1" si="71"/>
        <v>45581.253080651091</v>
      </c>
      <c r="AE66" s="49">
        <f t="shared" ca="1" si="71"/>
        <v>26523.378198406412</v>
      </c>
      <c r="AF66" s="49">
        <f t="shared" ca="1" si="71"/>
        <v>26037.36669823722</v>
      </c>
      <c r="AG66" s="49">
        <f t="shared" ca="1" si="71"/>
        <v>41785.068029249975</v>
      </c>
      <c r="AH66" s="49">
        <f t="shared" ca="1" si="71"/>
        <v>54476.204928620631</v>
      </c>
      <c r="AI66" s="49">
        <f t="shared" ca="1" si="71"/>
        <v>31680.274923682897</v>
      </c>
      <c r="AJ66" s="49">
        <f t="shared" ca="1" si="71"/>
        <v>30968.740483282425</v>
      </c>
      <c r="AK66" s="49">
        <f t="shared" ca="1" si="71"/>
        <v>49337.806663015632</v>
      </c>
      <c r="AL66" s="49">
        <f t="shared" ca="1" si="71"/>
        <v>64006.249542953919</v>
      </c>
      <c r="AM66" s="49">
        <f t="shared" ca="1" si="71"/>
        <v>37203.717406748168</v>
      </c>
      <c r="AN66" s="49">
        <f t="shared" ca="1" si="71"/>
        <v>36659.686113468648</v>
      </c>
      <c r="AO66" s="49">
        <f t="shared" ca="1" si="71"/>
        <v>57425.618148068381</v>
      </c>
      <c r="AP66" s="49">
        <f t="shared" ca="1" si="71"/>
        <v>73109.459997727448</v>
      </c>
      <c r="AQ66" s="49">
        <f t="shared" ca="1" si="71"/>
        <v>42325.81039593192</v>
      </c>
      <c r="AR66" s="49">
        <f t="shared" ca="1" si="71"/>
        <v>40107.56930087183</v>
      </c>
      <c r="AS66" s="49">
        <f t="shared" ca="1" si="71"/>
        <v>62297.135549394428</v>
      </c>
      <c r="AT66" s="49">
        <f t="shared" ca="1" si="71"/>
        <v>78678.404868594604</v>
      </c>
      <c r="AU66" s="49">
        <f t="shared" ca="1" si="71"/>
        <v>51943.038036941551</v>
      </c>
      <c r="AV66" s="49">
        <f t="shared" ca="1" si="71"/>
        <v>49152.621308405207</v>
      </c>
      <c r="AW66" s="49">
        <f t="shared" ca="1" si="71"/>
        <v>69081.640738771879</v>
      </c>
      <c r="AX66" s="49">
        <f t="shared" ca="1" si="71"/>
        <v>168101.30800737377</v>
      </c>
      <c r="AY66" s="49">
        <f t="shared" ca="1" si="71"/>
        <v>148300.46323571014</v>
      </c>
      <c r="AZ66" s="49">
        <f ca="1">SUM(AZ61:AZ65)</f>
        <v>102808.84214217607</v>
      </c>
      <c r="BA66" s="49">
        <f t="shared" ca="1" si="71"/>
        <v>126900.17656409295</v>
      </c>
      <c r="BB66" s="49">
        <f t="shared" ca="1" si="71"/>
        <v>175588.65161453781</v>
      </c>
      <c r="BC66" s="49">
        <f t="shared" ca="1" si="71"/>
        <v>155108.9526461208</v>
      </c>
      <c r="BD66" s="49">
        <f t="shared" ca="1" si="71"/>
        <v>108376.80849644975</v>
      </c>
      <c r="BE66" s="49">
        <f t="shared" ca="1" si="71"/>
        <v>135423.18808380869</v>
      </c>
      <c r="BF66" s="49">
        <f t="shared" ca="1" si="71"/>
        <v>185451.047705998</v>
      </c>
      <c r="BG66" s="49">
        <f t="shared" ca="1" si="71"/>
        <v>164122.70897369343</v>
      </c>
      <c r="BH66" s="49">
        <f t="shared" ca="1" si="71"/>
        <v>114945.0677776782</v>
      </c>
      <c r="BI66" s="49">
        <f t="shared" ca="1" si="71"/>
        <v>140904.0132717182</v>
      </c>
      <c r="BJ66" s="49">
        <f t="shared" ca="1" si="71"/>
        <v>193409.3046864582</v>
      </c>
      <c r="BK66" s="49">
        <f t="shared" ca="1" si="71"/>
        <v>170959.33184515205</v>
      </c>
      <c r="BL66" s="49">
        <f t="shared" ca="1" si="71"/>
        <v>119630.58603893399</v>
      </c>
      <c r="BM66" s="49">
        <f t="shared" ca="1" si="71"/>
        <v>146628.17200844947</v>
      </c>
      <c r="BN66" s="49">
        <f t="shared" ca="1" si="71"/>
        <v>201233.78573883619</v>
      </c>
      <c r="BO66" s="49">
        <f t="shared" ca="1" si="71"/>
        <v>190831.49362876322</v>
      </c>
      <c r="BP66" s="49">
        <f t="shared" ca="1" si="71"/>
        <v>136652.76196575112</v>
      </c>
      <c r="BQ66" s="49">
        <f t="shared" ca="1" si="71"/>
        <v>172556.25968862709</v>
      </c>
      <c r="BR66" s="49">
        <f t="shared" ca="1" si="71"/>
        <v>235119.10690499615</v>
      </c>
      <c r="BS66" s="49">
        <f t="shared" ca="1" si="71"/>
        <v>198659.85157480717</v>
      </c>
      <c r="BT66" s="49">
        <f t="shared" ca="1" si="71"/>
        <v>143170.57722543861</v>
      </c>
      <c r="BU66" s="49">
        <f t="shared" ca="1" si="71"/>
        <v>180389.21193586767</v>
      </c>
      <c r="BV66" s="49">
        <f t="shared" ca="1" si="71"/>
        <v>244720.84532498082</v>
      </c>
      <c r="BW66" s="49">
        <f t="shared" ca="1" si="71"/>
        <v>206803.22517607646</v>
      </c>
      <c r="BX66" s="49">
        <f t="shared" ca="1" si="71"/>
        <v>148200.82141928779</v>
      </c>
      <c r="BY66" s="49">
        <f t="shared" ref="BY66:CM66" ca="1" si="72">SUM(BY61:BY65)</f>
        <v>187034.35094627243</v>
      </c>
      <c r="BZ66" s="49">
        <f t="shared" ca="1" si="72"/>
        <v>254702.82635826647</v>
      </c>
      <c r="CA66" s="49">
        <f t="shared" ca="1" si="72"/>
        <v>215268.49579313409</v>
      </c>
      <c r="CB66" s="49">
        <f t="shared" ca="1" si="72"/>
        <v>154323.26120365303</v>
      </c>
      <c r="CC66" s="49">
        <f t="shared" ca="1" si="72"/>
        <v>194710.57815424755</v>
      </c>
      <c r="CD66" s="49">
        <f t="shared" ca="1" si="72"/>
        <v>265086.03761349071</v>
      </c>
      <c r="CE66" s="49">
        <f t="shared" ca="1" si="72"/>
        <v>224074.33382575301</v>
      </c>
      <c r="CF66" s="49">
        <f t="shared" ca="1" si="72"/>
        <v>160690.79979115407</v>
      </c>
      <c r="CG66" s="49">
        <f t="shared" ca="1" si="72"/>
        <v>202693.85445054172</v>
      </c>
      <c r="CH66" s="49">
        <f t="shared" ca="1" si="72"/>
        <v>275884.57731892384</v>
      </c>
      <c r="CI66" s="49">
        <f t="shared" ca="1" si="72"/>
        <v>233232.40537967661</v>
      </c>
      <c r="CJ66" s="49">
        <f t="shared" ca="1" si="72"/>
        <v>168316.50357242135</v>
      </c>
      <c r="CK66" s="49">
        <f t="shared" ca="1" si="72"/>
        <v>211857.04197992972</v>
      </c>
      <c r="CL66" s="49">
        <f t="shared" ca="1" si="72"/>
        <v>287116.99165037088</v>
      </c>
      <c r="CM66" s="49">
        <f t="shared" ca="1" si="72"/>
        <v>242758.73914434673</v>
      </c>
      <c r="CN66" s="49">
        <f t="shared" ref="CN66:CO66" ca="1" si="73">SUM(CN61:CN65)</f>
        <v>174200.39599426289</v>
      </c>
      <c r="CO66" s="49">
        <f t="shared" ca="1" si="73"/>
        <v>219631.1734407593</v>
      </c>
    </row>
    <row r="67" spans="1:1019 1104:2031 2116:3043 3128:4055 4140:5067 5152:6079 6164:7091 7176:8188 8193:9207 9292:10219 10304:11231 11316:12243 12328:13255 13340:14267 14352:15279 15364:16383" s="10" customFormat="1" ht="14.5" customHeight="1">
      <c r="E67" s="47"/>
      <c r="G67" s="11"/>
      <c r="CS67" s="47"/>
      <c r="CU67" s="11"/>
      <c r="GB67" s="47"/>
      <c r="GG67" s="47"/>
      <c r="GI67" s="11"/>
      <c r="JP67" s="47"/>
      <c r="JU67" s="47"/>
      <c r="JW67" s="11"/>
      <c r="ND67" s="47"/>
      <c r="NI67" s="47"/>
      <c r="NK67" s="11"/>
      <c r="QR67" s="47"/>
      <c r="QW67" s="47"/>
      <c r="QY67" s="11"/>
      <c r="UF67" s="47"/>
      <c r="UK67" s="47"/>
      <c r="UM67" s="11"/>
      <c r="XT67" s="47"/>
      <c r="XY67" s="47"/>
      <c r="YA67" s="11"/>
      <c r="ABH67" s="47"/>
      <c r="ABM67" s="47"/>
      <c r="ABO67" s="11"/>
      <c r="AEV67" s="47"/>
      <c r="AFA67" s="47"/>
      <c r="AFC67" s="11"/>
      <c r="AIJ67" s="47"/>
      <c r="AIO67" s="47"/>
      <c r="AIQ67" s="11"/>
      <c r="ALX67" s="47"/>
      <c r="AMC67" s="47"/>
      <c r="AME67" s="11"/>
      <c r="APL67" s="47"/>
      <c r="APQ67" s="47"/>
      <c r="APS67" s="11"/>
      <c r="ASZ67" s="47"/>
      <c r="ATE67" s="47"/>
      <c r="ATG67" s="11"/>
      <c r="AWN67" s="47"/>
      <c r="AWS67" s="47"/>
      <c r="AWU67" s="11"/>
      <c r="BAB67" s="47"/>
      <c r="BAG67" s="47"/>
      <c r="BAI67" s="11"/>
      <c r="BDP67" s="47"/>
      <c r="BDU67" s="47"/>
      <c r="BDW67" s="11"/>
      <c r="BHD67" s="47"/>
      <c r="BHI67" s="47"/>
      <c r="BHK67" s="11"/>
      <c r="BKR67" s="47"/>
      <c r="BKW67" s="47"/>
      <c r="BKY67" s="11"/>
      <c r="BOF67" s="47"/>
      <c r="BOK67" s="47"/>
      <c r="BOM67" s="11"/>
      <c r="BRT67" s="47"/>
      <c r="BRY67" s="47"/>
      <c r="BSA67" s="11"/>
      <c r="BVH67" s="47"/>
      <c r="BVM67" s="47"/>
      <c r="BVO67" s="11"/>
      <c r="BYV67" s="47"/>
      <c r="BZA67" s="47"/>
      <c r="BZC67" s="11"/>
      <c r="CCJ67" s="47"/>
      <c r="CCO67" s="47"/>
      <c r="CCQ67" s="11"/>
      <c r="CFX67" s="47"/>
      <c r="CGC67" s="47"/>
      <c r="CGE67" s="11"/>
      <c r="CJL67" s="47"/>
      <c r="CJQ67" s="47"/>
      <c r="CJS67" s="11"/>
      <c r="CMZ67" s="47"/>
      <c r="CNE67" s="47"/>
      <c r="CNG67" s="11"/>
      <c r="CQN67" s="47"/>
      <c r="CQS67" s="47"/>
      <c r="CQU67" s="11"/>
      <c r="CUB67" s="47"/>
      <c r="CUG67" s="47"/>
      <c r="CUI67" s="11"/>
      <c r="CXP67" s="47"/>
      <c r="CXU67" s="47"/>
      <c r="CXW67" s="11"/>
      <c r="DBD67" s="47"/>
      <c r="DBI67" s="47"/>
      <c r="DBK67" s="11"/>
      <c r="DER67" s="47"/>
      <c r="DEW67" s="47"/>
      <c r="DEY67" s="11"/>
      <c r="DIF67" s="47"/>
      <c r="DIK67" s="47"/>
      <c r="DIM67" s="11"/>
      <c r="DLT67" s="47"/>
      <c r="DLY67" s="47"/>
      <c r="DMA67" s="11"/>
      <c r="DPH67" s="47"/>
      <c r="DPM67" s="47"/>
      <c r="DPO67" s="11"/>
      <c r="DSV67" s="47"/>
      <c r="DTA67" s="47"/>
      <c r="DTC67" s="11"/>
      <c r="DWJ67" s="47"/>
      <c r="DWO67" s="47"/>
      <c r="DWQ67" s="11"/>
      <c r="DZX67" s="47"/>
      <c r="EAC67" s="47"/>
      <c r="EAE67" s="11"/>
      <c r="EDL67" s="47"/>
      <c r="EDQ67" s="47"/>
      <c r="EDS67" s="11"/>
      <c r="EGZ67" s="47"/>
      <c r="EHE67" s="47"/>
      <c r="EHG67" s="11"/>
      <c r="EKN67" s="47"/>
      <c r="EKS67" s="47"/>
      <c r="EKU67" s="11"/>
      <c r="EOB67" s="47"/>
      <c r="EOG67" s="47"/>
      <c r="EOI67" s="11"/>
      <c r="ERP67" s="47"/>
      <c r="ERU67" s="47"/>
      <c r="ERW67" s="11"/>
      <c r="EVD67" s="47"/>
      <c r="EVI67" s="47"/>
      <c r="EVK67" s="11"/>
      <c r="EYR67" s="47"/>
      <c r="EYW67" s="47"/>
      <c r="EYY67" s="11"/>
      <c r="FCF67" s="47"/>
      <c r="FCK67" s="47"/>
      <c r="FCM67" s="11"/>
      <c r="FFT67" s="47"/>
      <c r="FFY67" s="47"/>
      <c r="FGA67" s="11"/>
      <c r="FJH67" s="47"/>
      <c r="FJM67" s="47"/>
      <c r="FJO67" s="11"/>
      <c r="FMV67" s="47"/>
      <c r="FNA67" s="47"/>
      <c r="FNC67" s="11"/>
      <c r="FQJ67" s="47"/>
      <c r="FQO67" s="47"/>
      <c r="FQQ67" s="11"/>
      <c r="FTX67" s="47"/>
      <c r="FUC67" s="47"/>
      <c r="FUE67" s="11"/>
      <c r="FXL67" s="47"/>
      <c r="FXQ67" s="47"/>
      <c r="FXS67" s="11"/>
      <c r="GAZ67" s="47"/>
      <c r="GBE67" s="47"/>
      <c r="GBG67" s="11"/>
      <c r="GEN67" s="47"/>
      <c r="GES67" s="47"/>
      <c r="GEU67" s="11"/>
      <c r="GIB67" s="47"/>
      <c r="GIG67" s="47"/>
      <c r="GII67" s="11"/>
      <c r="GLP67" s="47"/>
      <c r="GLU67" s="47"/>
      <c r="GLW67" s="11"/>
      <c r="GPD67" s="47"/>
      <c r="GPI67" s="47"/>
      <c r="GPK67" s="11"/>
      <c r="GSR67" s="47"/>
      <c r="GSW67" s="47"/>
      <c r="GSY67" s="11"/>
      <c r="GWF67" s="47"/>
      <c r="GWK67" s="47"/>
      <c r="GWM67" s="11"/>
      <c r="GZT67" s="47"/>
      <c r="GZY67" s="47"/>
      <c r="HAA67" s="11"/>
      <c r="HDH67" s="47"/>
      <c r="HDM67" s="47"/>
      <c r="HDO67" s="11"/>
      <c r="HGV67" s="47"/>
      <c r="HHA67" s="47"/>
      <c r="HHC67" s="11"/>
      <c r="HKJ67" s="47"/>
      <c r="HKO67" s="47"/>
      <c r="HKQ67" s="11"/>
      <c r="HNX67" s="47"/>
      <c r="HOC67" s="47"/>
      <c r="HOE67" s="11"/>
      <c r="HRL67" s="47"/>
      <c r="HRQ67" s="47"/>
      <c r="HRS67" s="11"/>
      <c r="HUZ67" s="47"/>
      <c r="HVE67" s="47"/>
      <c r="HVG67" s="11"/>
      <c r="HYN67" s="47"/>
      <c r="HYS67" s="47"/>
      <c r="HYU67" s="11"/>
      <c r="ICB67" s="47"/>
      <c r="ICG67" s="47"/>
      <c r="ICI67" s="11"/>
      <c r="IFP67" s="47"/>
      <c r="IFU67" s="47"/>
      <c r="IFW67" s="11"/>
      <c r="IJD67" s="47"/>
      <c r="IJI67" s="47"/>
      <c r="IJK67" s="11"/>
      <c r="IMR67" s="47"/>
      <c r="IMW67" s="47"/>
      <c r="IMY67" s="11"/>
      <c r="IQF67" s="47"/>
      <c r="IQK67" s="47"/>
      <c r="IQM67" s="11"/>
      <c r="ITT67" s="47"/>
      <c r="ITY67" s="47"/>
      <c r="IUA67" s="11"/>
      <c r="IXH67" s="47"/>
      <c r="IXM67" s="47"/>
      <c r="IXO67" s="11"/>
      <c r="JAV67" s="47"/>
      <c r="JBA67" s="47"/>
      <c r="JBC67" s="11"/>
      <c r="JEJ67" s="47"/>
      <c r="JEO67" s="47"/>
      <c r="JEQ67" s="11"/>
      <c r="JHX67" s="47"/>
      <c r="JIC67" s="47"/>
      <c r="JIE67" s="11"/>
      <c r="JLL67" s="47"/>
      <c r="JLQ67" s="47"/>
      <c r="JLS67" s="11"/>
      <c r="JOZ67" s="47"/>
      <c r="JPE67" s="47"/>
      <c r="JPG67" s="11"/>
      <c r="JSN67" s="47"/>
      <c r="JSS67" s="47"/>
      <c r="JSU67" s="11"/>
      <c r="JWB67" s="47"/>
      <c r="JWG67" s="47"/>
      <c r="JWI67" s="11"/>
      <c r="JZP67" s="47"/>
      <c r="JZU67" s="47"/>
      <c r="JZW67" s="11"/>
      <c r="KDD67" s="47"/>
      <c r="KDI67" s="47"/>
      <c r="KDK67" s="11"/>
      <c r="KGR67" s="47"/>
      <c r="KGW67" s="47"/>
      <c r="KGY67" s="11"/>
      <c r="KKF67" s="47"/>
      <c r="KKK67" s="47"/>
      <c r="KKM67" s="11"/>
      <c r="KNT67" s="47"/>
      <c r="KNY67" s="47"/>
      <c r="KOA67" s="11"/>
      <c r="KRH67" s="47"/>
      <c r="KRM67" s="47"/>
      <c r="KRO67" s="11"/>
      <c r="KUV67" s="47"/>
      <c r="KVA67" s="47"/>
      <c r="KVC67" s="11"/>
      <c r="KYJ67" s="47"/>
      <c r="KYO67" s="47"/>
      <c r="KYQ67" s="11"/>
      <c r="LBX67" s="47"/>
      <c r="LCC67" s="47"/>
      <c r="LCE67" s="11"/>
      <c r="LFL67" s="47"/>
      <c r="LFQ67" s="47"/>
      <c r="LFS67" s="11"/>
      <c r="LIZ67" s="47"/>
      <c r="LJE67" s="47"/>
      <c r="LJG67" s="11"/>
      <c r="LMN67" s="47"/>
      <c r="LMS67" s="47"/>
      <c r="LMU67" s="11"/>
      <c r="LQB67" s="47"/>
      <c r="LQG67" s="47"/>
      <c r="LQI67" s="11"/>
      <c r="LTP67" s="47"/>
      <c r="LTU67" s="47"/>
      <c r="LTW67" s="11"/>
      <c r="LXD67" s="47"/>
      <c r="LXI67" s="47"/>
      <c r="LXK67" s="11"/>
      <c r="MAR67" s="47"/>
      <c r="MAW67" s="47"/>
      <c r="MAY67" s="11"/>
      <c r="MEF67" s="47"/>
      <c r="MEK67" s="47"/>
      <c r="MEM67" s="11"/>
      <c r="MHT67" s="47"/>
      <c r="MHY67" s="47"/>
      <c r="MIA67" s="11"/>
      <c r="MLH67" s="47"/>
      <c r="MLM67" s="47"/>
      <c r="MLO67" s="11"/>
      <c r="MOV67" s="47"/>
      <c r="MPA67" s="47"/>
      <c r="MPC67" s="11"/>
      <c r="MSJ67" s="47"/>
      <c r="MSO67" s="47"/>
      <c r="MSQ67" s="11"/>
      <c r="MVX67" s="47"/>
      <c r="MWC67" s="47"/>
      <c r="MWE67" s="11"/>
      <c r="MZL67" s="47"/>
      <c r="MZQ67" s="47"/>
      <c r="MZS67" s="11"/>
      <c r="NCZ67" s="47"/>
      <c r="NDE67" s="47"/>
      <c r="NDG67" s="11"/>
      <c r="NGN67" s="47"/>
      <c r="NGS67" s="47"/>
      <c r="NGU67" s="11"/>
      <c r="NKB67" s="47"/>
      <c r="NKG67" s="47"/>
      <c r="NKI67" s="11"/>
      <c r="NNP67" s="47"/>
      <c r="NNU67" s="47"/>
      <c r="NNW67" s="11"/>
      <c r="NRD67" s="47"/>
      <c r="NRI67" s="47"/>
      <c r="NRK67" s="11"/>
      <c r="NUR67" s="47"/>
      <c r="NUW67" s="47"/>
      <c r="NUY67" s="11"/>
      <c r="NYF67" s="47"/>
      <c r="NYK67" s="47"/>
      <c r="NYM67" s="11"/>
      <c r="OBT67" s="47"/>
      <c r="OBY67" s="47"/>
      <c r="OCA67" s="11"/>
      <c r="OFH67" s="47"/>
      <c r="OFM67" s="47"/>
      <c r="OFO67" s="11"/>
      <c r="OIV67" s="47"/>
      <c r="OJA67" s="47"/>
      <c r="OJC67" s="11"/>
      <c r="OMJ67" s="47"/>
      <c r="OMO67" s="47"/>
      <c r="OMQ67" s="11"/>
      <c r="OPX67" s="47"/>
      <c r="OQC67" s="47"/>
      <c r="OQE67" s="11"/>
      <c r="OTL67" s="47"/>
      <c r="OTQ67" s="47"/>
      <c r="OTS67" s="11"/>
      <c r="OWZ67" s="47"/>
      <c r="OXE67" s="47"/>
      <c r="OXG67" s="11"/>
      <c r="PAN67" s="47"/>
      <c r="PAS67" s="47"/>
      <c r="PAU67" s="11"/>
      <c r="PEB67" s="47"/>
      <c r="PEG67" s="47"/>
      <c r="PEI67" s="11"/>
      <c r="PHP67" s="47"/>
      <c r="PHU67" s="47"/>
      <c r="PHW67" s="11"/>
      <c r="PLD67" s="47"/>
      <c r="PLI67" s="47"/>
      <c r="PLK67" s="11"/>
      <c r="POR67" s="47"/>
      <c r="POW67" s="47"/>
      <c r="POY67" s="11"/>
      <c r="PSF67" s="47"/>
      <c r="PSK67" s="47"/>
      <c r="PSM67" s="11"/>
      <c r="PVT67" s="47"/>
      <c r="PVY67" s="47"/>
      <c r="PWA67" s="11"/>
      <c r="PZH67" s="47"/>
      <c r="PZM67" s="47"/>
      <c r="PZO67" s="11"/>
      <c r="QCV67" s="47"/>
      <c r="QDA67" s="47"/>
      <c r="QDC67" s="11"/>
      <c r="QGJ67" s="47"/>
      <c r="QGO67" s="47"/>
      <c r="QGQ67" s="11"/>
      <c r="QJX67" s="47"/>
      <c r="QKC67" s="47"/>
      <c r="QKE67" s="11"/>
      <c r="QNL67" s="47"/>
      <c r="QNQ67" s="47"/>
      <c r="QNS67" s="11"/>
      <c r="QQZ67" s="47"/>
      <c r="QRE67" s="47"/>
      <c r="QRG67" s="11"/>
      <c r="QUN67" s="47"/>
      <c r="QUS67" s="47"/>
      <c r="QUU67" s="11"/>
      <c r="QYB67" s="47"/>
      <c r="QYG67" s="47"/>
      <c r="QYI67" s="11"/>
      <c r="RBP67" s="47"/>
      <c r="RBU67" s="47"/>
      <c r="RBW67" s="11"/>
      <c r="RFD67" s="47"/>
      <c r="RFI67" s="47"/>
      <c r="RFK67" s="11"/>
      <c r="RIR67" s="47"/>
      <c r="RIW67" s="47"/>
      <c r="RIY67" s="11"/>
      <c r="RMF67" s="47"/>
      <c r="RMK67" s="47"/>
      <c r="RMM67" s="11"/>
      <c r="RPT67" s="47"/>
      <c r="RPY67" s="47"/>
      <c r="RQA67" s="11"/>
      <c r="RTH67" s="47"/>
      <c r="RTM67" s="47"/>
      <c r="RTO67" s="11"/>
      <c r="RWV67" s="47"/>
      <c r="RXA67" s="47"/>
      <c r="RXC67" s="11"/>
      <c r="SAJ67" s="47"/>
      <c r="SAO67" s="47"/>
      <c r="SAQ67" s="11"/>
      <c r="SDX67" s="47"/>
      <c r="SEC67" s="47"/>
      <c r="SEE67" s="11"/>
      <c r="SHL67" s="47"/>
      <c r="SHQ67" s="47"/>
      <c r="SHS67" s="11"/>
      <c r="SKZ67" s="47"/>
      <c r="SLE67" s="47"/>
      <c r="SLG67" s="11"/>
      <c r="SON67" s="47"/>
      <c r="SOS67" s="47"/>
      <c r="SOU67" s="11"/>
      <c r="SSB67" s="47"/>
      <c r="SSG67" s="47"/>
      <c r="SSI67" s="11"/>
      <c r="SVP67" s="47"/>
      <c r="SVU67" s="47"/>
      <c r="SVW67" s="11"/>
      <c r="SZD67" s="47"/>
      <c r="SZI67" s="47"/>
      <c r="SZK67" s="11"/>
      <c r="TCR67" s="47"/>
      <c r="TCW67" s="47"/>
      <c r="TCY67" s="11"/>
      <c r="TGF67" s="47"/>
      <c r="TGK67" s="47"/>
      <c r="TGM67" s="11"/>
      <c r="TJT67" s="47"/>
      <c r="TJY67" s="47"/>
      <c r="TKA67" s="11"/>
      <c r="TNH67" s="47"/>
      <c r="TNM67" s="47"/>
      <c r="TNO67" s="11"/>
      <c r="TQV67" s="47"/>
      <c r="TRA67" s="47"/>
      <c r="TRC67" s="11"/>
      <c r="TUJ67" s="47"/>
      <c r="TUO67" s="47"/>
      <c r="TUQ67" s="11"/>
      <c r="TXX67" s="47"/>
      <c r="TYC67" s="47"/>
      <c r="TYE67" s="11"/>
      <c r="UBL67" s="47"/>
      <c r="UBQ67" s="47"/>
      <c r="UBS67" s="11"/>
      <c r="UEZ67" s="47"/>
      <c r="UFE67" s="47"/>
      <c r="UFG67" s="11"/>
      <c r="UIN67" s="47"/>
      <c r="UIS67" s="47"/>
      <c r="UIU67" s="11"/>
      <c r="UMB67" s="47"/>
      <c r="UMG67" s="47"/>
      <c r="UMI67" s="11"/>
      <c r="UPP67" s="47"/>
      <c r="UPU67" s="47"/>
      <c r="UPW67" s="11"/>
      <c r="UTD67" s="47"/>
      <c r="UTI67" s="47"/>
      <c r="UTK67" s="11"/>
      <c r="UWR67" s="47"/>
      <c r="UWW67" s="47"/>
      <c r="UWY67" s="11"/>
      <c r="VAF67" s="47"/>
      <c r="VAK67" s="47"/>
      <c r="VAM67" s="11"/>
      <c r="VDT67" s="47"/>
      <c r="VDY67" s="47"/>
      <c r="VEA67" s="11"/>
      <c r="VHH67" s="47"/>
      <c r="VHM67" s="47"/>
      <c r="VHO67" s="11"/>
      <c r="VKV67" s="47"/>
      <c r="VLA67" s="47"/>
      <c r="VLC67" s="11"/>
      <c r="VOJ67" s="47"/>
      <c r="VOO67" s="47"/>
      <c r="VOQ67" s="11"/>
      <c r="VRX67" s="47"/>
      <c r="VSC67" s="47"/>
      <c r="VSE67" s="11"/>
      <c r="VVL67" s="47"/>
      <c r="VVQ67" s="47"/>
      <c r="VVS67" s="11"/>
      <c r="VYZ67" s="47"/>
      <c r="VZE67" s="47"/>
      <c r="VZG67" s="11"/>
      <c r="WCN67" s="47"/>
      <c r="WCS67" s="47"/>
      <c r="WCU67" s="11"/>
      <c r="WGB67" s="47"/>
      <c r="WGG67" s="47"/>
      <c r="WGI67" s="11"/>
      <c r="WJP67" s="47"/>
      <c r="WJU67" s="47"/>
      <c r="WJW67" s="11"/>
      <c r="WND67" s="47"/>
      <c r="WNI67" s="47"/>
      <c r="WNK67" s="11"/>
      <c r="WQR67" s="47"/>
      <c r="WQW67" s="47"/>
      <c r="WQY67" s="11"/>
      <c r="WUF67" s="47"/>
      <c r="WUK67" s="47"/>
      <c r="WUM67" s="11"/>
      <c r="WXT67" s="47"/>
      <c r="WXY67" s="47"/>
      <c r="WYA67" s="11"/>
      <c r="XBH67" s="47"/>
      <c r="XBM67" s="47"/>
      <c r="XBO67" s="11"/>
      <c r="XEV67" s="47"/>
      <c r="XFA67" s="47"/>
      <c r="XFC67" s="11"/>
    </row>
    <row r="68" spans="1:1019 1104:2031 2116:3043 3128:4055 4140:5067 5152:6079 6164:7091 7176:8188 8193:9207 9292:10219 10304:11231 11316:12243 12328:13255 13340:14267 14352:15279 15364:16383" s="10" customFormat="1" ht="14.5" customHeight="1">
      <c r="C68" s="367" t="s">
        <v>1038</v>
      </c>
      <c r="E68" s="47"/>
      <c r="G68" s="11"/>
      <c r="CS68" s="47"/>
      <c r="CU68" s="11"/>
      <c r="GB68" s="47"/>
      <c r="GG68" s="47"/>
      <c r="GI68" s="11"/>
      <c r="JP68" s="47"/>
      <c r="JU68" s="47"/>
      <c r="JW68" s="11"/>
      <c r="ND68" s="47"/>
      <c r="NI68" s="47"/>
      <c r="NK68" s="11"/>
      <c r="QR68" s="47"/>
      <c r="QW68" s="47"/>
      <c r="QY68" s="11"/>
      <c r="UF68" s="47"/>
      <c r="UK68" s="47"/>
      <c r="UM68" s="11"/>
      <c r="XT68" s="47"/>
      <c r="XY68" s="47"/>
      <c r="YA68" s="11"/>
      <c r="ABH68" s="47"/>
      <c r="ABM68" s="47"/>
      <c r="ABO68" s="11"/>
      <c r="AEV68" s="47"/>
      <c r="AFA68" s="47"/>
      <c r="AFC68" s="11"/>
      <c r="AIJ68" s="47"/>
      <c r="AIO68" s="47"/>
      <c r="AIQ68" s="11"/>
      <c r="ALX68" s="47"/>
      <c r="AMC68" s="47"/>
      <c r="AME68" s="11"/>
      <c r="APL68" s="47"/>
      <c r="APQ68" s="47"/>
      <c r="APS68" s="11"/>
      <c r="ASZ68" s="47"/>
      <c r="ATE68" s="47"/>
      <c r="ATG68" s="11"/>
      <c r="AWN68" s="47"/>
      <c r="AWS68" s="47"/>
      <c r="AWU68" s="11"/>
      <c r="BAB68" s="47"/>
      <c r="BAG68" s="47"/>
      <c r="BAI68" s="11"/>
      <c r="BDP68" s="47"/>
      <c r="BDU68" s="47"/>
      <c r="BDW68" s="11"/>
      <c r="BHD68" s="47"/>
      <c r="BHI68" s="47"/>
      <c r="BHK68" s="11"/>
      <c r="BKR68" s="47"/>
      <c r="BKW68" s="47"/>
      <c r="BKY68" s="11"/>
      <c r="BOF68" s="47"/>
      <c r="BOK68" s="47"/>
      <c r="BOM68" s="11"/>
      <c r="BRT68" s="47"/>
      <c r="BRY68" s="47"/>
      <c r="BSA68" s="11"/>
      <c r="BVH68" s="47"/>
      <c r="BVM68" s="47"/>
      <c r="BVO68" s="11"/>
      <c r="BYV68" s="47"/>
      <c r="BZA68" s="47"/>
      <c r="BZC68" s="11"/>
      <c r="CCJ68" s="47"/>
      <c r="CCO68" s="47"/>
      <c r="CCQ68" s="11"/>
      <c r="CFX68" s="47"/>
      <c r="CGC68" s="47"/>
      <c r="CGE68" s="11"/>
      <c r="CJL68" s="47"/>
      <c r="CJQ68" s="47"/>
      <c r="CJS68" s="11"/>
      <c r="CMZ68" s="47"/>
      <c r="CNE68" s="47"/>
      <c r="CNG68" s="11"/>
      <c r="CQN68" s="47"/>
      <c r="CQS68" s="47"/>
      <c r="CQU68" s="11"/>
      <c r="CUB68" s="47"/>
      <c r="CUG68" s="47"/>
      <c r="CUI68" s="11"/>
      <c r="CXP68" s="47"/>
      <c r="CXU68" s="47"/>
      <c r="CXW68" s="11"/>
      <c r="DBD68" s="47"/>
      <c r="DBI68" s="47"/>
      <c r="DBK68" s="11"/>
      <c r="DER68" s="47"/>
      <c r="DEW68" s="47"/>
      <c r="DEY68" s="11"/>
      <c r="DIF68" s="47"/>
      <c r="DIK68" s="47"/>
      <c r="DIM68" s="11"/>
      <c r="DLT68" s="47"/>
      <c r="DLY68" s="47"/>
      <c r="DMA68" s="11"/>
      <c r="DPH68" s="47"/>
      <c r="DPM68" s="47"/>
      <c r="DPO68" s="11"/>
      <c r="DSV68" s="47"/>
      <c r="DTA68" s="47"/>
      <c r="DTC68" s="11"/>
      <c r="DWJ68" s="47"/>
      <c r="DWO68" s="47"/>
      <c r="DWQ68" s="11"/>
      <c r="DZX68" s="47"/>
      <c r="EAC68" s="47"/>
      <c r="EAE68" s="11"/>
      <c r="EDL68" s="47"/>
      <c r="EDQ68" s="47"/>
      <c r="EDS68" s="11"/>
      <c r="EGZ68" s="47"/>
      <c r="EHE68" s="47"/>
      <c r="EHG68" s="11"/>
      <c r="EKN68" s="47"/>
      <c r="EKS68" s="47"/>
      <c r="EKU68" s="11"/>
      <c r="EOB68" s="47"/>
      <c r="EOG68" s="47"/>
      <c r="EOI68" s="11"/>
      <c r="ERP68" s="47"/>
      <c r="ERU68" s="47"/>
      <c r="ERW68" s="11"/>
      <c r="EVD68" s="47"/>
      <c r="EVI68" s="47"/>
      <c r="EVK68" s="11"/>
      <c r="EYR68" s="47"/>
      <c r="EYW68" s="47"/>
      <c r="EYY68" s="11"/>
      <c r="FCF68" s="47"/>
      <c r="FCK68" s="47"/>
      <c r="FCM68" s="11"/>
      <c r="FFT68" s="47"/>
      <c r="FFY68" s="47"/>
      <c r="FGA68" s="11"/>
      <c r="FJH68" s="47"/>
      <c r="FJM68" s="47"/>
      <c r="FJO68" s="11"/>
      <c r="FMV68" s="47"/>
      <c r="FNA68" s="47"/>
      <c r="FNC68" s="11"/>
      <c r="FQJ68" s="47"/>
      <c r="FQO68" s="47"/>
      <c r="FQQ68" s="11"/>
      <c r="FTX68" s="47"/>
      <c r="FUC68" s="47"/>
      <c r="FUE68" s="11"/>
      <c r="FXL68" s="47"/>
      <c r="FXQ68" s="47"/>
      <c r="FXS68" s="11"/>
      <c r="GAZ68" s="47"/>
      <c r="GBE68" s="47"/>
      <c r="GBG68" s="11"/>
      <c r="GEN68" s="47"/>
      <c r="GES68" s="47"/>
      <c r="GEU68" s="11"/>
      <c r="GIB68" s="47"/>
      <c r="GIG68" s="47"/>
      <c r="GII68" s="11"/>
      <c r="GLP68" s="47"/>
      <c r="GLU68" s="47"/>
      <c r="GLW68" s="11"/>
      <c r="GPD68" s="47"/>
      <c r="GPI68" s="47"/>
      <c r="GPK68" s="11"/>
      <c r="GSR68" s="47"/>
      <c r="GSW68" s="47"/>
      <c r="GSY68" s="11"/>
      <c r="GWF68" s="47"/>
      <c r="GWK68" s="47"/>
      <c r="GWM68" s="11"/>
      <c r="GZT68" s="47"/>
      <c r="GZY68" s="47"/>
      <c r="HAA68" s="11"/>
      <c r="HDH68" s="47"/>
      <c r="HDM68" s="47"/>
      <c r="HDO68" s="11"/>
      <c r="HGV68" s="47"/>
      <c r="HHA68" s="47"/>
      <c r="HHC68" s="11"/>
      <c r="HKJ68" s="47"/>
      <c r="HKO68" s="47"/>
      <c r="HKQ68" s="11"/>
      <c r="HNX68" s="47"/>
      <c r="HOC68" s="47"/>
      <c r="HOE68" s="11"/>
      <c r="HRL68" s="47"/>
      <c r="HRQ68" s="47"/>
      <c r="HRS68" s="11"/>
      <c r="HUZ68" s="47"/>
      <c r="HVE68" s="47"/>
      <c r="HVG68" s="11"/>
      <c r="HYN68" s="47"/>
      <c r="HYS68" s="47"/>
      <c r="HYU68" s="11"/>
      <c r="ICB68" s="47"/>
      <c r="ICG68" s="47"/>
      <c r="ICI68" s="11"/>
      <c r="IFP68" s="47"/>
      <c r="IFU68" s="47"/>
      <c r="IFW68" s="11"/>
      <c r="IJD68" s="47"/>
      <c r="IJI68" s="47"/>
      <c r="IJK68" s="11"/>
      <c r="IMR68" s="47"/>
      <c r="IMW68" s="47"/>
      <c r="IMY68" s="11"/>
      <c r="IQF68" s="47"/>
      <c r="IQK68" s="47"/>
      <c r="IQM68" s="11"/>
      <c r="ITT68" s="47"/>
      <c r="ITY68" s="47"/>
      <c r="IUA68" s="11"/>
      <c r="IXH68" s="47"/>
      <c r="IXM68" s="47"/>
      <c r="IXO68" s="11"/>
      <c r="JAV68" s="47"/>
      <c r="JBA68" s="47"/>
      <c r="JBC68" s="11"/>
      <c r="JEJ68" s="47"/>
      <c r="JEO68" s="47"/>
      <c r="JEQ68" s="11"/>
      <c r="JHX68" s="47"/>
      <c r="JIC68" s="47"/>
      <c r="JIE68" s="11"/>
      <c r="JLL68" s="47"/>
      <c r="JLQ68" s="47"/>
      <c r="JLS68" s="11"/>
      <c r="JOZ68" s="47"/>
      <c r="JPE68" s="47"/>
      <c r="JPG68" s="11"/>
      <c r="JSN68" s="47"/>
      <c r="JSS68" s="47"/>
      <c r="JSU68" s="11"/>
      <c r="JWB68" s="47"/>
      <c r="JWG68" s="47"/>
      <c r="JWI68" s="11"/>
      <c r="JZP68" s="47"/>
      <c r="JZU68" s="47"/>
      <c r="JZW68" s="11"/>
      <c r="KDD68" s="47"/>
      <c r="KDI68" s="47"/>
      <c r="KDK68" s="11"/>
      <c r="KGR68" s="47"/>
      <c r="KGW68" s="47"/>
      <c r="KGY68" s="11"/>
      <c r="KKF68" s="47"/>
      <c r="KKK68" s="47"/>
      <c r="KKM68" s="11"/>
      <c r="KNT68" s="47"/>
      <c r="KNY68" s="47"/>
      <c r="KOA68" s="11"/>
      <c r="KRH68" s="47"/>
      <c r="KRM68" s="47"/>
      <c r="KRO68" s="11"/>
      <c r="KUV68" s="47"/>
      <c r="KVA68" s="47"/>
      <c r="KVC68" s="11"/>
      <c r="KYJ68" s="47"/>
      <c r="KYO68" s="47"/>
      <c r="KYQ68" s="11"/>
      <c r="LBX68" s="47"/>
      <c r="LCC68" s="47"/>
      <c r="LCE68" s="11"/>
      <c r="LFL68" s="47"/>
      <c r="LFQ68" s="47"/>
      <c r="LFS68" s="11"/>
      <c r="LIZ68" s="47"/>
      <c r="LJE68" s="47"/>
      <c r="LJG68" s="11"/>
      <c r="LMN68" s="47"/>
      <c r="LMS68" s="47"/>
      <c r="LMU68" s="11"/>
      <c r="LQB68" s="47"/>
      <c r="LQG68" s="47"/>
      <c r="LQI68" s="11"/>
      <c r="LTP68" s="47"/>
      <c r="LTU68" s="47"/>
      <c r="LTW68" s="11"/>
      <c r="LXD68" s="47"/>
      <c r="LXI68" s="47"/>
      <c r="LXK68" s="11"/>
      <c r="MAR68" s="47"/>
      <c r="MAW68" s="47"/>
      <c r="MAY68" s="11"/>
      <c r="MEF68" s="47"/>
      <c r="MEK68" s="47"/>
      <c r="MEM68" s="11"/>
      <c r="MHT68" s="47"/>
      <c r="MHY68" s="47"/>
      <c r="MIA68" s="11"/>
      <c r="MLH68" s="47"/>
      <c r="MLM68" s="47"/>
      <c r="MLO68" s="11"/>
      <c r="MOV68" s="47"/>
      <c r="MPA68" s="47"/>
      <c r="MPC68" s="11"/>
      <c r="MSJ68" s="47"/>
      <c r="MSO68" s="47"/>
      <c r="MSQ68" s="11"/>
      <c r="MVX68" s="47"/>
      <c r="MWC68" s="47"/>
      <c r="MWE68" s="11"/>
      <c r="MZL68" s="47"/>
      <c r="MZQ68" s="47"/>
      <c r="MZS68" s="11"/>
      <c r="NCZ68" s="47"/>
      <c r="NDE68" s="47"/>
      <c r="NDG68" s="11"/>
      <c r="NGN68" s="47"/>
      <c r="NGS68" s="47"/>
      <c r="NGU68" s="11"/>
      <c r="NKB68" s="47"/>
      <c r="NKG68" s="47"/>
      <c r="NKI68" s="11"/>
      <c r="NNP68" s="47"/>
      <c r="NNU68" s="47"/>
      <c r="NNW68" s="11"/>
      <c r="NRD68" s="47"/>
      <c r="NRI68" s="47"/>
      <c r="NRK68" s="11"/>
      <c r="NUR68" s="47"/>
      <c r="NUW68" s="47"/>
      <c r="NUY68" s="11"/>
      <c r="NYF68" s="47"/>
      <c r="NYK68" s="47"/>
      <c r="NYM68" s="11"/>
      <c r="OBT68" s="47"/>
      <c r="OBY68" s="47"/>
      <c r="OCA68" s="11"/>
      <c r="OFH68" s="47"/>
      <c r="OFM68" s="47"/>
      <c r="OFO68" s="11"/>
      <c r="OIV68" s="47"/>
      <c r="OJA68" s="47"/>
      <c r="OJC68" s="11"/>
      <c r="OMJ68" s="47"/>
      <c r="OMO68" s="47"/>
      <c r="OMQ68" s="11"/>
      <c r="OPX68" s="47"/>
      <c r="OQC68" s="47"/>
      <c r="OQE68" s="11"/>
      <c r="OTL68" s="47"/>
      <c r="OTQ68" s="47"/>
      <c r="OTS68" s="11"/>
      <c r="OWZ68" s="47"/>
      <c r="OXE68" s="47"/>
      <c r="OXG68" s="11"/>
      <c r="PAN68" s="47"/>
      <c r="PAS68" s="47"/>
      <c r="PAU68" s="11"/>
      <c r="PEB68" s="47"/>
      <c r="PEG68" s="47"/>
      <c r="PEI68" s="11"/>
      <c r="PHP68" s="47"/>
      <c r="PHU68" s="47"/>
      <c r="PHW68" s="11"/>
      <c r="PLD68" s="47"/>
      <c r="PLI68" s="47"/>
      <c r="PLK68" s="11"/>
      <c r="POR68" s="47"/>
      <c r="POW68" s="47"/>
      <c r="POY68" s="11"/>
      <c r="PSF68" s="47"/>
      <c r="PSK68" s="47"/>
      <c r="PSM68" s="11"/>
      <c r="PVT68" s="47"/>
      <c r="PVY68" s="47"/>
      <c r="PWA68" s="11"/>
      <c r="PZH68" s="47"/>
      <c r="PZM68" s="47"/>
      <c r="PZO68" s="11"/>
      <c r="QCV68" s="47"/>
      <c r="QDA68" s="47"/>
      <c r="QDC68" s="11"/>
      <c r="QGJ68" s="47"/>
      <c r="QGO68" s="47"/>
      <c r="QGQ68" s="11"/>
      <c r="QJX68" s="47"/>
      <c r="QKC68" s="47"/>
      <c r="QKE68" s="11"/>
      <c r="QNL68" s="47"/>
      <c r="QNQ68" s="47"/>
      <c r="QNS68" s="11"/>
      <c r="QQZ68" s="47"/>
      <c r="QRE68" s="47"/>
      <c r="QRG68" s="11"/>
      <c r="QUN68" s="47"/>
      <c r="QUS68" s="47"/>
      <c r="QUU68" s="11"/>
      <c r="QYB68" s="47"/>
      <c r="QYG68" s="47"/>
      <c r="QYI68" s="11"/>
      <c r="RBP68" s="47"/>
      <c r="RBU68" s="47"/>
      <c r="RBW68" s="11"/>
      <c r="RFD68" s="47"/>
      <c r="RFI68" s="47"/>
      <c r="RFK68" s="11"/>
      <c r="RIR68" s="47"/>
      <c r="RIW68" s="47"/>
      <c r="RIY68" s="11"/>
      <c r="RMF68" s="47"/>
      <c r="RMK68" s="47"/>
      <c r="RMM68" s="11"/>
      <c r="RPT68" s="47"/>
      <c r="RPY68" s="47"/>
      <c r="RQA68" s="11"/>
      <c r="RTH68" s="47"/>
      <c r="RTM68" s="47"/>
      <c r="RTO68" s="11"/>
      <c r="RWV68" s="47"/>
      <c r="RXA68" s="47"/>
      <c r="RXC68" s="11"/>
      <c r="SAJ68" s="47"/>
      <c r="SAO68" s="47"/>
      <c r="SAQ68" s="11"/>
      <c r="SDX68" s="47"/>
      <c r="SEC68" s="47"/>
      <c r="SEE68" s="11"/>
      <c r="SHL68" s="47"/>
      <c r="SHQ68" s="47"/>
      <c r="SHS68" s="11"/>
      <c r="SKZ68" s="47"/>
      <c r="SLE68" s="47"/>
      <c r="SLG68" s="11"/>
      <c r="SON68" s="47"/>
      <c r="SOS68" s="47"/>
      <c r="SOU68" s="11"/>
      <c r="SSB68" s="47"/>
      <c r="SSG68" s="47"/>
      <c r="SSI68" s="11"/>
      <c r="SVP68" s="47"/>
      <c r="SVU68" s="47"/>
      <c r="SVW68" s="11"/>
      <c r="SZD68" s="47"/>
      <c r="SZI68" s="47"/>
      <c r="SZK68" s="11"/>
      <c r="TCR68" s="47"/>
      <c r="TCW68" s="47"/>
      <c r="TCY68" s="11"/>
      <c r="TGF68" s="47"/>
      <c r="TGK68" s="47"/>
      <c r="TGM68" s="11"/>
      <c r="TJT68" s="47"/>
      <c r="TJY68" s="47"/>
      <c r="TKA68" s="11"/>
      <c r="TNH68" s="47"/>
      <c r="TNM68" s="47"/>
      <c r="TNO68" s="11"/>
      <c r="TQV68" s="47"/>
      <c r="TRA68" s="47"/>
      <c r="TRC68" s="11"/>
      <c r="TUJ68" s="47"/>
      <c r="TUO68" s="47"/>
      <c r="TUQ68" s="11"/>
      <c r="TXX68" s="47"/>
      <c r="TYC68" s="47"/>
      <c r="TYE68" s="11"/>
      <c r="UBL68" s="47"/>
      <c r="UBQ68" s="47"/>
      <c r="UBS68" s="11"/>
      <c r="UEZ68" s="47"/>
      <c r="UFE68" s="47"/>
      <c r="UFG68" s="11"/>
      <c r="UIN68" s="47"/>
      <c r="UIS68" s="47"/>
      <c r="UIU68" s="11"/>
      <c r="UMB68" s="47"/>
      <c r="UMG68" s="47"/>
      <c r="UMI68" s="11"/>
      <c r="UPP68" s="47"/>
      <c r="UPU68" s="47"/>
      <c r="UPW68" s="11"/>
      <c r="UTD68" s="47"/>
      <c r="UTI68" s="47"/>
      <c r="UTK68" s="11"/>
      <c r="UWR68" s="47"/>
      <c r="UWW68" s="47"/>
      <c r="UWY68" s="11"/>
      <c r="VAF68" s="47"/>
      <c r="VAK68" s="47"/>
      <c r="VAM68" s="11"/>
      <c r="VDT68" s="47"/>
      <c r="VDY68" s="47"/>
      <c r="VEA68" s="11"/>
      <c r="VHH68" s="47"/>
      <c r="VHM68" s="47"/>
      <c r="VHO68" s="11"/>
      <c r="VKV68" s="47"/>
      <c r="VLA68" s="47"/>
      <c r="VLC68" s="11"/>
      <c r="VOJ68" s="47"/>
      <c r="VOO68" s="47"/>
      <c r="VOQ68" s="11"/>
      <c r="VRX68" s="47"/>
      <c r="VSC68" s="47"/>
      <c r="VSE68" s="11"/>
      <c r="VVL68" s="47"/>
      <c r="VVQ68" s="47"/>
      <c r="VVS68" s="11"/>
      <c r="VYZ68" s="47"/>
      <c r="VZE68" s="47"/>
      <c r="VZG68" s="11"/>
      <c r="WCN68" s="47"/>
      <c r="WCS68" s="47"/>
      <c r="WCU68" s="11"/>
      <c r="WGB68" s="47"/>
      <c r="WGG68" s="47"/>
      <c r="WGI68" s="11"/>
      <c r="WJP68" s="47"/>
      <c r="WJU68" s="47"/>
      <c r="WJW68" s="11"/>
      <c r="WND68" s="47"/>
      <c r="WNI68" s="47"/>
      <c r="WNK68" s="11"/>
      <c r="WQR68" s="47"/>
      <c r="WQW68" s="47"/>
      <c r="WQY68" s="11"/>
      <c r="WUF68" s="47"/>
      <c r="WUK68" s="47"/>
      <c r="WUM68" s="11"/>
      <c r="WXT68" s="47"/>
      <c r="WXY68" s="47"/>
      <c r="WYA68" s="11"/>
      <c r="XBH68" s="47"/>
      <c r="XBM68" s="47"/>
      <c r="XBO68" s="11"/>
      <c r="XEV68" s="47"/>
      <c r="XFA68" s="47"/>
      <c r="XFC68" s="11"/>
    </row>
    <row r="69" spans="1:1019 1104:2031 2116:3043 3128:4055 4140:5067 5152:6079 6164:7091 7176:8188 8193:9207 9292:10219 10304:11231 11316:12243 12328:13255 13340:14267 14352:15279 15364:16383" s="10" customFormat="1" ht="14.5" customHeight="1">
      <c r="C69" s="17" t="s">
        <v>1032</v>
      </c>
      <c r="E69" s="47"/>
      <c r="G69" s="11" t="str">
        <f t="shared" ref="G69:G74" si="74">Monetary_Unit</f>
        <v>тыс. руб.</v>
      </c>
      <c r="I69" s="23">
        <f t="shared" ref="I69:I74" ca="1" si="75">SUM(L69:CM69)</f>
        <v>151268.06862324732</v>
      </c>
      <c r="L69" s="10">
        <f ca="1" xml:space="preserve"> L61 * L86 / (L86+L87)</f>
        <v>0</v>
      </c>
      <c r="M69" s="10">
        <f t="shared" ref="M69:BX69" ca="1" si="76" xml:space="preserve"> M61 * M86 / (M86+M87)</f>
        <v>0</v>
      </c>
      <c r="N69" s="10">
        <f t="shared" ca="1" si="76"/>
        <v>0</v>
      </c>
      <c r="O69" s="10">
        <f t="shared" ca="1" si="76"/>
        <v>0</v>
      </c>
      <c r="P69" s="10">
        <f t="shared" ca="1" si="76"/>
        <v>0</v>
      </c>
      <c r="Q69" s="10">
        <f t="shared" ca="1" si="76"/>
        <v>0</v>
      </c>
      <c r="R69" s="10">
        <f t="shared" ca="1" si="76"/>
        <v>0</v>
      </c>
      <c r="S69" s="10">
        <f t="shared" ca="1" si="76"/>
        <v>0</v>
      </c>
      <c r="T69" s="10">
        <f t="shared" ca="1" si="76"/>
        <v>0</v>
      </c>
      <c r="U69" s="10">
        <f t="shared" ca="1" si="76"/>
        <v>0</v>
      </c>
      <c r="V69" s="10">
        <f t="shared" ca="1" si="76"/>
        <v>0</v>
      </c>
      <c r="W69" s="10">
        <f t="shared" ca="1" si="76"/>
        <v>0</v>
      </c>
      <c r="X69" s="10">
        <f t="shared" ca="1" si="76"/>
        <v>0</v>
      </c>
      <c r="Y69" s="10">
        <f t="shared" ca="1" si="76"/>
        <v>0</v>
      </c>
      <c r="Z69" s="10">
        <f t="shared" ca="1" si="76"/>
        <v>0</v>
      </c>
      <c r="AA69" s="10">
        <f t="shared" ca="1" si="76"/>
        <v>0</v>
      </c>
      <c r="AB69" s="10">
        <f t="shared" ca="1" si="76"/>
        <v>0</v>
      </c>
      <c r="AC69" s="10">
        <f t="shared" ca="1" si="76"/>
        <v>0</v>
      </c>
      <c r="AD69" s="10">
        <f t="shared" ca="1" si="76"/>
        <v>269.01098847099564</v>
      </c>
      <c r="AE69" s="10">
        <f t="shared" ca="1" si="76"/>
        <v>66.400271706331651</v>
      </c>
      <c r="AF69" s="10">
        <f t="shared" ca="1" si="76"/>
        <v>66.81939423519502</v>
      </c>
      <c r="AG69" s="10">
        <f t="shared" ca="1" si="76"/>
        <v>238.71881356132315</v>
      </c>
      <c r="AH69" s="10">
        <f t="shared" ca="1" si="76"/>
        <v>377.73164683134593</v>
      </c>
      <c r="AI69" s="10">
        <f t="shared" ca="1" si="76"/>
        <v>134.94813701754879</v>
      </c>
      <c r="AJ69" s="10">
        <f t="shared" ca="1" si="76"/>
        <v>88.552197475037488</v>
      </c>
      <c r="AK69" s="10">
        <f t="shared" ca="1" si="76"/>
        <v>222.22926878620035</v>
      </c>
      <c r="AL69" s="10">
        <f t="shared" ca="1" si="76"/>
        <v>329.35194600816334</v>
      </c>
      <c r="AM69" s="10">
        <f t="shared" ca="1" si="76"/>
        <v>138.78859944067881</v>
      </c>
      <c r="AN69" s="10">
        <f t="shared" ca="1" si="76"/>
        <v>138.0231723912033</v>
      </c>
      <c r="AO69" s="10">
        <f t="shared" ca="1" si="76"/>
        <v>289.80919919165018</v>
      </c>
      <c r="AP69" s="10">
        <f t="shared" ca="1" si="76"/>
        <v>499.55401134116488</v>
      </c>
      <c r="AQ69" s="10">
        <f t="shared" ca="1" si="76"/>
        <v>351.17354831720735</v>
      </c>
      <c r="AR69" s="10">
        <f t="shared" ca="1" si="76"/>
        <v>327.40218342355143</v>
      </c>
      <c r="AS69" s="10">
        <f t="shared" ca="1" si="76"/>
        <v>633.59417043716439</v>
      </c>
      <c r="AT69" s="10">
        <f t="shared" ca="1" si="76"/>
        <v>860.77055514423546</v>
      </c>
      <c r="AU69" s="10">
        <f t="shared" ca="1" si="76"/>
        <v>1387.6972934979426</v>
      </c>
      <c r="AV69" s="10">
        <f t="shared" ca="1" si="76"/>
        <v>1300.5949463086897</v>
      </c>
      <c r="AW69" s="10">
        <f t="shared" ca="1" si="76"/>
        <v>1212.8243588548644</v>
      </c>
      <c r="AX69" s="10">
        <f t="shared" ca="1" si="76"/>
        <v>1734.4060786608989</v>
      </c>
      <c r="AY69" s="10">
        <f t="shared" ca="1" si="76"/>
        <v>691.11198197295926</v>
      </c>
      <c r="AZ69" s="10">
        <f t="shared" ca="1" si="76"/>
        <v>636.77058738573874</v>
      </c>
      <c r="BA69" s="10">
        <f t="shared" ca="1" si="76"/>
        <v>1359.2963800083144</v>
      </c>
      <c r="BB69" s="10">
        <f t="shared" ca="1" si="76"/>
        <v>1902.2715201130272</v>
      </c>
      <c r="BC69" s="10">
        <f t="shared" ca="1" si="76"/>
        <v>831.84947815282703</v>
      </c>
      <c r="BD69" s="10">
        <f t="shared" ca="1" si="76"/>
        <v>789.47262528054455</v>
      </c>
      <c r="BE69" s="10">
        <f t="shared" ca="1" si="76"/>
        <v>1777.4649008448328</v>
      </c>
      <c r="BF69" s="10">
        <f t="shared" ca="1" si="76"/>
        <v>2344.6449125031349</v>
      </c>
      <c r="BG69" s="10">
        <f t="shared" ca="1" si="76"/>
        <v>1227.6053223108163</v>
      </c>
      <c r="BH69" s="10">
        <f t="shared" ca="1" si="76"/>
        <v>1172.1967105809088</v>
      </c>
      <c r="BI69" s="10">
        <f t="shared" ca="1" si="76"/>
        <v>1941.0255839712265</v>
      </c>
      <c r="BJ69" s="10">
        <f t="shared" ca="1" si="76"/>
        <v>2508.1574052089813</v>
      </c>
      <c r="BK69" s="10">
        <f t="shared" ca="1" si="76"/>
        <v>1311.7914488743354</v>
      </c>
      <c r="BL69" s="10">
        <f t="shared" ca="1" si="76"/>
        <v>1230.424907624204</v>
      </c>
      <c r="BM69" s="10">
        <f t="shared" ca="1" si="76"/>
        <v>2030.0212145381477</v>
      </c>
      <c r="BN69" s="10">
        <f t="shared" ca="1" si="76"/>
        <v>2619.852587213426</v>
      </c>
      <c r="BO69" s="10">
        <f t="shared" ca="1" si="76"/>
        <v>3046.0422693847995</v>
      </c>
      <c r="BP69" s="10">
        <f t="shared" ca="1" si="76"/>
        <v>2858.6035149304389</v>
      </c>
      <c r="BQ69" s="10">
        <f t="shared" ca="1" si="76"/>
        <v>4699.9911985828594</v>
      </c>
      <c r="BR69" s="10">
        <f t="shared" ca="1" si="76"/>
        <v>6058.3202051028156</v>
      </c>
      <c r="BS69" s="10">
        <f t="shared" ca="1" si="76"/>
        <v>3193.057921565804</v>
      </c>
      <c r="BT69" s="10">
        <f t="shared" ca="1" si="76"/>
        <v>3037.7700312006023</v>
      </c>
      <c r="BU69" s="10">
        <f t="shared" ca="1" si="76"/>
        <v>4913.3484820669646</v>
      </c>
      <c r="BV69" s="10">
        <f t="shared" ca="1" si="76"/>
        <v>6326.0448184910592</v>
      </c>
      <c r="BW69" s="10">
        <f t="shared" ca="1" si="76"/>
        <v>3346.1722323891358</v>
      </c>
      <c r="BX69" s="10">
        <f t="shared" ca="1" si="76"/>
        <v>3143.0914461725156</v>
      </c>
      <c r="BY69" s="10">
        <f t="shared" ref="BY69:CO69" ca="1" si="77" xml:space="preserve"> BY61 * BY86 / (BY86+BY87)</f>
        <v>5134.8008632328192</v>
      </c>
      <c r="BZ69" s="10">
        <f t="shared" ca="1" si="77"/>
        <v>6604.0340151066503</v>
      </c>
      <c r="CA69" s="10">
        <f t="shared" ca="1" si="77"/>
        <v>3504.9663292330274</v>
      </c>
      <c r="CB69" s="10">
        <f t="shared" ca="1" si="77"/>
        <v>3293.9258316781215</v>
      </c>
      <c r="CC69" s="10">
        <f t="shared" ca="1" si="77"/>
        <v>5365.3352422942962</v>
      </c>
      <c r="CD69" s="10">
        <f t="shared" ca="1" si="77"/>
        <v>6893.3693371165327</v>
      </c>
      <c r="CE69" s="10">
        <f t="shared" ca="1" si="77"/>
        <v>3670.3389438079621</v>
      </c>
      <c r="CF69" s="10">
        <f t="shared" ca="1" si="77"/>
        <v>3450.7935926039477</v>
      </c>
      <c r="CG69" s="10">
        <f t="shared" ca="1" si="77"/>
        <v>5605.0909965182282</v>
      </c>
      <c r="CH69" s="10">
        <f t="shared" ca="1" si="77"/>
        <v>7194.2780720068113</v>
      </c>
      <c r="CI69" s="10">
        <f t="shared" ca="1" si="77"/>
        <v>3842.3264629658961</v>
      </c>
      <c r="CJ69" s="10">
        <f t="shared" ca="1" si="77"/>
        <v>3660.4939536793522</v>
      </c>
      <c r="CK69" s="10">
        <f t="shared" ca="1" si="77"/>
        <v>5854.6554593768979</v>
      </c>
      <c r="CL69" s="10">
        <f t="shared" ca="1" si="77"/>
        <v>7507.4442543078194</v>
      </c>
      <c r="CM69" s="10">
        <f t="shared" ca="1" si="77"/>
        <v>4021.4148017471539</v>
      </c>
      <c r="CN69" s="10">
        <f t="shared" ca="1" si="77"/>
        <v>3783.6042341841785</v>
      </c>
      <c r="CO69" s="10">
        <f t="shared" ca="1" si="77"/>
        <v>6113.7568046797142</v>
      </c>
      <c r="CS69" s="47"/>
      <c r="CU69" s="11"/>
      <c r="GB69" s="47"/>
      <c r="GG69" s="47"/>
      <c r="GI69" s="11"/>
      <c r="JP69" s="47"/>
      <c r="JU69" s="47"/>
      <c r="JW69" s="11"/>
      <c r="ND69" s="47"/>
      <c r="NI69" s="47"/>
      <c r="NK69" s="11"/>
      <c r="QR69" s="47"/>
      <c r="QW69" s="47"/>
      <c r="QY69" s="11"/>
      <c r="UF69" s="47"/>
      <c r="UK69" s="47"/>
      <c r="UM69" s="11"/>
      <c r="XT69" s="47"/>
      <c r="XY69" s="47"/>
      <c r="YA69" s="11"/>
      <c r="ABH69" s="47"/>
      <c r="ABM69" s="47"/>
      <c r="ABO69" s="11"/>
      <c r="AEV69" s="47"/>
      <c r="AFA69" s="47"/>
      <c r="AFC69" s="11"/>
      <c r="AIJ69" s="47"/>
      <c r="AIO69" s="47"/>
      <c r="AIQ69" s="11"/>
      <c r="ALX69" s="47"/>
      <c r="AMC69" s="47"/>
      <c r="AME69" s="11"/>
      <c r="APL69" s="47"/>
      <c r="APQ69" s="47"/>
      <c r="APS69" s="11"/>
      <c r="ASZ69" s="47"/>
      <c r="ATE69" s="47"/>
      <c r="ATG69" s="11"/>
      <c r="AWN69" s="47"/>
      <c r="AWS69" s="47"/>
      <c r="AWU69" s="11"/>
      <c r="BAB69" s="47"/>
      <c r="BAG69" s="47"/>
      <c r="BAI69" s="11"/>
      <c r="BDP69" s="47"/>
      <c r="BDU69" s="47"/>
      <c r="BDW69" s="11"/>
      <c r="BHD69" s="47"/>
      <c r="BHI69" s="47"/>
      <c r="BHK69" s="11"/>
      <c r="BKR69" s="47"/>
      <c r="BKW69" s="47"/>
      <c r="BKY69" s="11"/>
      <c r="BOF69" s="47"/>
      <c r="BOK69" s="47"/>
      <c r="BOM69" s="11"/>
      <c r="BRT69" s="47"/>
      <c r="BRY69" s="47"/>
      <c r="BSA69" s="11"/>
      <c r="BVH69" s="47"/>
      <c r="BVM69" s="47"/>
      <c r="BVO69" s="11"/>
      <c r="BYV69" s="47"/>
      <c r="BZA69" s="47"/>
      <c r="BZC69" s="11"/>
      <c r="CCJ69" s="47"/>
      <c r="CCO69" s="47"/>
      <c r="CCQ69" s="11"/>
      <c r="CFX69" s="47"/>
      <c r="CGC69" s="47"/>
      <c r="CGE69" s="11"/>
      <c r="CJL69" s="47"/>
      <c r="CJQ69" s="47"/>
      <c r="CJS69" s="11"/>
      <c r="CMZ69" s="47"/>
      <c r="CNE69" s="47"/>
      <c r="CNG69" s="11"/>
      <c r="CQN69" s="47"/>
      <c r="CQS69" s="47"/>
      <c r="CQU69" s="11"/>
      <c r="CUB69" s="47"/>
      <c r="CUG69" s="47"/>
      <c r="CUI69" s="11"/>
      <c r="CXP69" s="47"/>
      <c r="CXU69" s="47"/>
      <c r="CXW69" s="11"/>
      <c r="DBD69" s="47"/>
      <c r="DBI69" s="47"/>
      <c r="DBK69" s="11"/>
      <c r="DER69" s="47"/>
      <c r="DEW69" s="47"/>
      <c r="DEY69" s="11"/>
      <c r="DIF69" s="47"/>
      <c r="DIK69" s="47"/>
      <c r="DIM69" s="11"/>
      <c r="DLT69" s="47"/>
      <c r="DLY69" s="47"/>
      <c r="DMA69" s="11"/>
      <c r="DPH69" s="47"/>
      <c r="DPM69" s="47"/>
      <c r="DPO69" s="11"/>
      <c r="DSV69" s="47"/>
      <c r="DTA69" s="47"/>
      <c r="DTC69" s="11"/>
      <c r="DWJ69" s="47"/>
      <c r="DWO69" s="47"/>
      <c r="DWQ69" s="11"/>
      <c r="DZX69" s="47"/>
      <c r="EAC69" s="47"/>
      <c r="EAE69" s="11"/>
      <c r="EDL69" s="47"/>
      <c r="EDQ69" s="47"/>
      <c r="EDS69" s="11"/>
      <c r="EGZ69" s="47"/>
      <c r="EHE69" s="47"/>
      <c r="EHG69" s="11"/>
      <c r="EKN69" s="47"/>
      <c r="EKS69" s="47"/>
      <c r="EKU69" s="11"/>
      <c r="EOB69" s="47"/>
      <c r="EOG69" s="47"/>
      <c r="EOI69" s="11"/>
      <c r="ERP69" s="47"/>
      <c r="ERU69" s="47"/>
      <c r="ERW69" s="11"/>
      <c r="EVD69" s="47"/>
      <c r="EVI69" s="47"/>
      <c r="EVK69" s="11"/>
      <c r="EYR69" s="47"/>
      <c r="EYW69" s="47"/>
      <c r="EYY69" s="11"/>
      <c r="FCF69" s="47"/>
      <c r="FCK69" s="47"/>
      <c r="FCM69" s="11"/>
      <c r="FFT69" s="47"/>
      <c r="FFY69" s="47"/>
      <c r="FGA69" s="11"/>
      <c r="FJH69" s="47"/>
      <c r="FJM69" s="47"/>
      <c r="FJO69" s="11"/>
      <c r="FMV69" s="47"/>
      <c r="FNA69" s="47"/>
      <c r="FNC69" s="11"/>
      <c r="FQJ69" s="47"/>
      <c r="FQO69" s="47"/>
      <c r="FQQ69" s="11"/>
      <c r="FTX69" s="47"/>
      <c r="FUC69" s="47"/>
      <c r="FUE69" s="11"/>
      <c r="FXL69" s="47"/>
      <c r="FXQ69" s="47"/>
      <c r="FXS69" s="11"/>
      <c r="GAZ69" s="47"/>
      <c r="GBE69" s="47"/>
      <c r="GBG69" s="11"/>
      <c r="GEN69" s="47"/>
      <c r="GES69" s="47"/>
      <c r="GEU69" s="11"/>
      <c r="GIB69" s="47"/>
      <c r="GIG69" s="47"/>
      <c r="GII69" s="11"/>
      <c r="GLP69" s="47"/>
      <c r="GLU69" s="47"/>
      <c r="GLW69" s="11"/>
      <c r="GPD69" s="47"/>
      <c r="GPI69" s="47"/>
      <c r="GPK69" s="11"/>
      <c r="GSR69" s="47"/>
      <c r="GSW69" s="47"/>
      <c r="GSY69" s="11"/>
      <c r="GWF69" s="47"/>
      <c r="GWK69" s="47"/>
      <c r="GWM69" s="11"/>
      <c r="GZT69" s="47"/>
      <c r="GZY69" s="47"/>
      <c r="HAA69" s="11"/>
      <c r="HDH69" s="47"/>
      <c r="HDM69" s="47"/>
      <c r="HDO69" s="11"/>
      <c r="HGV69" s="47"/>
      <c r="HHA69" s="47"/>
      <c r="HHC69" s="11"/>
      <c r="HKJ69" s="47"/>
      <c r="HKO69" s="47"/>
      <c r="HKQ69" s="11"/>
      <c r="HNX69" s="47"/>
      <c r="HOC69" s="47"/>
      <c r="HOE69" s="11"/>
      <c r="HRL69" s="47"/>
      <c r="HRQ69" s="47"/>
      <c r="HRS69" s="11"/>
      <c r="HUZ69" s="47"/>
      <c r="HVE69" s="47"/>
      <c r="HVG69" s="11"/>
      <c r="HYN69" s="47"/>
      <c r="HYS69" s="47"/>
      <c r="HYU69" s="11"/>
      <c r="ICB69" s="47"/>
      <c r="ICG69" s="47"/>
      <c r="ICI69" s="11"/>
      <c r="IFP69" s="47"/>
      <c r="IFU69" s="47"/>
      <c r="IFW69" s="11"/>
      <c r="IJD69" s="47"/>
      <c r="IJI69" s="47"/>
      <c r="IJK69" s="11"/>
      <c r="IMR69" s="47"/>
      <c r="IMW69" s="47"/>
      <c r="IMY69" s="11"/>
      <c r="IQF69" s="47"/>
      <c r="IQK69" s="47"/>
      <c r="IQM69" s="11"/>
      <c r="ITT69" s="47"/>
      <c r="ITY69" s="47"/>
      <c r="IUA69" s="11"/>
      <c r="IXH69" s="47"/>
      <c r="IXM69" s="47"/>
      <c r="IXO69" s="11"/>
      <c r="JAV69" s="47"/>
      <c r="JBA69" s="47"/>
      <c r="JBC69" s="11"/>
      <c r="JEJ69" s="47"/>
      <c r="JEO69" s="47"/>
      <c r="JEQ69" s="11"/>
      <c r="JHX69" s="47"/>
      <c r="JIC69" s="47"/>
      <c r="JIE69" s="11"/>
      <c r="JLL69" s="47"/>
      <c r="JLQ69" s="47"/>
      <c r="JLS69" s="11"/>
      <c r="JOZ69" s="47"/>
      <c r="JPE69" s="47"/>
      <c r="JPG69" s="11"/>
      <c r="JSN69" s="47"/>
      <c r="JSS69" s="47"/>
      <c r="JSU69" s="11"/>
      <c r="JWB69" s="47"/>
      <c r="JWG69" s="47"/>
      <c r="JWI69" s="11"/>
      <c r="JZP69" s="47"/>
      <c r="JZU69" s="47"/>
      <c r="JZW69" s="11"/>
      <c r="KDD69" s="47"/>
      <c r="KDI69" s="47"/>
      <c r="KDK69" s="11"/>
      <c r="KGR69" s="47"/>
      <c r="KGW69" s="47"/>
      <c r="KGY69" s="11"/>
      <c r="KKF69" s="47"/>
      <c r="KKK69" s="47"/>
      <c r="KKM69" s="11"/>
      <c r="KNT69" s="47"/>
      <c r="KNY69" s="47"/>
      <c r="KOA69" s="11"/>
      <c r="KRH69" s="47"/>
      <c r="KRM69" s="47"/>
      <c r="KRO69" s="11"/>
      <c r="KUV69" s="47"/>
      <c r="KVA69" s="47"/>
      <c r="KVC69" s="11"/>
      <c r="KYJ69" s="47"/>
      <c r="KYO69" s="47"/>
      <c r="KYQ69" s="11"/>
      <c r="LBX69" s="47"/>
      <c r="LCC69" s="47"/>
      <c r="LCE69" s="11"/>
      <c r="LFL69" s="47"/>
      <c r="LFQ69" s="47"/>
      <c r="LFS69" s="11"/>
      <c r="LIZ69" s="47"/>
      <c r="LJE69" s="47"/>
      <c r="LJG69" s="11"/>
      <c r="LMN69" s="47"/>
      <c r="LMS69" s="47"/>
      <c r="LMU69" s="11"/>
      <c r="LQB69" s="47"/>
      <c r="LQG69" s="47"/>
      <c r="LQI69" s="11"/>
      <c r="LTP69" s="47"/>
      <c r="LTU69" s="47"/>
      <c r="LTW69" s="11"/>
      <c r="LXD69" s="47"/>
      <c r="LXI69" s="47"/>
      <c r="LXK69" s="11"/>
      <c r="MAR69" s="47"/>
      <c r="MAW69" s="47"/>
      <c r="MAY69" s="11"/>
      <c r="MEF69" s="47"/>
      <c r="MEK69" s="47"/>
      <c r="MEM69" s="11"/>
      <c r="MHT69" s="47"/>
      <c r="MHY69" s="47"/>
      <c r="MIA69" s="11"/>
      <c r="MLH69" s="47"/>
      <c r="MLM69" s="47"/>
      <c r="MLO69" s="11"/>
      <c r="MOV69" s="47"/>
      <c r="MPA69" s="47"/>
      <c r="MPC69" s="11"/>
      <c r="MSJ69" s="47"/>
      <c r="MSO69" s="47"/>
      <c r="MSQ69" s="11"/>
      <c r="MVX69" s="47"/>
      <c r="MWC69" s="47"/>
      <c r="MWE69" s="11"/>
      <c r="MZL69" s="47"/>
      <c r="MZQ69" s="47"/>
      <c r="MZS69" s="11"/>
      <c r="NCZ69" s="47"/>
      <c r="NDE69" s="47"/>
      <c r="NDG69" s="11"/>
      <c r="NGN69" s="47"/>
      <c r="NGS69" s="47"/>
      <c r="NGU69" s="11"/>
      <c r="NKB69" s="47"/>
      <c r="NKG69" s="47"/>
      <c r="NKI69" s="11"/>
      <c r="NNP69" s="47"/>
      <c r="NNU69" s="47"/>
      <c r="NNW69" s="11"/>
      <c r="NRD69" s="47"/>
      <c r="NRI69" s="47"/>
      <c r="NRK69" s="11"/>
      <c r="NUR69" s="47"/>
      <c r="NUW69" s="47"/>
      <c r="NUY69" s="11"/>
      <c r="NYF69" s="47"/>
      <c r="NYK69" s="47"/>
      <c r="NYM69" s="11"/>
      <c r="OBT69" s="47"/>
      <c r="OBY69" s="47"/>
      <c r="OCA69" s="11"/>
      <c r="OFH69" s="47"/>
      <c r="OFM69" s="47"/>
      <c r="OFO69" s="11"/>
      <c r="OIV69" s="47"/>
      <c r="OJA69" s="47"/>
      <c r="OJC69" s="11"/>
      <c r="OMJ69" s="47"/>
      <c r="OMO69" s="47"/>
      <c r="OMQ69" s="11"/>
      <c r="OPX69" s="47"/>
      <c r="OQC69" s="47"/>
      <c r="OQE69" s="11"/>
      <c r="OTL69" s="47"/>
      <c r="OTQ69" s="47"/>
      <c r="OTS69" s="11"/>
      <c r="OWZ69" s="47"/>
      <c r="OXE69" s="47"/>
      <c r="OXG69" s="11"/>
      <c r="PAN69" s="47"/>
      <c r="PAS69" s="47"/>
      <c r="PAU69" s="11"/>
      <c r="PEB69" s="47"/>
      <c r="PEG69" s="47"/>
      <c r="PEI69" s="11"/>
      <c r="PHP69" s="47"/>
      <c r="PHU69" s="47"/>
      <c r="PHW69" s="11"/>
      <c r="PLD69" s="47"/>
      <c r="PLI69" s="47"/>
      <c r="PLK69" s="11"/>
      <c r="POR69" s="47"/>
      <c r="POW69" s="47"/>
      <c r="POY69" s="11"/>
      <c r="PSF69" s="47"/>
      <c r="PSK69" s="47"/>
      <c r="PSM69" s="11"/>
      <c r="PVT69" s="47"/>
      <c r="PVY69" s="47"/>
      <c r="PWA69" s="11"/>
      <c r="PZH69" s="47"/>
      <c r="PZM69" s="47"/>
      <c r="PZO69" s="11"/>
      <c r="QCV69" s="47"/>
      <c r="QDA69" s="47"/>
      <c r="QDC69" s="11"/>
      <c r="QGJ69" s="47"/>
      <c r="QGO69" s="47"/>
      <c r="QGQ69" s="11"/>
      <c r="QJX69" s="47"/>
      <c r="QKC69" s="47"/>
      <c r="QKE69" s="11"/>
      <c r="QNL69" s="47"/>
      <c r="QNQ69" s="47"/>
      <c r="QNS69" s="11"/>
      <c r="QQZ69" s="47"/>
      <c r="QRE69" s="47"/>
      <c r="QRG69" s="11"/>
      <c r="QUN69" s="47"/>
      <c r="QUS69" s="47"/>
      <c r="QUU69" s="11"/>
      <c r="QYB69" s="47"/>
      <c r="QYG69" s="47"/>
      <c r="QYI69" s="11"/>
      <c r="RBP69" s="47"/>
      <c r="RBU69" s="47"/>
      <c r="RBW69" s="11"/>
      <c r="RFD69" s="47"/>
      <c r="RFI69" s="47"/>
      <c r="RFK69" s="11"/>
      <c r="RIR69" s="47"/>
      <c r="RIW69" s="47"/>
      <c r="RIY69" s="11"/>
      <c r="RMF69" s="47"/>
      <c r="RMK69" s="47"/>
      <c r="RMM69" s="11"/>
      <c r="RPT69" s="47"/>
      <c r="RPY69" s="47"/>
      <c r="RQA69" s="11"/>
      <c r="RTH69" s="47"/>
      <c r="RTM69" s="47"/>
      <c r="RTO69" s="11"/>
      <c r="RWV69" s="47"/>
      <c r="RXA69" s="47"/>
      <c r="RXC69" s="11"/>
      <c r="SAJ69" s="47"/>
      <c r="SAO69" s="47"/>
      <c r="SAQ69" s="11"/>
      <c r="SDX69" s="47"/>
      <c r="SEC69" s="47"/>
      <c r="SEE69" s="11"/>
      <c r="SHL69" s="47"/>
      <c r="SHQ69" s="47"/>
      <c r="SHS69" s="11"/>
      <c r="SKZ69" s="47"/>
      <c r="SLE69" s="47"/>
      <c r="SLG69" s="11"/>
      <c r="SON69" s="47"/>
      <c r="SOS69" s="47"/>
      <c r="SOU69" s="11"/>
      <c r="SSB69" s="47"/>
      <c r="SSG69" s="47"/>
      <c r="SSI69" s="11"/>
      <c r="SVP69" s="47"/>
      <c r="SVU69" s="47"/>
      <c r="SVW69" s="11"/>
      <c r="SZD69" s="47"/>
      <c r="SZI69" s="47"/>
      <c r="SZK69" s="11"/>
      <c r="TCR69" s="47"/>
      <c r="TCW69" s="47"/>
      <c r="TCY69" s="11"/>
      <c r="TGF69" s="47"/>
      <c r="TGK69" s="47"/>
      <c r="TGM69" s="11"/>
      <c r="TJT69" s="47"/>
      <c r="TJY69" s="47"/>
      <c r="TKA69" s="11"/>
      <c r="TNH69" s="47"/>
      <c r="TNM69" s="47"/>
      <c r="TNO69" s="11"/>
      <c r="TQV69" s="47"/>
      <c r="TRA69" s="47"/>
      <c r="TRC69" s="11"/>
      <c r="TUJ69" s="47"/>
      <c r="TUO69" s="47"/>
      <c r="TUQ69" s="11"/>
      <c r="TXX69" s="47"/>
      <c r="TYC69" s="47"/>
      <c r="TYE69" s="11"/>
      <c r="UBL69" s="47"/>
      <c r="UBQ69" s="47"/>
      <c r="UBS69" s="11"/>
      <c r="UEZ69" s="47"/>
      <c r="UFE69" s="47"/>
      <c r="UFG69" s="11"/>
      <c r="UIN69" s="47"/>
      <c r="UIS69" s="47"/>
      <c r="UIU69" s="11"/>
      <c r="UMB69" s="47"/>
      <c r="UMG69" s="47"/>
      <c r="UMI69" s="11"/>
      <c r="UPP69" s="47"/>
      <c r="UPU69" s="47"/>
      <c r="UPW69" s="11"/>
      <c r="UTD69" s="47"/>
      <c r="UTI69" s="47"/>
      <c r="UTK69" s="11"/>
      <c r="UWR69" s="47"/>
      <c r="UWW69" s="47"/>
      <c r="UWY69" s="11"/>
      <c r="VAF69" s="47"/>
      <c r="VAK69" s="47"/>
      <c r="VAM69" s="11"/>
      <c r="VDT69" s="47"/>
      <c r="VDY69" s="47"/>
      <c r="VEA69" s="11"/>
      <c r="VHH69" s="47"/>
      <c r="VHM69" s="47"/>
      <c r="VHO69" s="11"/>
      <c r="VKV69" s="47"/>
      <c r="VLA69" s="47"/>
      <c r="VLC69" s="11"/>
      <c r="VOJ69" s="47"/>
      <c r="VOO69" s="47"/>
      <c r="VOQ69" s="11"/>
      <c r="VRX69" s="47"/>
      <c r="VSC69" s="47"/>
      <c r="VSE69" s="11"/>
      <c r="VVL69" s="47"/>
      <c r="VVQ69" s="47"/>
      <c r="VVS69" s="11"/>
      <c r="VYZ69" s="47"/>
      <c r="VZE69" s="47"/>
      <c r="VZG69" s="11"/>
      <c r="WCN69" s="47"/>
      <c r="WCS69" s="47"/>
      <c r="WCU69" s="11"/>
      <c r="WGB69" s="47"/>
      <c r="WGG69" s="47"/>
      <c r="WGI69" s="11"/>
      <c r="WJP69" s="47"/>
      <c r="WJU69" s="47"/>
      <c r="WJW69" s="11"/>
      <c r="WND69" s="47"/>
      <c r="WNI69" s="47"/>
      <c r="WNK69" s="11"/>
      <c r="WQR69" s="47"/>
      <c r="WQW69" s="47"/>
      <c r="WQY69" s="11"/>
      <c r="WUF69" s="47"/>
      <c r="WUK69" s="47"/>
      <c r="WUM69" s="11"/>
      <c r="WXT69" s="47"/>
      <c r="WXY69" s="47"/>
      <c r="WYA69" s="11"/>
      <c r="XBH69" s="47"/>
      <c r="XBM69" s="47"/>
      <c r="XBO69" s="11"/>
      <c r="XEV69" s="47"/>
      <c r="XFA69" s="47"/>
      <c r="XFC69" s="11"/>
    </row>
    <row r="70" spans="1:1019 1104:2031 2116:3043 3128:4055 4140:5067 5152:6079 6164:7091 7176:8188 8193:9207 9292:10219 10304:11231 11316:12243 12328:13255 13340:14267 14352:15279 15364:16383" s="10" customFormat="1" ht="14.5" customHeight="1">
      <c r="C70" s="17" t="s">
        <v>1033</v>
      </c>
      <c r="E70" s="47"/>
      <c r="G70" s="11" t="str">
        <f t="shared" si="74"/>
        <v>тыс. руб.</v>
      </c>
      <c r="I70" s="23">
        <f t="shared" ca="1" si="75"/>
        <v>0</v>
      </c>
      <c r="L70" s="10">
        <f ca="1" xml:space="preserve"> L62 * $E$91</f>
        <v>0</v>
      </c>
      <c r="M70" s="10">
        <f t="shared" ref="M70:BX70" ca="1" si="78" xml:space="preserve"> M62 * $E$91</f>
        <v>0</v>
      </c>
      <c r="N70" s="10">
        <f t="shared" ca="1" si="78"/>
        <v>0</v>
      </c>
      <c r="O70" s="10">
        <f t="shared" ca="1" si="78"/>
        <v>0</v>
      </c>
      <c r="P70" s="10">
        <f t="shared" ca="1" si="78"/>
        <v>0</v>
      </c>
      <c r="Q70" s="10">
        <f t="shared" ca="1" si="78"/>
        <v>0</v>
      </c>
      <c r="R70" s="10">
        <f t="shared" ca="1" si="78"/>
        <v>0</v>
      </c>
      <c r="S70" s="10">
        <f t="shared" ca="1" si="78"/>
        <v>0</v>
      </c>
      <c r="T70" s="10">
        <f t="shared" ca="1" si="78"/>
        <v>0</v>
      </c>
      <c r="U70" s="10">
        <f t="shared" ca="1" si="78"/>
        <v>0</v>
      </c>
      <c r="V70" s="10">
        <f t="shared" ca="1" si="78"/>
        <v>0</v>
      </c>
      <c r="W70" s="10">
        <f t="shared" ca="1" si="78"/>
        <v>0</v>
      </c>
      <c r="X70" s="10">
        <f t="shared" ca="1" si="78"/>
        <v>0</v>
      </c>
      <c r="Y70" s="10">
        <f t="shared" ca="1" si="78"/>
        <v>0</v>
      </c>
      <c r="Z70" s="10">
        <f t="shared" ca="1" si="78"/>
        <v>0</v>
      </c>
      <c r="AA70" s="10">
        <f t="shared" ca="1" si="78"/>
        <v>0</v>
      </c>
      <c r="AB70" s="10">
        <f t="shared" ca="1" si="78"/>
        <v>0</v>
      </c>
      <c r="AC70" s="10">
        <f t="shared" ca="1" si="78"/>
        <v>0</v>
      </c>
      <c r="AD70" s="10">
        <f t="shared" ca="1" si="78"/>
        <v>0</v>
      </c>
      <c r="AE70" s="10">
        <f t="shared" ca="1" si="78"/>
        <v>0</v>
      </c>
      <c r="AF70" s="10">
        <f t="shared" ca="1" si="78"/>
        <v>0</v>
      </c>
      <c r="AG70" s="10">
        <f t="shared" ca="1" si="78"/>
        <v>0</v>
      </c>
      <c r="AH70" s="10">
        <f t="shared" ca="1" si="78"/>
        <v>0</v>
      </c>
      <c r="AI70" s="10">
        <f t="shared" ca="1" si="78"/>
        <v>0</v>
      </c>
      <c r="AJ70" s="10">
        <f t="shared" ca="1" si="78"/>
        <v>0</v>
      </c>
      <c r="AK70" s="10">
        <f t="shared" ca="1" si="78"/>
        <v>0</v>
      </c>
      <c r="AL70" s="10">
        <f t="shared" ca="1" si="78"/>
        <v>0</v>
      </c>
      <c r="AM70" s="10">
        <f t="shared" ca="1" si="78"/>
        <v>0</v>
      </c>
      <c r="AN70" s="10">
        <f t="shared" ca="1" si="78"/>
        <v>0</v>
      </c>
      <c r="AO70" s="10">
        <f t="shared" ca="1" si="78"/>
        <v>0</v>
      </c>
      <c r="AP70" s="10">
        <f t="shared" ca="1" si="78"/>
        <v>0</v>
      </c>
      <c r="AQ70" s="10">
        <f t="shared" ca="1" si="78"/>
        <v>0</v>
      </c>
      <c r="AR70" s="10">
        <f t="shared" ca="1" si="78"/>
        <v>0</v>
      </c>
      <c r="AS70" s="10">
        <f t="shared" ca="1" si="78"/>
        <v>0</v>
      </c>
      <c r="AT70" s="10">
        <f t="shared" ca="1" si="78"/>
        <v>0</v>
      </c>
      <c r="AU70" s="10">
        <f t="shared" ca="1" si="78"/>
        <v>0</v>
      </c>
      <c r="AV70" s="10">
        <f t="shared" ca="1" si="78"/>
        <v>0</v>
      </c>
      <c r="AW70" s="10">
        <f t="shared" ca="1" si="78"/>
        <v>0</v>
      </c>
      <c r="AX70" s="10">
        <f t="shared" ca="1" si="78"/>
        <v>0</v>
      </c>
      <c r="AY70" s="10">
        <f t="shared" ca="1" si="78"/>
        <v>0</v>
      </c>
      <c r="AZ70" s="10">
        <f t="shared" ca="1" si="78"/>
        <v>0</v>
      </c>
      <c r="BA70" s="10">
        <f t="shared" ca="1" si="78"/>
        <v>0</v>
      </c>
      <c r="BB70" s="10">
        <f t="shared" ca="1" si="78"/>
        <v>0</v>
      </c>
      <c r="BC70" s="10">
        <f t="shared" ca="1" si="78"/>
        <v>0</v>
      </c>
      <c r="BD70" s="10">
        <f t="shared" ca="1" si="78"/>
        <v>0</v>
      </c>
      <c r="BE70" s="10">
        <f t="shared" ca="1" si="78"/>
        <v>0</v>
      </c>
      <c r="BF70" s="10">
        <f t="shared" ca="1" si="78"/>
        <v>0</v>
      </c>
      <c r="BG70" s="10">
        <f t="shared" ca="1" si="78"/>
        <v>0</v>
      </c>
      <c r="BH70" s="10">
        <f t="shared" ca="1" si="78"/>
        <v>0</v>
      </c>
      <c r="BI70" s="10">
        <f t="shared" ca="1" si="78"/>
        <v>0</v>
      </c>
      <c r="BJ70" s="10">
        <f t="shared" ca="1" si="78"/>
        <v>0</v>
      </c>
      <c r="BK70" s="10">
        <f t="shared" ca="1" si="78"/>
        <v>0</v>
      </c>
      <c r="BL70" s="10">
        <f t="shared" ca="1" si="78"/>
        <v>0</v>
      </c>
      <c r="BM70" s="10">
        <f t="shared" ca="1" si="78"/>
        <v>0</v>
      </c>
      <c r="BN70" s="10">
        <f t="shared" ca="1" si="78"/>
        <v>0</v>
      </c>
      <c r="BO70" s="10">
        <f t="shared" ca="1" si="78"/>
        <v>0</v>
      </c>
      <c r="BP70" s="10">
        <f t="shared" ca="1" si="78"/>
        <v>0</v>
      </c>
      <c r="BQ70" s="10">
        <f t="shared" ca="1" si="78"/>
        <v>0</v>
      </c>
      <c r="BR70" s="10">
        <f t="shared" ca="1" si="78"/>
        <v>0</v>
      </c>
      <c r="BS70" s="10">
        <f t="shared" ca="1" si="78"/>
        <v>0</v>
      </c>
      <c r="BT70" s="10">
        <f t="shared" ca="1" si="78"/>
        <v>0</v>
      </c>
      <c r="BU70" s="10">
        <f t="shared" ca="1" si="78"/>
        <v>0</v>
      </c>
      <c r="BV70" s="10">
        <f t="shared" ca="1" si="78"/>
        <v>0</v>
      </c>
      <c r="BW70" s="10">
        <f t="shared" ca="1" si="78"/>
        <v>0</v>
      </c>
      <c r="BX70" s="10">
        <f t="shared" ca="1" si="78"/>
        <v>0</v>
      </c>
      <c r="BY70" s="10">
        <f t="shared" ref="BY70:CM70" ca="1" si="79" xml:space="preserve"> BY62 * $E$91</f>
        <v>0</v>
      </c>
      <c r="BZ70" s="10">
        <f t="shared" ca="1" si="79"/>
        <v>0</v>
      </c>
      <c r="CA70" s="10">
        <f t="shared" ca="1" si="79"/>
        <v>0</v>
      </c>
      <c r="CB70" s="10">
        <f t="shared" ca="1" si="79"/>
        <v>0</v>
      </c>
      <c r="CC70" s="10">
        <f t="shared" ca="1" si="79"/>
        <v>0</v>
      </c>
      <c r="CD70" s="10">
        <f t="shared" ca="1" si="79"/>
        <v>0</v>
      </c>
      <c r="CE70" s="10">
        <f t="shared" ca="1" si="79"/>
        <v>0</v>
      </c>
      <c r="CF70" s="10">
        <f t="shared" ca="1" si="79"/>
        <v>0</v>
      </c>
      <c r="CG70" s="10">
        <f t="shared" ca="1" si="79"/>
        <v>0</v>
      </c>
      <c r="CH70" s="10">
        <f t="shared" ca="1" si="79"/>
        <v>0</v>
      </c>
      <c r="CI70" s="10">
        <f t="shared" ca="1" si="79"/>
        <v>0</v>
      </c>
      <c r="CJ70" s="10">
        <f t="shared" ca="1" si="79"/>
        <v>0</v>
      </c>
      <c r="CK70" s="10">
        <f t="shared" ca="1" si="79"/>
        <v>0</v>
      </c>
      <c r="CL70" s="10">
        <f t="shared" ca="1" si="79"/>
        <v>0</v>
      </c>
      <c r="CM70" s="10">
        <f t="shared" ca="1" si="79"/>
        <v>0</v>
      </c>
      <c r="CN70" s="10">
        <f t="shared" ref="CN70:CO70" ca="1" si="80" xml:space="preserve"> CN62 * $E$91</f>
        <v>0</v>
      </c>
      <c r="CO70" s="10">
        <f t="shared" ca="1" si="80"/>
        <v>0</v>
      </c>
      <c r="CS70" s="47"/>
      <c r="CU70" s="11"/>
      <c r="GB70" s="47"/>
      <c r="GG70" s="47"/>
      <c r="GI70" s="11"/>
      <c r="JP70" s="47"/>
      <c r="JU70" s="47"/>
      <c r="JW70" s="11"/>
      <c r="ND70" s="47"/>
      <c r="NI70" s="47"/>
      <c r="NK70" s="11"/>
      <c r="QR70" s="47"/>
      <c r="QW70" s="47"/>
      <c r="QY70" s="11"/>
      <c r="UF70" s="47"/>
      <c r="UK70" s="47"/>
      <c r="UM70" s="11"/>
      <c r="XT70" s="47"/>
      <c r="XY70" s="47"/>
      <c r="YA70" s="11"/>
      <c r="ABH70" s="47"/>
      <c r="ABM70" s="47"/>
      <c r="ABO70" s="11"/>
      <c r="AEV70" s="47"/>
      <c r="AFA70" s="47"/>
      <c r="AFC70" s="11"/>
      <c r="AIJ70" s="47"/>
      <c r="AIO70" s="47"/>
      <c r="AIQ70" s="11"/>
      <c r="ALX70" s="47"/>
      <c r="AMC70" s="47"/>
      <c r="AME70" s="11"/>
      <c r="APL70" s="47"/>
      <c r="APQ70" s="47"/>
      <c r="APS70" s="11"/>
      <c r="ASZ70" s="47"/>
      <c r="ATE70" s="47"/>
      <c r="ATG70" s="11"/>
      <c r="AWN70" s="47"/>
      <c r="AWS70" s="47"/>
      <c r="AWU70" s="11"/>
      <c r="BAB70" s="47"/>
      <c r="BAG70" s="47"/>
      <c r="BAI70" s="11"/>
      <c r="BDP70" s="47"/>
      <c r="BDU70" s="47"/>
      <c r="BDW70" s="11"/>
      <c r="BHD70" s="47"/>
      <c r="BHI70" s="47"/>
      <c r="BHK70" s="11"/>
      <c r="BKR70" s="47"/>
      <c r="BKW70" s="47"/>
      <c r="BKY70" s="11"/>
      <c r="BOF70" s="47"/>
      <c r="BOK70" s="47"/>
      <c r="BOM70" s="11"/>
      <c r="BRT70" s="47"/>
      <c r="BRY70" s="47"/>
      <c r="BSA70" s="11"/>
      <c r="BVH70" s="47"/>
      <c r="BVM70" s="47"/>
      <c r="BVO70" s="11"/>
      <c r="BYV70" s="47"/>
      <c r="BZA70" s="47"/>
      <c r="BZC70" s="11"/>
      <c r="CCJ70" s="47"/>
      <c r="CCO70" s="47"/>
      <c r="CCQ70" s="11"/>
      <c r="CFX70" s="47"/>
      <c r="CGC70" s="47"/>
      <c r="CGE70" s="11"/>
      <c r="CJL70" s="47"/>
      <c r="CJQ70" s="47"/>
      <c r="CJS70" s="11"/>
      <c r="CMZ70" s="47"/>
      <c r="CNE70" s="47"/>
      <c r="CNG70" s="11"/>
      <c r="CQN70" s="47"/>
      <c r="CQS70" s="47"/>
      <c r="CQU70" s="11"/>
      <c r="CUB70" s="47"/>
      <c r="CUG70" s="47"/>
      <c r="CUI70" s="11"/>
      <c r="CXP70" s="47"/>
      <c r="CXU70" s="47"/>
      <c r="CXW70" s="11"/>
      <c r="DBD70" s="47"/>
      <c r="DBI70" s="47"/>
      <c r="DBK70" s="11"/>
      <c r="DER70" s="47"/>
      <c r="DEW70" s="47"/>
      <c r="DEY70" s="11"/>
      <c r="DIF70" s="47"/>
      <c r="DIK70" s="47"/>
      <c r="DIM70" s="11"/>
      <c r="DLT70" s="47"/>
      <c r="DLY70" s="47"/>
      <c r="DMA70" s="11"/>
      <c r="DPH70" s="47"/>
      <c r="DPM70" s="47"/>
      <c r="DPO70" s="11"/>
      <c r="DSV70" s="47"/>
      <c r="DTA70" s="47"/>
      <c r="DTC70" s="11"/>
      <c r="DWJ70" s="47"/>
      <c r="DWO70" s="47"/>
      <c r="DWQ70" s="11"/>
      <c r="DZX70" s="47"/>
      <c r="EAC70" s="47"/>
      <c r="EAE70" s="11"/>
      <c r="EDL70" s="47"/>
      <c r="EDQ70" s="47"/>
      <c r="EDS70" s="11"/>
      <c r="EGZ70" s="47"/>
      <c r="EHE70" s="47"/>
      <c r="EHG70" s="11"/>
      <c r="EKN70" s="47"/>
      <c r="EKS70" s="47"/>
      <c r="EKU70" s="11"/>
      <c r="EOB70" s="47"/>
      <c r="EOG70" s="47"/>
      <c r="EOI70" s="11"/>
      <c r="ERP70" s="47"/>
      <c r="ERU70" s="47"/>
      <c r="ERW70" s="11"/>
      <c r="EVD70" s="47"/>
      <c r="EVI70" s="47"/>
      <c r="EVK70" s="11"/>
      <c r="EYR70" s="47"/>
      <c r="EYW70" s="47"/>
      <c r="EYY70" s="11"/>
      <c r="FCF70" s="47"/>
      <c r="FCK70" s="47"/>
      <c r="FCM70" s="11"/>
      <c r="FFT70" s="47"/>
      <c r="FFY70" s="47"/>
      <c r="FGA70" s="11"/>
      <c r="FJH70" s="47"/>
      <c r="FJM70" s="47"/>
      <c r="FJO70" s="11"/>
      <c r="FMV70" s="47"/>
      <c r="FNA70" s="47"/>
      <c r="FNC70" s="11"/>
      <c r="FQJ70" s="47"/>
      <c r="FQO70" s="47"/>
      <c r="FQQ70" s="11"/>
      <c r="FTX70" s="47"/>
      <c r="FUC70" s="47"/>
      <c r="FUE70" s="11"/>
      <c r="FXL70" s="47"/>
      <c r="FXQ70" s="47"/>
      <c r="FXS70" s="11"/>
      <c r="GAZ70" s="47"/>
      <c r="GBE70" s="47"/>
      <c r="GBG70" s="11"/>
      <c r="GEN70" s="47"/>
      <c r="GES70" s="47"/>
      <c r="GEU70" s="11"/>
      <c r="GIB70" s="47"/>
      <c r="GIG70" s="47"/>
      <c r="GII70" s="11"/>
      <c r="GLP70" s="47"/>
      <c r="GLU70" s="47"/>
      <c r="GLW70" s="11"/>
      <c r="GPD70" s="47"/>
      <c r="GPI70" s="47"/>
      <c r="GPK70" s="11"/>
      <c r="GSR70" s="47"/>
      <c r="GSW70" s="47"/>
      <c r="GSY70" s="11"/>
      <c r="GWF70" s="47"/>
      <c r="GWK70" s="47"/>
      <c r="GWM70" s="11"/>
      <c r="GZT70" s="47"/>
      <c r="GZY70" s="47"/>
      <c r="HAA70" s="11"/>
      <c r="HDH70" s="47"/>
      <c r="HDM70" s="47"/>
      <c r="HDO70" s="11"/>
      <c r="HGV70" s="47"/>
      <c r="HHA70" s="47"/>
      <c r="HHC70" s="11"/>
      <c r="HKJ70" s="47"/>
      <c r="HKO70" s="47"/>
      <c r="HKQ70" s="11"/>
      <c r="HNX70" s="47"/>
      <c r="HOC70" s="47"/>
      <c r="HOE70" s="11"/>
      <c r="HRL70" s="47"/>
      <c r="HRQ70" s="47"/>
      <c r="HRS70" s="11"/>
      <c r="HUZ70" s="47"/>
      <c r="HVE70" s="47"/>
      <c r="HVG70" s="11"/>
      <c r="HYN70" s="47"/>
      <c r="HYS70" s="47"/>
      <c r="HYU70" s="11"/>
      <c r="ICB70" s="47"/>
      <c r="ICG70" s="47"/>
      <c r="ICI70" s="11"/>
      <c r="IFP70" s="47"/>
      <c r="IFU70" s="47"/>
      <c r="IFW70" s="11"/>
      <c r="IJD70" s="47"/>
      <c r="IJI70" s="47"/>
      <c r="IJK70" s="11"/>
      <c r="IMR70" s="47"/>
      <c r="IMW70" s="47"/>
      <c r="IMY70" s="11"/>
      <c r="IQF70" s="47"/>
      <c r="IQK70" s="47"/>
      <c r="IQM70" s="11"/>
      <c r="ITT70" s="47"/>
      <c r="ITY70" s="47"/>
      <c r="IUA70" s="11"/>
      <c r="IXH70" s="47"/>
      <c r="IXM70" s="47"/>
      <c r="IXO70" s="11"/>
      <c r="JAV70" s="47"/>
      <c r="JBA70" s="47"/>
      <c r="JBC70" s="11"/>
      <c r="JEJ70" s="47"/>
      <c r="JEO70" s="47"/>
      <c r="JEQ70" s="11"/>
      <c r="JHX70" s="47"/>
      <c r="JIC70" s="47"/>
      <c r="JIE70" s="11"/>
      <c r="JLL70" s="47"/>
      <c r="JLQ70" s="47"/>
      <c r="JLS70" s="11"/>
      <c r="JOZ70" s="47"/>
      <c r="JPE70" s="47"/>
      <c r="JPG70" s="11"/>
      <c r="JSN70" s="47"/>
      <c r="JSS70" s="47"/>
      <c r="JSU70" s="11"/>
      <c r="JWB70" s="47"/>
      <c r="JWG70" s="47"/>
      <c r="JWI70" s="11"/>
      <c r="JZP70" s="47"/>
      <c r="JZU70" s="47"/>
      <c r="JZW70" s="11"/>
      <c r="KDD70" s="47"/>
      <c r="KDI70" s="47"/>
      <c r="KDK70" s="11"/>
      <c r="KGR70" s="47"/>
      <c r="KGW70" s="47"/>
      <c r="KGY70" s="11"/>
      <c r="KKF70" s="47"/>
      <c r="KKK70" s="47"/>
      <c r="KKM70" s="11"/>
      <c r="KNT70" s="47"/>
      <c r="KNY70" s="47"/>
      <c r="KOA70" s="11"/>
      <c r="KRH70" s="47"/>
      <c r="KRM70" s="47"/>
      <c r="KRO70" s="11"/>
      <c r="KUV70" s="47"/>
      <c r="KVA70" s="47"/>
      <c r="KVC70" s="11"/>
      <c r="KYJ70" s="47"/>
      <c r="KYO70" s="47"/>
      <c r="KYQ70" s="11"/>
      <c r="LBX70" s="47"/>
      <c r="LCC70" s="47"/>
      <c r="LCE70" s="11"/>
      <c r="LFL70" s="47"/>
      <c r="LFQ70" s="47"/>
      <c r="LFS70" s="11"/>
      <c r="LIZ70" s="47"/>
      <c r="LJE70" s="47"/>
      <c r="LJG70" s="11"/>
      <c r="LMN70" s="47"/>
      <c r="LMS70" s="47"/>
      <c r="LMU70" s="11"/>
      <c r="LQB70" s="47"/>
      <c r="LQG70" s="47"/>
      <c r="LQI70" s="11"/>
      <c r="LTP70" s="47"/>
      <c r="LTU70" s="47"/>
      <c r="LTW70" s="11"/>
      <c r="LXD70" s="47"/>
      <c r="LXI70" s="47"/>
      <c r="LXK70" s="11"/>
      <c r="MAR70" s="47"/>
      <c r="MAW70" s="47"/>
      <c r="MAY70" s="11"/>
      <c r="MEF70" s="47"/>
      <c r="MEK70" s="47"/>
      <c r="MEM70" s="11"/>
      <c r="MHT70" s="47"/>
      <c r="MHY70" s="47"/>
      <c r="MIA70" s="11"/>
      <c r="MLH70" s="47"/>
      <c r="MLM70" s="47"/>
      <c r="MLO70" s="11"/>
      <c r="MOV70" s="47"/>
      <c r="MPA70" s="47"/>
      <c r="MPC70" s="11"/>
      <c r="MSJ70" s="47"/>
      <c r="MSO70" s="47"/>
      <c r="MSQ70" s="11"/>
      <c r="MVX70" s="47"/>
      <c r="MWC70" s="47"/>
      <c r="MWE70" s="11"/>
      <c r="MZL70" s="47"/>
      <c r="MZQ70" s="47"/>
      <c r="MZS70" s="11"/>
      <c r="NCZ70" s="47"/>
      <c r="NDE70" s="47"/>
      <c r="NDG70" s="11"/>
      <c r="NGN70" s="47"/>
      <c r="NGS70" s="47"/>
      <c r="NGU70" s="11"/>
      <c r="NKB70" s="47"/>
      <c r="NKG70" s="47"/>
      <c r="NKI70" s="11"/>
      <c r="NNP70" s="47"/>
      <c r="NNU70" s="47"/>
      <c r="NNW70" s="11"/>
      <c r="NRD70" s="47"/>
      <c r="NRI70" s="47"/>
      <c r="NRK70" s="11"/>
      <c r="NUR70" s="47"/>
      <c r="NUW70" s="47"/>
      <c r="NUY70" s="11"/>
      <c r="NYF70" s="47"/>
      <c r="NYK70" s="47"/>
      <c r="NYM70" s="11"/>
      <c r="OBT70" s="47"/>
      <c r="OBY70" s="47"/>
      <c r="OCA70" s="11"/>
      <c r="OFH70" s="47"/>
      <c r="OFM70" s="47"/>
      <c r="OFO70" s="11"/>
      <c r="OIV70" s="47"/>
      <c r="OJA70" s="47"/>
      <c r="OJC70" s="11"/>
      <c r="OMJ70" s="47"/>
      <c r="OMO70" s="47"/>
      <c r="OMQ70" s="11"/>
      <c r="OPX70" s="47"/>
      <c r="OQC70" s="47"/>
      <c r="OQE70" s="11"/>
      <c r="OTL70" s="47"/>
      <c r="OTQ70" s="47"/>
      <c r="OTS70" s="11"/>
      <c r="OWZ70" s="47"/>
      <c r="OXE70" s="47"/>
      <c r="OXG70" s="11"/>
      <c r="PAN70" s="47"/>
      <c r="PAS70" s="47"/>
      <c r="PAU70" s="11"/>
      <c r="PEB70" s="47"/>
      <c r="PEG70" s="47"/>
      <c r="PEI70" s="11"/>
      <c r="PHP70" s="47"/>
      <c r="PHU70" s="47"/>
      <c r="PHW70" s="11"/>
      <c r="PLD70" s="47"/>
      <c r="PLI70" s="47"/>
      <c r="PLK70" s="11"/>
      <c r="POR70" s="47"/>
      <c r="POW70" s="47"/>
      <c r="POY70" s="11"/>
      <c r="PSF70" s="47"/>
      <c r="PSK70" s="47"/>
      <c r="PSM70" s="11"/>
      <c r="PVT70" s="47"/>
      <c r="PVY70" s="47"/>
      <c r="PWA70" s="11"/>
      <c r="PZH70" s="47"/>
      <c r="PZM70" s="47"/>
      <c r="PZO70" s="11"/>
      <c r="QCV70" s="47"/>
      <c r="QDA70" s="47"/>
      <c r="QDC70" s="11"/>
      <c r="QGJ70" s="47"/>
      <c r="QGO70" s="47"/>
      <c r="QGQ70" s="11"/>
      <c r="QJX70" s="47"/>
      <c r="QKC70" s="47"/>
      <c r="QKE70" s="11"/>
      <c r="QNL70" s="47"/>
      <c r="QNQ70" s="47"/>
      <c r="QNS70" s="11"/>
      <c r="QQZ70" s="47"/>
      <c r="QRE70" s="47"/>
      <c r="QRG70" s="11"/>
      <c r="QUN70" s="47"/>
      <c r="QUS70" s="47"/>
      <c r="QUU70" s="11"/>
      <c r="QYB70" s="47"/>
      <c r="QYG70" s="47"/>
      <c r="QYI70" s="11"/>
      <c r="RBP70" s="47"/>
      <c r="RBU70" s="47"/>
      <c r="RBW70" s="11"/>
      <c r="RFD70" s="47"/>
      <c r="RFI70" s="47"/>
      <c r="RFK70" s="11"/>
      <c r="RIR70" s="47"/>
      <c r="RIW70" s="47"/>
      <c r="RIY70" s="11"/>
      <c r="RMF70" s="47"/>
      <c r="RMK70" s="47"/>
      <c r="RMM70" s="11"/>
      <c r="RPT70" s="47"/>
      <c r="RPY70" s="47"/>
      <c r="RQA70" s="11"/>
      <c r="RTH70" s="47"/>
      <c r="RTM70" s="47"/>
      <c r="RTO70" s="11"/>
      <c r="RWV70" s="47"/>
      <c r="RXA70" s="47"/>
      <c r="RXC70" s="11"/>
      <c r="SAJ70" s="47"/>
      <c r="SAO70" s="47"/>
      <c r="SAQ70" s="11"/>
      <c r="SDX70" s="47"/>
      <c r="SEC70" s="47"/>
      <c r="SEE70" s="11"/>
      <c r="SHL70" s="47"/>
      <c r="SHQ70" s="47"/>
      <c r="SHS70" s="11"/>
      <c r="SKZ70" s="47"/>
      <c r="SLE70" s="47"/>
      <c r="SLG70" s="11"/>
      <c r="SON70" s="47"/>
      <c r="SOS70" s="47"/>
      <c r="SOU70" s="11"/>
      <c r="SSB70" s="47"/>
      <c r="SSG70" s="47"/>
      <c r="SSI70" s="11"/>
      <c r="SVP70" s="47"/>
      <c r="SVU70" s="47"/>
      <c r="SVW70" s="11"/>
      <c r="SZD70" s="47"/>
      <c r="SZI70" s="47"/>
      <c r="SZK70" s="11"/>
      <c r="TCR70" s="47"/>
      <c r="TCW70" s="47"/>
      <c r="TCY70" s="11"/>
      <c r="TGF70" s="47"/>
      <c r="TGK70" s="47"/>
      <c r="TGM70" s="11"/>
      <c r="TJT70" s="47"/>
      <c r="TJY70" s="47"/>
      <c r="TKA70" s="11"/>
      <c r="TNH70" s="47"/>
      <c r="TNM70" s="47"/>
      <c r="TNO70" s="11"/>
      <c r="TQV70" s="47"/>
      <c r="TRA70" s="47"/>
      <c r="TRC70" s="11"/>
      <c r="TUJ70" s="47"/>
      <c r="TUO70" s="47"/>
      <c r="TUQ70" s="11"/>
      <c r="TXX70" s="47"/>
      <c r="TYC70" s="47"/>
      <c r="TYE70" s="11"/>
      <c r="UBL70" s="47"/>
      <c r="UBQ70" s="47"/>
      <c r="UBS70" s="11"/>
      <c r="UEZ70" s="47"/>
      <c r="UFE70" s="47"/>
      <c r="UFG70" s="11"/>
      <c r="UIN70" s="47"/>
      <c r="UIS70" s="47"/>
      <c r="UIU70" s="11"/>
      <c r="UMB70" s="47"/>
      <c r="UMG70" s="47"/>
      <c r="UMI70" s="11"/>
      <c r="UPP70" s="47"/>
      <c r="UPU70" s="47"/>
      <c r="UPW70" s="11"/>
      <c r="UTD70" s="47"/>
      <c r="UTI70" s="47"/>
      <c r="UTK70" s="11"/>
      <c r="UWR70" s="47"/>
      <c r="UWW70" s="47"/>
      <c r="UWY70" s="11"/>
      <c r="VAF70" s="47"/>
      <c r="VAK70" s="47"/>
      <c r="VAM70" s="11"/>
      <c r="VDT70" s="47"/>
      <c r="VDY70" s="47"/>
      <c r="VEA70" s="11"/>
      <c r="VHH70" s="47"/>
      <c r="VHM70" s="47"/>
      <c r="VHO70" s="11"/>
      <c r="VKV70" s="47"/>
      <c r="VLA70" s="47"/>
      <c r="VLC70" s="11"/>
      <c r="VOJ70" s="47"/>
      <c r="VOO70" s="47"/>
      <c r="VOQ70" s="11"/>
      <c r="VRX70" s="47"/>
      <c r="VSC70" s="47"/>
      <c r="VSE70" s="11"/>
      <c r="VVL70" s="47"/>
      <c r="VVQ70" s="47"/>
      <c r="VVS70" s="11"/>
      <c r="VYZ70" s="47"/>
      <c r="VZE70" s="47"/>
      <c r="VZG70" s="11"/>
      <c r="WCN70" s="47"/>
      <c r="WCS70" s="47"/>
      <c r="WCU70" s="11"/>
      <c r="WGB70" s="47"/>
      <c r="WGG70" s="47"/>
      <c r="WGI70" s="11"/>
      <c r="WJP70" s="47"/>
      <c r="WJU70" s="47"/>
      <c r="WJW70" s="11"/>
      <c r="WND70" s="47"/>
      <c r="WNI70" s="47"/>
      <c r="WNK70" s="11"/>
      <c r="WQR70" s="47"/>
      <c r="WQW70" s="47"/>
      <c r="WQY70" s="11"/>
      <c r="WUF70" s="47"/>
      <c r="WUK70" s="47"/>
      <c r="WUM70" s="11"/>
      <c r="WXT70" s="47"/>
      <c r="WXY70" s="47"/>
      <c r="WYA70" s="11"/>
      <c r="XBH70" s="47"/>
      <c r="XBM70" s="47"/>
      <c r="XBO70" s="11"/>
      <c r="XEV70" s="47"/>
      <c r="XFA70" s="47"/>
      <c r="XFC70" s="11"/>
    </row>
    <row r="71" spans="1:1019 1104:2031 2116:3043 3128:4055 4140:5067 5152:6079 6164:7091 7176:8188 8193:9207 9292:10219 10304:11231 11316:12243 12328:13255 13340:14267 14352:15279 15364:16383" s="10" customFormat="1" ht="14.5" customHeight="1">
      <c r="C71" s="17" t="s">
        <v>1034</v>
      </c>
      <c r="E71" s="47"/>
      <c r="G71" s="11" t="str">
        <f t="shared" si="74"/>
        <v>тыс. руб.</v>
      </c>
      <c r="I71" s="23">
        <f t="shared" ca="1" si="75"/>
        <v>3767241.3260369487</v>
      </c>
      <c r="L71" s="10">
        <f ca="1" xml:space="preserve"> L63 * $E$94</f>
        <v>0</v>
      </c>
      <c r="M71" s="10">
        <f t="shared" ref="M71:BX71" ca="1" si="81" xml:space="preserve"> M63 * $E$94</f>
        <v>0</v>
      </c>
      <c r="N71" s="10">
        <f t="shared" ca="1" si="81"/>
        <v>0</v>
      </c>
      <c r="O71" s="10">
        <f t="shared" ca="1" si="81"/>
        <v>0</v>
      </c>
      <c r="P71" s="10">
        <f t="shared" ca="1" si="81"/>
        <v>0</v>
      </c>
      <c r="Q71" s="10">
        <f t="shared" ca="1" si="81"/>
        <v>0</v>
      </c>
      <c r="R71" s="10">
        <f t="shared" ca="1" si="81"/>
        <v>0</v>
      </c>
      <c r="S71" s="10">
        <f t="shared" ca="1" si="81"/>
        <v>0</v>
      </c>
      <c r="T71" s="10">
        <f t="shared" ca="1" si="81"/>
        <v>0</v>
      </c>
      <c r="U71" s="10">
        <f t="shared" ca="1" si="81"/>
        <v>0</v>
      </c>
      <c r="V71" s="10">
        <f t="shared" ca="1" si="81"/>
        <v>0</v>
      </c>
      <c r="W71" s="10">
        <f t="shared" ca="1" si="81"/>
        <v>0</v>
      </c>
      <c r="X71" s="10">
        <f t="shared" ca="1" si="81"/>
        <v>0</v>
      </c>
      <c r="Y71" s="10">
        <f t="shared" ca="1" si="81"/>
        <v>0</v>
      </c>
      <c r="Z71" s="10">
        <f t="shared" ca="1" si="81"/>
        <v>0</v>
      </c>
      <c r="AA71" s="10">
        <f t="shared" ca="1" si="81"/>
        <v>0</v>
      </c>
      <c r="AB71" s="10">
        <f t="shared" ca="1" si="81"/>
        <v>0</v>
      </c>
      <c r="AC71" s="10">
        <f t="shared" ca="1" si="81"/>
        <v>0</v>
      </c>
      <c r="AD71" s="10">
        <f t="shared" ca="1" si="81"/>
        <v>0</v>
      </c>
      <c r="AE71" s="10">
        <f t="shared" ca="1" si="81"/>
        <v>0</v>
      </c>
      <c r="AF71" s="10">
        <f t="shared" ca="1" si="81"/>
        <v>0</v>
      </c>
      <c r="AG71" s="10">
        <f t="shared" ca="1" si="81"/>
        <v>0</v>
      </c>
      <c r="AH71" s="10">
        <f t="shared" ca="1" si="81"/>
        <v>0</v>
      </c>
      <c r="AI71" s="10">
        <f t="shared" ca="1" si="81"/>
        <v>0</v>
      </c>
      <c r="AJ71" s="10">
        <f t="shared" ca="1" si="81"/>
        <v>0</v>
      </c>
      <c r="AK71" s="10">
        <f t="shared" ca="1" si="81"/>
        <v>0</v>
      </c>
      <c r="AL71" s="10">
        <f t="shared" ca="1" si="81"/>
        <v>0</v>
      </c>
      <c r="AM71" s="10">
        <f t="shared" ca="1" si="81"/>
        <v>0</v>
      </c>
      <c r="AN71" s="10">
        <f t="shared" ca="1" si="81"/>
        <v>0</v>
      </c>
      <c r="AO71" s="10">
        <f t="shared" ca="1" si="81"/>
        <v>0</v>
      </c>
      <c r="AP71" s="10">
        <f t="shared" ca="1" si="81"/>
        <v>0</v>
      </c>
      <c r="AQ71" s="10">
        <f t="shared" ca="1" si="81"/>
        <v>0</v>
      </c>
      <c r="AR71" s="10">
        <f t="shared" ca="1" si="81"/>
        <v>0</v>
      </c>
      <c r="AS71" s="10">
        <f t="shared" ca="1" si="81"/>
        <v>0</v>
      </c>
      <c r="AT71" s="10">
        <f t="shared" ca="1" si="81"/>
        <v>0</v>
      </c>
      <c r="AU71" s="10">
        <f t="shared" ca="1" si="81"/>
        <v>0</v>
      </c>
      <c r="AV71" s="10">
        <f t="shared" ca="1" si="81"/>
        <v>0</v>
      </c>
      <c r="AW71" s="10">
        <f t="shared" ca="1" si="81"/>
        <v>0</v>
      </c>
      <c r="AX71" s="10">
        <f t="shared" ca="1" si="81"/>
        <v>79771.930508875987</v>
      </c>
      <c r="AY71" s="10">
        <f t="shared" ca="1" si="81"/>
        <v>100108.42600259389</v>
      </c>
      <c r="AZ71" s="10">
        <f t="shared" ca="1" si="81"/>
        <v>57237.939196443214</v>
      </c>
      <c r="BA71" s="10">
        <f t="shared" ca="1" si="81"/>
        <v>54296.087583075983</v>
      </c>
      <c r="BB71" s="10">
        <f t="shared" ca="1" si="81"/>
        <v>82962.807729231004</v>
      </c>
      <c r="BC71" s="10">
        <f t="shared" ca="1" si="81"/>
        <v>104112.76304269757</v>
      </c>
      <c r="BD71" s="10">
        <f t="shared" ca="1" si="81"/>
        <v>59527.45676430095</v>
      </c>
      <c r="BE71" s="10">
        <f t="shared" ca="1" si="81"/>
        <v>57095.511384870617</v>
      </c>
      <c r="BF71" s="10">
        <f t="shared" ca="1" si="81"/>
        <v>86281.480445490641</v>
      </c>
      <c r="BG71" s="10">
        <f t="shared" ca="1" si="81"/>
        <v>108277.43733213624</v>
      </c>
      <c r="BH71" s="10">
        <f t="shared" ca="1" si="81"/>
        <v>61908.720416273733</v>
      </c>
      <c r="BI71" s="10">
        <f t="shared" ca="1" si="81"/>
        <v>58726.64832985495</v>
      </c>
      <c r="BJ71" s="10">
        <f t="shared" ca="1" si="81"/>
        <v>89732.572839936212</v>
      </c>
      <c r="BK71" s="10">
        <f t="shared" ca="1" si="81"/>
        <v>112608.36450698166</v>
      </c>
      <c r="BL71" s="10">
        <f t="shared" ca="1" si="81"/>
        <v>64384.897236267891</v>
      </c>
      <c r="BM71" s="10">
        <f t="shared" ca="1" si="81"/>
        <v>61075.714263049151</v>
      </c>
      <c r="BN71" s="10">
        <f t="shared" ca="1" si="81"/>
        <v>93321.875753533677</v>
      </c>
      <c r="BO71" s="10">
        <f t="shared" ca="1" si="81"/>
        <v>117112.69908726096</v>
      </c>
      <c r="BP71" s="10">
        <f t="shared" ca="1" si="81"/>
        <v>66960.29312571857</v>
      </c>
      <c r="BQ71" s="10">
        <f t="shared" ca="1" si="81"/>
        <v>63518.742833571101</v>
      </c>
      <c r="BR71" s="10">
        <f t="shared" ca="1" si="81"/>
        <v>97054.750783674972</v>
      </c>
      <c r="BS71" s="10">
        <f t="shared" ca="1" si="81"/>
        <v>121797.20705075137</v>
      </c>
      <c r="BT71" s="10">
        <f t="shared" ca="1" si="81"/>
        <v>69638.704850747294</v>
      </c>
      <c r="BU71" s="10">
        <f t="shared" ca="1" si="81"/>
        <v>66793.672731168306</v>
      </c>
      <c r="BV71" s="10">
        <f t="shared" ca="1" si="81"/>
        <v>100937.12846862979</v>
      </c>
      <c r="BW71" s="10">
        <f t="shared" ca="1" si="81"/>
        <v>126669.28691786301</v>
      </c>
      <c r="BX71" s="10">
        <f t="shared" ca="1" si="81"/>
        <v>72424.446517624528</v>
      </c>
      <c r="BY71" s="10">
        <f t="shared" ref="BY71:CM71" ca="1" si="82" xml:space="preserve"> BY63 * $E$94</f>
        <v>68701.872248790489</v>
      </c>
      <c r="BZ71" s="10">
        <f t="shared" ca="1" si="82"/>
        <v>104974.4184476228</v>
      </c>
      <c r="CA71" s="10">
        <f t="shared" ca="1" si="82"/>
        <v>131735.85914609258</v>
      </c>
      <c r="CB71" s="10">
        <f t="shared" ca="1" si="82"/>
        <v>75321.223166568263</v>
      </c>
      <c r="CC71" s="10">
        <f t="shared" ca="1" si="82"/>
        <v>71449.947138742078</v>
      </c>
      <c r="CD71" s="10">
        <f t="shared" ca="1" si="82"/>
        <v>109173.39518552777</v>
      </c>
      <c r="CE71" s="10">
        <f t="shared" ca="1" si="82"/>
        <v>137005.29351193635</v>
      </c>
      <c r="CF71" s="10">
        <f t="shared" ca="1" si="82"/>
        <v>78334.072093230992</v>
      </c>
      <c r="CG71" s="10">
        <f t="shared" ca="1" si="82"/>
        <v>74307.945024291766</v>
      </c>
      <c r="CH71" s="10">
        <f t="shared" ca="1" si="82"/>
        <v>113540.33099294885</v>
      </c>
      <c r="CI71" s="10">
        <f t="shared" ca="1" si="82"/>
        <v>142485.50525241374</v>
      </c>
      <c r="CJ71" s="10">
        <f t="shared" ca="1" si="82"/>
        <v>81467.434976960256</v>
      </c>
      <c r="CK71" s="10">
        <f t="shared" ca="1" si="82"/>
        <v>78139.149798395767</v>
      </c>
      <c r="CL71" s="10">
        <f t="shared" ca="1" si="82"/>
        <v>118082.16376084623</v>
      </c>
      <c r="CM71" s="10">
        <f t="shared" ca="1" si="82"/>
        <v>148185.14958995799</v>
      </c>
      <c r="CN71" s="10">
        <f t="shared" ref="CN71:CO71" ca="1" si="83" xml:space="preserve"> CN63 * $E$94</f>
        <v>84726.358711905224</v>
      </c>
      <c r="CO71" s="10">
        <f t="shared" ca="1" si="83"/>
        <v>80371.473338273994</v>
      </c>
      <c r="CS71" s="47"/>
      <c r="CU71" s="11"/>
      <c r="GB71" s="47"/>
      <c r="GG71" s="47"/>
      <c r="GI71" s="11"/>
      <c r="JP71" s="47"/>
      <c r="JU71" s="47"/>
      <c r="JW71" s="11"/>
      <c r="ND71" s="47"/>
      <c r="NI71" s="47"/>
      <c r="NK71" s="11"/>
      <c r="QR71" s="47"/>
      <c r="QW71" s="47"/>
      <c r="QY71" s="11"/>
      <c r="UF71" s="47"/>
      <c r="UK71" s="47"/>
      <c r="UM71" s="11"/>
      <c r="XT71" s="47"/>
      <c r="XY71" s="47"/>
      <c r="YA71" s="11"/>
      <c r="ABH71" s="47"/>
      <c r="ABM71" s="47"/>
      <c r="ABO71" s="11"/>
      <c r="AEV71" s="47"/>
      <c r="AFA71" s="47"/>
      <c r="AFC71" s="11"/>
      <c r="AIJ71" s="47"/>
      <c r="AIO71" s="47"/>
      <c r="AIQ71" s="11"/>
      <c r="ALX71" s="47"/>
      <c r="AMC71" s="47"/>
      <c r="AME71" s="11"/>
      <c r="APL71" s="47"/>
      <c r="APQ71" s="47"/>
      <c r="APS71" s="11"/>
      <c r="ASZ71" s="47"/>
      <c r="ATE71" s="47"/>
      <c r="ATG71" s="11"/>
      <c r="AWN71" s="47"/>
      <c r="AWS71" s="47"/>
      <c r="AWU71" s="11"/>
      <c r="BAB71" s="47"/>
      <c r="BAG71" s="47"/>
      <c r="BAI71" s="11"/>
      <c r="BDP71" s="47"/>
      <c r="BDU71" s="47"/>
      <c r="BDW71" s="11"/>
      <c r="BHD71" s="47"/>
      <c r="BHI71" s="47"/>
      <c r="BHK71" s="11"/>
      <c r="BKR71" s="47"/>
      <c r="BKW71" s="47"/>
      <c r="BKY71" s="11"/>
      <c r="BOF71" s="47"/>
      <c r="BOK71" s="47"/>
      <c r="BOM71" s="11"/>
      <c r="BRT71" s="47"/>
      <c r="BRY71" s="47"/>
      <c r="BSA71" s="11"/>
      <c r="BVH71" s="47"/>
      <c r="BVM71" s="47"/>
      <c r="BVO71" s="11"/>
      <c r="BYV71" s="47"/>
      <c r="BZA71" s="47"/>
      <c r="BZC71" s="11"/>
      <c r="CCJ71" s="47"/>
      <c r="CCO71" s="47"/>
      <c r="CCQ71" s="11"/>
      <c r="CFX71" s="47"/>
      <c r="CGC71" s="47"/>
      <c r="CGE71" s="11"/>
      <c r="CJL71" s="47"/>
      <c r="CJQ71" s="47"/>
      <c r="CJS71" s="11"/>
      <c r="CMZ71" s="47"/>
      <c r="CNE71" s="47"/>
      <c r="CNG71" s="11"/>
      <c r="CQN71" s="47"/>
      <c r="CQS71" s="47"/>
      <c r="CQU71" s="11"/>
      <c r="CUB71" s="47"/>
      <c r="CUG71" s="47"/>
      <c r="CUI71" s="11"/>
      <c r="CXP71" s="47"/>
      <c r="CXU71" s="47"/>
      <c r="CXW71" s="11"/>
      <c r="DBD71" s="47"/>
      <c r="DBI71" s="47"/>
      <c r="DBK71" s="11"/>
      <c r="DER71" s="47"/>
      <c r="DEW71" s="47"/>
      <c r="DEY71" s="11"/>
      <c r="DIF71" s="47"/>
      <c r="DIK71" s="47"/>
      <c r="DIM71" s="11"/>
      <c r="DLT71" s="47"/>
      <c r="DLY71" s="47"/>
      <c r="DMA71" s="11"/>
      <c r="DPH71" s="47"/>
      <c r="DPM71" s="47"/>
      <c r="DPO71" s="11"/>
      <c r="DSV71" s="47"/>
      <c r="DTA71" s="47"/>
      <c r="DTC71" s="11"/>
      <c r="DWJ71" s="47"/>
      <c r="DWO71" s="47"/>
      <c r="DWQ71" s="11"/>
      <c r="DZX71" s="47"/>
      <c r="EAC71" s="47"/>
      <c r="EAE71" s="11"/>
      <c r="EDL71" s="47"/>
      <c r="EDQ71" s="47"/>
      <c r="EDS71" s="11"/>
      <c r="EGZ71" s="47"/>
      <c r="EHE71" s="47"/>
      <c r="EHG71" s="11"/>
      <c r="EKN71" s="47"/>
      <c r="EKS71" s="47"/>
      <c r="EKU71" s="11"/>
      <c r="EOB71" s="47"/>
      <c r="EOG71" s="47"/>
      <c r="EOI71" s="11"/>
      <c r="ERP71" s="47"/>
      <c r="ERU71" s="47"/>
      <c r="ERW71" s="11"/>
      <c r="EVD71" s="47"/>
      <c r="EVI71" s="47"/>
      <c r="EVK71" s="11"/>
      <c r="EYR71" s="47"/>
      <c r="EYW71" s="47"/>
      <c r="EYY71" s="11"/>
      <c r="FCF71" s="47"/>
      <c r="FCK71" s="47"/>
      <c r="FCM71" s="11"/>
      <c r="FFT71" s="47"/>
      <c r="FFY71" s="47"/>
      <c r="FGA71" s="11"/>
      <c r="FJH71" s="47"/>
      <c r="FJM71" s="47"/>
      <c r="FJO71" s="11"/>
      <c r="FMV71" s="47"/>
      <c r="FNA71" s="47"/>
      <c r="FNC71" s="11"/>
      <c r="FQJ71" s="47"/>
      <c r="FQO71" s="47"/>
      <c r="FQQ71" s="11"/>
      <c r="FTX71" s="47"/>
      <c r="FUC71" s="47"/>
      <c r="FUE71" s="11"/>
      <c r="FXL71" s="47"/>
      <c r="FXQ71" s="47"/>
      <c r="FXS71" s="11"/>
      <c r="GAZ71" s="47"/>
      <c r="GBE71" s="47"/>
      <c r="GBG71" s="11"/>
      <c r="GEN71" s="47"/>
      <c r="GES71" s="47"/>
      <c r="GEU71" s="11"/>
      <c r="GIB71" s="47"/>
      <c r="GIG71" s="47"/>
      <c r="GII71" s="11"/>
      <c r="GLP71" s="47"/>
      <c r="GLU71" s="47"/>
      <c r="GLW71" s="11"/>
      <c r="GPD71" s="47"/>
      <c r="GPI71" s="47"/>
      <c r="GPK71" s="11"/>
      <c r="GSR71" s="47"/>
      <c r="GSW71" s="47"/>
      <c r="GSY71" s="11"/>
      <c r="GWF71" s="47"/>
      <c r="GWK71" s="47"/>
      <c r="GWM71" s="11"/>
      <c r="GZT71" s="47"/>
      <c r="GZY71" s="47"/>
      <c r="HAA71" s="11"/>
      <c r="HDH71" s="47"/>
      <c r="HDM71" s="47"/>
      <c r="HDO71" s="11"/>
      <c r="HGV71" s="47"/>
      <c r="HHA71" s="47"/>
      <c r="HHC71" s="11"/>
      <c r="HKJ71" s="47"/>
      <c r="HKO71" s="47"/>
      <c r="HKQ71" s="11"/>
      <c r="HNX71" s="47"/>
      <c r="HOC71" s="47"/>
      <c r="HOE71" s="11"/>
      <c r="HRL71" s="47"/>
      <c r="HRQ71" s="47"/>
      <c r="HRS71" s="11"/>
      <c r="HUZ71" s="47"/>
      <c r="HVE71" s="47"/>
      <c r="HVG71" s="11"/>
      <c r="HYN71" s="47"/>
      <c r="HYS71" s="47"/>
      <c r="HYU71" s="11"/>
      <c r="ICB71" s="47"/>
      <c r="ICG71" s="47"/>
      <c r="ICI71" s="11"/>
      <c r="IFP71" s="47"/>
      <c r="IFU71" s="47"/>
      <c r="IFW71" s="11"/>
      <c r="IJD71" s="47"/>
      <c r="IJI71" s="47"/>
      <c r="IJK71" s="11"/>
      <c r="IMR71" s="47"/>
      <c r="IMW71" s="47"/>
      <c r="IMY71" s="11"/>
      <c r="IQF71" s="47"/>
      <c r="IQK71" s="47"/>
      <c r="IQM71" s="11"/>
      <c r="ITT71" s="47"/>
      <c r="ITY71" s="47"/>
      <c r="IUA71" s="11"/>
      <c r="IXH71" s="47"/>
      <c r="IXM71" s="47"/>
      <c r="IXO71" s="11"/>
      <c r="JAV71" s="47"/>
      <c r="JBA71" s="47"/>
      <c r="JBC71" s="11"/>
      <c r="JEJ71" s="47"/>
      <c r="JEO71" s="47"/>
      <c r="JEQ71" s="11"/>
      <c r="JHX71" s="47"/>
      <c r="JIC71" s="47"/>
      <c r="JIE71" s="11"/>
      <c r="JLL71" s="47"/>
      <c r="JLQ71" s="47"/>
      <c r="JLS71" s="11"/>
      <c r="JOZ71" s="47"/>
      <c r="JPE71" s="47"/>
      <c r="JPG71" s="11"/>
      <c r="JSN71" s="47"/>
      <c r="JSS71" s="47"/>
      <c r="JSU71" s="11"/>
      <c r="JWB71" s="47"/>
      <c r="JWG71" s="47"/>
      <c r="JWI71" s="11"/>
      <c r="JZP71" s="47"/>
      <c r="JZU71" s="47"/>
      <c r="JZW71" s="11"/>
      <c r="KDD71" s="47"/>
      <c r="KDI71" s="47"/>
      <c r="KDK71" s="11"/>
      <c r="KGR71" s="47"/>
      <c r="KGW71" s="47"/>
      <c r="KGY71" s="11"/>
      <c r="KKF71" s="47"/>
      <c r="KKK71" s="47"/>
      <c r="KKM71" s="11"/>
      <c r="KNT71" s="47"/>
      <c r="KNY71" s="47"/>
      <c r="KOA71" s="11"/>
      <c r="KRH71" s="47"/>
      <c r="KRM71" s="47"/>
      <c r="KRO71" s="11"/>
      <c r="KUV71" s="47"/>
      <c r="KVA71" s="47"/>
      <c r="KVC71" s="11"/>
      <c r="KYJ71" s="47"/>
      <c r="KYO71" s="47"/>
      <c r="KYQ71" s="11"/>
      <c r="LBX71" s="47"/>
      <c r="LCC71" s="47"/>
      <c r="LCE71" s="11"/>
      <c r="LFL71" s="47"/>
      <c r="LFQ71" s="47"/>
      <c r="LFS71" s="11"/>
      <c r="LIZ71" s="47"/>
      <c r="LJE71" s="47"/>
      <c r="LJG71" s="11"/>
      <c r="LMN71" s="47"/>
      <c r="LMS71" s="47"/>
      <c r="LMU71" s="11"/>
      <c r="LQB71" s="47"/>
      <c r="LQG71" s="47"/>
      <c r="LQI71" s="11"/>
      <c r="LTP71" s="47"/>
      <c r="LTU71" s="47"/>
      <c r="LTW71" s="11"/>
      <c r="LXD71" s="47"/>
      <c r="LXI71" s="47"/>
      <c r="LXK71" s="11"/>
      <c r="MAR71" s="47"/>
      <c r="MAW71" s="47"/>
      <c r="MAY71" s="11"/>
      <c r="MEF71" s="47"/>
      <c r="MEK71" s="47"/>
      <c r="MEM71" s="11"/>
      <c r="MHT71" s="47"/>
      <c r="MHY71" s="47"/>
      <c r="MIA71" s="11"/>
      <c r="MLH71" s="47"/>
      <c r="MLM71" s="47"/>
      <c r="MLO71" s="11"/>
      <c r="MOV71" s="47"/>
      <c r="MPA71" s="47"/>
      <c r="MPC71" s="11"/>
      <c r="MSJ71" s="47"/>
      <c r="MSO71" s="47"/>
      <c r="MSQ71" s="11"/>
      <c r="MVX71" s="47"/>
      <c r="MWC71" s="47"/>
      <c r="MWE71" s="11"/>
      <c r="MZL71" s="47"/>
      <c r="MZQ71" s="47"/>
      <c r="MZS71" s="11"/>
      <c r="NCZ71" s="47"/>
      <c r="NDE71" s="47"/>
      <c r="NDG71" s="11"/>
      <c r="NGN71" s="47"/>
      <c r="NGS71" s="47"/>
      <c r="NGU71" s="11"/>
      <c r="NKB71" s="47"/>
      <c r="NKG71" s="47"/>
      <c r="NKI71" s="11"/>
      <c r="NNP71" s="47"/>
      <c r="NNU71" s="47"/>
      <c r="NNW71" s="11"/>
      <c r="NRD71" s="47"/>
      <c r="NRI71" s="47"/>
      <c r="NRK71" s="11"/>
      <c r="NUR71" s="47"/>
      <c r="NUW71" s="47"/>
      <c r="NUY71" s="11"/>
      <c r="NYF71" s="47"/>
      <c r="NYK71" s="47"/>
      <c r="NYM71" s="11"/>
      <c r="OBT71" s="47"/>
      <c r="OBY71" s="47"/>
      <c r="OCA71" s="11"/>
      <c r="OFH71" s="47"/>
      <c r="OFM71" s="47"/>
      <c r="OFO71" s="11"/>
      <c r="OIV71" s="47"/>
      <c r="OJA71" s="47"/>
      <c r="OJC71" s="11"/>
      <c r="OMJ71" s="47"/>
      <c r="OMO71" s="47"/>
      <c r="OMQ71" s="11"/>
      <c r="OPX71" s="47"/>
      <c r="OQC71" s="47"/>
      <c r="OQE71" s="11"/>
      <c r="OTL71" s="47"/>
      <c r="OTQ71" s="47"/>
      <c r="OTS71" s="11"/>
      <c r="OWZ71" s="47"/>
      <c r="OXE71" s="47"/>
      <c r="OXG71" s="11"/>
      <c r="PAN71" s="47"/>
      <c r="PAS71" s="47"/>
      <c r="PAU71" s="11"/>
      <c r="PEB71" s="47"/>
      <c r="PEG71" s="47"/>
      <c r="PEI71" s="11"/>
      <c r="PHP71" s="47"/>
      <c r="PHU71" s="47"/>
      <c r="PHW71" s="11"/>
      <c r="PLD71" s="47"/>
      <c r="PLI71" s="47"/>
      <c r="PLK71" s="11"/>
      <c r="POR71" s="47"/>
      <c r="POW71" s="47"/>
      <c r="POY71" s="11"/>
      <c r="PSF71" s="47"/>
      <c r="PSK71" s="47"/>
      <c r="PSM71" s="11"/>
      <c r="PVT71" s="47"/>
      <c r="PVY71" s="47"/>
      <c r="PWA71" s="11"/>
      <c r="PZH71" s="47"/>
      <c r="PZM71" s="47"/>
      <c r="PZO71" s="11"/>
      <c r="QCV71" s="47"/>
      <c r="QDA71" s="47"/>
      <c r="QDC71" s="11"/>
      <c r="QGJ71" s="47"/>
      <c r="QGO71" s="47"/>
      <c r="QGQ71" s="11"/>
      <c r="QJX71" s="47"/>
      <c r="QKC71" s="47"/>
      <c r="QKE71" s="11"/>
      <c r="QNL71" s="47"/>
      <c r="QNQ71" s="47"/>
      <c r="QNS71" s="11"/>
      <c r="QQZ71" s="47"/>
      <c r="QRE71" s="47"/>
      <c r="QRG71" s="11"/>
      <c r="QUN71" s="47"/>
      <c r="QUS71" s="47"/>
      <c r="QUU71" s="11"/>
      <c r="QYB71" s="47"/>
      <c r="QYG71" s="47"/>
      <c r="QYI71" s="11"/>
      <c r="RBP71" s="47"/>
      <c r="RBU71" s="47"/>
      <c r="RBW71" s="11"/>
      <c r="RFD71" s="47"/>
      <c r="RFI71" s="47"/>
      <c r="RFK71" s="11"/>
      <c r="RIR71" s="47"/>
      <c r="RIW71" s="47"/>
      <c r="RIY71" s="11"/>
      <c r="RMF71" s="47"/>
      <c r="RMK71" s="47"/>
      <c r="RMM71" s="11"/>
      <c r="RPT71" s="47"/>
      <c r="RPY71" s="47"/>
      <c r="RQA71" s="11"/>
      <c r="RTH71" s="47"/>
      <c r="RTM71" s="47"/>
      <c r="RTO71" s="11"/>
      <c r="RWV71" s="47"/>
      <c r="RXA71" s="47"/>
      <c r="RXC71" s="11"/>
      <c r="SAJ71" s="47"/>
      <c r="SAO71" s="47"/>
      <c r="SAQ71" s="11"/>
      <c r="SDX71" s="47"/>
      <c r="SEC71" s="47"/>
      <c r="SEE71" s="11"/>
      <c r="SHL71" s="47"/>
      <c r="SHQ71" s="47"/>
      <c r="SHS71" s="11"/>
      <c r="SKZ71" s="47"/>
      <c r="SLE71" s="47"/>
      <c r="SLG71" s="11"/>
      <c r="SON71" s="47"/>
      <c r="SOS71" s="47"/>
      <c r="SOU71" s="11"/>
      <c r="SSB71" s="47"/>
      <c r="SSG71" s="47"/>
      <c r="SSI71" s="11"/>
      <c r="SVP71" s="47"/>
      <c r="SVU71" s="47"/>
      <c r="SVW71" s="11"/>
      <c r="SZD71" s="47"/>
      <c r="SZI71" s="47"/>
      <c r="SZK71" s="11"/>
      <c r="TCR71" s="47"/>
      <c r="TCW71" s="47"/>
      <c r="TCY71" s="11"/>
      <c r="TGF71" s="47"/>
      <c r="TGK71" s="47"/>
      <c r="TGM71" s="11"/>
      <c r="TJT71" s="47"/>
      <c r="TJY71" s="47"/>
      <c r="TKA71" s="11"/>
      <c r="TNH71" s="47"/>
      <c r="TNM71" s="47"/>
      <c r="TNO71" s="11"/>
      <c r="TQV71" s="47"/>
      <c r="TRA71" s="47"/>
      <c r="TRC71" s="11"/>
      <c r="TUJ71" s="47"/>
      <c r="TUO71" s="47"/>
      <c r="TUQ71" s="11"/>
      <c r="TXX71" s="47"/>
      <c r="TYC71" s="47"/>
      <c r="TYE71" s="11"/>
      <c r="UBL71" s="47"/>
      <c r="UBQ71" s="47"/>
      <c r="UBS71" s="11"/>
      <c r="UEZ71" s="47"/>
      <c r="UFE71" s="47"/>
      <c r="UFG71" s="11"/>
      <c r="UIN71" s="47"/>
      <c r="UIS71" s="47"/>
      <c r="UIU71" s="11"/>
      <c r="UMB71" s="47"/>
      <c r="UMG71" s="47"/>
      <c r="UMI71" s="11"/>
      <c r="UPP71" s="47"/>
      <c r="UPU71" s="47"/>
      <c r="UPW71" s="11"/>
      <c r="UTD71" s="47"/>
      <c r="UTI71" s="47"/>
      <c r="UTK71" s="11"/>
      <c r="UWR71" s="47"/>
      <c r="UWW71" s="47"/>
      <c r="UWY71" s="11"/>
      <c r="VAF71" s="47"/>
      <c r="VAK71" s="47"/>
      <c r="VAM71" s="11"/>
      <c r="VDT71" s="47"/>
      <c r="VDY71" s="47"/>
      <c r="VEA71" s="11"/>
      <c r="VHH71" s="47"/>
      <c r="VHM71" s="47"/>
      <c r="VHO71" s="11"/>
      <c r="VKV71" s="47"/>
      <c r="VLA71" s="47"/>
      <c r="VLC71" s="11"/>
      <c r="VOJ71" s="47"/>
      <c r="VOO71" s="47"/>
      <c r="VOQ71" s="11"/>
      <c r="VRX71" s="47"/>
      <c r="VSC71" s="47"/>
      <c r="VSE71" s="11"/>
      <c r="VVL71" s="47"/>
      <c r="VVQ71" s="47"/>
      <c r="VVS71" s="11"/>
      <c r="VYZ71" s="47"/>
      <c r="VZE71" s="47"/>
      <c r="VZG71" s="11"/>
      <c r="WCN71" s="47"/>
      <c r="WCS71" s="47"/>
      <c r="WCU71" s="11"/>
      <c r="WGB71" s="47"/>
      <c r="WGG71" s="47"/>
      <c r="WGI71" s="11"/>
      <c r="WJP71" s="47"/>
      <c r="WJU71" s="47"/>
      <c r="WJW71" s="11"/>
      <c r="WND71" s="47"/>
      <c r="WNI71" s="47"/>
      <c r="WNK71" s="11"/>
      <c r="WQR71" s="47"/>
      <c r="WQW71" s="47"/>
      <c r="WQY71" s="11"/>
      <c r="WUF71" s="47"/>
      <c r="WUK71" s="47"/>
      <c r="WUM71" s="11"/>
      <c r="WXT71" s="47"/>
      <c r="WXY71" s="47"/>
      <c r="WYA71" s="11"/>
      <c r="XBH71" s="47"/>
      <c r="XBM71" s="47"/>
      <c r="XBO71" s="11"/>
      <c r="XEV71" s="47"/>
      <c r="XFA71" s="47"/>
      <c r="XFC71" s="11"/>
    </row>
    <row r="72" spans="1:1019 1104:2031 2116:3043 3128:4055 4140:5067 5152:6079 6164:7091 7176:8188 8193:9207 9292:10219 10304:11231 11316:12243 12328:13255 13340:14267 14352:15279 15364:16383" s="10" customFormat="1" ht="14.5" customHeight="1">
      <c r="C72" s="17" t="s">
        <v>1035</v>
      </c>
      <c r="E72" s="47"/>
      <c r="G72" s="11" t="str">
        <f t="shared" si="74"/>
        <v>тыс. руб.</v>
      </c>
      <c r="I72" s="23">
        <f t="shared" ca="1" si="75"/>
        <v>2627470.2826554906</v>
      </c>
      <c r="L72" s="10">
        <f ca="1" xml:space="preserve"> L64 * $E$97</f>
        <v>0</v>
      </c>
      <c r="M72" s="10">
        <f t="shared" ref="M72:BX72" ca="1" si="84" xml:space="preserve"> M64 * $E$97</f>
        <v>0</v>
      </c>
      <c r="N72" s="10">
        <f t="shared" ca="1" si="84"/>
        <v>0</v>
      </c>
      <c r="O72" s="10">
        <f t="shared" ca="1" si="84"/>
        <v>0</v>
      </c>
      <c r="P72" s="10">
        <f t="shared" ca="1" si="84"/>
        <v>0</v>
      </c>
      <c r="Q72" s="10">
        <f t="shared" ca="1" si="84"/>
        <v>0</v>
      </c>
      <c r="R72" s="10">
        <f t="shared" ca="1" si="84"/>
        <v>0</v>
      </c>
      <c r="S72" s="10">
        <f t="shared" ca="1" si="84"/>
        <v>0</v>
      </c>
      <c r="T72" s="10">
        <f t="shared" ca="1" si="84"/>
        <v>0</v>
      </c>
      <c r="U72" s="10">
        <f t="shared" ca="1" si="84"/>
        <v>0</v>
      </c>
      <c r="V72" s="10">
        <f t="shared" ca="1" si="84"/>
        <v>0</v>
      </c>
      <c r="W72" s="10">
        <f t="shared" ca="1" si="84"/>
        <v>0</v>
      </c>
      <c r="X72" s="10">
        <f t="shared" ca="1" si="84"/>
        <v>0</v>
      </c>
      <c r="Y72" s="10">
        <f t="shared" ca="1" si="84"/>
        <v>0</v>
      </c>
      <c r="Z72" s="10">
        <f t="shared" ca="1" si="84"/>
        <v>0</v>
      </c>
      <c r="AA72" s="10">
        <f t="shared" ca="1" si="84"/>
        <v>0</v>
      </c>
      <c r="AB72" s="10">
        <f t="shared" ca="1" si="84"/>
        <v>0</v>
      </c>
      <c r="AC72" s="10">
        <f t="shared" ca="1" si="84"/>
        <v>23741.101160708688</v>
      </c>
      <c r="AD72" s="10">
        <f t="shared" ca="1" si="84"/>
        <v>30893.03615280645</v>
      </c>
      <c r="AE72" s="10">
        <f t="shared" ca="1" si="84"/>
        <v>18301.976061650363</v>
      </c>
      <c r="AF72" s="10">
        <f t="shared" ca="1" si="84"/>
        <v>17960.704200762324</v>
      </c>
      <c r="AG72" s="10">
        <f t="shared" ca="1" si="84"/>
        <v>28348.633385972164</v>
      </c>
      <c r="AH72" s="10">
        <f t="shared" ca="1" si="84"/>
        <v>36718.580113049968</v>
      </c>
      <c r="AI72" s="10">
        <f t="shared" ca="1" si="84"/>
        <v>21659.442015028981</v>
      </c>
      <c r="AJ72" s="10">
        <f t="shared" ca="1" si="84"/>
        <v>21169.683351298532</v>
      </c>
      <c r="AK72" s="10">
        <f t="shared" ca="1" si="84"/>
        <v>33286.782427399579</v>
      </c>
      <c r="AL72" s="10">
        <f t="shared" ca="1" si="84"/>
        <v>42960.738732268466</v>
      </c>
      <c r="AM72" s="10">
        <f t="shared" ca="1" si="84"/>
        <v>25256.222082979257</v>
      </c>
      <c r="AN72" s="10">
        <f t="shared" ca="1" si="84"/>
        <v>24880.050859458152</v>
      </c>
      <c r="AO72" s="10">
        <f t="shared" ca="1" si="84"/>
        <v>38574.625578723593</v>
      </c>
      <c r="AP72" s="10">
        <f t="shared" ca="1" si="84"/>
        <v>48402.432305022441</v>
      </c>
      <c r="AQ72" s="10">
        <f t="shared" ca="1" si="84"/>
        <v>27686.280207719945</v>
      </c>
      <c r="AR72" s="10">
        <f t="shared" ca="1" si="84"/>
        <v>26264.354441112198</v>
      </c>
      <c r="AS72" s="10">
        <f t="shared" ca="1" si="84"/>
        <v>40117.610601872533</v>
      </c>
      <c r="AT72" s="10">
        <f t="shared" ca="1" si="84"/>
        <v>50338.529597223343</v>
      </c>
      <c r="AU72" s="10">
        <f t="shared" ca="1" si="84"/>
        <v>28793.731416028735</v>
      </c>
      <c r="AV72" s="10">
        <f t="shared" ca="1" si="84"/>
        <v>27314.928618756676</v>
      </c>
      <c r="AW72" s="10">
        <f t="shared" ca="1" si="84"/>
        <v>41722.31502594745</v>
      </c>
      <c r="AX72" s="10">
        <f t="shared" ca="1" si="84"/>
        <v>52352.070781112263</v>
      </c>
      <c r="AY72" s="10">
        <f t="shared" ca="1" si="84"/>
        <v>29945.480672669892</v>
      </c>
      <c r="AZ72" s="10">
        <f t="shared" ca="1" si="84"/>
        <v>28407.525763506939</v>
      </c>
      <c r="BA72" s="10">
        <f t="shared" ca="1" si="84"/>
        <v>43391.207626985328</v>
      </c>
      <c r="BB72" s="10">
        <f t="shared" ca="1" si="84"/>
        <v>54446.153612356749</v>
      </c>
      <c r="BC72" s="10">
        <f t="shared" ca="1" si="84"/>
        <v>31143.299899576676</v>
      </c>
      <c r="BD72" s="10">
        <f t="shared" ca="1" si="84"/>
        <v>29872.091536203297</v>
      </c>
      <c r="BE72" s="10">
        <f t="shared" ca="1" si="84"/>
        <v>45126.855932064733</v>
      </c>
      <c r="BF72" s="10">
        <f t="shared" ca="1" si="84"/>
        <v>56623.999756851001</v>
      </c>
      <c r="BG72" s="10">
        <f t="shared" ca="1" si="84"/>
        <v>32389.031895559739</v>
      </c>
      <c r="BH72" s="10">
        <f t="shared" ca="1" si="84"/>
        <v>30725.579865809093</v>
      </c>
      <c r="BI72" s="10">
        <f t="shared" ca="1" si="84"/>
        <v>46931.930169347317</v>
      </c>
      <c r="BJ72" s="10">
        <f t="shared" ca="1" si="84"/>
        <v>58888.959747125038</v>
      </c>
      <c r="BK72" s="10">
        <f t="shared" ca="1" si="84"/>
        <v>33684.593171382126</v>
      </c>
      <c r="BL72" s="10">
        <f t="shared" ca="1" si="84"/>
        <v>31954.603060441463</v>
      </c>
      <c r="BM72" s="10">
        <f t="shared" ca="1" si="84"/>
        <v>48809.207376121209</v>
      </c>
      <c r="BN72" s="10">
        <f t="shared" ca="1" si="84"/>
        <v>61244.51813701004</v>
      </c>
      <c r="BO72" s="10">
        <f t="shared" ca="1" si="84"/>
        <v>35031.976898237393</v>
      </c>
      <c r="BP72" s="10">
        <f t="shared" ca="1" si="84"/>
        <v>33232.787182859116</v>
      </c>
      <c r="BQ72" s="10">
        <f t="shared" ca="1" si="84"/>
        <v>50761.575671166043</v>
      </c>
      <c r="BR72" s="10">
        <f t="shared" ca="1" si="84"/>
        <v>63694.298862490432</v>
      </c>
      <c r="BS72" s="10">
        <f t="shared" ca="1" si="84"/>
        <v>36433.255974166881</v>
      </c>
      <c r="BT72" s="10">
        <f t="shared" ca="1" si="84"/>
        <v>34946.121988730956</v>
      </c>
      <c r="BU72" s="10">
        <f t="shared" ca="1" si="84"/>
        <v>52792.038698012671</v>
      </c>
      <c r="BV72" s="10">
        <f t="shared" ca="1" si="84"/>
        <v>66242.070816990017</v>
      </c>
      <c r="BW72" s="10">
        <f t="shared" ca="1" si="84"/>
        <v>37890.586213133553</v>
      </c>
      <c r="BX72" s="10">
        <f t="shared" ca="1" si="84"/>
        <v>35944.582616980399</v>
      </c>
      <c r="BY72" s="10">
        <f t="shared" ref="BY72:CM72" ca="1" si="85" xml:space="preserve"> BY64 * $E$97</f>
        <v>54903.72024593316</v>
      </c>
      <c r="BZ72" s="10">
        <f t="shared" ca="1" si="85"/>
        <v>68891.753649669627</v>
      </c>
      <c r="CA72" s="10">
        <f t="shared" ca="1" si="85"/>
        <v>39406.20966165889</v>
      </c>
      <c r="CB72" s="10">
        <f t="shared" ca="1" si="85"/>
        <v>37382.365921659621</v>
      </c>
      <c r="CC72" s="10">
        <f t="shared" ca="1" si="85"/>
        <v>57099.869055770498</v>
      </c>
      <c r="CD72" s="10">
        <f t="shared" ca="1" si="85"/>
        <v>71647.423795656388</v>
      </c>
      <c r="CE72" s="10">
        <f t="shared" ca="1" si="85"/>
        <v>40982.458048125241</v>
      </c>
      <c r="CF72" s="10">
        <f t="shared" ca="1" si="85"/>
        <v>38877.660558525997</v>
      </c>
      <c r="CG72" s="10">
        <f t="shared" ca="1" si="85"/>
        <v>59383.863818001322</v>
      </c>
      <c r="CH72" s="10">
        <f t="shared" ca="1" si="85"/>
        <v>74513.320747482634</v>
      </c>
      <c r="CI72" s="10">
        <f t="shared" ca="1" si="85"/>
        <v>42621.756370050265</v>
      </c>
      <c r="CJ72" s="10">
        <f t="shared" ca="1" si="85"/>
        <v>40882.019947321118</v>
      </c>
      <c r="CK72" s="10">
        <f t="shared" ca="1" si="85"/>
        <v>61759.218370721363</v>
      </c>
      <c r="CL72" s="10">
        <f t="shared" ca="1" si="85"/>
        <v>77493.853577381946</v>
      </c>
      <c r="CM72" s="10">
        <f t="shared" ca="1" si="85"/>
        <v>44326.626624852266</v>
      </c>
      <c r="CN72" s="10">
        <f t="shared" ref="CN72:CO72" ca="1" si="86" xml:space="preserve"> CN64 * $E$97</f>
        <v>42050.077660101713</v>
      </c>
      <c r="CO72" s="10">
        <f t="shared" ca="1" si="86"/>
        <v>64229.587105550199</v>
      </c>
      <c r="CS72" s="47"/>
      <c r="CU72" s="11"/>
      <c r="GB72" s="47"/>
      <c r="GG72" s="47"/>
      <c r="GI72" s="11"/>
      <c r="JP72" s="47"/>
      <c r="JU72" s="47"/>
      <c r="JW72" s="11"/>
      <c r="ND72" s="47"/>
      <c r="NI72" s="47"/>
      <c r="NK72" s="11"/>
      <c r="QR72" s="47"/>
      <c r="QW72" s="47"/>
      <c r="QY72" s="11"/>
      <c r="UF72" s="47"/>
      <c r="UK72" s="47"/>
      <c r="UM72" s="11"/>
      <c r="XT72" s="47"/>
      <c r="XY72" s="47"/>
      <c r="YA72" s="11"/>
      <c r="ABH72" s="47"/>
      <c r="ABM72" s="47"/>
      <c r="ABO72" s="11"/>
      <c r="AEV72" s="47"/>
      <c r="AFA72" s="47"/>
      <c r="AFC72" s="11"/>
      <c r="AIJ72" s="47"/>
      <c r="AIO72" s="47"/>
      <c r="AIQ72" s="11"/>
      <c r="ALX72" s="47"/>
      <c r="AMC72" s="47"/>
      <c r="AME72" s="11"/>
      <c r="APL72" s="47"/>
      <c r="APQ72" s="47"/>
      <c r="APS72" s="11"/>
      <c r="ASZ72" s="47"/>
      <c r="ATE72" s="47"/>
      <c r="ATG72" s="11"/>
      <c r="AWN72" s="47"/>
      <c r="AWS72" s="47"/>
      <c r="AWU72" s="11"/>
      <c r="BAB72" s="47"/>
      <c r="BAG72" s="47"/>
      <c r="BAI72" s="11"/>
      <c r="BDP72" s="47"/>
      <c r="BDU72" s="47"/>
      <c r="BDW72" s="11"/>
      <c r="BHD72" s="47"/>
      <c r="BHI72" s="47"/>
      <c r="BHK72" s="11"/>
      <c r="BKR72" s="47"/>
      <c r="BKW72" s="47"/>
      <c r="BKY72" s="11"/>
      <c r="BOF72" s="47"/>
      <c r="BOK72" s="47"/>
      <c r="BOM72" s="11"/>
      <c r="BRT72" s="47"/>
      <c r="BRY72" s="47"/>
      <c r="BSA72" s="11"/>
      <c r="BVH72" s="47"/>
      <c r="BVM72" s="47"/>
      <c r="BVO72" s="11"/>
      <c r="BYV72" s="47"/>
      <c r="BZA72" s="47"/>
      <c r="BZC72" s="11"/>
      <c r="CCJ72" s="47"/>
      <c r="CCO72" s="47"/>
      <c r="CCQ72" s="11"/>
      <c r="CFX72" s="47"/>
      <c r="CGC72" s="47"/>
      <c r="CGE72" s="11"/>
      <c r="CJL72" s="47"/>
      <c r="CJQ72" s="47"/>
      <c r="CJS72" s="11"/>
      <c r="CMZ72" s="47"/>
      <c r="CNE72" s="47"/>
      <c r="CNG72" s="11"/>
      <c r="CQN72" s="47"/>
      <c r="CQS72" s="47"/>
      <c r="CQU72" s="11"/>
      <c r="CUB72" s="47"/>
      <c r="CUG72" s="47"/>
      <c r="CUI72" s="11"/>
      <c r="CXP72" s="47"/>
      <c r="CXU72" s="47"/>
      <c r="CXW72" s="11"/>
      <c r="DBD72" s="47"/>
      <c r="DBI72" s="47"/>
      <c r="DBK72" s="11"/>
      <c r="DER72" s="47"/>
      <c r="DEW72" s="47"/>
      <c r="DEY72" s="11"/>
      <c r="DIF72" s="47"/>
      <c r="DIK72" s="47"/>
      <c r="DIM72" s="11"/>
      <c r="DLT72" s="47"/>
      <c r="DLY72" s="47"/>
      <c r="DMA72" s="11"/>
      <c r="DPH72" s="47"/>
      <c r="DPM72" s="47"/>
      <c r="DPO72" s="11"/>
      <c r="DSV72" s="47"/>
      <c r="DTA72" s="47"/>
      <c r="DTC72" s="11"/>
      <c r="DWJ72" s="47"/>
      <c r="DWO72" s="47"/>
      <c r="DWQ72" s="11"/>
      <c r="DZX72" s="47"/>
      <c r="EAC72" s="47"/>
      <c r="EAE72" s="11"/>
      <c r="EDL72" s="47"/>
      <c r="EDQ72" s="47"/>
      <c r="EDS72" s="11"/>
      <c r="EGZ72" s="47"/>
      <c r="EHE72" s="47"/>
      <c r="EHG72" s="11"/>
      <c r="EKN72" s="47"/>
      <c r="EKS72" s="47"/>
      <c r="EKU72" s="11"/>
      <c r="EOB72" s="47"/>
      <c r="EOG72" s="47"/>
      <c r="EOI72" s="11"/>
      <c r="ERP72" s="47"/>
      <c r="ERU72" s="47"/>
      <c r="ERW72" s="11"/>
      <c r="EVD72" s="47"/>
      <c r="EVI72" s="47"/>
      <c r="EVK72" s="11"/>
      <c r="EYR72" s="47"/>
      <c r="EYW72" s="47"/>
      <c r="EYY72" s="11"/>
      <c r="FCF72" s="47"/>
      <c r="FCK72" s="47"/>
      <c r="FCM72" s="11"/>
      <c r="FFT72" s="47"/>
      <c r="FFY72" s="47"/>
      <c r="FGA72" s="11"/>
      <c r="FJH72" s="47"/>
      <c r="FJM72" s="47"/>
      <c r="FJO72" s="11"/>
      <c r="FMV72" s="47"/>
      <c r="FNA72" s="47"/>
      <c r="FNC72" s="11"/>
      <c r="FQJ72" s="47"/>
      <c r="FQO72" s="47"/>
      <c r="FQQ72" s="11"/>
      <c r="FTX72" s="47"/>
      <c r="FUC72" s="47"/>
      <c r="FUE72" s="11"/>
      <c r="FXL72" s="47"/>
      <c r="FXQ72" s="47"/>
      <c r="FXS72" s="11"/>
      <c r="GAZ72" s="47"/>
      <c r="GBE72" s="47"/>
      <c r="GBG72" s="11"/>
      <c r="GEN72" s="47"/>
      <c r="GES72" s="47"/>
      <c r="GEU72" s="11"/>
      <c r="GIB72" s="47"/>
      <c r="GIG72" s="47"/>
      <c r="GII72" s="11"/>
      <c r="GLP72" s="47"/>
      <c r="GLU72" s="47"/>
      <c r="GLW72" s="11"/>
      <c r="GPD72" s="47"/>
      <c r="GPI72" s="47"/>
      <c r="GPK72" s="11"/>
      <c r="GSR72" s="47"/>
      <c r="GSW72" s="47"/>
      <c r="GSY72" s="11"/>
      <c r="GWF72" s="47"/>
      <c r="GWK72" s="47"/>
      <c r="GWM72" s="11"/>
      <c r="GZT72" s="47"/>
      <c r="GZY72" s="47"/>
      <c r="HAA72" s="11"/>
      <c r="HDH72" s="47"/>
      <c r="HDM72" s="47"/>
      <c r="HDO72" s="11"/>
      <c r="HGV72" s="47"/>
      <c r="HHA72" s="47"/>
      <c r="HHC72" s="11"/>
      <c r="HKJ72" s="47"/>
      <c r="HKO72" s="47"/>
      <c r="HKQ72" s="11"/>
      <c r="HNX72" s="47"/>
      <c r="HOC72" s="47"/>
      <c r="HOE72" s="11"/>
      <c r="HRL72" s="47"/>
      <c r="HRQ72" s="47"/>
      <c r="HRS72" s="11"/>
      <c r="HUZ72" s="47"/>
      <c r="HVE72" s="47"/>
      <c r="HVG72" s="11"/>
      <c r="HYN72" s="47"/>
      <c r="HYS72" s="47"/>
      <c r="HYU72" s="11"/>
      <c r="ICB72" s="47"/>
      <c r="ICG72" s="47"/>
      <c r="ICI72" s="11"/>
      <c r="IFP72" s="47"/>
      <c r="IFU72" s="47"/>
      <c r="IFW72" s="11"/>
      <c r="IJD72" s="47"/>
      <c r="IJI72" s="47"/>
      <c r="IJK72" s="11"/>
      <c r="IMR72" s="47"/>
      <c r="IMW72" s="47"/>
      <c r="IMY72" s="11"/>
      <c r="IQF72" s="47"/>
      <c r="IQK72" s="47"/>
      <c r="IQM72" s="11"/>
      <c r="ITT72" s="47"/>
      <c r="ITY72" s="47"/>
      <c r="IUA72" s="11"/>
      <c r="IXH72" s="47"/>
      <c r="IXM72" s="47"/>
      <c r="IXO72" s="11"/>
      <c r="JAV72" s="47"/>
      <c r="JBA72" s="47"/>
      <c r="JBC72" s="11"/>
      <c r="JEJ72" s="47"/>
      <c r="JEO72" s="47"/>
      <c r="JEQ72" s="11"/>
      <c r="JHX72" s="47"/>
      <c r="JIC72" s="47"/>
      <c r="JIE72" s="11"/>
      <c r="JLL72" s="47"/>
      <c r="JLQ72" s="47"/>
      <c r="JLS72" s="11"/>
      <c r="JOZ72" s="47"/>
      <c r="JPE72" s="47"/>
      <c r="JPG72" s="11"/>
      <c r="JSN72" s="47"/>
      <c r="JSS72" s="47"/>
      <c r="JSU72" s="11"/>
      <c r="JWB72" s="47"/>
      <c r="JWG72" s="47"/>
      <c r="JWI72" s="11"/>
      <c r="JZP72" s="47"/>
      <c r="JZU72" s="47"/>
      <c r="JZW72" s="11"/>
      <c r="KDD72" s="47"/>
      <c r="KDI72" s="47"/>
      <c r="KDK72" s="11"/>
      <c r="KGR72" s="47"/>
      <c r="KGW72" s="47"/>
      <c r="KGY72" s="11"/>
      <c r="KKF72" s="47"/>
      <c r="KKK72" s="47"/>
      <c r="KKM72" s="11"/>
      <c r="KNT72" s="47"/>
      <c r="KNY72" s="47"/>
      <c r="KOA72" s="11"/>
      <c r="KRH72" s="47"/>
      <c r="KRM72" s="47"/>
      <c r="KRO72" s="11"/>
      <c r="KUV72" s="47"/>
      <c r="KVA72" s="47"/>
      <c r="KVC72" s="11"/>
      <c r="KYJ72" s="47"/>
      <c r="KYO72" s="47"/>
      <c r="KYQ72" s="11"/>
      <c r="LBX72" s="47"/>
      <c r="LCC72" s="47"/>
      <c r="LCE72" s="11"/>
      <c r="LFL72" s="47"/>
      <c r="LFQ72" s="47"/>
      <c r="LFS72" s="11"/>
      <c r="LIZ72" s="47"/>
      <c r="LJE72" s="47"/>
      <c r="LJG72" s="11"/>
      <c r="LMN72" s="47"/>
      <c r="LMS72" s="47"/>
      <c r="LMU72" s="11"/>
      <c r="LQB72" s="47"/>
      <c r="LQG72" s="47"/>
      <c r="LQI72" s="11"/>
      <c r="LTP72" s="47"/>
      <c r="LTU72" s="47"/>
      <c r="LTW72" s="11"/>
      <c r="LXD72" s="47"/>
      <c r="LXI72" s="47"/>
      <c r="LXK72" s="11"/>
      <c r="MAR72" s="47"/>
      <c r="MAW72" s="47"/>
      <c r="MAY72" s="11"/>
      <c r="MEF72" s="47"/>
      <c r="MEK72" s="47"/>
      <c r="MEM72" s="11"/>
      <c r="MHT72" s="47"/>
      <c r="MHY72" s="47"/>
      <c r="MIA72" s="11"/>
      <c r="MLH72" s="47"/>
      <c r="MLM72" s="47"/>
      <c r="MLO72" s="11"/>
      <c r="MOV72" s="47"/>
      <c r="MPA72" s="47"/>
      <c r="MPC72" s="11"/>
      <c r="MSJ72" s="47"/>
      <c r="MSO72" s="47"/>
      <c r="MSQ72" s="11"/>
      <c r="MVX72" s="47"/>
      <c r="MWC72" s="47"/>
      <c r="MWE72" s="11"/>
      <c r="MZL72" s="47"/>
      <c r="MZQ72" s="47"/>
      <c r="MZS72" s="11"/>
      <c r="NCZ72" s="47"/>
      <c r="NDE72" s="47"/>
      <c r="NDG72" s="11"/>
      <c r="NGN72" s="47"/>
      <c r="NGS72" s="47"/>
      <c r="NGU72" s="11"/>
      <c r="NKB72" s="47"/>
      <c r="NKG72" s="47"/>
      <c r="NKI72" s="11"/>
      <c r="NNP72" s="47"/>
      <c r="NNU72" s="47"/>
      <c r="NNW72" s="11"/>
      <c r="NRD72" s="47"/>
      <c r="NRI72" s="47"/>
      <c r="NRK72" s="11"/>
      <c r="NUR72" s="47"/>
      <c r="NUW72" s="47"/>
      <c r="NUY72" s="11"/>
      <c r="NYF72" s="47"/>
      <c r="NYK72" s="47"/>
      <c r="NYM72" s="11"/>
      <c r="OBT72" s="47"/>
      <c r="OBY72" s="47"/>
      <c r="OCA72" s="11"/>
      <c r="OFH72" s="47"/>
      <c r="OFM72" s="47"/>
      <c r="OFO72" s="11"/>
      <c r="OIV72" s="47"/>
      <c r="OJA72" s="47"/>
      <c r="OJC72" s="11"/>
      <c r="OMJ72" s="47"/>
      <c r="OMO72" s="47"/>
      <c r="OMQ72" s="11"/>
      <c r="OPX72" s="47"/>
      <c r="OQC72" s="47"/>
      <c r="OQE72" s="11"/>
      <c r="OTL72" s="47"/>
      <c r="OTQ72" s="47"/>
      <c r="OTS72" s="11"/>
      <c r="OWZ72" s="47"/>
      <c r="OXE72" s="47"/>
      <c r="OXG72" s="11"/>
      <c r="PAN72" s="47"/>
      <c r="PAS72" s="47"/>
      <c r="PAU72" s="11"/>
      <c r="PEB72" s="47"/>
      <c r="PEG72" s="47"/>
      <c r="PEI72" s="11"/>
      <c r="PHP72" s="47"/>
      <c r="PHU72" s="47"/>
      <c r="PHW72" s="11"/>
      <c r="PLD72" s="47"/>
      <c r="PLI72" s="47"/>
      <c r="PLK72" s="11"/>
      <c r="POR72" s="47"/>
      <c r="POW72" s="47"/>
      <c r="POY72" s="11"/>
      <c r="PSF72" s="47"/>
      <c r="PSK72" s="47"/>
      <c r="PSM72" s="11"/>
      <c r="PVT72" s="47"/>
      <c r="PVY72" s="47"/>
      <c r="PWA72" s="11"/>
      <c r="PZH72" s="47"/>
      <c r="PZM72" s="47"/>
      <c r="PZO72" s="11"/>
      <c r="QCV72" s="47"/>
      <c r="QDA72" s="47"/>
      <c r="QDC72" s="11"/>
      <c r="QGJ72" s="47"/>
      <c r="QGO72" s="47"/>
      <c r="QGQ72" s="11"/>
      <c r="QJX72" s="47"/>
      <c r="QKC72" s="47"/>
      <c r="QKE72" s="11"/>
      <c r="QNL72" s="47"/>
      <c r="QNQ72" s="47"/>
      <c r="QNS72" s="11"/>
      <c r="QQZ72" s="47"/>
      <c r="QRE72" s="47"/>
      <c r="QRG72" s="11"/>
      <c r="QUN72" s="47"/>
      <c r="QUS72" s="47"/>
      <c r="QUU72" s="11"/>
      <c r="QYB72" s="47"/>
      <c r="QYG72" s="47"/>
      <c r="QYI72" s="11"/>
      <c r="RBP72" s="47"/>
      <c r="RBU72" s="47"/>
      <c r="RBW72" s="11"/>
      <c r="RFD72" s="47"/>
      <c r="RFI72" s="47"/>
      <c r="RFK72" s="11"/>
      <c r="RIR72" s="47"/>
      <c r="RIW72" s="47"/>
      <c r="RIY72" s="11"/>
      <c r="RMF72" s="47"/>
      <c r="RMK72" s="47"/>
      <c r="RMM72" s="11"/>
      <c r="RPT72" s="47"/>
      <c r="RPY72" s="47"/>
      <c r="RQA72" s="11"/>
      <c r="RTH72" s="47"/>
      <c r="RTM72" s="47"/>
      <c r="RTO72" s="11"/>
      <c r="RWV72" s="47"/>
      <c r="RXA72" s="47"/>
      <c r="RXC72" s="11"/>
      <c r="SAJ72" s="47"/>
      <c r="SAO72" s="47"/>
      <c r="SAQ72" s="11"/>
      <c r="SDX72" s="47"/>
      <c r="SEC72" s="47"/>
      <c r="SEE72" s="11"/>
      <c r="SHL72" s="47"/>
      <c r="SHQ72" s="47"/>
      <c r="SHS72" s="11"/>
      <c r="SKZ72" s="47"/>
      <c r="SLE72" s="47"/>
      <c r="SLG72" s="11"/>
      <c r="SON72" s="47"/>
      <c r="SOS72" s="47"/>
      <c r="SOU72" s="11"/>
      <c r="SSB72" s="47"/>
      <c r="SSG72" s="47"/>
      <c r="SSI72" s="11"/>
      <c r="SVP72" s="47"/>
      <c r="SVU72" s="47"/>
      <c r="SVW72" s="11"/>
      <c r="SZD72" s="47"/>
      <c r="SZI72" s="47"/>
      <c r="SZK72" s="11"/>
      <c r="TCR72" s="47"/>
      <c r="TCW72" s="47"/>
      <c r="TCY72" s="11"/>
      <c r="TGF72" s="47"/>
      <c r="TGK72" s="47"/>
      <c r="TGM72" s="11"/>
      <c r="TJT72" s="47"/>
      <c r="TJY72" s="47"/>
      <c r="TKA72" s="11"/>
      <c r="TNH72" s="47"/>
      <c r="TNM72" s="47"/>
      <c r="TNO72" s="11"/>
      <c r="TQV72" s="47"/>
      <c r="TRA72" s="47"/>
      <c r="TRC72" s="11"/>
      <c r="TUJ72" s="47"/>
      <c r="TUO72" s="47"/>
      <c r="TUQ72" s="11"/>
      <c r="TXX72" s="47"/>
      <c r="TYC72" s="47"/>
      <c r="TYE72" s="11"/>
      <c r="UBL72" s="47"/>
      <c r="UBQ72" s="47"/>
      <c r="UBS72" s="11"/>
      <c r="UEZ72" s="47"/>
      <c r="UFE72" s="47"/>
      <c r="UFG72" s="11"/>
      <c r="UIN72" s="47"/>
      <c r="UIS72" s="47"/>
      <c r="UIU72" s="11"/>
      <c r="UMB72" s="47"/>
      <c r="UMG72" s="47"/>
      <c r="UMI72" s="11"/>
      <c r="UPP72" s="47"/>
      <c r="UPU72" s="47"/>
      <c r="UPW72" s="11"/>
      <c r="UTD72" s="47"/>
      <c r="UTI72" s="47"/>
      <c r="UTK72" s="11"/>
      <c r="UWR72" s="47"/>
      <c r="UWW72" s="47"/>
      <c r="UWY72" s="11"/>
      <c r="VAF72" s="47"/>
      <c r="VAK72" s="47"/>
      <c r="VAM72" s="11"/>
      <c r="VDT72" s="47"/>
      <c r="VDY72" s="47"/>
      <c r="VEA72" s="11"/>
      <c r="VHH72" s="47"/>
      <c r="VHM72" s="47"/>
      <c r="VHO72" s="11"/>
      <c r="VKV72" s="47"/>
      <c r="VLA72" s="47"/>
      <c r="VLC72" s="11"/>
      <c r="VOJ72" s="47"/>
      <c r="VOO72" s="47"/>
      <c r="VOQ72" s="11"/>
      <c r="VRX72" s="47"/>
      <c r="VSC72" s="47"/>
      <c r="VSE72" s="11"/>
      <c r="VVL72" s="47"/>
      <c r="VVQ72" s="47"/>
      <c r="VVS72" s="11"/>
      <c r="VYZ72" s="47"/>
      <c r="VZE72" s="47"/>
      <c r="VZG72" s="11"/>
      <c r="WCN72" s="47"/>
      <c r="WCS72" s="47"/>
      <c r="WCU72" s="11"/>
      <c r="WGB72" s="47"/>
      <c r="WGG72" s="47"/>
      <c r="WGI72" s="11"/>
      <c r="WJP72" s="47"/>
      <c r="WJU72" s="47"/>
      <c r="WJW72" s="11"/>
      <c r="WND72" s="47"/>
      <c r="WNI72" s="47"/>
      <c r="WNK72" s="11"/>
      <c r="WQR72" s="47"/>
      <c r="WQW72" s="47"/>
      <c r="WQY72" s="11"/>
      <c r="WUF72" s="47"/>
      <c r="WUK72" s="47"/>
      <c r="WUM72" s="11"/>
      <c r="WXT72" s="47"/>
      <c r="WXY72" s="47"/>
      <c r="WYA72" s="11"/>
      <c r="XBH72" s="47"/>
      <c r="XBM72" s="47"/>
      <c r="XBO72" s="11"/>
      <c r="XEV72" s="47"/>
      <c r="XFA72" s="47"/>
      <c r="XFC72" s="11"/>
    </row>
    <row r="73" spans="1:1019 1104:2031 2116:3043 3128:4055 4140:5067 5152:6079 6164:7091 7176:8188 8193:9207 9292:10219 10304:11231 11316:12243 12328:13255 13340:14267 14352:15279 15364:16383" ht="14.5" customHeight="1" thickBot="1">
      <c r="A73" s="47"/>
      <c r="B73" s="47"/>
      <c r="C73" s="17" t="s">
        <v>1036</v>
      </c>
      <c r="D73" s="47"/>
      <c r="E73" s="47"/>
      <c r="F73" s="47"/>
      <c r="G73" s="11" t="str">
        <f t="shared" si="74"/>
        <v>тыс. руб.</v>
      </c>
      <c r="H73" s="47"/>
      <c r="I73" s="23">
        <f t="shared" ca="1" si="75"/>
        <v>0</v>
      </c>
      <c r="J73" s="47"/>
      <c r="K73" s="47"/>
      <c r="L73" s="10">
        <f ca="1" xml:space="preserve"> L65 * $E$100</f>
        <v>0</v>
      </c>
      <c r="M73" s="10">
        <f t="shared" ref="M73:BX73" ca="1" si="87" xml:space="preserve"> M65 * $E$100</f>
        <v>0</v>
      </c>
      <c r="N73" s="10">
        <f t="shared" ca="1" si="87"/>
        <v>0</v>
      </c>
      <c r="O73" s="10">
        <f t="shared" ca="1" si="87"/>
        <v>0</v>
      </c>
      <c r="P73" s="10">
        <f t="shared" ca="1" si="87"/>
        <v>0</v>
      </c>
      <c r="Q73" s="10">
        <f t="shared" ca="1" si="87"/>
        <v>0</v>
      </c>
      <c r="R73" s="10">
        <f t="shared" ca="1" si="87"/>
        <v>0</v>
      </c>
      <c r="S73" s="10">
        <f t="shared" ca="1" si="87"/>
        <v>0</v>
      </c>
      <c r="T73" s="10">
        <f t="shared" ca="1" si="87"/>
        <v>0</v>
      </c>
      <c r="U73" s="10">
        <f t="shared" ca="1" si="87"/>
        <v>0</v>
      </c>
      <c r="V73" s="10">
        <f t="shared" ca="1" si="87"/>
        <v>0</v>
      </c>
      <c r="W73" s="10">
        <f t="shared" ca="1" si="87"/>
        <v>0</v>
      </c>
      <c r="X73" s="10">
        <f t="shared" ca="1" si="87"/>
        <v>0</v>
      </c>
      <c r="Y73" s="10">
        <f t="shared" ca="1" si="87"/>
        <v>0</v>
      </c>
      <c r="Z73" s="10">
        <f t="shared" ca="1" si="87"/>
        <v>0</v>
      </c>
      <c r="AA73" s="10">
        <f t="shared" ca="1" si="87"/>
        <v>0</v>
      </c>
      <c r="AB73" s="10">
        <f t="shared" ca="1" si="87"/>
        <v>0</v>
      </c>
      <c r="AC73" s="10">
        <f t="shared" ca="1" si="87"/>
        <v>0</v>
      </c>
      <c r="AD73" s="10">
        <f t="shared" ca="1" si="87"/>
        <v>0</v>
      </c>
      <c r="AE73" s="10">
        <f t="shared" ca="1" si="87"/>
        <v>0</v>
      </c>
      <c r="AF73" s="10">
        <f t="shared" ca="1" si="87"/>
        <v>0</v>
      </c>
      <c r="AG73" s="10">
        <f t="shared" ca="1" si="87"/>
        <v>0</v>
      </c>
      <c r="AH73" s="10">
        <f t="shared" ca="1" si="87"/>
        <v>0</v>
      </c>
      <c r="AI73" s="10">
        <f t="shared" ca="1" si="87"/>
        <v>0</v>
      </c>
      <c r="AJ73" s="10">
        <f t="shared" ca="1" si="87"/>
        <v>0</v>
      </c>
      <c r="AK73" s="10">
        <f t="shared" ca="1" si="87"/>
        <v>0</v>
      </c>
      <c r="AL73" s="10">
        <f t="shared" ca="1" si="87"/>
        <v>0</v>
      </c>
      <c r="AM73" s="10">
        <f t="shared" ca="1" si="87"/>
        <v>0</v>
      </c>
      <c r="AN73" s="10">
        <f t="shared" ca="1" si="87"/>
        <v>0</v>
      </c>
      <c r="AO73" s="10">
        <f t="shared" ca="1" si="87"/>
        <v>0</v>
      </c>
      <c r="AP73" s="10">
        <f t="shared" ca="1" si="87"/>
        <v>0</v>
      </c>
      <c r="AQ73" s="10">
        <f t="shared" ca="1" si="87"/>
        <v>0</v>
      </c>
      <c r="AR73" s="10">
        <f t="shared" ca="1" si="87"/>
        <v>0</v>
      </c>
      <c r="AS73" s="10">
        <f t="shared" ca="1" si="87"/>
        <v>0</v>
      </c>
      <c r="AT73" s="10">
        <f t="shared" ca="1" si="87"/>
        <v>0</v>
      </c>
      <c r="AU73" s="10">
        <f t="shared" ca="1" si="87"/>
        <v>0</v>
      </c>
      <c r="AV73" s="10">
        <f t="shared" ca="1" si="87"/>
        <v>0</v>
      </c>
      <c r="AW73" s="10">
        <f t="shared" ca="1" si="87"/>
        <v>0</v>
      </c>
      <c r="AX73" s="10">
        <f t="shared" ca="1" si="87"/>
        <v>0</v>
      </c>
      <c r="AY73" s="10">
        <f t="shared" ca="1" si="87"/>
        <v>0</v>
      </c>
      <c r="AZ73" s="10">
        <f t="shared" ca="1" si="87"/>
        <v>0</v>
      </c>
      <c r="BA73" s="10">
        <f t="shared" ca="1" si="87"/>
        <v>0</v>
      </c>
      <c r="BB73" s="10">
        <f t="shared" ca="1" si="87"/>
        <v>0</v>
      </c>
      <c r="BC73" s="10">
        <f t="shared" ca="1" si="87"/>
        <v>0</v>
      </c>
      <c r="BD73" s="10">
        <f t="shared" ca="1" si="87"/>
        <v>0</v>
      </c>
      <c r="BE73" s="10">
        <f t="shared" ca="1" si="87"/>
        <v>0</v>
      </c>
      <c r="BF73" s="10">
        <f t="shared" ca="1" si="87"/>
        <v>0</v>
      </c>
      <c r="BG73" s="10">
        <f t="shared" ca="1" si="87"/>
        <v>0</v>
      </c>
      <c r="BH73" s="10">
        <f t="shared" ca="1" si="87"/>
        <v>0</v>
      </c>
      <c r="BI73" s="10">
        <f t="shared" ca="1" si="87"/>
        <v>0</v>
      </c>
      <c r="BJ73" s="10">
        <f t="shared" ca="1" si="87"/>
        <v>0</v>
      </c>
      <c r="BK73" s="10">
        <f t="shared" ca="1" si="87"/>
        <v>0</v>
      </c>
      <c r="BL73" s="10">
        <f t="shared" ca="1" si="87"/>
        <v>0</v>
      </c>
      <c r="BM73" s="10">
        <f t="shared" ca="1" si="87"/>
        <v>0</v>
      </c>
      <c r="BN73" s="10">
        <f t="shared" ca="1" si="87"/>
        <v>0</v>
      </c>
      <c r="BO73" s="10">
        <f t="shared" ca="1" si="87"/>
        <v>0</v>
      </c>
      <c r="BP73" s="10">
        <f t="shared" ca="1" si="87"/>
        <v>0</v>
      </c>
      <c r="BQ73" s="10">
        <f t="shared" ca="1" si="87"/>
        <v>0</v>
      </c>
      <c r="BR73" s="10">
        <f t="shared" ca="1" si="87"/>
        <v>0</v>
      </c>
      <c r="BS73" s="10">
        <f t="shared" ca="1" si="87"/>
        <v>0</v>
      </c>
      <c r="BT73" s="10">
        <f t="shared" ca="1" si="87"/>
        <v>0</v>
      </c>
      <c r="BU73" s="10">
        <f t="shared" ca="1" si="87"/>
        <v>0</v>
      </c>
      <c r="BV73" s="10">
        <f t="shared" ca="1" si="87"/>
        <v>0</v>
      </c>
      <c r="BW73" s="10">
        <f t="shared" ca="1" si="87"/>
        <v>0</v>
      </c>
      <c r="BX73" s="10">
        <f t="shared" ca="1" si="87"/>
        <v>0</v>
      </c>
      <c r="BY73" s="10">
        <f t="shared" ref="BY73:CM73" ca="1" si="88" xml:space="preserve"> BY65 * $E$100</f>
        <v>0</v>
      </c>
      <c r="BZ73" s="10">
        <f t="shared" ca="1" si="88"/>
        <v>0</v>
      </c>
      <c r="CA73" s="10">
        <f t="shared" ca="1" si="88"/>
        <v>0</v>
      </c>
      <c r="CB73" s="10">
        <f t="shared" ca="1" si="88"/>
        <v>0</v>
      </c>
      <c r="CC73" s="10">
        <f t="shared" ca="1" si="88"/>
        <v>0</v>
      </c>
      <c r="CD73" s="10">
        <f t="shared" ca="1" si="88"/>
        <v>0</v>
      </c>
      <c r="CE73" s="10">
        <f t="shared" ca="1" si="88"/>
        <v>0</v>
      </c>
      <c r="CF73" s="10">
        <f t="shared" ca="1" si="88"/>
        <v>0</v>
      </c>
      <c r="CG73" s="10">
        <f t="shared" ca="1" si="88"/>
        <v>0</v>
      </c>
      <c r="CH73" s="10">
        <f t="shared" ca="1" si="88"/>
        <v>0</v>
      </c>
      <c r="CI73" s="10">
        <f t="shared" ca="1" si="88"/>
        <v>0</v>
      </c>
      <c r="CJ73" s="10">
        <f t="shared" ca="1" si="88"/>
        <v>0</v>
      </c>
      <c r="CK73" s="10">
        <f t="shared" ca="1" si="88"/>
        <v>0</v>
      </c>
      <c r="CL73" s="10">
        <f t="shared" ca="1" si="88"/>
        <v>0</v>
      </c>
      <c r="CM73" s="10">
        <f t="shared" ca="1" si="88"/>
        <v>0</v>
      </c>
      <c r="CN73" s="10">
        <f t="shared" ref="CN73:CO73" ca="1" si="89" xml:space="preserve"> CN65 * $E$100</f>
        <v>0</v>
      </c>
      <c r="CO73" s="10">
        <f t="shared" ca="1" si="89"/>
        <v>0</v>
      </c>
    </row>
    <row r="74" spans="1:1019 1104:2031 2116:3043 3128:4055 4140:5067 5152:6079 6164:7091 7176:8188 8193:9207 9292:10219 10304:11231 11316:12243 12328:13255 13340:14267 14352:15279 15364:16383" s="141" customFormat="1" ht="15" customHeight="1" thickTop="1">
      <c r="A74" s="153"/>
      <c r="B74" s="153"/>
      <c r="C74" s="49" t="s">
        <v>1039</v>
      </c>
      <c r="D74" s="49"/>
      <c r="E74" s="49"/>
      <c r="F74" s="49"/>
      <c r="G74" s="159" t="str">
        <f t="shared" si="74"/>
        <v>тыс. руб.</v>
      </c>
      <c r="H74" s="49"/>
      <c r="I74" s="176">
        <f t="shared" ca="1" si="75"/>
        <v>6545979.6773156859</v>
      </c>
      <c r="J74" s="49"/>
      <c r="K74" s="49"/>
      <c r="L74" s="49">
        <f ca="1">SUM(L69:L73)</f>
        <v>0</v>
      </c>
      <c r="M74" s="49">
        <f t="shared" ref="M74:BX74" ca="1" si="90">SUM(M69:M73)</f>
        <v>0</v>
      </c>
      <c r="N74" s="49">
        <f t="shared" ca="1" si="90"/>
        <v>0</v>
      </c>
      <c r="O74" s="49">
        <f t="shared" ca="1" si="90"/>
        <v>0</v>
      </c>
      <c r="P74" s="49">
        <f t="shared" ca="1" si="90"/>
        <v>0</v>
      </c>
      <c r="Q74" s="49">
        <f t="shared" ca="1" si="90"/>
        <v>0</v>
      </c>
      <c r="R74" s="49">
        <f t="shared" ca="1" si="90"/>
        <v>0</v>
      </c>
      <c r="S74" s="49">
        <f t="shared" ca="1" si="90"/>
        <v>0</v>
      </c>
      <c r="T74" s="49">
        <f t="shared" ca="1" si="90"/>
        <v>0</v>
      </c>
      <c r="U74" s="49">
        <f t="shared" ca="1" si="90"/>
        <v>0</v>
      </c>
      <c r="V74" s="49">
        <f t="shared" ca="1" si="90"/>
        <v>0</v>
      </c>
      <c r="W74" s="49">
        <f t="shared" ca="1" si="90"/>
        <v>0</v>
      </c>
      <c r="X74" s="49">
        <f t="shared" ca="1" si="90"/>
        <v>0</v>
      </c>
      <c r="Y74" s="49">
        <f t="shared" ca="1" si="90"/>
        <v>0</v>
      </c>
      <c r="Z74" s="49">
        <f t="shared" ca="1" si="90"/>
        <v>0</v>
      </c>
      <c r="AA74" s="49">
        <f t="shared" ca="1" si="90"/>
        <v>0</v>
      </c>
      <c r="AB74" s="49">
        <f t="shared" ca="1" si="90"/>
        <v>0</v>
      </c>
      <c r="AC74" s="49">
        <f t="shared" ca="1" si="90"/>
        <v>23741.101160708688</v>
      </c>
      <c r="AD74" s="49">
        <f t="shared" ca="1" si="90"/>
        <v>31162.047141277446</v>
      </c>
      <c r="AE74" s="49">
        <f t="shared" ca="1" si="90"/>
        <v>18368.376333356693</v>
      </c>
      <c r="AF74" s="49">
        <f t="shared" ca="1" si="90"/>
        <v>18027.523594997518</v>
      </c>
      <c r="AG74" s="49">
        <f t="shared" ca="1" si="90"/>
        <v>28587.352199533485</v>
      </c>
      <c r="AH74" s="49">
        <f t="shared" ca="1" si="90"/>
        <v>37096.311759881311</v>
      </c>
      <c r="AI74" s="49">
        <f t="shared" ca="1" si="90"/>
        <v>21794.39015204653</v>
      </c>
      <c r="AJ74" s="49">
        <f t="shared" ca="1" si="90"/>
        <v>21258.235548773569</v>
      </c>
      <c r="AK74" s="49">
        <f t="shared" ca="1" si="90"/>
        <v>33509.011696185778</v>
      </c>
      <c r="AL74" s="49">
        <f t="shared" ca="1" si="90"/>
        <v>43290.090678276632</v>
      </c>
      <c r="AM74" s="49">
        <f t="shared" ca="1" si="90"/>
        <v>25395.010682419936</v>
      </c>
      <c r="AN74" s="49">
        <f t="shared" ca="1" si="90"/>
        <v>25018.074031849355</v>
      </c>
      <c r="AO74" s="49">
        <f t="shared" ca="1" si="90"/>
        <v>38864.434777915245</v>
      </c>
      <c r="AP74" s="49">
        <f t="shared" ca="1" si="90"/>
        <v>48901.986316363604</v>
      </c>
      <c r="AQ74" s="49">
        <f t="shared" ca="1" si="90"/>
        <v>28037.453756037154</v>
      </c>
      <c r="AR74" s="49">
        <f t="shared" ca="1" si="90"/>
        <v>26591.756624535748</v>
      </c>
      <c r="AS74" s="49">
        <f t="shared" ca="1" si="90"/>
        <v>40751.204772309698</v>
      </c>
      <c r="AT74" s="49">
        <f t="shared" ca="1" si="90"/>
        <v>51199.300152367578</v>
      </c>
      <c r="AU74" s="49">
        <f t="shared" ca="1" si="90"/>
        <v>30181.428709526677</v>
      </c>
      <c r="AV74" s="49">
        <f t="shared" ca="1" si="90"/>
        <v>28615.523565065367</v>
      </c>
      <c r="AW74" s="49">
        <f t="shared" ca="1" si="90"/>
        <v>42935.139384802314</v>
      </c>
      <c r="AX74" s="49">
        <f t="shared" ca="1" si="90"/>
        <v>133858.40736864915</v>
      </c>
      <c r="AY74" s="49">
        <f t="shared" ca="1" si="90"/>
        <v>130745.01865723674</v>
      </c>
      <c r="AZ74" s="49">
        <f t="shared" ca="1" si="90"/>
        <v>86282.235547335891</v>
      </c>
      <c r="BA74" s="49">
        <f t="shared" ca="1" si="90"/>
        <v>99046.591590069627</v>
      </c>
      <c r="BB74" s="49">
        <f t="shared" ca="1" si="90"/>
        <v>139311.23286170079</v>
      </c>
      <c r="BC74" s="49">
        <f t="shared" ca="1" si="90"/>
        <v>136087.91242042708</v>
      </c>
      <c r="BD74" s="49">
        <f t="shared" ca="1" si="90"/>
        <v>90189.020925784789</v>
      </c>
      <c r="BE74" s="49">
        <f t="shared" ca="1" si="90"/>
        <v>103999.83221778017</v>
      </c>
      <c r="BF74" s="49">
        <f t="shared" ca="1" si="90"/>
        <v>145250.12511484476</v>
      </c>
      <c r="BG74" s="49">
        <f t="shared" ca="1" si="90"/>
        <v>141894.0745500068</v>
      </c>
      <c r="BH74" s="49">
        <f t="shared" ca="1" si="90"/>
        <v>93806.496992663742</v>
      </c>
      <c r="BI74" s="49">
        <f t="shared" ca="1" si="90"/>
        <v>107599.6040831735</v>
      </c>
      <c r="BJ74" s="49">
        <f t="shared" ca="1" si="90"/>
        <v>151129.68999227023</v>
      </c>
      <c r="BK74" s="49">
        <f t="shared" ca="1" si="90"/>
        <v>147604.74912723812</v>
      </c>
      <c r="BL74" s="49">
        <f t="shared" ca="1" si="90"/>
        <v>97569.925204333558</v>
      </c>
      <c r="BM74" s="49">
        <f t="shared" ca="1" si="90"/>
        <v>111914.9428537085</v>
      </c>
      <c r="BN74" s="49">
        <f t="shared" ca="1" si="90"/>
        <v>157186.24647775714</v>
      </c>
      <c r="BO74" s="49">
        <f t="shared" ca="1" si="90"/>
        <v>155190.71825488313</v>
      </c>
      <c r="BP74" s="49">
        <f t="shared" ca="1" si="90"/>
        <v>103051.68382350812</v>
      </c>
      <c r="BQ74" s="49">
        <f t="shared" ca="1" si="90"/>
        <v>118980.30970332</v>
      </c>
      <c r="BR74" s="49">
        <f t="shared" ca="1" si="90"/>
        <v>166807.36985126822</v>
      </c>
      <c r="BS74" s="49">
        <f t="shared" ca="1" si="90"/>
        <v>161423.52094648406</v>
      </c>
      <c r="BT74" s="49">
        <f t="shared" ca="1" si="90"/>
        <v>107622.59687067886</v>
      </c>
      <c r="BU74" s="49">
        <f t="shared" ca="1" si="90"/>
        <v>124499.05991124795</v>
      </c>
      <c r="BV74" s="49">
        <f t="shared" ca="1" si="90"/>
        <v>173505.24410411087</v>
      </c>
      <c r="BW74" s="49">
        <f t="shared" ca="1" si="90"/>
        <v>167906.0453633857</v>
      </c>
      <c r="BX74" s="49">
        <f t="shared" ca="1" si="90"/>
        <v>111512.12058077744</v>
      </c>
      <c r="BY74" s="49">
        <f t="shared" ref="BY74:CM74" ca="1" si="91">SUM(BY69:BY73)</f>
        <v>128740.39335795646</v>
      </c>
      <c r="BZ74" s="49">
        <f t="shared" ca="1" si="91"/>
        <v>180470.20611239906</v>
      </c>
      <c r="CA74" s="49">
        <f t="shared" ca="1" si="91"/>
        <v>174647.03513698449</v>
      </c>
      <c r="CB74" s="49">
        <f t="shared" ca="1" si="91"/>
        <v>115997.51491990601</v>
      </c>
      <c r="CC74" s="49">
        <f t="shared" ca="1" si="91"/>
        <v>133915.15143680689</v>
      </c>
      <c r="CD74" s="49">
        <f t="shared" ca="1" si="91"/>
        <v>187714.1883183007</v>
      </c>
      <c r="CE74" s="49">
        <f t="shared" ca="1" si="91"/>
        <v>181658.09050386955</v>
      </c>
      <c r="CF74" s="49">
        <f t="shared" ca="1" si="91"/>
        <v>120662.52624436094</v>
      </c>
      <c r="CG74" s="49">
        <f t="shared" ca="1" si="91"/>
        <v>139296.89983881131</v>
      </c>
      <c r="CH74" s="49">
        <f t="shared" ca="1" si="91"/>
        <v>195247.92981243829</v>
      </c>
      <c r="CI74" s="49">
        <f t="shared" ca="1" si="91"/>
        <v>188949.58808542992</v>
      </c>
      <c r="CJ74" s="49">
        <f t="shared" ca="1" si="91"/>
        <v>126009.94887796073</v>
      </c>
      <c r="CK74" s="49">
        <f t="shared" ca="1" si="91"/>
        <v>145753.02362849403</v>
      </c>
      <c r="CL74" s="49">
        <f t="shared" ca="1" si="91"/>
        <v>203083.46159253601</v>
      </c>
      <c r="CM74" s="49">
        <f t="shared" ca="1" si="91"/>
        <v>196533.19101655742</v>
      </c>
      <c r="CN74" s="49">
        <f t="shared" ref="CN74:CO74" ca="1" si="92">SUM(CN69:CN73)</f>
        <v>130560.04060619112</v>
      </c>
      <c r="CO74" s="49">
        <f t="shared" ca="1" si="92"/>
        <v>150714.81724850391</v>
      </c>
    </row>
    <row r="75" spans="1:1019 1104:2031 2116:3043 3128:4055 4140:5067 5152:6079 6164:7091 7176:8188 8193:9207 9292:10219 10304:11231 11316:12243 12328:13255 13340:14267 14352:15279 15364:16383" ht="14.5" customHeight="1">
      <c r="A75" s="47"/>
      <c r="B75" s="47"/>
      <c r="C75" s="47"/>
      <c r="D75" s="47"/>
      <c r="E75" s="47"/>
      <c r="F75" s="47"/>
      <c r="G75" s="321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</row>
    <row r="76" spans="1:1019 1104:2031 2116:3043 3128:4055 4140:5067 5152:6079 6164:7091 7176:8188 8193:9207 9292:10219 10304:11231 11316:12243 12328:13255 13340:14267 14352:15279 15364:16383" ht="14.5" customHeight="1">
      <c r="A76" s="47"/>
      <c r="B76" s="47"/>
      <c r="C76" s="367" t="s">
        <v>1040</v>
      </c>
      <c r="D76" s="47"/>
      <c r="E76" s="47"/>
      <c r="F76" s="47"/>
      <c r="G76" s="321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1019 1104:2031 2116:3043 3128:4055 4140:5067 5152:6079 6164:7091 7176:8188 8193:9207 9292:10219 10304:11231 11316:12243 12328:13255 13340:14267 14352:15279 15364:16383" ht="14.5" customHeight="1">
      <c r="A77" s="47"/>
      <c r="B77" s="47"/>
      <c r="C77" s="17" t="s">
        <v>1032</v>
      </c>
      <c r="D77" s="47"/>
      <c r="E77" s="47"/>
      <c r="F77" s="47"/>
      <c r="G77" s="11" t="str">
        <f t="shared" ref="G77:G82" si="93">Monetary_Unit</f>
        <v>тыс. руб.</v>
      </c>
      <c r="H77" s="47"/>
      <c r="I77" s="23">
        <f t="shared" ref="I77:I82" ca="1" si="94">SUM(L77:CM77)</f>
        <v>1018079.2543063774</v>
      </c>
      <c r="J77" s="47"/>
      <c r="K77" s="47"/>
      <c r="L77" s="10">
        <f ca="1" xml:space="preserve"> L61 * L87 / (L86+L87)</f>
        <v>0</v>
      </c>
      <c r="M77" s="10">
        <f t="shared" ref="M77:BX77" ca="1" si="95" xml:space="preserve"> M61 * M87 / (M86+M87)</f>
        <v>0</v>
      </c>
      <c r="N77" s="10">
        <f t="shared" ca="1" si="95"/>
        <v>0</v>
      </c>
      <c r="O77" s="10">
        <f t="shared" ca="1" si="95"/>
        <v>0</v>
      </c>
      <c r="P77" s="10">
        <f t="shared" ca="1" si="95"/>
        <v>0</v>
      </c>
      <c r="Q77" s="10">
        <f t="shared" ca="1" si="95"/>
        <v>0</v>
      </c>
      <c r="R77" s="10">
        <f t="shared" ca="1" si="95"/>
        <v>0</v>
      </c>
      <c r="S77" s="10">
        <f t="shared" ca="1" si="95"/>
        <v>0</v>
      </c>
      <c r="T77" s="10">
        <f t="shared" ca="1" si="95"/>
        <v>0</v>
      </c>
      <c r="U77" s="10">
        <f t="shared" ca="1" si="95"/>
        <v>0</v>
      </c>
      <c r="V77" s="10">
        <f t="shared" ca="1" si="95"/>
        <v>0</v>
      </c>
      <c r="W77" s="10">
        <f t="shared" ca="1" si="95"/>
        <v>0</v>
      </c>
      <c r="X77" s="10">
        <f t="shared" ca="1" si="95"/>
        <v>0</v>
      </c>
      <c r="Y77" s="10">
        <f t="shared" ca="1" si="95"/>
        <v>0</v>
      </c>
      <c r="Z77" s="10">
        <f t="shared" ca="1" si="95"/>
        <v>0</v>
      </c>
      <c r="AA77" s="10">
        <f t="shared" ca="1" si="95"/>
        <v>0</v>
      </c>
      <c r="AB77" s="10">
        <f t="shared" ca="1" si="95"/>
        <v>0</v>
      </c>
      <c r="AC77" s="10">
        <f t="shared" ca="1" si="95"/>
        <v>0</v>
      </c>
      <c r="AD77" s="10">
        <f t="shared" ca="1" si="95"/>
        <v>1120.8791186291485</v>
      </c>
      <c r="AE77" s="10">
        <f t="shared" ca="1" si="95"/>
        <v>276.66779877638191</v>
      </c>
      <c r="AF77" s="10">
        <f t="shared" ca="1" si="95"/>
        <v>278.41414264664587</v>
      </c>
      <c r="AG77" s="10">
        <f t="shared" ca="1" si="95"/>
        <v>994.6617231721799</v>
      </c>
      <c r="AH77" s="10">
        <f t="shared" ca="1" si="95"/>
        <v>1573.881861797275</v>
      </c>
      <c r="AI77" s="10">
        <f t="shared" ca="1" si="95"/>
        <v>562.28390423978669</v>
      </c>
      <c r="AJ77" s="10">
        <f t="shared" ca="1" si="95"/>
        <v>597.72733295650301</v>
      </c>
      <c r="AK77" s="10">
        <f t="shared" ca="1" si="95"/>
        <v>1500.0475643068523</v>
      </c>
      <c r="AL77" s="10">
        <f t="shared" ca="1" si="95"/>
        <v>2223.1256355551022</v>
      </c>
      <c r="AM77" s="10">
        <f t="shared" ca="1" si="95"/>
        <v>936.82304622458207</v>
      </c>
      <c r="AN77" s="10">
        <f t="shared" ca="1" si="95"/>
        <v>931.6564136406223</v>
      </c>
      <c r="AO77" s="10">
        <f t="shared" ca="1" si="95"/>
        <v>1956.2120945436391</v>
      </c>
      <c r="AP77" s="10">
        <f t="shared" ca="1" si="95"/>
        <v>3371.9895765528631</v>
      </c>
      <c r="AQ77" s="10">
        <f t="shared" ca="1" si="95"/>
        <v>2370.4214511411492</v>
      </c>
      <c r="AR77" s="10">
        <f t="shared" ca="1" si="95"/>
        <v>2209.9647381089721</v>
      </c>
      <c r="AS77" s="10">
        <f t="shared" ca="1" si="95"/>
        <v>4276.7606504508594</v>
      </c>
      <c r="AT77" s="10">
        <f t="shared" ca="1" si="95"/>
        <v>5810.2012472235901</v>
      </c>
      <c r="AU77" s="10">
        <f t="shared" ca="1" si="95"/>
        <v>9366.9567311111114</v>
      </c>
      <c r="AV77" s="10">
        <f t="shared" ca="1" si="95"/>
        <v>8779.0158875836551</v>
      </c>
      <c r="AW77" s="10">
        <f t="shared" ca="1" si="95"/>
        <v>8186.5644222703349</v>
      </c>
      <c r="AX77" s="10">
        <f t="shared" ca="1" si="95"/>
        <v>11707.241030961068</v>
      </c>
      <c r="AY77" s="10">
        <f t="shared" ca="1" si="95"/>
        <v>4665.0058783174754</v>
      </c>
      <c r="AZ77" s="10">
        <f t="shared" ca="1" si="95"/>
        <v>4298.201464853737</v>
      </c>
      <c r="BA77" s="10">
        <f t="shared" ca="1" si="95"/>
        <v>9175.2505650561234</v>
      </c>
      <c r="BB77" s="10">
        <f t="shared" ca="1" si="95"/>
        <v>12840.332760762934</v>
      </c>
      <c r="BC77" s="10">
        <f t="shared" ca="1" si="95"/>
        <v>5614.9839775315841</v>
      </c>
      <c r="BD77" s="10">
        <f t="shared" ca="1" si="95"/>
        <v>5328.9402206436762</v>
      </c>
      <c r="BE77" s="10">
        <f t="shared" ca="1" si="95"/>
        <v>11997.88808070262</v>
      </c>
      <c r="BF77" s="10">
        <f t="shared" ca="1" si="95"/>
        <v>15826.353159396162</v>
      </c>
      <c r="BG77" s="10">
        <f t="shared" ca="1" si="95"/>
        <v>8286.3359255980104</v>
      </c>
      <c r="BH77" s="10">
        <f t="shared" ca="1" si="95"/>
        <v>7912.3277964211356</v>
      </c>
      <c r="BI77" s="10">
        <f t="shared" ca="1" si="95"/>
        <v>13101.922691805781</v>
      </c>
      <c r="BJ77" s="10">
        <f t="shared" ca="1" si="95"/>
        <v>16930.062485160623</v>
      </c>
      <c r="BK77" s="10">
        <f t="shared" ca="1" si="95"/>
        <v>8854.5922799017644</v>
      </c>
      <c r="BL77" s="10">
        <f t="shared" ca="1" si="95"/>
        <v>8305.368126463376</v>
      </c>
      <c r="BM77" s="10">
        <f t="shared" ca="1" si="95"/>
        <v>13702.643198132497</v>
      </c>
      <c r="BN77" s="10">
        <f t="shared" ca="1" si="95"/>
        <v>17684.004963690626</v>
      </c>
      <c r="BO77" s="10">
        <f t="shared" ca="1" si="95"/>
        <v>20560.785318347396</v>
      </c>
      <c r="BP77" s="10">
        <f t="shared" ca="1" si="95"/>
        <v>19295.573725780465</v>
      </c>
      <c r="BQ77" s="10">
        <f t="shared" ca="1" si="95"/>
        <v>31724.940590434304</v>
      </c>
      <c r="BR77" s="10">
        <f t="shared" ca="1" si="95"/>
        <v>40893.661384444007</v>
      </c>
      <c r="BS77" s="10">
        <f t="shared" ca="1" si="95"/>
        <v>21553.140970569177</v>
      </c>
      <c r="BT77" s="10">
        <f t="shared" ca="1" si="95"/>
        <v>20504.947710604069</v>
      </c>
      <c r="BU77" s="10">
        <f t="shared" ca="1" si="95"/>
        <v>33165.102253952013</v>
      </c>
      <c r="BV77" s="10">
        <f t="shared" ca="1" si="95"/>
        <v>42700.802524814651</v>
      </c>
      <c r="BW77" s="10">
        <f t="shared" ca="1" si="95"/>
        <v>22586.662568626667</v>
      </c>
      <c r="BX77" s="10">
        <f t="shared" ca="1" si="95"/>
        <v>21215.86726166448</v>
      </c>
      <c r="BY77" s="10">
        <f t="shared" ref="BY77:CO77" ca="1" si="96" xml:space="preserve"> BY61 * BY87 / (BY86+BY87)</f>
        <v>34659.905826821538</v>
      </c>
      <c r="BZ77" s="10">
        <f t="shared" ca="1" si="96"/>
        <v>44577.229601969892</v>
      </c>
      <c r="CA77" s="10">
        <f t="shared" ca="1" si="96"/>
        <v>23658.522722322934</v>
      </c>
      <c r="CB77" s="10">
        <f t="shared" ca="1" si="96"/>
        <v>22233.999363827323</v>
      </c>
      <c r="CC77" s="10">
        <f t="shared" ca="1" si="96"/>
        <v>36216.012885486496</v>
      </c>
      <c r="CD77" s="10">
        <f t="shared" ca="1" si="96"/>
        <v>46530.243025536598</v>
      </c>
      <c r="CE77" s="10">
        <f t="shared" ca="1" si="96"/>
        <v>24774.787870703745</v>
      </c>
      <c r="CF77" s="10">
        <f t="shared" ca="1" si="96"/>
        <v>23292.856750076648</v>
      </c>
      <c r="CG77" s="10">
        <f t="shared" ca="1" si="96"/>
        <v>37834.364226498037</v>
      </c>
      <c r="CH77" s="10">
        <f t="shared" ca="1" si="96"/>
        <v>48561.376986045972</v>
      </c>
      <c r="CI77" s="10">
        <f t="shared" ca="1" si="96"/>
        <v>25935.703625019803</v>
      </c>
      <c r="CJ77" s="10">
        <f t="shared" ca="1" si="96"/>
        <v>24708.334187335626</v>
      </c>
      <c r="CK77" s="10">
        <f t="shared" ca="1" si="96"/>
        <v>39518.924350794063</v>
      </c>
      <c r="CL77" s="10">
        <f t="shared" ca="1" si="96"/>
        <v>50675.248716577786</v>
      </c>
      <c r="CM77" s="10">
        <f t="shared" ca="1" si="96"/>
        <v>27144.549911793296</v>
      </c>
      <c r="CN77" s="10">
        <f t="shared" ca="1" si="96"/>
        <v>25539.328580743208</v>
      </c>
      <c r="CO77" s="10">
        <f t="shared" ca="1" si="96"/>
        <v>41267.858431588073</v>
      </c>
    </row>
    <row r="78" spans="1:1019 1104:2031 2116:3043 3128:4055 4140:5067 5152:6079 6164:7091 7176:8188 8193:9207 9292:10219 10304:11231 11316:12243 12328:13255 13340:14267 14352:15279 15364:16383" ht="14.5" customHeight="1">
      <c r="A78" s="47"/>
      <c r="B78" s="47"/>
      <c r="C78" s="17" t="s">
        <v>1033</v>
      </c>
      <c r="D78" s="47"/>
      <c r="E78" s="47"/>
      <c r="F78" s="47"/>
      <c r="G78" s="11" t="str">
        <f t="shared" si="93"/>
        <v>тыс. руб.</v>
      </c>
      <c r="H78" s="47"/>
      <c r="I78" s="23">
        <f t="shared" ca="1" si="94"/>
        <v>0</v>
      </c>
      <c r="J78" s="47"/>
      <c r="K78" s="47"/>
      <c r="L78" s="10">
        <f ca="1" xml:space="preserve"> L62 * $E$92</f>
        <v>0</v>
      </c>
      <c r="M78" s="10">
        <f t="shared" ref="M78:BX78" ca="1" si="97" xml:space="preserve"> M62 * $E$92</f>
        <v>0</v>
      </c>
      <c r="N78" s="10">
        <f t="shared" ca="1" si="97"/>
        <v>0</v>
      </c>
      <c r="O78" s="10">
        <f t="shared" ca="1" si="97"/>
        <v>0</v>
      </c>
      <c r="P78" s="10">
        <f t="shared" ca="1" si="97"/>
        <v>0</v>
      </c>
      <c r="Q78" s="10">
        <f t="shared" ca="1" si="97"/>
        <v>0</v>
      </c>
      <c r="R78" s="10">
        <f t="shared" ca="1" si="97"/>
        <v>0</v>
      </c>
      <c r="S78" s="10">
        <f t="shared" ca="1" si="97"/>
        <v>0</v>
      </c>
      <c r="T78" s="10">
        <f t="shared" ca="1" si="97"/>
        <v>0</v>
      </c>
      <c r="U78" s="10">
        <f t="shared" ca="1" si="97"/>
        <v>0</v>
      </c>
      <c r="V78" s="10">
        <f t="shared" ca="1" si="97"/>
        <v>0</v>
      </c>
      <c r="W78" s="10">
        <f t="shared" ca="1" si="97"/>
        <v>0</v>
      </c>
      <c r="X78" s="10">
        <f t="shared" ca="1" si="97"/>
        <v>0</v>
      </c>
      <c r="Y78" s="10">
        <f t="shared" ca="1" si="97"/>
        <v>0</v>
      </c>
      <c r="Z78" s="10">
        <f t="shared" ca="1" si="97"/>
        <v>0</v>
      </c>
      <c r="AA78" s="10">
        <f t="shared" ca="1" si="97"/>
        <v>0</v>
      </c>
      <c r="AB78" s="10">
        <f t="shared" ca="1" si="97"/>
        <v>0</v>
      </c>
      <c r="AC78" s="10">
        <f t="shared" ca="1" si="97"/>
        <v>0</v>
      </c>
      <c r="AD78" s="10">
        <f t="shared" ca="1" si="97"/>
        <v>0</v>
      </c>
      <c r="AE78" s="10">
        <f t="shared" ca="1" si="97"/>
        <v>0</v>
      </c>
      <c r="AF78" s="10">
        <f t="shared" ca="1" si="97"/>
        <v>0</v>
      </c>
      <c r="AG78" s="10">
        <f t="shared" ca="1" si="97"/>
        <v>0</v>
      </c>
      <c r="AH78" s="10">
        <f t="shared" ca="1" si="97"/>
        <v>0</v>
      </c>
      <c r="AI78" s="10">
        <f t="shared" ca="1" si="97"/>
        <v>0</v>
      </c>
      <c r="AJ78" s="10">
        <f t="shared" ca="1" si="97"/>
        <v>0</v>
      </c>
      <c r="AK78" s="10">
        <f t="shared" ca="1" si="97"/>
        <v>0</v>
      </c>
      <c r="AL78" s="10">
        <f t="shared" ca="1" si="97"/>
        <v>0</v>
      </c>
      <c r="AM78" s="10">
        <f t="shared" ca="1" si="97"/>
        <v>0</v>
      </c>
      <c r="AN78" s="10">
        <f t="shared" ca="1" si="97"/>
        <v>0</v>
      </c>
      <c r="AO78" s="10">
        <f t="shared" ca="1" si="97"/>
        <v>0</v>
      </c>
      <c r="AP78" s="10">
        <f t="shared" ca="1" si="97"/>
        <v>0</v>
      </c>
      <c r="AQ78" s="10">
        <f t="shared" ca="1" si="97"/>
        <v>0</v>
      </c>
      <c r="AR78" s="10">
        <f t="shared" ca="1" si="97"/>
        <v>0</v>
      </c>
      <c r="AS78" s="10">
        <f t="shared" ca="1" si="97"/>
        <v>0</v>
      </c>
      <c r="AT78" s="10">
        <f t="shared" ca="1" si="97"/>
        <v>0</v>
      </c>
      <c r="AU78" s="10">
        <f t="shared" ca="1" si="97"/>
        <v>0</v>
      </c>
      <c r="AV78" s="10">
        <f t="shared" ca="1" si="97"/>
        <v>0</v>
      </c>
      <c r="AW78" s="10">
        <f t="shared" ca="1" si="97"/>
        <v>0</v>
      </c>
      <c r="AX78" s="10">
        <f t="shared" ca="1" si="97"/>
        <v>0</v>
      </c>
      <c r="AY78" s="10">
        <f t="shared" ca="1" si="97"/>
        <v>0</v>
      </c>
      <c r="AZ78" s="10">
        <f t="shared" ca="1" si="97"/>
        <v>0</v>
      </c>
      <c r="BA78" s="10">
        <f t="shared" ca="1" si="97"/>
        <v>0</v>
      </c>
      <c r="BB78" s="10">
        <f t="shared" ca="1" si="97"/>
        <v>0</v>
      </c>
      <c r="BC78" s="10">
        <f t="shared" ca="1" si="97"/>
        <v>0</v>
      </c>
      <c r="BD78" s="10">
        <f t="shared" ca="1" si="97"/>
        <v>0</v>
      </c>
      <c r="BE78" s="10">
        <f t="shared" ca="1" si="97"/>
        <v>0</v>
      </c>
      <c r="BF78" s="10">
        <f t="shared" ca="1" si="97"/>
        <v>0</v>
      </c>
      <c r="BG78" s="10">
        <f t="shared" ca="1" si="97"/>
        <v>0</v>
      </c>
      <c r="BH78" s="10">
        <f t="shared" ca="1" si="97"/>
        <v>0</v>
      </c>
      <c r="BI78" s="10">
        <f t="shared" ca="1" si="97"/>
        <v>0</v>
      </c>
      <c r="BJ78" s="10">
        <f t="shared" ca="1" si="97"/>
        <v>0</v>
      </c>
      <c r="BK78" s="10">
        <f t="shared" ca="1" si="97"/>
        <v>0</v>
      </c>
      <c r="BL78" s="10">
        <f t="shared" ca="1" si="97"/>
        <v>0</v>
      </c>
      <c r="BM78" s="10">
        <f t="shared" ca="1" si="97"/>
        <v>0</v>
      </c>
      <c r="BN78" s="10">
        <f t="shared" ca="1" si="97"/>
        <v>0</v>
      </c>
      <c r="BO78" s="10">
        <f t="shared" ca="1" si="97"/>
        <v>0</v>
      </c>
      <c r="BP78" s="10">
        <f t="shared" ca="1" si="97"/>
        <v>0</v>
      </c>
      <c r="BQ78" s="10">
        <f t="shared" ca="1" si="97"/>
        <v>0</v>
      </c>
      <c r="BR78" s="10">
        <f t="shared" ca="1" si="97"/>
        <v>0</v>
      </c>
      <c r="BS78" s="10">
        <f t="shared" ca="1" si="97"/>
        <v>0</v>
      </c>
      <c r="BT78" s="10">
        <f t="shared" ca="1" si="97"/>
        <v>0</v>
      </c>
      <c r="BU78" s="10">
        <f t="shared" ca="1" si="97"/>
        <v>0</v>
      </c>
      <c r="BV78" s="10">
        <f t="shared" ca="1" si="97"/>
        <v>0</v>
      </c>
      <c r="BW78" s="10">
        <f t="shared" ca="1" si="97"/>
        <v>0</v>
      </c>
      <c r="BX78" s="10">
        <f t="shared" ca="1" si="97"/>
        <v>0</v>
      </c>
      <c r="BY78" s="10">
        <f t="shared" ref="BY78:CM78" ca="1" si="98" xml:space="preserve"> BY62 * $E$92</f>
        <v>0</v>
      </c>
      <c r="BZ78" s="10">
        <f t="shared" ca="1" si="98"/>
        <v>0</v>
      </c>
      <c r="CA78" s="10">
        <f t="shared" ca="1" si="98"/>
        <v>0</v>
      </c>
      <c r="CB78" s="10">
        <f t="shared" ca="1" si="98"/>
        <v>0</v>
      </c>
      <c r="CC78" s="10">
        <f t="shared" ca="1" si="98"/>
        <v>0</v>
      </c>
      <c r="CD78" s="10">
        <f t="shared" ca="1" si="98"/>
        <v>0</v>
      </c>
      <c r="CE78" s="10">
        <f t="shared" ca="1" si="98"/>
        <v>0</v>
      </c>
      <c r="CF78" s="10">
        <f t="shared" ca="1" si="98"/>
        <v>0</v>
      </c>
      <c r="CG78" s="10">
        <f t="shared" ca="1" si="98"/>
        <v>0</v>
      </c>
      <c r="CH78" s="10">
        <f t="shared" ca="1" si="98"/>
        <v>0</v>
      </c>
      <c r="CI78" s="10">
        <f t="shared" ca="1" si="98"/>
        <v>0</v>
      </c>
      <c r="CJ78" s="10">
        <f t="shared" ca="1" si="98"/>
        <v>0</v>
      </c>
      <c r="CK78" s="10">
        <f t="shared" ca="1" si="98"/>
        <v>0</v>
      </c>
      <c r="CL78" s="10">
        <f t="shared" ca="1" si="98"/>
        <v>0</v>
      </c>
      <c r="CM78" s="10">
        <f t="shared" ca="1" si="98"/>
        <v>0</v>
      </c>
      <c r="CN78" s="10">
        <f t="shared" ref="CN78:CO78" ca="1" si="99" xml:space="preserve"> CN62 * $E$92</f>
        <v>0</v>
      </c>
      <c r="CO78" s="10">
        <f t="shared" ca="1" si="99"/>
        <v>0</v>
      </c>
    </row>
    <row r="79" spans="1:1019 1104:2031 2116:3043 3128:4055 4140:5067 5152:6079 6164:7091 7176:8188 8193:9207 9292:10219 10304:11231 11316:12243 12328:13255 13340:14267 14352:15279 15364:16383" ht="14.5" customHeight="1">
      <c r="A79" s="47"/>
      <c r="B79" s="47"/>
      <c r="C79" s="17" t="s">
        <v>1034</v>
      </c>
      <c r="D79" s="47"/>
      <c r="E79" s="47"/>
      <c r="F79" s="47"/>
      <c r="G79" s="11" t="str">
        <f t="shared" si="93"/>
        <v>тыс. руб.</v>
      </c>
      <c r="H79" s="47"/>
      <c r="I79" s="23">
        <f t="shared" ca="1" si="94"/>
        <v>0</v>
      </c>
      <c r="J79" s="47"/>
      <c r="K79" s="47"/>
      <c r="L79" s="10">
        <f ca="1" xml:space="preserve"> L63 * $E$95</f>
        <v>0</v>
      </c>
      <c r="M79" s="10">
        <f t="shared" ref="M79:BX79" ca="1" si="100" xml:space="preserve"> M63 * $E$95</f>
        <v>0</v>
      </c>
      <c r="N79" s="10">
        <f t="shared" ca="1" si="100"/>
        <v>0</v>
      </c>
      <c r="O79" s="10">
        <f t="shared" ca="1" si="100"/>
        <v>0</v>
      </c>
      <c r="P79" s="10">
        <f t="shared" ca="1" si="100"/>
        <v>0</v>
      </c>
      <c r="Q79" s="10">
        <f t="shared" ca="1" si="100"/>
        <v>0</v>
      </c>
      <c r="R79" s="10">
        <f t="shared" ca="1" si="100"/>
        <v>0</v>
      </c>
      <c r="S79" s="10">
        <f t="shared" ca="1" si="100"/>
        <v>0</v>
      </c>
      <c r="T79" s="10">
        <f t="shared" ca="1" si="100"/>
        <v>0</v>
      </c>
      <c r="U79" s="10">
        <f t="shared" ca="1" si="100"/>
        <v>0</v>
      </c>
      <c r="V79" s="10">
        <f t="shared" ca="1" si="100"/>
        <v>0</v>
      </c>
      <c r="W79" s="10">
        <f t="shared" ca="1" si="100"/>
        <v>0</v>
      </c>
      <c r="X79" s="10">
        <f t="shared" ca="1" si="100"/>
        <v>0</v>
      </c>
      <c r="Y79" s="10">
        <f t="shared" ca="1" si="100"/>
        <v>0</v>
      </c>
      <c r="Z79" s="10">
        <f t="shared" ca="1" si="100"/>
        <v>0</v>
      </c>
      <c r="AA79" s="10">
        <f t="shared" ca="1" si="100"/>
        <v>0</v>
      </c>
      <c r="AB79" s="10">
        <f t="shared" ca="1" si="100"/>
        <v>0</v>
      </c>
      <c r="AC79" s="10">
        <f t="shared" ca="1" si="100"/>
        <v>0</v>
      </c>
      <c r="AD79" s="10">
        <f t="shared" ca="1" si="100"/>
        <v>0</v>
      </c>
      <c r="AE79" s="10">
        <f t="shared" ca="1" si="100"/>
        <v>0</v>
      </c>
      <c r="AF79" s="10">
        <f t="shared" ca="1" si="100"/>
        <v>0</v>
      </c>
      <c r="AG79" s="10">
        <f t="shared" ca="1" si="100"/>
        <v>0</v>
      </c>
      <c r="AH79" s="10">
        <f t="shared" ca="1" si="100"/>
        <v>0</v>
      </c>
      <c r="AI79" s="10">
        <f t="shared" ca="1" si="100"/>
        <v>0</v>
      </c>
      <c r="AJ79" s="10">
        <f t="shared" ca="1" si="100"/>
        <v>0</v>
      </c>
      <c r="AK79" s="10">
        <f t="shared" ca="1" si="100"/>
        <v>0</v>
      </c>
      <c r="AL79" s="10">
        <f t="shared" ca="1" si="100"/>
        <v>0</v>
      </c>
      <c r="AM79" s="10">
        <f t="shared" ca="1" si="100"/>
        <v>0</v>
      </c>
      <c r="AN79" s="10">
        <f t="shared" ca="1" si="100"/>
        <v>0</v>
      </c>
      <c r="AO79" s="10">
        <f t="shared" ca="1" si="100"/>
        <v>0</v>
      </c>
      <c r="AP79" s="10">
        <f t="shared" ca="1" si="100"/>
        <v>0</v>
      </c>
      <c r="AQ79" s="10">
        <f t="shared" ca="1" si="100"/>
        <v>0</v>
      </c>
      <c r="AR79" s="10">
        <f t="shared" ca="1" si="100"/>
        <v>0</v>
      </c>
      <c r="AS79" s="10">
        <f t="shared" ca="1" si="100"/>
        <v>0</v>
      </c>
      <c r="AT79" s="10">
        <f t="shared" ca="1" si="100"/>
        <v>0</v>
      </c>
      <c r="AU79" s="10">
        <f t="shared" ca="1" si="100"/>
        <v>0</v>
      </c>
      <c r="AV79" s="10">
        <f t="shared" ca="1" si="100"/>
        <v>0</v>
      </c>
      <c r="AW79" s="10">
        <f t="shared" ca="1" si="100"/>
        <v>0</v>
      </c>
      <c r="AX79" s="10">
        <f t="shared" ca="1" si="100"/>
        <v>0</v>
      </c>
      <c r="AY79" s="10">
        <f t="shared" ca="1" si="100"/>
        <v>0</v>
      </c>
      <c r="AZ79" s="10">
        <f t="shared" ca="1" si="100"/>
        <v>0</v>
      </c>
      <c r="BA79" s="10">
        <f t="shared" ca="1" si="100"/>
        <v>0</v>
      </c>
      <c r="BB79" s="10">
        <f t="shared" ca="1" si="100"/>
        <v>0</v>
      </c>
      <c r="BC79" s="10">
        <f t="shared" ca="1" si="100"/>
        <v>0</v>
      </c>
      <c r="BD79" s="10">
        <f t="shared" ca="1" si="100"/>
        <v>0</v>
      </c>
      <c r="BE79" s="10">
        <f t="shared" ca="1" si="100"/>
        <v>0</v>
      </c>
      <c r="BF79" s="10">
        <f t="shared" ca="1" si="100"/>
        <v>0</v>
      </c>
      <c r="BG79" s="10">
        <f t="shared" ca="1" si="100"/>
        <v>0</v>
      </c>
      <c r="BH79" s="10">
        <f t="shared" ca="1" si="100"/>
        <v>0</v>
      </c>
      <c r="BI79" s="10">
        <f t="shared" ca="1" si="100"/>
        <v>0</v>
      </c>
      <c r="BJ79" s="10">
        <f t="shared" ca="1" si="100"/>
        <v>0</v>
      </c>
      <c r="BK79" s="10">
        <f t="shared" ca="1" si="100"/>
        <v>0</v>
      </c>
      <c r="BL79" s="10">
        <f t="shared" ca="1" si="100"/>
        <v>0</v>
      </c>
      <c r="BM79" s="10">
        <f t="shared" ca="1" si="100"/>
        <v>0</v>
      </c>
      <c r="BN79" s="10">
        <f t="shared" ca="1" si="100"/>
        <v>0</v>
      </c>
      <c r="BO79" s="10">
        <f t="shared" ca="1" si="100"/>
        <v>0</v>
      </c>
      <c r="BP79" s="10">
        <f t="shared" ca="1" si="100"/>
        <v>0</v>
      </c>
      <c r="BQ79" s="10">
        <f t="shared" ca="1" si="100"/>
        <v>0</v>
      </c>
      <c r="BR79" s="10">
        <f t="shared" ca="1" si="100"/>
        <v>0</v>
      </c>
      <c r="BS79" s="10">
        <f t="shared" ca="1" si="100"/>
        <v>0</v>
      </c>
      <c r="BT79" s="10">
        <f t="shared" ca="1" si="100"/>
        <v>0</v>
      </c>
      <c r="BU79" s="10">
        <f t="shared" ca="1" si="100"/>
        <v>0</v>
      </c>
      <c r="BV79" s="10">
        <f t="shared" ca="1" si="100"/>
        <v>0</v>
      </c>
      <c r="BW79" s="10">
        <f t="shared" ca="1" si="100"/>
        <v>0</v>
      </c>
      <c r="BX79" s="10">
        <f t="shared" ca="1" si="100"/>
        <v>0</v>
      </c>
      <c r="BY79" s="10">
        <f t="shared" ref="BY79:CM79" ca="1" si="101" xml:space="preserve"> BY63 * $E$95</f>
        <v>0</v>
      </c>
      <c r="BZ79" s="10">
        <f t="shared" ca="1" si="101"/>
        <v>0</v>
      </c>
      <c r="CA79" s="10">
        <f t="shared" ca="1" si="101"/>
        <v>0</v>
      </c>
      <c r="CB79" s="10">
        <f t="shared" ca="1" si="101"/>
        <v>0</v>
      </c>
      <c r="CC79" s="10">
        <f t="shared" ca="1" si="101"/>
        <v>0</v>
      </c>
      <c r="CD79" s="10">
        <f t="shared" ca="1" si="101"/>
        <v>0</v>
      </c>
      <c r="CE79" s="10">
        <f t="shared" ca="1" si="101"/>
        <v>0</v>
      </c>
      <c r="CF79" s="10">
        <f t="shared" ca="1" si="101"/>
        <v>0</v>
      </c>
      <c r="CG79" s="10">
        <f t="shared" ca="1" si="101"/>
        <v>0</v>
      </c>
      <c r="CH79" s="10">
        <f t="shared" ca="1" si="101"/>
        <v>0</v>
      </c>
      <c r="CI79" s="10">
        <f t="shared" ca="1" si="101"/>
        <v>0</v>
      </c>
      <c r="CJ79" s="10">
        <f t="shared" ca="1" si="101"/>
        <v>0</v>
      </c>
      <c r="CK79" s="10">
        <f t="shared" ca="1" si="101"/>
        <v>0</v>
      </c>
      <c r="CL79" s="10">
        <f t="shared" ca="1" si="101"/>
        <v>0</v>
      </c>
      <c r="CM79" s="10">
        <f t="shared" ca="1" si="101"/>
        <v>0</v>
      </c>
      <c r="CN79" s="10">
        <f t="shared" ref="CN79:CO79" ca="1" si="102" xml:space="preserve"> CN63 * $E$95</f>
        <v>0</v>
      </c>
      <c r="CO79" s="10">
        <f t="shared" ca="1" si="102"/>
        <v>0</v>
      </c>
    </row>
    <row r="80" spans="1:1019 1104:2031 2116:3043 3128:4055 4140:5067 5152:6079 6164:7091 7176:8188 8193:9207 9292:10219 10304:11231 11316:12243 12328:13255 13340:14267 14352:15279 15364:16383" ht="14.5" customHeight="1">
      <c r="A80" s="47"/>
      <c r="B80" s="47"/>
      <c r="C80" s="17" t="s">
        <v>1035</v>
      </c>
      <c r="D80" s="47"/>
      <c r="E80" s="47"/>
      <c r="F80" s="47"/>
      <c r="G80" s="11" t="str">
        <f t="shared" si="93"/>
        <v>тыс. руб.</v>
      </c>
      <c r="H80" s="47"/>
      <c r="I80" s="23">
        <f t="shared" ca="1" si="94"/>
        <v>0</v>
      </c>
      <c r="J80" s="47"/>
      <c r="K80" s="47"/>
      <c r="L80" s="10">
        <f ca="1" xml:space="preserve"> L64 * $E$98</f>
        <v>0</v>
      </c>
      <c r="M80" s="10">
        <f t="shared" ref="M80:BX80" ca="1" si="103" xml:space="preserve"> M64 * $E$98</f>
        <v>0</v>
      </c>
      <c r="N80" s="10">
        <f t="shared" ca="1" si="103"/>
        <v>0</v>
      </c>
      <c r="O80" s="10">
        <f t="shared" ca="1" si="103"/>
        <v>0</v>
      </c>
      <c r="P80" s="10">
        <f t="shared" ca="1" si="103"/>
        <v>0</v>
      </c>
      <c r="Q80" s="10">
        <f t="shared" ca="1" si="103"/>
        <v>0</v>
      </c>
      <c r="R80" s="10">
        <f t="shared" ca="1" si="103"/>
        <v>0</v>
      </c>
      <c r="S80" s="10">
        <f t="shared" ca="1" si="103"/>
        <v>0</v>
      </c>
      <c r="T80" s="10">
        <f t="shared" ca="1" si="103"/>
        <v>0</v>
      </c>
      <c r="U80" s="10">
        <f t="shared" ca="1" si="103"/>
        <v>0</v>
      </c>
      <c r="V80" s="10">
        <f t="shared" ca="1" si="103"/>
        <v>0</v>
      </c>
      <c r="W80" s="10">
        <f t="shared" ca="1" si="103"/>
        <v>0</v>
      </c>
      <c r="X80" s="10">
        <f t="shared" ca="1" si="103"/>
        <v>0</v>
      </c>
      <c r="Y80" s="10">
        <f t="shared" ca="1" si="103"/>
        <v>0</v>
      </c>
      <c r="Z80" s="10">
        <f t="shared" ca="1" si="103"/>
        <v>0</v>
      </c>
      <c r="AA80" s="10">
        <f t="shared" ca="1" si="103"/>
        <v>0</v>
      </c>
      <c r="AB80" s="10">
        <f t="shared" ca="1" si="103"/>
        <v>0</v>
      </c>
      <c r="AC80" s="10">
        <f t="shared" ca="1" si="103"/>
        <v>0</v>
      </c>
      <c r="AD80" s="10">
        <f t="shared" ca="1" si="103"/>
        <v>0</v>
      </c>
      <c r="AE80" s="10">
        <f t="shared" ca="1" si="103"/>
        <v>0</v>
      </c>
      <c r="AF80" s="10">
        <f t="shared" ca="1" si="103"/>
        <v>0</v>
      </c>
      <c r="AG80" s="10">
        <f t="shared" ca="1" si="103"/>
        <v>0</v>
      </c>
      <c r="AH80" s="10">
        <f t="shared" ca="1" si="103"/>
        <v>0</v>
      </c>
      <c r="AI80" s="10">
        <f t="shared" ca="1" si="103"/>
        <v>0</v>
      </c>
      <c r="AJ80" s="10">
        <f t="shared" ca="1" si="103"/>
        <v>0</v>
      </c>
      <c r="AK80" s="10">
        <f t="shared" ca="1" si="103"/>
        <v>0</v>
      </c>
      <c r="AL80" s="10">
        <f t="shared" ca="1" si="103"/>
        <v>0</v>
      </c>
      <c r="AM80" s="10">
        <f t="shared" ca="1" si="103"/>
        <v>0</v>
      </c>
      <c r="AN80" s="10">
        <f t="shared" ca="1" si="103"/>
        <v>0</v>
      </c>
      <c r="AO80" s="10">
        <f t="shared" ca="1" si="103"/>
        <v>0</v>
      </c>
      <c r="AP80" s="10">
        <f t="shared" ca="1" si="103"/>
        <v>0</v>
      </c>
      <c r="AQ80" s="10">
        <f t="shared" ca="1" si="103"/>
        <v>0</v>
      </c>
      <c r="AR80" s="10">
        <f t="shared" ca="1" si="103"/>
        <v>0</v>
      </c>
      <c r="AS80" s="10">
        <f t="shared" ca="1" si="103"/>
        <v>0</v>
      </c>
      <c r="AT80" s="10">
        <f t="shared" ca="1" si="103"/>
        <v>0</v>
      </c>
      <c r="AU80" s="10">
        <f t="shared" ca="1" si="103"/>
        <v>0</v>
      </c>
      <c r="AV80" s="10">
        <f t="shared" ca="1" si="103"/>
        <v>0</v>
      </c>
      <c r="AW80" s="10">
        <f t="shared" ca="1" si="103"/>
        <v>0</v>
      </c>
      <c r="AX80" s="10">
        <f t="shared" ca="1" si="103"/>
        <v>0</v>
      </c>
      <c r="AY80" s="10">
        <f t="shared" ca="1" si="103"/>
        <v>0</v>
      </c>
      <c r="AZ80" s="10">
        <f t="shared" ca="1" si="103"/>
        <v>0</v>
      </c>
      <c r="BA80" s="10">
        <f t="shared" ca="1" si="103"/>
        <v>0</v>
      </c>
      <c r="BB80" s="10">
        <f t="shared" ca="1" si="103"/>
        <v>0</v>
      </c>
      <c r="BC80" s="10">
        <f t="shared" ca="1" si="103"/>
        <v>0</v>
      </c>
      <c r="BD80" s="10">
        <f t="shared" ca="1" si="103"/>
        <v>0</v>
      </c>
      <c r="BE80" s="10">
        <f t="shared" ca="1" si="103"/>
        <v>0</v>
      </c>
      <c r="BF80" s="10">
        <f t="shared" ca="1" si="103"/>
        <v>0</v>
      </c>
      <c r="BG80" s="10">
        <f t="shared" ca="1" si="103"/>
        <v>0</v>
      </c>
      <c r="BH80" s="10">
        <f t="shared" ca="1" si="103"/>
        <v>0</v>
      </c>
      <c r="BI80" s="10">
        <f t="shared" ca="1" si="103"/>
        <v>0</v>
      </c>
      <c r="BJ80" s="10">
        <f t="shared" ca="1" si="103"/>
        <v>0</v>
      </c>
      <c r="BK80" s="10">
        <f t="shared" ca="1" si="103"/>
        <v>0</v>
      </c>
      <c r="BL80" s="10">
        <f t="shared" ca="1" si="103"/>
        <v>0</v>
      </c>
      <c r="BM80" s="10">
        <f t="shared" ca="1" si="103"/>
        <v>0</v>
      </c>
      <c r="BN80" s="10">
        <f t="shared" ca="1" si="103"/>
        <v>0</v>
      </c>
      <c r="BO80" s="10">
        <f t="shared" ca="1" si="103"/>
        <v>0</v>
      </c>
      <c r="BP80" s="10">
        <f t="shared" ca="1" si="103"/>
        <v>0</v>
      </c>
      <c r="BQ80" s="10">
        <f t="shared" ca="1" si="103"/>
        <v>0</v>
      </c>
      <c r="BR80" s="10">
        <f t="shared" ca="1" si="103"/>
        <v>0</v>
      </c>
      <c r="BS80" s="10">
        <f t="shared" ca="1" si="103"/>
        <v>0</v>
      </c>
      <c r="BT80" s="10">
        <f t="shared" ca="1" si="103"/>
        <v>0</v>
      </c>
      <c r="BU80" s="10">
        <f t="shared" ca="1" si="103"/>
        <v>0</v>
      </c>
      <c r="BV80" s="10">
        <f t="shared" ca="1" si="103"/>
        <v>0</v>
      </c>
      <c r="BW80" s="10">
        <f t="shared" ca="1" si="103"/>
        <v>0</v>
      </c>
      <c r="BX80" s="10">
        <f t="shared" ca="1" si="103"/>
        <v>0</v>
      </c>
      <c r="BY80" s="10">
        <f t="shared" ref="BY80:CM80" ca="1" si="104" xml:space="preserve"> BY64 * $E$98</f>
        <v>0</v>
      </c>
      <c r="BZ80" s="10">
        <f t="shared" ca="1" si="104"/>
        <v>0</v>
      </c>
      <c r="CA80" s="10">
        <f t="shared" ca="1" si="104"/>
        <v>0</v>
      </c>
      <c r="CB80" s="10">
        <f t="shared" ca="1" si="104"/>
        <v>0</v>
      </c>
      <c r="CC80" s="10">
        <f t="shared" ca="1" si="104"/>
        <v>0</v>
      </c>
      <c r="CD80" s="10">
        <f t="shared" ca="1" si="104"/>
        <v>0</v>
      </c>
      <c r="CE80" s="10">
        <f t="shared" ca="1" si="104"/>
        <v>0</v>
      </c>
      <c r="CF80" s="10">
        <f t="shared" ca="1" si="104"/>
        <v>0</v>
      </c>
      <c r="CG80" s="10">
        <f t="shared" ca="1" si="104"/>
        <v>0</v>
      </c>
      <c r="CH80" s="10">
        <f t="shared" ca="1" si="104"/>
        <v>0</v>
      </c>
      <c r="CI80" s="10">
        <f t="shared" ca="1" si="104"/>
        <v>0</v>
      </c>
      <c r="CJ80" s="10">
        <f t="shared" ca="1" si="104"/>
        <v>0</v>
      </c>
      <c r="CK80" s="10">
        <f t="shared" ca="1" si="104"/>
        <v>0</v>
      </c>
      <c r="CL80" s="10">
        <f t="shared" ca="1" si="104"/>
        <v>0</v>
      </c>
      <c r="CM80" s="10">
        <f t="shared" ca="1" si="104"/>
        <v>0</v>
      </c>
      <c r="CN80" s="10">
        <f t="shared" ref="CN80:CO80" ca="1" si="105" xml:space="preserve"> CN64 * $E$98</f>
        <v>0</v>
      </c>
      <c r="CO80" s="10">
        <f t="shared" ca="1" si="105"/>
        <v>0</v>
      </c>
    </row>
    <row r="81" spans="1:1019 1104:2031 2116:3043 3128:4055 4140:5067 5152:6079 6164:7091 7176:8188 8193:9207 9292:10219 10304:11231 11316:12243 12328:13255 13340:14267 14352:15279 15364:16383" ht="14.5" customHeight="1" thickBot="1">
      <c r="A81" s="47"/>
      <c r="B81" s="47"/>
      <c r="C81" s="17" t="s">
        <v>1036</v>
      </c>
      <c r="D81" s="47"/>
      <c r="E81" s="47"/>
      <c r="F81" s="47"/>
      <c r="G81" s="11" t="str">
        <f t="shared" si="93"/>
        <v>тыс. руб.</v>
      </c>
      <c r="H81" s="47"/>
      <c r="I81" s="23">
        <f t="shared" ca="1" si="94"/>
        <v>1131030.2541232239</v>
      </c>
      <c r="J81" s="47"/>
      <c r="K81" s="47"/>
      <c r="L81" s="10">
        <f ca="1" xml:space="preserve"> L65 * $E$101</f>
        <v>0</v>
      </c>
      <c r="M81" s="10">
        <f t="shared" ref="M81:BX81" ca="1" si="106" xml:space="preserve"> M65 * $E$101</f>
        <v>0</v>
      </c>
      <c r="N81" s="10">
        <f t="shared" ca="1" si="106"/>
        <v>0</v>
      </c>
      <c r="O81" s="10">
        <f t="shared" ca="1" si="106"/>
        <v>0</v>
      </c>
      <c r="P81" s="10">
        <f t="shared" ca="1" si="106"/>
        <v>0</v>
      </c>
      <c r="Q81" s="10">
        <f t="shared" ca="1" si="106"/>
        <v>0</v>
      </c>
      <c r="R81" s="10">
        <f t="shared" ca="1" si="106"/>
        <v>0</v>
      </c>
      <c r="S81" s="10">
        <f t="shared" ca="1" si="106"/>
        <v>0</v>
      </c>
      <c r="T81" s="10">
        <f t="shared" ca="1" si="106"/>
        <v>0</v>
      </c>
      <c r="U81" s="10">
        <f t="shared" ca="1" si="106"/>
        <v>0</v>
      </c>
      <c r="V81" s="10">
        <f t="shared" ca="1" si="106"/>
        <v>0</v>
      </c>
      <c r="W81" s="10">
        <f t="shared" ca="1" si="106"/>
        <v>0</v>
      </c>
      <c r="X81" s="10">
        <f t="shared" ca="1" si="106"/>
        <v>0</v>
      </c>
      <c r="Y81" s="10">
        <f t="shared" ca="1" si="106"/>
        <v>0</v>
      </c>
      <c r="Z81" s="10">
        <f t="shared" ca="1" si="106"/>
        <v>0</v>
      </c>
      <c r="AA81" s="10">
        <f t="shared" ca="1" si="106"/>
        <v>0</v>
      </c>
      <c r="AB81" s="10">
        <f t="shared" ca="1" si="106"/>
        <v>0</v>
      </c>
      <c r="AC81" s="10">
        <f t="shared" ca="1" si="106"/>
        <v>10219.679307589835</v>
      </c>
      <c r="AD81" s="10">
        <f t="shared" ca="1" si="106"/>
        <v>13298.326820744496</v>
      </c>
      <c r="AE81" s="10">
        <f t="shared" ca="1" si="106"/>
        <v>7878.3340662733344</v>
      </c>
      <c r="AF81" s="10">
        <f t="shared" ca="1" si="106"/>
        <v>7731.4289605930526</v>
      </c>
      <c r="AG81" s="10">
        <f t="shared" ca="1" si="106"/>
        <v>12203.054106544309</v>
      </c>
      <c r="AH81" s="10">
        <f t="shared" ca="1" si="106"/>
        <v>15806.01130694204</v>
      </c>
      <c r="AI81" s="10">
        <f t="shared" ca="1" si="106"/>
        <v>9323.6008673965807</v>
      </c>
      <c r="AJ81" s="10">
        <f t="shared" ca="1" si="106"/>
        <v>9112.7776015523505</v>
      </c>
      <c r="AK81" s="10">
        <f t="shared" ca="1" si="106"/>
        <v>14328.747402522999</v>
      </c>
      <c r="AL81" s="10">
        <f t="shared" ca="1" si="106"/>
        <v>18493.033229122186</v>
      </c>
      <c r="AM81" s="10">
        <f t="shared" ca="1" si="106"/>
        <v>10871.883678103653</v>
      </c>
      <c r="AN81" s="10">
        <f t="shared" ca="1" si="106"/>
        <v>10709.955667978673</v>
      </c>
      <c r="AO81" s="10">
        <f t="shared" ca="1" si="106"/>
        <v>16604.971275609496</v>
      </c>
      <c r="AP81" s="10">
        <f t="shared" ca="1" si="106"/>
        <v>20835.484104810985</v>
      </c>
      <c r="AQ81" s="10">
        <f t="shared" ca="1" si="106"/>
        <v>11917.935188753618</v>
      </c>
      <c r="AR81" s="10">
        <f t="shared" ca="1" si="106"/>
        <v>11305.847938227105</v>
      </c>
      <c r="AS81" s="10">
        <f t="shared" ca="1" si="106"/>
        <v>17269.170126633875</v>
      </c>
      <c r="AT81" s="10">
        <f t="shared" ca="1" si="106"/>
        <v>21668.903469003424</v>
      </c>
      <c r="AU81" s="10">
        <f t="shared" ca="1" si="106"/>
        <v>12394.65259630376</v>
      </c>
      <c r="AV81" s="10">
        <f t="shared" ca="1" si="106"/>
        <v>11758.081855756187</v>
      </c>
      <c r="AW81" s="10">
        <f t="shared" ca="1" si="106"/>
        <v>17959.936931699231</v>
      </c>
      <c r="AX81" s="10">
        <f t="shared" ca="1" si="106"/>
        <v>22535.659607763555</v>
      </c>
      <c r="AY81" s="10">
        <f t="shared" ca="1" si="106"/>
        <v>12890.438700155912</v>
      </c>
      <c r="AZ81" s="10">
        <f t="shared" ca="1" si="106"/>
        <v>12228.405129986431</v>
      </c>
      <c r="BA81" s="10">
        <f t="shared" ca="1" si="106"/>
        <v>18678.334408967195</v>
      </c>
      <c r="BB81" s="10">
        <f t="shared" ca="1" si="106"/>
        <v>23437.085992074095</v>
      </c>
      <c r="BC81" s="10">
        <f t="shared" ca="1" si="106"/>
        <v>13406.056248162145</v>
      </c>
      <c r="BD81" s="10">
        <f t="shared" ca="1" si="106"/>
        <v>12858.847350021288</v>
      </c>
      <c r="BE81" s="10">
        <f t="shared" ca="1" si="106"/>
        <v>19425.46778532588</v>
      </c>
      <c r="BF81" s="10">
        <f t="shared" ca="1" si="106"/>
        <v>24374.569431757052</v>
      </c>
      <c r="BG81" s="10">
        <f t="shared" ca="1" si="106"/>
        <v>13942.298498088629</v>
      </c>
      <c r="BH81" s="10">
        <f t="shared" ca="1" si="106"/>
        <v>13226.24298859332</v>
      </c>
      <c r="BI81" s="10">
        <f t="shared" ca="1" si="106"/>
        <v>20202.486496738915</v>
      </c>
      <c r="BJ81" s="10">
        <f t="shared" ca="1" si="106"/>
        <v>25349.552209027337</v>
      </c>
      <c r="BK81" s="10">
        <f t="shared" ca="1" si="106"/>
        <v>14499.990438012172</v>
      </c>
      <c r="BL81" s="10">
        <f t="shared" ca="1" si="106"/>
        <v>13755.292708137054</v>
      </c>
      <c r="BM81" s="10">
        <f t="shared" ca="1" si="106"/>
        <v>21010.585956608469</v>
      </c>
      <c r="BN81" s="10">
        <f t="shared" ca="1" si="106"/>
        <v>26363.534297388425</v>
      </c>
      <c r="BO81" s="10">
        <f t="shared" ca="1" si="106"/>
        <v>15079.990055532657</v>
      </c>
      <c r="BP81" s="10">
        <f t="shared" ca="1" si="106"/>
        <v>14305.504416462534</v>
      </c>
      <c r="BQ81" s="10">
        <f t="shared" ca="1" si="106"/>
        <v>21851.009394872803</v>
      </c>
      <c r="BR81" s="10">
        <f t="shared" ca="1" si="106"/>
        <v>27418.075669283957</v>
      </c>
      <c r="BS81" s="10">
        <f t="shared" ca="1" si="106"/>
        <v>15683.189657753957</v>
      </c>
      <c r="BT81" s="10">
        <f t="shared" ca="1" si="106"/>
        <v>15043.03264415571</v>
      </c>
      <c r="BU81" s="10">
        <f t="shared" ca="1" si="106"/>
        <v>22725.049770667709</v>
      </c>
      <c r="BV81" s="10">
        <f t="shared" ca="1" si="106"/>
        <v>28514.798696055306</v>
      </c>
      <c r="BW81" s="10">
        <f t="shared" ca="1" si="106"/>
        <v>16310.517244064111</v>
      </c>
      <c r="BX81" s="10">
        <f t="shared" ca="1" si="106"/>
        <v>15472.833576845873</v>
      </c>
      <c r="BY81" s="10">
        <f t="shared" ref="BY81:CM81" ca="1" si="107" xml:space="preserve"> BY65 * $E$101</f>
        <v>23634.051761494411</v>
      </c>
      <c r="BZ81" s="10">
        <f t="shared" ca="1" si="107"/>
        <v>29655.390643897517</v>
      </c>
      <c r="CA81" s="10">
        <f t="shared" ca="1" si="107"/>
        <v>16962.937933826674</v>
      </c>
      <c r="CB81" s="10">
        <f t="shared" ca="1" si="107"/>
        <v>16091.746919919706</v>
      </c>
      <c r="CC81" s="10">
        <f t="shared" ca="1" si="107"/>
        <v>24579.413831954189</v>
      </c>
      <c r="CD81" s="10">
        <f t="shared" ca="1" si="107"/>
        <v>30841.606269653414</v>
      </c>
      <c r="CE81" s="10">
        <f t="shared" ca="1" si="107"/>
        <v>17641.45545117974</v>
      </c>
      <c r="CF81" s="10">
        <f t="shared" ca="1" si="107"/>
        <v>16735.41679671649</v>
      </c>
      <c r="CG81" s="10">
        <f t="shared" ca="1" si="107"/>
        <v>25562.590385232357</v>
      </c>
      <c r="CH81" s="10">
        <f t="shared" ca="1" si="107"/>
        <v>32075.270520439546</v>
      </c>
      <c r="CI81" s="10">
        <f t="shared" ca="1" si="107"/>
        <v>18347.113669226932</v>
      </c>
      <c r="CJ81" s="10">
        <f t="shared" ca="1" si="107"/>
        <v>17598.220507124981</v>
      </c>
      <c r="CK81" s="10">
        <f t="shared" ca="1" si="107"/>
        <v>26585.094000641646</v>
      </c>
      <c r="CL81" s="10">
        <f t="shared" ca="1" si="107"/>
        <v>33358.281341257127</v>
      </c>
      <c r="CM81" s="10">
        <f t="shared" ca="1" si="107"/>
        <v>19080.998215996009</v>
      </c>
      <c r="CN81" s="10">
        <f t="shared" ref="CN81:CO81" ca="1" si="108" xml:space="preserve"> CN65 * $E$101</f>
        <v>18101.026807328555</v>
      </c>
      <c r="CO81" s="10">
        <f t="shared" ca="1" si="108"/>
        <v>27648.497760667313</v>
      </c>
    </row>
    <row r="82" spans="1:1019 1104:2031 2116:3043 3128:4055 4140:5067 5152:6079 6164:7091 7176:8188 8193:9207 9292:10219 10304:11231 11316:12243 12328:13255 13340:14267 14352:15279 15364:16383" s="141" customFormat="1" ht="15" customHeight="1" thickTop="1">
      <c r="A82" s="153"/>
      <c r="B82" s="153"/>
      <c r="C82" s="49" t="s">
        <v>1041</v>
      </c>
      <c r="D82" s="49"/>
      <c r="E82" s="49"/>
      <c r="F82" s="49"/>
      <c r="G82" s="159" t="str">
        <f t="shared" si="93"/>
        <v>тыс. руб.</v>
      </c>
      <c r="H82" s="49"/>
      <c r="I82" s="176">
        <f t="shared" ca="1" si="94"/>
        <v>2149109.5084296018</v>
      </c>
      <c r="J82" s="49"/>
      <c r="K82" s="49"/>
      <c r="L82" s="49">
        <f ca="1">SUM(L77:L81)</f>
        <v>0</v>
      </c>
      <c r="M82" s="49">
        <f t="shared" ref="M82:BX82" ca="1" si="109">SUM(M77:M81)</f>
        <v>0</v>
      </c>
      <c r="N82" s="49">
        <f t="shared" ca="1" si="109"/>
        <v>0</v>
      </c>
      <c r="O82" s="49">
        <f t="shared" ca="1" si="109"/>
        <v>0</v>
      </c>
      <c r="P82" s="49">
        <f t="shared" ca="1" si="109"/>
        <v>0</v>
      </c>
      <c r="Q82" s="49">
        <f t="shared" ca="1" si="109"/>
        <v>0</v>
      </c>
      <c r="R82" s="49">
        <f t="shared" ca="1" si="109"/>
        <v>0</v>
      </c>
      <c r="S82" s="49">
        <f t="shared" ca="1" si="109"/>
        <v>0</v>
      </c>
      <c r="T82" s="49">
        <f t="shared" ca="1" si="109"/>
        <v>0</v>
      </c>
      <c r="U82" s="49">
        <f t="shared" ca="1" si="109"/>
        <v>0</v>
      </c>
      <c r="V82" s="49">
        <f t="shared" ca="1" si="109"/>
        <v>0</v>
      </c>
      <c r="W82" s="49">
        <f t="shared" ca="1" si="109"/>
        <v>0</v>
      </c>
      <c r="X82" s="49">
        <f t="shared" ca="1" si="109"/>
        <v>0</v>
      </c>
      <c r="Y82" s="49">
        <f t="shared" ca="1" si="109"/>
        <v>0</v>
      </c>
      <c r="Z82" s="49">
        <f t="shared" ca="1" si="109"/>
        <v>0</v>
      </c>
      <c r="AA82" s="49">
        <f t="shared" ca="1" si="109"/>
        <v>0</v>
      </c>
      <c r="AB82" s="49">
        <f t="shared" ca="1" si="109"/>
        <v>0</v>
      </c>
      <c r="AC82" s="49">
        <f t="shared" ca="1" si="109"/>
        <v>10219.679307589835</v>
      </c>
      <c r="AD82" s="49">
        <f t="shared" ca="1" si="109"/>
        <v>14419.205939373645</v>
      </c>
      <c r="AE82" s="49">
        <f t="shared" ca="1" si="109"/>
        <v>8155.0018650497168</v>
      </c>
      <c r="AF82" s="49">
        <f t="shared" ca="1" si="109"/>
        <v>8009.8431032396984</v>
      </c>
      <c r="AG82" s="49">
        <f t="shared" ca="1" si="109"/>
        <v>13197.715829716488</v>
      </c>
      <c r="AH82" s="49">
        <f t="shared" ca="1" si="109"/>
        <v>17379.893168739316</v>
      </c>
      <c r="AI82" s="49">
        <f t="shared" ca="1" si="109"/>
        <v>9885.8847716363671</v>
      </c>
      <c r="AJ82" s="49">
        <f t="shared" ca="1" si="109"/>
        <v>9710.5049345088537</v>
      </c>
      <c r="AK82" s="49">
        <f t="shared" ca="1" si="109"/>
        <v>15828.794966829852</v>
      </c>
      <c r="AL82" s="49">
        <f t="shared" ca="1" si="109"/>
        <v>20716.158864677287</v>
      </c>
      <c r="AM82" s="49">
        <f t="shared" ca="1" si="109"/>
        <v>11808.706724328236</v>
      </c>
      <c r="AN82" s="49">
        <f t="shared" ca="1" si="109"/>
        <v>11641.612081619296</v>
      </c>
      <c r="AO82" s="49">
        <f t="shared" ca="1" si="109"/>
        <v>18561.183370153136</v>
      </c>
      <c r="AP82" s="49">
        <f t="shared" ca="1" si="109"/>
        <v>24207.473681363848</v>
      </c>
      <c r="AQ82" s="49">
        <f t="shared" ca="1" si="109"/>
        <v>14288.356639894766</v>
      </c>
      <c r="AR82" s="49">
        <f t="shared" ca="1" si="109"/>
        <v>13515.812676336078</v>
      </c>
      <c r="AS82" s="49">
        <f t="shared" ca="1" si="109"/>
        <v>21545.930777084734</v>
      </c>
      <c r="AT82" s="49">
        <f t="shared" ca="1" si="109"/>
        <v>27479.104716227015</v>
      </c>
      <c r="AU82" s="49">
        <f t="shared" ca="1" si="109"/>
        <v>21761.609327414873</v>
      </c>
      <c r="AV82" s="49">
        <f t="shared" ca="1" si="109"/>
        <v>20537.097743339844</v>
      </c>
      <c r="AW82" s="49">
        <f t="shared" ca="1" si="109"/>
        <v>26146.501353969565</v>
      </c>
      <c r="AX82" s="49">
        <f t="shared" ca="1" si="109"/>
        <v>34242.900638724619</v>
      </c>
      <c r="AY82" s="49">
        <f t="shared" ca="1" si="109"/>
        <v>17555.444578473387</v>
      </c>
      <c r="AZ82" s="49">
        <f t="shared" ca="1" si="109"/>
        <v>16526.606594840167</v>
      </c>
      <c r="BA82" s="49">
        <f t="shared" ca="1" si="109"/>
        <v>27853.584974023317</v>
      </c>
      <c r="BB82" s="49">
        <f t="shared" ca="1" si="109"/>
        <v>36277.418752837031</v>
      </c>
      <c r="BC82" s="49">
        <f t="shared" ca="1" si="109"/>
        <v>19021.04022569373</v>
      </c>
      <c r="BD82" s="49">
        <f t="shared" ca="1" si="109"/>
        <v>18187.787570664965</v>
      </c>
      <c r="BE82" s="49">
        <f t="shared" ca="1" si="109"/>
        <v>31423.355866028498</v>
      </c>
      <c r="BF82" s="49">
        <f t="shared" ca="1" si="109"/>
        <v>40200.922591153212</v>
      </c>
      <c r="BG82" s="49">
        <f t="shared" ca="1" si="109"/>
        <v>22228.634423686639</v>
      </c>
      <c r="BH82" s="49">
        <f t="shared" ca="1" si="109"/>
        <v>21138.570785014454</v>
      </c>
      <c r="BI82" s="49">
        <f t="shared" ca="1" si="109"/>
        <v>33304.409188544698</v>
      </c>
      <c r="BJ82" s="49">
        <f t="shared" ca="1" si="109"/>
        <v>42279.614694187956</v>
      </c>
      <c r="BK82" s="49">
        <f t="shared" ca="1" si="109"/>
        <v>23354.582717913938</v>
      </c>
      <c r="BL82" s="49">
        <f t="shared" ca="1" si="109"/>
        <v>22060.660834600429</v>
      </c>
      <c r="BM82" s="49">
        <f t="shared" ca="1" si="109"/>
        <v>34713.22915474097</v>
      </c>
      <c r="BN82" s="49">
        <f t="shared" ca="1" si="109"/>
        <v>44047.539261079051</v>
      </c>
      <c r="BO82" s="49">
        <f t="shared" ca="1" si="109"/>
        <v>35640.775373880053</v>
      </c>
      <c r="BP82" s="49">
        <f t="shared" ca="1" si="109"/>
        <v>33601.078142243001</v>
      </c>
      <c r="BQ82" s="49">
        <f t="shared" ca="1" si="109"/>
        <v>53575.949985307103</v>
      </c>
      <c r="BR82" s="49">
        <f t="shared" ca="1" si="109"/>
        <v>68311.737053727964</v>
      </c>
      <c r="BS82" s="49">
        <f t="shared" ca="1" si="109"/>
        <v>37236.330628323136</v>
      </c>
      <c r="BT82" s="49">
        <f t="shared" ca="1" si="109"/>
        <v>35547.980354759777</v>
      </c>
      <c r="BU82" s="49">
        <f t="shared" ca="1" si="109"/>
        <v>55890.152024619718</v>
      </c>
      <c r="BV82" s="49">
        <f t="shared" ca="1" si="109"/>
        <v>71215.601220869954</v>
      </c>
      <c r="BW82" s="49">
        <f t="shared" ca="1" si="109"/>
        <v>38897.179812690782</v>
      </c>
      <c r="BX82" s="49">
        <f t="shared" ca="1" si="109"/>
        <v>36688.700838510355</v>
      </c>
      <c r="BY82" s="49">
        <f t="shared" ref="BY82:CM82" ca="1" si="110">SUM(BY77:BY81)</f>
        <v>58293.957588315949</v>
      </c>
      <c r="BZ82" s="49">
        <f t="shared" ca="1" si="110"/>
        <v>74232.620245867409</v>
      </c>
      <c r="CA82" s="49">
        <f t="shared" ca="1" si="110"/>
        <v>40621.460656149604</v>
      </c>
      <c r="CB82" s="49">
        <f t="shared" ca="1" si="110"/>
        <v>38325.74628374703</v>
      </c>
      <c r="CC82" s="49">
        <f t="shared" ca="1" si="110"/>
        <v>60795.426717440685</v>
      </c>
      <c r="CD82" s="49">
        <f t="shared" ca="1" si="110"/>
        <v>77371.849295190012</v>
      </c>
      <c r="CE82" s="49">
        <f t="shared" ca="1" si="110"/>
        <v>42416.243321883485</v>
      </c>
      <c r="CF82" s="49">
        <f t="shared" ca="1" si="110"/>
        <v>40028.273546793134</v>
      </c>
      <c r="CG82" s="49">
        <f t="shared" ca="1" si="110"/>
        <v>63396.954611730398</v>
      </c>
      <c r="CH82" s="49">
        <f t="shared" ca="1" si="110"/>
        <v>80636.647506485519</v>
      </c>
      <c r="CI82" s="49">
        <f t="shared" ca="1" si="110"/>
        <v>44282.817294246735</v>
      </c>
      <c r="CJ82" s="49">
        <f t="shared" ca="1" si="110"/>
        <v>42306.554694460603</v>
      </c>
      <c r="CK82" s="49">
        <f t="shared" ca="1" si="110"/>
        <v>66104.018351435705</v>
      </c>
      <c r="CL82" s="49">
        <f t="shared" ca="1" si="110"/>
        <v>84033.530057834912</v>
      </c>
      <c r="CM82" s="49">
        <f t="shared" ca="1" si="110"/>
        <v>46225.548127789305</v>
      </c>
      <c r="CN82" s="49">
        <f t="shared" ref="CN82:CO82" ca="1" si="111">SUM(CN77:CN81)</f>
        <v>43640.355388071766</v>
      </c>
      <c r="CO82" s="49">
        <f t="shared" ca="1" si="111"/>
        <v>68916.356192255393</v>
      </c>
    </row>
    <row r="83" spans="1:1019 1104:2031 2116:3043 3128:4055 4140:5067 5152:6079 6164:7091 7176:8188 8193:9207 9292:10219 10304:11231 11316:12243 12328:13255 13340:14267 14352:15279 15364:16383" ht="14.5" customHeight="1">
      <c r="A83" s="47"/>
      <c r="B83" s="47"/>
      <c r="C83" s="47"/>
      <c r="D83" s="47"/>
      <c r="E83" s="47"/>
      <c r="F83" s="47"/>
      <c r="G83" s="321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</row>
    <row r="84" spans="1:1019 1104:2031 2116:3043 3128:4055 4140:5067 5152:6079 6164:7091 7176:8188 8193:9207 9292:10219 10304:11231 11316:12243 12328:13255 13340:14267 14352:15279 15364:16383" s="10" customFormat="1" ht="14.5" customHeight="1" thickBot="1">
      <c r="C84" s="12" t="s">
        <v>1042</v>
      </c>
      <c r="D84" s="12"/>
      <c r="E84" s="12"/>
      <c r="F84" s="12"/>
      <c r="G84" s="362"/>
      <c r="H84" s="12"/>
      <c r="I84" s="12"/>
      <c r="CS84" s="47"/>
      <c r="CU84" s="11"/>
      <c r="GB84" s="47"/>
      <c r="GG84" s="47"/>
      <c r="GI84" s="11"/>
      <c r="JP84" s="47"/>
      <c r="JU84" s="47"/>
      <c r="JW84" s="11"/>
      <c r="ND84" s="47"/>
      <c r="NI84" s="47"/>
      <c r="NK84" s="11"/>
      <c r="QR84" s="47"/>
      <c r="QW84" s="47"/>
      <c r="QY84" s="11"/>
      <c r="UF84" s="47"/>
      <c r="UK84" s="47"/>
      <c r="UM84" s="11"/>
      <c r="XT84" s="47"/>
      <c r="XY84" s="47"/>
      <c r="YA84" s="11"/>
      <c r="ABH84" s="47"/>
      <c r="ABM84" s="47"/>
      <c r="ABO84" s="11"/>
      <c r="AEV84" s="47"/>
      <c r="AFA84" s="47"/>
      <c r="AFC84" s="11"/>
      <c r="AIJ84" s="47"/>
      <c r="AIO84" s="47"/>
      <c r="AIQ84" s="11"/>
      <c r="ALX84" s="47"/>
      <c r="AMC84" s="47"/>
      <c r="AME84" s="11"/>
      <c r="APL84" s="47"/>
      <c r="APQ84" s="47"/>
      <c r="APS84" s="11"/>
      <c r="ASZ84" s="47"/>
      <c r="ATE84" s="47"/>
      <c r="ATG84" s="11"/>
      <c r="AWN84" s="47"/>
      <c r="AWS84" s="47"/>
      <c r="AWU84" s="11"/>
      <c r="BAB84" s="47"/>
      <c r="BAG84" s="47"/>
      <c r="BAI84" s="11"/>
      <c r="BDP84" s="47"/>
      <c r="BDU84" s="47"/>
      <c r="BDW84" s="11"/>
      <c r="BHD84" s="47"/>
      <c r="BHI84" s="47"/>
      <c r="BHK84" s="11"/>
      <c r="BKR84" s="47"/>
      <c r="BKW84" s="47"/>
      <c r="BKY84" s="11"/>
      <c r="BOF84" s="47"/>
      <c r="BOK84" s="47"/>
      <c r="BOM84" s="11"/>
      <c r="BRT84" s="47"/>
      <c r="BRY84" s="47"/>
      <c r="BSA84" s="11"/>
      <c r="BVH84" s="47"/>
      <c r="BVM84" s="47"/>
      <c r="BVO84" s="11"/>
      <c r="BYV84" s="47"/>
      <c r="BZA84" s="47"/>
      <c r="BZC84" s="11"/>
      <c r="CCJ84" s="47"/>
      <c r="CCO84" s="47"/>
      <c r="CCQ84" s="11"/>
      <c r="CFX84" s="47"/>
      <c r="CGC84" s="47"/>
      <c r="CGE84" s="11"/>
      <c r="CJL84" s="47"/>
      <c r="CJQ84" s="47"/>
      <c r="CJS84" s="11"/>
      <c r="CMZ84" s="47"/>
      <c r="CNE84" s="47"/>
      <c r="CNG84" s="11"/>
      <c r="CQN84" s="47"/>
      <c r="CQS84" s="47"/>
      <c r="CQU84" s="11"/>
      <c r="CUB84" s="47"/>
      <c r="CUG84" s="47"/>
      <c r="CUI84" s="11"/>
      <c r="CXP84" s="47"/>
      <c r="CXU84" s="47"/>
      <c r="CXW84" s="11"/>
      <c r="DBD84" s="47"/>
      <c r="DBI84" s="47"/>
      <c r="DBK84" s="11"/>
      <c r="DER84" s="47"/>
      <c r="DEW84" s="47"/>
      <c r="DEY84" s="11"/>
      <c r="DIF84" s="47"/>
      <c r="DIK84" s="47"/>
      <c r="DIM84" s="11"/>
      <c r="DLT84" s="47"/>
      <c r="DLY84" s="47"/>
      <c r="DMA84" s="11"/>
      <c r="DPH84" s="47"/>
      <c r="DPM84" s="47"/>
      <c r="DPO84" s="11"/>
      <c r="DSV84" s="47"/>
      <c r="DTA84" s="47"/>
      <c r="DTC84" s="11"/>
      <c r="DWJ84" s="47"/>
      <c r="DWO84" s="47"/>
      <c r="DWQ84" s="11"/>
      <c r="DZX84" s="47"/>
      <c r="EAC84" s="47"/>
      <c r="EAE84" s="11"/>
      <c r="EDL84" s="47"/>
      <c r="EDQ84" s="47"/>
      <c r="EDS84" s="11"/>
      <c r="EGZ84" s="47"/>
      <c r="EHE84" s="47"/>
      <c r="EHG84" s="11"/>
      <c r="EKN84" s="47"/>
      <c r="EKS84" s="47"/>
      <c r="EKU84" s="11"/>
      <c r="EOB84" s="47"/>
      <c r="EOG84" s="47"/>
      <c r="EOI84" s="11"/>
      <c r="ERP84" s="47"/>
      <c r="ERU84" s="47"/>
      <c r="ERW84" s="11"/>
      <c r="EVD84" s="47"/>
      <c r="EVI84" s="47"/>
      <c r="EVK84" s="11"/>
      <c r="EYR84" s="47"/>
      <c r="EYW84" s="47"/>
      <c r="EYY84" s="11"/>
      <c r="FCF84" s="47"/>
      <c r="FCK84" s="47"/>
      <c r="FCM84" s="11"/>
      <c r="FFT84" s="47"/>
      <c r="FFY84" s="47"/>
      <c r="FGA84" s="11"/>
      <c r="FJH84" s="47"/>
      <c r="FJM84" s="47"/>
      <c r="FJO84" s="11"/>
      <c r="FMV84" s="47"/>
      <c r="FNA84" s="47"/>
      <c r="FNC84" s="11"/>
      <c r="FQJ84" s="47"/>
      <c r="FQO84" s="47"/>
      <c r="FQQ84" s="11"/>
      <c r="FTX84" s="47"/>
      <c r="FUC84" s="47"/>
      <c r="FUE84" s="11"/>
      <c r="FXL84" s="47"/>
      <c r="FXQ84" s="47"/>
      <c r="FXS84" s="11"/>
      <c r="GAZ84" s="47"/>
      <c r="GBE84" s="47"/>
      <c r="GBG84" s="11"/>
      <c r="GEN84" s="47"/>
      <c r="GES84" s="47"/>
      <c r="GEU84" s="11"/>
      <c r="GIB84" s="47"/>
      <c r="GIG84" s="47"/>
      <c r="GII84" s="11"/>
      <c r="GLP84" s="47"/>
      <c r="GLU84" s="47"/>
      <c r="GLW84" s="11"/>
      <c r="GPD84" s="47"/>
      <c r="GPI84" s="47"/>
      <c r="GPK84" s="11"/>
      <c r="GSR84" s="47"/>
      <c r="GSW84" s="47"/>
      <c r="GSY84" s="11"/>
      <c r="GWF84" s="47"/>
      <c r="GWK84" s="47"/>
      <c r="GWM84" s="11"/>
      <c r="GZT84" s="47"/>
      <c r="GZY84" s="47"/>
      <c r="HAA84" s="11"/>
      <c r="HDH84" s="47"/>
      <c r="HDM84" s="47"/>
      <c r="HDO84" s="11"/>
      <c r="HGV84" s="47"/>
      <c r="HHA84" s="47"/>
      <c r="HHC84" s="11"/>
      <c r="HKJ84" s="47"/>
      <c r="HKO84" s="47"/>
      <c r="HKQ84" s="11"/>
      <c r="HNX84" s="47"/>
      <c r="HOC84" s="47"/>
      <c r="HOE84" s="11"/>
      <c r="HRL84" s="47"/>
      <c r="HRQ84" s="47"/>
      <c r="HRS84" s="11"/>
      <c r="HUZ84" s="47"/>
      <c r="HVE84" s="47"/>
      <c r="HVG84" s="11"/>
      <c r="HYN84" s="47"/>
      <c r="HYS84" s="47"/>
      <c r="HYU84" s="11"/>
      <c r="ICB84" s="47"/>
      <c r="ICG84" s="47"/>
      <c r="ICI84" s="11"/>
      <c r="IFP84" s="47"/>
      <c r="IFU84" s="47"/>
      <c r="IFW84" s="11"/>
      <c r="IJD84" s="47"/>
      <c r="IJI84" s="47"/>
      <c r="IJK84" s="11"/>
      <c r="IMR84" s="47"/>
      <c r="IMW84" s="47"/>
      <c r="IMY84" s="11"/>
      <c r="IQF84" s="47"/>
      <c r="IQK84" s="47"/>
      <c r="IQM84" s="11"/>
      <c r="ITT84" s="47"/>
      <c r="ITY84" s="47"/>
      <c r="IUA84" s="11"/>
      <c r="IXH84" s="47"/>
      <c r="IXM84" s="47"/>
      <c r="IXO84" s="11"/>
      <c r="JAV84" s="47"/>
      <c r="JBA84" s="47"/>
      <c r="JBC84" s="11"/>
      <c r="JEJ84" s="47"/>
      <c r="JEO84" s="47"/>
      <c r="JEQ84" s="11"/>
      <c r="JHX84" s="47"/>
      <c r="JIC84" s="47"/>
      <c r="JIE84" s="11"/>
      <c r="JLL84" s="47"/>
      <c r="JLQ84" s="47"/>
      <c r="JLS84" s="11"/>
      <c r="JOZ84" s="47"/>
      <c r="JPE84" s="47"/>
      <c r="JPG84" s="11"/>
      <c r="JSN84" s="47"/>
      <c r="JSS84" s="47"/>
      <c r="JSU84" s="11"/>
      <c r="JWB84" s="47"/>
      <c r="JWG84" s="47"/>
      <c r="JWI84" s="11"/>
      <c r="JZP84" s="47"/>
      <c r="JZU84" s="47"/>
      <c r="JZW84" s="11"/>
      <c r="KDD84" s="47"/>
      <c r="KDI84" s="47"/>
      <c r="KDK84" s="11"/>
      <c r="KGR84" s="47"/>
      <c r="KGW84" s="47"/>
      <c r="KGY84" s="11"/>
      <c r="KKF84" s="47"/>
      <c r="KKK84" s="47"/>
      <c r="KKM84" s="11"/>
      <c r="KNT84" s="47"/>
      <c r="KNY84" s="47"/>
      <c r="KOA84" s="11"/>
      <c r="KRH84" s="47"/>
      <c r="KRM84" s="47"/>
      <c r="KRO84" s="11"/>
      <c r="KUV84" s="47"/>
      <c r="KVA84" s="47"/>
      <c r="KVC84" s="11"/>
      <c r="KYJ84" s="47"/>
      <c r="KYO84" s="47"/>
      <c r="KYQ84" s="11"/>
      <c r="LBX84" s="47"/>
      <c r="LCC84" s="47"/>
      <c r="LCE84" s="11"/>
      <c r="LFL84" s="47"/>
      <c r="LFQ84" s="47"/>
      <c r="LFS84" s="11"/>
      <c r="LIZ84" s="47"/>
      <c r="LJE84" s="47"/>
      <c r="LJG84" s="11"/>
      <c r="LMN84" s="47"/>
      <c r="LMS84" s="47"/>
      <c r="LMU84" s="11"/>
      <c r="LQB84" s="47"/>
      <c r="LQG84" s="47"/>
      <c r="LQI84" s="11"/>
      <c r="LTP84" s="47"/>
      <c r="LTU84" s="47"/>
      <c r="LTW84" s="11"/>
      <c r="LXD84" s="47"/>
      <c r="LXI84" s="47"/>
      <c r="LXK84" s="11"/>
      <c r="MAR84" s="47"/>
      <c r="MAW84" s="47"/>
      <c r="MAY84" s="11"/>
      <c r="MEF84" s="47"/>
      <c r="MEK84" s="47"/>
      <c r="MEM84" s="11"/>
      <c r="MHT84" s="47"/>
      <c r="MHY84" s="47"/>
      <c r="MIA84" s="11"/>
      <c r="MLH84" s="47"/>
      <c r="MLM84" s="47"/>
      <c r="MLO84" s="11"/>
      <c r="MOV84" s="47"/>
      <c r="MPA84" s="47"/>
      <c r="MPC84" s="11"/>
      <c r="MSJ84" s="47"/>
      <c r="MSO84" s="47"/>
      <c r="MSQ84" s="11"/>
      <c r="MVX84" s="47"/>
      <c r="MWC84" s="47"/>
      <c r="MWE84" s="11"/>
      <c r="MZL84" s="47"/>
      <c r="MZQ84" s="47"/>
      <c r="MZS84" s="11"/>
      <c r="NCZ84" s="47"/>
      <c r="NDE84" s="47"/>
      <c r="NDG84" s="11"/>
      <c r="NGN84" s="47"/>
      <c r="NGS84" s="47"/>
      <c r="NGU84" s="11"/>
      <c r="NKB84" s="47"/>
      <c r="NKG84" s="47"/>
      <c r="NKI84" s="11"/>
      <c r="NNP84" s="47"/>
      <c r="NNU84" s="47"/>
      <c r="NNW84" s="11"/>
      <c r="NRD84" s="47"/>
      <c r="NRI84" s="47"/>
      <c r="NRK84" s="11"/>
      <c r="NUR84" s="47"/>
      <c r="NUW84" s="47"/>
      <c r="NUY84" s="11"/>
      <c r="NYF84" s="47"/>
      <c r="NYK84" s="47"/>
      <c r="NYM84" s="11"/>
      <c r="OBT84" s="47"/>
      <c r="OBY84" s="47"/>
      <c r="OCA84" s="11"/>
      <c r="OFH84" s="47"/>
      <c r="OFM84" s="47"/>
      <c r="OFO84" s="11"/>
      <c r="OIV84" s="47"/>
      <c r="OJA84" s="47"/>
      <c r="OJC84" s="11"/>
      <c r="OMJ84" s="47"/>
      <c r="OMO84" s="47"/>
      <c r="OMQ84" s="11"/>
      <c r="OPX84" s="47"/>
      <c r="OQC84" s="47"/>
      <c r="OQE84" s="11"/>
      <c r="OTL84" s="47"/>
      <c r="OTQ84" s="47"/>
      <c r="OTS84" s="11"/>
      <c r="OWZ84" s="47"/>
      <c r="OXE84" s="47"/>
      <c r="OXG84" s="11"/>
      <c r="PAN84" s="47"/>
      <c r="PAS84" s="47"/>
      <c r="PAU84" s="11"/>
      <c r="PEB84" s="47"/>
      <c r="PEG84" s="47"/>
      <c r="PEI84" s="11"/>
      <c r="PHP84" s="47"/>
      <c r="PHU84" s="47"/>
      <c r="PHW84" s="11"/>
      <c r="PLD84" s="47"/>
      <c r="PLI84" s="47"/>
      <c r="PLK84" s="11"/>
      <c r="POR84" s="47"/>
      <c r="POW84" s="47"/>
      <c r="POY84" s="11"/>
      <c r="PSF84" s="47"/>
      <c r="PSK84" s="47"/>
      <c r="PSM84" s="11"/>
      <c r="PVT84" s="47"/>
      <c r="PVY84" s="47"/>
      <c r="PWA84" s="11"/>
      <c r="PZH84" s="47"/>
      <c r="PZM84" s="47"/>
      <c r="PZO84" s="11"/>
      <c r="QCV84" s="47"/>
      <c r="QDA84" s="47"/>
      <c r="QDC84" s="11"/>
      <c r="QGJ84" s="47"/>
      <c r="QGO84" s="47"/>
      <c r="QGQ84" s="11"/>
      <c r="QJX84" s="47"/>
      <c r="QKC84" s="47"/>
      <c r="QKE84" s="11"/>
      <c r="QNL84" s="47"/>
      <c r="QNQ84" s="47"/>
      <c r="QNS84" s="11"/>
      <c r="QQZ84" s="47"/>
      <c r="QRE84" s="47"/>
      <c r="QRG84" s="11"/>
      <c r="QUN84" s="47"/>
      <c r="QUS84" s="47"/>
      <c r="QUU84" s="11"/>
      <c r="QYB84" s="47"/>
      <c r="QYG84" s="47"/>
      <c r="QYI84" s="11"/>
      <c r="RBP84" s="47"/>
      <c r="RBU84" s="47"/>
      <c r="RBW84" s="11"/>
      <c r="RFD84" s="47"/>
      <c r="RFI84" s="47"/>
      <c r="RFK84" s="11"/>
      <c r="RIR84" s="47"/>
      <c r="RIW84" s="47"/>
      <c r="RIY84" s="11"/>
      <c r="RMF84" s="47"/>
      <c r="RMK84" s="47"/>
      <c r="RMM84" s="11"/>
      <c r="RPT84" s="47"/>
      <c r="RPY84" s="47"/>
      <c r="RQA84" s="11"/>
      <c r="RTH84" s="47"/>
      <c r="RTM84" s="47"/>
      <c r="RTO84" s="11"/>
      <c r="RWV84" s="47"/>
      <c r="RXA84" s="47"/>
      <c r="RXC84" s="11"/>
      <c r="SAJ84" s="47"/>
      <c r="SAO84" s="47"/>
      <c r="SAQ84" s="11"/>
      <c r="SDX84" s="47"/>
      <c r="SEC84" s="47"/>
      <c r="SEE84" s="11"/>
      <c r="SHL84" s="47"/>
      <c r="SHQ84" s="47"/>
      <c r="SHS84" s="11"/>
      <c r="SKZ84" s="47"/>
      <c r="SLE84" s="47"/>
      <c r="SLG84" s="11"/>
      <c r="SON84" s="47"/>
      <c r="SOS84" s="47"/>
      <c r="SOU84" s="11"/>
      <c r="SSB84" s="47"/>
      <c r="SSG84" s="47"/>
      <c r="SSI84" s="11"/>
      <c r="SVP84" s="47"/>
      <c r="SVU84" s="47"/>
      <c r="SVW84" s="11"/>
      <c r="SZD84" s="47"/>
      <c r="SZI84" s="47"/>
      <c r="SZK84" s="11"/>
      <c r="TCR84" s="47"/>
      <c r="TCW84" s="47"/>
      <c r="TCY84" s="11"/>
      <c r="TGF84" s="47"/>
      <c r="TGK84" s="47"/>
      <c r="TGM84" s="11"/>
      <c r="TJT84" s="47"/>
      <c r="TJY84" s="47"/>
      <c r="TKA84" s="11"/>
      <c r="TNH84" s="47"/>
      <c r="TNM84" s="47"/>
      <c r="TNO84" s="11"/>
      <c r="TQV84" s="47"/>
      <c r="TRA84" s="47"/>
      <c r="TRC84" s="11"/>
      <c r="TUJ84" s="47"/>
      <c r="TUO84" s="47"/>
      <c r="TUQ84" s="11"/>
      <c r="TXX84" s="47"/>
      <c r="TYC84" s="47"/>
      <c r="TYE84" s="11"/>
      <c r="UBL84" s="47"/>
      <c r="UBQ84" s="47"/>
      <c r="UBS84" s="11"/>
      <c r="UEZ84" s="47"/>
      <c r="UFE84" s="47"/>
      <c r="UFG84" s="11"/>
      <c r="UIN84" s="47"/>
      <c r="UIS84" s="47"/>
      <c r="UIU84" s="11"/>
      <c r="UMB84" s="47"/>
      <c r="UMG84" s="47"/>
      <c r="UMI84" s="11"/>
      <c r="UPP84" s="47"/>
      <c r="UPU84" s="47"/>
      <c r="UPW84" s="11"/>
      <c r="UTD84" s="47"/>
      <c r="UTI84" s="47"/>
      <c r="UTK84" s="11"/>
      <c r="UWR84" s="47"/>
      <c r="UWW84" s="47"/>
      <c r="UWY84" s="11"/>
      <c r="VAF84" s="47"/>
      <c r="VAK84" s="47"/>
      <c r="VAM84" s="11"/>
      <c r="VDT84" s="47"/>
      <c r="VDY84" s="47"/>
      <c r="VEA84" s="11"/>
      <c r="VHH84" s="47"/>
      <c r="VHM84" s="47"/>
      <c r="VHO84" s="11"/>
      <c r="VKV84" s="47"/>
      <c r="VLA84" s="47"/>
      <c r="VLC84" s="11"/>
      <c r="VOJ84" s="47"/>
      <c r="VOO84" s="47"/>
      <c r="VOQ84" s="11"/>
      <c r="VRX84" s="47"/>
      <c r="VSC84" s="47"/>
      <c r="VSE84" s="11"/>
      <c r="VVL84" s="47"/>
      <c r="VVQ84" s="47"/>
      <c r="VVS84" s="11"/>
      <c r="VYZ84" s="47"/>
      <c r="VZE84" s="47"/>
      <c r="VZG84" s="11"/>
      <c r="WCN84" s="47"/>
      <c r="WCS84" s="47"/>
      <c r="WCU84" s="11"/>
      <c r="WGB84" s="47"/>
      <c r="WGG84" s="47"/>
      <c r="WGI84" s="11"/>
      <c r="WJP84" s="47"/>
      <c r="WJU84" s="47"/>
      <c r="WJW84" s="11"/>
      <c r="WND84" s="47"/>
      <c r="WNI84" s="47"/>
      <c r="WNK84" s="11"/>
      <c r="WQR84" s="47"/>
      <c r="WQW84" s="47"/>
      <c r="WQY84" s="11"/>
      <c r="WUF84" s="47"/>
      <c r="WUK84" s="47"/>
      <c r="WUM84" s="11"/>
      <c r="WXT84" s="47"/>
      <c r="WXY84" s="47"/>
      <c r="WYA84" s="11"/>
      <c r="XBH84" s="47"/>
      <c r="XBM84" s="47"/>
      <c r="XBO84" s="11"/>
      <c r="XEV84" s="47"/>
      <c r="XFA84" s="47"/>
      <c r="XFC84" s="11"/>
    </row>
    <row r="85" spans="1:1019 1104:2031 2116:3043 3128:4055 4140:5067 5152:6079 6164:7091 7176:8188 8193:9207 9292:10219 10304:11231 11316:12243 12328:13255 13340:14267 14352:15279 15364:16383" s="141" customFormat="1" ht="14.5" customHeight="1">
      <c r="A85" s="153"/>
      <c r="B85" s="153"/>
      <c r="C85" s="153"/>
      <c r="D85" s="153"/>
      <c r="E85" s="153"/>
      <c r="F85" s="153"/>
      <c r="G85" s="179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  <c r="AV85" s="153"/>
      <c r="AW85" s="153"/>
      <c r="AX85" s="153"/>
      <c r="AY85" s="153"/>
      <c r="AZ85" s="153"/>
      <c r="BA85" s="153"/>
      <c r="BB85" s="153"/>
      <c r="BC85" s="153"/>
      <c r="BD85" s="153"/>
      <c r="BE85" s="153"/>
      <c r="BF85" s="153"/>
      <c r="BG85" s="153"/>
      <c r="BH85" s="153"/>
      <c r="BI85" s="153"/>
      <c r="BJ85" s="153"/>
      <c r="BK85" s="153"/>
      <c r="BL85" s="153"/>
      <c r="BM85" s="153"/>
      <c r="BN85" s="153"/>
      <c r="BO85" s="153"/>
      <c r="BP85" s="153"/>
      <c r="BQ85" s="153"/>
      <c r="BR85" s="153"/>
      <c r="BS85" s="153"/>
      <c r="BT85" s="153"/>
      <c r="BU85" s="153"/>
      <c r="BV85" s="153"/>
      <c r="BW85" s="153"/>
      <c r="BX85" s="153"/>
      <c r="BY85" s="153"/>
      <c r="BZ85" s="153"/>
      <c r="CA85" s="153"/>
      <c r="CB85" s="153"/>
      <c r="CC85" s="153"/>
      <c r="CD85" s="153"/>
      <c r="CE85" s="153"/>
      <c r="CF85" s="153"/>
      <c r="CG85" s="153"/>
      <c r="CH85" s="153"/>
      <c r="CI85" s="153"/>
      <c r="CJ85" s="153"/>
      <c r="CK85" s="153"/>
      <c r="CL85" s="153"/>
      <c r="CM85" s="153"/>
      <c r="CN85" s="153"/>
      <c r="CO85" s="153"/>
    </row>
    <row r="86" spans="1:1019 1104:2031 2116:3043 3128:4055 4140:5067 5152:6079 6164:7091 7176:8188 8193:9207 9292:10219 10304:11231 11316:12243 12328:13255 13340:14267 14352:15279 15364:16383" s="141" customFormat="1" ht="14.5" customHeight="1">
      <c r="A86" s="153"/>
      <c r="B86" s="153"/>
      <c r="C86" s="17" t="s">
        <v>1190</v>
      </c>
      <c r="D86" s="153"/>
      <c r="E86" s="80">
        <v>0.02</v>
      </c>
      <c r="F86" s="153"/>
      <c r="G86" s="179" t="s">
        <v>28</v>
      </c>
      <c r="H86" s="153"/>
      <c r="I86" s="153"/>
      <c r="J86" s="153"/>
      <c r="K86" s="153"/>
      <c r="L86" s="80">
        <f t="shared" ref="L86:AQ86" si="112">IF(YEAR(Beginning_of_period) &lt;= $E$89, $E$88, $E$86)</f>
        <v>0.03</v>
      </c>
      <c r="M86" s="80">
        <f t="shared" si="112"/>
        <v>0.03</v>
      </c>
      <c r="N86" s="80">
        <f t="shared" si="112"/>
        <v>0.03</v>
      </c>
      <c r="O86" s="80">
        <f t="shared" si="112"/>
        <v>0.03</v>
      </c>
      <c r="P86" s="80">
        <f t="shared" si="112"/>
        <v>0.03</v>
      </c>
      <c r="Q86" s="80">
        <f t="shared" si="112"/>
        <v>0.03</v>
      </c>
      <c r="R86" s="80">
        <f t="shared" si="112"/>
        <v>0.03</v>
      </c>
      <c r="S86" s="80">
        <f t="shared" si="112"/>
        <v>0.03</v>
      </c>
      <c r="T86" s="80">
        <f t="shared" si="112"/>
        <v>0.03</v>
      </c>
      <c r="U86" s="80">
        <f t="shared" si="112"/>
        <v>0.03</v>
      </c>
      <c r="V86" s="80">
        <f t="shared" si="112"/>
        <v>0.03</v>
      </c>
      <c r="W86" s="80">
        <f t="shared" si="112"/>
        <v>0.03</v>
      </c>
      <c r="X86" s="80">
        <f t="shared" si="112"/>
        <v>0.03</v>
      </c>
      <c r="Y86" s="80">
        <f t="shared" si="112"/>
        <v>0.03</v>
      </c>
      <c r="Z86" s="80">
        <f t="shared" si="112"/>
        <v>0.03</v>
      </c>
      <c r="AA86" s="80">
        <f t="shared" si="112"/>
        <v>0.03</v>
      </c>
      <c r="AB86" s="80">
        <f t="shared" si="112"/>
        <v>0.03</v>
      </c>
      <c r="AC86" s="80">
        <f t="shared" si="112"/>
        <v>0.03</v>
      </c>
      <c r="AD86" s="80">
        <f t="shared" si="112"/>
        <v>0.03</v>
      </c>
      <c r="AE86" s="80">
        <f t="shared" si="112"/>
        <v>0.03</v>
      </c>
      <c r="AF86" s="80">
        <f t="shared" si="112"/>
        <v>0.03</v>
      </c>
      <c r="AG86" s="80">
        <f t="shared" si="112"/>
        <v>0.03</v>
      </c>
      <c r="AH86" s="80">
        <f t="shared" si="112"/>
        <v>0.03</v>
      </c>
      <c r="AI86" s="80">
        <f t="shared" si="112"/>
        <v>0.03</v>
      </c>
      <c r="AJ86" s="80">
        <f t="shared" si="112"/>
        <v>0.02</v>
      </c>
      <c r="AK86" s="80">
        <f t="shared" si="112"/>
        <v>0.02</v>
      </c>
      <c r="AL86" s="80">
        <f t="shared" si="112"/>
        <v>0.02</v>
      </c>
      <c r="AM86" s="80">
        <f t="shared" si="112"/>
        <v>0.02</v>
      </c>
      <c r="AN86" s="80">
        <f t="shared" si="112"/>
        <v>0.02</v>
      </c>
      <c r="AO86" s="80">
        <f t="shared" si="112"/>
        <v>0.02</v>
      </c>
      <c r="AP86" s="80">
        <f t="shared" si="112"/>
        <v>0.02</v>
      </c>
      <c r="AQ86" s="80">
        <f t="shared" si="112"/>
        <v>0.02</v>
      </c>
      <c r="AR86" s="80">
        <f t="shared" ref="AR86:BW86" si="113">IF(YEAR(Beginning_of_period) &lt;= $E$89, $E$88, $E$86)</f>
        <v>0.02</v>
      </c>
      <c r="AS86" s="80">
        <f t="shared" si="113"/>
        <v>0.02</v>
      </c>
      <c r="AT86" s="80">
        <f t="shared" si="113"/>
        <v>0.02</v>
      </c>
      <c r="AU86" s="80">
        <f t="shared" si="113"/>
        <v>0.02</v>
      </c>
      <c r="AV86" s="80">
        <f t="shared" si="113"/>
        <v>0.02</v>
      </c>
      <c r="AW86" s="80">
        <f t="shared" si="113"/>
        <v>0.02</v>
      </c>
      <c r="AX86" s="80">
        <f t="shared" si="113"/>
        <v>0.02</v>
      </c>
      <c r="AY86" s="80">
        <f t="shared" si="113"/>
        <v>0.02</v>
      </c>
      <c r="AZ86" s="80">
        <f t="shared" si="113"/>
        <v>0.02</v>
      </c>
      <c r="BA86" s="80">
        <f t="shared" si="113"/>
        <v>0.02</v>
      </c>
      <c r="BB86" s="80">
        <f t="shared" si="113"/>
        <v>0.02</v>
      </c>
      <c r="BC86" s="80">
        <f t="shared" si="113"/>
        <v>0.02</v>
      </c>
      <c r="BD86" s="80">
        <f t="shared" si="113"/>
        <v>0.02</v>
      </c>
      <c r="BE86" s="80">
        <f t="shared" si="113"/>
        <v>0.02</v>
      </c>
      <c r="BF86" s="80">
        <f t="shared" si="113"/>
        <v>0.02</v>
      </c>
      <c r="BG86" s="80">
        <f t="shared" si="113"/>
        <v>0.02</v>
      </c>
      <c r="BH86" s="80">
        <f t="shared" si="113"/>
        <v>0.02</v>
      </c>
      <c r="BI86" s="80">
        <f t="shared" si="113"/>
        <v>0.02</v>
      </c>
      <c r="BJ86" s="80">
        <f t="shared" si="113"/>
        <v>0.02</v>
      </c>
      <c r="BK86" s="80">
        <f t="shared" si="113"/>
        <v>0.02</v>
      </c>
      <c r="BL86" s="80">
        <f t="shared" si="113"/>
        <v>0.02</v>
      </c>
      <c r="BM86" s="80">
        <f t="shared" si="113"/>
        <v>0.02</v>
      </c>
      <c r="BN86" s="80">
        <f t="shared" si="113"/>
        <v>0.02</v>
      </c>
      <c r="BO86" s="80">
        <f t="shared" si="113"/>
        <v>0.02</v>
      </c>
      <c r="BP86" s="80">
        <f t="shared" si="113"/>
        <v>0.02</v>
      </c>
      <c r="BQ86" s="80">
        <f t="shared" si="113"/>
        <v>0.02</v>
      </c>
      <c r="BR86" s="80">
        <f t="shared" si="113"/>
        <v>0.02</v>
      </c>
      <c r="BS86" s="80">
        <f t="shared" si="113"/>
        <v>0.02</v>
      </c>
      <c r="BT86" s="80">
        <f t="shared" si="113"/>
        <v>0.02</v>
      </c>
      <c r="BU86" s="80">
        <f t="shared" si="113"/>
        <v>0.02</v>
      </c>
      <c r="BV86" s="80">
        <f t="shared" si="113"/>
        <v>0.02</v>
      </c>
      <c r="BW86" s="80">
        <f t="shared" si="113"/>
        <v>0.02</v>
      </c>
      <c r="BX86" s="80">
        <f t="shared" ref="BX86:CO86" si="114">IF(YEAR(Beginning_of_period) &lt;= $E$89, $E$88, $E$86)</f>
        <v>0.02</v>
      </c>
      <c r="BY86" s="80">
        <f t="shared" si="114"/>
        <v>0.02</v>
      </c>
      <c r="BZ86" s="80">
        <f t="shared" si="114"/>
        <v>0.02</v>
      </c>
      <c r="CA86" s="80">
        <f t="shared" si="114"/>
        <v>0.02</v>
      </c>
      <c r="CB86" s="80">
        <f t="shared" si="114"/>
        <v>0.02</v>
      </c>
      <c r="CC86" s="80">
        <f t="shared" si="114"/>
        <v>0.02</v>
      </c>
      <c r="CD86" s="80">
        <f t="shared" si="114"/>
        <v>0.02</v>
      </c>
      <c r="CE86" s="80">
        <f t="shared" si="114"/>
        <v>0.02</v>
      </c>
      <c r="CF86" s="80">
        <f t="shared" si="114"/>
        <v>0.02</v>
      </c>
      <c r="CG86" s="80">
        <f t="shared" si="114"/>
        <v>0.02</v>
      </c>
      <c r="CH86" s="80">
        <f t="shared" si="114"/>
        <v>0.02</v>
      </c>
      <c r="CI86" s="80">
        <f t="shared" si="114"/>
        <v>0.02</v>
      </c>
      <c r="CJ86" s="80">
        <f t="shared" si="114"/>
        <v>0.02</v>
      </c>
      <c r="CK86" s="80">
        <f t="shared" si="114"/>
        <v>0.02</v>
      </c>
      <c r="CL86" s="80">
        <f t="shared" si="114"/>
        <v>0.02</v>
      </c>
      <c r="CM86" s="80">
        <f t="shared" si="114"/>
        <v>0.02</v>
      </c>
      <c r="CN86" s="80">
        <f t="shared" si="114"/>
        <v>0.02</v>
      </c>
      <c r="CO86" s="80">
        <f t="shared" si="114"/>
        <v>0.02</v>
      </c>
    </row>
    <row r="87" spans="1:1019 1104:2031 2116:3043 3128:4055 4140:5067 5152:6079 6164:7091 7176:8188 8193:9207 9292:10219 10304:11231 11316:12243 12328:13255 13340:14267 14352:15279 15364:16383" s="141" customFormat="1" ht="14.5" customHeight="1">
      <c r="A87" s="153"/>
      <c r="B87" s="153"/>
      <c r="C87" s="17" t="s">
        <v>1191</v>
      </c>
      <c r="D87" s="153"/>
      <c r="E87" s="466">
        <f>Profits_Tax_Rate-E86</f>
        <v>0.13500000000000001</v>
      </c>
      <c r="F87" s="153"/>
      <c r="G87" s="179" t="s">
        <v>28</v>
      </c>
      <c r="H87" s="153"/>
      <c r="I87" s="153"/>
      <c r="J87" s="153"/>
      <c r="K87" s="153"/>
      <c r="L87" s="80">
        <f t="shared" ref="L87:AQ87" si="115">Profits_Tax_Rate-L86</f>
        <v>0.125</v>
      </c>
      <c r="M87" s="80">
        <f t="shared" si="115"/>
        <v>0.125</v>
      </c>
      <c r="N87" s="80">
        <f t="shared" si="115"/>
        <v>0.125</v>
      </c>
      <c r="O87" s="80">
        <f t="shared" si="115"/>
        <v>0.125</v>
      </c>
      <c r="P87" s="80">
        <f t="shared" si="115"/>
        <v>0.125</v>
      </c>
      <c r="Q87" s="80">
        <f t="shared" si="115"/>
        <v>0.125</v>
      </c>
      <c r="R87" s="80">
        <f t="shared" si="115"/>
        <v>0.125</v>
      </c>
      <c r="S87" s="80">
        <f t="shared" si="115"/>
        <v>0.125</v>
      </c>
      <c r="T87" s="80">
        <f t="shared" si="115"/>
        <v>0.125</v>
      </c>
      <c r="U87" s="80">
        <f t="shared" si="115"/>
        <v>0.125</v>
      </c>
      <c r="V87" s="80">
        <f t="shared" si="115"/>
        <v>0.125</v>
      </c>
      <c r="W87" s="80">
        <f t="shared" si="115"/>
        <v>0.125</v>
      </c>
      <c r="X87" s="80">
        <f t="shared" si="115"/>
        <v>0.125</v>
      </c>
      <c r="Y87" s="80">
        <f t="shared" si="115"/>
        <v>0.125</v>
      </c>
      <c r="Z87" s="80">
        <f t="shared" si="115"/>
        <v>0.125</v>
      </c>
      <c r="AA87" s="80">
        <f t="shared" si="115"/>
        <v>0.125</v>
      </c>
      <c r="AB87" s="80">
        <f t="shared" si="115"/>
        <v>0.125</v>
      </c>
      <c r="AC87" s="80">
        <f t="shared" si="115"/>
        <v>0.125</v>
      </c>
      <c r="AD87" s="80">
        <f t="shared" si="115"/>
        <v>0.125</v>
      </c>
      <c r="AE87" s="80">
        <f t="shared" si="115"/>
        <v>0.125</v>
      </c>
      <c r="AF87" s="80">
        <f t="shared" si="115"/>
        <v>0.125</v>
      </c>
      <c r="AG87" s="80">
        <f t="shared" si="115"/>
        <v>0.125</v>
      </c>
      <c r="AH87" s="80">
        <f t="shared" si="115"/>
        <v>0.125</v>
      </c>
      <c r="AI87" s="80">
        <f t="shared" si="115"/>
        <v>0.125</v>
      </c>
      <c r="AJ87" s="80">
        <f t="shared" si="115"/>
        <v>0.13500000000000001</v>
      </c>
      <c r="AK87" s="80">
        <f t="shared" si="115"/>
        <v>0.13500000000000001</v>
      </c>
      <c r="AL87" s="80">
        <f t="shared" si="115"/>
        <v>0.13500000000000001</v>
      </c>
      <c r="AM87" s="80">
        <f t="shared" si="115"/>
        <v>0.13500000000000001</v>
      </c>
      <c r="AN87" s="80">
        <f t="shared" si="115"/>
        <v>0.13500000000000001</v>
      </c>
      <c r="AO87" s="80">
        <f t="shared" si="115"/>
        <v>0.13500000000000001</v>
      </c>
      <c r="AP87" s="80">
        <f t="shared" si="115"/>
        <v>0.13500000000000001</v>
      </c>
      <c r="AQ87" s="80">
        <f t="shared" si="115"/>
        <v>0.13500000000000001</v>
      </c>
      <c r="AR87" s="80">
        <f t="shared" ref="AR87:BW87" si="116">Profits_Tax_Rate-AR86</f>
        <v>0.13500000000000001</v>
      </c>
      <c r="AS87" s="80">
        <f t="shared" si="116"/>
        <v>0.13500000000000001</v>
      </c>
      <c r="AT87" s="80">
        <f t="shared" si="116"/>
        <v>0.13500000000000001</v>
      </c>
      <c r="AU87" s="80">
        <f t="shared" si="116"/>
        <v>0.13500000000000001</v>
      </c>
      <c r="AV87" s="80">
        <f t="shared" si="116"/>
        <v>0.13500000000000001</v>
      </c>
      <c r="AW87" s="80">
        <f t="shared" si="116"/>
        <v>0.13500000000000001</v>
      </c>
      <c r="AX87" s="80">
        <f t="shared" si="116"/>
        <v>0.13500000000000001</v>
      </c>
      <c r="AY87" s="80">
        <f t="shared" si="116"/>
        <v>0.13500000000000001</v>
      </c>
      <c r="AZ87" s="80">
        <f t="shared" si="116"/>
        <v>0.13500000000000001</v>
      </c>
      <c r="BA87" s="80">
        <f t="shared" si="116"/>
        <v>0.13500000000000001</v>
      </c>
      <c r="BB87" s="80">
        <f t="shared" si="116"/>
        <v>0.13500000000000001</v>
      </c>
      <c r="BC87" s="80">
        <f t="shared" si="116"/>
        <v>0.13500000000000001</v>
      </c>
      <c r="BD87" s="80">
        <f t="shared" si="116"/>
        <v>0.13500000000000001</v>
      </c>
      <c r="BE87" s="80">
        <f t="shared" si="116"/>
        <v>0.13500000000000001</v>
      </c>
      <c r="BF87" s="80">
        <f t="shared" si="116"/>
        <v>0.13500000000000001</v>
      </c>
      <c r="BG87" s="80">
        <f t="shared" si="116"/>
        <v>0.13500000000000001</v>
      </c>
      <c r="BH87" s="80">
        <f t="shared" si="116"/>
        <v>0.13500000000000001</v>
      </c>
      <c r="BI87" s="80">
        <f t="shared" si="116"/>
        <v>0.13500000000000001</v>
      </c>
      <c r="BJ87" s="80">
        <f t="shared" si="116"/>
        <v>0.13500000000000001</v>
      </c>
      <c r="BK87" s="80">
        <f t="shared" si="116"/>
        <v>0.13500000000000001</v>
      </c>
      <c r="BL87" s="80">
        <f t="shared" si="116"/>
        <v>0.13500000000000001</v>
      </c>
      <c r="BM87" s="80">
        <f t="shared" si="116"/>
        <v>0.13500000000000001</v>
      </c>
      <c r="BN87" s="80">
        <f t="shared" si="116"/>
        <v>0.13500000000000001</v>
      </c>
      <c r="BO87" s="80">
        <f t="shared" si="116"/>
        <v>0.13500000000000001</v>
      </c>
      <c r="BP87" s="80">
        <f t="shared" si="116"/>
        <v>0.13500000000000001</v>
      </c>
      <c r="BQ87" s="80">
        <f t="shared" si="116"/>
        <v>0.13500000000000001</v>
      </c>
      <c r="BR87" s="80">
        <f t="shared" si="116"/>
        <v>0.13500000000000001</v>
      </c>
      <c r="BS87" s="80">
        <f t="shared" si="116"/>
        <v>0.13500000000000001</v>
      </c>
      <c r="BT87" s="80">
        <f t="shared" si="116"/>
        <v>0.13500000000000001</v>
      </c>
      <c r="BU87" s="80">
        <f t="shared" si="116"/>
        <v>0.13500000000000001</v>
      </c>
      <c r="BV87" s="80">
        <f t="shared" si="116"/>
        <v>0.13500000000000001</v>
      </c>
      <c r="BW87" s="80">
        <f t="shared" si="116"/>
        <v>0.13500000000000001</v>
      </c>
      <c r="BX87" s="80">
        <f t="shared" ref="BX87:CO87" si="117">Profits_Tax_Rate-BX86</f>
        <v>0.13500000000000001</v>
      </c>
      <c r="BY87" s="80">
        <f t="shared" si="117"/>
        <v>0.13500000000000001</v>
      </c>
      <c r="BZ87" s="80">
        <f t="shared" si="117"/>
        <v>0.13500000000000001</v>
      </c>
      <c r="CA87" s="80">
        <f t="shared" si="117"/>
        <v>0.13500000000000001</v>
      </c>
      <c r="CB87" s="80">
        <f t="shared" si="117"/>
        <v>0.13500000000000001</v>
      </c>
      <c r="CC87" s="80">
        <f t="shared" si="117"/>
        <v>0.13500000000000001</v>
      </c>
      <c r="CD87" s="80">
        <f t="shared" si="117"/>
        <v>0.13500000000000001</v>
      </c>
      <c r="CE87" s="80">
        <f t="shared" si="117"/>
        <v>0.13500000000000001</v>
      </c>
      <c r="CF87" s="80">
        <f t="shared" si="117"/>
        <v>0.13500000000000001</v>
      </c>
      <c r="CG87" s="80">
        <f t="shared" si="117"/>
        <v>0.13500000000000001</v>
      </c>
      <c r="CH87" s="80">
        <f t="shared" si="117"/>
        <v>0.13500000000000001</v>
      </c>
      <c r="CI87" s="80">
        <f t="shared" si="117"/>
        <v>0.13500000000000001</v>
      </c>
      <c r="CJ87" s="80">
        <f t="shared" si="117"/>
        <v>0.13500000000000001</v>
      </c>
      <c r="CK87" s="80">
        <f t="shared" si="117"/>
        <v>0.13500000000000001</v>
      </c>
      <c r="CL87" s="80">
        <f t="shared" si="117"/>
        <v>0.13500000000000001</v>
      </c>
      <c r="CM87" s="80">
        <f t="shared" si="117"/>
        <v>0.13500000000000001</v>
      </c>
      <c r="CN87" s="80">
        <f t="shared" si="117"/>
        <v>0.13500000000000001</v>
      </c>
      <c r="CO87" s="80">
        <f t="shared" si="117"/>
        <v>0.13500000000000001</v>
      </c>
    </row>
    <row r="88" spans="1:1019 1104:2031 2116:3043 3128:4055 4140:5067 5152:6079 6164:7091 7176:8188 8193:9207 9292:10219 10304:11231 11316:12243 12328:13255 13340:14267 14352:15279 15364:16383" s="141" customFormat="1" ht="14.5" customHeight="1">
      <c r="A88" s="153"/>
      <c r="B88" s="153"/>
      <c r="C88" s="17" t="s">
        <v>1194</v>
      </c>
      <c r="D88" s="153"/>
      <c r="E88" s="80">
        <v>0.03</v>
      </c>
      <c r="F88" s="153"/>
      <c r="G88" s="179" t="s">
        <v>28</v>
      </c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</row>
    <row r="89" spans="1:1019 1104:2031 2116:3043 3128:4055 4140:5067 5152:6079 6164:7091 7176:8188 8193:9207 9292:10219 10304:11231 11316:12243 12328:13255 13340:14267 14352:15279 15364:16383" s="141" customFormat="1" ht="25.5">
      <c r="A89" s="153"/>
      <c r="B89" s="153"/>
      <c r="C89" s="40" t="s">
        <v>1195</v>
      </c>
      <c r="D89" s="153"/>
      <c r="E89" s="465">
        <v>2030</v>
      </c>
      <c r="F89" s="153"/>
      <c r="G89" s="179" t="s">
        <v>45</v>
      </c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</row>
    <row r="90" spans="1:1019 1104:2031 2116:3043 3128:4055 4140:5067 5152:6079 6164:7091 7176:8188 8193:9207 9292:10219 10304:11231 11316:12243 12328:13255 13340:14267 14352:15279 15364:16383" s="141" customFormat="1" ht="14.5" customHeight="1">
      <c r="A90" s="153"/>
      <c r="B90" s="153"/>
      <c r="C90" s="17"/>
      <c r="D90" s="153"/>
      <c r="E90" s="153"/>
      <c r="F90" s="153"/>
      <c r="G90" s="179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</row>
    <row r="91" spans="1:1019 1104:2031 2116:3043 3128:4055 4140:5067 5152:6079 6164:7091 7176:8188 8193:9207 9292:10219 10304:11231 11316:12243 12328:13255 13340:14267 14352:15279 15364:16383" s="141" customFormat="1" ht="14.5" customHeight="1">
      <c r="A91" s="153"/>
      <c r="B91" s="153"/>
      <c r="C91" s="17" t="s">
        <v>1043</v>
      </c>
      <c r="D91" s="153"/>
      <c r="E91" s="80">
        <v>0</v>
      </c>
      <c r="F91" s="153"/>
      <c r="G91" s="179" t="s">
        <v>28</v>
      </c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</row>
    <row r="92" spans="1:1019 1104:2031 2116:3043 3128:4055 4140:5067 5152:6079 6164:7091 7176:8188 8193:9207 9292:10219 10304:11231 11316:12243 12328:13255 13340:14267 14352:15279 15364:16383" s="141" customFormat="1" ht="14.5" customHeight="1">
      <c r="A92" s="153"/>
      <c r="B92" s="153"/>
      <c r="C92" s="17" t="s">
        <v>1044</v>
      </c>
      <c r="D92" s="153"/>
      <c r="E92" s="80">
        <v>1</v>
      </c>
      <c r="F92" s="153"/>
      <c r="G92" s="179" t="s">
        <v>28</v>
      </c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</row>
    <row r="93" spans="1:1019 1104:2031 2116:3043 3128:4055 4140:5067 5152:6079 6164:7091 7176:8188 8193:9207 9292:10219 10304:11231 11316:12243 12328:13255 13340:14267 14352:15279 15364:16383" s="141" customFormat="1" ht="14.5" customHeight="1">
      <c r="A93" s="153"/>
      <c r="B93" s="153"/>
      <c r="C93" s="17"/>
      <c r="D93" s="153"/>
      <c r="E93" s="153"/>
      <c r="F93" s="153"/>
      <c r="G93" s="179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</row>
    <row r="94" spans="1:1019 1104:2031 2116:3043 3128:4055 4140:5067 5152:6079 6164:7091 7176:8188 8193:9207 9292:10219 10304:11231 11316:12243 12328:13255 13340:14267 14352:15279 15364:16383" s="141" customFormat="1" ht="14.5" customHeight="1">
      <c r="A94" s="153"/>
      <c r="B94" s="153"/>
      <c r="C94" s="17" t="s">
        <v>1045</v>
      </c>
      <c r="D94" s="153"/>
      <c r="E94" s="80">
        <v>1</v>
      </c>
      <c r="F94" s="153"/>
      <c r="G94" s="179" t="s">
        <v>28</v>
      </c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</row>
    <row r="95" spans="1:1019 1104:2031 2116:3043 3128:4055 4140:5067 5152:6079 6164:7091 7176:8188 8193:9207 9292:10219 10304:11231 11316:12243 12328:13255 13340:14267 14352:15279 15364:16383" s="141" customFormat="1" ht="14.5" customHeight="1">
      <c r="A95" s="153"/>
      <c r="B95" s="153"/>
      <c r="C95" s="17" t="s">
        <v>1046</v>
      </c>
      <c r="D95" s="153"/>
      <c r="E95" s="80">
        <v>0</v>
      </c>
      <c r="F95" s="153"/>
      <c r="G95" s="179" t="s">
        <v>28</v>
      </c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</row>
    <row r="96" spans="1:1019 1104:2031 2116:3043 3128:4055 4140:5067 5152:6079 6164:7091 7176:8188 8193:9207 9292:10219 10304:11231 11316:12243 12328:13255 13340:14267 14352:15279 15364:16383" s="141" customFormat="1" ht="14.5" customHeight="1">
      <c r="A96" s="153"/>
      <c r="B96" s="153"/>
      <c r="C96" s="17"/>
      <c r="D96" s="153"/>
      <c r="E96" s="153"/>
      <c r="F96" s="153"/>
      <c r="G96" s="179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  <c r="AY96" s="153"/>
      <c r="AZ96" s="153"/>
      <c r="BA96" s="153"/>
      <c r="BB96" s="153"/>
      <c r="BC96" s="153"/>
      <c r="BD96" s="153"/>
      <c r="BE96" s="153"/>
      <c r="BF96" s="153"/>
      <c r="BG96" s="153"/>
      <c r="BH96" s="153"/>
      <c r="BI96" s="153"/>
      <c r="BJ96" s="153"/>
      <c r="BK96" s="153"/>
      <c r="BL96" s="153"/>
      <c r="BM96" s="153"/>
      <c r="BN96" s="153"/>
      <c r="BO96" s="153"/>
      <c r="BP96" s="153"/>
      <c r="BQ96" s="153"/>
      <c r="BR96" s="153"/>
      <c r="BS96" s="153"/>
      <c r="BT96" s="153"/>
      <c r="BU96" s="153"/>
      <c r="BV96" s="153"/>
      <c r="BW96" s="153"/>
      <c r="BX96" s="153"/>
      <c r="BY96" s="153"/>
      <c r="BZ96" s="153"/>
      <c r="CA96" s="153"/>
      <c r="CB96" s="153"/>
      <c r="CC96" s="153"/>
      <c r="CD96" s="153"/>
      <c r="CE96" s="153"/>
      <c r="CF96" s="153"/>
      <c r="CG96" s="153"/>
      <c r="CH96" s="153"/>
      <c r="CI96" s="153"/>
      <c r="CJ96" s="153"/>
      <c r="CK96" s="153"/>
      <c r="CL96" s="153"/>
      <c r="CM96" s="153"/>
      <c r="CN96" s="153"/>
      <c r="CO96" s="153"/>
    </row>
    <row r="97" spans="1:1019 1104:2031 2116:3043 3128:4055 4140:5067 5152:6079 6164:7091 7176:8188 8193:9207 9292:10219 10304:11231 11316:12243 12328:13255 13340:14267 14352:15279 15364:16383" s="141" customFormat="1" ht="14.5" customHeight="1">
      <c r="A97" s="153"/>
      <c r="B97" s="153"/>
      <c r="C97" s="17" t="s">
        <v>1047</v>
      </c>
      <c r="D97" s="153"/>
      <c r="E97" s="80">
        <v>1</v>
      </c>
      <c r="F97" s="153"/>
      <c r="G97" s="179" t="s">
        <v>28</v>
      </c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  <c r="AV97" s="153"/>
      <c r="AW97" s="153"/>
      <c r="AX97" s="153"/>
      <c r="AY97" s="153"/>
      <c r="AZ97" s="153"/>
      <c r="BA97" s="153"/>
      <c r="BB97" s="153"/>
      <c r="BC97" s="153"/>
      <c r="BD97" s="153"/>
      <c r="BE97" s="153"/>
      <c r="BF97" s="153"/>
      <c r="BG97" s="153"/>
      <c r="BH97" s="153"/>
      <c r="BI97" s="153"/>
      <c r="BJ97" s="153"/>
      <c r="BK97" s="153"/>
      <c r="BL97" s="153"/>
      <c r="BM97" s="153"/>
      <c r="BN97" s="153"/>
      <c r="BO97" s="153"/>
      <c r="BP97" s="153"/>
      <c r="BQ97" s="153"/>
      <c r="BR97" s="153"/>
      <c r="BS97" s="153"/>
      <c r="BT97" s="153"/>
      <c r="BU97" s="153"/>
      <c r="BV97" s="153"/>
      <c r="BW97" s="153"/>
      <c r="BX97" s="153"/>
      <c r="BY97" s="153"/>
      <c r="BZ97" s="153"/>
      <c r="CA97" s="153"/>
      <c r="CB97" s="153"/>
      <c r="CC97" s="153"/>
      <c r="CD97" s="153"/>
      <c r="CE97" s="153"/>
      <c r="CF97" s="153"/>
      <c r="CG97" s="153"/>
      <c r="CH97" s="153"/>
      <c r="CI97" s="153"/>
      <c r="CJ97" s="153"/>
      <c r="CK97" s="153"/>
      <c r="CL97" s="153"/>
      <c r="CM97" s="153"/>
      <c r="CN97" s="153"/>
      <c r="CO97" s="153"/>
    </row>
    <row r="98" spans="1:1019 1104:2031 2116:3043 3128:4055 4140:5067 5152:6079 6164:7091 7176:8188 8193:9207 9292:10219 10304:11231 11316:12243 12328:13255 13340:14267 14352:15279 15364:16383" s="141" customFormat="1" ht="14.5" customHeight="1">
      <c r="A98" s="153"/>
      <c r="B98" s="153"/>
      <c r="C98" s="17" t="s">
        <v>1048</v>
      </c>
      <c r="D98" s="153"/>
      <c r="E98" s="80">
        <v>0</v>
      </c>
      <c r="F98" s="153"/>
      <c r="G98" s="179" t="s">
        <v>28</v>
      </c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</row>
    <row r="99" spans="1:1019 1104:2031 2116:3043 3128:4055 4140:5067 5152:6079 6164:7091 7176:8188 8193:9207 9292:10219 10304:11231 11316:12243 12328:13255 13340:14267 14352:15279 15364:16383" s="141" customFormat="1" ht="14.5" customHeight="1">
      <c r="A99" s="153"/>
      <c r="B99" s="153"/>
      <c r="C99" s="17"/>
      <c r="D99" s="153"/>
      <c r="E99" s="153"/>
      <c r="F99" s="153"/>
      <c r="G99" s="179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</row>
    <row r="100" spans="1:1019 1104:2031 2116:3043 3128:4055 4140:5067 5152:6079 6164:7091 7176:8188 8193:9207 9292:10219 10304:11231 11316:12243 12328:13255 13340:14267 14352:15279 15364:16383" s="141" customFormat="1" ht="14.5" customHeight="1">
      <c r="A100" s="153"/>
      <c r="B100" s="153"/>
      <c r="C100" s="17" t="s">
        <v>1049</v>
      </c>
      <c r="D100" s="153"/>
      <c r="E100" s="80">
        <v>0</v>
      </c>
      <c r="F100" s="153"/>
      <c r="G100" s="179" t="s">
        <v>28</v>
      </c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</row>
    <row r="101" spans="1:1019 1104:2031 2116:3043 3128:4055 4140:5067 5152:6079 6164:7091 7176:8188 8193:9207 9292:10219 10304:11231 11316:12243 12328:13255 13340:14267 14352:15279 15364:16383" s="141" customFormat="1" ht="14.5" customHeight="1">
      <c r="A101" s="153"/>
      <c r="B101" s="153"/>
      <c r="C101" s="17" t="s">
        <v>1050</v>
      </c>
      <c r="D101" s="153"/>
      <c r="E101" s="80">
        <v>1</v>
      </c>
      <c r="F101" s="153"/>
      <c r="G101" s="179" t="s">
        <v>28</v>
      </c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E101" s="153"/>
      <c r="BF101" s="153"/>
      <c r="BG101" s="153"/>
      <c r="BH101" s="153"/>
      <c r="BI101" s="153"/>
      <c r="BJ101" s="153"/>
      <c r="BK101" s="153"/>
      <c r="BL101" s="153"/>
      <c r="BM101" s="153"/>
      <c r="BN101" s="153"/>
      <c r="BO101" s="153"/>
      <c r="BP101" s="153"/>
      <c r="BQ101" s="153"/>
      <c r="BR101" s="153"/>
      <c r="BS101" s="153"/>
      <c r="BT101" s="153"/>
      <c r="BU101" s="153"/>
      <c r="BV101" s="153"/>
      <c r="BW101" s="153"/>
      <c r="BX101" s="153"/>
      <c r="BY101" s="153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</row>
    <row r="102" spans="1:1019 1104:2031 2116:3043 3128:4055 4140:5067 5152:6079 6164:7091 7176:8188 8193:9207 9292:10219 10304:11231 11316:12243 12328:13255 13340:14267 14352:15279 15364:16383" s="141" customFormat="1" ht="14.5" customHeight="1">
      <c r="A102" s="153"/>
      <c r="B102" s="153"/>
      <c r="C102" s="153"/>
      <c r="D102" s="153"/>
      <c r="E102" s="153"/>
      <c r="F102" s="153"/>
      <c r="G102" s="179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  <c r="AV102" s="153"/>
      <c r="AW102" s="153"/>
      <c r="AX102" s="153"/>
      <c r="AY102" s="153"/>
      <c r="AZ102" s="153"/>
      <c r="BA102" s="153"/>
      <c r="BB102" s="153"/>
      <c r="BC102" s="153"/>
      <c r="BD102" s="153"/>
      <c r="BE102" s="153"/>
      <c r="BF102" s="153"/>
      <c r="BG102" s="153"/>
      <c r="BH102" s="153"/>
      <c r="BI102" s="153"/>
      <c r="BJ102" s="153"/>
      <c r="BK102" s="153"/>
      <c r="BL102" s="153"/>
      <c r="BM102" s="153"/>
      <c r="BN102" s="153"/>
      <c r="BO102" s="153"/>
      <c r="BP102" s="153"/>
      <c r="BQ102" s="153"/>
      <c r="BR102" s="153"/>
      <c r="BS102" s="153"/>
      <c r="BT102" s="153"/>
      <c r="BU102" s="153"/>
      <c r="BV102" s="153"/>
      <c r="BW102" s="153"/>
      <c r="BX102" s="153"/>
      <c r="BY102" s="153"/>
      <c r="BZ102" s="153"/>
      <c r="CA102" s="153"/>
      <c r="CB102" s="153"/>
      <c r="CC102" s="153"/>
      <c r="CD102" s="153"/>
      <c r="CE102" s="153"/>
      <c r="CF102" s="153"/>
      <c r="CG102" s="153"/>
      <c r="CH102" s="153"/>
      <c r="CI102" s="153"/>
      <c r="CJ102" s="153"/>
      <c r="CK102" s="153"/>
      <c r="CL102" s="153"/>
      <c r="CM102" s="153"/>
      <c r="CN102" s="153"/>
      <c r="CO102" s="153"/>
    </row>
    <row r="103" spans="1:1019 1104:2031 2116:3043 3128:4055 4140:5067 5152:6079 6164:7091 7176:8188 8193:9207 9292:10219 10304:11231 11316:12243 12328:13255 13340:14267 14352:15279 15364:16383" s="10" customFormat="1" ht="14.5" customHeight="1" thickBot="1">
      <c r="C103" s="12" t="s">
        <v>1051</v>
      </c>
      <c r="D103" s="12"/>
      <c r="E103" s="12"/>
      <c r="F103" s="12"/>
      <c r="G103" s="362"/>
      <c r="H103" s="12"/>
      <c r="I103" s="12"/>
      <c r="CS103" s="47"/>
      <c r="CU103" s="11"/>
      <c r="GB103" s="47"/>
      <c r="GG103" s="47"/>
      <c r="GI103" s="11"/>
      <c r="JP103" s="47"/>
      <c r="JU103" s="47"/>
      <c r="JW103" s="11"/>
      <c r="ND103" s="47"/>
      <c r="NI103" s="47"/>
      <c r="NK103" s="11"/>
      <c r="QR103" s="47"/>
      <c r="QW103" s="47"/>
      <c r="QY103" s="11"/>
      <c r="UF103" s="47"/>
      <c r="UK103" s="47"/>
      <c r="UM103" s="11"/>
      <c r="XT103" s="47"/>
      <c r="XY103" s="47"/>
      <c r="YA103" s="11"/>
      <c r="ABH103" s="47"/>
      <c r="ABM103" s="47"/>
      <c r="ABO103" s="11"/>
      <c r="AEV103" s="47"/>
      <c r="AFA103" s="47"/>
      <c r="AFC103" s="11"/>
      <c r="AIJ103" s="47"/>
      <c r="AIO103" s="47"/>
      <c r="AIQ103" s="11"/>
      <c r="ALX103" s="47"/>
      <c r="AMC103" s="47"/>
      <c r="AME103" s="11"/>
      <c r="APL103" s="47"/>
      <c r="APQ103" s="47"/>
      <c r="APS103" s="11"/>
      <c r="ASZ103" s="47"/>
      <c r="ATE103" s="47"/>
      <c r="ATG103" s="11"/>
      <c r="AWN103" s="47"/>
      <c r="AWS103" s="47"/>
      <c r="AWU103" s="11"/>
      <c r="BAB103" s="47"/>
      <c r="BAG103" s="47"/>
      <c r="BAI103" s="11"/>
      <c r="BDP103" s="47"/>
      <c r="BDU103" s="47"/>
      <c r="BDW103" s="11"/>
      <c r="BHD103" s="47"/>
      <c r="BHI103" s="47"/>
      <c r="BHK103" s="11"/>
      <c r="BKR103" s="47"/>
      <c r="BKW103" s="47"/>
      <c r="BKY103" s="11"/>
      <c r="BOF103" s="47"/>
      <c r="BOK103" s="47"/>
      <c r="BOM103" s="11"/>
      <c r="BRT103" s="47"/>
      <c r="BRY103" s="47"/>
      <c r="BSA103" s="11"/>
      <c r="BVH103" s="47"/>
      <c r="BVM103" s="47"/>
      <c r="BVO103" s="11"/>
      <c r="BYV103" s="47"/>
      <c r="BZA103" s="47"/>
      <c r="BZC103" s="11"/>
      <c r="CCJ103" s="47"/>
      <c r="CCO103" s="47"/>
      <c r="CCQ103" s="11"/>
      <c r="CFX103" s="47"/>
      <c r="CGC103" s="47"/>
      <c r="CGE103" s="11"/>
      <c r="CJL103" s="47"/>
      <c r="CJQ103" s="47"/>
      <c r="CJS103" s="11"/>
      <c r="CMZ103" s="47"/>
      <c r="CNE103" s="47"/>
      <c r="CNG103" s="11"/>
      <c r="CQN103" s="47"/>
      <c r="CQS103" s="47"/>
      <c r="CQU103" s="11"/>
      <c r="CUB103" s="47"/>
      <c r="CUG103" s="47"/>
      <c r="CUI103" s="11"/>
      <c r="CXP103" s="47"/>
      <c r="CXU103" s="47"/>
      <c r="CXW103" s="11"/>
      <c r="DBD103" s="47"/>
      <c r="DBI103" s="47"/>
      <c r="DBK103" s="11"/>
      <c r="DER103" s="47"/>
      <c r="DEW103" s="47"/>
      <c r="DEY103" s="11"/>
      <c r="DIF103" s="47"/>
      <c r="DIK103" s="47"/>
      <c r="DIM103" s="11"/>
      <c r="DLT103" s="47"/>
      <c r="DLY103" s="47"/>
      <c r="DMA103" s="11"/>
      <c r="DPH103" s="47"/>
      <c r="DPM103" s="47"/>
      <c r="DPO103" s="11"/>
      <c r="DSV103" s="47"/>
      <c r="DTA103" s="47"/>
      <c r="DTC103" s="11"/>
      <c r="DWJ103" s="47"/>
      <c r="DWO103" s="47"/>
      <c r="DWQ103" s="11"/>
      <c r="DZX103" s="47"/>
      <c r="EAC103" s="47"/>
      <c r="EAE103" s="11"/>
      <c r="EDL103" s="47"/>
      <c r="EDQ103" s="47"/>
      <c r="EDS103" s="11"/>
      <c r="EGZ103" s="47"/>
      <c r="EHE103" s="47"/>
      <c r="EHG103" s="11"/>
      <c r="EKN103" s="47"/>
      <c r="EKS103" s="47"/>
      <c r="EKU103" s="11"/>
      <c r="EOB103" s="47"/>
      <c r="EOG103" s="47"/>
      <c r="EOI103" s="11"/>
      <c r="ERP103" s="47"/>
      <c r="ERU103" s="47"/>
      <c r="ERW103" s="11"/>
      <c r="EVD103" s="47"/>
      <c r="EVI103" s="47"/>
      <c r="EVK103" s="11"/>
      <c r="EYR103" s="47"/>
      <c r="EYW103" s="47"/>
      <c r="EYY103" s="11"/>
      <c r="FCF103" s="47"/>
      <c r="FCK103" s="47"/>
      <c r="FCM103" s="11"/>
      <c r="FFT103" s="47"/>
      <c r="FFY103" s="47"/>
      <c r="FGA103" s="11"/>
      <c r="FJH103" s="47"/>
      <c r="FJM103" s="47"/>
      <c r="FJO103" s="11"/>
      <c r="FMV103" s="47"/>
      <c r="FNA103" s="47"/>
      <c r="FNC103" s="11"/>
      <c r="FQJ103" s="47"/>
      <c r="FQO103" s="47"/>
      <c r="FQQ103" s="11"/>
      <c r="FTX103" s="47"/>
      <c r="FUC103" s="47"/>
      <c r="FUE103" s="11"/>
      <c r="FXL103" s="47"/>
      <c r="FXQ103" s="47"/>
      <c r="FXS103" s="11"/>
      <c r="GAZ103" s="47"/>
      <c r="GBE103" s="47"/>
      <c r="GBG103" s="11"/>
      <c r="GEN103" s="47"/>
      <c r="GES103" s="47"/>
      <c r="GEU103" s="11"/>
      <c r="GIB103" s="47"/>
      <c r="GIG103" s="47"/>
      <c r="GII103" s="11"/>
      <c r="GLP103" s="47"/>
      <c r="GLU103" s="47"/>
      <c r="GLW103" s="11"/>
      <c r="GPD103" s="47"/>
      <c r="GPI103" s="47"/>
      <c r="GPK103" s="11"/>
      <c r="GSR103" s="47"/>
      <c r="GSW103" s="47"/>
      <c r="GSY103" s="11"/>
      <c r="GWF103" s="47"/>
      <c r="GWK103" s="47"/>
      <c r="GWM103" s="11"/>
      <c r="GZT103" s="47"/>
      <c r="GZY103" s="47"/>
      <c r="HAA103" s="11"/>
      <c r="HDH103" s="47"/>
      <c r="HDM103" s="47"/>
      <c r="HDO103" s="11"/>
      <c r="HGV103" s="47"/>
      <c r="HHA103" s="47"/>
      <c r="HHC103" s="11"/>
      <c r="HKJ103" s="47"/>
      <c r="HKO103" s="47"/>
      <c r="HKQ103" s="11"/>
      <c r="HNX103" s="47"/>
      <c r="HOC103" s="47"/>
      <c r="HOE103" s="11"/>
      <c r="HRL103" s="47"/>
      <c r="HRQ103" s="47"/>
      <c r="HRS103" s="11"/>
      <c r="HUZ103" s="47"/>
      <c r="HVE103" s="47"/>
      <c r="HVG103" s="11"/>
      <c r="HYN103" s="47"/>
      <c r="HYS103" s="47"/>
      <c r="HYU103" s="11"/>
      <c r="ICB103" s="47"/>
      <c r="ICG103" s="47"/>
      <c r="ICI103" s="11"/>
      <c r="IFP103" s="47"/>
      <c r="IFU103" s="47"/>
      <c r="IFW103" s="11"/>
      <c r="IJD103" s="47"/>
      <c r="IJI103" s="47"/>
      <c r="IJK103" s="11"/>
      <c r="IMR103" s="47"/>
      <c r="IMW103" s="47"/>
      <c r="IMY103" s="11"/>
      <c r="IQF103" s="47"/>
      <c r="IQK103" s="47"/>
      <c r="IQM103" s="11"/>
      <c r="ITT103" s="47"/>
      <c r="ITY103" s="47"/>
      <c r="IUA103" s="11"/>
      <c r="IXH103" s="47"/>
      <c r="IXM103" s="47"/>
      <c r="IXO103" s="11"/>
      <c r="JAV103" s="47"/>
      <c r="JBA103" s="47"/>
      <c r="JBC103" s="11"/>
      <c r="JEJ103" s="47"/>
      <c r="JEO103" s="47"/>
      <c r="JEQ103" s="11"/>
      <c r="JHX103" s="47"/>
      <c r="JIC103" s="47"/>
      <c r="JIE103" s="11"/>
      <c r="JLL103" s="47"/>
      <c r="JLQ103" s="47"/>
      <c r="JLS103" s="11"/>
      <c r="JOZ103" s="47"/>
      <c r="JPE103" s="47"/>
      <c r="JPG103" s="11"/>
      <c r="JSN103" s="47"/>
      <c r="JSS103" s="47"/>
      <c r="JSU103" s="11"/>
      <c r="JWB103" s="47"/>
      <c r="JWG103" s="47"/>
      <c r="JWI103" s="11"/>
      <c r="JZP103" s="47"/>
      <c r="JZU103" s="47"/>
      <c r="JZW103" s="11"/>
      <c r="KDD103" s="47"/>
      <c r="KDI103" s="47"/>
      <c r="KDK103" s="11"/>
      <c r="KGR103" s="47"/>
      <c r="KGW103" s="47"/>
      <c r="KGY103" s="11"/>
      <c r="KKF103" s="47"/>
      <c r="KKK103" s="47"/>
      <c r="KKM103" s="11"/>
      <c r="KNT103" s="47"/>
      <c r="KNY103" s="47"/>
      <c r="KOA103" s="11"/>
      <c r="KRH103" s="47"/>
      <c r="KRM103" s="47"/>
      <c r="KRO103" s="11"/>
      <c r="KUV103" s="47"/>
      <c r="KVA103" s="47"/>
      <c r="KVC103" s="11"/>
      <c r="KYJ103" s="47"/>
      <c r="KYO103" s="47"/>
      <c r="KYQ103" s="11"/>
      <c r="LBX103" s="47"/>
      <c r="LCC103" s="47"/>
      <c r="LCE103" s="11"/>
      <c r="LFL103" s="47"/>
      <c r="LFQ103" s="47"/>
      <c r="LFS103" s="11"/>
      <c r="LIZ103" s="47"/>
      <c r="LJE103" s="47"/>
      <c r="LJG103" s="11"/>
      <c r="LMN103" s="47"/>
      <c r="LMS103" s="47"/>
      <c r="LMU103" s="11"/>
      <c r="LQB103" s="47"/>
      <c r="LQG103" s="47"/>
      <c r="LQI103" s="11"/>
      <c r="LTP103" s="47"/>
      <c r="LTU103" s="47"/>
      <c r="LTW103" s="11"/>
      <c r="LXD103" s="47"/>
      <c r="LXI103" s="47"/>
      <c r="LXK103" s="11"/>
      <c r="MAR103" s="47"/>
      <c r="MAW103" s="47"/>
      <c r="MAY103" s="11"/>
      <c r="MEF103" s="47"/>
      <c r="MEK103" s="47"/>
      <c r="MEM103" s="11"/>
      <c r="MHT103" s="47"/>
      <c r="MHY103" s="47"/>
      <c r="MIA103" s="11"/>
      <c r="MLH103" s="47"/>
      <c r="MLM103" s="47"/>
      <c r="MLO103" s="11"/>
      <c r="MOV103" s="47"/>
      <c r="MPA103" s="47"/>
      <c r="MPC103" s="11"/>
      <c r="MSJ103" s="47"/>
      <c r="MSO103" s="47"/>
      <c r="MSQ103" s="11"/>
      <c r="MVX103" s="47"/>
      <c r="MWC103" s="47"/>
      <c r="MWE103" s="11"/>
      <c r="MZL103" s="47"/>
      <c r="MZQ103" s="47"/>
      <c r="MZS103" s="11"/>
      <c r="NCZ103" s="47"/>
      <c r="NDE103" s="47"/>
      <c r="NDG103" s="11"/>
      <c r="NGN103" s="47"/>
      <c r="NGS103" s="47"/>
      <c r="NGU103" s="11"/>
      <c r="NKB103" s="47"/>
      <c r="NKG103" s="47"/>
      <c r="NKI103" s="11"/>
      <c r="NNP103" s="47"/>
      <c r="NNU103" s="47"/>
      <c r="NNW103" s="11"/>
      <c r="NRD103" s="47"/>
      <c r="NRI103" s="47"/>
      <c r="NRK103" s="11"/>
      <c r="NUR103" s="47"/>
      <c r="NUW103" s="47"/>
      <c r="NUY103" s="11"/>
      <c r="NYF103" s="47"/>
      <c r="NYK103" s="47"/>
      <c r="NYM103" s="11"/>
      <c r="OBT103" s="47"/>
      <c r="OBY103" s="47"/>
      <c r="OCA103" s="11"/>
      <c r="OFH103" s="47"/>
      <c r="OFM103" s="47"/>
      <c r="OFO103" s="11"/>
      <c r="OIV103" s="47"/>
      <c r="OJA103" s="47"/>
      <c r="OJC103" s="11"/>
      <c r="OMJ103" s="47"/>
      <c r="OMO103" s="47"/>
      <c r="OMQ103" s="11"/>
      <c r="OPX103" s="47"/>
      <c r="OQC103" s="47"/>
      <c r="OQE103" s="11"/>
      <c r="OTL103" s="47"/>
      <c r="OTQ103" s="47"/>
      <c r="OTS103" s="11"/>
      <c r="OWZ103" s="47"/>
      <c r="OXE103" s="47"/>
      <c r="OXG103" s="11"/>
      <c r="PAN103" s="47"/>
      <c r="PAS103" s="47"/>
      <c r="PAU103" s="11"/>
      <c r="PEB103" s="47"/>
      <c r="PEG103" s="47"/>
      <c r="PEI103" s="11"/>
      <c r="PHP103" s="47"/>
      <c r="PHU103" s="47"/>
      <c r="PHW103" s="11"/>
      <c r="PLD103" s="47"/>
      <c r="PLI103" s="47"/>
      <c r="PLK103" s="11"/>
      <c r="POR103" s="47"/>
      <c r="POW103" s="47"/>
      <c r="POY103" s="11"/>
      <c r="PSF103" s="47"/>
      <c r="PSK103" s="47"/>
      <c r="PSM103" s="11"/>
      <c r="PVT103" s="47"/>
      <c r="PVY103" s="47"/>
      <c r="PWA103" s="11"/>
      <c r="PZH103" s="47"/>
      <c r="PZM103" s="47"/>
      <c r="PZO103" s="11"/>
      <c r="QCV103" s="47"/>
      <c r="QDA103" s="47"/>
      <c r="QDC103" s="11"/>
      <c r="QGJ103" s="47"/>
      <c r="QGO103" s="47"/>
      <c r="QGQ103" s="11"/>
      <c r="QJX103" s="47"/>
      <c r="QKC103" s="47"/>
      <c r="QKE103" s="11"/>
      <c r="QNL103" s="47"/>
      <c r="QNQ103" s="47"/>
      <c r="QNS103" s="11"/>
      <c r="QQZ103" s="47"/>
      <c r="QRE103" s="47"/>
      <c r="QRG103" s="11"/>
      <c r="QUN103" s="47"/>
      <c r="QUS103" s="47"/>
      <c r="QUU103" s="11"/>
      <c r="QYB103" s="47"/>
      <c r="QYG103" s="47"/>
      <c r="QYI103" s="11"/>
      <c r="RBP103" s="47"/>
      <c r="RBU103" s="47"/>
      <c r="RBW103" s="11"/>
      <c r="RFD103" s="47"/>
      <c r="RFI103" s="47"/>
      <c r="RFK103" s="11"/>
      <c r="RIR103" s="47"/>
      <c r="RIW103" s="47"/>
      <c r="RIY103" s="11"/>
      <c r="RMF103" s="47"/>
      <c r="RMK103" s="47"/>
      <c r="RMM103" s="11"/>
      <c r="RPT103" s="47"/>
      <c r="RPY103" s="47"/>
      <c r="RQA103" s="11"/>
      <c r="RTH103" s="47"/>
      <c r="RTM103" s="47"/>
      <c r="RTO103" s="11"/>
      <c r="RWV103" s="47"/>
      <c r="RXA103" s="47"/>
      <c r="RXC103" s="11"/>
      <c r="SAJ103" s="47"/>
      <c r="SAO103" s="47"/>
      <c r="SAQ103" s="11"/>
      <c r="SDX103" s="47"/>
      <c r="SEC103" s="47"/>
      <c r="SEE103" s="11"/>
      <c r="SHL103" s="47"/>
      <c r="SHQ103" s="47"/>
      <c r="SHS103" s="11"/>
      <c r="SKZ103" s="47"/>
      <c r="SLE103" s="47"/>
      <c r="SLG103" s="11"/>
      <c r="SON103" s="47"/>
      <c r="SOS103" s="47"/>
      <c r="SOU103" s="11"/>
      <c r="SSB103" s="47"/>
      <c r="SSG103" s="47"/>
      <c r="SSI103" s="11"/>
      <c r="SVP103" s="47"/>
      <c r="SVU103" s="47"/>
      <c r="SVW103" s="11"/>
      <c r="SZD103" s="47"/>
      <c r="SZI103" s="47"/>
      <c r="SZK103" s="11"/>
      <c r="TCR103" s="47"/>
      <c r="TCW103" s="47"/>
      <c r="TCY103" s="11"/>
      <c r="TGF103" s="47"/>
      <c r="TGK103" s="47"/>
      <c r="TGM103" s="11"/>
      <c r="TJT103" s="47"/>
      <c r="TJY103" s="47"/>
      <c r="TKA103" s="11"/>
      <c r="TNH103" s="47"/>
      <c r="TNM103" s="47"/>
      <c r="TNO103" s="11"/>
      <c r="TQV103" s="47"/>
      <c r="TRA103" s="47"/>
      <c r="TRC103" s="11"/>
      <c r="TUJ103" s="47"/>
      <c r="TUO103" s="47"/>
      <c r="TUQ103" s="11"/>
      <c r="TXX103" s="47"/>
      <c r="TYC103" s="47"/>
      <c r="TYE103" s="11"/>
      <c r="UBL103" s="47"/>
      <c r="UBQ103" s="47"/>
      <c r="UBS103" s="11"/>
      <c r="UEZ103" s="47"/>
      <c r="UFE103" s="47"/>
      <c r="UFG103" s="11"/>
      <c r="UIN103" s="47"/>
      <c r="UIS103" s="47"/>
      <c r="UIU103" s="11"/>
      <c r="UMB103" s="47"/>
      <c r="UMG103" s="47"/>
      <c r="UMI103" s="11"/>
      <c r="UPP103" s="47"/>
      <c r="UPU103" s="47"/>
      <c r="UPW103" s="11"/>
      <c r="UTD103" s="47"/>
      <c r="UTI103" s="47"/>
      <c r="UTK103" s="11"/>
      <c r="UWR103" s="47"/>
      <c r="UWW103" s="47"/>
      <c r="UWY103" s="11"/>
      <c r="VAF103" s="47"/>
      <c r="VAK103" s="47"/>
      <c r="VAM103" s="11"/>
      <c r="VDT103" s="47"/>
      <c r="VDY103" s="47"/>
      <c r="VEA103" s="11"/>
      <c r="VHH103" s="47"/>
      <c r="VHM103" s="47"/>
      <c r="VHO103" s="11"/>
      <c r="VKV103" s="47"/>
      <c r="VLA103" s="47"/>
      <c r="VLC103" s="11"/>
      <c r="VOJ103" s="47"/>
      <c r="VOO103" s="47"/>
      <c r="VOQ103" s="11"/>
      <c r="VRX103" s="47"/>
      <c r="VSC103" s="47"/>
      <c r="VSE103" s="11"/>
      <c r="VVL103" s="47"/>
      <c r="VVQ103" s="47"/>
      <c r="VVS103" s="11"/>
      <c r="VYZ103" s="47"/>
      <c r="VZE103" s="47"/>
      <c r="VZG103" s="11"/>
      <c r="WCN103" s="47"/>
      <c r="WCS103" s="47"/>
      <c r="WCU103" s="11"/>
      <c r="WGB103" s="47"/>
      <c r="WGG103" s="47"/>
      <c r="WGI103" s="11"/>
      <c r="WJP103" s="47"/>
      <c r="WJU103" s="47"/>
      <c r="WJW103" s="11"/>
      <c r="WND103" s="47"/>
      <c r="WNI103" s="47"/>
      <c r="WNK103" s="11"/>
      <c r="WQR103" s="47"/>
      <c r="WQW103" s="47"/>
      <c r="WQY103" s="11"/>
      <c r="WUF103" s="47"/>
      <c r="WUK103" s="47"/>
      <c r="WUM103" s="11"/>
      <c r="WXT103" s="47"/>
      <c r="WXY103" s="47"/>
      <c r="WYA103" s="11"/>
      <c r="XBH103" s="47"/>
      <c r="XBM103" s="47"/>
      <c r="XBO103" s="11"/>
      <c r="XEV103" s="47"/>
      <c r="XFA103" s="47"/>
      <c r="XFC103" s="11"/>
    </row>
    <row r="104" spans="1:1019 1104:2031 2116:3043 3128:4055 4140:5067 5152:6079 6164:7091 7176:8188 8193:9207 9292:10219 10304:11231 11316:12243 12328:13255 13340:14267 14352:15279 15364:16383" s="141" customFormat="1" ht="14.5" customHeight="1">
      <c r="A104" s="153"/>
      <c r="B104" s="153"/>
      <c r="C104" s="153"/>
      <c r="D104" s="153"/>
      <c r="E104" s="153"/>
      <c r="F104" s="153"/>
      <c r="G104" s="179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  <c r="AY104" s="153"/>
      <c r="AZ104" s="153"/>
      <c r="BA104" s="153"/>
      <c r="BB104" s="153"/>
      <c r="BC104" s="153"/>
      <c r="BD104" s="153"/>
      <c r="BE104" s="153"/>
      <c r="BF104" s="153"/>
      <c r="BG104" s="153"/>
      <c r="BH104" s="153"/>
      <c r="BI104" s="153"/>
      <c r="BJ104" s="153"/>
      <c r="BK104" s="153"/>
      <c r="BL104" s="153"/>
      <c r="BM104" s="153"/>
      <c r="BN104" s="153"/>
      <c r="BO104" s="153"/>
      <c r="BP104" s="153"/>
      <c r="BQ104" s="153"/>
      <c r="BR104" s="153"/>
      <c r="BS104" s="153"/>
      <c r="BT104" s="153"/>
      <c r="BU104" s="153"/>
      <c r="BV104" s="153"/>
      <c r="BW104" s="153"/>
      <c r="BX104" s="153"/>
      <c r="BY104" s="153"/>
      <c r="BZ104" s="153"/>
      <c r="CA104" s="153"/>
      <c r="CB104" s="153"/>
      <c r="CC104" s="153"/>
      <c r="CD104" s="153"/>
      <c r="CE104" s="153"/>
      <c r="CF104" s="153"/>
      <c r="CG104" s="153"/>
      <c r="CH104" s="153"/>
      <c r="CI104" s="153"/>
      <c r="CJ104" s="153"/>
      <c r="CK104" s="153"/>
      <c r="CL104" s="153"/>
      <c r="CM104" s="153"/>
      <c r="CN104" s="153"/>
      <c r="CO104" s="153"/>
    </row>
    <row r="105" spans="1:1019 1104:2031 2116:3043 3128:4055 4140:5067 5152:6079 6164:7091 7176:8188 8193:9207 9292:10219 10304:11231 11316:12243 12328:13255 13340:14267 14352:15279 15364:16383" s="141" customFormat="1" ht="14.5" customHeight="1">
      <c r="A105" s="153"/>
      <c r="B105" s="153"/>
      <c r="C105" s="17" t="s">
        <v>1052</v>
      </c>
      <c r="D105" s="153"/>
      <c r="E105" s="153"/>
      <c r="F105" s="153"/>
      <c r="G105" s="179" t="str">
        <f>Monetary_Unit</f>
        <v>тыс. руб.</v>
      </c>
      <c r="H105" s="153"/>
      <c r="I105" s="23">
        <f ca="1">SUM(L105:CO105)</f>
        <v>3932339.1580871278</v>
      </c>
      <c r="J105" s="153"/>
      <c r="K105" s="153"/>
      <c r="L105" s="10">
        <f ca="1" xml:space="preserve"> - (Расчеты!L1047 + Расчеты!L1048)</f>
        <v>0</v>
      </c>
      <c r="M105" s="10">
        <f ca="1" xml:space="preserve"> - (Расчеты!M1047 + Расчеты!M1048)</f>
        <v>0</v>
      </c>
      <c r="N105" s="10">
        <f ca="1" xml:space="preserve"> - (Расчеты!N1047 + Расчеты!N1048)</f>
        <v>0</v>
      </c>
      <c r="O105" s="10">
        <f ca="1" xml:space="preserve"> - (Расчеты!O1047 + Расчеты!O1048)</f>
        <v>0</v>
      </c>
      <c r="P105" s="10">
        <f ca="1" xml:space="preserve"> - (Расчеты!P1047 + Расчеты!P1048)</f>
        <v>0</v>
      </c>
      <c r="Q105" s="10">
        <f ca="1" xml:space="preserve"> - (Расчеты!Q1047 + Расчеты!Q1048)</f>
        <v>0</v>
      </c>
      <c r="R105" s="10">
        <f ca="1" xml:space="preserve"> - (Расчеты!R1047 + Расчеты!R1048)</f>
        <v>0</v>
      </c>
      <c r="S105" s="10">
        <f ca="1" xml:space="preserve"> - (Расчеты!S1047 + Расчеты!S1048)</f>
        <v>0</v>
      </c>
      <c r="T105" s="10">
        <f ca="1" xml:space="preserve"> - (Расчеты!T1047 + Расчеты!T1048)</f>
        <v>0</v>
      </c>
      <c r="U105" s="10">
        <f ca="1" xml:space="preserve"> - (Расчеты!U1047 + Расчеты!U1048)</f>
        <v>0</v>
      </c>
      <c r="V105" s="10">
        <f ca="1" xml:space="preserve"> - (Расчеты!V1047 + Расчеты!V1048)</f>
        <v>0</v>
      </c>
      <c r="W105" s="10">
        <f ca="1" xml:space="preserve"> - (Расчеты!W1047 + Расчеты!W1048)</f>
        <v>0</v>
      </c>
      <c r="X105" s="10">
        <f ca="1" xml:space="preserve"> - (Расчеты!X1047 + Расчеты!X1048)</f>
        <v>0</v>
      </c>
      <c r="Y105" s="10">
        <f ca="1" xml:space="preserve"> - (Расчеты!Y1047 + Расчеты!Y1048)</f>
        <v>0</v>
      </c>
      <c r="Z105" s="10">
        <f ca="1" xml:space="preserve"> - (Расчеты!Z1047 + Расчеты!Z1048)</f>
        <v>0</v>
      </c>
      <c r="AA105" s="10">
        <f ca="1" xml:space="preserve"> - (Расчеты!AA1047 + Расчеты!AA1048)</f>
        <v>0</v>
      </c>
      <c r="AB105" s="10">
        <f ca="1" xml:space="preserve"> - (Расчеты!AB1047 + Расчеты!AB1048)</f>
        <v>0</v>
      </c>
      <c r="AC105" s="10">
        <f ca="1" xml:space="preserve"> - (Расчеты!AC1047 + Расчеты!AC1048)</f>
        <v>0</v>
      </c>
      <c r="AD105" s="10">
        <f ca="1" xml:space="preserve"> - (Расчеты!AD1047 + Расчеты!AD1048)</f>
        <v>0</v>
      </c>
      <c r="AE105" s="10">
        <f ca="1" xml:space="preserve"> - (Расчеты!AE1047 + Расчеты!AE1048)</f>
        <v>0</v>
      </c>
      <c r="AF105" s="10">
        <f ca="1" xml:space="preserve"> - (Расчеты!AF1047 + Расчеты!AF1048)</f>
        <v>0</v>
      </c>
      <c r="AG105" s="10">
        <f ca="1" xml:space="preserve"> - (Расчеты!AG1047 + Расчеты!AG1048)</f>
        <v>0</v>
      </c>
      <c r="AH105" s="10">
        <f ca="1" xml:space="preserve"> - (Расчеты!AH1047 + Расчеты!AH1048)</f>
        <v>0</v>
      </c>
      <c r="AI105" s="10">
        <f ca="1" xml:space="preserve"> - (Расчеты!AI1047 + Расчеты!AI1048)</f>
        <v>0</v>
      </c>
      <c r="AJ105" s="10">
        <f ca="1" xml:space="preserve"> - (Расчеты!AJ1047 + Расчеты!AJ1048)</f>
        <v>0</v>
      </c>
      <c r="AK105" s="10">
        <f ca="1" xml:space="preserve"> - (Расчеты!AK1047 + Расчеты!AK1048)</f>
        <v>0</v>
      </c>
      <c r="AL105" s="10">
        <f ca="1" xml:space="preserve"> - (Расчеты!AL1047 + Расчеты!AL1048)</f>
        <v>0</v>
      </c>
      <c r="AM105" s="10">
        <f ca="1" xml:space="preserve"> - (Расчеты!AM1047 + Расчеты!AM1048)</f>
        <v>0</v>
      </c>
      <c r="AN105" s="10">
        <f ca="1" xml:space="preserve"> - (Расчеты!AN1047 + Расчеты!AN1048)</f>
        <v>0</v>
      </c>
      <c r="AO105" s="10">
        <f ca="1" xml:space="preserve"> - (Расчеты!AO1047 + Расчеты!AO1048)</f>
        <v>0</v>
      </c>
      <c r="AP105" s="10">
        <f ca="1" xml:space="preserve"> - (Расчеты!AP1047 + Расчеты!AP1048)</f>
        <v>0</v>
      </c>
      <c r="AQ105" s="10">
        <f ca="1" xml:space="preserve"> - (Расчеты!AQ1047 + Расчеты!AQ1048)</f>
        <v>0</v>
      </c>
      <c r="AR105" s="10">
        <f ca="1" xml:space="preserve"> - (Расчеты!AR1047 + Расчеты!AR1048)</f>
        <v>0</v>
      </c>
      <c r="AS105" s="10">
        <f ca="1" xml:space="preserve"> - (Расчеты!AS1047 + Расчеты!AS1048)</f>
        <v>0</v>
      </c>
      <c r="AT105" s="10">
        <f ca="1" xml:space="preserve"> - (Расчеты!AT1047 + Расчеты!AT1048)</f>
        <v>0</v>
      </c>
      <c r="AU105" s="10">
        <f ca="1" xml:space="preserve"> - (Расчеты!AU1047 + Расчеты!AU1048)</f>
        <v>0</v>
      </c>
      <c r="AV105" s="10">
        <f ca="1" xml:space="preserve"> - (Расчеты!AV1047 + Расчеты!AV1048)</f>
        <v>0</v>
      </c>
      <c r="AW105" s="10">
        <f ca="1" xml:space="preserve"> - (Расчеты!AW1047 + Расчеты!AW1048)</f>
        <v>0</v>
      </c>
      <c r="AX105" s="10">
        <f ca="1" xml:space="preserve"> - (Расчеты!AX1047 + Расчеты!AX1048)</f>
        <v>79771.930508875987</v>
      </c>
      <c r="AY105" s="10">
        <f ca="1" xml:space="preserve"> - (Расчеты!AY1047 + Расчеты!AY1048)</f>
        <v>100108.42600259389</v>
      </c>
      <c r="AZ105" s="10">
        <f ca="1" xml:space="preserve"> - (Расчеты!AZ1047 + Расчеты!AZ1048)</f>
        <v>57237.939196443214</v>
      </c>
      <c r="BA105" s="10">
        <f ca="1" xml:space="preserve"> - (Расчеты!BA1047 + Расчеты!BA1048)</f>
        <v>54296.087583075983</v>
      </c>
      <c r="BB105" s="10">
        <f ca="1" xml:space="preserve"> - (Расчеты!BB1047 + Расчеты!BB1048)</f>
        <v>82962.807729231004</v>
      </c>
      <c r="BC105" s="10">
        <f ca="1" xml:space="preserve"> - (Расчеты!BC1047 + Расчеты!BC1048)</f>
        <v>104112.76304269757</v>
      </c>
      <c r="BD105" s="10">
        <f ca="1" xml:space="preserve"> - (Расчеты!BD1047 + Расчеты!BD1048)</f>
        <v>59527.45676430095</v>
      </c>
      <c r="BE105" s="10">
        <f ca="1" xml:space="preserve"> - (Расчеты!BE1047 + Расчеты!BE1048)</f>
        <v>57095.511384870617</v>
      </c>
      <c r="BF105" s="10">
        <f ca="1" xml:space="preserve"> - (Расчеты!BF1047 + Расчеты!BF1048)</f>
        <v>86281.480445490641</v>
      </c>
      <c r="BG105" s="10">
        <f ca="1" xml:space="preserve"> - (Расчеты!BG1047 + Расчеты!BG1048)</f>
        <v>108277.43733213624</v>
      </c>
      <c r="BH105" s="10">
        <f ca="1" xml:space="preserve"> - (Расчеты!BH1047 + Расчеты!BH1048)</f>
        <v>61908.720416273733</v>
      </c>
      <c r="BI105" s="10">
        <f ca="1" xml:space="preserve"> - (Расчеты!BI1047 + Расчеты!BI1048)</f>
        <v>58726.64832985495</v>
      </c>
      <c r="BJ105" s="10">
        <f ca="1" xml:space="preserve"> - (Расчеты!BJ1047 + Расчеты!BJ1048)</f>
        <v>89732.572839936212</v>
      </c>
      <c r="BK105" s="10">
        <f ca="1" xml:space="preserve"> - (Расчеты!BK1047 + Расчеты!BK1048)</f>
        <v>112608.36450698166</v>
      </c>
      <c r="BL105" s="10">
        <f ca="1" xml:space="preserve"> - (Расчеты!BL1047 + Расчеты!BL1048)</f>
        <v>64384.897236267891</v>
      </c>
      <c r="BM105" s="10">
        <f ca="1" xml:space="preserve"> - (Расчеты!BM1047 + Расчеты!BM1048)</f>
        <v>61075.714263049151</v>
      </c>
      <c r="BN105" s="10">
        <f ca="1" xml:space="preserve"> - (Расчеты!BN1047 + Расчеты!BN1048)</f>
        <v>93321.875753533677</v>
      </c>
      <c r="BO105" s="10">
        <f ca="1" xml:space="preserve"> - (Расчеты!BO1047 + Расчеты!BO1048)</f>
        <v>117112.69908726096</v>
      </c>
      <c r="BP105" s="10">
        <f ca="1" xml:space="preserve"> - (Расчеты!BP1047 + Расчеты!BP1048)</f>
        <v>66960.29312571857</v>
      </c>
      <c r="BQ105" s="10">
        <f ca="1" xml:space="preserve"> - (Расчеты!BQ1047 + Расчеты!BQ1048)</f>
        <v>63518.742833571101</v>
      </c>
      <c r="BR105" s="10">
        <f ca="1" xml:space="preserve"> - (Расчеты!BR1047 + Расчеты!BR1048)</f>
        <v>97054.750783674972</v>
      </c>
      <c r="BS105" s="10">
        <f ca="1" xml:space="preserve"> - (Расчеты!BS1047 + Расчеты!BS1048)</f>
        <v>121797.20705075137</v>
      </c>
      <c r="BT105" s="10">
        <f ca="1" xml:space="preserve"> - (Расчеты!BT1047 + Расчеты!BT1048)</f>
        <v>69638.704850747294</v>
      </c>
      <c r="BU105" s="10">
        <f ca="1" xml:space="preserve"> - (Расчеты!BU1047 + Расчеты!BU1048)</f>
        <v>66793.672731168306</v>
      </c>
      <c r="BV105" s="10">
        <f ca="1" xml:space="preserve"> - (Расчеты!BV1047 + Расчеты!BV1048)</f>
        <v>100937.12846862979</v>
      </c>
      <c r="BW105" s="10">
        <f ca="1" xml:space="preserve"> - (Расчеты!BW1047 + Расчеты!BW1048)</f>
        <v>126669.28691786301</v>
      </c>
      <c r="BX105" s="10">
        <f ca="1" xml:space="preserve"> - (Расчеты!BX1047 + Расчеты!BX1048)</f>
        <v>72424.446517624528</v>
      </c>
      <c r="BY105" s="10">
        <f ca="1" xml:space="preserve"> - (Расчеты!BY1047 + Расчеты!BY1048)</f>
        <v>68701.872248790489</v>
      </c>
      <c r="BZ105" s="10">
        <f ca="1" xml:space="preserve"> - (Расчеты!BZ1047 + Расчеты!BZ1048)</f>
        <v>104974.4184476228</v>
      </c>
      <c r="CA105" s="10">
        <f ca="1" xml:space="preserve"> - (Расчеты!CA1047 + Расчеты!CA1048)</f>
        <v>131735.85914609258</v>
      </c>
      <c r="CB105" s="10">
        <f ca="1" xml:space="preserve"> - (Расчеты!CB1047 + Расчеты!CB1048)</f>
        <v>75321.223166568263</v>
      </c>
      <c r="CC105" s="10">
        <f ca="1" xml:space="preserve"> - (Расчеты!CC1047 + Расчеты!CC1048)</f>
        <v>71449.947138742078</v>
      </c>
      <c r="CD105" s="10">
        <f ca="1" xml:space="preserve"> - (Расчеты!CD1047 + Расчеты!CD1048)</f>
        <v>109173.39518552777</v>
      </c>
      <c r="CE105" s="10">
        <f ca="1" xml:space="preserve"> - (Расчеты!CE1047 + Расчеты!CE1048)</f>
        <v>137005.29351193635</v>
      </c>
      <c r="CF105" s="10">
        <f ca="1" xml:space="preserve"> - (Расчеты!CF1047 + Расчеты!CF1048)</f>
        <v>78334.072093230992</v>
      </c>
      <c r="CG105" s="10">
        <f ca="1" xml:space="preserve"> - (Расчеты!CG1047 + Расчеты!CG1048)</f>
        <v>74307.945024291766</v>
      </c>
      <c r="CH105" s="10">
        <f ca="1" xml:space="preserve"> - (Расчеты!CH1047 + Расчеты!CH1048)</f>
        <v>113540.33099294885</v>
      </c>
      <c r="CI105" s="10">
        <f ca="1" xml:space="preserve"> - (Расчеты!CI1047 + Расчеты!CI1048)</f>
        <v>142485.50525241374</v>
      </c>
      <c r="CJ105" s="10">
        <f ca="1" xml:space="preserve"> - (Расчеты!CJ1047 + Расчеты!CJ1048)</f>
        <v>81467.434976960256</v>
      </c>
      <c r="CK105" s="10">
        <f ca="1" xml:space="preserve"> - (Расчеты!CK1047 + Расчеты!CK1048)</f>
        <v>78139.149798395767</v>
      </c>
      <c r="CL105" s="10">
        <f ca="1" xml:space="preserve"> - (Расчеты!CL1047 + Расчеты!CL1048)</f>
        <v>118082.16376084623</v>
      </c>
      <c r="CM105" s="10">
        <f ca="1" xml:space="preserve"> - (Расчеты!CM1047 + Расчеты!CM1048)</f>
        <v>148185.14958995799</v>
      </c>
      <c r="CN105" s="10">
        <f ca="1" xml:space="preserve"> - (Расчеты!CN1047 + Расчеты!CN1048)</f>
        <v>84726.358711905224</v>
      </c>
      <c r="CO105" s="10">
        <f ca="1" xml:space="preserve"> - (Расчеты!CO1047 + Расчеты!CO1048)</f>
        <v>80371.473338273994</v>
      </c>
    </row>
    <row r="106" spans="1:1019 1104:2031 2116:3043 3128:4055 4140:5067 5152:6079 6164:7091 7176:8188 8193:9207 9292:10219 10304:11231 11316:12243 12328:13255 13340:14267 14352:15279 15364:16383" s="141" customFormat="1" ht="14.5" customHeight="1">
      <c r="A106" s="153"/>
      <c r="B106" s="153"/>
      <c r="C106" s="17" t="s">
        <v>303</v>
      </c>
      <c r="D106" s="153"/>
      <c r="E106" s="153"/>
      <c r="F106" s="153"/>
      <c r="G106" s="179" t="str">
        <f>Monetary_Unit</f>
        <v>тыс. руб.</v>
      </c>
      <c r="H106" s="153"/>
      <c r="I106" s="23">
        <f ca="1">SUM(L106:CO106)</f>
        <v>-1675258.4544093378</v>
      </c>
      <c r="J106" s="153"/>
      <c r="K106" s="153"/>
      <c r="L106" s="10">
        <f ca="1">Расчеты!L1058+Расчеты!L1059</f>
        <v>0</v>
      </c>
      <c r="M106" s="10">
        <f ca="1">Расчеты!M1058+Расчеты!M1059</f>
        <v>0</v>
      </c>
      <c r="N106" s="10">
        <f ca="1">Расчеты!N1058+Расчеты!N1059</f>
        <v>0</v>
      </c>
      <c r="O106" s="10">
        <f ca="1">Расчеты!O1058+Расчеты!O1059</f>
        <v>0</v>
      </c>
      <c r="P106" s="10">
        <f ca="1">Расчеты!P1058+Расчеты!P1059</f>
        <v>0</v>
      </c>
      <c r="Q106" s="10">
        <f ca="1">Расчеты!Q1058+Расчеты!Q1059</f>
        <v>0</v>
      </c>
      <c r="R106" s="10">
        <f ca="1">Расчеты!R1058+Расчеты!R1059</f>
        <v>0</v>
      </c>
      <c r="S106" s="10">
        <f ca="1">Расчеты!S1058+Расчеты!S1059</f>
        <v>0</v>
      </c>
      <c r="T106" s="10">
        <f ca="1">Расчеты!T1058+Расчеты!T1059</f>
        <v>0</v>
      </c>
      <c r="U106" s="10">
        <f ca="1">Расчеты!U1058+Расчеты!U1059</f>
        <v>0</v>
      </c>
      <c r="V106" s="10">
        <f ca="1">Расчеты!V1058+Расчеты!V1059</f>
        <v>0</v>
      </c>
      <c r="W106" s="10">
        <f ca="1">Расчеты!W1058+Расчеты!W1059</f>
        <v>0</v>
      </c>
      <c r="X106" s="10">
        <f ca="1">Расчеты!X1058+Расчеты!X1059</f>
        <v>0</v>
      </c>
      <c r="Y106" s="10">
        <f ca="1">Расчеты!Y1058+Расчеты!Y1059</f>
        <v>0</v>
      </c>
      <c r="Z106" s="10">
        <f ca="1">Расчеты!Z1058+Расчеты!Z1059</f>
        <v>0</v>
      </c>
      <c r="AA106" s="10">
        <f ca="1">Расчеты!AA1058+Расчеты!AA1059</f>
        <v>0</v>
      </c>
      <c r="AB106" s="10">
        <f ca="1">Расчеты!AB1058+Расчеты!AB1059</f>
        <v>0</v>
      </c>
      <c r="AC106" s="10">
        <f ca="1">Расчеты!AC1058+Расчеты!AC1059</f>
        <v>-822950.5265705483</v>
      </c>
      <c r="AD106" s="10">
        <f ca="1">Расчеты!AD1058+Расчеты!AD1059</f>
        <v>-138729.37438541927</v>
      </c>
      <c r="AE106" s="10">
        <f ca="1">Расчеты!AE1058+Расчеты!AE1059</f>
        <v>-27657.854729723622</v>
      </c>
      <c r="AF106" s="10">
        <f ca="1">Расчеты!AF1058+Расчеты!AF1059</f>
        <v>-35977.194758761754</v>
      </c>
      <c r="AG106" s="10">
        <f ca="1">Расчеты!AG1058+Расчеты!AG1059</f>
        <v>-21332.999630498191</v>
      </c>
      <c r="AH106" s="10">
        <f ca="1">Расчеты!AH1058+Расчеты!AH1059</f>
        <v>-20935.510251790613</v>
      </c>
      <c r="AI106" s="10">
        <f ca="1">Расчеты!AI1058+Расчеты!AI1059</f>
        <v>-33018.653414808359</v>
      </c>
      <c r="AJ106" s="10">
        <f ca="1">Расчеты!AJ1058+Расчеты!AJ1059</f>
        <v>-42754.698534125666</v>
      </c>
      <c r="AK106" s="10">
        <f ca="1">Расчеты!AK1058+Расчеты!AK1059</f>
        <v>-25239.903367357718</v>
      </c>
      <c r="AL106" s="10">
        <f ca="1">Расчеты!AL1058+Расчеты!AL1059</f>
        <v>-24669.686938507919</v>
      </c>
      <c r="AM106" s="10">
        <f ca="1">Расчеты!AM1058+Расчеты!AM1059</f>
        <v>-38764.063427132365</v>
      </c>
      <c r="AN106" s="10">
        <f ca="1">Расчеты!AN1058+Расчеты!AN1059</f>
        <v>-50016.839099904617</v>
      </c>
      <c r="AO106" s="10">
        <f ca="1">Расчеты!AO1058+Расчеты!AO1059</f>
        <v>-29425.226603757212</v>
      </c>
      <c r="AP106" s="10">
        <f ca="1">Расчеты!AP1058+Расчеты!AP1059</f>
        <v>-28987.510731031776</v>
      </c>
      <c r="AQ106" s="10">
        <f ca="1">Расчеты!AQ1058+Расчеты!AQ1059</f>
        <v>-44916.139278325398</v>
      </c>
      <c r="AR106" s="10">
        <f ca="1">Расчеты!AR1058+Расчеты!AR1059</f>
        <v>-56347.895721601075</v>
      </c>
      <c r="AS106" s="10">
        <f ca="1">Расчеты!AS1058+Расчеты!AS1059</f>
        <v>-32253.472392079697</v>
      </c>
      <c r="AT106" s="10">
        <f ca="1">Расчеты!AT1058+Расчеты!AT1059</f>
        <v>-30599.147878715095</v>
      </c>
      <c r="AU106" s="10">
        <f ca="1">Расчеты!AU1058+Расчеты!AU1059</f>
        <v>-46712.927450777694</v>
      </c>
      <c r="AV106" s="10">
        <f ca="1">Расчеты!AV1058+Расчеты!AV1059</f>
        <v>-58601.957139381448</v>
      </c>
      <c r="AW106" s="10">
        <f ca="1">Расчеты!AW1058+Расчеты!AW1059</f>
        <v>-33543.758311225945</v>
      </c>
      <c r="AX106" s="10">
        <f ca="1">Расчеты!AX1058+Расчеты!AX1059</f>
        <v>-31823.113793863693</v>
      </c>
      <c r="AY106" s="10">
        <f ca="1">Расчеты!AY1058+Расчеты!AY1059</f>
        <v>0</v>
      </c>
      <c r="AZ106" s="10">
        <f ca="1">Расчеты!AZ1058+Расчеты!AZ1059</f>
        <v>0</v>
      </c>
      <c r="BA106" s="10">
        <f ca="1">Расчеты!BA1058+Расчеты!BA1059</f>
        <v>0</v>
      </c>
      <c r="BB106" s="10">
        <f ca="1">Расчеты!BB1058+Расчеты!BB1059</f>
        <v>0</v>
      </c>
      <c r="BC106" s="10">
        <f ca="1">Расчеты!BC1058+Расчеты!BC1059</f>
        <v>0</v>
      </c>
      <c r="BD106" s="10">
        <f ca="1">Расчеты!BD1058+Расчеты!BD1059</f>
        <v>0</v>
      </c>
      <c r="BE106" s="10">
        <f ca="1">Расчеты!BE1058+Расчеты!BE1059</f>
        <v>0</v>
      </c>
      <c r="BF106" s="10">
        <f ca="1">Расчеты!BF1058+Расчеты!BF1059</f>
        <v>0</v>
      </c>
      <c r="BG106" s="10">
        <f ca="1">Расчеты!BG1058+Расчеты!BG1059</f>
        <v>0</v>
      </c>
      <c r="BH106" s="10">
        <f ca="1">Расчеты!BH1058+Расчеты!BH1059</f>
        <v>0</v>
      </c>
      <c r="BI106" s="10">
        <f ca="1">Расчеты!BI1058+Расчеты!BI1059</f>
        <v>0</v>
      </c>
      <c r="BJ106" s="10">
        <f ca="1">Расчеты!BJ1058+Расчеты!BJ1059</f>
        <v>0</v>
      </c>
      <c r="BK106" s="10">
        <f ca="1">Расчеты!BK1058+Расчеты!BK1059</f>
        <v>0</v>
      </c>
      <c r="BL106" s="10">
        <f ca="1">Расчеты!BL1058+Расчеты!BL1059</f>
        <v>0</v>
      </c>
      <c r="BM106" s="10">
        <f ca="1">Расчеты!BM1058+Расчеты!BM1059</f>
        <v>0</v>
      </c>
      <c r="BN106" s="10">
        <f ca="1">Расчеты!BN1058+Расчеты!BN1059</f>
        <v>0</v>
      </c>
      <c r="BO106" s="10">
        <f ca="1">Расчеты!BO1058+Расчеты!BO1059</f>
        <v>0</v>
      </c>
      <c r="BP106" s="10">
        <f ca="1">Расчеты!BP1058+Расчеты!BP1059</f>
        <v>0</v>
      </c>
      <c r="BQ106" s="10">
        <f ca="1">Расчеты!BQ1058+Расчеты!BQ1059</f>
        <v>0</v>
      </c>
      <c r="BR106" s="10">
        <f ca="1">Расчеты!BR1058+Расчеты!BR1059</f>
        <v>0</v>
      </c>
      <c r="BS106" s="10">
        <f ca="1">Расчеты!BS1058+Расчеты!BS1059</f>
        <v>0</v>
      </c>
      <c r="BT106" s="10">
        <f ca="1">Расчеты!BT1058+Расчеты!BT1059</f>
        <v>0</v>
      </c>
      <c r="BU106" s="10">
        <f ca="1">Расчеты!BU1058+Расчеты!BU1059</f>
        <v>0</v>
      </c>
      <c r="BV106" s="10">
        <f ca="1">Расчеты!BV1058+Расчеты!BV1059</f>
        <v>0</v>
      </c>
      <c r="BW106" s="10">
        <f ca="1">Расчеты!BW1058+Расчеты!BW1059</f>
        <v>0</v>
      </c>
      <c r="BX106" s="10">
        <f ca="1">Расчеты!BX1058+Расчеты!BX1059</f>
        <v>0</v>
      </c>
      <c r="BY106" s="10">
        <f ca="1">Расчеты!BY1058+Расчеты!BY1059</f>
        <v>0</v>
      </c>
      <c r="BZ106" s="10">
        <f ca="1">Расчеты!BZ1058+Расчеты!BZ1059</f>
        <v>0</v>
      </c>
      <c r="CA106" s="10">
        <f ca="1">Расчеты!CA1058+Расчеты!CA1059</f>
        <v>0</v>
      </c>
      <c r="CB106" s="10">
        <f ca="1">Расчеты!CB1058+Расчеты!CB1059</f>
        <v>0</v>
      </c>
      <c r="CC106" s="10">
        <f ca="1">Расчеты!CC1058+Расчеты!CC1059</f>
        <v>0</v>
      </c>
      <c r="CD106" s="10">
        <f ca="1">Расчеты!CD1058+Расчеты!CD1059</f>
        <v>0</v>
      </c>
      <c r="CE106" s="10">
        <f ca="1">Расчеты!CE1058+Расчеты!CE1059</f>
        <v>0</v>
      </c>
      <c r="CF106" s="10">
        <f ca="1">Расчеты!CF1058+Расчеты!CF1059</f>
        <v>0</v>
      </c>
      <c r="CG106" s="10">
        <f ca="1">Расчеты!CG1058+Расчеты!CG1059</f>
        <v>0</v>
      </c>
      <c r="CH106" s="10">
        <f ca="1">Расчеты!CH1058+Расчеты!CH1059</f>
        <v>0</v>
      </c>
      <c r="CI106" s="10">
        <f ca="1">Расчеты!CI1058+Расчеты!CI1059</f>
        <v>0</v>
      </c>
      <c r="CJ106" s="10">
        <f ca="1">Расчеты!CJ1058+Расчеты!CJ1059</f>
        <v>0</v>
      </c>
      <c r="CK106" s="10">
        <f ca="1">Расчеты!CK1058+Расчеты!CK1059</f>
        <v>0</v>
      </c>
      <c r="CL106" s="10">
        <f ca="1">Расчеты!CL1058+Расчеты!CL1059</f>
        <v>0</v>
      </c>
      <c r="CM106" s="10">
        <f ca="1">Расчеты!CM1058+Расчеты!CM1059</f>
        <v>0</v>
      </c>
      <c r="CN106" s="10">
        <f ca="1">Расчеты!CN1058+Расчеты!CN1059</f>
        <v>0</v>
      </c>
      <c r="CO106" s="10">
        <f ca="1">Расчеты!CO1058+Расчеты!CO1059</f>
        <v>0</v>
      </c>
    </row>
    <row r="107" spans="1:1019 1104:2031 2116:3043 3128:4055 4140:5067 5152:6079 6164:7091 7176:8188 8193:9207 9292:10219 10304:11231 11316:12243 12328:13255 13340:14267 14352:15279 15364:16383" s="141" customFormat="1" ht="14.5" customHeight="1">
      <c r="A107" s="153"/>
      <c r="B107" s="153"/>
      <c r="C107" s="153"/>
      <c r="D107" s="153"/>
      <c r="E107" s="153"/>
      <c r="F107" s="153"/>
      <c r="G107" s="179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  <c r="AY107" s="153"/>
      <c r="AZ107" s="153"/>
      <c r="BA107" s="153"/>
      <c r="BB107" s="153"/>
      <c r="BC107" s="153"/>
      <c r="BD107" s="153"/>
      <c r="BE107" s="153"/>
      <c r="BF107" s="153"/>
      <c r="BG107" s="153"/>
      <c r="BH107" s="153"/>
      <c r="BI107" s="153"/>
      <c r="BJ107" s="153"/>
      <c r="BK107" s="153"/>
      <c r="BL107" s="153"/>
      <c r="BM107" s="153"/>
      <c r="BN107" s="153"/>
      <c r="BO107" s="153"/>
      <c r="BP107" s="153"/>
      <c r="BQ107" s="153"/>
      <c r="BR107" s="153"/>
      <c r="BS107" s="153"/>
      <c r="BT107" s="153"/>
      <c r="BU107" s="153"/>
      <c r="BV107" s="153"/>
      <c r="BW107" s="153"/>
      <c r="BX107" s="153"/>
      <c r="BY107" s="153"/>
      <c r="BZ107" s="153"/>
      <c r="CA107" s="153"/>
      <c r="CB107" s="153"/>
      <c r="CC107" s="153"/>
      <c r="CD107" s="153"/>
      <c r="CE107" s="153"/>
      <c r="CF107" s="153"/>
      <c r="CG107" s="153"/>
      <c r="CH107" s="153"/>
      <c r="CI107" s="153"/>
      <c r="CJ107" s="153"/>
      <c r="CK107" s="153"/>
      <c r="CL107" s="153"/>
      <c r="CM107" s="153"/>
      <c r="CN107" s="153"/>
      <c r="CO107" s="153"/>
    </row>
    <row r="108" spans="1:1019 1104:2031 2116:3043 3128:4055 4140:5067 5152:6079 6164:7091 7176:8188 8193:9207 9292:10219 10304:11231 11316:12243 12328:13255 13340:14267 14352:15279 15364:16383" s="10" customFormat="1" ht="14.5" customHeight="1" thickBot="1">
      <c r="C108" s="12" t="s">
        <v>1053</v>
      </c>
      <c r="D108" s="12"/>
      <c r="E108" s="12"/>
      <c r="F108" s="12"/>
      <c r="G108" s="362"/>
      <c r="H108" s="12"/>
      <c r="I108" s="12"/>
      <c r="CS108" s="47"/>
      <c r="CU108" s="11"/>
      <c r="GB108" s="47"/>
      <c r="GG108" s="47"/>
      <c r="GI108" s="11"/>
      <c r="JP108" s="47"/>
      <c r="JU108" s="47"/>
      <c r="JW108" s="11"/>
      <c r="ND108" s="47"/>
      <c r="NI108" s="47"/>
      <c r="NK108" s="11"/>
      <c r="QR108" s="47"/>
      <c r="QW108" s="47"/>
      <c r="QY108" s="11"/>
      <c r="UF108" s="47"/>
      <c r="UK108" s="47"/>
      <c r="UM108" s="11"/>
      <c r="XT108" s="47"/>
      <c r="XY108" s="47"/>
      <c r="YA108" s="11"/>
      <c r="ABH108" s="47"/>
      <c r="ABM108" s="47"/>
      <c r="ABO108" s="11"/>
      <c r="AEV108" s="47"/>
      <c r="AFA108" s="47"/>
      <c r="AFC108" s="11"/>
      <c r="AIJ108" s="47"/>
      <c r="AIO108" s="47"/>
      <c r="AIQ108" s="11"/>
      <c r="ALX108" s="47"/>
      <c r="AMC108" s="47"/>
      <c r="AME108" s="11"/>
      <c r="APL108" s="47"/>
      <c r="APQ108" s="47"/>
      <c r="APS108" s="11"/>
      <c r="ASZ108" s="47"/>
      <c r="ATE108" s="47"/>
      <c r="ATG108" s="11"/>
      <c r="AWN108" s="47"/>
      <c r="AWS108" s="47"/>
      <c r="AWU108" s="11"/>
      <c r="BAB108" s="47"/>
      <c r="BAG108" s="47"/>
      <c r="BAI108" s="11"/>
      <c r="BDP108" s="47"/>
      <c r="BDU108" s="47"/>
      <c r="BDW108" s="11"/>
      <c r="BHD108" s="47"/>
      <c r="BHI108" s="47"/>
      <c r="BHK108" s="11"/>
      <c r="BKR108" s="47"/>
      <c r="BKW108" s="47"/>
      <c r="BKY108" s="11"/>
      <c r="BOF108" s="47"/>
      <c r="BOK108" s="47"/>
      <c r="BOM108" s="11"/>
      <c r="BRT108" s="47"/>
      <c r="BRY108" s="47"/>
      <c r="BSA108" s="11"/>
      <c r="BVH108" s="47"/>
      <c r="BVM108" s="47"/>
      <c r="BVO108" s="11"/>
      <c r="BYV108" s="47"/>
      <c r="BZA108" s="47"/>
      <c r="BZC108" s="11"/>
      <c r="CCJ108" s="47"/>
      <c r="CCO108" s="47"/>
      <c r="CCQ108" s="11"/>
      <c r="CFX108" s="47"/>
      <c r="CGC108" s="47"/>
      <c r="CGE108" s="11"/>
      <c r="CJL108" s="47"/>
      <c r="CJQ108" s="47"/>
      <c r="CJS108" s="11"/>
      <c r="CMZ108" s="47"/>
      <c r="CNE108" s="47"/>
      <c r="CNG108" s="11"/>
      <c r="CQN108" s="47"/>
      <c r="CQS108" s="47"/>
      <c r="CQU108" s="11"/>
      <c r="CUB108" s="47"/>
      <c r="CUG108" s="47"/>
      <c r="CUI108" s="11"/>
      <c r="CXP108" s="47"/>
      <c r="CXU108" s="47"/>
      <c r="CXW108" s="11"/>
      <c r="DBD108" s="47"/>
      <c r="DBI108" s="47"/>
      <c r="DBK108" s="11"/>
      <c r="DER108" s="47"/>
      <c r="DEW108" s="47"/>
      <c r="DEY108" s="11"/>
      <c r="DIF108" s="47"/>
      <c r="DIK108" s="47"/>
      <c r="DIM108" s="11"/>
      <c r="DLT108" s="47"/>
      <c r="DLY108" s="47"/>
      <c r="DMA108" s="11"/>
      <c r="DPH108" s="47"/>
      <c r="DPM108" s="47"/>
      <c r="DPO108" s="11"/>
      <c r="DSV108" s="47"/>
      <c r="DTA108" s="47"/>
      <c r="DTC108" s="11"/>
      <c r="DWJ108" s="47"/>
      <c r="DWO108" s="47"/>
      <c r="DWQ108" s="11"/>
      <c r="DZX108" s="47"/>
      <c r="EAC108" s="47"/>
      <c r="EAE108" s="11"/>
      <c r="EDL108" s="47"/>
      <c r="EDQ108" s="47"/>
      <c r="EDS108" s="11"/>
      <c r="EGZ108" s="47"/>
      <c r="EHE108" s="47"/>
      <c r="EHG108" s="11"/>
      <c r="EKN108" s="47"/>
      <c r="EKS108" s="47"/>
      <c r="EKU108" s="11"/>
      <c r="EOB108" s="47"/>
      <c r="EOG108" s="47"/>
      <c r="EOI108" s="11"/>
      <c r="ERP108" s="47"/>
      <c r="ERU108" s="47"/>
      <c r="ERW108" s="11"/>
      <c r="EVD108" s="47"/>
      <c r="EVI108" s="47"/>
      <c r="EVK108" s="11"/>
      <c r="EYR108" s="47"/>
      <c r="EYW108" s="47"/>
      <c r="EYY108" s="11"/>
      <c r="FCF108" s="47"/>
      <c r="FCK108" s="47"/>
      <c r="FCM108" s="11"/>
      <c r="FFT108" s="47"/>
      <c r="FFY108" s="47"/>
      <c r="FGA108" s="11"/>
      <c r="FJH108" s="47"/>
      <c r="FJM108" s="47"/>
      <c r="FJO108" s="11"/>
      <c r="FMV108" s="47"/>
      <c r="FNA108" s="47"/>
      <c r="FNC108" s="11"/>
      <c r="FQJ108" s="47"/>
      <c r="FQO108" s="47"/>
      <c r="FQQ108" s="11"/>
      <c r="FTX108" s="47"/>
      <c r="FUC108" s="47"/>
      <c r="FUE108" s="11"/>
      <c r="FXL108" s="47"/>
      <c r="FXQ108" s="47"/>
      <c r="FXS108" s="11"/>
      <c r="GAZ108" s="47"/>
      <c r="GBE108" s="47"/>
      <c r="GBG108" s="11"/>
      <c r="GEN108" s="47"/>
      <c r="GES108" s="47"/>
      <c r="GEU108" s="11"/>
      <c r="GIB108" s="47"/>
      <c r="GIG108" s="47"/>
      <c r="GII108" s="11"/>
      <c r="GLP108" s="47"/>
      <c r="GLU108" s="47"/>
      <c r="GLW108" s="11"/>
      <c r="GPD108" s="47"/>
      <c r="GPI108" s="47"/>
      <c r="GPK108" s="11"/>
      <c r="GSR108" s="47"/>
      <c r="GSW108" s="47"/>
      <c r="GSY108" s="11"/>
      <c r="GWF108" s="47"/>
      <c r="GWK108" s="47"/>
      <c r="GWM108" s="11"/>
      <c r="GZT108" s="47"/>
      <c r="GZY108" s="47"/>
      <c r="HAA108" s="11"/>
      <c r="HDH108" s="47"/>
      <c r="HDM108" s="47"/>
      <c r="HDO108" s="11"/>
      <c r="HGV108" s="47"/>
      <c r="HHA108" s="47"/>
      <c r="HHC108" s="11"/>
      <c r="HKJ108" s="47"/>
      <c r="HKO108" s="47"/>
      <c r="HKQ108" s="11"/>
      <c r="HNX108" s="47"/>
      <c r="HOC108" s="47"/>
      <c r="HOE108" s="11"/>
      <c r="HRL108" s="47"/>
      <c r="HRQ108" s="47"/>
      <c r="HRS108" s="11"/>
      <c r="HUZ108" s="47"/>
      <c r="HVE108" s="47"/>
      <c r="HVG108" s="11"/>
      <c r="HYN108" s="47"/>
      <c r="HYS108" s="47"/>
      <c r="HYU108" s="11"/>
      <c r="ICB108" s="47"/>
      <c r="ICG108" s="47"/>
      <c r="ICI108" s="11"/>
      <c r="IFP108" s="47"/>
      <c r="IFU108" s="47"/>
      <c r="IFW108" s="11"/>
      <c r="IJD108" s="47"/>
      <c r="IJI108" s="47"/>
      <c r="IJK108" s="11"/>
      <c r="IMR108" s="47"/>
      <c r="IMW108" s="47"/>
      <c r="IMY108" s="11"/>
      <c r="IQF108" s="47"/>
      <c r="IQK108" s="47"/>
      <c r="IQM108" s="11"/>
      <c r="ITT108" s="47"/>
      <c r="ITY108" s="47"/>
      <c r="IUA108" s="11"/>
      <c r="IXH108" s="47"/>
      <c r="IXM108" s="47"/>
      <c r="IXO108" s="11"/>
      <c r="JAV108" s="47"/>
      <c r="JBA108" s="47"/>
      <c r="JBC108" s="11"/>
      <c r="JEJ108" s="47"/>
      <c r="JEO108" s="47"/>
      <c r="JEQ108" s="11"/>
      <c r="JHX108" s="47"/>
      <c r="JIC108" s="47"/>
      <c r="JIE108" s="11"/>
      <c r="JLL108" s="47"/>
      <c r="JLQ108" s="47"/>
      <c r="JLS108" s="11"/>
      <c r="JOZ108" s="47"/>
      <c r="JPE108" s="47"/>
      <c r="JPG108" s="11"/>
      <c r="JSN108" s="47"/>
      <c r="JSS108" s="47"/>
      <c r="JSU108" s="11"/>
      <c r="JWB108" s="47"/>
      <c r="JWG108" s="47"/>
      <c r="JWI108" s="11"/>
      <c r="JZP108" s="47"/>
      <c r="JZU108" s="47"/>
      <c r="JZW108" s="11"/>
      <c r="KDD108" s="47"/>
      <c r="KDI108" s="47"/>
      <c r="KDK108" s="11"/>
      <c r="KGR108" s="47"/>
      <c r="KGW108" s="47"/>
      <c r="KGY108" s="11"/>
      <c r="KKF108" s="47"/>
      <c r="KKK108" s="47"/>
      <c r="KKM108" s="11"/>
      <c r="KNT108" s="47"/>
      <c r="KNY108" s="47"/>
      <c r="KOA108" s="11"/>
      <c r="KRH108" s="47"/>
      <c r="KRM108" s="47"/>
      <c r="KRO108" s="11"/>
      <c r="KUV108" s="47"/>
      <c r="KVA108" s="47"/>
      <c r="KVC108" s="11"/>
      <c r="KYJ108" s="47"/>
      <c r="KYO108" s="47"/>
      <c r="KYQ108" s="11"/>
      <c r="LBX108" s="47"/>
      <c r="LCC108" s="47"/>
      <c r="LCE108" s="11"/>
      <c r="LFL108" s="47"/>
      <c r="LFQ108" s="47"/>
      <c r="LFS108" s="11"/>
      <c r="LIZ108" s="47"/>
      <c r="LJE108" s="47"/>
      <c r="LJG108" s="11"/>
      <c r="LMN108" s="47"/>
      <c r="LMS108" s="47"/>
      <c r="LMU108" s="11"/>
      <c r="LQB108" s="47"/>
      <c r="LQG108" s="47"/>
      <c r="LQI108" s="11"/>
      <c r="LTP108" s="47"/>
      <c r="LTU108" s="47"/>
      <c r="LTW108" s="11"/>
      <c r="LXD108" s="47"/>
      <c r="LXI108" s="47"/>
      <c r="LXK108" s="11"/>
      <c r="MAR108" s="47"/>
      <c r="MAW108" s="47"/>
      <c r="MAY108" s="11"/>
      <c r="MEF108" s="47"/>
      <c r="MEK108" s="47"/>
      <c r="MEM108" s="11"/>
      <c r="MHT108" s="47"/>
      <c r="MHY108" s="47"/>
      <c r="MIA108" s="11"/>
      <c r="MLH108" s="47"/>
      <c r="MLM108" s="47"/>
      <c r="MLO108" s="11"/>
      <c r="MOV108" s="47"/>
      <c r="MPA108" s="47"/>
      <c r="MPC108" s="11"/>
      <c r="MSJ108" s="47"/>
      <c r="MSO108" s="47"/>
      <c r="MSQ108" s="11"/>
      <c r="MVX108" s="47"/>
      <c r="MWC108" s="47"/>
      <c r="MWE108" s="11"/>
      <c r="MZL108" s="47"/>
      <c r="MZQ108" s="47"/>
      <c r="MZS108" s="11"/>
      <c r="NCZ108" s="47"/>
      <c r="NDE108" s="47"/>
      <c r="NDG108" s="11"/>
      <c r="NGN108" s="47"/>
      <c r="NGS108" s="47"/>
      <c r="NGU108" s="11"/>
      <c r="NKB108" s="47"/>
      <c r="NKG108" s="47"/>
      <c r="NKI108" s="11"/>
      <c r="NNP108" s="47"/>
      <c r="NNU108" s="47"/>
      <c r="NNW108" s="11"/>
      <c r="NRD108" s="47"/>
      <c r="NRI108" s="47"/>
      <c r="NRK108" s="11"/>
      <c r="NUR108" s="47"/>
      <c r="NUW108" s="47"/>
      <c r="NUY108" s="11"/>
      <c r="NYF108" s="47"/>
      <c r="NYK108" s="47"/>
      <c r="NYM108" s="11"/>
      <c r="OBT108" s="47"/>
      <c r="OBY108" s="47"/>
      <c r="OCA108" s="11"/>
      <c r="OFH108" s="47"/>
      <c r="OFM108" s="47"/>
      <c r="OFO108" s="11"/>
      <c r="OIV108" s="47"/>
      <c r="OJA108" s="47"/>
      <c r="OJC108" s="11"/>
      <c r="OMJ108" s="47"/>
      <c r="OMO108" s="47"/>
      <c r="OMQ108" s="11"/>
      <c r="OPX108" s="47"/>
      <c r="OQC108" s="47"/>
      <c r="OQE108" s="11"/>
      <c r="OTL108" s="47"/>
      <c r="OTQ108" s="47"/>
      <c r="OTS108" s="11"/>
      <c r="OWZ108" s="47"/>
      <c r="OXE108" s="47"/>
      <c r="OXG108" s="11"/>
      <c r="PAN108" s="47"/>
      <c r="PAS108" s="47"/>
      <c r="PAU108" s="11"/>
      <c r="PEB108" s="47"/>
      <c r="PEG108" s="47"/>
      <c r="PEI108" s="11"/>
      <c r="PHP108" s="47"/>
      <c r="PHU108" s="47"/>
      <c r="PHW108" s="11"/>
      <c r="PLD108" s="47"/>
      <c r="PLI108" s="47"/>
      <c r="PLK108" s="11"/>
      <c r="POR108" s="47"/>
      <c r="POW108" s="47"/>
      <c r="POY108" s="11"/>
      <c r="PSF108" s="47"/>
      <c r="PSK108" s="47"/>
      <c r="PSM108" s="11"/>
      <c r="PVT108" s="47"/>
      <c r="PVY108" s="47"/>
      <c r="PWA108" s="11"/>
      <c r="PZH108" s="47"/>
      <c r="PZM108" s="47"/>
      <c r="PZO108" s="11"/>
      <c r="QCV108" s="47"/>
      <c r="QDA108" s="47"/>
      <c r="QDC108" s="11"/>
      <c r="QGJ108" s="47"/>
      <c r="QGO108" s="47"/>
      <c r="QGQ108" s="11"/>
      <c r="QJX108" s="47"/>
      <c r="QKC108" s="47"/>
      <c r="QKE108" s="11"/>
      <c r="QNL108" s="47"/>
      <c r="QNQ108" s="47"/>
      <c r="QNS108" s="11"/>
      <c r="QQZ108" s="47"/>
      <c r="QRE108" s="47"/>
      <c r="QRG108" s="11"/>
      <c r="QUN108" s="47"/>
      <c r="QUS108" s="47"/>
      <c r="QUU108" s="11"/>
      <c r="QYB108" s="47"/>
      <c r="QYG108" s="47"/>
      <c r="QYI108" s="11"/>
      <c r="RBP108" s="47"/>
      <c r="RBU108" s="47"/>
      <c r="RBW108" s="11"/>
      <c r="RFD108" s="47"/>
      <c r="RFI108" s="47"/>
      <c r="RFK108" s="11"/>
      <c r="RIR108" s="47"/>
      <c r="RIW108" s="47"/>
      <c r="RIY108" s="11"/>
      <c r="RMF108" s="47"/>
      <c r="RMK108" s="47"/>
      <c r="RMM108" s="11"/>
      <c r="RPT108" s="47"/>
      <c r="RPY108" s="47"/>
      <c r="RQA108" s="11"/>
      <c r="RTH108" s="47"/>
      <c r="RTM108" s="47"/>
      <c r="RTO108" s="11"/>
      <c r="RWV108" s="47"/>
      <c r="RXA108" s="47"/>
      <c r="RXC108" s="11"/>
      <c r="SAJ108" s="47"/>
      <c r="SAO108" s="47"/>
      <c r="SAQ108" s="11"/>
      <c r="SDX108" s="47"/>
      <c r="SEC108" s="47"/>
      <c r="SEE108" s="11"/>
      <c r="SHL108" s="47"/>
      <c r="SHQ108" s="47"/>
      <c r="SHS108" s="11"/>
      <c r="SKZ108" s="47"/>
      <c r="SLE108" s="47"/>
      <c r="SLG108" s="11"/>
      <c r="SON108" s="47"/>
      <c r="SOS108" s="47"/>
      <c r="SOU108" s="11"/>
      <c r="SSB108" s="47"/>
      <c r="SSG108" s="47"/>
      <c r="SSI108" s="11"/>
      <c r="SVP108" s="47"/>
      <c r="SVU108" s="47"/>
      <c r="SVW108" s="11"/>
      <c r="SZD108" s="47"/>
      <c r="SZI108" s="47"/>
      <c r="SZK108" s="11"/>
      <c r="TCR108" s="47"/>
      <c r="TCW108" s="47"/>
      <c r="TCY108" s="11"/>
      <c r="TGF108" s="47"/>
      <c r="TGK108" s="47"/>
      <c r="TGM108" s="11"/>
      <c r="TJT108" s="47"/>
      <c r="TJY108" s="47"/>
      <c r="TKA108" s="11"/>
      <c r="TNH108" s="47"/>
      <c r="TNM108" s="47"/>
      <c r="TNO108" s="11"/>
      <c r="TQV108" s="47"/>
      <c r="TRA108" s="47"/>
      <c r="TRC108" s="11"/>
      <c r="TUJ108" s="47"/>
      <c r="TUO108" s="47"/>
      <c r="TUQ108" s="11"/>
      <c r="TXX108" s="47"/>
      <c r="TYC108" s="47"/>
      <c r="TYE108" s="11"/>
      <c r="UBL108" s="47"/>
      <c r="UBQ108" s="47"/>
      <c r="UBS108" s="11"/>
      <c r="UEZ108" s="47"/>
      <c r="UFE108" s="47"/>
      <c r="UFG108" s="11"/>
      <c r="UIN108" s="47"/>
      <c r="UIS108" s="47"/>
      <c r="UIU108" s="11"/>
      <c r="UMB108" s="47"/>
      <c r="UMG108" s="47"/>
      <c r="UMI108" s="11"/>
      <c r="UPP108" s="47"/>
      <c r="UPU108" s="47"/>
      <c r="UPW108" s="11"/>
      <c r="UTD108" s="47"/>
      <c r="UTI108" s="47"/>
      <c r="UTK108" s="11"/>
      <c r="UWR108" s="47"/>
      <c r="UWW108" s="47"/>
      <c r="UWY108" s="11"/>
      <c r="VAF108" s="47"/>
      <c r="VAK108" s="47"/>
      <c r="VAM108" s="11"/>
      <c r="VDT108" s="47"/>
      <c r="VDY108" s="47"/>
      <c r="VEA108" s="11"/>
      <c r="VHH108" s="47"/>
      <c r="VHM108" s="47"/>
      <c r="VHO108" s="11"/>
      <c r="VKV108" s="47"/>
      <c r="VLA108" s="47"/>
      <c r="VLC108" s="11"/>
      <c r="VOJ108" s="47"/>
      <c r="VOO108" s="47"/>
      <c r="VOQ108" s="11"/>
      <c r="VRX108" s="47"/>
      <c r="VSC108" s="47"/>
      <c r="VSE108" s="11"/>
      <c r="VVL108" s="47"/>
      <c r="VVQ108" s="47"/>
      <c r="VVS108" s="11"/>
      <c r="VYZ108" s="47"/>
      <c r="VZE108" s="47"/>
      <c r="VZG108" s="11"/>
      <c r="WCN108" s="47"/>
      <c r="WCS108" s="47"/>
      <c r="WCU108" s="11"/>
      <c r="WGB108" s="47"/>
      <c r="WGG108" s="47"/>
      <c r="WGI108" s="11"/>
      <c r="WJP108" s="47"/>
      <c r="WJU108" s="47"/>
      <c r="WJW108" s="11"/>
      <c r="WND108" s="47"/>
      <c r="WNI108" s="47"/>
      <c r="WNK108" s="11"/>
      <c r="WQR108" s="47"/>
      <c r="WQW108" s="47"/>
      <c r="WQY108" s="11"/>
      <c r="WUF108" s="47"/>
      <c r="WUK108" s="47"/>
      <c r="WUM108" s="11"/>
      <c r="WXT108" s="47"/>
      <c r="WXY108" s="47"/>
      <c r="WYA108" s="11"/>
      <c r="XBH108" s="47"/>
      <c r="XBM108" s="47"/>
      <c r="XBO108" s="11"/>
      <c r="XEV108" s="47"/>
      <c r="XFA108" s="47"/>
      <c r="XFC108" s="11"/>
    </row>
    <row r="109" spans="1:1019 1104:2031 2116:3043 3128:4055 4140:5067 5152:6079 6164:7091 7176:8188 8193:9207 9292:10219 10304:11231 11316:12243 12328:13255 13340:14267 14352:15279 15364:16383" s="141" customFormat="1" ht="14.5" customHeight="1">
      <c r="A109" s="153"/>
      <c r="B109" s="153"/>
      <c r="C109" s="153"/>
      <c r="D109" s="153"/>
      <c r="E109" s="153"/>
      <c r="F109" s="153"/>
      <c r="G109" s="179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  <c r="AY109" s="153"/>
      <c r="AZ109" s="153"/>
      <c r="BA109" s="153"/>
      <c r="BB109" s="153"/>
      <c r="BC109" s="153"/>
      <c r="BD109" s="153"/>
      <c r="BE109" s="153"/>
      <c r="BF109" s="153"/>
      <c r="BG109" s="153"/>
      <c r="BH109" s="153"/>
      <c r="BI109" s="153"/>
      <c r="BJ109" s="153"/>
      <c r="BK109" s="153"/>
      <c r="BL109" s="153"/>
      <c r="BM109" s="153"/>
      <c r="BN109" s="153"/>
      <c r="BO109" s="153"/>
      <c r="BP109" s="153"/>
      <c r="BQ109" s="153"/>
      <c r="BR109" s="153"/>
      <c r="BS109" s="153"/>
      <c r="BT109" s="153"/>
      <c r="BU109" s="153"/>
      <c r="BV109" s="153"/>
      <c r="BW109" s="153"/>
      <c r="BX109" s="153"/>
      <c r="BY109" s="153"/>
      <c r="BZ109" s="153"/>
      <c r="CA109" s="153"/>
      <c r="CB109" s="153"/>
      <c r="CC109" s="153"/>
      <c r="CD109" s="153"/>
      <c r="CE109" s="153"/>
      <c r="CF109" s="153"/>
      <c r="CG109" s="153"/>
      <c r="CH109" s="153"/>
      <c r="CI109" s="153"/>
      <c r="CJ109" s="153"/>
      <c r="CK109" s="153"/>
      <c r="CL109" s="153"/>
      <c r="CM109" s="153"/>
      <c r="CN109" s="153"/>
      <c r="CO109" s="153"/>
    </row>
    <row r="110" spans="1:1019 1104:2031 2116:3043 3128:4055 4140:5067 5152:6079 6164:7091 7176:8188 8193:9207 9292:10219 10304:11231 11316:12243 12328:13255 13340:14267 14352:15279 15364:16383" s="141" customFormat="1" ht="14.5" customHeight="1">
      <c r="A110" s="153"/>
      <c r="B110" s="153"/>
      <c r="C110" s="367" t="s">
        <v>1054</v>
      </c>
      <c r="D110" s="153"/>
      <c r="E110" s="153"/>
      <c r="F110" s="153"/>
      <c r="G110" s="179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  <c r="AV110" s="153"/>
      <c r="AW110" s="153"/>
      <c r="AX110" s="153"/>
      <c r="AY110" s="153"/>
      <c r="AZ110" s="153"/>
      <c r="BA110" s="153"/>
      <c r="BB110" s="153"/>
      <c r="BC110" s="153"/>
      <c r="BD110" s="153"/>
      <c r="BE110" s="153"/>
      <c r="BF110" s="153"/>
      <c r="BG110" s="153"/>
      <c r="BH110" s="153"/>
      <c r="BI110" s="153"/>
      <c r="BJ110" s="153"/>
      <c r="BK110" s="153"/>
      <c r="BL110" s="153"/>
      <c r="BM110" s="153"/>
      <c r="BN110" s="153"/>
      <c r="BO110" s="153"/>
      <c r="BP110" s="153"/>
      <c r="BQ110" s="153"/>
      <c r="BR110" s="153"/>
      <c r="BS110" s="153"/>
      <c r="BT110" s="153"/>
      <c r="BU110" s="153"/>
      <c r="BV110" s="153"/>
      <c r="BW110" s="153"/>
      <c r="BX110" s="153"/>
      <c r="BY110" s="153"/>
      <c r="BZ110" s="153"/>
      <c r="CA110" s="153"/>
      <c r="CB110" s="153"/>
      <c r="CC110" s="153"/>
      <c r="CD110" s="153"/>
      <c r="CE110" s="153"/>
      <c r="CF110" s="153"/>
      <c r="CG110" s="153"/>
      <c r="CH110" s="153"/>
      <c r="CI110" s="153"/>
      <c r="CJ110" s="153"/>
      <c r="CK110" s="153"/>
      <c r="CL110" s="153"/>
      <c r="CM110" s="153"/>
      <c r="CN110" s="153"/>
      <c r="CO110" s="153"/>
    </row>
    <row r="111" spans="1:1019 1104:2031 2116:3043 3128:4055 4140:5067 5152:6079 6164:7091 7176:8188 8193:9207 9292:10219 10304:11231 11316:12243 12328:13255 13340:14267 14352:15279 15364:16383" s="141" customFormat="1" ht="14.5" customHeight="1">
      <c r="A111" s="153"/>
      <c r="B111" s="153"/>
      <c r="C111" s="17" t="s">
        <v>1055</v>
      </c>
      <c r="D111" s="153"/>
      <c r="E111" s="153"/>
      <c r="F111" s="153"/>
      <c r="G111" s="179" t="str">
        <f t="shared" ref="G111:G116" si="118">Monetary_Unit</f>
        <v>тыс. руб.</v>
      </c>
      <c r="H111" s="153"/>
      <c r="I111" s="23">
        <f ca="1">SUM(L111:CO111)</f>
        <v>9052152.1437786147</v>
      </c>
      <c r="J111" s="153"/>
      <c r="K111" s="153"/>
      <c r="L111" s="10">
        <f ca="1">SUM(Расчеты!L832,Расчеты!L841,Расчеты!L849,Расчеты!L936:L939)</f>
        <v>0</v>
      </c>
      <c r="M111" s="10">
        <f ca="1">SUM(Расчеты!M832,Расчеты!M841,Расчеты!M849,Расчеты!M936:M939)</f>
        <v>0</v>
      </c>
      <c r="N111" s="10">
        <f ca="1">SUM(Расчеты!N832,Расчеты!N841,Расчеты!N849,Расчеты!N936:N939)</f>
        <v>0</v>
      </c>
      <c r="O111" s="10">
        <f ca="1">SUM(Расчеты!O832,Расчеты!O841,Расчеты!O849,Расчеты!O936:O939)</f>
        <v>0</v>
      </c>
      <c r="P111" s="10">
        <f ca="1">SUM(Расчеты!P832,Расчеты!P841,Расчеты!P849,Расчеты!P936:P939)</f>
        <v>0</v>
      </c>
      <c r="Q111" s="10">
        <f ca="1">SUM(Расчеты!Q832,Расчеты!Q841,Расчеты!Q849,Расчеты!Q936:Q939)</f>
        <v>0</v>
      </c>
      <c r="R111" s="10">
        <f ca="1">SUM(Расчеты!R832,Расчеты!R841,Расчеты!R849,Расчеты!R936:R939)</f>
        <v>0</v>
      </c>
      <c r="S111" s="10">
        <f ca="1">SUM(Расчеты!S832,Расчеты!S841,Расчеты!S849,Расчеты!S936:S939)</f>
        <v>0</v>
      </c>
      <c r="T111" s="10">
        <f ca="1">SUM(Расчеты!T832,Расчеты!T841,Расчеты!T849,Расчеты!T936:T939)</f>
        <v>0</v>
      </c>
      <c r="U111" s="10">
        <f ca="1">SUM(Расчеты!U832,Расчеты!U841,Расчеты!U849,Расчеты!U936:U939)</f>
        <v>0</v>
      </c>
      <c r="V111" s="10">
        <f ca="1">SUM(Расчеты!V832,Расчеты!V841,Расчеты!V849,Расчеты!V936:V939)</f>
        <v>0</v>
      </c>
      <c r="W111" s="10">
        <f ca="1">SUM(Расчеты!W832,Расчеты!W841,Расчеты!W849,Расчеты!W936:W939)</f>
        <v>0</v>
      </c>
      <c r="X111" s="10">
        <f ca="1">SUM(Расчеты!X832,Расчеты!X841,Расчеты!X849,Расчеты!X936:X939)</f>
        <v>0</v>
      </c>
      <c r="Y111" s="10">
        <f ca="1">SUM(Расчеты!Y832,Расчеты!Y841,Расчеты!Y849,Расчеты!Y936:Y939)</f>
        <v>0</v>
      </c>
      <c r="Z111" s="10">
        <f ca="1">SUM(Расчеты!Z832,Расчеты!Z841,Расчеты!Z849,Расчеты!Z936:Z939)</f>
        <v>0</v>
      </c>
      <c r="AA111" s="10">
        <f ca="1">SUM(Расчеты!AA832,Расчеты!AA841,Расчеты!AA849,Расчеты!AA936:AA939)</f>
        <v>0</v>
      </c>
      <c r="AB111" s="10">
        <f ca="1">SUM(Расчеты!AB832,Расчеты!AB841,Расчеты!AB849,Расчеты!AB936:AB939)</f>
        <v>0</v>
      </c>
      <c r="AC111" s="10">
        <f ca="1">SUM(Расчеты!AC832,Расчеты!AC841,Расчеты!AC849,Расчеты!AC936:AC939)</f>
        <v>78612.917750691035</v>
      </c>
      <c r="AD111" s="10">
        <f ca="1">SUM(Расчеты!AD832,Расчеты!AD841,Расчеты!AD849,Расчеты!AD936:AD939)</f>
        <v>102294.82169803459</v>
      </c>
      <c r="AE111" s="10">
        <f ca="1">SUM(Расчеты!AE832,Расчеты!AE841,Расчеты!AE849,Расчеты!AE936:AE939)</f>
        <v>60602.569740564111</v>
      </c>
      <c r="AF111" s="10">
        <f ca="1">SUM(Расчеты!AF832,Расчеты!AF841,Расчеты!AF849,Расчеты!AF936:AF939)</f>
        <v>59472.530466100405</v>
      </c>
      <c r="AG111" s="10">
        <f ca="1">SUM(Расчеты!AG832,Расчеты!AG841,Расчеты!AG849,Расчеты!AG936:AG939)</f>
        <v>93869.646973417752</v>
      </c>
      <c r="AH111" s="10">
        <f ca="1">SUM(Расчеты!AH832,Расчеты!AH841,Расчеты!AH849,Расчеты!AH936:AH939)</f>
        <v>121584.70236109261</v>
      </c>
      <c r="AI111" s="10">
        <f ca="1">SUM(Расчеты!AI832,Расчеты!AI841,Расчеты!AI849,Расчеты!AI936:AI939)</f>
        <v>71720.006672281394</v>
      </c>
      <c r="AJ111" s="10">
        <f ca="1">SUM(Расчеты!AJ832,Расчеты!AJ841,Расчеты!AJ849,Расчеты!AJ936:AJ939)</f>
        <v>70098.28924271038</v>
      </c>
      <c r="AK111" s="10">
        <f ca="1">SUM(Расчеты!AK832,Расчеты!AK841,Расчеты!AK849,Расчеты!AK936:AK939)</f>
        <v>110221.13386556153</v>
      </c>
      <c r="AL111" s="10">
        <f ca="1">SUM(Расчеты!AL832,Расчеты!AL841,Расчеты!AL849,Расчеты!AL936:AL939)</f>
        <v>142254.10176247836</v>
      </c>
      <c r="AM111" s="10">
        <f ca="1">SUM(Расчеты!AM832,Расчеты!AM841,Расчеты!AM849,Расчеты!AM936:AM939)</f>
        <v>83629.874446951173</v>
      </c>
      <c r="AN111" s="10">
        <f ca="1">SUM(Расчеты!AN832,Расчеты!AN841,Расчеты!AN849,Расчеты!AN936:AN939)</f>
        <v>82384.274369066712</v>
      </c>
      <c r="AO111" s="10">
        <f ca="1">SUM(Расчеты!AO832,Расчеты!AO841,Расчеты!AO849,Расчеты!AO936:AO939)</f>
        <v>127730.54827391919</v>
      </c>
      <c r="AP111" s="10">
        <f ca="1">SUM(Расчеты!AP832,Расчеты!AP841,Расчеты!AP849,Расчеты!AP936:AP939)</f>
        <v>160272.95465239219</v>
      </c>
      <c r="AQ111" s="10">
        <f ca="1">SUM(Расчеты!AQ832,Расчеты!AQ841,Расчеты!AQ849,Расчеты!AQ936:AQ939)</f>
        <v>91676.424528873977</v>
      </c>
      <c r="AR111" s="10">
        <f ca="1">SUM(Расчеты!AR832,Расчеты!AR841,Расчеты!AR849,Расчеты!AR936:AR939)</f>
        <v>86968.061063285422</v>
      </c>
      <c r="AS111" s="10">
        <f ca="1">SUM(Расчеты!AS832,Расчеты!AS841,Расчеты!AS849,Расчеты!AS936:AS939)</f>
        <v>132839.77020487597</v>
      </c>
      <c r="AT111" s="10">
        <f ca="1">SUM(Расчеты!AT832,Расчеты!AT841,Расчеты!AT849,Расчеты!AT936:AT939)</f>
        <v>166683.87283848788</v>
      </c>
      <c r="AU111" s="10">
        <f ca="1">SUM(Расчеты!AU832,Расчеты!AU841,Расчеты!AU849,Расчеты!AU936:AU939)</f>
        <v>95343.481510028927</v>
      </c>
      <c r="AV111" s="10">
        <f ca="1">SUM(Расчеты!AV832,Расчеты!AV841,Расчеты!AV849,Расчеты!AV936:AV939)</f>
        <v>90446.783505816813</v>
      </c>
      <c r="AW111" s="10">
        <f ca="1">SUM(Расчеты!AW832,Расчеты!AW841,Расчеты!AW849,Расчеты!AW936:AW939)</f>
        <v>138153.361013071</v>
      </c>
      <c r="AX111" s="10">
        <f ca="1">SUM(Расчеты!AX832,Расчеты!AX841,Расчеты!AX849,Расчеты!AX936:AX939)</f>
        <v>173351.22775202733</v>
      </c>
      <c r="AY111" s="10">
        <f ca="1">SUM(Расчеты!AY832,Расчеты!AY841,Расчеты!AY849,Расчеты!AY936:AY939)</f>
        <v>99157.220770430082</v>
      </c>
      <c r="AZ111" s="10">
        <f ca="1">SUM(Расчеты!AZ832,Расчеты!AZ841,Расчеты!AZ849,Расчеты!AZ936:AZ939)</f>
        <v>94064.654846049467</v>
      </c>
      <c r="BA111" s="10">
        <f ca="1">SUM(Расчеты!BA832,Расчеты!BA841,Расчеты!BA849,Расчеты!BA936:BA939)</f>
        <v>143679.49545359382</v>
      </c>
      <c r="BB111" s="10">
        <f ca="1">SUM(Расчеты!BB832,Расчеты!BB841,Расчеты!BB849,Расчеты!BB936:BB939)</f>
        <v>180285.27686210841</v>
      </c>
      <c r="BC111" s="10">
        <f ca="1">SUM(Расчеты!BC832,Расчеты!BC841,Расчеты!BC849,Расчеты!BC936:BC939)</f>
        <v>103123.50960124726</v>
      </c>
      <c r="BD111" s="10">
        <f ca="1">SUM(Расчеты!BD832,Расчеты!BD841,Расчеты!BD849,Расчеты!BD936:BD939)</f>
        <v>98914.21038477913</v>
      </c>
      <c r="BE111" s="10">
        <f ca="1">SUM(Расчеты!BE832,Расчеты!BE841,Расчеты!BE849,Расчеты!BE936:BE939)</f>
        <v>149426.67527173753</v>
      </c>
      <c r="BF111" s="10">
        <f ca="1">SUM(Расчеты!BF832,Расчеты!BF841,Расчеты!BF849,Расчеты!BF936:BF939)</f>
        <v>187496.6879365927</v>
      </c>
      <c r="BG111" s="10">
        <f ca="1">SUM(Расчеты!BG832,Расчеты!BG841,Расчеты!BG849,Расчеты!BG936:BG939)</f>
        <v>107248.44998529713</v>
      </c>
      <c r="BH111" s="10">
        <f ca="1">SUM(Расчеты!BH832,Расчеты!BH841,Расчеты!BH849,Расчеты!BH936:BH939)</f>
        <v>101740.33068148707</v>
      </c>
      <c r="BI111" s="10">
        <f ca="1">SUM(Расчеты!BI832,Расчеты!BI841,Расчеты!BI849,Расчеты!BI936:BI939)</f>
        <v>155403.74228260704</v>
      </c>
      <c r="BJ111" s="10">
        <f ca="1">SUM(Расчеты!BJ832,Расчеты!BJ841,Расчеты!BJ849,Расчеты!BJ936:BJ939)</f>
        <v>194996.55545405642</v>
      </c>
      <c r="BK111" s="10">
        <f ca="1">SUM(Расчеты!BK832,Расчеты!BK841,Расчеты!BK849,Расчеты!BK936:BK939)</f>
        <v>111538.38798470901</v>
      </c>
      <c r="BL111" s="10">
        <f ca="1">SUM(Расчеты!BL832,Расчеты!BL841,Расчеты!BL849,Расчеты!BL936:BL939)</f>
        <v>105809.94390874657</v>
      </c>
      <c r="BM111" s="10">
        <f ca="1">SUM(Расчеты!BM832,Расчеты!BM841,Расчеты!BM849,Расчеты!BM936:BM939)</f>
        <v>161619.89197391129</v>
      </c>
      <c r="BN111" s="10">
        <f ca="1">SUM(Расчеты!BN832,Расчеты!BN841,Расчеты!BN849,Расчеты!BN936:BN939)</f>
        <v>202796.41767221864</v>
      </c>
      <c r="BO111" s="10">
        <f ca="1">SUM(Расчеты!BO832,Расчеты!BO841,Расчеты!BO849,Расчеты!BO936:BO939)</f>
        <v>115999.92350409736</v>
      </c>
      <c r="BP111" s="10">
        <f ca="1">SUM(Расчеты!BP832,Расчеты!BP841,Расчеты!BP849,Расчеты!BP936:BP939)</f>
        <v>110042.34166509641</v>
      </c>
      <c r="BQ111" s="10">
        <f ca="1">SUM(Расчеты!BQ832,Расчеты!BQ841,Расчеты!BQ849,Расчеты!BQ936:BQ939)</f>
        <v>168084.68765286769</v>
      </c>
      <c r="BR111" s="10">
        <f ca="1">SUM(Расчеты!BR832,Расчеты!BR841,Расчеты!BR849,Расчеты!BR936:BR939)</f>
        <v>210908.27437910734</v>
      </c>
      <c r="BS111" s="10">
        <f ca="1">SUM(Расчеты!BS832,Расчеты!BS841,Расчеты!BS849,Расчеты!BS936:BS939)</f>
        <v>120639.92044426121</v>
      </c>
      <c r="BT111" s="10">
        <f ca="1">SUM(Расчеты!BT832,Расчеты!BT841,Расчеты!BT849,Расчеты!BT936:BT939)</f>
        <v>115715.63572427469</v>
      </c>
      <c r="BU111" s="10">
        <f ca="1">SUM(Расчеты!BU832,Расчеты!BU841,Расчеты!BU849,Расчеты!BU936:BU939)</f>
        <v>174808.07515898236</v>
      </c>
      <c r="BV111" s="10">
        <f ca="1">SUM(Расчеты!BV832,Расчеты!BV841,Расчеты!BV849,Расчеты!BV936:BV939)</f>
        <v>219344.60535427157</v>
      </c>
      <c r="BW111" s="10">
        <f ca="1">SUM(Расчеты!BW832,Расчеты!BW841,Расчеты!BW849,Расчеты!BW936:BW939)</f>
        <v>125465.51726203162</v>
      </c>
      <c r="BX111" s="10">
        <f ca="1">SUM(Расчеты!BX832,Расчеты!BX841,Расчеты!BX849,Расчеты!BX936:BX939)</f>
        <v>119021.79674496825</v>
      </c>
      <c r="BY111" s="10">
        <f ca="1">SUM(Расчеты!BY832,Расчеты!BY841,Расчеты!BY849,Расчеты!BY936:BY939)</f>
        <v>181800.39816534161</v>
      </c>
      <c r="BZ111" s="10">
        <f ca="1">SUM(Расчеты!BZ832,Расчеты!BZ841,Расчеты!BZ849,Расчеты!BZ936:BZ939)</f>
        <v>228118.38956844242</v>
      </c>
      <c r="CA111" s="10">
        <f ca="1">SUM(Расчеты!CA832,Расчеты!CA841,Расчеты!CA849,Расчеты!CA936:CA939)</f>
        <v>130484.13795251287</v>
      </c>
      <c r="CB111" s="10">
        <f ca="1">SUM(Расчеты!CB832,Расчеты!CB841,Расчеты!CB849,Расчеты!CB936:CB939)</f>
        <v>123782.66861476697</v>
      </c>
      <c r="CC111" s="10">
        <f ca="1">SUM(Расчеты!CC832,Расчеты!CC841,Расчеты!CC849,Расчеты!CC936:CC939)</f>
        <v>189072.41409195529</v>
      </c>
      <c r="CD111" s="10">
        <f ca="1">SUM(Расчеты!CD832,Расчеты!CD841,Расчеты!CD849,Расчеты!CD936:CD939)</f>
        <v>237243.12515118011</v>
      </c>
      <c r="CE111" s="10">
        <f ca="1">SUM(Расчеты!CE832,Расчеты!CE841,Расчеты!CE849,Расчеты!CE936:CE939)</f>
        <v>135703.50347061339</v>
      </c>
      <c r="CF111" s="10">
        <f ca="1">SUM(Расчеты!CF832,Расчеты!CF841,Расчеты!CF849,Расчеты!CF936:CF939)</f>
        <v>128733.9753593576</v>
      </c>
      <c r="CG111" s="10">
        <f ca="1">SUM(Расчеты!CG832,Расчеты!CG841,Расчеты!CG849,Расчеты!CG936:CG939)</f>
        <v>196635.31065563351</v>
      </c>
      <c r="CH111" s="10">
        <f ca="1">SUM(Расчеты!CH832,Расчеты!CH841,Расчеты!CH849,Расчеты!CH936:CH939)</f>
        <v>246732.85015722728</v>
      </c>
      <c r="CI111" s="10">
        <f ca="1">SUM(Расчеты!CI832,Расчеты!CI841,Расчеты!CI849,Расчеты!CI936:CI939)</f>
        <v>141131.64360943795</v>
      </c>
      <c r="CJ111" s="10">
        <f ca="1">SUM(Расчеты!CJ832,Расчеты!CJ841,Расчеты!CJ849,Расчеты!CJ936:CJ939)</f>
        <v>135370.92697788446</v>
      </c>
      <c r="CK111" s="10">
        <f ca="1">SUM(Расчеты!CK832,Расчеты!CK841,Расчеты!CK849,Расчеты!CK936:CK939)</f>
        <v>204500.7230818588</v>
      </c>
      <c r="CL111" s="10">
        <f ca="1">SUM(Расчеты!CL832,Расчеты!CL841,Расчеты!CL849,Расчеты!CL936:CL939)</f>
        <v>256602.16416351634</v>
      </c>
      <c r="CM111" s="10">
        <f ca="1">SUM(Расчеты!CM832,Расчеты!CM841,Расчеты!CM849,Расчеты!CM936:CM939)</f>
        <v>146776.90935381546</v>
      </c>
      <c r="CN111" s="10">
        <f ca="1">SUM(Расчеты!CN832,Расчеты!CN841,Расчеты!CN849,Расчеты!CN936:CN939)</f>
        <v>139238.66774868118</v>
      </c>
      <c r="CO111" s="10">
        <f ca="1">SUM(Расчеты!CO832,Расчеты!CO841,Расчеты!CO849,Расчеты!CO936:CO939)</f>
        <v>212680.75200513317</v>
      </c>
    </row>
    <row r="112" spans="1:1019 1104:2031 2116:3043 3128:4055 4140:5067 5152:6079 6164:7091 7176:8188 8193:9207 9292:10219 10304:11231 11316:12243 12328:13255 13340:14267 14352:15279 15364:16383" s="141" customFormat="1" ht="14.5" customHeight="1">
      <c r="A112" s="153"/>
      <c r="B112" s="153"/>
      <c r="C112" s="17" t="s">
        <v>1056</v>
      </c>
      <c r="D112" s="153"/>
      <c r="E112" s="153"/>
      <c r="F112" s="153"/>
      <c r="G112" s="179" t="str">
        <f t="shared" si="118"/>
        <v>тыс. руб.</v>
      </c>
      <c r="H112" s="153"/>
      <c r="I112" s="23">
        <f t="shared" ref="I112:I116" ca="1" si="119">SUM(L112:CO112)</f>
        <v>1991473.4716312969</v>
      </c>
      <c r="J112" s="153"/>
      <c r="K112" s="153"/>
      <c r="L112" s="10">
        <f ca="1">SUM(Расчеты!L833,Расчеты!L842,Расчеты!L850,Расчеты!L940)</f>
        <v>0</v>
      </c>
      <c r="M112" s="10">
        <f ca="1">SUM(Расчеты!M833,Расчеты!M842,Расчеты!M850,Расчеты!M940)</f>
        <v>0</v>
      </c>
      <c r="N112" s="10">
        <f ca="1">SUM(Расчеты!N833,Расчеты!N842,Расчеты!N850,Расчеты!N940)</f>
        <v>0</v>
      </c>
      <c r="O112" s="10">
        <f ca="1">SUM(Расчеты!O833,Расчеты!O842,Расчеты!O850,Расчеты!O940)</f>
        <v>0</v>
      </c>
      <c r="P112" s="10">
        <f ca="1">SUM(Расчеты!P833,Расчеты!P842,Расчеты!P850,Расчеты!P940)</f>
        <v>0</v>
      </c>
      <c r="Q112" s="10">
        <f ca="1">SUM(Расчеты!Q833,Расчеты!Q842,Расчеты!Q850,Расчеты!Q940)</f>
        <v>0</v>
      </c>
      <c r="R112" s="10">
        <f ca="1">SUM(Расчеты!R833,Расчеты!R842,Расчеты!R850,Расчеты!R940)</f>
        <v>0</v>
      </c>
      <c r="S112" s="10">
        <f ca="1">SUM(Расчеты!S833,Расчеты!S842,Расчеты!S850,Расчеты!S940)</f>
        <v>0</v>
      </c>
      <c r="T112" s="10">
        <f ca="1">SUM(Расчеты!T833,Расчеты!T842,Расчеты!T850,Расчеты!T940)</f>
        <v>0</v>
      </c>
      <c r="U112" s="10">
        <f ca="1">SUM(Расчеты!U833,Расчеты!U842,Расчеты!U850,Расчеты!U940)</f>
        <v>0</v>
      </c>
      <c r="V112" s="10">
        <f ca="1">SUM(Расчеты!V833,Расчеты!V842,Расчеты!V850,Расчеты!V940)</f>
        <v>0</v>
      </c>
      <c r="W112" s="10">
        <f ca="1">SUM(Расчеты!W833,Расчеты!W842,Расчеты!W850,Расчеты!W940)</f>
        <v>0</v>
      </c>
      <c r="X112" s="10">
        <f ca="1">SUM(Расчеты!X833,Расчеты!X842,Расчеты!X850,Расчеты!X940)</f>
        <v>0</v>
      </c>
      <c r="Y112" s="10">
        <f ca="1">SUM(Расчеты!Y833,Расчеты!Y842,Расчеты!Y850,Расчеты!Y940)</f>
        <v>0</v>
      </c>
      <c r="Z112" s="10">
        <f ca="1">SUM(Расчеты!Z833,Расчеты!Z842,Расчеты!Z850,Расчеты!Z940)</f>
        <v>0</v>
      </c>
      <c r="AA112" s="10">
        <f ca="1">SUM(Расчеты!AA833,Расчеты!AA842,Расчеты!AA850,Расчеты!AA940)</f>
        <v>0</v>
      </c>
      <c r="AB112" s="10">
        <f ca="1">SUM(Расчеты!AB833,Расчеты!AB842,Расчеты!AB850,Расчеты!AB940)</f>
        <v>0</v>
      </c>
      <c r="AC112" s="10">
        <f ca="1">SUM(Расчеты!AC833,Расчеты!AC842,Расчеты!AC850,Расчеты!AC940)</f>
        <v>17294.841905152025</v>
      </c>
      <c r="AD112" s="10">
        <f ca="1">SUM(Расчеты!AD833,Расчеты!AD842,Расчеты!AD850,Расчеты!AD940)</f>
        <v>22504.860773567612</v>
      </c>
      <c r="AE112" s="10">
        <f ca="1">SUM(Расчеты!AE833,Расчеты!AE842,Расчеты!AE850,Расчеты!AE940)</f>
        <v>13332.565342924105</v>
      </c>
      <c r="AF112" s="10">
        <f ca="1">SUM(Расчеты!AF833,Расчеты!AF842,Расчеты!AF850,Расчеты!AF940)</f>
        <v>13083.956702542089</v>
      </c>
      <c r="AG112" s="10">
        <f ca="1">SUM(Расчеты!AG833,Расчеты!AG842,Расчеты!AG850,Расчеты!AG940)</f>
        <v>20651.322334151908</v>
      </c>
      <c r="AH112" s="10">
        <f ca="1">SUM(Расчеты!AH833,Расчеты!AH842,Расчеты!AH850,Расчеты!AH940)</f>
        <v>26748.634519440377</v>
      </c>
      <c r="AI112" s="10">
        <f ca="1">SUM(Расчеты!AI833,Расчеты!AI842,Расчеты!AI850,Расчеты!AI940)</f>
        <v>15778.401467901906</v>
      </c>
      <c r="AJ112" s="10">
        <f ca="1">SUM(Расчеты!AJ833,Расчеты!AJ842,Расчеты!AJ850,Расчеты!AJ940)</f>
        <v>15421.623633396281</v>
      </c>
      <c r="AK112" s="10">
        <f ca="1">SUM(Расчеты!AK833,Расчеты!AK842,Расчеты!AK850,Расчеты!AK940)</f>
        <v>24248.649450423534</v>
      </c>
      <c r="AL112" s="10">
        <f ca="1">SUM(Расчеты!AL833,Расчеты!AL842,Расчеты!AL850,Расчеты!AL940)</f>
        <v>31295.902387745238</v>
      </c>
      <c r="AM112" s="10">
        <f ca="1">SUM(Расчеты!AM833,Расчеты!AM842,Расчеты!AM850,Расчеты!AM940)</f>
        <v>18398.57237832926</v>
      </c>
      <c r="AN112" s="10">
        <f ca="1">SUM(Расчеты!AN833,Расчеты!AN842,Расчеты!AN850,Расчеты!AN940)</f>
        <v>18124.540361194679</v>
      </c>
      <c r="AO112" s="10">
        <f ca="1">SUM(Расчеты!AO833,Расчеты!AO842,Расчеты!AO850,Расчеты!AO940)</f>
        <v>28100.720620262222</v>
      </c>
      <c r="AP112" s="10">
        <f ca="1">SUM(Расчеты!AP833,Расчеты!AP842,Расчеты!AP850,Расчеты!AP940)</f>
        <v>35260.050023526281</v>
      </c>
      <c r="AQ112" s="10">
        <f ca="1">SUM(Расчеты!AQ833,Расчеты!AQ842,Расчеты!AQ850,Расчеты!AQ940)</f>
        <v>20168.813396352278</v>
      </c>
      <c r="AR112" s="10">
        <f ca="1">SUM(Расчеты!AR833,Расчеты!AR842,Расчеты!AR850,Расчеты!AR940)</f>
        <v>19132.973433922791</v>
      </c>
      <c r="AS112" s="10">
        <f ca="1">SUM(Расчеты!AS833,Расчеты!AS842,Расчеты!AS850,Расчеты!AS940)</f>
        <v>29224.74944507271</v>
      </c>
      <c r="AT112" s="10">
        <f ca="1">SUM(Расчеты!AT833,Расчеты!AT842,Расчеты!AT850,Расчеты!AT940)</f>
        <v>36670.45202446734</v>
      </c>
      <c r="AU112" s="10">
        <f ca="1">SUM(Расчеты!AU833,Расчеты!AU842,Расчеты!AU850,Расчеты!AU940)</f>
        <v>20975.565932206362</v>
      </c>
      <c r="AV112" s="10">
        <f ca="1">SUM(Расчеты!AV833,Расчеты!AV842,Расчеты!AV850,Расчеты!AV940)</f>
        <v>19898.292371279698</v>
      </c>
      <c r="AW112" s="10">
        <f ca="1">SUM(Расчеты!AW833,Расчеты!AW842,Расчеты!AW850,Расчеты!AW940)</f>
        <v>30393.739422875624</v>
      </c>
      <c r="AX112" s="10">
        <f ca="1">SUM(Расчеты!AX833,Расчеты!AX842,Расчеты!AX850,Расчеты!AX940)</f>
        <v>38137.270105446019</v>
      </c>
      <c r="AY112" s="10">
        <f ca="1">SUM(Расчеты!AY833,Расчеты!AY842,Расчеты!AY850,Расчеты!AY940)</f>
        <v>21814.588569494623</v>
      </c>
      <c r="AZ112" s="10">
        <f ca="1">SUM(Расчеты!AZ833,Расчеты!AZ842,Расчеты!AZ850,Расчеты!AZ940)</f>
        <v>20694.224066130882</v>
      </c>
      <c r="BA112" s="10">
        <f ca="1">SUM(Расчеты!BA833,Расчеты!BA842,Расчеты!BA850,Расчеты!BA940)</f>
        <v>31609.488999790636</v>
      </c>
      <c r="BB112" s="10">
        <f ca="1">SUM(Расчеты!BB833,Расчеты!BB842,Расчеты!BB850,Расчеты!BB940)</f>
        <v>39662.760909663855</v>
      </c>
      <c r="BC112" s="10">
        <f ca="1">SUM(Расчеты!BC833,Расчеты!BC842,Расчеты!BC850,Расчеты!BC940)</f>
        <v>22687.172112274398</v>
      </c>
      <c r="BD112" s="10">
        <f ca="1">SUM(Расчеты!BD833,Расчеты!BD842,Расчеты!BD850,Расчеты!BD940)</f>
        <v>21761.126284651411</v>
      </c>
      <c r="BE112" s="10">
        <f ca="1">SUM(Расчеты!BE833,Расчеты!BE842,Расчеты!BE850,Расчеты!BE940)</f>
        <v>32873.868559782255</v>
      </c>
      <c r="BF112" s="10">
        <f ca="1">SUM(Расчеты!BF833,Расчеты!BF842,Расчеты!BF850,Расчеты!BF940)</f>
        <v>41249.271346050395</v>
      </c>
      <c r="BG112" s="10">
        <f ca="1">SUM(Расчеты!BG833,Расчеты!BG842,Расчеты!BG850,Расчеты!BG940)</f>
        <v>23594.658996765374</v>
      </c>
      <c r="BH112" s="10">
        <f ca="1">SUM(Расчеты!BH833,Расчеты!BH842,Расчеты!BH850,Расчеты!BH940)</f>
        <v>22382.872749927155</v>
      </c>
      <c r="BI112" s="10">
        <f ca="1">SUM(Расчеты!BI833,Расчеты!BI842,Расчеты!BI850,Расчеты!BI940)</f>
        <v>34188.823302173543</v>
      </c>
      <c r="BJ112" s="10">
        <f ca="1">SUM(Расчеты!BJ833,Расчеты!BJ842,Расчеты!BJ850,Расчеты!BJ940)</f>
        <v>42899.242199892411</v>
      </c>
      <c r="BK112" s="10">
        <f ca="1">SUM(Расчеты!BK833,Расчеты!BK842,Расчеты!BK850,Расчеты!BK940)</f>
        <v>24538.445356635981</v>
      </c>
      <c r="BL112" s="10">
        <f ca="1">SUM(Расчеты!BL833,Расчеты!BL842,Расчеты!BL850,Расчеты!BL940)</f>
        <v>23278.187659924242</v>
      </c>
      <c r="BM112" s="10">
        <f ca="1">SUM(Расчеты!BM833,Расчеты!BM842,Расчеты!BM850,Расчеты!BM940)</f>
        <v>35556.376234260482</v>
      </c>
      <c r="BN112" s="10">
        <f ca="1">SUM(Расчеты!BN833,Расчеты!BN842,Расчеты!BN850,Расчеты!BN940)</f>
        <v>44615.211887888108</v>
      </c>
      <c r="BO112" s="10">
        <f ca="1">SUM(Расчеты!BO833,Расчеты!BO842,Расчеты!BO850,Расчеты!BO940)</f>
        <v>25519.983170901418</v>
      </c>
      <c r="BP112" s="10">
        <f ca="1">SUM(Расчеты!BP833,Расчеты!BP842,Расчеты!BP850,Расчеты!BP940)</f>
        <v>24209.315166321208</v>
      </c>
      <c r="BQ112" s="10">
        <f ca="1">SUM(Расчеты!BQ833,Расчеты!BQ842,Расчеты!BQ850,Расчеты!BQ940)</f>
        <v>36978.631283630893</v>
      </c>
      <c r="BR112" s="10">
        <f ca="1">SUM(Расчеты!BR833,Расчеты!BR842,Расчеты!BR850,Расчеты!BR940)</f>
        <v>46399.820363403625</v>
      </c>
      <c r="BS112" s="10">
        <f ca="1">SUM(Расчеты!BS833,Расчеты!BS842,Расчеты!BS850,Расчеты!BS940)</f>
        <v>26540.782497737462</v>
      </c>
      <c r="BT112" s="10">
        <f ca="1">SUM(Расчеты!BT833,Расчеты!BT842,Расчеты!BT850,Расчеты!BT940)</f>
        <v>25457.439859340429</v>
      </c>
      <c r="BU112" s="10">
        <f ca="1">SUM(Расчеты!BU833,Расчеты!BU842,Расчеты!BU850,Расчеты!BU940)</f>
        <v>38457.776534976118</v>
      </c>
      <c r="BV112" s="10">
        <f ca="1">SUM(Расчеты!BV833,Расчеты!BV842,Расчеты!BV850,Расчеты!BV940)</f>
        <v>48255.813177939744</v>
      </c>
      <c r="BW112" s="10">
        <f ca="1">SUM(Расчеты!BW833,Расчеты!BW842,Расчеты!BW850,Расчеты!BW940)</f>
        <v>27602.413797646957</v>
      </c>
      <c r="BX112" s="10">
        <f ca="1">SUM(Расчеты!BX833,Расчеты!BX842,Расчеты!BX850,Расчеты!BX940)</f>
        <v>26184.795283893007</v>
      </c>
      <c r="BY112" s="10">
        <f ca="1">SUM(Расчеты!BY833,Расчеты!BY842,Расчеты!BY850,Расчеты!BY940)</f>
        <v>39996.087596375153</v>
      </c>
      <c r="BZ112" s="10">
        <f ca="1">SUM(Расчеты!BZ833,Расчеты!BZ842,Расчеты!BZ850,Расчеты!BZ940)</f>
        <v>50186.045705057339</v>
      </c>
      <c r="CA112" s="10">
        <f ca="1">SUM(Расчеты!CA833,Расчеты!CA842,Расчеты!CA850,Расчеты!CA940)</f>
        <v>28706.510349552835</v>
      </c>
      <c r="CB112" s="10">
        <f ca="1">SUM(Расчеты!CB833,Расчеты!CB842,Расчеты!CB850,Расчеты!CB940)</f>
        <v>27232.187095248733</v>
      </c>
      <c r="CC112" s="10">
        <f ca="1">SUM(Расчеты!CC833,Расчеты!CC842,Расчеты!CC850,Расчеты!CC940)</f>
        <v>41595.931100230162</v>
      </c>
      <c r="CD112" s="10">
        <f ca="1">SUM(Расчеты!CD833,Расчеты!CD842,Расчеты!CD850,Расчеты!CD940)</f>
        <v>52193.48753325962</v>
      </c>
      <c r="CE112" s="10">
        <f ca="1">SUM(Расчеты!CE833,Расчеты!CE842,Расчеты!CE850,Расчеты!CE940)</f>
        <v>29854.770763534947</v>
      </c>
      <c r="CF112" s="10">
        <f ca="1">SUM(Расчеты!CF833,Расчеты!CF842,Расчеты!CF850,Расчеты!CF940)</f>
        <v>28321.474579058671</v>
      </c>
      <c r="CG112" s="10">
        <f ca="1">SUM(Расчеты!CG833,Расчеты!CG842,Расчеты!CG850,Расчеты!CG940)</f>
        <v>43259.768344239375</v>
      </c>
      <c r="CH112" s="10">
        <f ca="1">SUM(Расчеты!CH833,Расчеты!CH842,Расчеты!CH850,Расчеты!CH940)</f>
        <v>54281.227034590003</v>
      </c>
      <c r="CI112" s="10">
        <f ca="1">SUM(Расчеты!CI833,Расчеты!CI842,Расчеты!CI850,Расчеты!CI940)</f>
        <v>31048.961594076351</v>
      </c>
      <c r="CJ112" s="10">
        <f ca="1">SUM(Расчеты!CJ833,Расчеты!CJ842,Расчеты!CJ850,Расчеты!CJ940)</f>
        <v>29781.60393513459</v>
      </c>
      <c r="CK112" s="10">
        <f ca="1">SUM(Расчеты!CK833,Расчеты!CK842,Расчеты!CK850,Расчеты!CK940)</f>
        <v>44990.159078008939</v>
      </c>
      <c r="CL112" s="10">
        <f ca="1">SUM(Расчеты!CL833,Расчеты!CL842,Расчеты!CL850,Расчеты!CL940)</f>
        <v>56452.476115973601</v>
      </c>
      <c r="CM112" s="10">
        <f ca="1">SUM(Расчеты!CM833,Расчеты!CM842,Расчеты!CM850,Расчеты!CM940)</f>
        <v>32290.920057839401</v>
      </c>
      <c r="CN112" s="10">
        <f ca="1">SUM(Расчеты!CN833,Расчеты!CN842,Расчеты!CN850,Расчеты!CN940)</f>
        <v>30632.506904709859</v>
      </c>
      <c r="CO112" s="10">
        <f ca="1">SUM(Расчеты!CO833,Расчеты!CO842,Расчеты!CO850,Расчеты!CO940)</f>
        <v>46789.76544112929</v>
      </c>
    </row>
    <row r="113" spans="1:93" s="141" customFormat="1" ht="14.5" customHeight="1">
      <c r="A113" s="153"/>
      <c r="B113" s="153"/>
      <c r="C113" s="17" t="s">
        <v>1057</v>
      </c>
      <c r="D113" s="153"/>
      <c r="E113" s="153"/>
      <c r="F113" s="153"/>
      <c r="G113" s="179" t="str">
        <f t="shared" si="118"/>
        <v>тыс. руб.</v>
      </c>
      <c r="H113" s="153"/>
      <c r="I113" s="23">
        <f t="shared" ca="1" si="119"/>
        <v>262512.41216957994</v>
      </c>
      <c r="J113" s="153"/>
      <c r="K113" s="153"/>
      <c r="L113" s="10">
        <f ca="1">SUM(Расчеты!L834,Расчеты!L843,Расчеты!L851,Расчеты!L941)</f>
        <v>0</v>
      </c>
      <c r="M113" s="10">
        <f ca="1">SUM(Расчеты!M834,Расчеты!M843,Расчеты!M851,Расчеты!M941)</f>
        <v>0</v>
      </c>
      <c r="N113" s="10">
        <f ca="1">SUM(Расчеты!N834,Расчеты!N843,Расчеты!N851,Расчеты!N941)</f>
        <v>0</v>
      </c>
      <c r="O113" s="10">
        <f ca="1">SUM(Расчеты!O834,Расчеты!O843,Расчеты!O851,Расчеты!O941)</f>
        <v>0</v>
      </c>
      <c r="P113" s="10">
        <f ca="1">SUM(Расчеты!P834,Расчеты!P843,Расчеты!P851,Расчеты!P941)</f>
        <v>0</v>
      </c>
      <c r="Q113" s="10">
        <f ca="1">SUM(Расчеты!Q834,Расчеты!Q843,Расчеты!Q851,Расчеты!Q941)</f>
        <v>0</v>
      </c>
      <c r="R113" s="10">
        <f ca="1">SUM(Расчеты!R834,Расчеты!R843,Расчеты!R851,Расчеты!R941)</f>
        <v>0</v>
      </c>
      <c r="S113" s="10">
        <f ca="1">SUM(Расчеты!S834,Расчеты!S843,Расчеты!S851,Расчеты!S941)</f>
        <v>0</v>
      </c>
      <c r="T113" s="10">
        <f ca="1">SUM(Расчеты!T834,Расчеты!T843,Расчеты!T851,Расчеты!T941)</f>
        <v>0</v>
      </c>
      <c r="U113" s="10">
        <f ca="1">SUM(Расчеты!U834,Расчеты!U843,Расчеты!U851,Расчеты!U941)</f>
        <v>0</v>
      </c>
      <c r="V113" s="10">
        <f ca="1">SUM(Расчеты!V834,Расчеты!V843,Расчеты!V851,Расчеты!V941)</f>
        <v>0</v>
      </c>
      <c r="W113" s="10">
        <f ca="1">SUM(Расчеты!W834,Расчеты!W843,Расчеты!W851,Расчеты!W941)</f>
        <v>0</v>
      </c>
      <c r="X113" s="10">
        <f ca="1">SUM(Расчеты!X834,Расчеты!X843,Расчеты!X851,Расчеты!X941)</f>
        <v>0</v>
      </c>
      <c r="Y113" s="10">
        <f ca="1">SUM(Расчеты!Y834,Расчеты!Y843,Расчеты!Y851,Расчеты!Y941)</f>
        <v>0</v>
      </c>
      <c r="Z113" s="10">
        <f ca="1">SUM(Расчеты!Z834,Расчеты!Z843,Расчеты!Z851,Расчеты!Z941)</f>
        <v>0</v>
      </c>
      <c r="AA113" s="10">
        <f ca="1">SUM(Расчеты!AA834,Расчеты!AA843,Расчеты!AA851,Расчеты!AA941)</f>
        <v>0</v>
      </c>
      <c r="AB113" s="10">
        <f ca="1">SUM(Расчеты!AB834,Расчеты!AB843,Расчеты!AB851,Расчеты!AB941)</f>
        <v>0</v>
      </c>
      <c r="AC113" s="10">
        <f ca="1">SUM(Расчеты!AC834,Расчеты!AC843,Расчеты!AC851,Расчеты!AC941)</f>
        <v>2279.7746147700395</v>
      </c>
      <c r="AD113" s="10">
        <f ca="1">SUM(Расчеты!AD834,Расчеты!AD843,Расчеты!AD851,Расчеты!AD941)</f>
        <v>2966.5498292430034</v>
      </c>
      <c r="AE113" s="10">
        <f ca="1">SUM(Расчеты!AE834,Расчеты!AE843,Расчеты!AE851,Расчеты!AE941)</f>
        <v>1757.4745224763592</v>
      </c>
      <c r="AF113" s="10">
        <f ca="1">SUM(Расчеты!AF834,Расчеты!AF843,Расчеты!AF851,Расчеты!AF941)</f>
        <v>1724.7033835169118</v>
      </c>
      <c r="AG113" s="10">
        <f ca="1">SUM(Расчеты!AG834,Расчеты!AG843,Расчеты!AG851,Расчеты!AG941)</f>
        <v>2722.2197622291146</v>
      </c>
      <c r="AH113" s="10">
        <f ca="1">SUM(Расчеты!AH834,Расчеты!AH843,Расчеты!AH851,Расчеты!AH941)</f>
        <v>3525.9563684716859</v>
      </c>
      <c r="AI113" s="10">
        <f ca="1">SUM(Расчеты!AI834,Расчеты!AI843,Расчеты!AI851,Расчеты!AI941)</f>
        <v>2079.8801934961602</v>
      </c>
      <c r="AJ113" s="10">
        <f ca="1">SUM(Расчеты!AJ834,Расчеты!AJ843,Расчеты!AJ851,Расчеты!AJ941)</f>
        <v>2032.8503880386008</v>
      </c>
      <c r="AK113" s="10">
        <f ca="1">SUM(Расчеты!AK834,Расчеты!AK843,Расчеты!AK851,Расчеты!AK941)</f>
        <v>3196.4128821012846</v>
      </c>
      <c r="AL113" s="10">
        <f ca="1">SUM(Расчеты!AL834,Расчеты!AL843,Расчеты!AL851,Расчеты!AL941)</f>
        <v>4125.3689511118728</v>
      </c>
      <c r="AM113" s="10">
        <f ca="1">SUM(Расчеты!AM834,Расчеты!AM843,Расчеты!AM851,Расчеты!AM941)</f>
        <v>2425.2663589615845</v>
      </c>
      <c r="AN113" s="10">
        <f ca="1">SUM(Расчеты!AN834,Расчеты!AN843,Расчеты!AN851,Расчеты!AN941)</f>
        <v>2389.1439567029352</v>
      </c>
      <c r="AO113" s="10">
        <f ca="1">SUM(Расчеты!AO834,Расчеты!AO843,Расчеты!AO851,Расчеты!AO941)</f>
        <v>3704.1858999436568</v>
      </c>
      <c r="AP113" s="10">
        <f ca="1">SUM(Расчеты!AP834,Расчеты!AP843,Расчеты!AP851,Расчеты!AP941)</f>
        <v>4647.9156849193732</v>
      </c>
      <c r="AQ113" s="10">
        <f ca="1">SUM(Расчеты!AQ834,Расчеты!AQ843,Расчеты!AQ851,Расчеты!AQ941)</f>
        <v>2658.6163113373459</v>
      </c>
      <c r="AR113" s="10">
        <f ca="1">SUM(Расчеты!AR834,Расчеты!AR843,Расчеты!AR851,Расчеты!AR941)</f>
        <v>2522.0737708352772</v>
      </c>
      <c r="AS113" s="10">
        <f ca="1">SUM(Расчеты!AS834,Расчеты!AS843,Расчеты!AS851,Расчеты!AS941)</f>
        <v>3852.3533359414032</v>
      </c>
      <c r="AT113" s="10">
        <f ca="1">SUM(Расчеты!AT834,Расчеты!AT843,Расчеты!AT851,Расчеты!AT941)</f>
        <v>4833.832312316149</v>
      </c>
      <c r="AU113" s="10">
        <f ca="1">SUM(Расчеты!AU834,Расчеты!AU843,Расчеты!AU851,Расчеты!AU941)</f>
        <v>2764.9609637908393</v>
      </c>
      <c r="AV113" s="10">
        <f ca="1">SUM(Расчеты!AV834,Расчеты!AV843,Расчеты!AV851,Расчеты!AV941)</f>
        <v>2622.9567216686883</v>
      </c>
      <c r="AW113" s="10">
        <f ca="1">SUM(Расчеты!AW834,Расчеты!AW843,Расчеты!AW851,Расчеты!AW941)</f>
        <v>4006.4474693790598</v>
      </c>
      <c r="AX113" s="10">
        <f ca="1">SUM(Расчеты!AX834,Расчеты!AX843,Расчеты!AX851,Расчеты!AX941)</f>
        <v>5027.1856048087939</v>
      </c>
      <c r="AY113" s="10">
        <f ca="1">SUM(Расчеты!AY834,Расчеты!AY843,Расчеты!AY851,Расчеты!AY941)</f>
        <v>2875.5594023424728</v>
      </c>
      <c r="AZ113" s="10">
        <f ca="1">SUM(Расчеты!AZ834,Расчеты!AZ843,Расчеты!AZ851,Расчеты!AZ941)</f>
        <v>2727.8749905354352</v>
      </c>
      <c r="BA113" s="10">
        <f ca="1">SUM(Расчеты!BA834,Расчеты!BA843,Расчеты!BA851,Расчеты!BA941)</f>
        <v>4166.7053681542193</v>
      </c>
      <c r="BB113" s="10">
        <f ca="1">SUM(Расчеты!BB834,Расчеты!BB843,Расчеты!BB851,Расчеты!BB941)</f>
        <v>5228.2730290011441</v>
      </c>
      <c r="BC113" s="10">
        <f ca="1">SUM(Расчеты!BC834,Расчеты!BC843,Расчеты!BC851,Расчеты!BC941)</f>
        <v>2990.5817784361711</v>
      </c>
      <c r="BD113" s="10">
        <f ca="1">SUM(Расчеты!BD834,Расчеты!BD843,Расчеты!BD851,Расчеты!BD941)</f>
        <v>2868.5121011585952</v>
      </c>
      <c r="BE113" s="10">
        <f ca="1">SUM(Расчеты!BE834,Расчеты!BE843,Расчеты!BE851,Расчеты!BE941)</f>
        <v>4333.3735828803883</v>
      </c>
      <c r="BF113" s="10">
        <f ca="1">SUM(Расчеты!BF834,Расчеты!BF843,Расчеты!BF851,Расчеты!BF941)</f>
        <v>5437.4039501611887</v>
      </c>
      <c r="BG113" s="10">
        <f ca="1">SUM(Расчеты!BG834,Расчеты!BG843,Расчеты!BG851,Расчеты!BG941)</f>
        <v>3110.2050495736175</v>
      </c>
      <c r="BH113" s="10">
        <f ca="1">SUM(Расчеты!BH834,Расчеты!BH843,Расчеты!BH851,Расчеты!BH941)</f>
        <v>2950.4695897631254</v>
      </c>
      <c r="BI113" s="10">
        <f ca="1">SUM(Расчеты!BI834,Расчеты!BI843,Расчеты!BI851,Расчеты!BI941)</f>
        <v>4506.7085261956036</v>
      </c>
      <c r="BJ113" s="10">
        <f ca="1">SUM(Расчеты!BJ834,Расчеты!BJ843,Расчеты!BJ851,Расчеты!BJ941)</f>
        <v>5654.900108167637</v>
      </c>
      <c r="BK113" s="10">
        <f ca="1">SUM(Расчеты!BK834,Расчеты!BK843,Расчеты!BK851,Расчеты!BK941)</f>
        <v>3234.6132515565614</v>
      </c>
      <c r="BL113" s="10">
        <f ca="1">SUM(Расчеты!BL834,Расчеты!BL843,Расчеты!BL851,Расчеты!BL941)</f>
        <v>3068.4883733536503</v>
      </c>
      <c r="BM113" s="10">
        <f ca="1">SUM(Расчеты!BM834,Расчеты!BM843,Расчеты!BM851,Расчеты!BM941)</f>
        <v>4686.9768672434275</v>
      </c>
      <c r="BN113" s="10">
        <f ca="1">SUM(Расчеты!BN834,Расчеты!BN843,Расчеты!BN851,Расчеты!BN941)</f>
        <v>5881.0961124943406</v>
      </c>
      <c r="BO113" s="10">
        <f ca="1">SUM(Расчеты!BO834,Расчеты!BO843,Расчеты!BO851,Расчеты!BO941)</f>
        <v>3363.9977816188234</v>
      </c>
      <c r="BP113" s="10">
        <f ca="1">SUM(Расчеты!BP834,Расчеты!BP843,Расчеты!BP851,Расчеты!BP941)</f>
        <v>3191.2279082877958</v>
      </c>
      <c r="BQ113" s="10">
        <f ca="1">SUM(Расчеты!BQ834,Расчеты!BQ843,Расчеты!BQ851,Расчеты!BQ941)</f>
        <v>4874.4559419331626</v>
      </c>
      <c r="BR113" s="10">
        <f ca="1">SUM(Расчеты!BR834,Расчеты!BR843,Расчеты!BR851,Расчеты!BR941)</f>
        <v>6116.3399569941139</v>
      </c>
      <c r="BS113" s="10">
        <f ca="1">SUM(Расчеты!BS834,Расчеты!BS843,Расчеты!BS851,Расчеты!BS941)</f>
        <v>3498.5576928835749</v>
      </c>
      <c r="BT113" s="10">
        <f ca="1">SUM(Расчеты!BT834,Расчеты!BT843,Расчеты!BT851,Расчеты!BT941)</f>
        <v>3355.7534360039663</v>
      </c>
      <c r="BU113" s="10">
        <f ca="1">SUM(Расчеты!BU834,Расчеты!BU843,Расчеты!BU851,Расчеты!BU941)</f>
        <v>5069.4341796104882</v>
      </c>
      <c r="BV113" s="10">
        <f ca="1">SUM(Расчеты!BV834,Расчеты!BV843,Расчеты!BV851,Расчеты!BV941)</f>
        <v>6360.9935552738762</v>
      </c>
      <c r="BW113" s="10">
        <f ca="1">SUM(Расчеты!BW834,Расчеты!BW843,Расчеты!BW851,Расчеты!BW941)</f>
        <v>3638.5000005989168</v>
      </c>
      <c r="BX113" s="10">
        <f ca="1">SUM(Расчеты!BX834,Расчеты!BX843,Расчеты!BX851,Расчеты!BX941)</f>
        <v>3451.6321056040788</v>
      </c>
      <c r="BY113" s="10">
        <f ca="1">SUM(Расчеты!BY834,Расчеты!BY843,Расчеты!BY851,Расчеты!BY941)</f>
        <v>5272.211546794907</v>
      </c>
      <c r="BZ113" s="10">
        <f ca="1">SUM(Расчеты!BZ834,Расчеты!BZ843,Расчеты!BZ851,Расчеты!BZ941)</f>
        <v>6615.4332974848303</v>
      </c>
      <c r="CA113" s="10">
        <f ca="1">SUM(Расчеты!CA834,Расчеты!CA843,Расчеты!CA851,Расчеты!CA941)</f>
        <v>3784.0400006228742</v>
      </c>
      <c r="CB113" s="10">
        <f ca="1">SUM(Расчеты!CB834,Расчеты!CB843,Расчеты!CB851,Расчеты!CB941)</f>
        <v>3589.6973898282422</v>
      </c>
      <c r="CC113" s="10">
        <f ca="1">SUM(Расчеты!CC834,Расчеты!CC843,Расчеты!CC851,Расчеты!CC941)</f>
        <v>5483.1000086667036</v>
      </c>
      <c r="CD113" s="10">
        <f ca="1">SUM(Расчеты!CD834,Расчеты!CD843,Расчеты!CD851,Расчеты!CD941)</f>
        <v>6880.0506293842236</v>
      </c>
      <c r="CE113" s="10">
        <f ca="1">SUM(Расчеты!CE834,Расчеты!CE843,Расчеты!CE851,Расчеты!CE941)</f>
        <v>3935.4016006477891</v>
      </c>
      <c r="CF113" s="10">
        <f ca="1">SUM(Расчеты!CF834,Расчеты!CF843,Расчеты!CF851,Расчеты!CF941)</f>
        <v>3733.2852854213711</v>
      </c>
      <c r="CG113" s="10">
        <f ca="1">SUM(Расчеты!CG834,Расчеты!CG843,Расчеты!CG851,Расчеты!CG941)</f>
        <v>5702.4240090133717</v>
      </c>
      <c r="CH113" s="10">
        <f ca="1">SUM(Расчеты!CH834,Расчеты!CH843,Расчеты!CH851,Расчеты!CH941)</f>
        <v>7155.252654559592</v>
      </c>
      <c r="CI113" s="10">
        <f ca="1">SUM(Расчеты!CI834,Расчеты!CI843,Расчеты!CI851,Расчеты!CI941)</f>
        <v>4092.8176646737006</v>
      </c>
      <c r="CJ113" s="10">
        <f ca="1">SUM(Расчеты!CJ834,Расчеты!CJ843,Расчеты!CJ851,Расчеты!CJ941)</f>
        <v>3925.7568823586498</v>
      </c>
      <c r="CK113" s="10">
        <f ca="1">SUM(Расчеты!CK834,Расчеты!CK843,Расчеты!CK851,Расчеты!CK941)</f>
        <v>5930.5209693739052</v>
      </c>
      <c r="CL113" s="10">
        <f ca="1">SUM(Расчеты!CL834,Расчеты!CL843,Расчеты!CL851,Расчеты!CL941)</f>
        <v>7441.4627607419743</v>
      </c>
      <c r="CM113" s="10">
        <f ca="1">SUM(Расчеты!CM834,Расчеты!CM843,Расчеты!CM851,Расчеты!CM941)</f>
        <v>4256.5303712606483</v>
      </c>
      <c r="CN113" s="10">
        <f ca="1">SUM(Расчеты!CN834,Расчеты!CN843,Расчеты!CN851,Расчеты!CN941)</f>
        <v>4037.921364711754</v>
      </c>
      <c r="CO113" s="10">
        <f ca="1">SUM(Расчеты!CO834,Расчеты!CO843,Расчеты!CO851,Расчеты!CO941)</f>
        <v>6167.7418081488613</v>
      </c>
    </row>
    <row r="114" spans="1:93" s="141" customFormat="1" ht="14.5" customHeight="1">
      <c r="A114" s="153"/>
      <c r="B114" s="153"/>
      <c r="C114" s="17" t="s">
        <v>1058</v>
      </c>
      <c r="D114" s="153"/>
      <c r="E114" s="153"/>
      <c r="F114" s="153"/>
      <c r="G114" s="11" t="str">
        <f t="shared" si="118"/>
        <v>тыс. руб.</v>
      </c>
      <c r="H114" s="153"/>
      <c r="I114" s="23">
        <f t="shared" ca="1" si="119"/>
        <v>461659.75933270936</v>
      </c>
      <c r="J114" s="153"/>
      <c r="K114" s="153"/>
      <c r="L114" s="10">
        <f ca="1">SUM(Расчеты!L835,Расчеты!L844,Расчеты!L852,Расчеты!L942)</f>
        <v>0</v>
      </c>
      <c r="M114" s="10">
        <f ca="1">SUM(Расчеты!M835,Расчеты!M844,Расчеты!M852,Расчеты!M942)</f>
        <v>0</v>
      </c>
      <c r="N114" s="10">
        <f ca="1">SUM(Расчеты!N835,Расчеты!N844,Расчеты!N852,Расчеты!N942)</f>
        <v>0</v>
      </c>
      <c r="O114" s="10">
        <f ca="1">SUM(Расчеты!O835,Расчеты!O844,Расчеты!O852,Расчеты!O942)</f>
        <v>0</v>
      </c>
      <c r="P114" s="10">
        <f ca="1">SUM(Расчеты!P835,Расчеты!P844,Расчеты!P852,Расчеты!P942)</f>
        <v>0</v>
      </c>
      <c r="Q114" s="10">
        <f ca="1">SUM(Расчеты!Q835,Расчеты!Q844,Расчеты!Q852,Расчеты!Q942)</f>
        <v>0</v>
      </c>
      <c r="R114" s="10">
        <f ca="1">SUM(Расчеты!R835,Расчеты!R844,Расчеты!R852,Расчеты!R942)</f>
        <v>0</v>
      </c>
      <c r="S114" s="10">
        <f ca="1">SUM(Расчеты!S835,Расчеты!S844,Расчеты!S852,Расчеты!S942)</f>
        <v>0</v>
      </c>
      <c r="T114" s="10">
        <f ca="1">SUM(Расчеты!T835,Расчеты!T844,Расчеты!T852,Расчеты!T942)</f>
        <v>0</v>
      </c>
      <c r="U114" s="10">
        <f ca="1">SUM(Расчеты!U835,Расчеты!U844,Расчеты!U852,Расчеты!U942)</f>
        <v>0</v>
      </c>
      <c r="V114" s="10">
        <f ca="1">SUM(Расчеты!V835,Расчеты!V844,Расчеты!V852,Расчеты!V942)</f>
        <v>0</v>
      </c>
      <c r="W114" s="10">
        <f ca="1">SUM(Расчеты!W835,Расчеты!W844,Расчеты!W852,Расчеты!W942)</f>
        <v>0</v>
      </c>
      <c r="X114" s="10">
        <f ca="1">SUM(Расчеты!X835,Расчеты!X844,Расчеты!X852,Расчеты!X942)</f>
        <v>0</v>
      </c>
      <c r="Y114" s="10">
        <f ca="1">SUM(Расчеты!Y835,Расчеты!Y844,Расчеты!Y852,Расчеты!Y942)</f>
        <v>0</v>
      </c>
      <c r="Z114" s="10">
        <f ca="1">SUM(Расчеты!Z835,Расчеты!Z844,Расчеты!Z852,Расчеты!Z942)</f>
        <v>0</v>
      </c>
      <c r="AA114" s="10">
        <f ca="1">SUM(Расчеты!AA835,Расчеты!AA844,Расчеты!AA852,Расчеты!AA942)</f>
        <v>0</v>
      </c>
      <c r="AB114" s="10">
        <f ca="1">SUM(Расчеты!AB835,Расчеты!AB844,Расчеты!AB852,Расчеты!AB942)</f>
        <v>0</v>
      </c>
      <c r="AC114" s="10">
        <f ca="1">SUM(Расчеты!AC835,Расчеты!AC844,Расчеты!AC852,Расчеты!AC942)</f>
        <v>4009.258805285242</v>
      </c>
      <c r="AD114" s="10">
        <f ca="1">SUM(Расчеты!AD835,Расчеты!AD844,Расчеты!AD852,Расчеты!AD942)</f>
        <v>5217.0359065997636</v>
      </c>
      <c r="AE114" s="10">
        <f ca="1">SUM(Расчеты!AE835,Расчеты!AE844,Расчеты!AE852,Расчеты!AE942)</f>
        <v>3090.73105676877</v>
      </c>
      <c r="AF114" s="10">
        <f ca="1">SUM(Расчеты!AF835,Расчеты!AF844,Расчеты!AF852,Расчеты!AF942)</f>
        <v>3033.0990537711205</v>
      </c>
      <c r="AG114" s="10">
        <f ca="1">SUM(Расчеты!AG835,Расчеты!AG844,Расчеты!AG852,Расчеты!AG942)</f>
        <v>4787.3519956443042</v>
      </c>
      <c r="AH114" s="10">
        <f ca="1">SUM(Расчеты!AH835,Расчеты!AH844,Расчеты!AH852,Расчеты!AH942)</f>
        <v>6200.8198204157234</v>
      </c>
      <c r="AI114" s="10">
        <f ca="1">SUM(Расчеты!AI835,Расчеты!AI844,Расчеты!AI852,Расчеты!AI942)</f>
        <v>3657.7203402863511</v>
      </c>
      <c r="AJ114" s="10">
        <f ca="1">SUM(Расчеты!AJ835,Расчеты!AJ844,Расчеты!AJ852,Расчеты!AJ942)</f>
        <v>3575.0127513782286</v>
      </c>
      <c r="AK114" s="10">
        <f ca="1">SUM(Расчеты!AK835,Расчеты!AK844,Расчеты!AK852,Расчеты!AK942)</f>
        <v>5621.2778271436364</v>
      </c>
      <c r="AL114" s="10">
        <f ca="1">SUM(Расчеты!AL835,Расчеты!AL844,Расчеты!AL852,Расчеты!AL942)</f>
        <v>7254.9591898863964</v>
      </c>
      <c r="AM114" s="10">
        <f ca="1">SUM(Расчеты!AM835,Расчеты!AM844,Расчеты!AM852,Расчеты!AM942)</f>
        <v>4265.1235967945104</v>
      </c>
      <c r="AN114" s="10">
        <f ca="1">SUM(Расчеты!AN835,Расчеты!AN844,Расчеты!AN852,Расчеты!AN942)</f>
        <v>4201.5979928224024</v>
      </c>
      <c r="AO114" s="10">
        <f ca="1">SUM(Расчеты!AO835,Расчеты!AO844,Расчеты!AO852,Расчеты!AO942)</f>
        <v>6514.257961969879</v>
      </c>
      <c r="AP114" s="10">
        <f ca="1">SUM(Расчеты!AP835,Расчеты!AP844,Расчеты!AP852,Расчеты!AP942)</f>
        <v>8173.9206872720006</v>
      </c>
      <c r="AQ114" s="10">
        <f ca="1">SUM(Расчеты!AQ835,Расчеты!AQ844,Расчеты!AQ852,Расчеты!AQ942)</f>
        <v>4675.497650972572</v>
      </c>
      <c r="AR114" s="10">
        <f ca="1">SUM(Расчеты!AR835,Расчеты!AR844,Расчеты!AR852,Расчеты!AR942)</f>
        <v>4435.3711142275561</v>
      </c>
      <c r="AS114" s="10">
        <f ca="1">SUM(Расчеты!AS835,Расчеты!AS844,Расчеты!AS852,Расчеты!AS942)</f>
        <v>6774.8282804486735</v>
      </c>
      <c r="AT114" s="10">
        <f ca="1">SUM(Расчеты!AT835,Расчеты!AT844,Расчеты!AT852,Расчеты!AT942)</f>
        <v>8500.8775147628821</v>
      </c>
      <c r="AU114" s="10">
        <f ca="1">SUM(Расчеты!AU835,Расчеты!AU844,Расчеты!AU852,Расчеты!AU942)</f>
        <v>4862.5175570114761</v>
      </c>
      <c r="AV114" s="10">
        <f ca="1">SUM(Расчеты!AV835,Расчеты!AV844,Расчеты!AV852,Расчеты!AV942)</f>
        <v>4612.7859587966568</v>
      </c>
      <c r="AW114" s="10">
        <f ca="1">SUM(Расчеты!AW835,Расчеты!AW844,Расчеты!AW852,Расчеты!AW942)</f>
        <v>7045.8214116666204</v>
      </c>
      <c r="AX114" s="10">
        <f ca="1">SUM(Расчеты!AX835,Расчеты!AX844,Расчеты!AX852,Расчеты!AX942)</f>
        <v>8840.9126153533944</v>
      </c>
      <c r="AY114" s="10">
        <f ca="1">SUM(Расчеты!AY835,Расчеты!AY844,Расчеты!AY852,Расчеты!AY942)</f>
        <v>5057.0182592919336</v>
      </c>
      <c r="AZ114" s="10">
        <f ca="1">SUM(Расчеты!AZ835,Расчеты!AZ844,Расчеты!AZ852,Расчеты!AZ942)</f>
        <v>4797.2973971485226</v>
      </c>
      <c r="BA114" s="10">
        <f ca="1">SUM(Расчеты!BA835,Расчеты!BA844,Расчеты!BA852,Расчеты!BA942)</f>
        <v>7327.654268133283</v>
      </c>
      <c r="BB114" s="10">
        <f ca="1">SUM(Расчеты!BB835,Расчеты!BB844,Расчеты!BB852,Расчеты!BB942)</f>
        <v>9194.5491199675271</v>
      </c>
      <c r="BC114" s="10">
        <f ca="1">SUM(Расчеты!BC835,Расчеты!BC844,Расчеты!BC852,Расчеты!BC942)</f>
        <v>5259.29898966361</v>
      </c>
      <c r="BD114" s="10">
        <f ca="1">SUM(Расчеты!BD835,Расчеты!BD844,Расчеты!BD852,Расчеты!BD942)</f>
        <v>5044.6247296237352</v>
      </c>
      <c r="BE114" s="10">
        <f ca="1">SUM(Расчеты!BE835,Расчеты!BE844,Расчеты!BE852,Расчеты!BE942)</f>
        <v>7620.7604388586133</v>
      </c>
      <c r="BF114" s="10">
        <f ca="1">SUM(Расчеты!BF835,Расчеты!BF844,Расчеты!BF852,Расчеты!BF942)</f>
        <v>9562.3310847662269</v>
      </c>
      <c r="BG114" s="10">
        <f ca="1">SUM(Расчеты!BG835,Расчеты!BG844,Расчеты!BG852,Расчеты!BG942)</f>
        <v>5469.6709492501541</v>
      </c>
      <c r="BH114" s="10">
        <f ca="1">SUM(Расчеты!BH835,Расчеты!BH844,Расчеты!BH852,Расчеты!BH942)</f>
        <v>5188.756864755841</v>
      </c>
      <c r="BI114" s="10">
        <f ca="1">SUM(Расчеты!BI835,Расчеты!BI844,Расчеты!BI852,Расчеты!BI942)</f>
        <v>7925.5908564129577</v>
      </c>
      <c r="BJ114" s="10">
        <f ca="1">SUM(Расчеты!BJ835,Расчеты!BJ844,Расчеты!BJ852,Расчеты!BJ942)</f>
        <v>9944.8243281568757</v>
      </c>
      <c r="BK114" s="10">
        <f ca="1">SUM(Расчеты!BK835,Расчеты!BK844,Расчеты!BK852,Расчеты!BK942)</f>
        <v>5688.4577872201589</v>
      </c>
      <c r="BL114" s="10">
        <f ca="1">SUM(Расчеты!BL835,Расчеты!BL844,Расчеты!BL852,Расчеты!BL942)</f>
        <v>5396.3071393460741</v>
      </c>
      <c r="BM114" s="10">
        <f ca="1">SUM(Расчеты!BM835,Расчеты!BM844,Расчеты!BM852,Расчеты!BM942)</f>
        <v>8242.6144906694753</v>
      </c>
      <c r="BN114" s="10">
        <f ca="1">SUM(Расчеты!BN835,Расчеты!BN844,Расчеты!BN852,Расчеты!BN942)</f>
        <v>10342.61730128315</v>
      </c>
      <c r="BO114" s="10">
        <f ca="1">SUM(Расчеты!BO835,Расчеты!BO844,Расчеты!BO852,Расчеты!BO942)</f>
        <v>5915.9960987089644</v>
      </c>
      <c r="BP114" s="10">
        <f ca="1">SUM(Расчеты!BP835,Расчеты!BP844,Расчеты!BP852,Расчеты!BP942)</f>
        <v>5612.1594249199161</v>
      </c>
      <c r="BQ114" s="10">
        <f ca="1">SUM(Расчеты!BQ835,Расчеты!BQ844,Расчеты!BQ852,Расчеты!BQ942)</f>
        <v>8572.3190702962511</v>
      </c>
      <c r="BR114" s="10">
        <f ca="1">SUM(Расчеты!BR835,Расчеты!BR844,Расчеты!BR852,Расчеты!BR942)</f>
        <v>10756.321993334474</v>
      </c>
      <c r="BS114" s="10">
        <f ca="1">SUM(Расчеты!BS835,Расчеты!BS844,Расчеты!BS852,Расчеты!BS942)</f>
        <v>6152.6359426573208</v>
      </c>
      <c r="BT114" s="10">
        <f ca="1">SUM(Расчеты!BT835,Расчеты!BT844,Расчеты!BT852,Расчеты!BT942)</f>
        <v>5901.4974219380092</v>
      </c>
      <c r="BU114" s="10">
        <f ca="1">SUM(Расчеты!BU835,Расчеты!BU844,Расчеты!BU852,Расчеты!BU942)</f>
        <v>8915.2118331080983</v>
      </c>
      <c r="BV114" s="10">
        <f ca="1">SUM(Расчеты!BV835,Расчеты!BV844,Расчеты!BV852,Расчеты!BV942)</f>
        <v>11186.57487306785</v>
      </c>
      <c r="BW114" s="10">
        <f ca="1">SUM(Расчеты!BW835,Расчеты!BW844,Расчеты!BW852,Расчеты!BW942)</f>
        <v>6398.7413803636118</v>
      </c>
      <c r="BX114" s="10">
        <f ca="1">SUM(Расчеты!BX835,Расчеты!BX844,Расчеты!BX852,Расчеты!BX942)</f>
        <v>6070.1116339933797</v>
      </c>
      <c r="BY114" s="10">
        <f ca="1">SUM(Расчеты!BY835,Расчеты!BY844,Расчеты!BY852,Расчеты!BY942)</f>
        <v>9271.8203064324207</v>
      </c>
      <c r="BZ114" s="10">
        <f ca="1">SUM(Расчеты!BZ835,Расчеты!BZ844,Расчеты!BZ852,Расчеты!BZ942)</f>
        <v>11634.037867990563</v>
      </c>
      <c r="CA114" s="10">
        <f ca="1">SUM(Расчеты!CA835,Расчеты!CA844,Расчеты!CA852,Расчеты!CA942)</f>
        <v>6654.6910355781565</v>
      </c>
      <c r="CB114" s="10">
        <f ca="1">SUM(Расчеты!CB835,Расчеты!CB844,Расчеты!CB852,Расчеты!CB942)</f>
        <v>6312.9160993531141</v>
      </c>
      <c r="CC114" s="10">
        <f ca="1">SUM(Расчеты!CC835,Расчеты!CC844,Расчеты!CC852,Расчеты!CC942)</f>
        <v>9642.69311868972</v>
      </c>
      <c r="CD114" s="10">
        <f ca="1">SUM(Расчеты!CD835,Расчеты!CD844,Расчеты!CD852,Расчеты!CD942)</f>
        <v>12099.399382710186</v>
      </c>
      <c r="CE114" s="10">
        <f ca="1">SUM(Расчеты!CE835,Расчеты!CE844,Расчеты!CE852,Расчеты!CE942)</f>
        <v>6920.8786770012821</v>
      </c>
      <c r="CF114" s="10">
        <f ca="1">SUM(Расчеты!CF835,Расчеты!CF844,Расчеты!CF852,Расчеты!CF942)</f>
        <v>6565.4327433272374</v>
      </c>
      <c r="CG114" s="10">
        <f ca="1">SUM(Расчеты!CG835,Расчеты!CG844,Расчеты!CG852,Расчеты!CG942)</f>
        <v>10028.400843437308</v>
      </c>
      <c r="CH114" s="10">
        <f ca="1">SUM(Расчеты!CH835,Расчеты!CH844,Расчеты!CH852,Расчеты!CH942)</f>
        <v>12583.375358018589</v>
      </c>
      <c r="CI114" s="10">
        <f ca="1">SUM(Расчеты!CI835,Расчеты!CI844,Расчеты!CI852,Расчеты!CI942)</f>
        <v>7197.7138240813347</v>
      </c>
      <c r="CJ114" s="10">
        <f ca="1">SUM(Расчеты!CJ835,Расчеты!CJ844,Расчеты!CJ852,Расчеты!CJ942)</f>
        <v>6903.9172758721079</v>
      </c>
      <c r="CK114" s="10">
        <f ca="1">SUM(Расчеты!CK835,Расчеты!CK844,Расчеты!CK852,Расчеты!CK942)</f>
        <v>10429.536877174798</v>
      </c>
      <c r="CL114" s="10">
        <f ca="1">SUM(Расчеты!CL835,Расчеты!CL844,Расчеты!CL852,Расчеты!CL942)</f>
        <v>13086.710372339334</v>
      </c>
      <c r="CM114" s="10">
        <f ca="1">SUM(Расчеты!CM835,Расчеты!CM844,Расчеты!CM852,Расчеты!CM942)</f>
        <v>7485.6223770445877</v>
      </c>
      <c r="CN114" s="10">
        <f ca="1">SUM(Расчеты!CN835,Расчеты!CN844,Расчеты!CN852,Расчеты!CN942)</f>
        <v>7101.1720551827393</v>
      </c>
      <c r="CO114" s="10">
        <f ca="1">SUM(Расчеты!CO835,Расчеты!CO844,Расчеты!CO852,Расчеты!CO942)</f>
        <v>10846.718352261789</v>
      </c>
    </row>
    <row r="115" spans="1:93" s="141" customFormat="1" ht="14.5" customHeight="1" thickBot="1">
      <c r="A115" s="153"/>
      <c r="B115" s="153"/>
      <c r="C115" s="17" t="s">
        <v>1059</v>
      </c>
      <c r="D115" s="153"/>
      <c r="E115" s="153"/>
      <c r="F115" s="153"/>
      <c r="G115" s="11" t="str">
        <f t="shared" si="118"/>
        <v>тыс. руб.</v>
      </c>
      <c r="H115" s="153"/>
      <c r="I115" s="23">
        <f t="shared" ca="1" si="119"/>
        <v>18104.304287557236</v>
      </c>
      <c r="J115" s="153"/>
      <c r="K115" s="153"/>
      <c r="L115" s="10">
        <f ca="1">SUM(Расчеты!L836,Расчеты!L845,Расчеты!L853,Расчеты!L943)</f>
        <v>0</v>
      </c>
      <c r="M115" s="10">
        <f ca="1">SUM(Расчеты!M836,Расчеты!M845,Расчеты!M853,Расчеты!M943)</f>
        <v>0</v>
      </c>
      <c r="N115" s="10">
        <f ca="1">SUM(Расчеты!N836,Расчеты!N845,Расчеты!N853,Расчеты!N943)</f>
        <v>0</v>
      </c>
      <c r="O115" s="10">
        <f ca="1">SUM(Расчеты!O836,Расчеты!O845,Расчеты!O853,Расчеты!O943)</f>
        <v>0</v>
      </c>
      <c r="P115" s="10">
        <f ca="1">SUM(Расчеты!P836,Расчеты!P845,Расчеты!P853,Расчеты!P943)</f>
        <v>0</v>
      </c>
      <c r="Q115" s="10">
        <f ca="1">SUM(Расчеты!Q836,Расчеты!Q845,Расчеты!Q853,Расчеты!Q943)</f>
        <v>0</v>
      </c>
      <c r="R115" s="10">
        <f ca="1">SUM(Расчеты!R836,Расчеты!R845,Расчеты!R853,Расчеты!R943)</f>
        <v>0</v>
      </c>
      <c r="S115" s="10">
        <f ca="1">SUM(Расчеты!S836,Расчеты!S845,Расчеты!S853,Расчеты!S943)</f>
        <v>0</v>
      </c>
      <c r="T115" s="10">
        <f ca="1">SUM(Расчеты!T836,Расчеты!T845,Расчеты!T853,Расчеты!T943)</f>
        <v>0</v>
      </c>
      <c r="U115" s="10">
        <f ca="1">SUM(Расчеты!U836,Расчеты!U845,Расчеты!U853,Расчеты!U943)</f>
        <v>0</v>
      </c>
      <c r="V115" s="10">
        <f ca="1">SUM(Расчеты!V836,Расчеты!V845,Расчеты!V853,Расчеты!V943)</f>
        <v>0</v>
      </c>
      <c r="W115" s="10">
        <f ca="1">SUM(Расчеты!W836,Расчеты!W845,Расчеты!W853,Расчеты!W943)</f>
        <v>0</v>
      </c>
      <c r="X115" s="10">
        <f ca="1">SUM(Расчеты!X836,Расчеты!X845,Расчеты!X853,Расчеты!X943)</f>
        <v>0</v>
      </c>
      <c r="Y115" s="10">
        <f ca="1">SUM(Расчеты!Y836,Расчеты!Y845,Расчеты!Y853,Расчеты!Y943)</f>
        <v>0</v>
      </c>
      <c r="Z115" s="10">
        <f ca="1">SUM(Расчеты!Z836,Расчеты!Z845,Расчеты!Z853,Расчеты!Z943)</f>
        <v>0</v>
      </c>
      <c r="AA115" s="10">
        <f ca="1">SUM(Расчеты!AA836,Расчеты!AA845,Расчеты!AA853,Расчеты!AA943)</f>
        <v>0</v>
      </c>
      <c r="AB115" s="10">
        <f ca="1">SUM(Расчеты!AB836,Расчеты!AB845,Расчеты!AB853,Расчеты!AB943)</f>
        <v>0</v>
      </c>
      <c r="AC115" s="10">
        <f ca="1">SUM(Расчеты!AC836,Расчеты!AC845,Расчеты!AC853,Расчеты!AC943)</f>
        <v>157.22583550138202</v>
      </c>
      <c r="AD115" s="10">
        <f ca="1">SUM(Расчеты!AD836,Расчеты!AD845,Расчеты!AD853,Расчеты!AD943)</f>
        <v>204.58964339606919</v>
      </c>
      <c r="AE115" s="10">
        <f ca="1">SUM(Расчеты!AE836,Расчеты!AE845,Расчеты!AE853,Расчеты!AE943)</f>
        <v>121.20513948112823</v>
      </c>
      <c r="AF115" s="10">
        <f ca="1">SUM(Расчеты!AF836,Расчеты!AF845,Расчеты!AF853,Расчеты!AF943)</f>
        <v>118.9450609322008</v>
      </c>
      <c r="AG115" s="10">
        <f ca="1">SUM(Расчеты!AG836,Расчеты!AG845,Расчеты!AG853,Расчеты!AG943)</f>
        <v>187.73929394683549</v>
      </c>
      <c r="AH115" s="10">
        <f ca="1">SUM(Расчеты!AH836,Расчеты!AH845,Расчеты!AH853,Расчеты!AH943)</f>
        <v>243.16940472218525</v>
      </c>
      <c r="AI115" s="10">
        <f ca="1">SUM(Расчеты!AI836,Расчеты!AI845,Расчеты!AI853,Расчеты!AI943)</f>
        <v>143.4400133445628</v>
      </c>
      <c r="AJ115" s="10">
        <f ca="1">SUM(Расчеты!AJ836,Расчеты!AJ845,Расчеты!AJ853,Расчеты!AJ943)</f>
        <v>140.19657848542076</v>
      </c>
      <c r="AK115" s="10">
        <f ca="1">SUM(Расчеты!AK836,Расчеты!AK845,Расчеты!AK853,Расчеты!AK943)</f>
        <v>220.44226773112305</v>
      </c>
      <c r="AL115" s="10">
        <f ca="1">SUM(Расчеты!AL836,Расчеты!AL845,Расчеты!AL853,Расчеты!AL943)</f>
        <v>284.50820352495674</v>
      </c>
      <c r="AM115" s="10">
        <f ca="1">SUM(Расчеты!AM836,Расчеты!AM845,Расчеты!AM853,Расчеты!AM943)</f>
        <v>167.25974889390235</v>
      </c>
      <c r="AN115" s="10">
        <f ca="1">SUM(Расчеты!AN836,Расчеты!AN845,Расчеты!AN853,Расчеты!AN943)</f>
        <v>164.76854873813343</v>
      </c>
      <c r="AO115" s="10">
        <f ca="1">SUM(Расчеты!AO836,Расчеты!AO845,Расчеты!AO853,Расчеты!AO943)</f>
        <v>255.46109654783839</v>
      </c>
      <c r="AP115" s="10">
        <f ca="1">SUM(Расчеты!AP836,Расчеты!AP845,Расчеты!AP853,Расчеты!AP943)</f>
        <v>320.54590930478435</v>
      </c>
      <c r="AQ115" s="10">
        <f ca="1">SUM(Расчеты!AQ836,Расчеты!AQ845,Расчеты!AQ853,Расчеты!AQ943)</f>
        <v>183.35284905774796</v>
      </c>
      <c r="AR115" s="10">
        <f ca="1">SUM(Расчеты!AR836,Расчеты!AR845,Расчеты!AR853,Расчеты!AR943)</f>
        <v>173.93612212657084</v>
      </c>
      <c r="AS115" s="10">
        <f ca="1">SUM(Расчеты!AS836,Расчеты!AS845,Расчеты!AS853,Расчеты!AS943)</f>
        <v>265.67954040975189</v>
      </c>
      <c r="AT115" s="10">
        <f ca="1">SUM(Расчеты!AT836,Расчеты!AT845,Расчеты!AT853,Расчеты!AT943)</f>
        <v>333.3677456769758</v>
      </c>
      <c r="AU115" s="10">
        <f ca="1">SUM(Расчеты!AU836,Расчеты!AU845,Расчеты!AU853,Расчеты!AU943)</f>
        <v>190.68696302005785</v>
      </c>
      <c r="AV115" s="10">
        <f ca="1">SUM(Расчеты!AV836,Расчеты!AV845,Расчеты!AV853,Расчеты!AV943)</f>
        <v>180.89356701163365</v>
      </c>
      <c r="AW115" s="10">
        <f ca="1">SUM(Расчеты!AW836,Расчеты!AW845,Расчеты!AW853,Расчеты!AW943)</f>
        <v>276.30672202614204</v>
      </c>
      <c r="AX115" s="10">
        <f ca="1">SUM(Расчеты!AX836,Расчеты!AX845,Расчеты!AX853,Расчеты!AX943)</f>
        <v>346.70245550405468</v>
      </c>
      <c r="AY115" s="10">
        <f ca="1">SUM(Расчеты!AY836,Расчеты!AY845,Расчеты!AY853,Расчеты!AY943)</f>
        <v>198.3144415408602</v>
      </c>
      <c r="AZ115" s="10">
        <f ca="1">SUM(Расчеты!AZ836,Расчеты!AZ845,Расчеты!AZ853,Расчеты!AZ943)</f>
        <v>188.12930969209893</v>
      </c>
      <c r="BA115" s="10">
        <f ca="1">SUM(Расчеты!BA836,Расчеты!BA845,Расчеты!BA853,Расчеты!BA943)</f>
        <v>287.3589909071876</v>
      </c>
      <c r="BB115" s="10">
        <f ca="1">SUM(Расчеты!BB836,Расчеты!BB845,Расчеты!BB853,Расчеты!BB943)</f>
        <v>360.57055372421678</v>
      </c>
      <c r="BC115" s="10">
        <f ca="1">SUM(Расчеты!BC836,Расчеты!BC845,Расчеты!BC853,Расчеты!BC943)</f>
        <v>206.2470192024945</v>
      </c>
      <c r="BD115" s="10">
        <f ca="1">SUM(Расчеты!BD836,Расчеты!BD845,Расчеты!BD853,Расчеты!BD943)</f>
        <v>197.82842076955825</v>
      </c>
      <c r="BE115" s="10">
        <f ca="1">SUM(Расчеты!BE836,Расчеты!BE845,Расчеты!BE853,Расчеты!BE943)</f>
        <v>298.85335054347507</v>
      </c>
      <c r="BF115" s="10">
        <f ca="1">SUM(Расчеты!BF836,Расчеты!BF845,Расчеты!BF853,Расчеты!BF943)</f>
        <v>374.99337587318547</v>
      </c>
      <c r="BG115" s="10">
        <f ca="1">SUM(Расчеты!BG836,Расчеты!BG845,Расчеты!BG853,Расчеты!BG943)</f>
        <v>214.49689997059428</v>
      </c>
      <c r="BH115" s="10">
        <f ca="1">SUM(Расчеты!BH836,Расчеты!BH845,Расчеты!BH853,Расчеты!BH943)</f>
        <v>203.48066136297416</v>
      </c>
      <c r="BI115" s="10">
        <f ca="1">SUM(Расчеты!BI836,Расчеты!BI845,Расчеты!BI853,Расчеты!BI943)</f>
        <v>310.80748456521405</v>
      </c>
      <c r="BJ115" s="10">
        <f ca="1">SUM(Расчеты!BJ836,Расчеты!BJ845,Расчеты!BJ853,Расчеты!BJ943)</f>
        <v>389.9931109081129</v>
      </c>
      <c r="BK115" s="10">
        <f ca="1">SUM(Расчеты!BK836,Расчеты!BK845,Расчеты!BK853,Расчеты!BK943)</f>
        <v>223.07677596941804</v>
      </c>
      <c r="BL115" s="10">
        <f ca="1">SUM(Расчеты!BL836,Расчеты!BL845,Расчеты!BL853,Расчеты!BL943)</f>
        <v>211.61988781749312</v>
      </c>
      <c r="BM115" s="10">
        <f ca="1">SUM(Расчеты!BM836,Расчеты!BM845,Расчеты!BM853,Расчеты!BM943)</f>
        <v>323.23978394782256</v>
      </c>
      <c r="BN115" s="10">
        <f ca="1">SUM(Расчеты!BN836,Расчеты!BN845,Расчеты!BN853,Расчеты!BN943)</f>
        <v>405.59283534443728</v>
      </c>
      <c r="BO115" s="10">
        <f ca="1">SUM(Расчеты!BO836,Расчеты!BO845,Расчеты!BO853,Расчеты!BO943)</f>
        <v>231.99984700819471</v>
      </c>
      <c r="BP115" s="10">
        <f ca="1">SUM(Расчеты!BP836,Расчеты!BP845,Расчеты!BP853,Расчеты!BP943)</f>
        <v>220.08468333019283</v>
      </c>
      <c r="BQ115" s="10">
        <f ca="1">SUM(Расчеты!BQ836,Расчеты!BQ845,Расчеты!BQ853,Расчеты!BQ943)</f>
        <v>336.1693753057354</v>
      </c>
      <c r="BR115" s="10">
        <f ca="1">SUM(Расчеты!BR836,Расчеты!BR845,Расчеты!BR853,Расчеты!BR943)</f>
        <v>421.81654875821471</v>
      </c>
      <c r="BS115" s="10">
        <f ca="1">SUM(Расчеты!BS836,Расчеты!BS845,Расчеты!BS853,Расчеты!BS943)</f>
        <v>241.27984088852244</v>
      </c>
      <c r="BT115" s="10">
        <f ca="1">SUM(Расчеты!BT836,Расчеты!BT845,Расчеты!BT853,Расчеты!BT943)</f>
        <v>231.43127144854938</v>
      </c>
      <c r="BU115" s="10">
        <f ca="1">SUM(Расчеты!BU836,Расчеты!BU845,Расчеты!BU853,Расчеты!BU943)</f>
        <v>349.61615031796475</v>
      </c>
      <c r="BV115" s="10">
        <f ca="1">SUM(Расчеты!BV836,Расчеты!BV845,Расчеты!BV853,Расчеты!BV943)</f>
        <v>438.6892107085431</v>
      </c>
      <c r="BW115" s="10">
        <f ca="1">SUM(Расчеты!BW836,Расчеты!BW845,Расчеты!BW853,Расчеты!BW943)</f>
        <v>250.93103452406325</v>
      </c>
      <c r="BX115" s="10">
        <f ca="1">SUM(Расчеты!BX836,Расчеты!BX845,Расчеты!BX853,Расчеты!BX943)</f>
        <v>238.04359348993648</v>
      </c>
      <c r="BY115" s="10">
        <f ca="1">SUM(Расчеты!BY836,Расчеты!BY845,Расчеты!BY853,Расчеты!BY943)</f>
        <v>363.60079633068324</v>
      </c>
      <c r="BZ115" s="10">
        <f ca="1">SUM(Расчеты!BZ836,Расчеты!BZ845,Расчеты!BZ853,Расчеты!BZ943)</f>
        <v>456.23677913688488</v>
      </c>
      <c r="CA115" s="10">
        <f ca="1">SUM(Расчеты!CA836,Расчеты!CA845,Расчеты!CA853,Расчеты!CA943)</f>
        <v>260.96827590502579</v>
      </c>
      <c r="CB115" s="10">
        <f ca="1">SUM(Расчеты!CB836,Расчеты!CB845,Расчеты!CB853,Расчеты!CB943)</f>
        <v>247.56533722953395</v>
      </c>
      <c r="CC115" s="10">
        <f ca="1">SUM(Расчеты!CC836,Расчеты!CC845,Расчеты!CC853,Расчеты!CC943)</f>
        <v>378.14482818391059</v>
      </c>
      <c r="CD115" s="10">
        <f ca="1">SUM(Расчеты!CD836,Расчеты!CD845,Расчеты!CD853,Расчеты!CD943)</f>
        <v>474.48625030236025</v>
      </c>
      <c r="CE115" s="10">
        <f ca="1">SUM(Расчеты!CE836,Расчеты!CE845,Расчеты!CE853,Расчеты!CE943)</f>
        <v>271.40700694122683</v>
      </c>
      <c r="CF115" s="10">
        <f ca="1">SUM(Расчеты!CF836,Расчеты!CF845,Расчеты!CF853,Расчеты!CF943)</f>
        <v>257.4679507187152</v>
      </c>
      <c r="CG115" s="10">
        <f ca="1">SUM(Расчеты!CG836,Расчеты!CG845,Расчеты!CG853,Расчеты!CG943)</f>
        <v>393.27062131126706</v>
      </c>
      <c r="CH115" s="10">
        <f ca="1">SUM(Расчеты!CH836,Расчеты!CH845,Расчеты!CH853,Расчеты!CH943)</f>
        <v>493.46570031445458</v>
      </c>
      <c r="CI115" s="10">
        <f ca="1">SUM(Расчеты!CI836,Расчеты!CI845,Расчеты!CI853,Расчеты!CI943)</f>
        <v>282.26328721887592</v>
      </c>
      <c r="CJ115" s="10">
        <f ca="1">SUM(Расчеты!CJ836,Расчеты!CJ845,Расчеты!CJ853,Расчеты!CJ943)</f>
        <v>270.74185395576899</v>
      </c>
      <c r="CK115" s="10">
        <f ca="1">SUM(Расчеты!CK836,Расчеты!CK845,Расчеты!CK853,Расчеты!CK943)</f>
        <v>409.00144616371762</v>
      </c>
      <c r="CL115" s="10">
        <f ca="1">SUM(Расчеты!CL836,Расчеты!CL845,Расчеты!CL853,Расчеты!CL943)</f>
        <v>513.20432832703273</v>
      </c>
      <c r="CM115" s="10">
        <f ca="1">SUM(Расчеты!CM836,Расчеты!CM845,Расчеты!CM853,Расчеты!CM943)</f>
        <v>293.55381870763091</v>
      </c>
      <c r="CN115" s="10">
        <f ca="1">SUM(Расчеты!CN836,Расчеты!CN845,Расчеты!CN853,Расчеты!CN943)</f>
        <v>278.47733549736239</v>
      </c>
      <c r="CO115" s="10">
        <f ca="1">SUM(Расчеты!CO836,Расчеты!CO845,Расчеты!CO853,Расчеты!CO943)</f>
        <v>425.36150401026629</v>
      </c>
    </row>
    <row r="116" spans="1:93" s="141" customFormat="1" ht="15" customHeight="1" thickTop="1">
      <c r="A116" s="153"/>
      <c r="B116" s="153"/>
      <c r="C116" s="49" t="s">
        <v>1060</v>
      </c>
      <c r="D116" s="49"/>
      <c r="E116" s="49"/>
      <c r="F116" s="49"/>
      <c r="G116" s="159" t="str">
        <f t="shared" si="118"/>
        <v>тыс. руб.</v>
      </c>
      <c r="H116" s="49"/>
      <c r="I116" s="23">
        <f t="shared" ca="1" si="119"/>
        <v>11785902.091199763</v>
      </c>
      <c r="J116" s="49"/>
      <c r="K116" s="49"/>
      <c r="L116" s="49">
        <f ca="1">SUM(L111:L115)</f>
        <v>0</v>
      </c>
      <c r="M116" s="49">
        <f t="shared" ref="M116:AY116" ca="1" si="120">SUM(M111:M115)</f>
        <v>0</v>
      </c>
      <c r="N116" s="49">
        <f t="shared" ca="1" si="120"/>
        <v>0</v>
      </c>
      <c r="O116" s="49">
        <f t="shared" ca="1" si="120"/>
        <v>0</v>
      </c>
      <c r="P116" s="49">
        <f t="shared" ca="1" si="120"/>
        <v>0</v>
      </c>
      <c r="Q116" s="49">
        <f t="shared" ca="1" si="120"/>
        <v>0</v>
      </c>
      <c r="R116" s="49">
        <f t="shared" ca="1" si="120"/>
        <v>0</v>
      </c>
      <c r="S116" s="49">
        <f t="shared" ca="1" si="120"/>
        <v>0</v>
      </c>
      <c r="T116" s="49">
        <f t="shared" ca="1" si="120"/>
        <v>0</v>
      </c>
      <c r="U116" s="49">
        <f t="shared" ca="1" si="120"/>
        <v>0</v>
      </c>
      <c r="V116" s="49">
        <f t="shared" ca="1" si="120"/>
        <v>0</v>
      </c>
      <c r="W116" s="49">
        <f t="shared" ca="1" si="120"/>
        <v>0</v>
      </c>
      <c r="X116" s="49">
        <f t="shared" ca="1" si="120"/>
        <v>0</v>
      </c>
      <c r="Y116" s="49">
        <f t="shared" ca="1" si="120"/>
        <v>0</v>
      </c>
      <c r="Z116" s="49">
        <f t="shared" ca="1" si="120"/>
        <v>0</v>
      </c>
      <c r="AA116" s="49">
        <f t="shared" ca="1" si="120"/>
        <v>0</v>
      </c>
      <c r="AB116" s="49">
        <f t="shared" ca="1" si="120"/>
        <v>0</v>
      </c>
      <c r="AC116" s="49">
        <f t="shared" ca="1" si="120"/>
        <v>102354.0189113997</v>
      </c>
      <c r="AD116" s="49">
        <f t="shared" ca="1" si="120"/>
        <v>133187.85785084101</v>
      </c>
      <c r="AE116" s="49">
        <f t="shared" ca="1" si="120"/>
        <v>78904.545802214474</v>
      </c>
      <c r="AF116" s="49">
        <f t="shared" ca="1" si="120"/>
        <v>77433.234666862714</v>
      </c>
      <c r="AG116" s="49">
        <f t="shared" ca="1" si="120"/>
        <v>122218.28035938992</v>
      </c>
      <c r="AH116" s="49">
        <f t="shared" ca="1" si="120"/>
        <v>158303.28247414262</v>
      </c>
      <c r="AI116" s="49">
        <f t="shared" ca="1" si="120"/>
        <v>93379.448687310374</v>
      </c>
      <c r="AJ116" s="49">
        <f t="shared" ca="1" si="120"/>
        <v>91267.972594008912</v>
      </c>
      <c r="AK116" s="49">
        <f t="shared" ca="1" si="120"/>
        <v>143507.9162929611</v>
      </c>
      <c r="AL116" s="49">
        <f t="shared" ca="1" si="120"/>
        <v>185214.84049474684</v>
      </c>
      <c r="AM116" s="49">
        <f t="shared" ca="1" si="120"/>
        <v>108886.09652993044</v>
      </c>
      <c r="AN116" s="49">
        <f t="shared" ca="1" si="120"/>
        <v>107264.32522852486</v>
      </c>
      <c r="AO116" s="49">
        <f t="shared" ca="1" si="120"/>
        <v>166305.17385264279</v>
      </c>
      <c r="AP116" s="49">
        <f t="shared" ca="1" si="120"/>
        <v>208675.38695741462</v>
      </c>
      <c r="AQ116" s="49">
        <f t="shared" ca="1" si="120"/>
        <v>119362.70473659391</v>
      </c>
      <c r="AR116" s="49">
        <f t="shared" ca="1" si="120"/>
        <v>113232.41550439762</v>
      </c>
      <c r="AS116" s="49">
        <f t="shared" ca="1" si="120"/>
        <v>172957.38080674855</v>
      </c>
      <c r="AT116" s="49">
        <f t="shared" ca="1" si="120"/>
        <v>217022.40243571124</v>
      </c>
      <c r="AU116" s="49">
        <f t="shared" ca="1" si="120"/>
        <v>124137.21292605766</v>
      </c>
      <c r="AV116" s="49">
        <f t="shared" ca="1" si="120"/>
        <v>117761.71212457347</v>
      </c>
      <c r="AW116" s="49">
        <f t="shared" ca="1" si="120"/>
        <v>179875.67603901844</v>
      </c>
      <c r="AX116" s="49">
        <f t="shared" ca="1" si="120"/>
        <v>225703.29853313958</v>
      </c>
      <c r="AY116" s="49">
        <f t="shared" ca="1" si="120"/>
        <v>129102.70144309997</v>
      </c>
      <c r="AZ116" s="49">
        <f t="shared" ref="AZ116:CM116" ca="1" si="121">SUM(AZ111:AZ115)</f>
        <v>122472.1806095564</v>
      </c>
      <c r="BA116" s="49">
        <f t="shared" ca="1" si="121"/>
        <v>187070.70308057911</v>
      </c>
      <c r="BB116" s="49">
        <f t="shared" ca="1" si="121"/>
        <v>234731.43047446516</v>
      </c>
      <c r="BC116" s="49">
        <f t="shared" ca="1" si="121"/>
        <v>134266.80950082393</v>
      </c>
      <c r="BD116" s="49">
        <f t="shared" ca="1" si="121"/>
        <v>128786.30192098244</v>
      </c>
      <c r="BE116" s="49">
        <f t="shared" ca="1" si="121"/>
        <v>194553.53120380227</v>
      </c>
      <c r="BF116" s="49">
        <f t="shared" ca="1" si="121"/>
        <v>244120.6876934437</v>
      </c>
      <c r="BG116" s="49">
        <f t="shared" ca="1" si="121"/>
        <v>139637.48188085688</v>
      </c>
      <c r="BH116" s="49">
        <f t="shared" ca="1" si="121"/>
        <v>132465.91054729617</v>
      </c>
      <c r="BI116" s="49">
        <f t="shared" ca="1" si="121"/>
        <v>202335.67245195436</v>
      </c>
      <c r="BJ116" s="49">
        <f t="shared" ca="1" si="121"/>
        <v>253885.51520118146</v>
      </c>
      <c r="BK116" s="49">
        <f t="shared" ca="1" si="121"/>
        <v>145222.98115609112</v>
      </c>
      <c r="BL116" s="49">
        <f t="shared" ca="1" si="121"/>
        <v>137764.54696918806</v>
      </c>
      <c r="BM116" s="49">
        <f t="shared" ca="1" si="121"/>
        <v>210429.09935003248</v>
      </c>
      <c r="BN116" s="49">
        <f t="shared" ca="1" si="121"/>
        <v>264040.93580922869</v>
      </c>
      <c r="BO116" s="49">
        <f t="shared" ca="1" si="121"/>
        <v>151031.90040233478</v>
      </c>
      <c r="BP116" s="49">
        <f t="shared" ca="1" si="121"/>
        <v>143275.12884795555</v>
      </c>
      <c r="BQ116" s="49">
        <f t="shared" ca="1" si="121"/>
        <v>218846.26332403373</v>
      </c>
      <c r="BR116" s="49">
        <f t="shared" ca="1" si="121"/>
        <v>274602.57324159774</v>
      </c>
      <c r="BS116" s="49">
        <f t="shared" ca="1" si="121"/>
        <v>157073.17641842808</v>
      </c>
      <c r="BT116" s="49">
        <f t="shared" ca="1" si="121"/>
        <v>150661.75771300565</v>
      </c>
      <c r="BU116" s="49">
        <f t="shared" ca="1" si="121"/>
        <v>227600.11385699504</v>
      </c>
      <c r="BV116" s="49">
        <f t="shared" ca="1" si="121"/>
        <v>285586.67617126158</v>
      </c>
      <c r="BW116" s="49">
        <f t="shared" ca="1" si="121"/>
        <v>163356.10347516518</v>
      </c>
      <c r="BX116" s="49">
        <f t="shared" ca="1" si="121"/>
        <v>154966.37936194867</v>
      </c>
      <c r="BY116" s="49">
        <f t="shared" ca="1" si="121"/>
        <v>236704.1184112748</v>
      </c>
      <c r="BZ116" s="49">
        <f t="shared" ca="1" si="121"/>
        <v>297010.143218112</v>
      </c>
      <c r="CA116" s="49">
        <f t="shared" ca="1" si="121"/>
        <v>169890.34761417177</v>
      </c>
      <c r="CB116" s="49">
        <f t="shared" ca="1" si="121"/>
        <v>161165.03453642657</v>
      </c>
      <c r="CC116" s="49">
        <f t="shared" ca="1" si="121"/>
        <v>246172.28314772577</v>
      </c>
      <c r="CD116" s="49">
        <f t="shared" ca="1" si="121"/>
        <v>308890.5489468365</v>
      </c>
      <c r="CE116" s="49">
        <f t="shared" ca="1" si="121"/>
        <v>176685.96151873862</v>
      </c>
      <c r="CF116" s="49">
        <f t="shared" ca="1" si="121"/>
        <v>167611.6359178836</v>
      </c>
      <c r="CG116" s="49">
        <f t="shared" ca="1" si="121"/>
        <v>256019.17447363483</v>
      </c>
      <c r="CH116" s="49">
        <f t="shared" ca="1" si="121"/>
        <v>321246.17090470996</v>
      </c>
      <c r="CI116" s="49">
        <f t="shared" ca="1" si="121"/>
        <v>183753.3999794882</v>
      </c>
      <c r="CJ116" s="49">
        <f t="shared" ca="1" si="121"/>
        <v>176252.94692520559</v>
      </c>
      <c r="CK116" s="49">
        <f t="shared" ca="1" si="121"/>
        <v>266259.9414525801</v>
      </c>
      <c r="CL116" s="49">
        <f t="shared" ca="1" si="121"/>
        <v>334096.0177408983</v>
      </c>
      <c r="CM116" s="49">
        <f t="shared" ca="1" si="121"/>
        <v>191103.53597866773</v>
      </c>
      <c r="CN116" s="49">
        <f t="shared" ref="CN116:CO116" ca="1" si="122">SUM(CN111:CN115)</f>
        <v>181288.74540878288</v>
      </c>
      <c r="CO116" s="49">
        <f t="shared" ca="1" si="122"/>
        <v>276910.33911068342</v>
      </c>
    </row>
    <row r="117" spans="1:93" s="141" customFormat="1" ht="14.5" customHeight="1">
      <c r="A117" s="153"/>
      <c r="B117" s="153"/>
      <c r="C117" s="153"/>
      <c r="D117" s="153"/>
      <c r="E117" s="153"/>
      <c r="F117" s="153"/>
      <c r="G117" s="179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E117" s="153"/>
      <c r="BF117" s="153"/>
      <c r="BG117" s="153"/>
      <c r="BH117" s="153"/>
      <c r="BI117" s="153"/>
      <c r="BJ117" s="153"/>
      <c r="BK117" s="153"/>
      <c r="BL117" s="153"/>
      <c r="BM117" s="153"/>
      <c r="BN117" s="153"/>
      <c r="BO117" s="153"/>
      <c r="BP117" s="153"/>
      <c r="BQ117" s="153"/>
      <c r="BR117" s="153"/>
      <c r="BS117" s="153"/>
      <c r="BT117" s="153"/>
      <c r="BU117" s="153"/>
      <c r="BV117" s="153"/>
      <c r="BW117" s="153"/>
      <c r="BX117" s="153"/>
      <c r="BY117" s="153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</row>
    <row r="118" spans="1:93" s="141" customFormat="1" ht="14.5" customHeight="1">
      <c r="A118" s="153"/>
      <c r="B118" s="153"/>
      <c r="C118" s="153" t="s">
        <v>721</v>
      </c>
      <c r="D118" s="153"/>
      <c r="E118" s="153"/>
      <c r="F118" s="153"/>
      <c r="G118" s="179" t="str">
        <f>Monetary_Unit</f>
        <v>тыс. руб.</v>
      </c>
      <c r="H118" s="153"/>
      <c r="I118" s="23">
        <f ca="1">SUM(L118:CO118)</f>
        <v>7875372.3650873955</v>
      </c>
      <c r="J118" s="153"/>
      <c r="K118" s="153"/>
      <c r="L118" s="155">
        <f ca="1" xml:space="preserve"> L111 - L119</f>
        <v>0</v>
      </c>
      <c r="M118" s="155">
        <f t="shared" ref="M118:BX118" ca="1" si="123" xml:space="preserve"> M111 - M119</f>
        <v>0</v>
      </c>
      <c r="N118" s="155">
        <f t="shared" ca="1" si="123"/>
        <v>0</v>
      </c>
      <c r="O118" s="155">
        <f t="shared" ca="1" si="123"/>
        <v>0</v>
      </c>
      <c r="P118" s="155">
        <f t="shared" ca="1" si="123"/>
        <v>0</v>
      </c>
      <c r="Q118" s="155">
        <f t="shared" ca="1" si="123"/>
        <v>0</v>
      </c>
      <c r="R118" s="155">
        <f t="shared" ca="1" si="123"/>
        <v>0</v>
      </c>
      <c r="S118" s="155">
        <f t="shared" ca="1" si="123"/>
        <v>0</v>
      </c>
      <c r="T118" s="155">
        <f t="shared" ca="1" si="123"/>
        <v>0</v>
      </c>
      <c r="U118" s="155">
        <f t="shared" ca="1" si="123"/>
        <v>0</v>
      </c>
      <c r="V118" s="155">
        <f t="shared" ca="1" si="123"/>
        <v>0</v>
      </c>
      <c r="W118" s="155">
        <f t="shared" ca="1" si="123"/>
        <v>0</v>
      </c>
      <c r="X118" s="155">
        <f t="shared" ca="1" si="123"/>
        <v>0</v>
      </c>
      <c r="Y118" s="155">
        <f t="shared" ca="1" si="123"/>
        <v>0</v>
      </c>
      <c r="Z118" s="155">
        <f t="shared" ca="1" si="123"/>
        <v>0</v>
      </c>
      <c r="AA118" s="155">
        <f t="shared" ca="1" si="123"/>
        <v>0</v>
      </c>
      <c r="AB118" s="155">
        <f t="shared" ca="1" si="123"/>
        <v>0</v>
      </c>
      <c r="AC118" s="155">
        <f t="shared" ca="1" si="123"/>
        <v>68393.238443101203</v>
      </c>
      <c r="AD118" s="155">
        <f t="shared" ca="1" si="123"/>
        <v>88996.494877290097</v>
      </c>
      <c r="AE118" s="155">
        <f t="shared" ca="1" si="123"/>
        <v>52724.23567429078</v>
      </c>
      <c r="AF118" s="155">
        <f t="shared" ca="1" si="123"/>
        <v>51741.101505507351</v>
      </c>
      <c r="AG118" s="155">
        <f t="shared" ca="1" si="123"/>
        <v>81666.592866873441</v>
      </c>
      <c r="AH118" s="155">
        <f t="shared" ca="1" si="123"/>
        <v>105778.69105415058</v>
      </c>
      <c r="AI118" s="155">
        <f t="shared" ca="1" si="123"/>
        <v>62396.405804884809</v>
      </c>
      <c r="AJ118" s="155">
        <f t="shared" ca="1" si="123"/>
        <v>60985.511641158031</v>
      </c>
      <c r="AK118" s="155">
        <f t="shared" ca="1" si="123"/>
        <v>95892.386463038521</v>
      </c>
      <c r="AL118" s="155">
        <f t="shared" ca="1" si="123"/>
        <v>123761.06853335617</v>
      </c>
      <c r="AM118" s="155">
        <f t="shared" ca="1" si="123"/>
        <v>72757.990768847521</v>
      </c>
      <c r="AN118" s="155">
        <f t="shared" ca="1" si="123"/>
        <v>71674.318701088036</v>
      </c>
      <c r="AO118" s="155">
        <f t="shared" ca="1" si="123"/>
        <v>111125.5769983097</v>
      </c>
      <c r="AP118" s="155">
        <f t="shared" ca="1" si="123"/>
        <v>139437.47054758121</v>
      </c>
      <c r="AQ118" s="155">
        <f t="shared" ca="1" si="123"/>
        <v>79758.489340120359</v>
      </c>
      <c r="AR118" s="155">
        <f t="shared" ca="1" si="123"/>
        <v>75662.213125058319</v>
      </c>
      <c r="AS118" s="155">
        <f t="shared" ca="1" si="123"/>
        <v>115570.60007824209</v>
      </c>
      <c r="AT118" s="155">
        <f t="shared" ca="1" si="123"/>
        <v>145014.96936948446</v>
      </c>
      <c r="AU118" s="155">
        <f t="shared" ca="1" si="123"/>
        <v>82948.82891372517</v>
      </c>
      <c r="AV118" s="155">
        <f t="shared" ca="1" si="123"/>
        <v>78688.701650060626</v>
      </c>
      <c r="AW118" s="155">
        <f t="shared" ca="1" si="123"/>
        <v>120193.42408137178</v>
      </c>
      <c r="AX118" s="155">
        <f t="shared" ca="1" si="123"/>
        <v>150815.56814426379</v>
      </c>
      <c r="AY118" s="155">
        <f t="shared" ca="1" si="123"/>
        <v>86266.782070274174</v>
      </c>
      <c r="AZ118" s="155">
        <f t="shared" ca="1" si="123"/>
        <v>81836.24971606303</v>
      </c>
      <c r="BA118" s="155">
        <f t="shared" ca="1" si="123"/>
        <v>125001.16104462661</v>
      </c>
      <c r="BB118" s="155">
        <f t="shared" ca="1" si="123"/>
        <v>156848.1908700343</v>
      </c>
      <c r="BC118" s="155">
        <f t="shared" ca="1" si="123"/>
        <v>89717.453353085119</v>
      </c>
      <c r="BD118" s="155">
        <f t="shared" ca="1" si="123"/>
        <v>86055.363034757844</v>
      </c>
      <c r="BE118" s="155">
        <f t="shared" ca="1" si="123"/>
        <v>130001.20748641166</v>
      </c>
      <c r="BF118" s="155">
        <f t="shared" ca="1" si="123"/>
        <v>163122.11850483564</v>
      </c>
      <c r="BG118" s="155">
        <f t="shared" ca="1" si="123"/>
        <v>93306.15148720851</v>
      </c>
      <c r="BH118" s="155">
        <f t="shared" ca="1" si="123"/>
        <v>88514.08769289375</v>
      </c>
      <c r="BI118" s="155">
        <f t="shared" ca="1" si="123"/>
        <v>135201.25578586812</v>
      </c>
      <c r="BJ118" s="155">
        <f t="shared" ca="1" si="123"/>
        <v>169647.00324502907</v>
      </c>
      <c r="BK118" s="155">
        <f t="shared" ca="1" si="123"/>
        <v>97038.39754669684</v>
      </c>
      <c r="BL118" s="155">
        <f t="shared" ca="1" si="123"/>
        <v>92054.651200609514</v>
      </c>
      <c r="BM118" s="155">
        <f t="shared" ca="1" si="123"/>
        <v>140609.30601730282</v>
      </c>
      <c r="BN118" s="155">
        <f t="shared" ca="1" si="123"/>
        <v>176432.88337483021</v>
      </c>
      <c r="BO118" s="155">
        <f t="shared" ca="1" si="123"/>
        <v>100919.9334485647</v>
      </c>
      <c r="BP118" s="155">
        <f t="shared" ca="1" si="123"/>
        <v>95736.837248633878</v>
      </c>
      <c r="BQ118" s="155">
        <f t="shared" ca="1" si="123"/>
        <v>146233.67825799488</v>
      </c>
      <c r="BR118" s="155">
        <f t="shared" ca="1" si="123"/>
        <v>183490.19870982339</v>
      </c>
      <c r="BS118" s="155">
        <f t="shared" ca="1" si="123"/>
        <v>104956.73078650725</v>
      </c>
      <c r="BT118" s="155">
        <f t="shared" ca="1" si="123"/>
        <v>100672.60308011898</v>
      </c>
      <c r="BU118" s="155">
        <f t="shared" ca="1" si="123"/>
        <v>152083.02538831465</v>
      </c>
      <c r="BV118" s="155">
        <f t="shared" ca="1" si="123"/>
        <v>190829.80665821626</v>
      </c>
      <c r="BW118" s="155">
        <f t="shared" ca="1" si="123"/>
        <v>109155.00001796751</v>
      </c>
      <c r="BX118" s="155">
        <f t="shared" ca="1" si="123"/>
        <v>103548.96316812237</v>
      </c>
      <c r="BY118" s="155">
        <f t="shared" ref="BY118:CM118" ca="1" si="124" xml:space="preserve"> BY111 - BY119</f>
        <v>158166.34640384722</v>
      </c>
      <c r="BZ118" s="155">
        <f t="shared" ca="1" si="124"/>
        <v>198462.9989245449</v>
      </c>
      <c r="CA118" s="155">
        <f t="shared" ca="1" si="124"/>
        <v>113521.2000186862</v>
      </c>
      <c r="CB118" s="155">
        <f t="shared" ca="1" si="124"/>
        <v>107690.92169484726</v>
      </c>
      <c r="CC118" s="155">
        <f t="shared" ca="1" si="124"/>
        <v>164493.00026000111</v>
      </c>
      <c r="CD118" s="155">
        <f t="shared" ca="1" si="124"/>
        <v>206401.51888152669</v>
      </c>
      <c r="CE118" s="155">
        <f t="shared" ca="1" si="124"/>
        <v>118062.04801943366</v>
      </c>
      <c r="CF118" s="155">
        <f t="shared" ca="1" si="124"/>
        <v>111998.55856264112</v>
      </c>
      <c r="CG118" s="155">
        <f t="shared" ca="1" si="124"/>
        <v>171072.72027040116</v>
      </c>
      <c r="CH118" s="155">
        <f t="shared" ca="1" si="124"/>
        <v>214657.57963678773</v>
      </c>
      <c r="CI118" s="155">
        <f t="shared" ca="1" si="124"/>
        <v>122784.52994021101</v>
      </c>
      <c r="CJ118" s="155">
        <f t="shared" ca="1" si="124"/>
        <v>117772.70647075948</v>
      </c>
      <c r="CK118" s="155">
        <f t="shared" ca="1" si="124"/>
        <v>177915.62908121716</v>
      </c>
      <c r="CL118" s="155">
        <f t="shared" ca="1" si="124"/>
        <v>223243.88282225921</v>
      </c>
      <c r="CM118" s="155">
        <f t="shared" ca="1" si="124"/>
        <v>127695.91113781945</v>
      </c>
      <c r="CN118" s="155">
        <f t="shared" ref="CN118:CO118" ca="1" si="125" xml:space="preserve"> CN111 - CN119</f>
        <v>121137.64094135263</v>
      </c>
      <c r="CO118" s="155">
        <f t="shared" ca="1" si="125"/>
        <v>185032.25424446585</v>
      </c>
    </row>
    <row r="119" spans="1:93" s="141" customFormat="1" ht="14.5" customHeight="1">
      <c r="A119" s="153"/>
      <c r="B119" s="153"/>
      <c r="C119" s="153" t="s">
        <v>1061</v>
      </c>
      <c r="D119" s="153"/>
      <c r="E119" s="153"/>
      <c r="F119" s="153"/>
      <c r="G119" s="11" t="str">
        <f>Monetary_Unit</f>
        <v>тыс. руб.</v>
      </c>
      <c r="H119" s="153"/>
      <c r="I119" s="23">
        <f t="shared" ref="I119:I120" ca="1" si="126">SUM(L119:CO119)</f>
        <v>1176779.7786912196</v>
      </c>
      <c r="J119" s="153"/>
      <c r="K119" s="153"/>
      <c r="L119" s="155">
        <f ca="1" xml:space="preserve"> L111 * 0.13</f>
        <v>0</v>
      </c>
      <c r="M119" s="155">
        <f t="shared" ref="M119:BX119" ca="1" si="127" xml:space="preserve"> M111 * 0.13</f>
        <v>0</v>
      </c>
      <c r="N119" s="155">
        <f t="shared" ca="1" si="127"/>
        <v>0</v>
      </c>
      <c r="O119" s="155">
        <f t="shared" ca="1" si="127"/>
        <v>0</v>
      </c>
      <c r="P119" s="155">
        <f t="shared" ca="1" si="127"/>
        <v>0</v>
      </c>
      <c r="Q119" s="155">
        <f t="shared" ca="1" si="127"/>
        <v>0</v>
      </c>
      <c r="R119" s="155">
        <f t="shared" ca="1" si="127"/>
        <v>0</v>
      </c>
      <c r="S119" s="155">
        <f t="shared" ca="1" si="127"/>
        <v>0</v>
      </c>
      <c r="T119" s="155">
        <f t="shared" ca="1" si="127"/>
        <v>0</v>
      </c>
      <c r="U119" s="155">
        <f t="shared" ca="1" si="127"/>
        <v>0</v>
      </c>
      <c r="V119" s="155">
        <f t="shared" ca="1" si="127"/>
        <v>0</v>
      </c>
      <c r="W119" s="155">
        <f t="shared" ca="1" si="127"/>
        <v>0</v>
      </c>
      <c r="X119" s="155">
        <f t="shared" ca="1" si="127"/>
        <v>0</v>
      </c>
      <c r="Y119" s="155">
        <f t="shared" ca="1" si="127"/>
        <v>0</v>
      </c>
      <c r="Z119" s="155">
        <f t="shared" ca="1" si="127"/>
        <v>0</v>
      </c>
      <c r="AA119" s="155">
        <f t="shared" ca="1" si="127"/>
        <v>0</v>
      </c>
      <c r="AB119" s="155">
        <f t="shared" ca="1" si="127"/>
        <v>0</v>
      </c>
      <c r="AC119" s="155">
        <f t="shared" ca="1" si="127"/>
        <v>10219.679307589835</v>
      </c>
      <c r="AD119" s="155">
        <f t="shared" ca="1" si="127"/>
        <v>13298.326820744496</v>
      </c>
      <c r="AE119" s="155">
        <f t="shared" ca="1" si="127"/>
        <v>7878.3340662733344</v>
      </c>
      <c r="AF119" s="155">
        <f t="shared" ca="1" si="127"/>
        <v>7731.4289605930526</v>
      </c>
      <c r="AG119" s="155">
        <f t="shared" ca="1" si="127"/>
        <v>12203.054106544309</v>
      </c>
      <c r="AH119" s="155">
        <f t="shared" ca="1" si="127"/>
        <v>15806.01130694204</v>
      </c>
      <c r="AI119" s="155">
        <f t="shared" ca="1" si="127"/>
        <v>9323.6008673965807</v>
      </c>
      <c r="AJ119" s="155">
        <f t="shared" ca="1" si="127"/>
        <v>9112.7776015523505</v>
      </c>
      <c r="AK119" s="155">
        <f t="shared" ca="1" si="127"/>
        <v>14328.747402522999</v>
      </c>
      <c r="AL119" s="155">
        <f t="shared" ca="1" si="127"/>
        <v>18493.033229122186</v>
      </c>
      <c r="AM119" s="155">
        <f t="shared" ca="1" si="127"/>
        <v>10871.883678103653</v>
      </c>
      <c r="AN119" s="155">
        <f t="shared" ca="1" si="127"/>
        <v>10709.955667978673</v>
      </c>
      <c r="AO119" s="155">
        <f t="shared" ca="1" si="127"/>
        <v>16604.971275609496</v>
      </c>
      <c r="AP119" s="155">
        <f t="shared" ca="1" si="127"/>
        <v>20835.484104810985</v>
      </c>
      <c r="AQ119" s="155">
        <f t="shared" ca="1" si="127"/>
        <v>11917.935188753618</v>
      </c>
      <c r="AR119" s="155">
        <f t="shared" ca="1" si="127"/>
        <v>11305.847938227105</v>
      </c>
      <c r="AS119" s="155">
        <f t="shared" ca="1" si="127"/>
        <v>17269.170126633875</v>
      </c>
      <c r="AT119" s="155">
        <f t="shared" ca="1" si="127"/>
        <v>21668.903469003424</v>
      </c>
      <c r="AU119" s="155">
        <f t="shared" ca="1" si="127"/>
        <v>12394.65259630376</v>
      </c>
      <c r="AV119" s="155">
        <f t="shared" ca="1" si="127"/>
        <v>11758.081855756187</v>
      </c>
      <c r="AW119" s="155">
        <f t="shared" ca="1" si="127"/>
        <v>17959.936931699231</v>
      </c>
      <c r="AX119" s="155">
        <f t="shared" ca="1" si="127"/>
        <v>22535.659607763555</v>
      </c>
      <c r="AY119" s="155">
        <f t="shared" ca="1" si="127"/>
        <v>12890.438700155912</v>
      </c>
      <c r="AZ119" s="155">
        <f t="shared" ca="1" si="127"/>
        <v>12228.405129986431</v>
      </c>
      <c r="BA119" s="155">
        <f t="shared" ca="1" si="127"/>
        <v>18678.334408967195</v>
      </c>
      <c r="BB119" s="155">
        <f t="shared" ca="1" si="127"/>
        <v>23437.085992074095</v>
      </c>
      <c r="BC119" s="155">
        <f t="shared" ca="1" si="127"/>
        <v>13406.056248162145</v>
      </c>
      <c r="BD119" s="155">
        <f t="shared" ca="1" si="127"/>
        <v>12858.847350021288</v>
      </c>
      <c r="BE119" s="155">
        <f t="shared" ca="1" si="127"/>
        <v>19425.46778532588</v>
      </c>
      <c r="BF119" s="155">
        <f t="shared" ca="1" si="127"/>
        <v>24374.569431757052</v>
      </c>
      <c r="BG119" s="155">
        <f t="shared" ca="1" si="127"/>
        <v>13942.298498088629</v>
      </c>
      <c r="BH119" s="155">
        <f t="shared" ca="1" si="127"/>
        <v>13226.24298859332</v>
      </c>
      <c r="BI119" s="155">
        <f t="shared" ca="1" si="127"/>
        <v>20202.486496738915</v>
      </c>
      <c r="BJ119" s="155">
        <f t="shared" ca="1" si="127"/>
        <v>25349.552209027337</v>
      </c>
      <c r="BK119" s="155">
        <f t="shared" ca="1" si="127"/>
        <v>14499.990438012172</v>
      </c>
      <c r="BL119" s="155">
        <f t="shared" ca="1" si="127"/>
        <v>13755.292708137054</v>
      </c>
      <c r="BM119" s="155">
        <f t="shared" ca="1" si="127"/>
        <v>21010.585956608469</v>
      </c>
      <c r="BN119" s="155">
        <f t="shared" ca="1" si="127"/>
        <v>26363.534297388425</v>
      </c>
      <c r="BO119" s="155">
        <f t="shared" ca="1" si="127"/>
        <v>15079.990055532657</v>
      </c>
      <c r="BP119" s="155">
        <f t="shared" ca="1" si="127"/>
        <v>14305.504416462534</v>
      </c>
      <c r="BQ119" s="155">
        <f t="shared" ca="1" si="127"/>
        <v>21851.009394872803</v>
      </c>
      <c r="BR119" s="155">
        <f t="shared" ca="1" si="127"/>
        <v>27418.075669283957</v>
      </c>
      <c r="BS119" s="155">
        <f t="shared" ca="1" si="127"/>
        <v>15683.189657753957</v>
      </c>
      <c r="BT119" s="155">
        <f t="shared" ca="1" si="127"/>
        <v>15043.03264415571</v>
      </c>
      <c r="BU119" s="155">
        <f t="shared" ca="1" si="127"/>
        <v>22725.049770667709</v>
      </c>
      <c r="BV119" s="155">
        <f t="shared" ca="1" si="127"/>
        <v>28514.798696055306</v>
      </c>
      <c r="BW119" s="155">
        <f t="shared" ca="1" si="127"/>
        <v>16310.517244064111</v>
      </c>
      <c r="BX119" s="155">
        <f t="shared" ca="1" si="127"/>
        <v>15472.833576845873</v>
      </c>
      <c r="BY119" s="155">
        <f t="shared" ref="BY119:CM119" ca="1" si="128" xml:space="preserve"> BY111 * 0.13</f>
        <v>23634.051761494411</v>
      </c>
      <c r="BZ119" s="155">
        <f t="shared" ca="1" si="128"/>
        <v>29655.390643897517</v>
      </c>
      <c r="CA119" s="155">
        <f t="shared" ca="1" si="128"/>
        <v>16962.937933826674</v>
      </c>
      <c r="CB119" s="155">
        <f t="shared" ca="1" si="128"/>
        <v>16091.746919919706</v>
      </c>
      <c r="CC119" s="155">
        <f t="shared" ca="1" si="128"/>
        <v>24579.413831954189</v>
      </c>
      <c r="CD119" s="155">
        <f t="shared" ca="1" si="128"/>
        <v>30841.606269653414</v>
      </c>
      <c r="CE119" s="155">
        <f t="shared" ca="1" si="128"/>
        <v>17641.45545117974</v>
      </c>
      <c r="CF119" s="155">
        <f t="shared" ca="1" si="128"/>
        <v>16735.41679671649</v>
      </c>
      <c r="CG119" s="155">
        <f t="shared" ca="1" si="128"/>
        <v>25562.590385232357</v>
      </c>
      <c r="CH119" s="155">
        <f t="shared" ca="1" si="128"/>
        <v>32075.270520439546</v>
      </c>
      <c r="CI119" s="155">
        <f t="shared" ca="1" si="128"/>
        <v>18347.113669226932</v>
      </c>
      <c r="CJ119" s="155">
        <f t="shared" ca="1" si="128"/>
        <v>17598.220507124981</v>
      </c>
      <c r="CK119" s="155">
        <f t="shared" ca="1" si="128"/>
        <v>26585.094000641646</v>
      </c>
      <c r="CL119" s="155">
        <f t="shared" ca="1" si="128"/>
        <v>33358.281341257127</v>
      </c>
      <c r="CM119" s="155">
        <f t="shared" ca="1" si="128"/>
        <v>19080.998215996009</v>
      </c>
      <c r="CN119" s="155">
        <f t="shared" ref="CN119:CO119" ca="1" si="129" xml:space="preserve"> CN111 * 0.13</f>
        <v>18101.026807328555</v>
      </c>
      <c r="CO119" s="155">
        <f t="shared" ca="1" si="129"/>
        <v>27648.497760667313</v>
      </c>
    </row>
    <row r="120" spans="1:93" s="141" customFormat="1" ht="14.5" customHeight="1" thickBot="1">
      <c r="A120" s="153"/>
      <c r="B120" s="153"/>
      <c r="C120" s="153" t="s">
        <v>1062</v>
      </c>
      <c r="D120" s="153"/>
      <c r="E120" s="153"/>
      <c r="F120" s="153"/>
      <c r="G120" s="11" t="str">
        <f>Monetary_Unit</f>
        <v>тыс. руб.</v>
      </c>
      <c r="H120" s="153"/>
      <c r="I120" s="23">
        <f t="shared" ca="1" si="126"/>
        <v>2733749.9474211428</v>
      </c>
      <c r="J120" s="153"/>
      <c r="K120" s="153"/>
      <c r="L120" s="155">
        <f ca="1">SUM(L112:L115)</f>
        <v>0</v>
      </c>
      <c r="M120" s="155">
        <f t="shared" ref="M120:BX120" ca="1" si="130">SUM(M112:M115)</f>
        <v>0</v>
      </c>
      <c r="N120" s="155">
        <f t="shared" ca="1" si="130"/>
        <v>0</v>
      </c>
      <c r="O120" s="155">
        <f t="shared" ca="1" si="130"/>
        <v>0</v>
      </c>
      <c r="P120" s="155">
        <f t="shared" ca="1" si="130"/>
        <v>0</v>
      </c>
      <c r="Q120" s="155">
        <f t="shared" ca="1" si="130"/>
        <v>0</v>
      </c>
      <c r="R120" s="155">
        <f t="shared" ca="1" si="130"/>
        <v>0</v>
      </c>
      <c r="S120" s="155">
        <f t="shared" ca="1" si="130"/>
        <v>0</v>
      </c>
      <c r="T120" s="155">
        <f t="shared" ca="1" si="130"/>
        <v>0</v>
      </c>
      <c r="U120" s="155">
        <f t="shared" ca="1" si="130"/>
        <v>0</v>
      </c>
      <c r="V120" s="155">
        <f t="shared" ca="1" si="130"/>
        <v>0</v>
      </c>
      <c r="W120" s="155">
        <f t="shared" ca="1" si="130"/>
        <v>0</v>
      </c>
      <c r="X120" s="155">
        <f t="shared" ca="1" si="130"/>
        <v>0</v>
      </c>
      <c r="Y120" s="155">
        <f t="shared" ca="1" si="130"/>
        <v>0</v>
      </c>
      <c r="Z120" s="155">
        <f t="shared" ca="1" si="130"/>
        <v>0</v>
      </c>
      <c r="AA120" s="155">
        <f t="shared" ca="1" si="130"/>
        <v>0</v>
      </c>
      <c r="AB120" s="155">
        <f t="shared" ca="1" si="130"/>
        <v>0</v>
      </c>
      <c r="AC120" s="155">
        <f t="shared" ca="1" si="130"/>
        <v>23741.101160708688</v>
      </c>
      <c r="AD120" s="155">
        <f t="shared" ca="1" si="130"/>
        <v>30893.03615280645</v>
      </c>
      <c r="AE120" s="155">
        <f t="shared" ca="1" si="130"/>
        <v>18301.976061650363</v>
      </c>
      <c r="AF120" s="155">
        <f t="shared" ca="1" si="130"/>
        <v>17960.704200762324</v>
      </c>
      <c r="AG120" s="155">
        <f t="shared" ca="1" si="130"/>
        <v>28348.633385972164</v>
      </c>
      <c r="AH120" s="155">
        <f t="shared" ca="1" si="130"/>
        <v>36718.580113049968</v>
      </c>
      <c r="AI120" s="155">
        <f t="shared" ca="1" si="130"/>
        <v>21659.442015028981</v>
      </c>
      <c r="AJ120" s="155">
        <f t="shared" ca="1" si="130"/>
        <v>21169.683351298532</v>
      </c>
      <c r="AK120" s="155">
        <f t="shared" ca="1" si="130"/>
        <v>33286.782427399579</v>
      </c>
      <c r="AL120" s="155">
        <f t="shared" ca="1" si="130"/>
        <v>42960.738732268466</v>
      </c>
      <c r="AM120" s="155">
        <f t="shared" ca="1" si="130"/>
        <v>25256.222082979257</v>
      </c>
      <c r="AN120" s="155">
        <f t="shared" ca="1" si="130"/>
        <v>24880.050859458152</v>
      </c>
      <c r="AO120" s="155">
        <f t="shared" ca="1" si="130"/>
        <v>38574.625578723593</v>
      </c>
      <c r="AP120" s="155">
        <f t="shared" ca="1" si="130"/>
        <v>48402.432305022441</v>
      </c>
      <c r="AQ120" s="155">
        <f t="shared" ca="1" si="130"/>
        <v>27686.280207719945</v>
      </c>
      <c r="AR120" s="155">
        <f t="shared" ca="1" si="130"/>
        <v>26264.354441112198</v>
      </c>
      <c r="AS120" s="155">
        <f t="shared" ca="1" si="130"/>
        <v>40117.610601872533</v>
      </c>
      <c r="AT120" s="155">
        <f t="shared" ca="1" si="130"/>
        <v>50338.529597223343</v>
      </c>
      <c r="AU120" s="155">
        <f t="shared" ca="1" si="130"/>
        <v>28793.731416028735</v>
      </c>
      <c r="AV120" s="155">
        <f t="shared" ca="1" si="130"/>
        <v>27314.928618756676</v>
      </c>
      <c r="AW120" s="155">
        <f t="shared" ca="1" si="130"/>
        <v>41722.31502594745</v>
      </c>
      <c r="AX120" s="155">
        <f t="shared" ca="1" si="130"/>
        <v>52352.070781112263</v>
      </c>
      <c r="AY120" s="155">
        <f t="shared" ca="1" si="130"/>
        <v>29945.480672669892</v>
      </c>
      <c r="AZ120" s="155">
        <f t="shared" ca="1" si="130"/>
        <v>28407.525763506939</v>
      </c>
      <c r="BA120" s="155">
        <f t="shared" ca="1" si="130"/>
        <v>43391.207626985328</v>
      </c>
      <c r="BB120" s="155">
        <f t="shared" ca="1" si="130"/>
        <v>54446.153612356749</v>
      </c>
      <c r="BC120" s="155">
        <f t="shared" ca="1" si="130"/>
        <v>31143.299899576676</v>
      </c>
      <c r="BD120" s="155">
        <f t="shared" ca="1" si="130"/>
        <v>29872.091536203297</v>
      </c>
      <c r="BE120" s="155">
        <f t="shared" ca="1" si="130"/>
        <v>45126.855932064733</v>
      </c>
      <c r="BF120" s="155">
        <f t="shared" ca="1" si="130"/>
        <v>56623.999756851001</v>
      </c>
      <c r="BG120" s="155">
        <f t="shared" ca="1" si="130"/>
        <v>32389.031895559739</v>
      </c>
      <c r="BH120" s="155">
        <f t="shared" ca="1" si="130"/>
        <v>30725.579865809093</v>
      </c>
      <c r="BI120" s="155">
        <f t="shared" ca="1" si="130"/>
        <v>46931.930169347317</v>
      </c>
      <c r="BJ120" s="155">
        <f t="shared" ca="1" si="130"/>
        <v>58888.959747125038</v>
      </c>
      <c r="BK120" s="155">
        <f t="shared" ca="1" si="130"/>
        <v>33684.593171382126</v>
      </c>
      <c r="BL120" s="155">
        <f t="shared" ca="1" si="130"/>
        <v>31954.603060441463</v>
      </c>
      <c r="BM120" s="155">
        <f t="shared" ca="1" si="130"/>
        <v>48809.207376121209</v>
      </c>
      <c r="BN120" s="155">
        <f t="shared" ca="1" si="130"/>
        <v>61244.51813701004</v>
      </c>
      <c r="BO120" s="155">
        <f t="shared" ca="1" si="130"/>
        <v>35031.976898237393</v>
      </c>
      <c r="BP120" s="155">
        <f t="shared" ca="1" si="130"/>
        <v>33232.787182859116</v>
      </c>
      <c r="BQ120" s="155">
        <f t="shared" ca="1" si="130"/>
        <v>50761.575671166043</v>
      </c>
      <c r="BR120" s="155">
        <f t="shared" ca="1" si="130"/>
        <v>63694.298862490432</v>
      </c>
      <c r="BS120" s="155">
        <f t="shared" ca="1" si="130"/>
        <v>36433.255974166881</v>
      </c>
      <c r="BT120" s="155">
        <f t="shared" ca="1" si="130"/>
        <v>34946.121988730956</v>
      </c>
      <c r="BU120" s="155">
        <f t="shared" ca="1" si="130"/>
        <v>52792.038698012671</v>
      </c>
      <c r="BV120" s="155">
        <f t="shared" ca="1" si="130"/>
        <v>66242.070816990017</v>
      </c>
      <c r="BW120" s="155">
        <f t="shared" ca="1" si="130"/>
        <v>37890.586213133553</v>
      </c>
      <c r="BX120" s="155">
        <f t="shared" ca="1" si="130"/>
        <v>35944.582616980399</v>
      </c>
      <c r="BY120" s="155">
        <f t="shared" ref="BY120:CM120" ca="1" si="131">SUM(BY112:BY115)</f>
        <v>54903.72024593316</v>
      </c>
      <c r="BZ120" s="155">
        <f t="shared" ca="1" si="131"/>
        <v>68891.753649669627</v>
      </c>
      <c r="CA120" s="155">
        <f t="shared" ca="1" si="131"/>
        <v>39406.20966165889</v>
      </c>
      <c r="CB120" s="155">
        <f t="shared" ca="1" si="131"/>
        <v>37382.365921659621</v>
      </c>
      <c r="CC120" s="155">
        <f t="shared" ca="1" si="131"/>
        <v>57099.869055770498</v>
      </c>
      <c r="CD120" s="155">
        <f t="shared" ca="1" si="131"/>
        <v>71647.423795656388</v>
      </c>
      <c r="CE120" s="155">
        <f t="shared" ca="1" si="131"/>
        <v>40982.458048125241</v>
      </c>
      <c r="CF120" s="155">
        <f t="shared" ca="1" si="131"/>
        <v>38877.660558525997</v>
      </c>
      <c r="CG120" s="155">
        <f t="shared" ca="1" si="131"/>
        <v>59383.863818001322</v>
      </c>
      <c r="CH120" s="155">
        <f t="shared" ca="1" si="131"/>
        <v>74513.320747482634</v>
      </c>
      <c r="CI120" s="155">
        <f t="shared" ca="1" si="131"/>
        <v>42621.756370050265</v>
      </c>
      <c r="CJ120" s="155">
        <f t="shared" ca="1" si="131"/>
        <v>40882.019947321118</v>
      </c>
      <c r="CK120" s="155">
        <f t="shared" ca="1" si="131"/>
        <v>61759.218370721363</v>
      </c>
      <c r="CL120" s="155">
        <f t="shared" ca="1" si="131"/>
        <v>77493.853577381946</v>
      </c>
      <c r="CM120" s="155">
        <f t="shared" ca="1" si="131"/>
        <v>44326.626624852266</v>
      </c>
      <c r="CN120" s="155">
        <f t="shared" ref="CN120:CO120" ca="1" si="132">SUM(CN112:CN115)</f>
        <v>42050.077660101713</v>
      </c>
      <c r="CO120" s="155">
        <f t="shared" ca="1" si="132"/>
        <v>64229.587105550199</v>
      </c>
    </row>
    <row r="121" spans="1:93" s="141" customFormat="1" ht="15" customHeight="1" thickTop="1">
      <c r="A121" s="153"/>
      <c r="B121" s="153"/>
      <c r="C121" s="49" t="s">
        <v>1060</v>
      </c>
      <c r="D121" s="49"/>
      <c r="E121" s="49"/>
      <c r="F121" s="49"/>
      <c r="G121" s="159" t="str">
        <f>Monetary_Unit</f>
        <v>тыс. руб.</v>
      </c>
      <c r="H121" s="49"/>
      <c r="I121" s="176">
        <f ca="1">SUM(L121:CO121)</f>
        <v>11785902.091199759</v>
      </c>
      <c r="J121" s="49"/>
      <c r="K121" s="49"/>
      <c r="L121" s="49">
        <f ca="1">SUM(L118:L120)</f>
        <v>0</v>
      </c>
      <c r="M121" s="49">
        <f t="shared" ref="M121:BX121" ca="1" si="133">SUM(M118:M120)</f>
        <v>0</v>
      </c>
      <c r="N121" s="49">
        <f t="shared" ca="1" si="133"/>
        <v>0</v>
      </c>
      <c r="O121" s="49">
        <f t="shared" ca="1" si="133"/>
        <v>0</v>
      </c>
      <c r="P121" s="49">
        <f t="shared" ca="1" si="133"/>
        <v>0</v>
      </c>
      <c r="Q121" s="49">
        <f t="shared" ca="1" si="133"/>
        <v>0</v>
      </c>
      <c r="R121" s="49">
        <f t="shared" ca="1" si="133"/>
        <v>0</v>
      </c>
      <c r="S121" s="49">
        <f t="shared" ca="1" si="133"/>
        <v>0</v>
      </c>
      <c r="T121" s="49">
        <f t="shared" ca="1" si="133"/>
        <v>0</v>
      </c>
      <c r="U121" s="49">
        <f t="shared" ca="1" si="133"/>
        <v>0</v>
      </c>
      <c r="V121" s="49">
        <f t="shared" ca="1" si="133"/>
        <v>0</v>
      </c>
      <c r="W121" s="49">
        <f t="shared" ca="1" si="133"/>
        <v>0</v>
      </c>
      <c r="X121" s="49">
        <f t="shared" ca="1" si="133"/>
        <v>0</v>
      </c>
      <c r="Y121" s="49">
        <f t="shared" ca="1" si="133"/>
        <v>0</v>
      </c>
      <c r="Z121" s="49">
        <f t="shared" ca="1" si="133"/>
        <v>0</v>
      </c>
      <c r="AA121" s="49">
        <f t="shared" ca="1" si="133"/>
        <v>0</v>
      </c>
      <c r="AB121" s="49">
        <f t="shared" ca="1" si="133"/>
        <v>0</v>
      </c>
      <c r="AC121" s="49">
        <f t="shared" ca="1" si="133"/>
        <v>102354.01891139972</v>
      </c>
      <c r="AD121" s="49">
        <f t="shared" ca="1" si="133"/>
        <v>133187.85785084104</v>
      </c>
      <c r="AE121" s="49">
        <f t="shared" ca="1" si="133"/>
        <v>78904.545802214474</v>
      </c>
      <c r="AF121" s="49">
        <f t="shared" ca="1" si="133"/>
        <v>77433.234666862729</v>
      </c>
      <c r="AG121" s="49">
        <f t="shared" ca="1" si="133"/>
        <v>122218.28035938992</v>
      </c>
      <c r="AH121" s="49">
        <f t="shared" ca="1" si="133"/>
        <v>158303.28247414259</v>
      </c>
      <c r="AI121" s="49">
        <f t="shared" ca="1" si="133"/>
        <v>93379.448687310374</v>
      </c>
      <c r="AJ121" s="49">
        <f t="shared" ca="1" si="133"/>
        <v>91267.972594008912</v>
      </c>
      <c r="AK121" s="49">
        <f t="shared" ca="1" si="133"/>
        <v>143507.9162929611</v>
      </c>
      <c r="AL121" s="49">
        <f t="shared" ca="1" si="133"/>
        <v>185214.84049474681</v>
      </c>
      <c r="AM121" s="49">
        <f t="shared" ca="1" si="133"/>
        <v>108886.09652993042</v>
      </c>
      <c r="AN121" s="49">
        <f t="shared" ca="1" si="133"/>
        <v>107264.32522852486</v>
      </c>
      <c r="AO121" s="49">
        <f t="shared" ca="1" si="133"/>
        <v>166305.17385264279</v>
      </c>
      <c r="AP121" s="49">
        <f t="shared" ca="1" si="133"/>
        <v>208675.38695741462</v>
      </c>
      <c r="AQ121" s="49">
        <f t="shared" ca="1" si="133"/>
        <v>119362.70473659392</v>
      </c>
      <c r="AR121" s="49">
        <f t="shared" ca="1" si="133"/>
        <v>113232.41550439762</v>
      </c>
      <c r="AS121" s="49">
        <f t="shared" ca="1" si="133"/>
        <v>172957.38080674849</v>
      </c>
      <c r="AT121" s="49">
        <f t="shared" ca="1" si="133"/>
        <v>217022.40243571124</v>
      </c>
      <c r="AU121" s="49">
        <f t="shared" ca="1" si="133"/>
        <v>124137.21292605766</v>
      </c>
      <c r="AV121" s="49">
        <f t="shared" ca="1" si="133"/>
        <v>117761.71212457349</v>
      </c>
      <c r="AW121" s="49">
        <f t="shared" ca="1" si="133"/>
        <v>179875.67603901844</v>
      </c>
      <c r="AX121" s="49">
        <f t="shared" ca="1" si="133"/>
        <v>225703.2985331396</v>
      </c>
      <c r="AY121" s="49">
        <f t="shared" ca="1" si="133"/>
        <v>129102.70144309997</v>
      </c>
      <c r="AZ121" s="49">
        <f t="shared" ca="1" si="133"/>
        <v>122472.18060955641</v>
      </c>
      <c r="BA121" s="49">
        <f t="shared" ca="1" si="133"/>
        <v>187070.70308057914</v>
      </c>
      <c r="BB121" s="49">
        <f t="shared" ca="1" si="133"/>
        <v>234731.43047446516</v>
      </c>
      <c r="BC121" s="49">
        <f t="shared" ca="1" si="133"/>
        <v>134266.80950082393</v>
      </c>
      <c r="BD121" s="49">
        <f t="shared" ca="1" si="133"/>
        <v>128786.30192098243</v>
      </c>
      <c r="BE121" s="49">
        <f t="shared" ca="1" si="133"/>
        <v>194553.53120380227</v>
      </c>
      <c r="BF121" s="49">
        <f t="shared" ca="1" si="133"/>
        <v>244120.6876934437</v>
      </c>
      <c r="BG121" s="49">
        <f t="shared" ca="1" si="133"/>
        <v>139637.48188085688</v>
      </c>
      <c r="BH121" s="49">
        <f t="shared" ca="1" si="133"/>
        <v>132465.91054729617</v>
      </c>
      <c r="BI121" s="49">
        <f t="shared" ca="1" si="133"/>
        <v>202335.67245195436</v>
      </c>
      <c r="BJ121" s="49">
        <f t="shared" ca="1" si="133"/>
        <v>253885.51520118146</v>
      </c>
      <c r="BK121" s="49">
        <f t="shared" ca="1" si="133"/>
        <v>145222.98115609115</v>
      </c>
      <c r="BL121" s="49">
        <f t="shared" ca="1" si="133"/>
        <v>137764.54696918803</v>
      </c>
      <c r="BM121" s="49">
        <f t="shared" ca="1" si="133"/>
        <v>210429.09935003251</v>
      </c>
      <c r="BN121" s="49">
        <f t="shared" ca="1" si="133"/>
        <v>264040.93580922869</v>
      </c>
      <c r="BO121" s="49">
        <f t="shared" ca="1" si="133"/>
        <v>151031.90040233475</v>
      </c>
      <c r="BP121" s="49">
        <f t="shared" ca="1" si="133"/>
        <v>143275.12884795552</v>
      </c>
      <c r="BQ121" s="49">
        <f t="shared" ca="1" si="133"/>
        <v>218846.26332403373</v>
      </c>
      <c r="BR121" s="49">
        <f t="shared" ca="1" si="133"/>
        <v>274602.5732415978</v>
      </c>
      <c r="BS121" s="49">
        <f t="shared" ca="1" si="133"/>
        <v>157073.17641842808</v>
      </c>
      <c r="BT121" s="49">
        <f t="shared" ca="1" si="133"/>
        <v>150661.75771300565</v>
      </c>
      <c r="BU121" s="49">
        <f t="shared" ca="1" si="133"/>
        <v>227600.11385699504</v>
      </c>
      <c r="BV121" s="49">
        <f t="shared" ca="1" si="133"/>
        <v>285586.67617126158</v>
      </c>
      <c r="BW121" s="49">
        <f t="shared" ca="1" si="133"/>
        <v>163356.10347516518</v>
      </c>
      <c r="BX121" s="49">
        <f t="shared" ca="1" si="133"/>
        <v>154966.37936194864</v>
      </c>
      <c r="BY121" s="49">
        <f t="shared" ref="BY121:CM121" ca="1" si="134">SUM(BY118:BY120)</f>
        <v>236704.1184112748</v>
      </c>
      <c r="BZ121" s="49">
        <f t="shared" ca="1" si="134"/>
        <v>297010.14321811206</v>
      </c>
      <c r="CA121" s="49">
        <f t="shared" ca="1" si="134"/>
        <v>169890.34761417177</v>
      </c>
      <c r="CB121" s="49">
        <f t="shared" ca="1" si="134"/>
        <v>161165.0345364266</v>
      </c>
      <c r="CC121" s="49">
        <f t="shared" ca="1" si="134"/>
        <v>246172.2831477258</v>
      </c>
      <c r="CD121" s="49">
        <f t="shared" ca="1" si="134"/>
        <v>308890.5489468365</v>
      </c>
      <c r="CE121" s="49">
        <f t="shared" ca="1" si="134"/>
        <v>176685.96151873862</v>
      </c>
      <c r="CF121" s="49">
        <f t="shared" ca="1" si="134"/>
        <v>167611.6359178836</v>
      </c>
      <c r="CG121" s="49">
        <f t="shared" ca="1" si="134"/>
        <v>256019.17447363483</v>
      </c>
      <c r="CH121" s="49">
        <f t="shared" ca="1" si="134"/>
        <v>321246.1709047099</v>
      </c>
      <c r="CI121" s="49">
        <f t="shared" ca="1" si="134"/>
        <v>183753.39997948823</v>
      </c>
      <c r="CJ121" s="49">
        <f t="shared" ca="1" si="134"/>
        <v>176252.94692520559</v>
      </c>
      <c r="CK121" s="49">
        <f t="shared" ca="1" si="134"/>
        <v>266259.94145258015</v>
      </c>
      <c r="CL121" s="49">
        <f t="shared" ca="1" si="134"/>
        <v>334096.0177408983</v>
      </c>
      <c r="CM121" s="49">
        <f t="shared" ca="1" si="134"/>
        <v>191103.53597866773</v>
      </c>
      <c r="CN121" s="49">
        <f t="shared" ref="CN121:CO121" ca="1" si="135">SUM(CN118:CN120)</f>
        <v>181288.74540878291</v>
      </c>
      <c r="CO121" s="49">
        <f t="shared" ca="1" si="135"/>
        <v>276910.33911068336</v>
      </c>
    </row>
    <row r="122" spans="1:93" s="141" customFormat="1" ht="14.5" customHeight="1">
      <c r="A122" s="153"/>
      <c r="B122" s="153"/>
      <c r="C122" s="153"/>
      <c r="D122" s="153"/>
      <c r="E122" s="153"/>
      <c r="F122" s="153"/>
      <c r="G122" s="179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  <c r="BS122" s="153"/>
      <c r="BT122" s="153"/>
      <c r="BU122" s="153"/>
      <c r="BV122" s="153"/>
      <c r="BW122" s="153"/>
      <c r="BX122" s="153"/>
      <c r="BY122" s="153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</row>
    <row r="123" spans="1:93" customFormat="1" ht="14.5" hidden="1" customHeight="1"/>
    <row r="124" spans="1:93" customFormat="1" ht="14.5" hidden="1" customHeight="1"/>
    <row r="125" spans="1:93" customFormat="1" ht="14.5" hidden="1" customHeight="1"/>
    <row r="126" spans="1:93" customFormat="1" ht="14.5" hidden="1" customHeight="1"/>
    <row r="127" spans="1:93" customFormat="1" ht="14.5" hidden="1" customHeight="1"/>
    <row r="128" spans="1:93" customFormat="1" ht="14.5" hidden="1" customHeight="1"/>
    <row r="129" customFormat="1" ht="14.5" hidden="1" customHeight="1"/>
    <row r="130" customFormat="1" ht="14.5" hidden="1" customHeight="1"/>
    <row r="131" customFormat="1" ht="14.5" hidden="1" customHeight="1"/>
    <row r="132" customFormat="1" ht="14.5" hidden="1" customHeight="1"/>
    <row r="133" customFormat="1" ht="14.5" hidden="1" customHeight="1"/>
    <row r="134" customFormat="1" ht="14.5" hidden="1" customHeight="1"/>
    <row r="135" customFormat="1" ht="14.5" hidden="1" customHeight="1"/>
    <row r="136" customFormat="1" ht="14.5" hidden="1" customHeight="1"/>
    <row r="137" customFormat="1" ht="14.5" hidden="1" customHeight="1"/>
    <row r="138" customFormat="1" ht="14.5" hidden="1" customHeight="1"/>
    <row r="139" customFormat="1" ht="14.5" hidden="1" customHeight="1"/>
    <row r="140" customFormat="1" ht="14.5" hidden="1" customHeight="1"/>
    <row r="141" customFormat="1" ht="14.5" hidden="1" customHeight="1"/>
    <row r="142" customFormat="1" ht="14.5" hidden="1" customHeight="1"/>
    <row r="143" customFormat="1" ht="14.5" hidden="1" customHeight="1"/>
    <row r="144" customFormat="1" ht="14.5" hidden="1" customHeight="1"/>
    <row r="145" customFormat="1" ht="14.5" hidden="1" customHeight="1"/>
    <row r="146" customFormat="1" ht="14.5" hidden="1" customHeight="1"/>
    <row r="147" customFormat="1" ht="14.5" hidden="1" customHeight="1"/>
    <row r="148" customFormat="1" ht="14.5" hidden="1" customHeight="1"/>
    <row r="149" customFormat="1" ht="14.5" hidden="1" customHeight="1"/>
    <row r="150" customFormat="1" ht="14.5" hidden="1" customHeight="1"/>
    <row r="151" customFormat="1" ht="14.5" hidden="1" customHeight="1"/>
    <row r="152" customFormat="1" ht="14.5" hidden="1" customHeight="1"/>
    <row r="153" customFormat="1" ht="14.5" hidden="1" customHeight="1"/>
    <row r="154" customFormat="1" ht="14.5" hidden="1" customHeight="1"/>
    <row r="155" customFormat="1" ht="14.5" hidden="1" customHeight="1"/>
    <row r="156" customFormat="1" ht="14.5" hidden="1" customHeight="1"/>
    <row r="157" customFormat="1" ht="14.5" hidden="1" customHeight="1"/>
    <row r="158" customFormat="1" ht="14.5" hidden="1" customHeight="1"/>
    <row r="159" customFormat="1" ht="14.5" hidden="1" customHeight="1"/>
    <row r="160" customFormat="1" ht="14.5" hidden="1" customHeight="1"/>
    <row r="161" customFormat="1" ht="14.5" hidden="1" customHeight="1"/>
    <row r="162" customFormat="1" ht="14.5" hidden="1" customHeight="1"/>
  </sheetData>
  <conditionalFormatting sqref="E4">
    <cfRule type="cellIs" dxfId="14" priority="3" operator="equal">
      <formula>FALSE</formula>
    </cfRule>
    <cfRule type="cellIs" dxfId="13" priority="4" operator="equal">
      <formula>TRUE</formula>
    </cfRule>
  </conditionalFormatting>
  <conditionalFormatting sqref="L9:CO9">
    <cfRule type="cellIs" dxfId="12" priority="5" operator="equal">
      <formula>2</formula>
    </cfRule>
    <cfRule type="cellIs" dxfId="11" priority="6" operator="equal">
      <formula>1</formula>
    </cfRule>
  </conditionalFormatting>
  <hyperlinks>
    <hyperlink ref="I26" r:id="rId1" xr:uid="{00000000-0004-0000-0A00-000000000000}"/>
  </hyperlinks>
  <pageMargins left="0.70866141732283472" right="0.70866141732283472" top="0.74803149606299213" bottom="0.74803149606299213" header="0.31496062992125984" footer="0.31496062992125984"/>
  <pageSetup paperSize="8" scale="25" orientation="landscape" r:id="rId2"/>
  <colBreaks count="1" manualBreakCount="1">
    <brk id="63" max="119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92D050"/>
  </sheetPr>
  <dimension ref="A1:CQ143"/>
  <sheetViews>
    <sheetView showGridLines="0" view="pageBreakPreview" zoomScale="70" zoomScaleNormal="60" zoomScaleSheetLayoutView="70" workbookViewId="0">
      <pane xSplit="10" ySplit="9" topLeftCell="K11" activePane="bottomRight" state="frozen"/>
      <selection pane="topRight" activeCell="K1" sqref="K1"/>
      <selection pane="bottomLeft" activeCell="A10" sqref="A10"/>
      <selection pane="bottomRight" activeCell="Q16" sqref="Q16"/>
    </sheetView>
  </sheetViews>
  <sheetFormatPr defaultColWidth="0" defaultRowHeight="0" customHeight="1" zeroHeight="1"/>
  <cols>
    <col min="1" max="2" width="2.453125" style="133" customWidth="1"/>
    <col min="3" max="3" width="50.7265625" style="133" customWidth="1"/>
    <col min="4" max="5" width="11.54296875" style="133" customWidth="1"/>
    <col min="6" max="6" width="2.453125" style="133" customWidth="1"/>
    <col min="7" max="7" width="10.26953125" style="207" customWidth="1"/>
    <col min="8" max="8" width="2.453125" style="133" customWidth="1"/>
    <col min="9" max="9" width="13.7265625" style="133" customWidth="1"/>
    <col min="10" max="11" width="2.453125" style="133" customWidth="1"/>
    <col min="12" max="93" width="12.453125" style="133" customWidth="1"/>
    <col min="94" max="94" width="2.7265625" style="133" hidden="1" customWidth="1"/>
    <col min="95" max="95" width="0" style="133" hidden="1" customWidth="1"/>
    <col min="96" max="16384" width="2.7265625" style="133" hidden="1"/>
  </cols>
  <sheetData>
    <row r="1" spans="1:93" ht="14">
      <c r="A1" s="47"/>
      <c r="B1" s="47"/>
      <c r="C1" s="47"/>
      <c r="D1" s="47"/>
      <c r="E1" s="47"/>
      <c r="F1" s="47"/>
      <c r="G1" s="321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1150</v>
      </c>
      <c r="D4" s="322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O7" si="1">Beginning_of_period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si="1"/>
        <v>48580</v>
      </c>
      <c r="AS7" s="113">
        <f t="shared" si="1"/>
        <v>48670</v>
      </c>
      <c r="AT7" s="113">
        <f t="shared" si="1"/>
        <v>48761</v>
      </c>
      <c r="AU7" s="113">
        <f t="shared" si="1"/>
        <v>48853</v>
      </c>
      <c r="AV7" s="113">
        <f t="shared" si="1"/>
        <v>48945</v>
      </c>
      <c r="AW7" s="113">
        <f t="shared" si="1"/>
        <v>49035</v>
      </c>
      <c r="AX7" s="113">
        <f t="shared" si="1"/>
        <v>49126</v>
      </c>
      <c r="AY7" s="113">
        <f t="shared" si="1"/>
        <v>49218</v>
      </c>
      <c r="AZ7" s="113">
        <f t="shared" si="1"/>
        <v>49310</v>
      </c>
      <c r="BA7" s="113">
        <f t="shared" si="1"/>
        <v>49400</v>
      </c>
      <c r="BB7" s="113">
        <f t="shared" si="1"/>
        <v>49491</v>
      </c>
      <c r="BC7" s="113">
        <f t="shared" si="1"/>
        <v>49583</v>
      </c>
      <c r="BD7" s="113">
        <f t="shared" si="1"/>
        <v>49675</v>
      </c>
      <c r="BE7" s="113">
        <f t="shared" si="1"/>
        <v>49766</v>
      </c>
      <c r="BF7" s="113">
        <f t="shared" si="1"/>
        <v>49857</v>
      </c>
      <c r="BG7" s="113">
        <f t="shared" si="1"/>
        <v>49949</v>
      </c>
      <c r="BH7" s="113">
        <f t="shared" si="1"/>
        <v>50041</v>
      </c>
      <c r="BI7" s="113">
        <f t="shared" si="1"/>
        <v>50131</v>
      </c>
      <c r="BJ7" s="113">
        <f t="shared" si="1"/>
        <v>50222</v>
      </c>
      <c r="BK7" s="113">
        <f t="shared" si="1"/>
        <v>50314</v>
      </c>
      <c r="BL7" s="113">
        <f t="shared" si="1"/>
        <v>50406</v>
      </c>
      <c r="BM7" s="113">
        <f t="shared" si="1"/>
        <v>50496</v>
      </c>
      <c r="BN7" s="113">
        <f t="shared" si="1"/>
        <v>50587</v>
      </c>
      <c r="BO7" s="113">
        <f t="shared" si="1"/>
        <v>50679</v>
      </c>
      <c r="BP7" s="113">
        <f t="shared" si="1"/>
        <v>50771</v>
      </c>
      <c r="BQ7" s="113">
        <f t="shared" si="1"/>
        <v>50861</v>
      </c>
      <c r="BR7" s="113">
        <f t="shared" si="1"/>
        <v>50952</v>
      </c>
      <c r="BS7" s="113">
        <f t="shared" si="1"/>
        <v>51044</v>
      </c>
      <c r="BT7" s="113">
        <f t="shared" si="1"/>
        <v>51136</v>
      </c>
      <c r="BU7" s="113">
        <f t="shared" si="1"/>
        <v>51227</v>
      </c>
      <c r="BV7" s="113">
        <f t="shared" si="1"/>
        <v>51318</v>
      </c>
      <c r="BW7" s="113">
        <f t="shared" si="1"/>
        <v>51410</v>
      </c>
      <c r="BX7" s="113">
        <f t="shared" si="1"/>
        <v>51502</v>
      </c>
      <c r="BY7" s="113">
        <f t="shared" si="1"/>
        <v>51592</v>
      </c>
      <c r="BZ7" s="113">
        <f t="shared" si="1"/>
        <v>51683</v>
      </c>
      <c r="CA7" s="113">
        <f t="shared" si="1"/>
        <v>51775</v>
      </c>
      <c r="CB7" s="113">
        <f t="shared" si="1"/>
        <v>51867</v>
      </c>
      <c r="CC7" s="113">
        <f t="shared" si="1"/>
        <v>51957</v>
      </c>
      <c r="CD7" s="113">
        <f t="shared" si="1"/>
        <v>52048</v>
      </c>
      <c r="CE7" s="113">
        <f t="shared" si="1"/>
        <v>52140</v>
      </c>
      <c r="CF7" s="113">
        <f t="shared" si="1"/>
        <v>52232</v>
      </c>
      <c r="CG7" s="113">
        <f t="shared" si="1"/>
        <v>52322</v>
      </c>
      <c r="CH7" s="113">
        <f t="shared" si="1"/>
        <v>52413</v>
      </c>
      <c r="CI7" s="113">
        <f t="shared" si="1"/>
        <v>52505</v>
      </c>
      <c r="CJ7" s="113">
        <f t="shared" si="1"/>
        <v>52597</v>
      </c>
      <c r="CK7" s="113">
        <f t="shared" si="1"/>
        <v>52688</v>
      </c>
      <c r="CL7" s="113">
        <f t="shared" si="1"/>
        <v>52779</v>
      </c>
      <c r="CM7" s="113">
        <f t="shared" si="1"/>
        <v>52871</v>
      </c>
      <c r="CN7" s="113">
        <f t="shared" si="1"/>
        <v>52963</v>
      </c>
      <c r="CO7" s="113">
        <f t="shared" si="1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2">End_of_period</f>
        <v>45747</v>
      </c>
      <c r="M8" s="113">
        <f t="shared" si="2"/>
        <v>45838</v>
      </c>
      <c r="N8" s="113">
        <f t="shared" si="2"/>
        <v>45930</v>
      </c>
      <c r="O8" s="113">
        <f t="shared" si="2"/>
        <v>46022</v>
      </c>
      <c r="P8" s="113">
        <f t="shared" si="2"/>
        <v>46112</v>
      </c>
      <c r="Q8" s="113">
        <f t="shared" si="2"/>
        <v>46203</v>
      </c>
      <c r="R8" s="113">
        <f t="shared" si="2"/>
        <v>46295</v>
      </c>
      <c r="S8" s="113">
        <f t="shared" si="2"/>
        <v>46387</v>
      </c>
      <c r="T8" s="113">
        <f t="shared" si="2"/>
        <v>46477</v>
      </c>
      <c r="U8" s="113">
        <f t="shared" si="2"/>
        <v>46568</v>
      </c>
      <c r="V8" s="113">
        <f t="shared" si="2"/>
        <v>46660</v>
      </c>
      <c r="W8" s="113">
        <f t="shared" si="2"/>
        <v>46752</v>
      </c>
      <c r="X8" s="113">
        <f t="shared" si="2"/>
        <v>46843</v>
      </c>
      <c r="Y8" s="113">
        <f t="shared" si="2"/>
        <v>46934</v>
      </c>
      <c r="Z8" s="113">
        <f t="shared" si="2"/>
        <v>47026</v>
      </c>
      <c r="AA8" s="113">
        <f t="shared" si="2"/>
        <v>47118</v>
      </c>
      <c r="AB8" s="113">
        <f t="shared" si="2"/>
        <v>47208</v>
      </c>
      <c r="AC8" s="113">
        <f t="shared" si="2"/>
        <v>47299</v>
      </c>
      <c r="AD8" s="113">
        <f t="shared" si="2"/>
        <v>47391</v>
      </c>
      <c r="AE8" s="113">
        <f t="shared" si="2"/>
        <v>47483</v>
      </c>
      <c r="AF8" s="113">
        <f t="shared" si="2"/>
        <v>47573</v>
      </c>
      <c r="AG8" s="113">
        <f t="shared" si="2"/>
        <v>47664</v>
      </c>
      <c r="AH8" s="113">
        <f t="shared" si="2"/>
        <v>47756</v>
      </c>
      <c r="AI8" s="113">
        <f t="shared" si="2"/>
        <v>47848</v>
      </c>
      <c r="AJ8" s="113">
        <f t="shared" si="2"/>
        <v>47938</v>
      </c>
      <c r="AK8" s="113">
        <f t="shared" si="2"/>
        <v>48029</v>
      </c>
      <c r="AL8" s="113">
        <f t="shared" si="2"/>
        <v>48121</v>
      </c>
      <c r="AM8" s="113">
        <f t="shared" si="2"/>
        <v>48213</v>
      </c>
      <c r="AN8" s="113">
        <f t="shared" si="2"/>
        <v>48304</v>
      </c>
      <c r="AO8" s="113">
        <f t="shared" si="2"/>
        <v>48395</v>
      </c>
      <c r="AP8" s="113">
        <f t="shared" si="2"/>
        <v>48487</v>
      </c>
      <c r="AQ8" s="113">
        <f t="shared" si="2"/>
        <v>48579</v>
      </c>
      <c r="AR8" s="113">
        <f t="shared" si="2"/>
        <v>48669</v>
      </c>
      <c r="AS8" s="113">
        <f t="shared" si="2"/>
        <v>48760</v>
      </c>
      <c r="AT8" s="113">
        <f t="shared" si="2"/>
        <v>48852</v>
      </c>
      <c r="AU8" s="113">
        <f t="shared" si="2"/>
        <v>48944</v>
      </c>
      <c r="AV8" s="113">
        <f t="shared" si="2"/>
        <v>49034</v>
      </c>
      <c r="AW8" s="113">
        <f t="shared" si="2"/>
        <v>49125</v>
      </c>
      <c r="AX8" s="113">
        <f t="shared" si="2"/>
        <v>49217</v>
      </c>
      <c r="AY8" s="113">
        <f t="shared" si="2"/>
        <v>49309</v>
      </c>
      <c r="AZ8" s="113">
        <f t="shared" si="2"/>
        <v>49399</v>
      </c>
      <c r="BA8" s="113">
        <f t="shared" si="2"/>
        <v>49490</v>
      </c>
      <c r="BB8" s="113">
        <f t="shared" si="2"/>
        <v>49582</v>
      </c>
      <c r="BC8" s="113">
        <f t="shared" si="2"/>
        <v>49674</v>
      </c>
      <c r="BD8" s="113">
        <f t="shared" si="2"/>
        <v>49765</v>
      </c>
      <c r="BE8" s="113">
        <f t="shared" si="2"/>
        <v>49856</v>
      </c>
      <c r="BF8" s="113">
        <f t="shared" si="2"/>
        <v>49948</v>
      </c>
      <c r="BG8" s="113">
        <f t="shared" si="2"/>
        <v>50040</v>
      </c>
      <c r="BH8" s="113">
        <f t="shared" si="2"/>
        <v>50130</v>
      </c>
      <c r="BI8" s="113">
        <f t="shared" si="2"/>
        <v>50221</v>
      </c>
      <c r="BJ8" s="113">
        <f t="shared" si="2"/>
        <v>50313</v>
      </c>
      <c r="BK8" s="113">
        <f t="shared" si="2"/>
        <v>50405</v>
      </c>
      <c r="BL8" s="113">
        <f t="shared" si="2"/>
        <v>50495</v>
      </c>
      <c r="BM8" s="113">
        <f t="shared" si="2"/>
        <v>50586</v>
      </c>
      <c r="BN8" s="113">
        <f t="shared" si="2"/>
        <v>50678</v>
      </c>
      <c r="BO8" s="113">
        <f t="shared" si="2"/>
        <v>50770</v>
      </c>
      <c r="BP8" s="113">
        <f t="shared" si="2"/>
        <v>50860</v>
      </c>
      <c r="BQ8" s="113">
        <f t="shared" si="2"/>
        <v>50951</v>
      </c>
      <c r="BR8" s="113">
        <f t="shared" si="2"/>
        <v>51043</v>
      </c>
      <c r="BS8" s="113">
        <f t="shared" si="2"/>
        <v>51135</v>
      </c>
      <c r="BT8" s="113">
        <f t="shared" si="2"/>
        <v>51226</v>
      </c>
      <c r="BU8" s="113">
        <f t="shared" si="2"/>
        <v>51317</v>
      </c>
      <c r="BV8" s="113">
        <f t="shared" si="2"/>
        <v>51409</v>
      </c>
      <c r="BW8" s="113">
        <f t="shared" si="2"/>
        <v>51501</v>
      </c>
      <c r="BX8" s="113">
        <f t="shared" si="2"/>
        <v>51591</v>
      </c>
      <c r="BY8" s="113">
        <f t="shared" si="2"/>
        <v>51682</v>
      </c>
      <c r="BZ8" s="113">
        <f t="shared" si="2"/>
        <v>51774</v>
      </c>
      <c r="CA8" s="113">
        <f t="shared" si="2"/>
        <v>51866</v>
      </c>
      <c r="CB8" s="113">
        <f t="shared" si="2"/>
        <v>51956</v>
      </c>
      <c r="CC8" s="113">
        <f t="shared" si="2"/>
        <v>52047</v>
      </c>
      <c r="CD8" s="113">
        <f t="shared" si="2"/>
        <v>52139</v>
      </c>
      <c r="CE8" s="113">
        <f t="shared" si="2"/>
        <v>52231</v>
      </c>
      <c r="CF8" s="113">
        <f t="shared" si="2"/>
        <v>52321</v>
      </c>
      <c r="CG8" s="113">
        <f t="shared" si="2"/>
        <v>52412</v>
      </c>
      <c r="CH8" s="113">
        <f t="shared" si="2"/>
        <v>52504</v>
      </c>
      <c r="CI8" s="113">
        <f t="shared" si="2"/>
        <v>52596</v>
      </c>
      <c r="CJ8" s="113">
        <f t="shared" si="2"/>
        <v>52687</v>
      </c>
      <c r="CK8" s="113">
        <f t="shared" si="2"/>
        <v>52778</v>
      </c>
      <c r="CL8" s="113">
        <f t="shared" si="2"/>
        <v>52870</v>
      </c>
      <c r="CM8" s="113">
        <f t="shared" si="2"/>
        <v>52962</v>
      </c>
      <c r="CN8" s="113">
        <f t="shared" si="2"/>
        <v>53052</v>
      </c>
      <c r="CO8" s="113">
        <f t="shared" si="2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O9" si="3">IF(Flag_Construction,1,2)*Flag_Financial_Model</f>
        <v>1</v>
      </c>
      <c r="M9" s="152">
        <f t="shared" si="3"/>
        <v>1</v>
      </c>
      <c r="N9" s="152">
        <f t="shared" si="3"/>
        <v>1</v>
      </c>
      <c r="O9" s="152">
        <f t="shared" si="3"/>
        <v>1</v>
      </c>
      <c r="P9" s="152">
        <f t="shared" si="3"/>
        <v>1</v>
      </c>
      <c r="Q9" s="152">
        <f t="shared" si="3"/>
        <v>1</v>
      </c>
      <c r="R9" s="152">
        <f t="shared" si="3"/>
        <v>1</v>
      </c>
      <c r="S9" s="152">
        <f t="shared" si="3"/>
        <v>1</v>
      </c>
      <c r="T9" s="152">
        <f t="shared" si="3"/>
        <v>1</v>
      </c>
      <c r="U9" s="152">
        <f t="shared" si="3"/>
        <v>1</v>
      </c>
      <c r="V9" s="152">
        <f t="shared" si="3"/>
        <v>1</v>
      </c>
      <c r="W9" s="152">
        <f t="shared" si="3"/>
        <v>1</v>
      </c>
      <c r="X9" s="152">
        <f t="shared" si="3"/>
        <v>1</v>
      </c>
      <c r="Y9" s="152">
        <f t="shared" si="3"/>
        <v>1</v>
      </c>
      <c r="Z9" s="152">
        <f t="shared" si="3"/>
        <v>1</v>
      </c>
      <c r="AA9" s="152">
        <f t="shared" si="3"/>
        <v>1</v>
      </c>
      <c r="AB9" s="152">
        <f t="shared" si="3"/>
        <v>1</v>
      </c>
      <c r="AC9" s="152">
        <f t="shared" si="3"/>
        <v>2</v>
      </c>
      <c r="AD9" s="152">
        <f t="shared" si="3"/>
        <v>2</v>
      </c>
      <c r="AE9" s="152">
        <f t="shared" si="3"/>
        <v>2</v>
      </c>
      <c r="AF9" s="152">
        <f t="shared" si="3"/>
        <v>2</v>
      </c>
      <c r="AG9" s="152">
        <f t="shared" si="3"/>
        <v>2</v>
      </c>
      <c r="AH9" s="152">
        <f t="shared" si="3"/>
        <v>2</v>
      </c>
      <c r="AI9" s="152">
        <f t="shared" si="3"/>
        <v>2</v>
      </c>
      <c r="AJ9" s="152">
        <f t="shared" si="3"/>
        <v>2</v>
      </c>
      <c r="AK9" s="152">
        <f t="shared" si="3"/>
        <v>2</v>
      </c>
      <c r="AL9" s="152">
        <f t="shared" si="3"/>
        <v>2</v>
      </c>
      <c r="AM9" s="152">
        <f t="shared" si="3"/>
        <v>2</v>
      </c>
      <c r="AN9" s="152">
        <f t="shared" si="3"/>
        <v>2</v>
      </c>
      <c r="AO9" s="152">
        <f t="shared" si="3"/>
        <v>2</v>
      </c>
      <c r="AP9" s="152">
        <f t="shared" si="3"/>
        <v>2</v>
      </c>
      <c r="AQ9" s="152">
        <f t="shared" si="3"/>
        <v>2</v>
      </c>
      <c r="AR9" s="152">
        <f t="shared" si="3"/>
        <v>2</v>
      </c>
      <c r="AS9" s="152">
        <f t="shared" si="3"/>
        <v>2</v>
      </c>
      <c r="AT9" s="152">
        <f t="shared" si="3"/>
        <v>2</v>
      </c>
      <c r="AU9" s="152">
        <f t="shared" si="3"/>
        <v>2</v>
      </c>
      <c r="AV9" s="152">
        <f t="shared" si="3"/>
        <v>2</v>
      </c>
      <c r="AW9" s="152">
        <f t="shared" si="3"/>
        <v>2</v>
      </c>
      <c r="AX9" s="152">
        <f t="shared" si="3"/>
        <v>2</v>
      </c>
      <c r="AY9" s="152">
        <f t="shared" si="3"/>
        <v>2</v>
      </c>
      <c r="AZ9" s="152">
        <f t="shared" si="3"/>
        <v>2</v>
      </c>
      <c r="BA9" s="152">
        <f t="shared" si="3"/>
        <v>2</v>
      </c>
      <c r="BB9" s="152">
        <f t="shared" si="3"/>
        <v>2</v>
      </c>
      <c r="BC9" s="152">
        <f t="shared" si="3"/>
        <v>2</v>
      </c>
      <c r="BD9" s="152">
        <f t="shared" si="3"/>
        <v>2</v>
      </c>
      <c r="BE9" s="152">
        <f t="shared" si="3"/>
        <v>2</v>
      </c>
      <c r="BF9" s="152">
        <f t="shared" si="3"/>
        <v>2</v>
      </c>
      <c r="BG9" s="152">
        <f t="shared" si="3"/>
        <v>2</v>
      </c>
      <c r="BH9" s="152">
        <f t="shared" si="3"/>
        <v>2</v>
      </c>
      <c r="BI9" s="152">
        <f t="shared" si="3"/>
        <v>2</v>
      </c>
      <c r="BJ9" s="152">
        <f t="shared" si="3"/>
        <v>2</v>
      </c>
      <c r="BK9" s="152">
        <f t="shared" si="3"/>
        <v>2</v>
      </c>
      <c r="BL9" s="152">
        <f t="shared" si="3"/>
        <v>2</v>
      </c>
      <c r="BM9" s="152">
        <f t="shared" si="3"/>
        <v>2</v>
      </c>
      <c r="BN9" s="152">
        <f t="shared" si="3"/>
        <v>2</v>
      </c>
      <c r="BO9" s="152">
        <f t="shared" si="3"/>
        <v>2</v>
      </c>
      <c r="BP9" s="152">
        <f t="shared" si="3"/>
        <v>2</v>
      </c>
      <c r="BQ9" s="152">
        <f t="shared" si="3"/>
        <v>2</v>
      </c>
      <c r="BR9" s="152">
        <f t="shared" si="3"/>
        <v>2</v>
      </c>
      <c r="BS9" s="152">
        <f t="shared" si="3"/>
        <v>2</v>
      </c>
      <c r="BT9" s="152">
        <f t="shared" si="3"/>
        <v>2</v>
      </c>
      <c r="BU9" s="152">
        <f t="shared" si="3"/>
        <v>2</v>
      </c>
      <c r="BV9" s="152">
        <f t="shared" si="3"/>
        <v>2</v>
      </c>
      <c r="BW9" s="152">
        <f t="shared" si="3"/>
        <v>2</v>
      </c>
      <c r="BX9" s="152">
        <f t="shared" si="3"/>
        <v>2</v>
      </c>
      <c r="BY9" s="152">
        <f t="shared" si="3"/>
        <v>2</v>
      </c>
      <c r="BZ9" s="152">
        <f t="shared" si="3"/>
        <v>2</v>
      </c>
      <c r="CA9" s="152">
        <f t="shared" si="3"/>
        <v>2</v>
      </c>
      <c r="CB9" s="152">
        <f t="shared" si="3"/>
        <v>2</v>
      </c>
      <c r="CC9" s="152">
        <f t="shared" si="3"/>
        <v>2</v>
      </c>
      <c r="CD9" s="152">
        <f t="shared" si="3"/>
        <v>2</v>
      </c>
      <c r="CE9" s="152">
        <f t="shared" si="3"/>
        <v>2</v>
      </c>
      <c r="CF9" s="152">
        <f t="shared" si="3"/>
        <v>2</v>
      </c>
      <c r="CG9" s="152">
        <f t="shared" si="3"/>
        <v>2</v>
      </c>
      <c r="CH9" s="152">
        <f t="shared" si="3"/>
        <v>2</v>
      </c>
      <c r="CI9" s="152">
        <f t="shared" si="3"/>
        <v>2</v>
      </c>
      <c r="CJ9" s="152">
        <f t="shared" si="3"/>
        <v>2</v>
      </c>
      <c r="CK9" s="152">
        <f t="shared" si="3"/>
        <v>2</v>
      </c>
      <c r="CL9" s="152">
        <f t="shared" si="3"/>
        <v>2</v>
      </c>
      <c r="CM9" s="152">
        <f t="shared" si="3"/>
        <v>2</v>
      </c>
      <c r="CN9" s="152">
        <f t="shared" si="3"/>
        <v>2</v>
      </c>
      <c r="CO9" s="152">
        <f t="shared" si="3"/>
        <v>2</v>
      </c>
    </row>
    <row r="10" spans="1:93" ht="15" customHeight="1">
      <c r="A10" s="47"/>
      <c r="B10" s="47"/>
      <c r="C10" s="47"/>
      <c r="D10" s="47"/>
      <c r="E10" s="47"/>
      <c r="F10" s="47"/>
      <c r="G10" s="321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customFormat="1" ht="22.5" customHeight="1">
      <c r="A11" s="3"/>
      <c r="B11" s="5"/>
      <c r="C11" s="5" t="s">
        <v>1151</v>
      </c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141" customFormat="1" ht="15" customHeight="1">
      <c r="A12" s="153"/>
      <c r="B12" s="153"/>
      <c r="C12" s="153"/>
      <c r="D12" s="153"/>
      <c r="E12" s="153"/>
      <c r="F12" s="153"/>
      <c r="G12" s="179"/>
      <c r="H12" s="153"/>
      <c r="I12" s="153"/>
      <c r="J12" s="153"/>
      <c r="K12" s="153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s="132" customFormat="1" ht="14">
      <c r="A13" s="10"/>
      <c r="B13" s="130"/>
      <c r="C13" s="35" t="s">
        <v>1152</v>
      </c>
      <c r="D13" s="130"/>
      <c r="E13" s="47"/>
      <c r="F13" s="130"/>
      <c r="G13" s="131" t="str">
        <f t="shared" ref="G13:G24" si="4">Monetary_Unit</f>
        <v>тыс. руб.</v>
      </c>
      <c r="H13" s="130"/>
      <c r="I13" s="176">
        <f t="shared" ref="I13:I18" si="5">SUM(L13:CO13)</f>
        <v>1409395.9556500001</v>
      </c>
      <c r="J13" s="10"/>
      <c r="K13" s="10"/>
      <c r="L13" s="132">
        <f>SUM(L14:L16)</f>
        <v>31406.153378999999</v>
      </c>
      <c r="M13" s="132">
        <f t="shared" ref="M13:BX13" si="6">SUM(M14:M16)</f>
        <v>31851.960190999998</v>
      </c>
      <c r="N13" s="132">
        <f t="shared" si="6"/>
        <v>32304.095179</v>
      </c>
      <c r="O13" s="132">
        <f t="shared" si="6"/>
        <v>32762.648173000001</v>
      </c>
      <c r="P13" s="132">
        <f t="shared" si="6"/>
        <v>275591.46580800001</v>
      </c>
      <c r="Q13" s="132">
        <f t="shared" si="6"/>
        <v>278306.98056200001</v>
      </c>
      <c r="R13" s="132">
        <f t="shared" si="6"/>
        <v>281049.25238700002</v>
      </c>
      <c r="S13" s="132">
        <f t="shared" si="6"/>
        <v>191482.31721000001</v>
      </c>
      <c r="T13" s="132">
        <f t="shared" si="6"/>
        <v>6580.654348</v>
      </c>
      <c r="U13" s="132">
        <f t="shared" si="6"/>
        <v>10424.828632999999</v>
      </c>
      <c r="V13" s="132">
        <f t="shared" si="6"/>
        <v>14389.449341</v>
      </c>
      <c r="W13" s="132">
        <f t="shared" si="6"/>
        <v>18277.447721</v>
      </c>
      <c r="X13" s="132">
        <f t="shared" si="6"/>
        <v>24140.856839</v>
      </c>
      <c r="Y13" s="132">
        <f t="shared" si="6"/>
        <v>32309.005873999999</v>
      </c>
      <c r="Z13" s="132">
        <f t="shared" si="6"/>
        <v>41003.327342999997</v>
      </c>
      <c r="AA13" s="132">
        <f t="shared" si="6"/>
        <v>49424.775082</v>
      </c>
      <c r="AB13" s="132">
        <f t="shared" si="6"/>
        <v>58090.737580000001</v>
      </c>
      <c r="AC13" s="132">
        <f t="shared" si="6"/>
        <v>0</v>
      </c>
      <c r="AD13" s="132">
        <f t="shared" si="6"/>
        <v>0</v>
      </c>
      <c r="AE13" s="132">
        <f t="shared" si="6"/>
        <v>0</v>
      </c>
      <c r="AF13" s="132">
        <f t="shared" si="6"/>
        <v>0</v>
      </c>
      <c r="AG13" s="132">
        <f t="shared" si="6"/>
        <v>0</v>
      </c>
      <c r="AH13" s="132">
        <f t="shared" si="6"/>
        <v>0</v>
      </c>
      <c r="AI13" s="132">
        <f t="shared" si="6"/>
        <v>0</v>
      </c>
      <c r="AJ13" s="132">
        <f t="shared" si="6"/>
        <v>0</v>
      </c>
      <c r="AK13" s="132">
        <f t="shared" si="6"/>
        <v>0</v>
      </c>
      <c r="AL13" s="132">
        <f t="shared" si="6"/>
        <v>0</v>
      </c>
      <c r="AM13" s="132">
        <f t="shared" si="6"/>
        <v>0</v>
      </c>
      <c r="AN13" s="132">
        <f t="shared" si="6"/>
        <v>0</v>
      </c>
      <c r="AO13" s="132">
        <f t="shared" si="6"/>
        <v>0</v>
      </c>
      <c r="AP13" s="132">
        <f t="shared" si="6"/>
        <v>0</v>
      </c>
      <c r="AQ13" s="132">
        <f t="shared" si="6"/>
        <v>0</v>
      </c>
      <c r="AR13" s="132">
        <f t="shared" si="6"/>
        <v>0</v>
      </c>
      <c r="AS13" s="132">
        <f t="shared" si="6"/>
        <v>0</v>
      </c>
      <c r="AT13" s="132">
        <f t="shared" si="6"/>
        <v>0</v>
      </c>
      <c r="AU13" s="132">
        <f t="shared" si="6"/>
        <v>0</v>
      </c>
      <c r="AV13" s="132">
        <f t="shared" si="6"/>
        <v>0</v>
      </c>
      <c r="AW13" s="132">
        <f t="shared" si="6"/>
        <v>0</v>
      </c>
      <c r="AX13" s="132">
        <f t="shared" si="6"/>
        <v>0</v>
      </c>
      <c r="AY13" s="132">
        <f t="shared" si="6"/>
        <v>0</v>
      </c>
      <c r="AZ13" s="132">
        <f t="shared" si="6"/>
        <v>0</v>
      </c>
      <c r="BA13" s="132">
        <f t="shared" si="6"/>
        <v>0</v>
      </c>
      <c r="BB13" s="132">
        <f t="shared" si="6"/>
        <v>0</v>
      </c>
      <c r="BC13" s="132">
        <f t="shared" si="6"/>
        <v>0</v>
      </c>
      <c r="BD13" s="132">
        <f t="shared" si="6"/>
        <v>0</v>
      </c>
      <c r="BE13" s="132">
        <f t="shared" si="6"/>
        <v>0</v>
      </c>
      <c r="BF13" s="132">
        <f t="shared" si="6"/>
        <v>0</v>
      </c>
      <c r="BG13" s="132">
        <f t="shared" si="6"/>
        <v>0</v>
      </c>
      <c r="BH13" s="132">
        <f t="shared" si="6"/>
        <v>0</v>
      </c>
      <c r="BI13" s="132">
        <f t="shared" si="6"/>
        <v>0</v>
      </c>
      <c r="BJ13" s="132">
        <f t="shared" si="6"/>
        <v>0</v>
      </c>
      <c r="BK13" s="132">
        <f t="shared" si="6"/>
        <v>0</v>
      </c>
      <c r="BL13" s="132">
        <f t="shared" si="6"/>
        <v>0</v>
      </c>
      <c r="BM13" s="132">
        <f t="shared" si="6"/>
        <v>0</v>
      </c>
      <c r="BN13" s="132">
        <f t="shared" si="6"/>
        <v>0</v>
      </c>
      <c r="BO13" s="132">
        <f t="shared" si="6"/>
        <v>0</v>
      </c>
      <c r="BP13" s="132">
        <f t="shared" si="6"/>
        <v>0</v>
      </c>
      <c r="BQ13" s="132">
        <f t="shared" si="6"/>
        <v>0</v>
      </c>
      <c r="BR13" s="132">
        <f t="shared" si="6"/>
        <v>0</v>
      </c>
      <c r="BS13" s="132">
        <f t="shared" si="6"/>
        <v>0</v>
      </c>
      <c r="BT13" s="132">
        <f t="shared" si="6"/>
        <v>0</v>
      </c>
      <c r="BU13" s="132">
        <f t="shared" si="6"/>
        <v>0</v>
      </c>
      <c r="BV13" s="132">
        <f t="shared" si="6"/>
        <v>0</v>
      </c>
      <c r="BW13" s="132">
        <f t="shared" si="6"/>
        <v>0</v>
      </c>
      <c r="BX13" s="132">
        <f t="shared" si="6"/>
        <v>0</v>
      </c>
      <c r="BY13" s="132">
        <f t="shared" ref="BY13:CO13" si="7">SUM(BY14:BY16)</f>
        <v>0</v>
      </c>
      <c r="BZ13" s="132">
        <f t="shared" si="7"/>
        <v>0</v>
      </c>
      <c r="CA13" s="132">
        <f t="shared" si="7"/>
        <v>0</v>
      </c>
      <c r="CB13" s="132">
        <f t="shared" si="7"/>
        <v>0</v>
      </c>
      <c r="CC13" s="132">
        <f t="shared" si="7"/>
        <v>0</v>
      </c>
      <c r="CD13" s="132">
        <f t="shared" si="7"/>
        <v>0</v>
      </c>
      <c r="CE13" s="132">
        <f t="shared" si="7"/>
        <v>0</v>
      </c>
      <c r="CF13" s="132">
        <f t="shared" si="7"/>
        <v>0</v>
      </c>
      <c r="CG13" s="132">
        <f t="shared" si="7"/>
        <v>0</v>
      </c>
      <c r="CH13" s="132">
        <f t="shared" si="7"/>
        <v>0</v>
      </c>
      <c r="CI13" s="132">
        <f t="shared" si="7"/>
        <v>0</v>
      </c>
      <c r="CJ13" s="132">
        <f t="shared" si="7"/>
        <v>0</v>
      </c>
      <c r="CK13" s="132">
        <f t="shared" si="7"/>
        <v>0</v>
      </c>
      <c r="CL13" s="132">
        <f t="shared" si="7"/>
        <v>0</v>
      </c>
      <c r="CM13" s="132">
        <f t="shared" si="7"/>
        <v>0</v>
      </c>
      <c r="CN13" s="132">
        <f t="shared" si="7"/>
        <v>0</v>
      </c>
      <c r="CO13" s="132">
        <f t="shared" si="7"/>
        <v>0</v>
      </c>
    </row>
    <row r="14" spans="1:93" s="132" customFormat="1" ht="15" customHeight="1">
      <c r="A14" s="153"/>
      <c r="B14" s="153"/>
      <c r="C14" s="156" t="s">
        <v>1164</v>
      </c>
      <c r="D14" s="153"/>
      <c r="E14" s="153"/>
      <c r="F14" s="153"/>
      <c r="G14" s="11" t="str">
        <f t="shared" si="4"/>
        <v>тыс. руб.</v>
      </c>
      <c r="H14" s="153"/>
      <c r="I14" s="23">
        <f t="shared" si="5"/>
        <v>1409395.9556500001</v>
      </c>
      <c r="J14" s="153"/>
      <c r="K14" s="153"/>
      <c r="L14" s="52">
        <f t="shared" ref="L14:AQ14" si="8">ROUND(Equity_Drawdown-L16,6)</f>
        <v>31406.153378999999</v>
      </c>
      <c r="M14" s="52">
        <f t="shared" si="8"/>
        <v>31851.960190999998</v>
      </c>
      <c r="N14" s="52">
        <f t="shared" si="8"/>
        <v>32304.095179</v>
      </c>
      <c r="O14" s="52">
        <f t="shared" si="8"/>
        <v>32762.648173000001</v>
      </c>
      <c r="P14" s="52">
        <f t="shared" si="8"/>
        <v>275591.46580800001</v>
      </c>
      <c r="Q14" s="52">
        <f t="shared" si="8"/>
        <v>278306.98056200001</v>
      </c>
      <c r="R14" s="52">
        <f t="shared" si="8"/>
        <v>281049.25238700002</v>
      </c>
      <c r="S14" s="52">
        <f t="shared" si="8"/>
        <v>191482.31721000001</v>
      </c>
      <c r="T14" s="52">
        <f t="shared" si="8"/>
        <v>6580.654348</v>
      </c>
      <c r="U14" s="52">
        <f t="shared" si="8"/>
        <v>10424.828632999999</v>
      </c>
      <c r="V14" s="52">
        <f t="shared" si="8"/>
        <v>14389.449341</v>
      </c>
      <c r="W14" s="52">
        <f t="shared" si="8"/>
        <v>18277.447721</v>
      </c>
      <c r="X14" s="52">
        <f t="shared" si="8"/>
        <v>24140.856839</v>
      </c>
      <c r="Y14" s="52">
        <f t="shared" si="8"/>
        <v>32309.005873999999</v>
      </c>
      <c r="Z14" s="52">
        <f t="shared" si="8"/>
        <v>41003.327342999997</v>
      </c>
      <c r="AA14" s="52">
        <f t="shared" si="8"/>
        <v>49424.775082</v>
      </c>
      <c r="AB14" s="52">
        <f t="shared" si="8"/>
        <v>58090.737580000001</v>
      </c>
      <c r="AC14" s="52">
        <f t="shared" si="8"/>
        <v>0</v>
      </c>
      <c r="AD14" s="52">
        <f t="shared" si="8"/>
        <v>0</v>
      </c>
      <c r="AE14" s="52">
        <f t="shared" si="8"/>
        <v>0</v>
      </c>
      <c r="AF14" s="52">
        <f t="shared" si="8"/>
        <v>0</v>
      </c>
      <c r="AG14" s="52">
        <f t="shared" si="8"/>
        <v>0</v>
      </c>
      <c r="AH14" s="52">
        <f t="shared" si="8"/>
        <v>0</v>
      </c>
      <c r="AI14" s="52">
        <f t="shared" si="8"/>
        <v>0</v>
      </c>
      <c r="AJ14" s="52">
        <f t="shared" si="8"/>
        <v>0</v>
      </c>
      <c r="AK14" s="52">
        <f t="shared" si="8"/>
        <v>0</v>
      </c>
      <c r="AL14" s="52">
        <f t="shared" si="8"/>
        <v>0</v>
      </c>
      <c r="AM14" s="52">
        <f t="shared" si="8"/>
        <v>0</v>
      </c>
      <c r="AN14" s="52">
        <f t="shared" si="8"/>
        <v>0</v>
      </c>
      <c r="AO14" s="52">
        <f t="shared" si="8"/>
        <v>0</v>
      </c>
      <c r="AP14" s="52">
        <f t="shared" si="8"/>
        <v>0</v>
      </c>
      <c r="AQ14" s="52">
        <f t="shared" si="8"/>
        <v>0</v>
      </c>
      <c r="AR14" s="52">
        <f t="shared" ref="AR14:BW14" si="9">ROUND(Equity_Drawdown-AR16,6)</f>
        <v>0</v>
      </c>
      <c r="AS14" s="52">
        <f t="shared" si="9"/>
        <v>0</v>
      </c>
      <c r="AT14" s="52">
        <f t="shared" si="9"/>
        <v>0</v>
      </c>
      <c r="AU14" s="52">
        <f t="shared" si="9"/>
        <v>0</v>
      </c>
      <c r="AV14" s="52">
        <f t="shared" si="9"/>
        <v>0</v>
      </c>
      <c r="AW14" s="52">
        <f t="shared" si="9"/>
        <v>0</v>
      </c>
      <c r="AX14" s="52">
        <f t="shared" si="9"/>
        <v>0</v>
      </c>
      <c r="AY14" s="52">
        <f t="shared" si="9"/>
        <v>0</v>
      </c>
      <c r="AZ14" s="52">
        <f t="shared" si="9"/>
        <v>0</v>
      </c>
      <c r="BA14" s="52">
        <f t="shared" si="9"/>
        <v>0</v>
      </c>
      <c r="BB14" s="52">
        <f t="shared" si="9"/>
        <v>0</v>
      </c>
      <c r="BC14" s="52">
        <f t="shared" si="9"/>
        <v>0</v>
      </c>
      <c r="BD14" s="52">
        <f t="shared" si="9"/>
        <v>0</v>
      </c>
      <c r="BE14" s="52">
        <f t="shared" si="9"/>
        <v>0</v>
      </c>
      <c r="BF14" s="52">
        <f t="shared" si="9"/>
        <v>0</v>
      </c>
      <c r="BG14" s="52">
        <f t="shared" si="9"/>
        <v>0</v>
      </c>
      <c r="BH14" s="52">
        <f t="shared" si="9"/>
        <v>0</v>
      </c>
      <c r="BI14" s="52">
        <f t="shared" si="9"/>
        <v>0</v>
      </c>
      <c r="BJ14" s="52">
        <f t="shared" si="9"/>
        <v>0</v>
      </c>
      <c r="BK14" s="52">
        <f t="shared" si="9"/>
        <v>0</v>
      </c>
      <c r="BL14" s="52">
        <f t="shared" si="9"/>
        <v>0</v>
      </c>
      <c r="BM14" s="52">
        <f t="shared" si="9"/>
        <v>0</v>
      </c>
      <c r="BN14" s="52">
        <f t="shared" si="9"/>
        <v>0</v>
      </c>
      <c r="BO14" s="52">
        <f t="shared" si="9"/>
        <v>0</v>
      </c>
      <c r="BP14" s="52">
        <f t="shared" si="9"/>
        <v>0</v>
      </c>
      <c r="BQ14" s="52">
        <f t="shared" si="9"/>
        <v>0</v>
      </c>
      <c r="BR14" s="52">
        <f t="shared" si="9"/>
        <v>0</v>
      </c>
      <c r="BS14" s="52">
        <f t="shared" si="9"/>
        <v>0</v>
      </c>
      <c r="BT14" s="52">
        <f t="shared" si="9"/>
        <v>0</v>
      </c>
      <c r="BU14" s="52">
        <f t="shared" si="9"/>
        <v>0</v>
      </c>
      <c r="BV14" s="52">
        <f t="shared" si="9"/>
        <v>0</v>
      </c>
      <c r="BW14" s="52">
        <f t="shared" si="9"/>
        <v>0</v>
      </c>
      <c r="BX14" s="52">
        <f t="shared" ref="BX14:CO14" si="10">ROUND(Equity_Drawdown-BX16,6)</f>
        <v>0</v>
      </c>
      <c r="BY14" s="52">
        <f t="shared" si="10"/>
        <v>0</v>
      </c>
      <c r="BZ14" s="52">
        <f t="shared" si="10"/>
        <v>0</v>
      </c>
      <c r="CA14" s="52">
        <f t="shared" si="10"/>
        <v>0</v>
      </c>
      <c r="CB14" s="52">
        <f t="shared" si="10"/>
        <v>0</v>
      </c>
      <c r="CC14" s="52">
        <f t="shared" si="10"/>
        <v>0</v>
      </c>
      <c r="CD14" s="52">
        <f t="shared" si="10"/>
        <v>0</v>
      </c>
      <c r="CE14" s="52">
        <f t="shared" si="10"/>
        <v>0</v>
      </c>
      <c r="CF14" s="52">
        <f t="shared" si="10"/>
        <v>0</v>
      </c>
      <c r="CG14" s="52">
        <f t="shared" si="10"/>
        <v>0</v>
      </c>
      <c r="CH14" s="52">
        <f t="shared" si="10"/>
        <v>0</v>
      </c>
      <c r="CI14" s="52">
        <f t="shared" si="10"/>
        <v>0</v>
      </c>
      <c r="CJ14" s="52">
        <f t="shared" si="10"/>
        <v>0</v>
      </c>
      <c r="CK14" s="52">
        <f t="shared" si="10"/>
        <v>0</v>
      </c>
      <c r="CL14" s="52">
        <f t="shared" si="10"/>
        <v>0</v>
      </c>
      <c r="CM14" s="52">
        <f t="shared" si="10"/>
        <v>0</v>
      </c>
      <c r="CN14" s="52">
        <f t="shared" si="10"/>
        <v>0</v>
      </c>
      <c r="CO14" s="52">
        <f t="shared" si="10"/>
        <v>0</v>
      </c>
    </row>
    <row r="15" spans="1:93" s="132" customFormat="1" ht="15" customHeight="1">
      <c r="A15" s="153"/>
      <c r="B15" s="153"/>
      <c r="C15" s="156" t="s">
        <v>1165</v>
      </c>
      <c r="D15" s="153"/>
      <c r="E15" s="153"/>
      <c r="F15" s="153"/>
      <c r="G15" s="11" t="str">
        <f t="shared" si="4"/>
        <v>тыс. руб.</v>
      </c>
      <c r="H15" s="153"/>
      <c r="I15" s="23">
        <f t="shared" si="5"/>
        <v>0</v>
      </c>
      <c r="J15" s="153"/>
      <c r="K15" s="153"/>
      <c r="L15" s="52">
        <f t="shared" ref="L15:AQ15" si="11">Equity_S_Drawdown_1+Equity_S_Drawdown_2</f>
        <v>0</v>
      </c>
      <c r="M15" s="52">
        <f t="shared" si="11"/>
        <v>0</v>
      </c>
      <c r="N15" s="52">
        <f t="shared" si="11"/>
        <v>0</v>
      </c>
      <c r="O15" s="52">
        <f t="shared" si="11"/>
        <v>0</v>
      </c>
      <c r="P15" s="52">
        <f t="shared" si="11"/>
        <v>0</v>
      </c>
      <c r="Q15" s="52">
        <f t="shared" si="11"/>
        <v>0</v>
      </c>
      <c r="R15" s="52">
        <f t="shared" si="11"/>
        <v>0</v>
      </c>
      <c r="S15" s="52">
        <f t="shared" si="11"/>
        <v>0</v>
      </c>
      <c r="T15" s="52">
        <f t="shared" si="11"/>
        <v>0</v>
      </c>
      <c r="U15" s="52">
        <f t="shared" si="11"/>
        <v>0</v>
      </c>
      <c r="V15" s="52">
        <f t="shared" si="11"/>
        <v>0</v>
      </c>
      <c r="W15" s="52">
        <f t="shared" si="11"/>
        <v>0</v>
      </c>
      <c r="X15" s="52">
        <f t="shared" si="11"/>
        <v>0</v>
      </c>
      <c r="Y15" s="52">
        <f t="shared" si="11"/>
        <v>0</v>
      </c>
      <c r="Z15" s="52">
        <f t="shared" si="11"/>
        <v>0</v>
      </c>
      <c r="AA15" s="52">
        <f t="shared" si="11"/>
        <v>0</v>
      </c>
      <c r="AB15" s="52">
        <f t="shared" si="11"/>
        <v>0</v>
      </c>
      <c r="AC15" s="52">
        <f t="shared" si="11"/>
        <v>0</v>
      </c>
      <c r="AD15" s="52">
        <f t="shared" si="11"/>
        <v>0</v>
      </c>
      <c r="AE15" s="52">
        <f t="shared" si="11"/>
        <v>0</v>
      </c>
      <c r="AF15" s="52">
        <f t="shared" si="11"/>
        <v>0</v>
      </c>
      <c r="AG15" s="52">
        <f t="shared" si="11"/>
        <v>0</v>
      </c>
      <c r="AH15" s="52">
        <f t="shared" si="11"/>
        <v>0</v>
      </c>
      <c r="AI15" s="52">
        <f t="shared" si="11"/>
        <v>0</v>
      </c>
      <c r="AJ15" s="52">
        <f t="shared" si="11"/>
        <v>0</v>
      </c>
      <c r="AK15" s="52">
        <f t="shared" si="11"/>
        <v>0</v>
      </c>
      <c r="AL15" s="52">
        <f t="shared" si="11"/>
        <v>0</v>
      </c>
      <c r="AM15" s="52">
        <f t="shared" si="11"/>
        <v>0</v>
      </c>
      <c r="AN15" s="52">
        <f t="shared" si="11"/>
        <v>0</v>
      </c>
      <c r="AO15" s="52">
        <f t="shared" si="11"/>
        <v>0</v>
      </c>
      <c r="AP15" s="52">
        <f t="shared" si="11"/>
        <v>0</v>
      </c>
      <c r="AQ15" s="52">
        <f t="shared" si="11"/>
        <v>0</v>
      </c>
      <c r="AR15" s="52">
        <f t="shared" ref="AR15:BW15" si="12">Equity_S_Drawdown_1+Equity_S_Drawdown_2</f>
        <v>0</v>
      </c>
      <c r="AS15" s="52">
        <f t="shared" si="12"/>
        <v>0</v>
      </c>
      <c r="AT15" s="52">
        <f t="shared" si="12"/>
        <v>0</v>
      </c>
      <c r="AU15" s="52">
        <f t="shared" si="12"/>
        <v>0</v>
      </c>
      <c r="AV15" s="52">
        <f t="shared" si="12"/>
        <v>0</v>
      </c>
      <c r="AW15" s="52">
        <f t="shared" si="12"/>
        <v>0</v>
      </c>
      <c r="AX15" s="52">
        <f t="shared" si="12"/>
        <v>0</v>
      </c>
      <c r="AY15" s="52">
        <f t="shared" si="12"/>
        <v>0</v>
      </c>
      <c r="AZ15" s="52">
        <f t="shared" si="12"/>
        <v>0</v>
      </c>
      <c r="BA15" s="52">
        <f t="shared" si="12"/>
        <v>0</v>
      </c>
      <c r="BB15" s="52">
        <f t="shared" si="12"/>
        <v>0</v>
      </c>
      <c r="BC15" s="52">
        <f t="shared" si="12"/>
        <v>0</v>
      </c>
      <c r="BD15" s="52">
        <f t="shared" si="12"/>
        <v>0</v>
      </c>
      <c r="BE15" s="52">
        <f t="shared" si="12"/>
        <v>0</v>
      </c>
      <c r="BF15" s="52">
        <f t="shared" si="12"/>
        <v>0</v>
      </c>
      <c r="BG15" s="52">
        <f t="shared" si="12"/>
        <v>0</v>
      </c>
      <c r="BH15" s="52">
        <f t="shared" si="12"/>
        <v>0</v>
      </c>
      <c r="BI15" s="52">
        <f t="shared" si="12"/>
        <v>0</v>
      </c>
      <c r="BJ15" s="52">
        <f t="shared" si="12"/>
        <v>0</v>
      </c>
      <c r="BK15" s="52">
        <f t="shared" si="12"/>
        <v>0</v>
      </c>
      <c r="BL15" s="52">
        <f t="shared" si="12"/>
        <v>0</v>
      </c>
      <c r="BM15" s="52">
        <f t="shared" si="12"/>
        <v>0</v>
      </c>
      <c r="BN15" s="52">
        <f t="shared" si="12"/>
        <v>0</v>
      </c>
      <c r="BO15" s="52">
        <f t="shared" si="12"/>
        <v>0</v>
      </c>
      <c r="BP15" s="52">
        <f t="shared" si="12"/>
        <v>0</v>
      </c>
      <c r="BQ15" s="52">
        <f t="shared" si="12"/>
        <v>0</v>
      </c>
      <c r="BR15" s="52">
        <f t="shared" si="12"/>
        <v>0</v>
      </c>
      <c r="BS15" s="52">
        <f t="shared" si="12"/>
        <v>0</v>
      </c>
      <c r="BT15" s="52">
        <f t="shared" si="12"/>
        <v>0</v>
      </c>
      <c r="BU15" s="52">
        <f t="shared" si="12"/>
        <v>0</v>
      </c>
      <c r="BV15" s="52">
        <f t="shared" si="12"/>
        <v>0</v>
      </c>
      <c r="BW15" s="52">
        <f t="shared" si="12"/>
        <v>0</v>
      </c>
      <c r="BX15" s="52">
        <f t="shared" ref="BX15:CO15" si="13">Equity_S_Drawdown_1+Equity_S_Drawdown_2</f>
        <v>0</v>
      </c>
      <c r="BY15" s="52">
        <f t="shared" si="13"/>
        <v>0</v>
      </c>
      <c r="BZ15" s="52">
        <f t="shared" si="13"/>
        <v>0</v>
      </c>
      <c r="CA15" s="52">
        <f t="shared" si="13"/>
        <v>0</v>
      </c>
      <c r="CB15" s="52">
        <f t="shared" si="13"/>
        <v>0</v>
      </c>
      <c r="CC15" s="52">
        <f t="shared" si="13"/>
        <v>0</v>
      </c>
      <c r="CD15" s="52">
        <f t="shared" si="13"/>
        <v>0</v>
      </c>
      <c r="CE15" s="52">
        <f t="shared" si="13"/>
        <v>0</v>
      </c>
      <c r="CF15" s="52">
        <f t="shared" si="13"/>
        <v>0</v>
      </c>
      <c r="CG15" s="52">
        <f t="shared" si="13"/>
        <v>0</v>
      </c>
      <c r="CH15" s="52">
        <f t="shared" si="13"/>
        <v>0</v>
      </c>
      <c r="CI15" s="52">
        <f t="shared" si="13"/>
        <v>0</v>
      </c>
      <c r="CJ15" s="52">
        <f t="shared" si="13"/>
        <v>0</v>
      </c>
      <c r="CK15" s="52">
        <f t="shared" si="13"/>
        <v>0</v>
      </c>
      <c r="CL15" s="52">
        <f t="shared" si="13"/>
        <v>0</v>
      </c>
      <c r="CM15" s="52">
        <f t="shared" si="13"/>
        <v>0</v>
      </c>
      <c r="CN15" s="52">
        <f t="shared" si="13"/>
        <v>0</v>
      </c>
      <c r="CO15" s="52">
        <f t="shared" si="13"/>
        <v>0</v>
      </c>
    </row>
    <row r="16" spans="1:93" s="132" customFormat="1" ht="15" customHeight="1">
      <c r="A16" s="153"/>
      <c r="B16" s="153"/>
      <c r="C16" s="156"/>
      <c r="D16" s="153"/>
      <c r="E16" s="153"/>
      <c r="F16" s="153"/>
      <c r="G16" s="11" t="str">
        <f t="shared" si="4"/>
        <v>тыс. руб.</v>
      </c>
      <c r="H16" s="153"/>
      <c r="I16" s="23">
        <f t="shared" si="5"/>
        <v>0</v>
      </c>
      <c r="J16" s="153"/>
      <c r="K16" s="153"/>
      <c r="L16" s="52">
        <f t="shared" ref="L16:AQ16" si="14">-Investor_TRRF</f>
        <v>0</v>
      </c>
      <c r="M16" s="52">
        <f t="shared" si="14"/>
        <v>0</v>
      </c>
      <c r="N16" s="52">
        <f t="shared" si="14"/>
        <v>0</v>
      </c>
      <c r="O16" s="52">
        <f t="shared" si="14"/>
        <v>0</v>
      </c>
      <c r="P16" s="52">
        <f t="shared" si="14"/>
        <v>0</v>
      </c>
      <c r="Q16" s="52">
        <f t="shared" si="14"/>
        <v>0</v>
      </c>
      <c r="R16" s="52">
        <f t="shared" si="14"/>
        <v>0</v>
      </c>
      <c r="S16" s="52">
        <f t="shared" si="14"/>
        <v>0</v>
      </c>
      <c r="T16" s="52">
        <f t="shared" si="14"/>
        <v>0</v>
      </c>
      <c r="U16" s="52">
        <f t="shared" si="14"/>
        <v>0</v>
      </c>
      <c r="V16" s="52">
        <f t="shared" si="14"/>
        <v>0</v>
      </c>
      <c r="W16" s="52">
        <f t="shared" si="14"/>
        <v>0</v>
      </c>
      <c r="X16" s="52">
        <f t="shared" si="14"/>
        <v>0</v>
      </c>
      <c r="Y16" s="52">
        <f t="shared" si="14"/>
        <v>0</v>
      </c>
      <c r="Z16" s="52">
        <f t="shared" si="14"/>
        <v>0</v>
      </c>
      <c r="AA16" s="52">
        <f t="shared" si="14"/>
        <v>0</v>
      </c>
      <c r="AB16" s="52">
        <f t="shared" si="14"/>
        <v>0</v>
      </c>
      <c r="AC16" s="52">
        <f t="shared" si="14"/>
        <v>0</v>
      </c>
      <c r="AD16" s="52">
        <f t="shared" si="14"/>
        <v>0</v>
      </c>
      <c r="AE16" s="52">
        <f t="shared" si="14"/>
        <v>0</v>
      </c>
      <c r="AF16" s="52">
        <f t="shared" si="14"/>
        <v>0</v>
      </c>
      <c r="AG16" s="52">
        <f t="shared" si="14"/>
        <v>0</v>
      </c>
      <c r="AH16" s="52">
        <f t="shared" si="14"/>
        <v>0</v>
      </c>
      <c r="AI16" s="52">
        <f t="shared" si="14"/>
        <v>0</v>
      </c>
      <c r="AJ16" s="52">
        <f t="shared" si="14"/>
        <v>0</v>
      </c>
      <c r="AK16" s="52">
        <f t="shared" si="14"/>
        <v>0</v>
      </c>
      <c r="AL16" s="52">
        <f t="shared" si="14"/>
        <v>0</v>
      </c>
      <c r="AM16" s="52">
        <f t="shared" si="14"/>
        <v>0</v>
      </c>
      <c r="AN16" s="52">
        <f t="shared" si="14"/>
        <v>0</v>
      </c>
      <c r="AO16" s="52">
        <f t="shared" si="14"/>
        <v>0</v>
      </c>
      <c r="AP16" s="52">
        <f t="shared" si="14"/>
        <v>0</v>
      </c>
      <c r="AQ16" s="52">
        <f t="shared" si="14"/>
        <v>0</v>
      </c>
      <c r="AR16" s="52">
        <f t="shared" ref="AR16:BW16" si="15">-Investor_TRRF</f>
        <v>0</v>
      </c>
      <c r="AS16" s="52">
        <f t="shared" si="15"/>
        <v>0</v>
      </c>
      <c r="AT16" s="52">
        <f t="shared" si="15"/>
        <v>0</v>
      </c>
      <c r="AU16" s="52">
        <f t="shared" si="15"/>
        <v>0</v>
      </c>
      <c r="AV16" s="52">
        <f t="shared" si="15"/>
        <v>0</v>
      </c>
      <c r="AW16" s="52">
        <f t="shared" si="15"/>
        <v>0</v>
      </c>
      <c r="AX16" s="52">
        <f t="shared" si="15"/>
        <v>0</v>
      </c>
      <c r="AY16" s="52">
        <f t="shared" si="15"/>
        <v>0</v>
      </c>
      <c r="AZ16" s="52">
        <f t="shared" si="15"/>
        <v>0</v>
      </c>
      <c r="BA16" s="52">
        <f t="shared" si="15"/>
        <v>0</v>
      </c>
      <c r="BB16" s="52">
        <f t="shared" si="15"/>
        <v>0</v>
      </c>
      <c r="BC16" s="52">
        <f t="shared" si="15"/>
        <v>0</v>
      </c>
      <c r="BD16" s="52">
        <f t="shared" si="15"/>
        <v>0</v>
      </c>
      <c r="BE16" s="52">
        <f t="shared" si="15"/>
        <v>0</v>
      </c>
      <c r="BF16" s="52">
        <f t="shared" si="15"/>
        <v>0</v>
      </c>
      <c r="BG16" s="52">
        <f t="shared" si="15"/>
        <v>0</v>
      </c>
      <c r="BH16" s="52">
        <f t="shared" si="15"/>
        <v>0</v>
      </c>
      <c r="BI16" s="52">
        <f t="shared" si="15"/>
        <v>0</v>
      </c>
      <c r="BJ16" s="52">
        <f t="shared" si="15"/>
        <v>0</v>
      </c>
      <c r="BK16" s="52">
        <f t="shared" si="15"/>
        <v>0</v>
      </c>
      <c r="BL16" s="52">
        <f t="shared" si="15"/>
        <v>0</v>
      </c>
      <c r="BM16" s="52">
        <f t="shared" si="15"/>
        <v>0</v>
      </c>
      <c r="BN16" s="52">
        <f t="shared" si="15"/>
        <v>0</v>
      </c>
      <c r="BO16" s="52">
        <f t="shared" si="15"/>
        <v>0</v>
      </c>
      <c r="BP16" s="52">
        <f t="shared" si="15"/>
        <v>0</v>
      </c>
      <c r="BQ16" s="52">
        <f t="shared" si="15"/>
        <v>0</v>
      </c>
      <c r="BR16" s="52">
        <f t="shared" si="15"/>
        <v>0</v>
      </c>
      <c r="BS16" s="52">
        <f t="shared" si="15"/>
        <v>0</v>
      </c>
      <c r="BT16" s="52">
        <f t="shared" si="15"/>
        <v>0</v>
      </c>
      <c r="BU16" s="52">
        <f t="shared" si="15"/>
        <v>0</v>
      </c>
      <c r="BV16" s="52">
        <f t="shared" si="15"/>
        <v>0</v>
      </c>
      <c r="BW16" s="52">
        <f t="shared" si="15"/>
        <v>0</v>
      </c>
      <c r="BX16" s="52">
        <f t="shared" ref="BX16:CO16" si="16">-Investor_TRRF</f>
        <v>0</v>
      </c>
      <c r="BY16" s="52">
        <f t="shared" si="16"/>
        <v>0</v>
      </c>
      <c r="BZ16" s="52">
        <f t="shared" si="16"/>
        <v>0</v>
      </c>
      <c r="CA16" s="52">
        <f t="shared" si="16"/>
        <v>0</v>
      </c>
      <c r="CB16" s="52">
        <f t="shared" si="16"/>
        <v>0</v>
      </c>
      <c r="CC16" s="52">
        <f t="shared" si="16"/>
        <v>0</v>
      </c>
      <c r="CD16" s="52">
        <f t="shared" si="16"/>
        <v>0</v>
      </c>
      <c r="CE16" s="52">
        <f t="shared" si="16"/>
        <v>0</v>
      </c>
      <c r="CF16" s="52">
        <f t="shared" si="16"/>
        <v>0</v>
      </c>
      <c r="CG16" s="52">
        <f t="shared" si="16"/>
        <v>0</v>
      </c>
      <c r="CH16" s="52">
        <f t="shared" si="16"/>
        <v>0</v>
      </c>
      <c r="CI16" s="52">
        <f t="shared" si="16"/>
        <v>0</v>
      </c>
      <c r="CJ16" s="52">
        <f t="shared" si="16"/>
        <v>0</v>
      </c>
      <c r="CK16" s="52">
        <f t="shared" si="16"/>
        <v>0</v>
      </c>
      <c r="CL16" s="52">
        <f t="shared" si="16"/>
        <v>0</v>
      </c>
      <c r="CM16" s="52">
        <f t="shared" si="16"/>
        <v>0</v>
      </c>
      <c r="CN16" s="52">
        <f t="shared" si="16"/>
        <v>0</v>
      </c>
      <c r="CO16" s="52">
        <f t="shared" si="16"/>
        <v>0</v>
      </c>
    </row>
    <row r="17" spans="1:93" s="132" customFormat="1" ht="15" customHeight="1">
      <c r="A17" s="153"/>
      <c r="B17" s="153"/>
      <c r="C17" s="35" t="s">
        <v>597</v>
      </c>
      <c r="D17" s="153"/>
      <c r="E17" s="153"/>
      <c r="F17" s="153"/>
      <c r="G17" s="162" t="str">
        <f t="shared" si="4"/>
        <v>тыс. руб.</v>
      </c>
      <c r="H17" s="153"/>
      <c r="I17" s="176">
        <f t="shared" ca="1" si="5"/>
        <v>4616063.5245886445</v>
      </c>
      <c r="J17" s="153"/>
      <c r="K17" s="153"/>
      <c r="L17" s="132">
        <f ca="1">SUM(L18:L19)</f>
        <v>0</v>
      </c>
      <c r="M17" s="132">
        <f t="shared" ref="M17:BX17" ca="1" si="17">SUM(M18:M19)</f>
        <v>0</v>
      </c>
      <c r="N17" s="132">
        <f t="shared" ca="1" si="17"/>
        <v>0</v>
      </c>
      <c r="O17" s="132">
        <f t="shared" ca="1" si="17"/>
        <v>0</v>
      </c>
      <c r="P17" s="132">
        <f t="shared" ca="1" si="17"/>
        <v>0</v>
      </c>
      <c r="Q17" s="132">
        <f t="shared" ca="1" si="17"/>
        <v>0</v>
      </c>
      <c r="R17" s="132">
        <f t="shared" ca="1" si="17"/>
        <v>0</v>
      </c>
      <c r="S17" s="132">
        <f t="shared" ca="1" si="17"/>
        <v>93075.219462963287</v>
      </c>
      <c r="T17" s="132">
        <f t="shared" ca="1" si="17"/>
        <v>286615.12444031495</v>
      </c>
      <c r="U17" s="132">
        <f t="shared" ca="1" si="17"/>
        <v>289439.25978450867</v>
      </c>
      <c r="V17" s="132">
        <f t="shared" ca="1" si="17"/>
        <v>292291.22248239798</v>
      </c>
      <c r="W17" s="132">
        <f t="shared" ca="1" si="17"/>
        <v>295171.2867282122</v>
      </c>
      <c r="X17" s="132">
        <f t="shared" ca="1" si="17"/>
        <v>622512.40131001174</v>
      </c>
      <c r="Y17" s="132">
        <f t="shared" ca="1" si="17"/>
        <v>628646.26908189419</v>
      </c>
      <c r="Z17" s="132">
        <f t="shared" ca="1" si="17"/>
        <v>634840.57634665037</v>
      </c>
      <c r="AA17" s="132">
        <f t="shared" ca="1" si="17"/>
        <v>641095.91863917548</v>
      </c>
      <c r="AB17" s="132">
        <f t="shared" ca="1" si="17"/>
        <v>832376.24631251558</v>
      </c>
      <c r="AC17" s="132">
        <f t="shared" ca="1" si="17"/>
        <v>0</v>
      </c>
      <c r="AD17" s="132">
        <f t="shared" ca="1" si="17"/>
        <v>0</v>
      </c>
      <c r="AE17" s="132">
        <f t="shared" ca="1" si="17"/>
        <v>0</v>
      </c>
      <c r="AF17" s="132">
        <f t="shared" ca="1" si="17"/>
        <v>0</v>
      </c>
      <c r="AG17" s="132">
        <f t="shared" ca="1" si="17"/>
        <v>0</v>
      </c>
      <c r="AH17" s="132">
        <f t="shared" ca="1" si="17"/>
        <v>0</v>
      </c>
      <c r="AI17" s="132">
        <f t="shared" ca="1" si="17"/>
        <v>0</v>
      </c>
      <c r="AJ17" s="132">
        <f t="shared" ca="1" si="17"/>
        <v>0</v>
      </c>
      <c r="AK17" s="132">
        <f t="shared" ca="1" si="17"/>
        <v>0</v>
      </c>
      <c r="AL17" s="132">
        <f t="shared" ca="1" si="17"/>
        <v>0</v>
      </c>
      <c r="AM17" s="132">
        <f t="shared" ca="1" si="17"/>
        <v>0</v>
      </c>
      <c r="AN17" s="132">
        <f t="shared" ca="1" si="17"/>
        <v>0</v>
      </c>
      <c r="AO17" s="132">
        <f t="shared" ca="1" si="17"/>
        <v>0</v>
      </c>
      <c r="AP17" s="132">
        <f t="shared" ca="1" si="17"/>
        <v>0</v>
      </c>
      <c r="AQ17" s="132">
        <f t="shared" ca="1" si="17"/>
        <v>0</v>
      </c>
      <c r="AR17" s="132">
        <f t="shared" ca="1" si="17"/>
        <v>0</v>
      </c>
      <c r="AS17" s="132">
        <f t="shared" ca="1" si="17"/>
        <v>0</v>
      </c>
      <c r="AT17" s="132">
        <f t="shared" ca="1" si="17"/>
        <v>0</v>
      </c>
      <c r="AU17" s="132">
        <f t="shared" ca="1" si="17"/>
        <v>0</v>
      </c>
      <c r="AV17" s="132">
        <f t="shared" ca="1" si="17"/>
        <v>0</v>
      </c>
      <c r="AW17" s="132">
        <f t="shared" ca="1" si="17"/>
        <v>0</v>
      </c>
      <c r="AX17" s="132">
        <f t="shared" ca="1" si="17"/>
        <v>0</v>
      </c>
      <c r="AY17" s="132">
        <f t="shared" ca="1" si="17"/>
        <v>0</v>
      </c>
      <c r="AZ17" s="132">
        <f t="shared" ca="1" si="17"/>
        <v>0</v>
      </c>
      <c r="BA17" s="132">
        <f t="shared" ca="1" si="17"/>
        <v>0</v>
      </c>
      <c r="BB17" s="132">
        <f t="shared" ca="1" si="17"/>
        <v>0</v>
      </c>
      <c r="BC17" s="132">
        <f t="shared" ca="1" si="17"/>
        <v>0</v>
      </c>
      <c r="BD17" s="132">
        <f t="shared" ca="1" si="17"/>
        <v>0</v>
      </c>
      <c r="BE17" s="132">
        <f t="shared" ca="1" si="17"/>
        <v>0</v>
      </c>
      <c r="BF17" s="132">
        <f t="shared" ca="1" si="17"/>
        <v>0</v>
      </c>
      <c r="BG17" s="132">
        <f t="shared" ca="1" si="17"/>
        <v>0</v>
      </c>
      <c r="BH17" s="132">
        <f t="shared" ca="1" si="17"/>
        <v>0</v>
      </c>
      <c r="BI17" s="132">
        <f t="shared" ca="1" si="17"/>
        <v>0</v>
      </c>
      <c r="BJ17" s="132">
        <f t="shared" ca="1" si="17"/>
        <v>0</v>
      </c>
      <c r="BK17" s="132">
        <f t="shared" ca="1" si="17"/>
        <v>0</v>
      </c>
      <c r="BL17" s="132">
        <f t="shared" ca="1" si="17"/>
        <v>0</v>
      </c>
      <c r="BM17" s="132">
        <f t="shared" ca="1" si="17"/>
        <v>0</v>
      </c>
      <c r="BN17" s="132">
        <f t="shared" ca="1" si="17"/>
        <v>0</v>
      </c>
      <c r="BO17" s="132">
        <f t="shared" ca="1" si="17"/>
        <v>0</v>
      </c>
      <c r="BP17" s="132">
        <f t="shared" ca="1" si="17"/>
        <v>0</v>
      </c>
      <c r="BQ17" s="132">
        <f t="shared" ca="1" si="17"/>
        <v>0</v>
      </c>
      <c r="BR17" s="132">
        <f t="shared" ca="1" si="17"/>
        <v>0</v>
      </c>
      <c r="BS17" s="132">
        <f t="shared" ca="1" si="17"/>
        <v>0</v>
      </c>
      <c r="BT17" s="132">
        <f t="shared" ca="1" si="17"/>
        <v>0</v>
      </c>
      <c r="BU17" s="132">
        <f t="shared" ca="1" si="17"/>
        <v>0</v>
      </c>
      <c r="BV17" s="132">
        <f t="shared" ca="1" si="17"/>
        <v>0</v>
      </c>
      <c r="BW17" s="132">
        <f t="shared" ca="1" si="17"/>
        <v>0</v>
      </c>
      <c r="BX17" s="132">
        <f t="shared" ca="1" si="17"/>
        <v>0</v>
      </c>
      <c r="BY17" s="132">
        <f t="shared" ref="BY17:CO17" ca="1" si="18">SUM(BY18:BY19)</f>
        <v>0</v>
      </c>
      <c r="BZ17" s="132">
        <f t="shared" ca="1" si="18"/>
        <v>0</v>
      </c>
      <c r="CA17" s="132">
        <f t="shared" ca="1" si="18"/>
        <v>0</v>
      </c>
      <c r="CB17" s="132">
        <f t="shared" ca="1" si="18"/>
        <v>0</v>
      </c>
      <c r="CC17" s="132">
        <f t="shared" ca="1" si="18"/>
        <v>0</v>
      </c>
      <c r="CD17" s="132">
        <f t="shared" ca="1" si="18"/>
        <v>0</v>
      </c>
      <c r="CE17" s="132">
        <f t="shared" ca="1" si="18"/>
        <v>0</v>
      </c>
      <c r="CF17" s="132">
        <f t="shared" ca="1" si="18"/>
        <v>0</v>
      </c>
      <c r="CG17" s="132">
        <f t="shared" ca="1" si="18"/>
        <v>0</v>
      </c>
      <c r="CH17" s="132">
        <f t="shared" ca="1" si="18"/>
        <v>0</v>
      </c>
      <c r="CI17" s="132">
        <f t="shared" ca="1" si="18"/>
        <v>0</v>
      </c>
      <c r="CJ17" s="132">
        <f t="shared" ca="1" si="18"/>
        <v>0</v>
      </c>
      <c r="CK17" s="132">
        <f t="shared" ca="1" si="18"/>
        <v>0</v>
      </c>
      <c r="CL17" s="132">
        <f t="shared" ca="1" si="18"/>
        <v>0</v>
      </c>
      <c r="CM17" s="132">
        <f t="shared" ca="1" si="18"/>
        <v>0</v>
      </c>
      <c r="CN17" s="132">
        <f t="shared" ca="1" si="18"/>
        <v>0</v>
      </c>
      <c r="CO17" s="132">
        <f t="shared" ca="1" si="18"/>
        <v>0</v>
      </c>
    </row>
    <row r="18" spans="1:93" s="132" customFormat="1" ht="15" customHeight="1">
      <c r="A18" s="153"/>
      <c r="B18" s="153"/>
      <c r="C18" s="418" t="s">
        <v>1153</v>
      </c>
      <c r="D18" s="153"/>
      <c r="E18" s="153"/>
      <c r="F18" s="153"/>
      <c r="G18" s="11" t="str">
        <f t="shared" si="4"/>
        <v>тыс. руб.</v>
      </c>
      <c r="H18" s="153"/>
      <c r="I18" s="23">
        <f t="shared" si="5"/>
        <v>4616063.5245886445</v>
      </c>
      <c r="J18" s="153"/>
      <c r="K18" s="153"/>
      <c r="L18" s="52">
        <f t="shared" ref="L18:AQ18" si="19">Debt_Drawdown*Flag_Construction</f>
        <v>0</v>
      </c>
      <c r="M18" s="52">
        <f t="shared" si="19"/>
        <v>0</v>
      </c>
      <c r="N18" s="52">
        <f t="shared" si="19"/>
        <v>0</v>
      </c>
      <c r="O18" s="52">
        <f t="shared" si="19"/>
        <v>0</v>
      </c>
      <c r="P18" s="52">
        <f t="shared" si="19"/>
        <v>0</v>
      </c>
      <c r="Q18" s="52">
        <f t="shared" si="19"/>
        <v>0</v>
      </c>
      <c r="R18" s="52">
        <f t="shared" si="19"/>
        <v>0</v>
      </c>
      <c r="S18" s="52">
        <f t="shared" si="19"/>
        <v>93075.219462963287</v>
      </c>
      <c r="T18" s="52">
        <f t="shared" si="19"/>
        <v>286615.12444031495</v>
      </c>
      <c r="U18" s="52">
        <f t="shared" si="19"/>
        <v>289439.25978450867</v>
      </c>
      <c r="V18" s="52">
        <f t="shared" si="19"/>
        <v>292291.22248239798</v>
      </c>
      <c r="W18" s="52">
        <f t="shared" si="19"/>
        <v>295171.2867282122</v>
      </c>
      <c r="X18" s="52">
        <f t="shared" si="19"/>
        <v>622512.40131001174</v>
      </c>
      <c r="Y18" s="52">
        <f t="shared" si="19"/>
        <v>628646.26908189419</v>
      </c>
      <c r="Z18" s="52">
        <f t="shared" si="19"/>
        <v>634840.57634665037</v>
      </c>
      <c r="AA18" s="52">
        <f t="shared" si="19"/>
        <v>641095.91863917548</v>
      </c>
      <c r="AB18" s="52">
        <f t="shared" si="19"/>
        <v>832376.24631251558</v>
      </c>
      <c r="AC18" s="52">
        <f t="shared" si="19"/>
        <v>0</v>
      </c>
      <c r="AD18" s="52">
        <f t="shared" si="19"/>
        <v>0</v>
      </c>
      <c r="AE18" s="52">
        <f t="shared" si="19"/>
        <v>0</v>
      </c>
      <c r="AF18" s="52">
        <f t="shared" si="19"/>
        <v>0</v>
      </c>
      <c r="AG18" s="52">
        <f t="shared" si="19"/>
        <v>0</v>
      </c>
      <c r="AH18" s="52">
        <f t="shared" si="19"/>
        <v>0</v>
      </c>
      <c r="AI18" s="52">
        <f t="shared" si="19"/>
        <v>0</v>
      </c>
      <c r="AJ18" s="52">
        <f t="shared" si="19"/>
        <v>0</v>
      </c>
      <c r="AK18" s="52">
        <f t="shared" si="19"/>
        <v>0</v>
      </c>
      <c r="AL18" s="52">
        <f t="shared" si="19"/>
        <v>0</v>
      </c>
      <c r="AM18" s="52">
        <f t="shared" si="19"/>
        <v>0</v>
      </c>
      <c r="AN18" s="52">
        <f t="shared" si="19"/>
        <v>0</v>
      </c>
      <c r="AO18" s="52">
        <f t="shared" si="19"/>
        <v>0</v>
      </c>
      <c r="AP18" s="52">
        <f t="shared" si="19"/>
        <v>0</v>
      </c>
      <c r="AQ18" s="52">
        <f t="shared" si="19"/>
        <v>0</v>
      </c>
      <c r="AR18" s="52">
        <f t="shared" ref="AR18:BW18" si="20">Debt_Drawdown*Flag_Construction</f>
        <v>0</v>
      </c>
      <c r="AS18" s="52">
        <f t="shared" si="20"/>
        <v>0</v>
      </c>
      <c r="AT18" s="52">
        <f t="shared" si="20"/>
        <v>0</v>
      </c>
      <c r="AU18" s="52">
        <f t="shared" si="20"/>
        <v>0</v>
      </c>
      <c r="AV18" s="52">
        <f t="shared" si="20"/>
        <v>0</v>
      </c>
      <c r="AW18" s="52">
        <f t="shared" si="20"/>
        <v>0</v>
      </c>
      <c r="AX18" s="52">
        <f t="shared" si="20"/>
        <v>0</v>
      </c>
      <c r="AY18" s="52">
        <f t="shared" si="20"/>
        <v>0</v>
      </c>
      <c r="AZ18" s="52">
        <f t="shared" si="20"/>
        <v>0</v>
      </c>
      <c r="BA18" s="52">
        <f t="shared" si="20"/>
        <v>0</v>
      </c>
      <c r="BB18" s="52">
        <f t="shared" si="20"/>
        <v>0</v>
      </c>
      <c r="BC18" s="52">
        <f t="shared" si="20"/>
        <v>0</v>
      </c>
      <c r="BD18" s="52">
        <f t="shared" si="20"/>
        <v>0</v>
      </c>
      <c r="BE18" s="52">
        <f t="shared" si="20"/>
        <v>0</v>
      </c>
      <c r="BF18" s="52">
        <f t="shared" si="20"/>
        <v>0</v>
      </c>
      <c r="BG18" s="52">
        <f t="shared" si="20"/>
        <v>0</v>
      </c>
      <c r="BH18" s="52">
        <f t="shared" si="20"/>
        <v>0</v>
      </c>
      <c r="BI18" s="52">
        <f t="shared" si="20"/>
        <v>0</v>
      </c>
      <c r="BJ18" s="52">
        <f t="shared" si="20"/>
        <v>0</v>
      </c>
      <c r="BK18" s="52">
        <f t="shared" si="20"/>
        <v>0</v>
      </c>
      <c r="BL18" s="52">
        <f t="shared" si="20"/>
        <v>0</v>
      </c>
      <c r="BM18" s="52">
        <f t="shared" si="20"/>
        <v>0</v>
      </c>
      <c r="BN18" s="52">
        <f t="shared" si="20"/>
        <v>0</v>
      </c>
      <c r="BO18" s="52">
        <f t="shared" si="20"/>
        <v>0</v>
      </c>
      <c r="BP18" s="52">
        <f t="shared" si="20"/>
        <v>0</v>
      </c>
      <c r="BQ18" s="52">
        <f t="shared" si="20"/>
        <v>0</v>
      </c>
      <c r="BR18" s="52">
        <f t="shared" si="20"/>
        <v>0</v>
      </c>
      <c r="BS18" s="52">
        <f t="shared" si="20"/>
        <v>0</v>
      </c>
      <c r="BT18" s="52">
        <f t="shared" si="20"/>
        <v>0</v>
      </c>
      <c r="BU18" s="52">
        <f t="shared" si="20"/>
        <v>0</v>
      </c>
      <c r="BV18" s="52">
        <f t="shared" si="20"/>
        <v>0</v>
      </c>
      <c r="BW18" s="52">
        <f t="shared" si="20"/>
        <v>0</v>
      </c>
      <c r="BX18" s="52">
        <f t="shared" ref="BX18:CO18" si="21">Debt_Drawdown*Flag_Construction</f>
        <v>0</v>
      </c>
      <c r="BY18" s="52">
        <f t="shared" si="21"/>
        <v>0</v>
      </c>
      <c r="BZ18" s="52">
        <f t="shared" si="21"/>
        <v>0</v>
      </c>
      <c r="CA18" s="52">
        <f t="shared" si="21"/>
        <v>0</v>
      </c>
      <c r="CB18" s="52">
        <f t="shared" si="21"/>
        <v>0</v>
      </c>
      <c r="CC18" s="52">
        <f t="shared" si="21"/>
        <v>0</v>
      </c>
      <c r="CD18" s="52">
        <f t="shared" si="21"/>
        <v>0</v>
      </c>
      <c r="CE18" s="52">
        <f t="shared" si="21"/>
        <v>0</v>
      </c>
      <c r="CF18" s="52">
        <f t="shared" si="21"/>
        <v>0</v>
      </c>
      <c r="CG18" s="52">
        <f t="shared" si="21"/>
        <v>0</v>
      </c>
      <c r="CH18" s="52">
        <f t="shared" si="21"/>
        <v>0</v>
      </c>
      <c r="CI18" s="52">
        <f t="shared" si="21"/>
        <v>0</v>
      </c>
      <c r="CJ18" s="52">
        <f t="shared" si="21"/>
        <v>0</v>
      </c>
      <c r="CK18" s="52">
        <f t="shared" si="21"/>
        <v>0</v>
      </c>
      <c r="CL18" s="52">
        <f t="shared" si="21"/>
        <v>0</v>
      </c>
      <c r="CM18" s="52">
        <f t="shared" si="21"/>
        <v>0</v>
      </c>
      <c r="CN18" s="52">
        <f t="shared" si="21"/>
        <v>0</v>
      </c>
      <c r="CO18" s="52">
        <f t="shared" si="21"/>
        <v>0</v>
      </c>
    </row>
    <row r="19" spans="1:93" s="132" customFormat="1" ht="15" customHeight="1">
      <c r="A19" s="47"/>
      <c r="B19" s="47"/>
      <c r="C19" s="418" t="s">
        <v>1520</v>
      </c>
      <c r="D19" s="153"/>
      <c r="E19" s="11"/>
      <c r="F19" s="11"/>
      <c r="G19" s="11" t="str">
        <f t="shared" si="4"/>
        <v>тыс. руб.</v>
      </c>
      <c r="H19" s="153"/>
      <c r="I19" s="23">
        <f ca="1">SUM(L19:CO19)</f>
        <v>0</v>
      </c>
      <c r="J19" s="153"/>
      <c r="K19" s="153"/>
      <c r="L19" s="52">
        <f t="shared" ref="L19:AQ19" ca="1" si="22">ROUND(Subord_Drawdown*Flag_Construction,6)</f>
        <v>0</v>
      </c>
      <c r="M19" s="52">
        <f t="shared" ca="1" si="22"/>
        <v>0</v>
      </c>
      <c r="N19" s="52">
        <f t="shared" ca="1" si="22"/>
        <v>0</v>
      </c>
      <c r="O19" s="52">
        <f t="shared" ca="1" si="22"/>
        <v>0</v>
      </c>
      <c r="P19" s="52">
        <f t="shared" ca="1" si="22"/>
        <v>0</v>
      </c>
      <c r="Q19" s="52">
        <f t="shared" ca="1" si="22"/>
        <v>0</v>
      </c>
      <c r="R19" s="52">
        <f t="shared" ca="1" si="22"/>
        <v>0</v>
      </c>
      <c r="S19" s="52">
        <f t="shared" ca="1" si="22"/>
        <v>0</v>
      </c>
      <c r="T19" s="52">
        <f t="shared" ca="1" si="22"/>
        <v>0</v>
      </c>
      <c r="U19" s="52">
        <f t="shared" ca="1" si="22"/>
        <v>0</v>
      </c>
      <c r="V19" s="52">
        <f t="shared" ca="1" si="22"/>
        <v>0</v>
      </c>
      <c r="W19" s="52">
        <f t="shared" ca="1" si="22"/>
        <v>0</v>
      </c>
      <c r="X19" s="52">
        <f t="shared" ca="1" si="22"/>
        <v>0</v>
      </c>
      <c r="Y19" s="52">
        <f t="shared" ca="1" si="22"/>
        <v>0</v>
      </c>
      <c r="Z19" s="52">
        <f t="shared" ca="1" si="22"/>
        <v>0</v>
      </c>
      <c r="AA19" s="52">
        <f t="shared" ca="1" si="22"/>
        <v>0</v>
      </c>
      <c r="AB19" s="52">
        <f t="shared" ca="1" si="22"/>
        <v>0</v>
      </c>
      <c r="AC19" s="52">
        <f t="shared" ca="1" si="22"/>
        <v>0</v>
      </c>
      <c r="AD19" s="52">
        <f t="shared" ca="1" si="22"/>
        <v>0</v>
      </c>
      <c r="AE19" s="52">
        <f t="shared" ca="1" si="22"/>
        <v>0</v>
      </c>
      <c r="AF19" s="52">
        <f t="shared" ca="1" si="22"/>
        <v>0</v>
      </c>
      <c r="AG19" s="52">
        <f t="shared" ca="1" si="22"/>
        <v>0</v>
      </c>
      <c r="AH19" s="52">
        <f t="shared" ca="1" si="22"/>
        <v>0</v>
      </c>
      <c r="AI19" s="52">
        <f t="shared" ca="1" si="22"/>
        <v>0</v>
      </c>
      <c r="AJ19" s="52">
        <f t="shared" ca="1" si="22"/>
        <v>0</v>
      </c>
      <c r="AK19" s="52">
        <f t="shared" ca="1" si="22"/>
        <v>0</v>
      </c>
      <c r="AL19" s="52">
        <f t="shared" ca="1" si="22"/>
        <v>0</v>
      </c>
      <c r="AM19" s="52">
        <f t="shared" ca="1" si="22"/>
        <v>0</v>
      </c>
      <c r="AN19" s="52">
        <f t="shared" ca="1" si="22"/>
        <v>0</v>
      </c>
      <c r="AO19" s="52">
        <f t="shared" ca="1" si="22"/>
        <v>0</v>
      </c>
      <c r="AP19" s="52">
        <f t="shared" ca="1" si="22"/>
        <v>0</v>
      </c>
      <c r="AQ19" s="52">
        <f t="shared" ca="1" si="22"/>
        <v>0</v>
      </c>
      <c r="AR19" s="52">
        <f t="shared" ref="AR19:BW19" ca="1" si="23">ROUND(Subord_Drawdown*Flag_Construction,6)</f>
        <v>0</v>
      </c>
      <c r="AS19" s="52">
        <f t="shared" ca="1" si="23"/>
        <v>0</v>
      </c>
      <c r="AT19" s="52">
        <f t="shared" ca="1" si="23"/>
        <v>0</v>
      </c>
      <c r="AU19" s="52">
        <f t="shared" ca="1" si="23"/>
        <v>0</v>
      </c>
      <c r="AV19" s="52">
        <f t="shared" ca="1" si="23"/>
        <v>0</v>
      </c>
      <c r="AW19" s="52">
        <f t="shared" ca="1" si="23"/>
        <v>0</v>
      </c>
      <c r="AX19" s="52">
        <f t="shared" ca="1" si="23"/>
        <v>0</v>
      </c>
      <c r="AY19" s="52">
        <f t="shared" ca="1" si="23"/>
        <v>0</v>
      </c>
      <c r="AZ19" s="52">
        <f t="shared" ca="1" si="23"/>
        <v>0</v>
      </c>
      <c r="BA19" s="52">
        <f t="shared" ca="1" si="23"/>
        <v>0</v>
      </c>
      <c r="BB19" s="52">
        <f t="shared" ca="1" si="23"/>
        <v>0</v>
      </c>
      <c r="BC19" s="52">
        <f t="shared" ca="1" si="23"/>
        <v>0</v>
      </c>
      <c r="BD19" s="52">
        <f t="shared" ca="1" si="23"/>
        <v>0</v>
      </c>
      <c r="BE19" s="52">
        <f t="shared" ca="1" si="23"/>
        <v>0</v>
      </c>
      <c r="BF19" s="52">
        <f t="shared" ca="1" si="23"/>
        <v>0</v>
      </c>
      <c r="BG19" s="52">
        <f t="shared" ca="1" si="23"/>
        <v>0</v>
      </c>
      <c r="BH19" s="52">
        <f t="shared" ca="1" si="23"/>
        <v>0</v>
      </c>
      <c r="BI19" s="52">
        <f t="shared" ca="1" si="23"/>
        <v>0</v>
      </c>
      <c r="BJ19" s="52">
        <f t="shared" ca="1" si="23"/>
        <v>0</v>
      </c>
      <c r="BK19" s="52">
        <f t="shared" ca="1" si="23"/>
        <v>0</v>
      </c>
      <c r="BL19" s="52">
        <f t="shared" ca="1" si="23"/>
        <v>0</v>
      </c>
      <c r="BM19" s="52">
        <f t="shared" ca="1" si="23"/>
        <v>0</v>
      </c>
      <c r="BN19" s="52">
        <f t="shared" ca="1" si="23"/>
        <v>0</v>
      </c>
      <c r="BO19" s="52">
        <f t="shared" ca="1" si="23"/>
        <v>0</v>
      </c>
      <c r="BP19" s="52">
        <f t="shared" ca="1" si="23"/>
        <v>0</v>
      </c>
      <c r="BQ19" s="52">
        <f t="shared" ca="1" si="23"/>
        <v>0</v>
      </c>
      <c r="BR19" s="52">
        <f t="shared" ca="1" si="23"/>
        <v>0</v>
      </c>
      <c r="BS19" s="52">
        <f t="shared" ca="1" si="23"/>
        <v>0</v>
      </c>
      <c r="BT19" s="52">
        <f t="shared" ca="1" si="23"/>
        <v>0</v>
      </c>
      <c r="BU19" s="52">
        <f t="shared" ca="1" si="23"/>
        <v>0</v>
      </c>
      <c r="BV19" s="52">
        <f t="shared" ca="1" si="23"/>
        <v>0</v>
      </c>
      <c r="BW19" s="52">
        <f t="shared" ca="1" si="23"/>
        <v>0</v>
      </c>
      <c r="BX19" s="52">
        <f t="shared" ref="BX19:CO19" ca="1" si="24">ROUND(Subord_Drawdown*Flag_Construction,6)</f>
        <v>0</v>
      </c>
      <c r="BY19" s="52">
        <f t="shared" ca="1" si="24"/>
        <v>0</v>
      </c>
      <c r="BZ19" s="52">
        <f t="shared" ca="1" si="24"/>
        <v>0</v>
      </c>
      <c r="CA19" s="52">
        <f t="shared" ca="1" si="24"/>
        <v>0</v>
      </c>
      <c r="CB19" s="52">
        <f t="shared" ca="1" si="24"/>
        <v>0</v>
      </c>
      <c r="CC19" s="52">
        <f t="shared" ca="1" si="24"/>
        <v>0</v>
      </c>
      <c r="CD19" s="52">
        <f t="shared" ca="1" si="24"/>
        <v>0</v>
      </c>
      <c r="CE19" s="52">
        <f t="shared" ca="1" si="24"/>
        <v>0</v>
      </c>
      <c r="CF19" s="52">
        <f t="shared" ca="1" si="24"/>
        <v>0</v>
      </c>
      <c r="CG19" s="52">
        <f t="shared" ca="1" si="24"/>
        <v>0</v>
      </c>
      <c r="CH19" s="52">
        <f t="shared" ca="1" si="24"/>
        <v>0</v>
      </c>
      <c r="CI19" s="52">
        <f t="shared" ca="1" si="24"/>
        <v>0</v>
      </c>
      <c r="CJ19" s="52">
        <f t="shared" ca="1" si="24"/>
        <v>0</v>
      </c>
      <c r="CK19" s="52">
        <f t="shared" ca="1" si="24"/>
        <v>0</v>
      </c>
      <c r="CL19" s="52">
        <f t="shared" ca="1" si="24"/>
        <v>0</v>
      </c>
      <c r="CM19" s="52">
        <f t="shared" ca="1" si="24"/>
        <v>0</v>
      </c>
      <c r="CN19" s="52">
        <f t="shared" ca="1" si="24"/>
        <v>0</v>
      </c>
      <c r="CO19" s="52">
        <f t="shared" ca="1" si="24"/>
        <v>0</v>
      </c>
    </row>
    <row r="20" spans="1:93" s="132" customFormat="1" ht="15" customHeight="1">
      <c r="A20" s="47"/>
      <c r="B20" s="47"/>
      <c r="C20" s="417" t="s">
        <v>1154</v>
      </c>
      <c r="D20" s="153"/>
      <c r="E20" s="11"/>
      <c r="F20" s="11"/>
      <c r="G20" s="162" t="str">
        <f t="shared" si="4"/>
        <v>тыс. руб.</v>
      </c>
      <c r="H20" s="153"/>
      <c r="I20" s="176">
        <f t="shared" ref="I20:I24" ca="1" si="25">SUM(L20:CO20)</f>
        <v>0</v>
      </c>
      <c r="J20" s="153"/>
      <c r="K20" s="153"/>
      <c r="L20" s="132">
        <f ca="1">SUM(L21:L24)</f>
        <v>0</v>
      </c>
      <c r="M20" s="132">
        <f t="shared" ref="M20:BX20" ca="1" si="26">SUM(M21:M24)</f>
        <v>0</v>
      </c>
      <c r="N20" s="132">
        <f t="shared" ca="1" si="26"/>
        <v>0</v>
      </c>
      <c r="O20" s="132">
        <f t="shared" ca="1" si="26"/>
        <v>0</v>
      </c>
      <c r="P20" s="132">
        <f t="shared" ca="1" si="26"/>
        <v>0</v>
      </c>
      <c r="Q20" s="132">
        <f t="shared" ca="1" si="26"/>
        <v>0</v>
      </c>
      <c r="R20" s="132">
        <f t="shared" ca="1" si="26"/>
        <v>0</v>
      </c>
      <c r="S20" s="132">
        <f t="shared" ca="1" si="26"/>
        <v>0</v>
      </c>
      <c r="T20" s="132">
        <f t="shared" ca="1" si="26"/>
        <v>0</v>
      </c>
      <c r="U20" s="132">
        <f t="shared" ca="1" si="26"/>
        <v>0</v>
      </c>
      <c r="V20" s="132">
        <f t="shared" ca="1" si="26"/>
        <v>0</v>
      </c>
      <c r="W20" s="132">
        <f t="shared" ca="1" si="26"/>
        <v>0</v>
      </c>
      <c r="X20" s="132">
        <f t="shared" ca="1" si="26"/>
        <v>0</v>
      </c>
      <c r="Y20" s="132">
        <f t="shared" ca="1" si="26"/>
        <v>0</v>
      </c>
      <c r="Z20" s="132">
        <f t="shared" ca="1" si="26"/>
        <v>0</v>
      </c>
      <c r="AA20" s="132">
        <f t="shared" ca="1" si="26"/>
        <v>0</v>
      </c>
      <c r="AB20" s="132">
        <f t="shared" ca="1" si="26"/>
        <v>0</v>
      </c>
      <c r="AC20" s="132">
        <f t="shared" ca="1" si="26"/>
        <v>0</v>
      </c>
      <c r="AD20" s="132">
        <f t="shared" ca="1" si="26"/>
        <v>0</v>
      </c>
      <c r="AE20" s="132">
        <f t="shared" ca="1" si="26"/>
        <v>0</v>
      </c>
      <c r="AF20" s="132">
        <f t="shared" ca="1" si="26"/>
        <v>0</v>
      </c>
      <c r="AG20" s="132">
        <f t="shared" ca="1" si="26"/>
        <v>0</v>
      </c>
      <c r="AH20" s="132">
        <f t="shared" ca="1" si="26"/>
        <v>0</v>
      </c>
      <c r="AI20" s="132">
        <f t="shared" ca="1" si="26"/>
        <v>0</v>
      </c>
      <c r="AJ20" s="132">
        <f t="shared" ca="1" si="26"/>
        <v>0</v>
      </c>
      <c r="AK20" s="132">
        <f t="shared" ca="1" si="26"/>
        <v>0</v>
      </c>
      <c r="AL20" s="132">
        <f t="shared" ca="1" si="26"/>
        <v>0</v>
      </c>
      <c r="AM20" s="132">
        <f t="shared" ca="1" si="26"/>
        <v>0</v>
      </c>
      <c r="AN20" s="132">
        <f t="shared" ca="1" si="26"/>
        <v>0</v>
      </c>
      <c r="AO20" s="132">
        <f t="shared" ca="1" si="26"/>
        <v>0</v>
      </c>
      <c r="AP20" s="132">
        <f t="shared" ca="1" si="26"/>
        <v>0</v>
      </c>
      <c r="AQ20" s="132">
        <f t="shared" ca="1" si="26"/>
        <v>0</v>
      </c>
      <c r="AR20" s="132">
        <f t="shared" ca="1" si="26"/>
        <v>0</v>
      </c>
      <c r="AS20" s="132">
        <f t="shared" ca="1" si="26"/>
        <v>0</v>
      </c>
      <c r="AT20" s="132">
        <f t="shared" ca="1" si="26"/>
        <v>0</v>
      </c>
      <c r="AU20" s="132">
        <f t="shared" ca="1" si="26"/>
        <v>0</v>
      </c>
      <c r="AV20" s="132">
        <f t="shared" ca="1" si="26"/>
        <v>0</v>
      </c>
      <c r="AW20" s="132">
        <f t="shared" ca="1" si="26"/>
        <v>0</v>
      </c>
      <c r="AX20" s="132">
        <f t="shared" ca="1" si="26"/>
        <v>0</v>
      </c>
      <c r="AY20" s="132">
        <f t="shared" ca="1" si="26"/>
        <v>0</v>
      </c>
      <c r="AZ20" s="132">
        <f t="shared" ca="1" si="26"/>
        <v>0</v>
      </c>
      <c r="BA20" s="132">
        <f t="shared" ca="1" si="26"/>
        <v>0</v>
      </c>
      <c r="BB20" s="132">
        <f t="shared" ca="1" si="26"/>
        <v>0</v>
      </c>
      <c r="BC20" s="132">
        <f t="shared" ca="1" si="26"/>
        <v>0</v>
      </c>
      <c r="BD20" s="132">
        <f t="shared" ca="1" si="26"/>
        <v>0</v>
      </c>
      <c r="BE20" s="132">
        <f t="shared" ca="1" si="26"/>
        <v>0</v>
      </c>
      <c r="BF20" s="132">
        <f t="shared" ca="1" si="26"/>
        <v>0</v>
      </c>
      <c r="BG20" s="132">
        <f t="shared" ca="1" si="26"/>
        <v>0</v>
      </c>
      <c r="BH20" s="132">
        <f t="shared" ca="1" si="26"/>
        <v>0</v>
      </c>
      <c r="BI20" s="132">
        <f t="shared" ca="1" si="26"/>
        <v>0</v>
      </c>
      <c r="BJ20" s="132">
        <f t="shared" ca="1" si="26"/>
        <v>0</v>
      </c>
      <c r="BK20" s="132">
        <f t="shared" ca="1" si="26"/>
        <v>0</v>
      </c>
      <c r="BL20" s="132">
        <f t="shared" ca="1" si="26"/>
        <v>0</v>
      </c>
      <c r="BM20" s="132">
        <f t="shared" ca="1" si="26"/>
        <v>0</v>
      </c>
      <c r="BN20" s="132">
        <f t="shared" ca="1" si="26"/>
        <v>0</v>
      </c>
      <c r="BO20" s="132">
        <f t="shared" ca="1" si="26"/>
        <v>0</v>
      </c>
      <c r="BP20" s="132">
        <f t="shared" ca="1" si="26"/>
        <v>0</v>
      </c>
      <c r="BQ20" s="132">
        <f t="shared" ca="1" si="26"/>
        <v>0</v>
      </c>
      <c r="BR20" s="132">
        <f t="shared" ca="1" si="26"/>
        <v>0</v>
      </c>
      <c r="BS20" s="132">
        <f t="shared" ca="1" si="26"/>
        <v>0</v>
      </c>
      <c r="BT20" s="132">
        <f t="shared" ca="1" si="26"/>
        <v>0</v>
      </c>
      <c r="BU20" s="132">
        <f t="shared" ca="1" si="26"/>
        <v>0</v>
      </c>
      <c r="BV20" s="132">
        <f t="shared" ca="1" si="26"/>
        <v>0</v>
      </c>
      <c r="BW20" s="132">
        <f t="shared" ca="1" si="26"/>
        <v>0</v>
      </c>
      <c r="BX20" s="132">
        <f t="shared" ca="1" si="26"/>
        <v>0</v>
      </c>
      <c r="BY20" s="132">
        <f t="shared" ref="BY20:CO20" ca="1" si="27">SUM(BY21:BY24)</f>
        <v>0</v>
      </c>
      <c r="BZ20" s="132">
        <f t="shared" ca="1" si="27"/>
        <v>0</v>
      </c>
      <c r="CA20" s="132">
        <f t="shared" ca="1" si="27"/>
        <v>0</v>
      </c>
      <c r="CB20" s="132">
        <f t="shared" ca="1" si="27"/>
        <v>0</v>
      </c>
      <c r="CC20" s="132">
        <f t="shared" ca="1" si="27"/>
        <v>0</v>
      </c>
      <c r="CD20" s="132">
        <f t="shared" ca="1" si="27"/>
        <v>0</v>
      </c>
      <c r="CE20" s="132">
        <f t="shared" ca="1" si="27"/>
        <v>0</v>
      </c>
      <c r="CF20" s="132">
        <f t="shared" ca="1" si="27"/>
        <v>0</v>
      </c>
      <c r="CG20" s="132">
        <f t="shared" ca="1" si="27"/>
        <v>0</v>
      </c>
      <c r="CH20" s="132">
        <f t="shared" ca="1" si="27"/>
        <v>0</v>
      </c>
      <c r="CI20" s="132">
        <f t="shared" ca="1" si="27"/>
        <v>0</v>
      </c>
      <c r="CJ20" s="132">
        <f t="shared" ca="1" si="27"/>
        <v>0</v>
      </c>
      <c r="CK20" s="132">
        <f t="shared" ca="1" si="27"/>
        <v>0</v>
      </c>
      <c r="CL20" s="132">
        <f t="shared" ca="1" si="27"/>
        <v>0</v>
      </c>
      <c r="CM20" s="132">
        <f t="shared" ca="1" si="27"/>
        <v>0</v>
      </c>
      <c r="CN20" s="132">
        <f t="shared" ca="1" si="27"/>
        <v>0</v>
      </c>
      <c r="CO20" s="132">
        <f t="shared" ca="1" si="27"/>
        <v>0</v>
      </c>
    </row>
    <row r="21" spans="1:93" s="132" customFormat="1" ht="15" customHeight="1">
      <c r="A21" s="47"/>
      <c r="B21" s="47"/>
      <c r="C21" s="418" t="s">
        <v>303</v>
      </c>
      <c r="D21" s="153"/>
      <c r="E21" s="11"/>
      <c r="F21" s="11"/>
      <c r="G21" s="11" t="str">
        <f t="shared" si="4"/>
        <v>тыс. руб.</v>
      </c>
      <c r="H21" s="153"/>
      <c r="I21" s="23">
        <f t="shared" ca="1" si="25"/>
        <v>0</v>
      </c>
      <c r="J21" s="153"/>
      <c r="K21" s="153"/>
      <c r="L21" s="52">
        <f ca="1">-(Расчеты!L1058+Расчеты!L1059)*Flag_Construction</f>
        <v>0</v>
      </c>
      <c r="M21" s="52">
        <f ca="1">-(Расчеты!M1058+Расчеты!M1059)*Flag_Construction</f>
        <v>0</v>
      </c>
      <c r="N21" s="52">
        <f ca="1">-(Расчеты!N1058+Расчеты!N1059)*Flag_Construction</f>
        <v>0</v>
      </c>
      <c r="O21" s="52">
        <f ca="1">-(Расчеты!O1058+Расчеты!O1059)*Flag_Construction</f>
        <v>0</v>
      </c>
      <c r="P21" s="52">
        <f ca="1">-(Расчеты!P1058+Расчеты!P1059)*Flag_Construction</f>
        <v>0</v>
      </c>
      <c r="Q21" s="52">
        <f ca="1">-(Расчеты!Q1058+Расчеты!Q1059)*Flag_Construction</f>
        <v>0</v>
      </c>
      <c r="R21" s="52">
        <f ca="1">-(Расчеты!R1058+Расчеты!R1059)*Flag_Construction</f>
        <v>0</v>
      </c>
      <c r="S21" s="52">
        <f ca="1">-(Расчеты!S1058+Расчеты!S1059)*Flag_Construction</f>
        <v>0</v>
      </c>
      <c r="T21" s="52">
        <f ca="1">-(Расчеты!T1058+Расчеты!T1059)*Flag_Construction</f>
        <v>0</v>
      </c>
      <c r="U21" s="52">
        <f ca="1">-(Расчеты!U1058+Расчеты!U1059)*Flag_Construction</f>
        <v>0</v>
      </c>
      <c r="V21" s="52">
        <f ca="1">-(Расчеты!V1058+Расчеты!V1059)*Flag_Construction</f>
        <v>0</v>
      </c>
      <c r="W21" s="52">
        <f ca="1">-(Расчеты!W1058+Расчеты!W1059)*Flag_Construction</f>
        <v>0</v>
      </c>
      <c r="X21" s="52">
        <f ca="1">-(Расчеты!X1058+Расчеты!X1059)*Flag_Construction</f>
        <v>0</v>
      </c>
      <c r="Y21" s="52">
        <f ca="1">-(Расчеты!Y1058+Расчеты!Y1059)*Flag_Construction</f>
        <v>0</v>
      </c>
      <c r="Z21" s="52">
        <f ca="1">-(Расчеты!Z1058+Расчеты!Z1059)*Flag_Construction</f>
        <v>0</v>
      </c>
      <c r="AA21" s="52">
        <f ca="1">-(Расчеты!AA1058+Расчеты!AA1059)*Flag_Construction</f>
        <v>0</v>
      </c>
      <c r="AB21" s="52">
        <f ca="1">-(Расчеты!AB1058+Расчеты!AB1059)*Flag_Construction</f>
        <v>0</v>
      </c>
      <c r="AC21" s="52">
        <f ca="1">-(Расчеты!AC1058+Расчеты!AC1059)*Flag_Construction</f>
        <v>0</v>
      </c>
      <c r="AD21" s="52">
        <f ca="1">-(Расчеты!AD1058+Расчеты!AD1059)*Flag_Construction</f>
        <v>0</v>
      </c>
      <c r="AE21" s="52">
        <f ca="1">-(Расчеты!AE1058+Расчеты!AE1059)*Flag_Construction</f>
        <v>0</v>
      </c>
      <c r="AF21" s="52">
        <f ca="1">-(Расчеты!AF1058+Расчеты!AF1059)*Flag_Construction</f>
        <v>0</v>
      </c>
      <c r="AG21" s="52">
        <f ca="1">-(Расчеты!AG1058+Расчеты!AG1059)*Flag_Construction</f>
        <v>0</v>
      </c>
      <c r="AH21" s="52">
        <f ca="1">-(Расчеты!AH1058+Расчеты!AH1059)*Flag_Construction</f>
        <v>0</v>
      </c>
      <c r="AI21" s="52">
        <f ca="1">-(Расчеты!AI1058+Расчеты!AI1059)*Flag_Construction</f>
        <v>0</v>
      </c>
      <c r="AJ21" s="52">
        <f ca="1">-(Расчеты!AJ1058+Расчеты!AJ1059)*Flag_Construction</f>
        <v>0</v>
      </c>
      <c r="AK21" s="52">
        <f ca="1">-(Расчеты!AK1058+Расчеты!AK1059)*Flag_Construction</f>
        <v>0</v>
      </c>
      <c r="AL21" s="52">
        <f ca="1">-(Расчеты!AL1058+Расчеты!AL1059)*Flag_Construction</f>
        <v>0</v>
      </c>
      <c r="AM21" s="52">
        <f ca="1">-(Расчеты!AM1058+Расчеты!AM1059)*Flag_Construction</f>
        <v>0</v>
      </c>
      <c r="AN21" s="52">
        <f ca="1">-(Расчеты!AN1058+Расчеты!AN1059)*Flag_Construction</f>
        <v>0</v>
      </c>
      <c r="AO21" s="52">
        <f ca="1">-(Расчеты!AO1058+Расчеты!AO1059)*Flag_Construction</f>
        <v>0</v>
      </c>
      <c r="AP21" s="52">
        <f ca="1">-(Расчеты!AP1058+Расчеты!AP1059)*Flag_Construction</f>
        <v>0</v>
      </c>
      <c r="AQ21" s="52">
        <f ca="1">-(Расчеты!AQ1058+Расчеты!AQ1059)*Flag_Construction</f>
        <v>0</v>
      </c>
      <c r="AR21" s="52">
        <f ca="1">-(Расчеты!AR1058+Расчеты!AR1059)*Flag_Construction</f>
        <v>0</v>
      </c>
      <c r="AS21" s="52">
        <f ca="1">-(Расчеты!AS1058+Расчеты!AS1059)*Flag_Construction</f>
        <v>0</v>
      </c>
      <c r="AT21" s="52">
        <f ca="1">-(Расчеты!AT1058+Расчеты!AT1059)*Flag_Construction</f>
        <v>0</v>
      </c>
      <c r="AU21" s="52">
        <f ca="1">-(Расчеты!AU1058+Расчеты!AU1059)*Flag_Construction</f>
        <v>0</v>
      </c>
      <c r="AV21" s="52">
        <f ca="1">-(Расчеты!AV1058+Расчеты!AV1059)*Flag_Construction</f>
        <v>0</v>
      </c>
      <c r="AW21" s="52">
        <f ca="1">-(Расчеты!AW1058+Расчеты!AW1059)*Flag_Construction</f>
        <v>0</v>
      </c>
      <c r="AX21" s="52">
        <f ca="1">-(Расчеты!AX1058+Расчеты!AX1059)*Flag_Construction</f>
        <v>0</v>
      </c>
      <c r="AY21" s="52">
        <f ca="1">-(Расчеты!AY1058+Расчеты!AY1059)*Flag_Construction</f>
        <v>0</v>
      </c>
      <c r="AZ21" s="52">
        <f ca="1">-(Расчеты!AZ1058+Расчеты!AZ1059)*Flag_Construction</f>
        <v>0</v>
      </c>
      <c r="BA21" s="52">
        <f ca="1">-(Расчеты!BA1058+Расчеты!BA1059)*Flag_Construction</f>
        <v>0</v>
      </c>
      <c r="BB21" s="52">
        <f ca="1">-(Расчеты!BB1058+Расчеты!BB1059)*Flag_Construction</f>
        <v>0</v>
      </c>
      <c r="BC21" s="52">
        <f ca="1">-(Расчеты!BC1058+Расчеты!BC1059)*Flag_Construction</f>
        <v>0</v>
      </c>
      <c r="BD21" s="52">
        <f ca="1">-(Расчеты!BD1058+Расчеты!BD1059)*Flag_Construction</f>
        <v>0</v>
      </c>
      <c r="BE21" s="52">
        <f ca="1">-(Расчеты!BE1058+Расчеты!BE1059)*Flag_Construction</f>
        <v>0</v>
      </c>
      <c r="BF21" s="52">
        <f ca="1">-(Расчеты!BF1058+Расчеты!BF1059)*Flag_Construction</f>
        <v>0</v>
      </c>
      <c r="BG21" s="52">
        <f ca="1">-(Расчеты!BG1058+Расчеты!BG1059)*Flag_Construction</f>
        <v>0</v>
      </c>
      <c r="BH21" s="52">
        <f ca="1">-(Расчеты!BH1058+Расчеты!BH1059)*Flag_Construction</f>
        <v>0</v>
      </c>
      <c r="BI21" s="52">
        <f ca="1">-(Расчеты!BI1058+Расчеты!BI1059)*Flag_Construction</f>
        <v>0</v>
      </c>
      <c r="BJ21" s="52">
        <f ca="1">-(Расчеты!BJ1058+Расчеты!BJ1059)*Flag_Construction</f>
        <v>0</v>
      </c>
      <c r="BK21" s="52">
        <f ca="1">-(Расчеты!BK1058+Расчеты!BK1059)*Flag_Construction</f>
        <v>0</v>
      </c>
      <c r="BL21" s="52">
        <f ca="1">-(Расчеты!BL1058+Расчеты!BL1059)*Flag_Construction</f>
        <v>0</v>
      </c>
      <c r="BM21" s="52">
        <f ca="1">-(Расчеты!BM1058+Расчеты!BM1059)*Flag_Construction</f>
        <v>0</v>
      </c>
      <c r="BN21" s="52">
        <f ca="1">-(Расчеты!BN1058+Расчеты!BN1059)*Flag_Construction</f>
        <v>0</v>
      </c>
      <c r="BO21" s="52">
        <f ca="1">-(Расчеты!BO1058+Расчеты!BO1059)*Flag_Construction</f>
        <v>0</v>
      </c>
      <c r="BP21" s="52">
        <f ca="1">-(Расчеты!BP1058+Расчеты!BP1059)*Flag_Construction</f>
        <v>0</v>
      </c>
      <c r="BQ21" s="52">
        <f ca="1">-(Расчеты!BQ1058+Расчеты!BQ1059)*Flag_Construction</f>
        <v>0</v>
      </c>
      <c r="BR21" s="52">
        <f ca="1">-(Расчеты!BR1058+Расчеты!BR1059)*Flag_Construction</f>
        <v>0</v>
      </c>
      <c r="BS21" s="52">
        <f ca="1">-(Расчеты!BS1058+Расчеты!BS1059)*Flag_Construction</f>
        <v>0</v>
      </c>
      <c r="BT21" s="52">
        <f ca="1">-(Расчеты!BT1058+Расчеты!BT1059)*Flag_Construction</f>
        <v>0</v>
      </c>
      <c r="BU21" s="52">
        <f ca="1">-(Расчеты!BU1058+Расчеты!BU1059)*Flag_Construction</f>
        <v>0</v>
      </c>
      <c r="BV21" s="52">
        <f ca="1">-(Расчеты!BV1058+Расчеты!BV1059)*Flag_Construction</f>
        <v>0</v>
      </c>
      <c r="BW21" s="52">
        <f ca="1">-(Расчеты!BW1058+Расчеты!BW1059)*Flag_Construction</f>
        <v>0</v>
      </c>
      <c r="BX21" s="52">
        <f ca="1">-(Расчеты!BX1058+Расчеты!BX1059)*Flag_Construction</f>
        <v>0</v>
      </c>
      <c r="BY21" s="52">
        <f ca="1">-(Расчеты!BY1058+Расчеты!BY1059)*Flag_Construction</f>
        <v>0</v>
      </c>
      <c r="BZ21" s="52">
        <f ca="1">-(Расчеты!BZ1058+Расчеты!BZ1059)*Flag_Construction</f>
        <v>0</v>
      </c>
      <c r="CA21" s="52">
        <f ca="1">-(Расчеты!CA1058+Расчеты!CA1059)*Flag_Construction</f>
        <v>0</v>
      </c>
      <c r="CB21" s="52">
        <f ca="1">-(Расчеты!CB1058+Расчеты!CB1059)*Flag_Construction</f>
        <v>0</v>
      </c>
      <c r="CC21" s="52">
        <f ca="1">-(Расчеты!CC1058+Расчеты!CC1059)*Flag_Construction</f>
        <v>0</v>
      </c>
      <c r="CD21" s="52">
        <f ca="1">-(Расчеты!CD1058+Расчеты!CD1059)*Flag_Construction</f>
        <v>0</v>
      </c>
      <c r="CE21" s="52">
        <f ca="1">-(Расчеты!CE1058+Расчеты!CE1059)*Flag_Construction</f>
        <v>0</v>
      </c>
      <c r="CF21" s="52">
        <f ca="1">-(Расчеты!CF1058+Расчеты!CF1059)*Flag_Construction</f>
        <v>0</v>
      </c>
      <c r="CG21" s="52">
        <f ca="1">-(Расчеты!CG1058+Расчеты!CG1059)*Flag_Construction</f>
        <v>0</v>
      </c>
      <c r="CH21" s="52">
        <f ca="1">-(Расчеты!CH1058+Расчеты!CH1059)*Flag_Construction</f>
        <v>0</v>
      </c>
      <c r="CI21" s="52">
        <f ca="1">-(Расчеты!CI1058+Расчеты!CI1059)*Flag_Construction</f>
        <v>0</v>
      </c>
      <c r="CJ21" s="52">
        <f ca="1">-(Расчеты!CJ1058+Расчеты!CJ1059)*Flag_Construction</f>
        <v>0</v>
      </c>
      <c r="CK21" s="52">
        <f ca="1">-(Расчеты!CK1058+Расчеты!CK1059)*Flag_Construction</f>
        <v>0</v>
      </c>
      <c r="CL21" s="52">
        <f ca="1">-(Расчеты!CL1058+Расчеты!CL1059)*Flag_Construction</f>
        <v>0</v>
      </c>
      <c r="CM21" s="52">
        <f ca="1">-(Расчеты!CM1058+Расчеты!CM1059)*Flag_Construction</f>
        <v>0</v>
      </c>
      <c r="CN21" s="52">
        <f ca="1">-(Расчеты!CN1058+Расчеты!CN1059)*Flag_Construction</f>
        <v>0</v>
      </c>
      <c r="CO21" s="52">
        <f ca="1">-(Расчеты!CO1058+Расчеты!CO1059)*Flag_Construction</f>
        <v>0</v>
      </c>
    </row>
    <row r="22" spans="1:93" s="132" customFormat="1" ht="15" customHeight="1">
      <c r="A22" s="47"/>
      <c r="B22" s="47"/>
      <c r="C22" s="418" t="s">
        <v>1222</v>
      </c>
      <c r="D22" s="153"/>
      <c r="E22" s="11"/>
      <c r="F22" s="11"/>
      <c r="G22" s="11" t="str">
        <f t="shared" si="4"/>
        <v>тыс. руб.</v>
      </c>
      <c r="H22" s="153"/>
      <c r="I22" s="23">
        <f t="shared" ca="1" si="25"/>
        <v>0</v>
      </c>
      <c r="J22" s="153"/>
      <c r="K22" s="153"/>
      <c r="L22" s="52">
        <f t="shared" ref="L22:AQ22" ca="1" si="28">(Revenue+COGS_PL+SGA_PL+Profits_Tax+Dividends+VAT_Paid+VAT_Paid_e)*Flag_Construction</f>
        <v>0</v>
      </c>
      <c r="M22" s="52">
        <f t="shared" ca="1" si="28"/>
        <v>0</v>
      </c>
      <c r="N22" s="52">
        <f t="shared" ca="1" si="28"/>
        <v>0</v>
      </c>
      <c r="O22" s="52">
        <f t="shared" ca="1" si="28"/>
        <v>0</v>
      </c>
      <c r="P22" s="52">
        <f t="shared" ca="1" si="28"/>
        <v>0</v>
      </c>
      <c r="Q22" s="52">
        <f t="shared" ca="1" si="28"/>
        <v>0</v>
      </c>
      <c r="R22" s="52">
        <f t="shared" ca="1" si="28"/>
        <v>0</v>
      </c>
      <c r="S22" s="52">
        <f t="shared" ca="1" si="28"/>
        <v>0</v>
      </c>
      <c r="T22" s="52">
        <f t="shared" ca="1" si="28"/>
        <v>0</v>
      </c>
      <c r="U22" s="52">
        <f t="shared" ca="1" si="28"/>
        <v>0</v>
      </c>
      <c r="V22" s="52">
        <f t="shared" ca="1" si="28"/>
        <v>0</v>
      </c>
      <c r="W22" s="52">
        <f t="shared" ca="1" si="28"/>
        <v>0</v>
      </c>
      <c r="X22" s="52">
        <f t="shared" ca="1" si="28"/>
        <v>0</v>
      </c>
      <c r="Y22" s="52">
        <f t="shared" ca="1" si="28"/>
        <v>0</v>
      </c>
      <c r="Z22" s="52">
        <f t="shared" ca="1" si="28"/>
        <v>0</v>
      </c>
      <c r="AA22" s="52">
        <f t="shared" ca="1" si="28"/>
        <v>0</v>
      </c>
      <c r="AB22" s="52">
        <f t="shared" ca="1" si="28"/>
        <v>0</v>
      </c>
      <c r="AC22" s="52">
        <f t="shared" ca="1" si="28"/>
        <v>0</v>
      </c>
      <c r="AD22" s="52">
        <f t="shared" ca="1" si="28"/>
        <v>0</v>
      </c>
      <c r="AE22" s="52">
        <f t="shared" ca="1" si="28"/>
        <v>0</v>
      </c>
      <c r="AF22" s="52">
        <f t="shared" ca="1" si="28"/>
        <v>0</v>
      </c>
      <c r="AG22" s="52">
        <f t="shared" ca="1" si="28"/>
        <v>0</v>
      </c>
      <c r="AH22" s="52">
        <f t="shared" ca="1" si="28"/>
        <v>0</v>
      </c>
      <c r="AI22" s="52">
        <f t="shared" ca="1" si="28"/>
        <v>0</v>
      </c>
      <c r="AJ22" s="52">
        <f t="shared" ca="1" si="28"/>
        <v>0</v>
      </c>
      <c r="AK22" s="52">
        <f t="shared" ca="1" si="28"/>
        <v>0</v>
      </c>
      <c r="AL22" s="52">
        <f t="shared" ca="1" si="28"/>
        <v>0</v>
      </c>
      <c r="AM22" s="52">
        <f t="shared" ca="1" si="28"/>
        <v>0</v>
      </c>
      <c r="AN22" s="52">
        <f t="shared" ca="1" si="28"/>
        <v>0</v>
      </c>
      <c r="AO22" s="52">
        <f t="shared" ca="1" si="28"/>
        <v>0</v>
      </c>
      <c r="AP22" s="52">
        <f t="shared" ca="1" si="28"/>
        <v>0</v>
      </c>
      <c r="AQ22" s="52">
        <f t="shared" ca="1" si="28"/>
        <v>0</v>
      </c>
      <c r="AR22" s="52">
        <f t="shared" ref="AR22:BW22" ca="1" si="29">(Revenue+COGS_PL+SGA_PL+Profits_Tax+Dividends+VAT_Paid+VAT_Paid_e)*Flag_Construction</f>
        <v>0</v>
      </c>
      <c r="AS22" s="52">
        <f t="shared" ca="1" si="29"/>
        <v>0</v>
      </c>
      <c r="AT22" s="52">
        <f t="shared" ca="1" si="29"/>
        <v>0</v>
      </c>
      <c r="AU22" s="52">
        <f t="shared" ca="1" si="29"/>
        <v>0</v>
      </c>
      <c r="AV22" s="52">
        <f t="shared" ca="1" si="29"/>
        <v>0</v>
      </c>
      <c r="AW22" s="52">
        <f t="shared" ca="1" si="29"/>
        <v>0</v>
      </c>
      <c r="AX22" s="52">
        <f t="shared" ca="1" si="29"/>
        <v>0</v>
      </c>
      <c r="AY22" s="52">
        <f t="shared" ca="1" si="29"/>
        <v>0</v>
      </c>
      <c r="AZ22" s="52">
        <f t="shared" ca="1" si="29"/>
        <v>0</v>
      </c>
      <c r="BA22" s="52">
        <f t="shared" ca="1" si="29"/>
        <v>0</v>
      </c>
      <c r="BB22" s="52">
        <f t="shared" ca="1" si="29"/>
        <v>0</v>
      </c>
      <c r="BC22" s="52">
        <f t="shared" ca="1" si="29"/>
        <v>0</v>
      </c>
      <c r="BD22" s="52">
        <f t="shared" ca="1" si="29"/>
        <v>0</v>
      </c>
      <c r="BE22" s="52">
        <f t="shared" ca="1" si="29"/>
        <v>0</v>
      </c>
      <c r="BF22" s="52">
        <f t="shared" ca="1" si="29"/>
        <v>0</v>
      </c>
      <c r="BG22" s="52">
        <f t="shared" ca="1" si="29"/>
        <v>0</v>
      </c>
      <c r="BH22" s="52">
        <f t="shared" ca="1" si="29"/>
        <v>0</v>
      </c>
      <c r="BI22" s="52">
        <f t="shared" ca="1" si="29"/>
        <v>0</v>
      </c>
      <c r="BJ22" s="52">
        <f t="shared" ca="1" si="29"/>
        <v>0</v>
      </c>
      <c r="BK22" s="52">
        <f t="shared" ca="1" si="29"/>
        <v>0</v>
      </c>
      <c r="BL22" s="52">
        <f t="shared" ca="1" si="29"/>
        <v>0</v>
      </c>
      <c r="BM22" s="52">
        <f t="shared" ca="1" si="29"/>
        <v>0</v>
      </c>
      <c r="BN22" s="52">
        <f t="shared" ca="1" si="29"/>
        <v>0</v>
      </c>
      <c r="BO22" s="52">
        <f t="shared" ca="1" si="29"/>
        <v>0</v>
      </c>
      <c r="BP22" s="52">
        <f t="shared" ca="1" si="29"/>
        <v>0</v>
      </c>
      <c r="BQ22" s="52">
        <f t="shared" ca="1" si="29"/>
        <v>0</v>
      </c>
      <c r="BR22" s="52">
        <f t="shared" ca="1" si="29"/>
        <v>0</v>
      </c>
      <c r="BS22" s="52">
        <f t="shared" ca="1" si="29"/>
        <v>0</v>
      </c>
      <c r="BT22" s="52">
        <f t="shared" ca="1" si="29"/>
        <v>0</v>
      </c>
      <c r="BU22" s="52">
        <f t="shared" ca="1" si="29"/>
        <v>0</v>
      </c>
      <c r="BV22" s="52">
        <f t="shared" ca="1" si="29"/>
        <v>0</v>
      </c>
      <c r="BW22" s="52">
        <f t="shared" ca="1" si="29"/>
        <v>0</v>
      </c>
      <c r="BX22" s="52">
        <f t="shared" ref="BX22:CO22" ca="1" si="30">(Revenue+COGS_PL+SGA_PL+Profits_Tax+Dividends+VAT_Paid+VAT_Paid_e)*Flag_Construction</f>
        <v>0</v>
      </c>
      <c r="BY22" s="52">
        <f t="shared" ca="1" si="30"/>
        <v>0</v>
      </c>
      <c r="BZ22" s="52">
        <f t="shared" ca="1" si="30"/>
        <v>0</v>
      </c>
      <c r="CA22" s="52">
        <f t="shared" ca="1" si="30"/>
        <v>0</v>
      </c>
      <c r="CB22" s="52">
        <f t="shared" ca="1" si="30"/>
        <v>0</v>
      </c>
      <c r="CC22" s="52">
        <f t="shared" ca="1" si="30"/>
        <v>0</v>
      </c>
      <c r="CD22" s="52">
        <f t="shared" ca="1" si="30"/>
        <v>0</v>
      </c>
      <c r="CE22" s="52">
        <f t="shared" ca="1" si="30"/>
        <v>0</v>
      </c>
      <c r="CF22" s="52">
        <f t="shared" ca="1" si="30"/>
        <v>0</v>
      </c>
      <c r="CG22" s="52">
        <f t="shared" ca="1" si="30"/>
        <v>0</v>
      </c>
      <c r="CH22" s="52">
        <f t="shared" ca="1" si="30"/>
        <v>0</v>
      </c>
      <c r="CI22" s="52">
        <f t="shared" ca="1" si="30"/>
        <v>0</v>
      </c>
      <c r="CJ22" s="52">
        <f t="shared" ca="1" si="30"/>
        <v>0</v>
      </c>
      <c r="CK22" s="52">
        <f t="shared" ca="1" si="30"/>
        <v>0</v>
      </c>
      <c r="CL22" s="52">
        <f t="shared" ca="1" si="30"/>
        <v>0</v>
      </c>
      <c r="CM22" s="52">
        <f t="shared" ca="1" si="30"/>
        <v>0</v>
      </c>
      <c r="CN22" s="52">
        <f t="shared" ca="1" si="30"/>
        <v>0</v>
      </c>
      <c r="CO22" s="52">
        <f t="shared" ca="1" si="30"/>
        <v>0</v>
      </c>
    </row>
    <row r="23" spans="1:93" s="132" customFormat="1" ht="15" customHeight="1">
      <c r="A23" s="47"/>
      <c r="B23" s="47"/>
      <c r="C23" s="418" t="s">
        <v>1163</v>
      </c>
      <c r="D23" s="153"/>
      <c r="E23" s="11"/>
      <c r="F23" s="11"/>
      <c r="G23" s="11" t="str">
        <f t="shared" si="4"/>
        <v>тыс. руб.</v>
      </c>
      <c r="H23" s="153"/>
      <c r="I23" s="23">
        <f t="shared" ca="1" si="25"/>
        <v>0</v>
      </c>
      <c r="J23" s="153"/>
      <c r="K23" s="153"/>
      <c r="L23" s="52">
        <f t="shared" ref="L23:AQ23" ca="1" si="31">MAX(WC_Cash_Flow*Flag_Construction,0)</f>
        <v>0</v>
      </c>
      <c r="M23" s="52">
        <f t="shared" ca="1" si="31"/>
        <v>0</v>
      </c>
      <c r="N23" s="52">
        <f t="shared" ca="1" si="31"/>
        <v>0</v>
      </c>
      <c r="O23" s="52">
        <f t="shared" ca="1" si="31"/>
        <v>0</v>
      </c>
      <c r="P23" s="52">
        <f t="shared" ca="1" si="31"/>
        <v>0</v>
      </c>
      <c r="Q23" s="52">
        <f t="shared" ca="1" si="31"/>
        <v>0</v>
      </c>
      <c r="R23" s="52">
        <f t="shared" ca="1" si="31"/>
        <v>0</v>
      </c>
      <c r="S23" s="52">
        <f t="shared" ca="1" si="31"/>
        <v>0</v>
      </c>
      <c r="T23" s="52">
        <f t="shared" ca="1" si="31"/>
        <v>0</v>
      </c>
      <c r="U23" s="52">
        <f t="shared" ca="1" si="31"/>
        <v>0</v>
      </c>
      <c r="V23" s="52">
        <f t="shared" ca="1" si="31"/>
        <v>0</v>
      </c>
      <c r="W23" s="52">
        <f t="shared" ca="1" si="31"/>
        <v>0</v>
      </c>
      <c r="X23" s="52">
        <f t="shared" ca="1" si="31"/>
        <v>0</v>
      </c>
      <c r="Y23" s="52">
        <f t="shared" ca="1" si="31"/>
        <v>0</v>
      </c>
      <c r="Z23" s="52">
        <f t="shared" ca="1" si="31"/>
        <v>0</v>
      </c>
      <c r="AA23" s="52">
        <f t="shared" ca="1" si="31"/>
        <v>0</v>
      </c>
      <c r="AB23" s="52">
        <f t="shared" ca="1" si="31"/>
        <v>0</v>
      </c>
      <c r="AC23" s="52">
        <f t="shared" ca="1" si="31"/>
        <v>0</v>
      </c>
      <c r="AD23" s="52">
        <f t="shared" ca="1" si="31"/>
        <v>0</v>
      </c>
      <c r="AE23" s="52">
        <f t="shared" ca="1" si="31"/>
        <v>0</v>
      </c>
      <c r="AF23" s="52">
        <f t="shared" ca="1" si="31"/>
        <v>0</v>
      </c>
      <c r="AG23" s="52">
        <f t="shared" ca="1" si="31"/>
        <v>0</v>
      </c>
      <c r="AH23" s="52">
        <f t="shared" ca="1" si="31"/>
        <v>0</v>
      </c>
      <c r="AI23" s="52">
        <f t="shared" ca="1" si="31"/>
        <v>0</v>
      </c>
      <c r="AJ23" s="52">
        <f t="shared" ca="1" si="31"/>
        <v>0</v>
      </c>
      <c r="AK23" s="52">
        <f t="shared" ca="1" si="31"/>
        <v>0</v>
      </c>
      <c r="AL23" s="52">
        <f t="shared" ca="1" si="31"/>
        <v>0</v>
      </c>
      <c r="AM23" s="52">
        <f t="shared" ca="1" si="31"/>
        <v>0</v>
      </c>
      <c r="AN23" s="52">
        <f t="shared" ca="1" si="31"/>
        <v>0</v>
      </c>
      <c r="AO23" s="52">
        <f t="shared" ca="1" si="31"/>
        <v>0</v>
      </c>
      <c r="AP23" s="52">
        <f t="shared" ca="1" si="31"/>
        <v>0</v>
      </c>
      <c r="AQ23" s="52">
        <f t="shared" ca="1" si="31"/>
        <v>0</v>
      </c>
      <c r="AR23" s="52">
        <f t="shared" ref="AR23:BW23" ca="1" si="32">MAX(WC_Cash_Flow*Flag_Construction,0)</f>
        <v>0</v>
      </c>
      <c r="AS23" s="52">
        <f t="shared" ca="1" si="32"/>
        <v>0</v>
      </c>
      <c r="AT23" s="52">
        <f t="shared" ca="1" si="32"/>
        <v>0</v>
      </c>
      <c r="AU23" s="52">
        <f t="shared" ca="1" si="32"/>
        <v>0</v>
      </c>
      <c r="AV23" s="52">
        <f t="shared" ca="1" si="32"/>
        <v>0</v>
      </c>
      <c r="AW23" s="52">
        <f t="shared" ca="1" si="32"/>
        <v>0</v>
      </c>
      <c r="AX23" s="52">
        <f t="shared" ca="1" si="32"/>
        <v>0</v>
      </c>
      <c r="AY23" s="52">
        <f t="shared" ca="1" si="32"/>
        <v>0</v>
      </c>
      <c r="AZ23" s="52">
        <f t="shared" ca="1" si="32"/>
        <v>0</v>
      </c>
      <c r="BA23" s="52">
        <f t="shared" ca="1" si="32"/>
        <v>0</v>
      </c>
      <c r="BB23" s="52">
        <f t="shared" ca="1" si="32"/>
        <v>0</v>
      </c>
      <c r="BC23" s="52">
        <f t="shared" ca="1" si="32"/>
        <v>0</v>
      </c>
      <c r="BD23" s="52">
        <f t="shared" ca="1" si="32"/>
        <v>0</v>
      </c>
      <c r="BE23" s="52">
        <f t="shared" ca="1" si="32"/>
        <v>0</v>
      </c>
      <c r="BF23" s="52">
        <f t="shared" ca="1" si="32"/>
        <v>0</v>
      </c>
      <c r="BG23" s="52">
        <f t="shared" ca="1" si="32"/>
        <v>0</v>
      </c>
      <c r="BH23" s="52">
        <f t="shared" ca="1" si="32"/>
        <v>0</v>
      </c>
      <c r="BI23" s="52">
        <f t="shared" ca="1" si="32"/>
        <v>0</v>
      </c>
      <c r="BJ23" s="52">
        <f t="shared" ca="1" si="32"/>
        <v>0</v>
      </c>
      <c r="BK23" s="52">
        <f t="shared" ca="1" si="32"/>
        <v>0</v>
      </c>
      <c r="BL23" s="52">
        <f t="shared" ca="1" si="32"/>
        <v>0</v>
      </c>
      <c r="BM23" s="52">
        <f t="shared" ca="1" si="32"/>
        <v>0</v>
      </c>
      <c r="BN23" s="52">
        <f t="shared" ca="1" si="32"/>
        <v>0</v>
      </c>
      <c r="BO23" s="52">
        <f t="shared" ca="1" si="32"/>
        <v>0</v>
      </c>
      <c r="BP23" s="52">
        <f t="shared" ca="1" si="32"/>
        <v>0</v>
      </c>
      <c r="BQ23" s="52">
        <f t="shared" ca="1" si="32"/>
        <v>0</v>
      </c>
      <c r="BR23" s="52">
        <f t="shared" ca="1" si="32"/>
        <v>0</v>
      </c>
      <c r="BS23" s="52">
        <f t="shared" ca="1" si="32"/>
        <v>0</v>
      </c>
      <c r="BT23" s="52">
        <f t="shared" ca="1" si="32"/>
        <v>0</v>
      </c>
      <c r="BU23" s="52">
        <f t="shared" ca="1" si="32"/>
        <v>0</v>
      </c>
      <c r="BV23" s="52">
        <f t="shared" ca="1" si="32"/>
        <v>0</v>
      </c>
      <c r="BW23" s="52">
        <f t="shared" ca="1" si="32"/>
        <v>0</v>
      </c>
      <c r="BX23" s="52">
        <f t="shared" ref="BX23:CO23" ca="1" si="33">MAX(WC_Cash_Flow*Flag_Construction,0)</f>
        <v>0</v>
      </c>
      <c r="BY23" s="52">
        <f t="shared" ca="1" si="33"/>
        <v>0</v>
      </c>
      <c r="BZ23" s="52">
        <f t="shared" ca="1" si="33"/>
        <v>0</v>
      </c>
      <c r="CA23" s="52">
        <f t="shared" ca="1" si="33"/>
        <v>0</v>
      </c>
      <c r="CB23" s="52">
        <f t="shared" ca="1" si="33"/>
        <v>0</v>
      </c>
      <c r="CC23" s="52">
        <f t="shared" ca="1" si="33"/>
        <v>0</v>
      </c>
      <c r="CD23" s="52">
        <f t="shared" ca="1" si="33"/>
        <v>0</v>
      </c>
      <c r="CE23" s="52">
        <f t="shared" ca="1" si="33"/>
        <v>0</v>
      </c>
      <c r="CF23" s="52">
        <f t="shared" ca="1" si="33"/>
        <v>0</v>
      </c>
      <c r="CG23" s="52">
        <f t="shared" ca="1" si="33"/>
        <v>0</v>
      </c>
      <c r="CH23" s="52">
        <f t="shared" ca="1" si="33"/>
        <v>0</v>
      </c>
      <c r="CI23" s="52">
        <f t="shared" ca="1" si="33"/>
        <v>0</v>
      </c>
      <c r="CJ23" s="52">
        <f t="shared" ca="1" si="33"/>
        <v>0</v>
      </c>
      <c r="CK23" s="52">
        <f t="shared" ca="1" si="33"/>
        <v>0</v>
      </c>
      <c r="CL23" s="52">
        <f t="shared" ca="1" si="33"/>
        <v>0</v>
      </c>
      <c r="CM23" s="52">
        <f t="shared" ca="1" si="33"/>
        <v>0</v>
      </c>
      <c r="CN23" s="52">
        <f t="shared" ca="1" si="33"/>
        <v>0</v>
      </c>
      <c r="CO23" s="52">
        <f t="shared" ca="1" si="33"/>
        <v>0</v>
      </c>
    </row>
    <row r="24" spans="1:93" s="132" customFormat="1" ht="15" customHeight="1">
      <c r="A24" s="47"/>
      <c r="B24" s="47"/>
      <c r="C24" s="418" t="s">
        <v>1156</v>
      </c>
      <c r="D24" s="153"/>
      <c r="E24" s="11"/>
      <c r="F24" s="11"/>
      <c r="G24" s="11" t="str">
        <f t="shared" si="4"/>
        <v>тыс. руб.</v>
      </c>
      <c r="H24" s="153"/>
      <c r="I24" s="23">
        <f t="shared" ca="1" si="25"/>
        <v>0</v>
      </c>
      <c r="J24" s="153"/>
      <c r="K24" s="153"/>
      <c r="L24" s="52">
        <f t="shared" ref="L24:AQ24" ca="1" si="34">-MIN((Cash_EoP-Cash_BoP)*Flag_Construction,0)</f>
        <v>0</v>
      </c>
      <c r="M24" s="52">
        <f t="shared" ca="1" si="34"/>
        <v>0</v>
      </c>
      <c r="N24" s="52">
        <f t="shared" ca="1" si="34"/>
        <v>0</v>
      </c>
      <c r="O24" s="52">
        <f t="shared" ca="1" si="34"/>
        <v>0</v>
      </c>
      <c r="P24" s="52">
        <f t="shared" ca="1" si="34"/>
        <v>0</v>
      </c>
      <c r="Q24" s="52">
        <f t="shared" ca="1" si="34"/>
        <v>0</v>
      </c>
      <c r="R24" s="52">
        <f t="shared" ca="1" si="34"/>
        <v>0</v>
      </c>
      <c r="S24" s="52">
        <f t="shared" ca="1" si="34"/>
        <v>0</v>
      </c>
      <c r="T24" s="52">
        <f t="shared" ca="1" si="34"/>
        <v>0</v>
      </c>
      <c r="U24" s="52">
        <f t="shared" ca="1" si="34"/>
        <v>0</v>
      </c>
      <c r="V24" s="52">
        <f t="shared" ca="1" si="34"/>
        <v>0</v>
      </c>
      <c r="W24" s="52">
        <f t="shared" ca="1" si="34"/>
        <v>0</v>
      </c>
      <c r="X24" s="52">
        <f t="shared" ca="1" si="34"/>
        <v>0</v>
      </c>
      <c r="Y24" s="52">
        <f t="shared" ca="1" si="34"/>
        <v>0</v>
      </c>
      <c r="Z24" s="52">
        <f t="shared" ca="1" si="34"/>
        <v>0</v>
      </c>
      <c r="AA24" s="52">
        <f t="shared" ca="1" si="34"/>
        <v>0</v>
      </c>
      <c r="AB24" s="52">
        <f t="shared" ca="1" si="34"/>
        <v>0</v>
      </c>
      <c r="AC24" s="52">
        <f t="shared" ca="1" si="34"/>
        <v>0</v>
      </c>
      <c r="AD24" s="52">
        <f t="shared" ca="1" si="34"/>
        <v>0</v>
      </c>
      <c r="AE24" s="52">
        <f t="shared" ca="1" si="34"/>
        <v>0</v>
      </c>
      <c r="AF24" s="52">
        <f t="shared" ca="1" si="34"/>
        <v>0</v>
      </c>
      <c r="AG24" s="52">
        <f t="shared" ca="1" si="34"/>
        <v>0</v>
      </c>
      <c r="AH24" s="52">
        <f t="shared" ca="1" si="34"/>
        <v>0</v>
      </c>
      <c r="AI24" s="52">
        <f t="shared" ca="1" si="34"/>
        <v>0</v>
      </c>
      <c r="AJ24" s="52">
        <f t="shared" ca="1" si="34"/>
        <v>0</v>
      </c>
      <c r="AK24" s="52">
        <f t="shared" ca="1" si="34"/>
        <v>0</v>
      </c>
      <c r="AL24" s="52">
        <f t="shared" ca="1" si="34"/>
        <v>0</v>
      </c>
      <c r="AM24" s="52">
        <f t="shared" ca="1" si="34"/>
        <v>0</v>
      </c>
      <c r="AN24" s="52">
        <f t="shared" ca="1" si="34"/>
        <v>0</v>
      </c>
      <c r="AO24" s="52">
        <f t="shared" ca="1" si="34"/>
        <v>0</v>
      </c>
      <c r="AP24" s="52">
        <f t="shared" ca="1" si="34"/>
        <v>0</v>
      </c>
      <c r="AQ24" s="52">
        <f t="shared" ca="1" si="34"/>
        <v>0</v>
      </c>
      <c r="AR24" s="52">
        <f t="shared" ref="AR24:BW24" ca="1" si="35">-MIN((Cash_EoP-Cash_BoP)*Flag_Construction,0)</f>
        <v>0</v>
      </c>
      <c r="AS24" s="52">
        <f t="shared" ca="1" si="35"/>
        <v>0</v>
      </c>
      <c r="AT24" s="52">
        <f t="shared" ca="1" si="35"/>
        <v>0</v>
      </c>
      <c r="AU24" s="52">
        <f t="shared" ca="1" si="35"/>
        <v>0</v>
      </c>
      <c r="AV24" s="52">
        <f t="shared" ca="1" si="35"/>
        <v>0</v>
      </c>
      <c r="AW24" s="52">
        <f t="shared" ca="1" si="35"/>
        <v>0</v>
      </c>
      <c r="AX24" s="52">
        <f t="shared" ca="1" si="35"/>
        <v>0</v>
      </c>
      <c r="AY24" s="52">
        <f t="shared" ca="1" si="35"/>
        <v>0</v>
      </c>
      <c r="AZ24" s="52">
        <f t="shared" ca="1" si="35"/>
        <v>0</v>
      </c>
      <c r="BA24" s="52">
        <f t="shared" ca="1" si="35"/>
        <v>0</v>
      </c>
      <c r="BB24" s="52">
        <f t="shared" ca="1" si="35"/>
        <v>0</v>
      </c>
      <c r="BC24" s="52">
        <f t="shared" ca="1" si="35"/>
        <v>0</v>
      </c>
      <c r="BD24" s="52">
        <f t="shared" ca="1" si="35"/>
        <v>0</v>
      </c>
      <c r="BE24" s="52">
        <f t="shared" ca="1" si="35"/>
        <v>0</v>
      </c>
      <c r="BF24" s="52">
        <f t="shared" ca="1" si="35"/>
        <v>0</v>
      </c>
      <c r="BG24" s="52">
        <f t="shared" ca="1" si="35"/>
        <v>0</v>
      </c>
      <c r="BH24" s="52">
        <f t="shared" ca="1" si="35"/>
        <v>0</v>
      </c>
      <c r="BI24" s="52">
        <f t="shared" ca="1" si="35"/>
        <v>0</v>
      </c>
      <c r="BJ24" s="52">
        <f t="shared" ca="1" si="35"/>
        <v>0</v>
      </c>
      <c r="BK24" s="52">
        <f t="shared" ca="1" si="35"/>
        <v>0</v>
      </c>
      <c r="BL24" s="52">
        <f t="shared" ca="1" si="35"/>
        <v>0</v>
      </c>
      <c r="BM24" s="52">
        <f t="shared" ca="1" si="35"/>
        <v>0</v>
      </c>
      <c r="BN24" s="52">
        <f t="shared" ca="1" si="35"/>
        <v>0</v>
      </c>
      <c r="BO24" s="52">
        <f t="shared" ca="1" si="35"/>
        <v>0</v>
      </c>
      <c r="BP24" s="52">
        <f t="shared" ca="1" si="35"/>
        <v>0</v>
      </c>
      <c r="BQ24" s="52">
        <f t="shared" ca="1" si="35"/>
        <v>0</v>
      </c>
      <c r="BR24" s="52">
        <f t="shared" ca="1" si="35"/>
        <v>0</v>
      </c>
      <c r="BS24" s="52">
        <f t="shared" ca="1" si="35"/>
        <v>0</v>
      </c>
      <c r="BT24" s="52">
        <f t="shared" ca="1" si="35"/>
        <v>0</v>
      </c>
      <c r="BU24" s="52">
        <f t="shared" ca="1" si="35"/>
        <v>0</v>
      </c>
      <c r="BV24" s="52">
        <f t="shared" ca="1" si="35"/>
        <v>0</v>
      </c>
      <c r="BW24" s="52">
        <f t="shared" ca="1" si="35"/>
        <v>0</v>
      </c>
      <c r="BX24" s="52">
        <f t="shared" ref="BX24:CO24" ca="1" si="36">-MIN((Cash_EoP-Cash_BoP)*Flag_Construction,0)</f>
        <v>0</v>
      </c>
      <c r="BY24" s="52">
        <f t="shared" ca="1" si="36"/>
        <v>0</v>
      </c>
      <c r="BZ24" s="52">
        <f t="shared" ca="1" si="36"/>
        <v>0</v>
      </c>
      <c r="CA24" s="52">
        <f t="shared" ca="1" si="36"/>
        <v>0</v>
      </c>
      <c r="CB24" s="52">
        <f t="shared" ca="1" si="36"/>
        <v>0</v>
      </c>
      <c r="CC24" s="52">
        <f t="shared" ca="1" si="36"/>
        <v>0</v>
      </c>
      <c r="CD24" s="52">
        <f t="shared" ca="1" si="36"/>
        <v>0</v>
      </c>
      <c r="CE24" s="52">
        <f t="shared" ca="1" si="36"/>
        <v>0</v>
      </c>
      <c r="CF24" s="52">
        <f t="shared" ca="1" si="36"/>
        <v>0</v>
      </c>
      <c r="CG24" s="52">
        <f t="shared" ca="1" si="36"/>
        <v>0</v>
      </c>
      <c r="CH24" s="52">
        <f t="shared" ca="1" si="36"/>
        <v>0</v>
      </c>
      <c r="CI24" s="52">
        <f t="shared" ca="1" si="36"/>
        <v>0</v>
      </c>
      <c r="CJ24" s="52">
        <f t="shared" ca="1" si="36"/>
        <v>0</v>
      </c>
      <c r="CK24" s="52">
        <f t="shared" ca="1" si="36"/>
        <v>0</v>
      </c>
      <c r="CL24" s="52">
        <f t="shared" ca="1" si="36"/>
        <v>0</v>
      </c>
      <c r="CM24" s="52">
        <f t="shared" ca="1" si="36"/>
        <v>0</v>
      </c>
      <c r="CN24" s="52">
        <f t="shared" ca="1" si="36"/>
        <v>0</v>
      </c>
      <c r="CO24" s="52">
        <f t="shared" ca="1" si="36"/>
        <v>0</v>
      </c>
    </row>
    <row r="25" spans="1:93" customFormat="1" ht="14.5">
      <c r="A25" s="10"/>
      <c r="B25" s="10"/>
      <c r="C25" s="17"/>
      <c r="D25" s="10"/>
      <c r="E25" s="106"/>
      <c r="F25" s="10"/>
      <c r="G25" s="134"/>
      <c r="H25" s="10"/>
      <c r="I25" s="153"/>
      <c r="J25" s="10"/>
      <c r="K25" s="10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</row>
    <row r="26" spans="1:93" ht="14">
      <c r="A26" s="10"/>
      <c r="B26" s="10"/>
      <c r="C26" s="415" t="s">
        <v>1171</v>
      </c>
      <c r="D26" s="24"/>
      <c r="E26" s="24"/>
      <c r="F26" s="24"/>
      <c r="G26" s="459" t="s">
        <v>26</v>
      </c>
      <c r="H26" s="24"/>
      <c r="I26" s="415">
        <f ca="1">SUM(L26:CO26)</f>
        <v>6025459.4802386444</v>
      </c>
      <c r="J26" s="24"/>
      <c r="K26" s="24"/>
      <c r="L26" s="415">
        <f ca="1">SUM(L13,L17,L20)</f>
        <v>31406.153378999999</v>
      </c>
      <c r="M26" s="415">
        <f t="shared" ref="M26:BX26" ca="1" si="37">SUM(M13,M17,M20)</f>
        <v>31851.960190999998</v>
      </c>
      <c r="N26" s="415">
        <f t="shared" ca="1" si="37"/>
        <v>32304.095179</v>
      </c>
      <c r="O26" s="415">
        <f t="shared" ca="1" si="37"/>
        <v>32762.648173000001</v>
      </c>
      <c r="P26" s="415">
        <f t="shared" ca="1" si="37"/>
        <v>275591.46580800001</v>
      </c>
      <c r="Q26" s="415">
        <f t="shared" ca="1" si="37"/>
        <v>278306.98056200001</v>
      </c>
      <c r="R26" s="415">
        <f t="shared" ca="1" si="37"/>
        <v>281049.25238700002</v>
      </c>
      <c r="S26" s="415">
        <f t="shared" ca="1" si="37"/>
        <v>284557.5366729633</v>
      </c>
      <c r="T26" s="415">
        <f t="shared" ca="1" si="37"/>
        <v>293195.77878831496</v>
      </c>
      <c r="U26" s="415">
        <f t="shared" ca="1" si="37"/>
        <v>299864.0884175087</v>
      </c>
      <c r="V26" s="415">
        <f t="shared" ca="1" si="37"/>
        <v>306680.67182339798</v>
      </c>
      <c r="W26" s="415">
        <f t="shared" ca="1" si="37"/>
        <v>313448.73444921221</v>
      </c>
      <c r="X26" s="415">
        <f t="shared" ca="1" si="37"/>
        <v>646653.25814901176</v>
      </c>
      <c r="Y26" s="415">
        <f t="shared" ca="1" si="37"/>
        <v>660955.27495589422</v>
      </c>
      <c r="Z26" s="415">
        <f t="shared" ca="1" si="37"/>
        <v>675843.90368965035</v>
      </c>
      <c r="AA26" s="415">
        <f t="shared" ca="1" si="37"/>
        <v>690520.69372117543</v>
      </c>
      <c r="AB26" s="415">
        <f t="shared" ca="1" si="37"/>
        <v>890466.98389251553</v>
      </c>
      <c r="AC26" s="415">
        <f t="shared" ca="1" si="37"/>
        <v>0</v>
      </c>
      <c r="AD26" s="415">
        <f t="shared" ca="1" si="37"/>
        <v>0</v>
      </c>
      <c r="AE26" s="415">
        <f t="shared" ca="1" si="37"/>
        <v>0</v>
      </c>
      <c r="AF26" s="415">
        <f t="shared" ca="1" si="37"/>
        <v>0</v>
      </c>
      <c r="AG26" s="415">
        <f t="shared" ca="1" si="37"/>
        <v>0</v>
      </c>
      <c r="AH26" s="415">
        <f t="shared" ca="1" si="37"/>
        <v>0</v>
      </c>
      <c r="AI26" s="415">
        <f t="shared" ca="1" si="37"/>
        <v>0</v>
      </c>
      <c r="AJ26" s="415">
        <f t="shared" ca="1" si="37"/>
        <v>0</v>
      </c>
      <c r="AK26" s="415">
        <f t="shared" ca="1" si="37"/>
        <v>0</v>
      </c>
      <c r="AL26" s="415">
        <f t="shared" ca="1" si="37"/>
        <v>0</v>
      </c>
      <c r="AM26" s="415">
        <f t="shared" ca="1" si="37"/>
        <v>0</v>
      </c>
      <c r="AN26" s="415">
        <f t="shared" ca="1" si="37"/>
        <v>0</v>
      </c>
      <c r="AO26" s="415">
        <f t="shared" ca="1" si="37"/>
        <v>0</v>
      </c>
      <c r="AP26" s="415">
        <f t="shared" ca="1" si="37"/>
        <v>0</v>
      </c>
      <c r="AQ26" s="415">
        <f t="shared" ca="1" si="37"/>
        <v>0</v>
      </c>
      <c r="AR26" s="415">
        <f t="shared" ca="1" si="37"/>
        <v>0</v>
      </c>
      <c r="AS26" s="415">
        <f t="shared" ca="1" si="37"/>
        <v>0</v>
      </c>
      <c r="AT26" s="415">
        <f t="shared" ca="1" si="37"/>
        <v>0</v>
      </c>
      <c r="AU26" s="415">
        <f t="shared" ca="1" si="37"/>
        <v>0</v>
      </c>
      <c r="AV26" s="415">
        <f t="shared" ca="1" si="37"/>
        <v>0</v>
      </c>
      <c r="AW26" s="415">
        <f t="shared" ca="1" si="37"/>
        <v>0</v>
      </c>
      <c r="AX26" s="415">
        <f t="shared" ca="1" si="37"/>
        <v>0</v>
      </c>
      <c r="AY26" s="415">
        <f t="shared" ca="1" si="37"/>
        <v>0</v>
      </c>
      <c r="AZ26" s="415">
        <f t="shared" ca="1" si="37"/>
        <v>0</v>
      </c>
      <c r="BA26" s="415">
        <f t="shared" ca="1" si="37"/>
        <v>0</v>
      </c>
      <c r="BB26" s="415">
        <f t="shared" ca="1" si="37"/>
        <v>0</v>
      </c>
      <c r="BC26" s="415">
        <f t="shared" ca="1" si="37"/>
        <v>0</v>
      </c>
      <c r="BD26" s="415">
        <f t="shared" ca="1" si="37"/>
        <v>0</v>
      </c>
      <c r="BE26" s="415">
        <f t="shared" ca="1" si="37"/>
        <v>0</v>
      </c>
      <c r="BF26" s="415">
        <f t="shared" ca="1" si="37"/>
        <v>0</v>
      </c>
      <c r="BG26" s="415">
        <f t="shared" ca="1" si="37"/>
        <v>0</v>
      </c>
      <c r="BH26" s="415">
        <f t="shared" ca="1" si="37"/>
        <v>0</v>
      </c>
      <c r="BI26" s="415">
        <f t="shared" ca="1" si="37"/>
        <v>0</v>
      </c>
      <c r="BJ26" s="415">
        <f t="shared" ca="1" si="37"/>
        <v>0</v>
      </c>
      <c r="BK26" s="415">
        <f t="shared" ca="1" si="37"/>
        <v>0</v>
      </c>
      <c r="BL26" s="415">
        <f t="shared" ca="1" si="37"/>
        <v>0</v>
      </c>
      <c r="BM26" s="415">
        <f t="shared" ca="1" si="37"/>
        <v>0</v>
      </c>
      <c r="BN26" s="415">
        <f t="shared" ca="1" si="37"/>
        <v>0</v>
      </c>
      <c r="BO26" s="415">
        <f t="shared" ca="1" si="37"/>
        <v>0</v>
      </c>
      <c r="BP26" s="415">
        <f t="shared" ca="1" si="37"/>
        <v>0</v>
      </c>
      <c r="BQ26" s="415">
        <f t="shared" ca="1" si="37"/>
        <v>0</v>
      </c>
      <c r="BR26" s="415">
        <f t="shared" ca="1" si="37"/>
        <v>0</v>
      </c>
      <c r="BS26" s="415">
        <f t="shared" ca="1" si="37"/>
        <v>0</v>
      </c>
      <c r="BT26" s="415">
        <f t="shared" ca="1" si="37"/>
        <v>0</v>
      </c>
      <c r="BU26" s="415">
        <f t="shared" ca="1" si="37"/>
        <v>0</v>
      </c>
      <c r="BV26" s="415">
        <f t="shared" ca="1" si="37"/>
        <v>0</v>
      </c>
      <c r="BW26" s="415">
        <f t="shared" ca="1" si="37"/>
        <v>0</v>
      </c>
      <c r="BX26" s="415">
        <f t="shared" ca="1" si="37"/>
        <v>0</v>
      </c>
      <c r="BY26" s="415">
        <f t="shared" ref="BY26:CO26" ca="1" si="38">SUM(BY13,BY17,BY20)</f>
        <v>0</v>
      </c>
      <c r="BZ26" s="415">
        <f t="shared" ca="1" si="38"/>
        <v>0</v>
      </c>
      <c r="CA26" s="415">
        <f t="shared" ca="1" si="38"/>
        <v>0</v>
      </c>
      <c r="CB26" s="415">
        <f t="shared" ca="1" si="38"/>
        <v>0</v>
      </c>
      <c r="CC26" s="415">
        <f t="shared" ca="1" si="38"/>
        <v>0</v>
      </c>
      <c r="CD26" s="415">
        <f t="shared" ca="1" si="38"/>
        <v>0</v>
      </c>
      <c r="CE26" s="415">
        <f t="shared" ca="1" si="38"/>
        <v>0</v>
      </c>
      <c r="CF26" s="415">
        <f t="shared" ca="1" si="38"/>
        <v>0</v>
      </c>
      <c r="CG26" s="415">
        <f t="shared" ca="1" si="38"/>
        <v>0</v>
      </c>
      <c r="CH26" s="415">
        <f t="shared" ca="1" si="38"/>
        <v>0</v>
      </c>
      <c r="CI26" s="415">
        <f t="shared" ca="1" si="38"/>
        <v>0</v>
      </c>
      <c r="CJ26" s="415">
        <f t="shared" ca="1" si="38"/>
        <v>0</v>
      </c>
      <c r="CK26" s="415">
        <f t="shared" ca="1" si="38"/>
        <v>0</v>
      </c>
      <c r="CL26" s="415">
        <f t="shared" ca="1" si="38"/>
        <v>0</v>
      </c>
      <c r="CM26" s="415">
        <f t="shared" ca="1" si="38"/>
        <v>0</v>
      </c>
      <c r="CN26" s="415">
        <f t="shared" ca="1" si="38"/>
        <v>0</v>
      </c>
      <c r="CO26" s="415">
        <f t="shared" ca="1" si="38"/>
        <v>0</v>
      </c>
    </row>
    <row r="27" spans="1:93" s="52" customFormat="1" ht="15" customHeight="1">
      <c r="A27" s="153"/>
      <c r="B27" s="153"/>
      <c r="C27" s="153" t="s">
        <v>1166</v>
      </c>
      <c r="D27" s="153"/>
      <c r="E27" s="153"/>
      <c r="F27" s="153"/>
      <c r="G27" s="179" t="s">
        <v>28</v>
      </c>
      <c r="H27" s="153"/>
      <c r="I27" s="421">
        <f>1-I28</f>
        <v>1</v>
      </c>
      <c r="J27" s="153"/>
      <c r="K27" s="153"/>
      <c r="L27" s="422">
        <f t="shared" ref="L27:AQ27" si="39">IF(Flag_Construction,1-L28,-1)</f>
        <v>1</v>
      </c>
      <c r="M27" s="422">
        <f t="shared" si="39"/>
        <v>1</v>
      </c>
      <c r="N27" s="422">
        <f t="shared" si="39"/>
        <v>1</v>
      </c>
      <c r="O27" s="422">
        <f t="shared" si="39"/>
        <v>1</v>
      </c>
      <c r="P27" s="422">
        <f t="shared" si="39"/>
        <v>1</v>
      </c>
      <c r="Q27" s="422">
        <f t="shared" si="39"/>
        <v>1</v>
      </c>
      <c r="R27" s="422">
        <f t="shared" si="39"/>
        <v>1</v>
      </c>
      <c r="S27" s="422">
        <f t="shared" si="39"/>
        <v>1</v>
      </c>
      <c r="T27" s="422">
        <f t="shared" si="39"/>
        <v>1</v>
      </c>
      <c r="U27" s="422">
        <f t="shared" si="39"/>
        <v>1</v>
      </c>
      <c r="V27" s="422">
        <f t="shared" si="39"/>
        <v>1</v>
      </c>
      <c r="W27" s="422">
        <f t="shared" si="39"/>
        <v>1</v>
      </c>
      <c r="X27" s="422">
        <f t="shared" si="39"/>
        <v>1</v>
      </c>
      <c r="Y27" s="422">
        <f t="shared" si="39"/>
        <v>1</v>
      </c>
      <c r="Z27" s="422">
        <f t="shared" si="39"/>
        <v>1</v>
      </c>
      <c r="AA27" s="422">
        <f t="shared" si="39"/>
        <v>1</v>
      </c>
      <c r="AB27" s="422">
        <f t="shared" si="39"/>
        <v>1</v>
      </c>
      <c r="AC27" s="422">
        <f t="shared" si="39"/>
        <v>-1</v>
      </c>
      <c r="AD27" s="422">
        <f t="shared" si="39"/>
        <v>-1</v>
      </c>
      <c r="AE27" s="422">
        <f t="shared" si="39"/>
        <v>-1</v>
      </c>
      <c r="AF27" s="422">
        <f t="shared" si="39"/>
        <v>-1</v>
      </c>
      <c r="AG27" s="422">
        <f t="shared" si="39"/>
        <v>-1</v>
      </c>
      <c r="AH27" s="422">
        <f t="shared" si="39"/>
        <v>-1</v>
      </c>
      <c r="AI27" s="422">
        <f t="shared" si="39"/>
        <v>-1</v>
      </c>
      <c r="AJ27" s="422">
        <f t="shared" si="39"/>
        <v>-1</v>
      </c>
      <c r="AK27" s="422">
        <f t="shared" si="39"/>
        <v>-1</v>
      </c>
      <c r="AL27" s="422">
        <f t="shared" si="39"/>
        <v>-1</v>
      </c>
      <c r="AM27" s="422">
        <f t="shared" si="39"/>
        <v>-1</v>
      </c>
      <c r="AN27" s="422">
        <f t="shared" si="39"/>
        <v>-1</v>
      </c>
      <c r="AO27" s="422">
        <f t="shared" si="39"/>
        <v>-1</v>
      </c>
      <c r="AP27" s="422">
        <f t="shared" si="39"/>
        <v>-1</v>
      </c>
      <c r="AQ27" s="422">
        <f t="shared" si="39"/>
        <v>-1</v>
      </c>
      <c r="AR27" s="422">
        <f t="shared" ref="AR27:BW27" si="40">IF(Flag_Construction,1-AR28,-1)</f>
        <v>-1</v>
      </c>
      <c r="AS27" s="422">
        <f t="shared" si="40"/>
        <v>-1</v>
      </c>
      <c r="AT27" s="422">
        <f t="shared" si="40"/>
        <v>-1</v>
      </c>
      <c r="AU27" s="422">
        <f t="shared" si="40"/>
        <v>-1</v>
      </c>
      <c r="AV27" s="422">
        <f t="shared" si="40"/>
        <v>-1</v>
      </c>
      <c r="AW27" s="422">
        <f t="shared" si="40"/>
        <v>-1</v>
      </c>
      <c r="AX27" s="422">
        <f t="shared" si="40"/>
        <v>-1</v>
      </c>
      <c r="AY27" s="422">
        <f t="shared" si="40"/>
        <v>-1</v>
      </c>
      <c r="AZ27" s="422">
        <f t="shared" si="40"/>
        <v>-1</v>
      </c>
      <c r="BA27" s="422">
        <f t="shared" si="40"/>
        <v>-1</v>
      </c>
      <c r="BB27" s="422">
        <f t="shared" si="40"/>
        <v>-1</v>
      </c>
      <c r="BC27" s="422">
        <f t="shared" si="40"/>
        <v>-1</v>
      </c>
      <c r="BD27" s="422">
        <f t="shared" si="40"/>
        <v>-1</v>
      </c>
      <c r="BE27" s="422">
        <f t="shared" si="40"/>
        <v>-1</v>
      </c>
      <c r="BF27" s="422">
        <f t="shared" si="40"/>
        <v>-1</v>
      </c>
      <c r="BG27" s="422">
        <f t="shared" si="40"/>
        <v>-1</v>
      </c>
      <c r="BH27" s="422">
        <f t="shared" si="40"/>
        <v>-1</v>
      </c>
      <c r="BI27" s="422">
        <f t="shared" si="40"/>
        <v>-1</v>
      </c>
      <c r="BJ27" s="422">
        <f t="shared" si="40"/>
        <v>-1</v>
      </c>
      <c r="BK27" s="422">
        <f t="shared" si="40"/>
        <v>-1</v>
      </c>
      <c r="BL27" s="422">
        <f t="shared" si="40"/>
        <v>-1</v>
      </c>
      <c r="BM27" s="422">
        <f t="shared" si="40"/>
        <v>-1</v>
      </c>
      <c r="BN27" s="422">
        <f t="shared" si="40"/>
        <v>-1</v>
      </c>
      <c r="BO27" s="422">
        <f t="shared" si="40"/>
        <v>-1</v>
      </c>
      <c r="BP27" s="422">
        <f t="shared" si="40"/>
        <v>-1</v>
      </c>
      <c r="BQ27" s="422">
        <f t="shared" si="40"/>
        <v>-1</v>
      </c>
      <c r="BR27" s="422">
        <f t="shared" si="40"/>
        <v>-1</v>
      </c>
      <c r="BS27" s="422">
        <f t="shared" si="40"/>
        <v>-1</v>
      </c>
      <c r="BT27" s="422">
        <f t="shared" si="40"/>
        <v>-1</v>
      </c>
      <c r="BU27" s="422">
        <f t="shared" si="40"/>
        <v>-1</v>
      </c>
      <c r="BV27" s="422">
        <f t="shared" si="40"/>
        <v>-1</v>
      </c>
      <c r="BW27" s="422">
        <f t="shared" si="40"/>
        <v>-1</v>
      </c>
      <c r="BX27" s="422">
        <f t="shared" ref="BX27:CO27" si="41">IF(Flag_Construction,1-BX28,-1)</f>
        <v>-1</v>
      </c>
      <c r="BY27" s="422">
        <f t="shared" si="41"/>
        <v>-1</v>
      </c>
      <c r="BZ27" s="422">
        <f t="shared" si="41"/>
        <v>-1</v>
      </c>
      <c r="CA27" s="422">
        <f t="shared" si="41"/>
        <v>-1</v>
      </c>
      <c r="CB27" s="422">
        <f t="shared" si="41"/>
        <v>-1</v>
      </c>
      <c r="CC27" s="422">
        <f t="shared" si="41"/>
        <v>-1</v>
      </c>
      <c r="CD27" s="422">
        <f t="shared" si="41"/>
        <v>-1</v>
      </c>
      <c r="CE27" s="422">
        <f t="shared" si="41"/>
        <v>-1</v>
      </c>
      <c r="CF27" s="422">
        <f t="shared" si="41"/>
        <v>-1</v>
      </c>
      <c r="CG27" s="422">
        <f t="shared" si="41"/>
        <v>-1</v>
      </c>
      <c r="CH27" s="422">
        <f t="shared" si="41"/>
        <v>-1</v>
      </c>
      <c r="CI27" s="422">
        <f t="shared" si="41"/>
        <v>-1</v>
      </c>
      <c r="CJ27" s="422">
        <f t="shared" si="41"/>
        <v>-1</v>
      </c>
      <c r="CK27" s="422">
        <f t="shared" si="41"/>
        <v>-1</v>
      </c>
      <c r="CL27" s="422">
        <f t="shared" si="41"/>
        <v>-1</v>
      </c>
      <c r="CM27" s="422">
        <f t="shared" si="41"/>
        <v>-1</v>
      </c>
      <c r="CN27" s="422">
        <f t="shared" si="41"/>
        <v>-1</v>
      </c>
      <c r="CO27" s="422">
        <f t="shared" si="41"/>
        <v>-1</v>
      </c>
    </row>
    <row r="28" spans="1:93" s="52" customFormat="1" ht="15" customHeight="1">
      <c r="A28" s="153"/>
      <c r="B28" s="153"/>
      <c r="C28" s="153"/>
      <c r="D28" s="153"/>
      <c r="E28" s="153"/>
      <c r="F28" s="153"/>
      <c r="G28" s="179" t="s">
        <v>28</v>
      </c>
      <c r="H28" s="153"/>
      <c r="I28" s="231">
        <f>IFERROR(I16/I13,0)</f>
        <v>0</v>
      </c>
      <c r="J28" s="153"/>
      <c r="K28" s="153"/>
      <c r="L28" s="422">
        <f>IF(Flag_Construction,IFERROR(SUM($L16:L16)/SUM($L13:L13),0),-1)</f>
        <v>0</v>
      </c>
      <c r="M28" s="422">
        <f>IF(Flag_Construction,IFERROR(SUM($L16:M16)/SUM($L13:M13),0),-1)</f>
        <v>0</v>
      </c>
      <c r="N28" s="422">
        <f>IF(Flag_Construction,IFERROR(SUM($L16:N16)/SUM($L13:N13),0),-1)</f>
        <v>0</v>
      </c>
      <c r="O28" s="422">
        <f>IF(Flag_Construction,IFERROR(SUM($L16:O16)/SUM($L13:O13),0),-1)</f>
        <v>0</v>
      </c>
      <c r="P28" s="422">
        <f>IF(Flag_Construction,IFERROR(SUM($L16:P16)/SUM($L13:P13),0),-1)</f>
        <v>0</v>
      </c>
      <c r="Q28" s="422">
        <f>IF(Flag_Construction,IFERROR(SUM($L16:Q16)/SUM($L13:Q13),0),-1)</f>
        <v>0</v>
      </c>
      <c r="R28" s="422">
        <f>IF(Flag_Construction,IFERROR(SUM($L16:R16)/SUM($L13:R13),0),-1)</f>
        <v>0</v>
      </c>
      <c r="S28" s="422">
        <f>IF(Flag_Construction,IFERROR(SUM($L16:S16)/SUM($L13:S13),0),-1)</f>
        <v>0</v>
      </c>
      <c r="T28" s="422">
        <f>IF(Flag_Construction,IFERROR(SUM($L16:T16)/SUM($L13:T13),0),-1)</f>
        <v>0</v>
      </c>
      <c r="U28" s="422">
        <f>IF(Flag_Construction,IFERROR(SUM($L16:U16)/SUM($L13:U13),0),-1)</f>
        <v>0</v>
      </c>
      <c r="V28" s="422">
        <f>IF(Flag_Construction,IFERROR(SUM($L16:V16)/SUM($L13:V13),0),-1)</f>
        <v>0</v>
      </c>
      <c r="W28" s="422">
        <f>IF(Flag_Construction,IFERROR(SUM($L16:W16)/SUM($L13:W13),0),-1)</f>
        <v>0</v>
      </c>
      <c r="X28" s="422">
        <f>IF(Flag_Construction,IFERROR(SUM($L16:X16)/SUM($L13:X13),0),-1)</f>
        <v>0</v>
      </c>
      <c r="Y28" s="422">
        <f>IF(Flag_Construction,IFERROR(SUM($L16:Y16)/SUM($L13:Y13),0),-1)</f>
        <v>0</v>
      </c>
      <c r="Z28" s="422">
        <f>IF(Flag_Construction,IFERROR(SUM($L16:Z16)/SUM($L13:Z13),0),-1)</f>
        <v>0</v>
      </c>
      <c r="AA28" s="422">
        <f>IF(Flag_Construction,IFERROR(SUM($L16:AA16)/SUM($L13:AA13),0),-1)</f>
        <v>0</v>
      </c>
      <c r="AB28" s="422">
        <f>IF(Flag_Construction,IFERROR(SUM($L16:AB16)/SUM($L13:AB13),0),-1)</f>
        <v>0</v>
      </c>
      <c r="AC28" s="422">
        <f>IF(Flag_Construction,IFERROR(SUM($L16:AC16)/SUM($L13:AC13),0),-1)</f>
        <v>-1</v>
      </c>
      <c r="AD28" s="422">
        <f>IF(Flag_Construction,IFERROR(SUM($L16:AD16)/SUM($L13:AD13),0),-1)</f>
        <v>-1</v>
      </c>
      <c r="AE28" s="422">
        <f>IF(Flag_Construction,IFERROR(SUM($L16:AE16)/SUM($L13:AE13),0),-1)</f>
        <v>-1</v>
      </c>
      <c r="AF28" s="422">
        <f>IF(Flag_Construction,IFERROR(SUM($L16:AF16)/SUM($L13:AF13),0),-1)</f>
        <v>-1</v>
      </c>
      <c r="AG28" s="422">
        <f>IF(Flag_Construction,IFERROR(SUM($L16:AG16)/SUM($L13:AG13),0),-1)</f>
        <v>-1</v>
      </c>
      <c r="AH28" s="422">
        <f>IF(Flag_Construction,IFERROR(SUM($L16:AH16)/SUM($L13:AH13),0),-1)</f>
        <v>-1</v>
      </c>
      <c r="AI28" s="422">
        <f>IF(Flag_Construction,IFERROR(SUM($L16:AI16)/SUM($L13:AI13),0),-1)</f>
        <v>-1</v>
      </c>
      <c r="AJ28" s="422">
        <f>IF(Flag_Construction,IFERROR(SUM($L16:AJ16)/SUM($L13:AJ13),0),-1)</f>
        <v>-1</v>
      </c>
      <c r="AK28" s="422">
        <f>IF(Flag_Construction,IFERROR(SUM($L16:AK16)/SUM($L13:AK13),0),-1)</f>
        <v>-1</v>
      </c>
      <c r="AL28" s="422">
        <f>IF(Flag_Construction,IFERROR(SUM($L16:AL16)/SUM($L13:AL13),0),-1)</f>
        <v>-1</v>
      </c>
      <c r="AM28" s="422">
        <f>IF(Flag_Construction,IFERROR(SUM($L16:AM16)/SUM($L13:AM13),0),-1)</f>
        <v>-1</v>
      </c>
      <c r="AN28" s="422">
        <f>IF(Flag_Construction,IFERROR(SUM($L16:AN16)/SUM($L13:AN13),0),-1)</f>
        <v>-1</v>
      </c>
      <c r="AO28" s="422">
        <f>IF(Flag_Construction,IFERROR(SUM($L16:AO16)/SUM($L13:AO13),0),-1)</f>
        <v>-1</v>
      </c>
      <c r="AP28" s="422">
        <f>IF(Flag_Construction,IFERROR(SUM($L16:AP16)/SUM($L13:AP13),0),-1)</f>
        <v>-1</v>
      </c>
      <c r="AQ28" s="422">
        <f>IF(Flag_Construction,IFERROR(SUM($L16:AQ16)/SUM($L13:AQ13),0),-1)</f>
        <v>-1</v>
      </c>
      <c r="AR28" s="422">
        <f>IF(Flag_Construction,IFERROR(SUM($L16:AR16)/SUM($L13:AR13),0),-1)</f>
        <v>-1</v>
      </c>
      <c r="AS28" s="422">
        <f>IF(Flag_Construction,IFERROR(SUM($L16:AS16)/SUM($L13:AS13),0),-1)</f>
        <v>-1</v>
      </c>
      <c r="AT28" s="422">
        <f>IF(Flag_Construction,IFERROR(SUM($L16:AT16)/SUM($L13:AT13),0),-1)</f>
        <v>-1</v>
      </c>
      <c r="AU28" s="422">
        <f>IF(Flag_Construction,IFERROR(SUM($L16:AU16)/SUM($L13:AU13),0),-1)</f>
        <v>-1</v>
      </c>
      <c r="AV28" s="422">
        <f>IF(Flag_Construction,IFERROR(SUM($L16:AV16)/SUM($L13:AV13),0),-1)</f>
        <v>-1</v>
      </c>
      <c r="AW28" s="422">
        <f>IF(Flag_Construction,IFERROR(SUM($L16:AW16)/SUM($L13:AW13),0),-1)</f>
        <v>-1</v>
      </c>
      <c r="AX28" s="422">
        <f>IF(Flag_Construction,IFERROR(SUM($L16:AX16)/SUM($L13:AX13),0),-1)</f>
        <v>-1</v>
      </c>
      <c r="AY28" s="422">
        <f>IF(Flag_Construction,IFERROR(SUM($L16:AY16)/SUM($L13:AY13),0),-1)</f>
        <v>-1</v>
      </c>
      <c r="AZ28" s="422">
        <f>IF(Flag_Construction,IFERROR(SUM($L16:AZ16)/SUM($L13:AZ13),0),-1)</f>
        <v>-1</v>
      </c>
      <c r="BA28" s="422">
        <f>IF(Flag_Construction,IFERROR(SUM($L16:BA16)/SUM($L13:BA13),0),-1)</f>
        <v>-1</v>
      </c>
      <c r="BB28" s="422">
        <f>IF(Flag_Construction,IFERROR(SUM($L16:BB16)/SUM($L13:BB13),0),-1)</f>
        <v>-1</v>
      </c>
      <c r="BC28" s="422">
        <f>IF(Flag_Construction,IFERROR(SUM($L16:BC16)/SUM($L13:BC13),0),-1)</f>
        <v>-1</v>
      </c>
      <c r="BD28" s="422">
        <f>IF(Flag_Construction,IFERROR(SUM($L16:BD16)/SUM($L13:BD13),0),-1)</f>
        <v>-1</v>
      </c>
      <c r="BE28" s="422">
        <f>IF(Flag_Construction,IFERROR(SUM($L16:BE16)/SUM($L13:BE13),0),-1)</f>
        <v>-1</v>
      </c>
      <c r="BF28" s="422">
        <f>IF(Flag_Construction,IFERROR(SUM($L16:BF16)/SUM($L13:BF13),0),-1)</f>
        <v>-1</v>
      </c>
      <c r="BG28" s="422">
        <f>IF(Flag_Construction,IFERROR(SUM($L16:BG16)/SUM($L13:BG13),0),-1)</f>
        <v>-1</v>
      </c>
      <c r="BH28" s="422">
        <f>IF(Flag_Construction,IFERROR(SUM($L16:BH16)/SUM($L13:BH13),0),-1)</f>
        <v>-1</v>
      </c>
      <c r="BI28" s="422">
        <f>IF(Flag_Construction,IFERROR(SUM($L16:BI16)/SUM($L13:BI13),0),-1)</f>
        <v>-1</v>
      </c>
      <c r="BJ28" s="422">
        <f>IF(Flag_Construction,IFERROR(SUM($L16:BJ16)/SUM($L13:BJ13),0),-1)</f>
        <v>-1</v>
      </c>
      <c r="BK28" s="422">
        <f>IF(Flag_Construction,IFERROR(SUM($L16:BK16)/SUM($L13:BK13),0),-1)</f>
        <v>-1</v>
      </c>
      <c r="BL28" s="422">
        <f>IF(Flag_Construction,IFERROR(SUM($L16:BL16)/SUM($L13:BL13),0),-1)</f>
        <v>-1</v>
      </c>
      <c r="BM28" s="422">
        <f>IF(Flag_Construction,IFERROR(SUM($L16:BM16)/SUM($L13:BM13),0),-1)</f>
        <v>-1</v>
      </c>
      <c r="BN28" s="422">
        <f>IF(Flag_Construction,IFERROR(SUM($L16:BN16)/SUM($L13:BN13),0),-1)</f>
        <v>-1</v>
      </c>
      <c r="BO28" s="422">
        <f>IF(Flag_Construction,IFERROR(SUM($L16:BO16)/SUM($L13:BO13),0),-1)</f>
        <v>-1</v>
      </c>
      <c r="BP28" s="422">
        <f>IF(Flag_Construction,IFERROR(SUM($L16:BP16)/SUM($L13:BP13),0),-1)</f>
        <v>-1</v>
      </c>
      <c r="BQ28" s="422">
        <f>IF(Flag_Construction,IFERROR(SUM($L16:BQ16)/SUM($L13:BQ13),0),-1)</f>
        <v>-1</v>
      </c>
      <c r="BR28" s="422">
        <f>IF(Flag_Construction,IFERROR(SUM($L16:BR16)/SUM($L13:BR13),0),-1)</f>
        <v>-1</v>
      </c>
      <c r="BS28" s="422">
        <f>IF(Flag_Construction,IFERROR(SUM($L16:BS16)/SUM($L13:BS13),0),-1)</f>
        <v>-1</v>
      </c>
      <c r="BT28" s="422">
        <f>IF(Flag_Construction,IFERROR(SUM($L16:BT16)/SUM($L13:BT13),0),-1)</f>
        <v>-1</v>
      </c>
      <c r="BU28" s="422">
        <f>IF(Flag_Construction,IFERROR(SUM($L16:BU16)/SUM($L13:BU13),0),-1)</f>
        <v>-1</v>
      </c>
      <c r="BV28" s="422">
        <f>IF(Flag_Construction,IFERROR(SUM($L16:BV16)/SUM($L13:BV13),0),-1)</f>
        <v>-1</v>
      </c>
      <c r="BW28" s="422">
        <f>IF(Flag_Construction,IFERROR(SUM($L16:BW16)/SUM($L13:BW13),0),-1)</f>
        <v>-1</v>
      </c>
      <c r="BX28" s="422">
        <f>IF(Flag_Construction,IFERROR(SUM($L16:BX16)/SUM($L13:BX13),0),-1)</f>
        <v>-1</v>
      </c>
      <c r="BY28" s="422">
        <f>IF(Flag_Construction,IFERROR(SUM($L16:BY16)/SUM($L13:BY13),0),-1)</f>
        <v>-1</v>
      </c>
      <c r="BZ28" s="422">
        <f>IF(Flag_Construction,IFERROR(SUM($L16:BZ16)/SUM($L13:BZ13),0),-1)</f>
        <v>-1</v>
      </c>
      <c r="CA28" s="422">
        <f>IF(Flag_Construction,IFERROR(SUM($L16:CA16)/SUM($L13:CA13),0),-1)</f>
        <v>-1</v>
      </c>
      <c r="CB28" s="422">
        <f>IF(Flag_Construction,IFERROR(SUM($L16:CB16)/SUM($L13:CB13),0),-1)</f>
        <v>-1</v>
      </c>
      <c r="CC28" s="422">
        <f>IF(Flag_Construction,IFERROR(SUM($L16:CC16)/SUM($L13:CC13),0),-1)</f>
        <v>-1</v>
      </c>
      <c r="CD28" s="422">
        <f>IF(Flag_Construction,IFERROR(SUM($L16:CD16)/SUM($L13:CD13),0),-1)</f>
        <v>-1</v>
      </c>
      <c r="CE28" s="422">
        <f>IF(Flag_Construction,IFERROR(SUM($L16:CE16)/SUM($L13:CE13),0),-1)</f>
        <v>-1</v>
      </c>
      <c r="CF28" s="422">
        <f>IF(Flag_Construction,IFERROR(SUM($L16:CF16)/SUM($L13:CF13),0),-1)</f>
        <v>-1</v>
      </c>
      <c r="CG28" s="422">
        <f>IF(Flag_Construction,IFERROR(SUM($L16:CG16)/SUM($L13:CG13),0),-1)</f>
        <v>-1</v>
      </c>
      <c r="CH28" s="422">
        <f>IF(Flag_Construction,IFERROR(SUM($L16:CH16)/SUM($L13:CH13),0),-1)</f>
        <v>-1</v>
      </c>
      <c r="CI28" s="422">
        <f>IF(Flag_Construction,IFERROR(SUM($L16:CI16)/SUM($L13:CI13),0),-1)</f>
        <v>-1</v>
      </c>
      <c r="CJ28" s="422">
        <f>IF(Flag_Construction,IFERROR(SUM($L16:CJ16)/SUM($L13:CJ13),0),-1)</f>
        <v>-1</v>
      </c>
      <c r="CK28" s="422">
        <f>IF(Flag_Construction,IFERROR(SUM($L16:CK16)/SUM($L13:CK13),0),-1)</f>
        <v>-1</v>
      </c>
      <c r="CL28" s="422">
        <f>IF(Flag_Construction,IFERROR(SUM($L16:CL16)/SUM($L13:CL13),0),-1)</f>
        <v>-1</v>
      </c>
      <c r="CM28" s="422">
        <f>IF(Flag_Construction,IFERROR(SUM($L16:CM16)/SUM($L13:CM13),0),-1)</f>
        <v>-1</v>
      </c>
      <c r="CN28" s="422">
        <f>IF(Flag_Construction,IFERROR(SUM($L16:CN16)/SUM($L13:CN13),0),-1)</f>
        <v>-1</v>
      </c>
      <c r="CO28" s="422">
        <f>IF(Flag_Construction,IFERROR(SUM($L16:CO16)/SUM($L13:CO13),0),-1)</f>
        <v>-1</v>
      </c>
    </row>
    <row r="29" spans="1:93" ht="15" customHeight="1">
      <c r="A29" s="47"/>
      <c r="B29" s="47"/>
      <c r="C29" s="47"/>
      <c r="D29" s="47"/>
      <c r="E29" s="47"/>
      <c r="F29" s="47"/>
      <c r="G29" s="321"/>
      <c r="H29" s="47"/>
      <c r="I29" s="47"/>
      <c r="J29" s="47"/>
      <c r="K29" s="47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customFormat="1" ht="22.5" customHeight="1">
      <c r="A30" s="3"/>
      <c r="B30" s="5"/>
      <c r="C30" s="5" t="s">
        <v>1155</v>
      </c>
      <c r="D30" s="5"/>
      <c r="E30" s="5"/>
      <c r="F30" s="5"/>
      <c r="G30" s="5"/>
      <c r="H30" s="5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</row>
    <row r="31" spans="1:93" s="141" customFormat="1" ht="15" customHeight="1">
      <c r="A31" s="153"/>
      <c r="B31" s="153"/>
      <c r="C31" s="153"/>
      <c r="D31" s="153"/>
      <c r="E31" s="153"/>
      <c r="F31" s="153"/>
      <c r="G31" s="179"/>
      <c r="H31" s="153"/>
      <c r="I31" s="153"/>
      <c r="J31" s="153"/>
      <c r="K31" s="153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</row>
    <row r="32" spans="1:93" ht="14">
      <c r="A32" s="10"/>
      <c r="B32" s="130"/>
      <c r="C32" s="417" t="s">
        <v>161</v>
      </c>
      <c r="D32" s="130"/>
      <c r="E32" s="47"/>
      <c r="F32" s="130"/>
      <c r="G32" s="131" t="str">
        <f t="shared" ref="G32:G44" si="42">Monetary_Unit</f>
        <v>тыс. руб.</v>
      </c>
      <c r="H32" s="130"/>
      <c r="I32" s="176">
        <f t="shared" ref="I32:I37" ca="1" si="43">SUM(L32:CO32)</f>
        <v>4808399.504779838</v>
      </c>
      <c r="J32" s="10"/>
      <c r="K32" s="10"/>
      <c r="L32" s="132">
        <f ca="1">SUM(L33:L34)</f>
        <v>26171.794482739097</v>
      </c>
      <c r="M32" s="132">
        <f t="shared" ref="M32:BX32" ca="1" si="44">SUM(M33:M34)</f>
        <v>26543.300158756276</v>
      </c>
      <c r="N32" s="132">
        <f t="shared" ca="1" si="44"/>
        <v>26920.079316016938</v>
      </c>
      <c r="O32" s="132">
        <f t="shared" ca="1" si="44"/>
        <v>27302.20681099359</v>
      </c>
      <c r="P32" s="132">
        <f t="shared" ca="1" si="44"/>
        <v>229659.55483999598</v>
      </c>
      <c r="Q32" s="132">
        <f t="shared" ca="1" si="44"/>
        <v>231922.48380168967</v>
      </c>
      <c r="R32" s="132">
        <f t="shared" ca="1" si="44"/>
        <v>234207.71032243437</v>
      </c>
      <c r="S32" s="132">
        <f t="shared" ca="1" si="44"/>
        <v>236515.4541091444</v>
      </c>
      <c r="T32" s="132">
        <f t="shared" ca="1" si="44"/>
        <v>238845.93703359578</v>
      </c>
      <c r="U32" s="132">
        <f t="shared" ca="1" si="44"/>
        <v>241199.38315375723</v>
      </c>
      <c r="V32" s="132">
        <f t="shared" ca="1" si="44"/>
        <v>243576.01873533166</v>
      </c>
      <c r="W32" s="132">
        <f t="shared" ca="1" si="44"/>
        <v>245976.07227351013</v>
      </c>
      <c r="X32" s="132">
        <f t="shared" ca="1" si="44"/>
        <v>518760.33442500973</v>
      </c>
      <c r="Y32" s="132">
        <f t="shared" ca="1" si="44"/>
        <v>523871.89090157853</v>
      </c>
      <c r="Z32" s="132">
        <f t="shared" ca="1" si="44"/>
        <v>529033.81362220866</v>
      </c>
      <c r="AA32" s="132">
        <f t="shared" ca="1" si="44"/>
        <v>534246.59886597958</v>
      </c>
      <c r="AB32" s="132">
        <f t="shared" ca="1" si="44"/>
        <v>693646.87192709628</v>
      </c>
      <c r="AC32" s="132">
        <f t="shared" ca="1" si="44"/>
        <v>0</v>
      </c>
      <c r="AD32" s="132">
        <f t="shared" ca="1" si="44"/>
        <v>0</v>
      </c>
      <c r="AE32" s="132">
        <f t="shared" ca="1" si="44"/>
        <v>0</v>
      </c>
      <c r="AF32" s="132">
        <f t="shared" ca="1" si="44"/>
        <v>0</v>
      </c>
      <c r="AG32" s="132">
        <f t="shared" ca="1" si="44"/>
        <v>0</v>
      </c>
      <c r="AH32" s="132">
        <f t="shared" ca="1" si="44"/>
        <v>0</v>
      </c>
      <c r="AI32" s="132">
        <f t="shared" ca="1" si="44"/>
        <v>0</v>
      </c>
      <c r="AJ32" s="132">
        <f t="shared" ca="1" si="44"/>
        <v>0</v>
      </c>
      <c r="AK32" s="132">
        <f t="shared" ca="1" si="44"/>
        <v>0</v>
      </c>
      <c r="AL32" s="132">
        <f t="shared" ca="1" si="44"/>
        <v>0</v>
      </c>
      <c r="AM32" s="132">
        <f t="shared" ca="1" si="44"/>
        <v>0</v>
      </c>
      <c r="AN32" s="132">
        <f t="shared" ca="1" si="44"/>
        <v>0</v>
      </c>
      <c r="AO32" s="132">
        <f t="shared" ca="1" si="44"/>
        <v>0</v>
      </c>
      <c r="AP32" s="132">
        <f t="shared" ca="1" si="44"/>
        <v>0</v>
      </c>
      <c r="AQ32" s="132">
        <f t="shared" ca="1" si="44"/>
        <v>0</v>
      </c>
      <c r="AR32" s="132">
        <f t="shared" ca="1" si="44"/>
        <v>0</v>
      </c>
      <c r="AS32" s="132">
        <f t="shared" ca="1" si="44"/>
        <v>0</v>
      </c>
      <c r="AT32" s="132">
        <f t="shared" ca="1" si="44"/>
        <v>0</v>
      </c>
      <c r="AU32" s="132">
        <f t="shared" ca="1" si="44"/>
        <v>0</v>
      </c>
      <c r="AV32" s="132">
        <f t="shared" ca="1" si="44"/>
        <v>0</v>
      </c>
      <c r="AW32" s="132">
        <f t="shared" ca="1" si="44"/>
        <v>0</v>
      </c>
      <c r="AX32" s="132">
        <f t="shared" ca="1" si="44"/>
        <v>0</v>
      </c>
      <c r="AY32" s="132">
        <f t="shared" ca="1" si="44"/>
        <v>0</v>
      </c>
      <c r="AZ32" s="132">
        <f t="shared" ca="1" si="44"/>
        <v>0</v>
      </c>
      <c r="BA32" s="132">
        <f t="shared" ca="1" si="44"/>
        <v>0</v>
      </c>
      <c r="BB32" s="132">
        <f t="shared" ca="1" si="44"/>
        <v>0</v>
      </c>
      <c r="BC32" s="132">
        <f t="shared" ca="1" si="44"/>
        <v>0</v>
      </c>
      <c r="BD32" s="132">
        <f t="shared" ca="1" si="44"/>
        <v>0</v>
      </c>
      <c r="BE32" s="132">
        <f t="shared" ca="1" si="44"/>
        <v>0</v>
      </c>
      <c r="BF32" s="132">
        <f t="shared" ca="1" si="44"/>
        <v>0</v>
      </c>
      <c r="BG32" s="132">
        <f t="shared" ca="1" si="44"/>
        <v>0</v>
      </c>
      <c r="BH32" s="132">
        <f t="shared" ca="1" si="44"/>
        <v>0</v>
      </c>
      <c r="BI32" s="132">
        <f t="shared" ca="1" si="44"/>
        <v>0</v>
      </c>
      <c r="BJ32" s="132">
        <f t="shared" ca="1" si="44"/>
        <v>0</v>
      </c>
      <c r="BK32" s="132">
        <f t="shared" ca="1" si="44"/>
        <v>0</v>
      </c>
      <c r="BL32" s="132">
        <f t="shared" ca="1" si="44"/>
        <v>0</v>
      </c>
      <c r="BM32" s="132">
        <f t="shared" ca="1" si="44"/>
        <v>0</v>
      </c>
      <c r="BN32" s="132">
        <f t="shared" ca="1" si="44"/>
        <v>0</v>
      </c>
      <c r="BO32" s="132">
        <f t="shared" ca="1" si="44"/>
        <v>0</v>
      </c>
      <c r="BP32" s="132">
        <f t="shared" ca="1" si="44"/>
        <v>0</v>
      </c>
      <c r="BQ32" s="132">
        <f t="shared" ca="1" si="44"/>
        <v>0</v>
      </c>
      <c r="BR32" s="132">
        <f t="shared" ca="1" si="44"/>
        <v>0</v>
      </c>
      <c r="BS32" s="132">
        <f t="shared" ca="1" si="44"/>
        <v>0</v>
      </c>
      <c r="BT32" s="132">
        <f t="shared" ca="1" si="44"/>
        <v>0</v>
      </c>
      <c r="BU32" s="132">
        <f t="shared" ca="1" si="44"/>
        <v>0</v>
      </c>
      <c r="BV32" s="132">
        <f t="shared" ca="1" si="44"/>
        <v>0</v>
      </c>
      <c r="BW32" s="132">
        <f t="shared" ca="1" si="44"/>
        <v>0</v>
      </c>
      <c r="BX32" s="132">
        <f t="shared" ca="1" si="44"/>
        <v>0</v>
      </c>
      <c r="BY32" s="132">
        <f t="shared" ref="BY32:CO32" ca="1" si="45">SUM(BY33:BY34)</f>
        <v>0</v>
      </c>
      <c r="BZ32" s="132">
        <f t="shared" ca="1" si="45"/>
        <v>0</v>
      </c>
      <c r="CA32" s="132">
        <f t="shared" ca="1" si="45"/>
        <v>0</v>
      </c>
      <c r="CB32" s="132">
        <f t="shared" ca="1" si="45"/>
        <v>0</v>
      </c>
      <c r="CC32" s="132">
        <f t="shared" ca="1" si="45"/>
        <v>0</v>
      </c>
      <c r="CD32" s="132">
        <f t="shared" ca="1" si="45"/>
        <v>0</v>
      </c>
      <c r="CE32" s="132">
        <f t="shared" ca="1" si="45"/>
        <v>0</v>
      </c>
      <c r="CF32" s="132">
        <f t="shared" ca="1" si="45"/>
        <v>0</v>
      </c>
      <c r="CG32" s="132">
        <f t="shared" ca="1" si="45"/>
        <v>0</v>
      </c>
      <c r="CH32" s="132">
        <f t="shared" ca="1" si="45"/>
        <v>0</v>
      </c>
      <c r="CI32" s="132">
        <f t="shared" ca="1" si="45"/>
        <v>0</v>
      </c>
      <c r="CJ32" s="132">
        <f t="shared" ca="1" si="45"/>
        <v>0</v>
      </c>
      <c r="CK32" s="132">
        <f t="shared" ca="1" si="45"/>
        <v>0</v>
      </c>
      <c r="CL32" s="132">
        <f t="shared" ca="1" si="45"/>
        <v>0</v>
      </c>
      <c r="CM32" s="132">
        <f t="shared" ca="1" si="45"/>
        <v>0</v>
      </c>
      <c r="CN32" s="132">
        <f t="shared" ca="1" si="45"/>
        <v>0</v>
      </c>
      <c r="CO32" s="132">
        <f t="shared" ca="1" si="45"/>
        <v>0</v>
      </c>
    </row>
    <row r="33" spans="1:93" ht="14">
      <c r="A33" s="10"/>
      <c r="B33" s="130"/>
      <c r="C33" s="418" t="s">
        <v>1203</v>
      </c>
      <c r="D33" s="130"/>
      <c r="E33" s="47"/>
      <c r="F33" s="130"/>
      <c r="G33" s="11" t="str">
        <f t="shared" si="42"/>
        <v>тыс. руб.</v>
      </c>
      <c r="H33" s="130"/>
      <c r="I33" s="23">
        <f t="shared" ca="1" si="43"/>
        <v>4808399.504779838</v>
      </c>
      <c r="J33" s="10"/>
      <c r="K33" s="10"/>
      <c r="L33" s="52">
        <f t="shared" ref="L33:AQ33" ca="1" si="46">CAPEX</f>
        <v>26171.794482739097</v>
      </c>
      <c r="M33" s="52">
        <f t="shared" ca="1" si="46"/>
        <v>26543.300158756276</v>
      </c>
      <c r="N33" s="52">
        <f t="shared" ca="1" si="46"/>
        <v>26920.079316016938</v>
      </c>
      <c r="O33" s="52">
        <f t="shared" ca="1" si="46"/>
        <v>27302.20681099359</v>
      </c>
      <c r="P33" s="52">
        <f t="shared" ca="1" si="46"/>
        <v>229659.55483999598</v>
      </c>
      <c r="Q33" s="52">
        <f t="shared" ca="1" si="46"/>
        <v>231922.48380168967</v>
      </c>
      <c r="R33" s="52">
        <f t="shared" ca="1" si="46"/>
        <v>234207.71032243437</v>
      </c>
      <c r="S33" s="52">
        <f t="shared" ca="1" si="46"/>
        <v>236515.4541091444</v>
      </c>
      <c r="T33" s="52">
        <f t="shared" ca="1" si="46"/>
        <v>238845.93703359578</v>
      </c>
      <c r="U33" s="52">
        <f t="shared" ca="1" si="46"/>
        <v>241199.38315375723</v>
      </c>
      <c r="V33" s="52">
        <f t="shared" ca="1" si="46"/>
        <v>243576.01873533166</v>
      </c>
      <c r="W33" s="52">
        <f t="shared" ca="1" si="46"/>
        <v>245976.07227351013</v>
      </c>
      <c r="X33" s="52">
        <f t="shared" ca="1" si="46"/>
        <v>518760.33442500973</v>
      </c>
      <c r="Y33" s="52">
        <f t="shared" ca="1" si="46"/>
        <v>523871.89090157853</v>
      </c>
      <c r="Z33" s="52">
        <f t="shared" ca="1" si="46"/>
        <v>529033.81362220866</v>
      </c>
      <c r="AA33" s="52">
        <f t="shared" ca="1" si="46"/>
        <v>534246.59886597958</v>
      </c>
      <c r="AB33" s="52">
        <f t="shared" ca="1" si="46"/>
        <v>693646.87192709628</v>
      </c>
      <c r="AC33" s="52">
        <f t="shared" ca="1" si="46"/>
        <v>0</v>
      </c>
      <c r="AD33" s="52">
        <f t="shared" ca="1" si="46"/>
        <v>0</v>
      </c>
      <c r="AE33" s="52">
        <f t="shared" ca="1" si="46"/>
        <v>0</v>
      </c>
      <c r="AF33" s="52">
        <f t="shared" ca="1" si="46"/>
        <v>0</v>
      </c>
      <c r="AG33" s="52">
        <f t="shared" ca="1" si="46"/>
        <v>0</v>
      </c>
      <c r="AH33" s="52">
        <f t="shared" ca="1" si="46"/>
        <v>0</v>
      </c>
      <c r="AI33" s="52">
        <f t="shared" ca="1" si="46"/>
        <v>0</v>
      </c>
      <c r="AJ33" s="52">
        <f t="shared" ca="1" si="46"/>
        <v>0</v>
      </c>
      <c r="AK33" s="52">
        <f t="shared" ca="1" si="46"/>
        <v>0</v>
      </c>
      <c r="AL33" s="52">
        <f t="shared" ca="1" si="46"/>
        <v>0</v>
      </c>
      <c r="AM33" s="52">
        <f t="shared" ca="1" si="46"/>
        <v>0</v>
      </c>
      <c r="AN33" s="52">
        <f t="shared" ca="1" si="46"/>
        <v>0</v>
      </c>
      <c r="AO33" s="52">
        <f t="shared" ca="1" si="46"/>
        <v>0</v>
      </c>
      <c r="AP33" s="52">
        <f t="shared" ca="1" si="46"/>
        <v>0</v>
      </c>
      <c r="AQ33" s="52">
        <f t="shared" ca="1" si="46"/>
        <v>0</v>
      </c>
      <c r="AR33" s="52">
        <f t="shared" ref="AR33:BW33" ca="1" si="47">CAPEX</f>
        <v>0</v>
      </c>
      <c r="AS33" s="52">
        <f t="shared" ca="1" si="47"/>
        <v>0</v>
      </c>
      <c r="AT33" s="52">
        <f t="shared" ca="1" si="47"/>
        <v>0</v>
      </c>
      <c r="AU33" s="52">
        <f t="shared" ca="1" si="47"/>
        <v>0</v>
      </c>
      <c r="AV33" s="52">
        <f t="shared" ca="1" si="47"/>
        <v>0</v>
      </c>
      <c r="AW33" s="52">
        <f t="shared" ca="1" si="47"/>
        <v>0</v>
      </c>
      <c r="AX33" s="52">
        <f t="shared" ca="1" si="47"/>
        <v>0</v>
      </c>
      <c r="AY33" s="52">
        <f t="shared" ca="1" si="47"/>
        <v>0</v>
      </c>
      <c r="AZ33" s="52">
        <f t="shared" ca="1" si="47"/>
        <v>0</v>
      </c>
      <c r="BA33" s="52">
        <f t="shared" ca="1" si="47"/>
        <v>0</v>
      </c>
      <c r="BB33" s="52">
        <f t="shared" ca="1" si="47"/>
        <v>0</v>
      </c>
      <c r="BC33" s="52">
        <f t="shared" ca="1" si="47"/>
        <v>0</v>
      </c>
      <c r="BD33" s="52">
        <f t="shared" ca="1" si="47"/>
        <v>0</v>
      </c>
      <c r="BE33" s="52">
        <f t="shared" ca="1" si="47"/>
        <v>0</v>
      </c>
      <c r="BF33" s="52">
        <f t="shared" ca="1" si="47"/>
        <v>0</v>
      </c>
      <c r="BG33" s="52">
        <f t="shared" ca="1" si="47"/>
        <v>0</v>
      </c>
      <c r="BH33" s="52">
        <f t="shared" ca="1" si="47"/>
        <v>0</v>
      </c>
      <c r="BI33" s="52">
        <f t="shared" ca="1" si="47"/>
        <v>0</v>
      </c>
      <c r="BJ33" s="52">
        <f t="shared" ca="1" si="47"/>
        <v>0</v>
      </c>
      <c r="BK33" s="52">
        <f t="shared" ca="1" si="47"/>
        <v>0</v>
      </c>
      <c r="BL33" s="52">
        <f t="shared" ca="1" si="47"/>
        <v>0</v>
      </c>
      <c r="BM33" s="52">
        <f t="shared" ca="1" si="47"/>
        <v>0</v>
      </c>
      <c r="BN33" s="52">
        <f t="shared" ca="1" si="47"/>
        <v>0</v>
      </c>
      <c r="BO33" s="52">
        <f t="shared" ca="1" si="47"/>
        <v>0</v>
      </c>
      <c r="BP33" s="52">
        <f t="shared" ca="1" si="47"/>
        <v>0</v>
      </c>
      <c r="BQ33" s="52">
        <f t="shared" ca="1" si="47"/>
        <v>0</v>
      </c>
      <c r="BR33" s="52">
        <f t="shared" ca="1" si="47"/>
        <v>0</v>
      </c>
      <c r="BS33" s="52">
        <f t="shared" ca="1" si="47"/>
        <v>0</v>
      </c>
      <c r="BT33" s="52">
        <f t="shared" ca="1" si="47"/>
        <v>0</v>
      </c>
      <c r="BU33" s="52">
        <f t="shared" ca="1" si="47"/>
        <v>0</v>
      </c>
      <c r="BV33" s="52">
        <f t="shared" ca="1" si="47"/>
        <v>0</v>
      </c>
      <c r="BW33" s="52">
        <f t="shared" ca="1" si="47"/>
        <v>0</v>
      </c>
      <c r="BX33" s="52">
        <f t="shared" ref="BX33:CO33" ca="1" si="48">CAPEX</f>
        <v>0</v>
      </c>
      <c r="BY33" s="52">
        <f t="shared" ca="1" si="48"/>
        <v>0</v>
      </c>
      <c r="BZ33" s="52">
        <f t="shared" ca="1" si="48"/>
        <v>0</v>
      </c>
      <c r="CA33" s="52">
        <f t="shared" ca="1" si="48"/>
        <v>0</v>
      </c>
      <c r="CB33" s="52">
        <f t="shared" ca="1" si="48"/>
        <v>0</v>
      </c>
      <c r="CC33" s="52">
        <f t="shared" ca="1" si="48"/>
        <v>0</v>
      </c>
      <c r="CD33" s="52">
        <f t="shared" ca="1" si="48"/>
        <v>0</v>
      </c>
      <c r="CE33" s="52">
        <f t="shared" ca="1" si="48"/>
        <v>0</v>
      </c>
      <c r="CF33" s="52">
        <f t="shared" ca="1" si="48"/>
        <v>0</v>
      </c>
      <c r="CG33" s="52">
        <f t="shared" ca="1" si="48"/>
        <v>0</v>
      </c>
      <c r="CH33" s="52">
        <f t="shared" ca="1" si="48"/>
        <v>0</v>
      </c>
      <c r="CI33" s="52">
        <f t="shared" ca="1" si="48"/>
        <v>0</v>
      </c>
      <c r="CJ33" s="52">
        <f t="shared" ca="1" si="48"/>
        <v>0</v>
      </c>
      <c r="CK33" s="52">
        <f t="shared" ca="1" si="48"/>
        <v>0</v>
      </c>
      <c r="CL33" s="52">
        <f t="shared" ca="1" si="48"/>
        <v>0</v>
      </c>
      <c r="CM33" s="52">
        <f t="shared" ca="1" si="48"/>
        <v>0</v>
      </c>
      <c r="CN33" s="52">
        <f t="shared" ca="1" si="48"/>
        <v>0</v>
      </c>
      <c r="CO33" s="52">
        <f t="shared" ca="1" si="48"/>
        <v>0</v>
      </c>
    </row>
    <row r="34" spans="1:93" ht="14">
      <c r="A34" s="10"/>
      <c r="B34" s="130"/>
      <c r="C34" s="418" t="s">
        <v>1202</v>
      </c>
      <c r="D34" s="130"/>
      <c r="E34" s="47"/>
      <c r="F34" s="130"/>
      <c r="G34" s="11" t="str">
        <f t="shared" si="42"/>
        <v>тыс. руб.</v>
      </c>
      <c r="H34" s="130"/>
      <c r="I34" s="23">
        <f t="shared" si="43"/>
        <v>0</v>
      </c>
      <c r="J34" s="10"/>
      <c r="K34" s="10"/>
      <c r="L34" s="52">
        <f>SUM(Расчеты!L273:L275)</f>
        <v>0</v>
      </c>
      <c r="M34" s="52">
        <f>SUM(Расчеты!M273:M275)</f>
        <v>0</v>
      </c>
      <c r="N34" s="52">
        <f>SUM(Расчеты!N273:N275)</f>
        <v>0</v>
      </c>
      <c r="O34" s="52">
        <f>SUM(Расчеты!O273:O275)</f>
        <v>0</v>
      </c>
      <c r="P34" s="52">
        <f>SUM(Расчеты!P273:P275)</f>
        <v>0</v>
      </c>
      <c r="Q34" s="52">
        <f>SUM(Расчеты!Q273:Q275)</f>
        <v>0</v>
      </c>
      <c r="R34" s="52">
        <f>SUM(Расчеты!R273:R275)</f>
        <v>0</v>
      </c>
      <c r="S34" s="52">
        <f>SUM(Расчеты!S273:S275)</f>
        <v>0</v>
      </c>
      <c r="T34" s="52">
        <f>SUM(Расчеты!T273:T275)</f>
        <v>0</v>
      </c>
      <c r="U34" s="52">
        <f>SUM(Расчеты!U273:U275)</f>
        <v>0</v>
      </c>
      <c r="V34" s="52">
        <f>SUM(Расчеты!V273:V275)</f>
        <v>0</v>
      </c>
      <c r="W34" s="52">
        <f>SUM(Расчеты!W273:W275)</f>
        <v>0</v>
      </c>
      <c r="X34" s="52">
        <f>SUM(Расчеты!X273:X275)</f>
        <v>0</v>
      </c>
      <c r="Y34" s="52">
        <f>SUM(Расчеты!Y273:Y275)</f>
        <v>0</v>
      </c>
      <c r="Z34" s="52">
        <f>SUM(Расчеты!Z273:Z275)</f>
        <v>0</v>
      </c>
      <c r="AA34" s="52">
        <f>SUM(Расчеты!AA273:AA275)</f>
        <v>0</v>
      </c>
      <c r="AB34" s="52">
        <f>SUM(Расчеты!AB273:AB275)</f>
        <v>0</v>
      </c>
      <c r="AC34" s="52">
        <f>SUM(Расчеты!AC273:AC275)</f>
        <v>0</v>
      </c>
      <c r="AD34" s="52">
        <f>SUM(Расчеты!AD273:AD275)</f>
        <v>0</v>
      </c>
      <c r="AE34" s="52">
        <f>SUM(Расчеты!AE273:AE275)</f>
        <v>0</v>
      </c>
      <c r="AF34" s="52">
        <f>SUM(Расчеты!AF273:AF275)</f>
        <v>0</v>
      </c>
      <c r="AG34" s="52">
        <f>SUM(Расчеты!AG273:AG275)</f>
        <v>0</v>
      </c>
      <c r="AH34" s="52">
        <f>SUM(Расчеты!AH273:AH275)</f>
        <v>0</v>
      </c>
      <c r="AI34" s="52">
        <f>SUM(Расчеты!AI273:AI275)</f>
        <v>0</v>
      </c>
      <c r="AJ34" s="52">
        <f>SUM(Расчеты!AJ273:AJ275)</f>
        <v>0</v>
      </c>
      <c r="AK34" s="52">
        <f>SUM(Расчеты!AK273:AK275)</f>
        <v>0</v>
      </c>
      <c r="AL34" s="52">
        <f>SUM(Расчеты!AL273:AL275)</f>
        <v>0</v>
      </c>
      <c r="AM34" s="52">
        <f>SUM(Расчеты!AM273:AM275)</f>
        <v>0</v>
      </c>
      <c r="AN34" s="52">
        <f>SUM(Расчеты!AN273:AN275)</f>
        <v>0</v>
      </c>
      <c r="AO34" s="52">
        <f>SUM(Расчеты!AO273:AO275)</f>
        <v>0</v>
      </c>
      <c r="AP34" s="52">
        <f>SUM(Расчеты!AP273:AP275)</f>
        <v>0</v>
      </c>
      <c r="AQ34" s="52">
        <f>SUM(Расчеты!AQ273:AQ275)</f>
        <v>0</v>
      </c>
      <c r="AR34" s="52">
        <f>SUM(Расчеты!AR273:AR275)</f>
        <v>0</v>
      </c>
      <c r="AS34" s="52">
        <f>SUM(Расчеты!AS273:AS275)</f>
        <v>0</v>
      </c>
      <c r="AT34" s="52">
        <f>SUM(Расчеты!AT273:AT275)</f>
        <v>0</v>
      </c>
      <c r="AU34" s="52">
        <f>SUM(Расчеты!AU273:AU275)</f>
        <v>0</v>
      </c>
      <c r="AV34" s="52">
        <f>SUM(Расчеты!AV273:AV275)</f>
        <v>0</v>
      </c>
      <c r="AW34" s="52">
        <f>SUM(Расчеты!AW273:AW275)</f>
        <v>0</v>
      </c>
      <c r="AX34" s="52">
        <f>SUM(Расчеты!AX273:AX275)</f>
        <v>0</v>
      </c>
      <c r="AY34" s="52">
        <f>SUM(Расчеты!AY273:AY275)</f>
        <v>0</v>
      </c>
      <c r="AZ34" s="52">
        <f>SUM(Расчеты!AZ273:AZ275)</f>
        <v>0</v>
      </c>
      <c r="BA34" s="52">
        <f>SUM(Расчеты!BA273:BA275)</f>
        <v>0</v>
      </c>
      <c r="BB34" s="52">
        <f>SUM(Расчеты!BB273:BB275)</f>
        <v>0</v>
      </c>
      <c r="BC34" s="52">
        <f>SUM(Расчеты!BC273:BC275)</f>
        <v>0</v>
      </c>
      <c r="BD34" s="52">
        <f>SUM(Расчеты!BD273:BD275)</f>
        <v>0</v>
      </c>
      <c r="BE34" s="52">
        <f>SUM(Расчеты!BE273:BE275)</f>
        <v>0</v>
      </c>
      <c r="BF34" s="52">
        <f>SUM(Расчеты!BF273:BF275)</f>
        <v>0</v>
      </c>
      <c r="BG34" s="52">
        <f>SUM(Расчеты!BG273:BG275)</f>
        <v>0</v>
      </c>
      <c r="BH34" s="52">
        <f>SUM(Расчеты!BH273:BH275)</f>
        <v>0</v>
      </c>
      <c r="BI34" s="52">
        <f>SUM(Расчеты!BI273:BI275)</f>
        <v>0</v>
      </c>
      <c r="BJ34" s="52">
        <f>SUM(Расчеты!BJ273:BJ275)</f>
        <v>0</v>
      </c>
      <c r="BK34" s="52">
        <f>SUM(Расчеты!BK273:BK275)</f>
        <v>0</v>
      </c>
      <c r="BL34" s="52">
        <f>SUM(Расчеты!BL273:BL275)</f>
        <v>0</v>
      </c>
      <c r="BM34" s="52">
        <f>SUM(Расчеты!BM273:BM275)</f>
        <v>0</v>
      </c>
      <c r="BN34" s="52">
        <f>SUM(Расчеты!BN273:BN275)</f>
        <v>0</v>
      </c>
      <c r="BO34" s="52">
        <f>SUM(Расчеты!BO273:BO275)</f>
        <v>0</v>
      </c>
      <c r="BP34" s="52">
        <f>SUM(Расчеты!BP273:BP275)</f>
        <v>0</v>
      </c>
      <c r="BQ34" s="52">
        <f>SUM(Расчеты!BQ273:BQ275)</f>
        <v>0</v>
      </c>
      <c r="BR34" s="52">
        <f>SUM(Расчеты!BR273:BR275)</f>
        <v>0</v>
      </c>
      <c r="BS34" s="52">
        <f>SUM(Расчеты!BS273:BS275)</f>
        <v>0</v>
      </c>
      <c r="BT34" s="52">
        <f>SUM(Расчеты!BT273:BT275)</f>
        <v>0</v>
      </c>
      <c r="BU34" s="52">
        <f>SUM(Расчеты!BU273:BU275)</f>
        <v>0</v>
      </c>
      <c r="BV34" s="52">
        <f>SUM(Расчеты!BV273:BV275)</f>
        <v>0</v>
      </c>
      <c r="BW34" s="52">
        <f>SUM(Расчеты!BW273:BW275)</f>
        <v>0</v>
      </c>
      <c r="BX34" s="52">
        <f>SUM(Расчеты!BX273:BX275)</f>
        <v>0</v>
      </c>
      <c r="BY34" s="52">
        <f>SUM(Расчеты!BY273:BY275)</f>
        <v>0</v>
      </c>
      <c r="BZ34" s="52">
        <f>SUM(Расчеты!BZ273:BZ275)</f>
        <v>0</v>
      </c>
      <c r="CA34" s="52">
        <f>SUM(Расчеты!CA273:CA275)</f>
        <v>0</v>
      </c>
      <c r="CB34" s="52">
        <f>SUM(Расчеты!CB273:CB275)</f>
        <v>0</v>
      </c>
      <c r="CC34" s="52">
        <f>SUM(Расчеты!CC273:CC275)</f>
        <v>0</v>
      </c>
      <c r="CD34" s="52">
        <f>SUM(Расчеты!CD273:CD275)</f>
        <v>0</v>
      </c>
      <c r="CE34" s="52">
        <f>SUM(Расчеты!CE273:CE275)</f>
        <v>0</v>
      </c>
      <c r="CF34" s="52">
        <f>SUM(Расчеты!CF273:CF275)</f>
        <v>0</v>
      </c>
      <c r="CG34" s="52">
        <f>SUM(Расчеты!CG273:CG275)</f>
        <v>0</v>
      </c>
      <c r="CH34" s="52">
        <f>SUM(Расчеты!CH273:CH275)</f>
        <v>0</v>
      </c>
      <c r="CI34" s="52">
        <f>SUM(Расчеты!CI273:CI275)</f>
        <v>0</v>
      </c>
      <c r="CJ34" s="52">
        <f>SUM(Расчеты!CJ273:CJ275)</f>
        <v>0</v>
      </c>
      <c r="CK34" s="52">
        <f>SUM(Расчеты!CK273:CK275)</f>
        <v>0</v>
      </c>
      <c r="CL34" s="52">
        <f>SUM(Расчеты!CL273:CL275)</f>
        <v>0</v>
      </c>
      <c r="CM34" s="52">
        <f>SUM(Расчеты!CM273:CM275)</f>
        <v>0</v>
      </c>
      <c r="CN34" s="52">
        <f>SUM(Расчеты!CN273:CN275)</f>
        <v>0</v>
      </c>
      <c r="CO34" s="52">
        <f>SUM(Расчеты!CO273:CO275)</f>
        <v>0</v>
      </c>
    </row>
    <row r="35" spans="1:93" s="141" customFormat="1" ht="15" customHeight="1">
      <c r="A35" s="153"/>
      <c r="B35" s="153"/>
      <c r="C35" s="417" t="s">
        <v>1157</v>
      </c>
      <c r="D35" s="153"/>
      <c r="E35" s="153"/>
      <c r="F35" s="153"/>
      <c r="G35" s="162" t="str">
        <f t="shared" si="42"/>
        <v>тыс. руб.</v>
      </c>
      <c r="H35" s="153"/>
      <c r="I35" s="176">
        <f t="shared" ca="1" si="43"/>
        <v>255380.07450313671</v>
      </c>
      <c r="J35" s="153"/>
      <c r="K35" s="153"/>
      <c r="L35" s="132">
        <f ca="1">SUM(L36:L39)</f>
        <v>0</v>
      </c>
      <c r="M35" s="132">
        <f t="shared" ref="M35:BX35" ca="1" si="49">SUM(M36:M39)</f>
        <v>0</v>
      </c>
      <c r="N35" s="132">
        <f t="shared" ca="1" si="49"/>
        <v>0</v>
      </c>
      <c r="O35" s="132">
        <f t="shared" ca="1" si="49"/>
        <v>0</v>
      </c>
      <c r="P35" s="132">
        <f t="shared" ca="1" si="49"/>
        <v>0</v>
      </c>
      <c r="Q35" s="132">
        <f t="shared" ca="1" si="49"/>
        <v>0</v>
      </c>
      <c r="R35" s="132">
        <f t="shared" ca="1" si="49"/>
        <v>0</v>
      </c>
      <c r="S35" s="132">
        <f t="shared" ca="1" si="49"/>
        <v>738.99174247580174</v>
      </c>
      <c r="T35" s="132">
        <f t="shared" ca="1" si="49"/>
        <v>6580.6543476469105</v>
      </c>
      <c r="U35" s="132">
        <f t="shared" ca="1" si="49"/>
        <v>10424.828632825871</v>
      </c>
      <c r="V35" s="132">
        <f t="shared" ca="1" si="49"/>
        <v>14389.449341359013</v>
      </c>
      <c r="W35" s="132">
        <f t="shared" ca="1" si="49"/>
        <v>18277.447721111192</v>
      </c>
      <c r="X35" s="132">
        <f t="shared" ca="1" si="49"/>
        <v>24140.856838778414</v>
      </c>
      <c r="Y35" s="132">
        <f t="shared" ca="1" si="49"/>
        <v>32309.00587388641</v>
      </c>
      <c r="Z35" s="132">
        <f t="shared" ca="1" si="49"/>
        <v>41003.327342873301</v>
      </c>
      <c r="AA35" s="132">
        <f t="shared" ca="1" si="49"/>
        <v>49424.775082291708</v>
      </c>
      <c r="AB35" s="132">
        <f t="shared" ca="1" si="49"/>
        <v>58090.737579888082</v>
      </c>
      <c r="AC35" s="132">
        <f t="shared" ca="1" si="49"/>
        <v>0</v>
      </c>
      <c r="AD35" s="132">
        <f t="shared" ca="1" si="49"/>
        <v>0</v>
      </c>
      <c r="AE35" s="132">
        <f t="shared" ca="1" si="49"/>
        <v>0</v>
      </c>
      <c r="AF35" s="132">
        <f t="shared" ca="1" si="49"/>
        <v>0</v>
      </c>
      <c r="AG35" s="132">
        <f t="shared" ca="1" si="49"/>
        <v>0</v>
      </c>
      <c r="AH35" s="132">
        <f t="shared" ca="1" si="49"/>
        <v>0</v>
      </c>
      <c r="AI35" s="132">
        <f t="shared" ca="1" si="49"/>
        <v>0</v>
      </c>
      <c r="AJ35" s="132">
        <f t="shared" ca="1" si="49"/>
        <v>0</v>
      </c>
      <c r="AK35" s="132">
        <f t="shared" ca="1" si="49"/>
        <v>0</v>
      </c>
      <c r="AL35" s="132">
        <f t="shared" ca="1" si="49"/>
        <v>0</v>
      </c>
      <c r="AM35" s="132">
        <f t="shared" ca="1" si="49"/>
        <v>0</v>
      </c>
      <c r="AN35" s="132">
        <f t="shared" ca="1" si="49"/>
        <v>0</v>
      </c>
      <c r="AO35" s="132">
        <f t="shared" ca="1" si="49"/>
        <v>0</v>
      </c>
      <c r="AP35" s="132">
        <f t="shared" ca="1" si="49"/>
        <v>0</v>
      </c>
      <c r="AQ35" s="132">
        <f t="shared" ca="1" si="49"/>
        <v>0</v>
      </c>
      <c r="AR35" s="132">
        <f t="shared" ca="1" si="49"/>
        <v>0</v>
      </c>
      <c r="AS35" s="132">
        <f t="shared" ca="1" si="49"/>
        <v>0</v>
      </c>
      <c r="AT35" s="132">
        <f t="shared" ca="1" si="49"/>
        <v>0</v>
      </c>
      <c r="AU35" s="132">
        <f t="shared" ca="1" si="49"/>
        <v>0</v>
      </c>
      <c r="AV35" s="132">
        <f t="shared" ca="1" si="49"/>
        <v>0</v>
      </c>
      <c r="AW35" s="132">
        <f t="shared" ca="1" si="49"/>
        <v>0</v>
      </c>
      <c r="AX35" s="132">
        <f t="shared" ca="1" si="49"/>
        <v>0</v>
      </c>
      <c r="AY35" s="132">
        <f t="shared" ca="1" si="49"/>
        <v>0</v>
      </c>
      <c r="AZ35" s="132">
        <f t="shared" ca="1" si="49"/>
        <v>0</v>
      </c>
      <c r="BA35" s="132">
        <f t="shared" ca="1" si="49"/>
        <v>0</v>
      </c>
      <c r="BB35" s="132">
        <f t="shared" ca="1" si="49"/>
        <v>0</v>
      </c>
      <c r="BC35" s="132">
        <f t="shared" ca="1" si="49"/>
        <v>0</v>
      </c>
      <c r="BD35" s="132">
        <f t="shared" ca="1" si="49"/>
        <v>0</v>
      </c>
      <c r="BE35" s="132">
        <f t="shared" ca="1" si="49"/>
        <v>0</v>
      </c>
      <c r="BF35" s="132">
        <f t="shared" ca="1" si="49"/>
        <v>0</v>
      </c>
      <c r="BG35" s="132">
        <f t="shared" ca="1" si="49"/>
        <v>0</v>
      </c>
      <c r="BH35" s="132">
        <f t="shared" ca="1" si="49"/>
        <v>0</v>
      </c>
      <c r="BI35" s="132">
        <f t="shared" ca="1" si="49"/>
        <v>0</v>
      </c>
      <c r="BJ35" s="132">
        <f t="shared" ca="1" si="49"/>
        <v>0</v>
      </c>
      <c r="BK35" s="132">
        <f t="shared" ca="1" si="49"/>
        <v>0</v>
      </c>
      <c r="BL35" s="132">
        <f t="shared" ca="1" si="49"/>
        <v>0</v>
      </c>
      <c r="BM35" s="132">
        <f t="shared" ca="1" si="49"/>
        <v>0</v>
      </c>
      <c r="BN35" s="132">
        <f t="shared" ca="1" si="49"/>
        <v>0</v>
      </c>
      <c r="BO35" s="132">
        <f t="shared" ca="1" si="49"/>
        <v>0</v>
      </c>
      <c r="BP35" s="132">
        <f t="shared" ca="1" si="49"/>
        <v>0</v>
      </c>
      <c r="BQ35" s="132">
        <f t="shared" ca="1" si="49"/>
        <v>0</v>
      </c>
      <c r="BR35" s="132">
        <f t="shared" ca="1" si="49"/>
        <v>0</v>
      </c>
      <c r="BS35" s="132">
        <f t="shared" ca="1" si="49"/>
        <v>0</v>
      </c>
      <c r="BT35" s="132">
        <f t="shared" ca="1" si="49"/>
        <v>0</v>
      </c>
      <c r="BU35" s="132">
        <f t="shared" ca="1" si="49"/>
        <v>0</v>
      </c>
      <c r="BV35" s="132">
        <f t="shared" ca="1" si="49"/>
        <v>0</v>
      </c>
      <c r="BW35" s="132">
        <f t="shared" ca="1" si="49"/>
        <v>0</v>
      </c>
      <c r="BX35" s="132">
        <f t="shared" ca="1" si="49"/>
        <v>0</v>
      </c>
      <c r="BY35" s="132">
        <f t="shared" ref="BY35:CO35" ca="1" si="50">SUM(BY36:BY39)</f>
        <v>0</v>
      </c>
      <c r="BZ35" s="132">
        <f t="shared" ca="1" si="50"/>
        <v>0</v>
      </c>
      <c r="CA35" s="132">
        <f t="shared" ca="1" si="50"/>
        <v>0</v>
      </c>
      <c r="CB35" s="132">
        <f t="shared" ca="1" si="50"/>
        <v>0</v>
      </c>
      <c r="CC35" s="132">
        <f t="shared" ca="1" si="50"/>
        <v>0</v>
      </c>
      <c r="CD35" s="132">
        <f t="shared" ca="1" si="50"/>
        <v>0</v>
      </c>
      <c r="CE35" s="132">
        <f t="shared" ca="1" si="50"/>
        <v>0</v>
      </c>
      <c r="CF35" s="132">
        <f t="shared" ca="1" si="50"/>
        <v>0</v>
      </c>
      <c r="CG35" s="132">
        <f t="shared" ca="1" si="50"/>
        <v>0</v>
      </c>
      <c r="CH35" s="132">
        <f t="shared" ca="1" si="50"/>
        <v>0</v>
      </c>
      <c r="CI35" s="132">
        <f t="shared" ca="1" si="50"/>
        <v>0</v>
      </c>
      <c r="CJ35" s="132">
        <f t="shared" ca="1" si="50"/>
        <v>0</v>
      </c>
      <c r="CK35" s="132">
        <f t="shared" ca="1" si="50"/>
        <v>0</v>
      </c>
      <c r="CL35" s="132">
        <f t="shared" ca="1" si="50"/>
        <v>0</v>
      </c>
      <c r="CM35" s="132">
        <f t="shared" ca="1" si="50"/>
        <v>0</v>
      </c>
      <c r="CN35" s="132">
        <f t="shared" ca="1" si="50"/>
        <v>0</v>
      </c>
      <c r="CO35" s="132">
        <f t="shared" ca="1" si="50"/>
        <v>0</v>
      </c>
    </row>
    <row r="36" spans="1:93" s="141" customFormat="1" ht="15" customHeight="1">
      <c r="A36" s="153"/>
      <c r="B36" s="153"/>
      <c r="C36" s="418" t="s">
        <v>1158</v>
      </c>
      <c r="D36" s="153"/>
      <c r="E36" s="153"/>
      <c r="F36" s="153"/>
      <c r="G36" s="11" t="str">
        <f t="shared" si="42"/>
        <v>тыс. руб.</v>
      </c>
      <c r="H36" s="153"/>
      <c r="I36" s="23">
        <f t="shared" ca="1" si="43"/>
        <v>235253.59987868241</v>
      </c>
      <c r="J36" s="153"/>
      <c r="K36" s="153"/>
      <c r="L36" s="52">
        <f t="shared" ref="L36:AQ36" ca="1" si="51">-(Debt_Interest_Paid+Subord_Interest_Paid)*Flag_Construction</f>
        <v>0</v>
      </c>
      <c r="M36" s="52">
        <f t="shared" ca="1" si="51"/>
        <v>0</v>
      </c>
      <c r="N36" s="52">
        <f t="shared" ca="1" si="51"/>
        <v>0</v>
      </c>
      <c r="O36" s="52">
        <f t="shared" ca="1" si="51"/>
        <v>0</v>
      </c>
      <c r="P36" s="52">
        <f t="shared" ca="1" si="51"/>
        <v>0</v>
      </c>
      <c r="Q36" s="52">
        <f t="shared" ca="1" si="51"/>
        <v>0</v>
      </c>
      <c r="R36" s="52">
        <f t="shared" ca="1" si="51"/>
        <v>0</v>
      </c>
      <c r="S36" s="52">
        <f t="shared" ca="1" si="51"/>
        <v>738.99174247580174</v>
      </c>
      <c r="T36" s="52">
        <f t="shared" ca="1" si="51"/>
        <v>3234.8821767320223</v>
      </c>
      <c r="U36" s="52">
        <f t="shared" ca="1" si="51"/>
        <v>7256.2536237105141</v>
      </c>
      <c r="V36" s="52">
        <f t="shared" ca="1" si="51"/>
        <v>11404.918486102473</v>
      </c>
      <c r="W36" s="52">
        <f t="shared" ca="1" si="51"/>
        <v>15513.937077923534</v>
      </c>
      <c r="X36" s="52">
        <f t="shared" ca="1" si="51"/>
        <v>21635.021605468475</v>
      </c>
      <c r="Y36" s="52">
        <f t="shared" ca="1" si="51"/>
        <v>30267.503661225743</v>
      </c>
      <c r="Z36" s="52">
        <f t="shared" ca="1" si="51"/>
        <v>39413.452160910616</v>
      </c>
      <c r="AA36" s="52">
        <f t="shared" ca="1" si="51"/>
        <v>48313.632138229776</v>
      </c>
      <c r="AB36" s="52">
        <f t="shared" ca="1" si="51"/>
        <v>57475.007205903479</v>
      </c>
      <c r="AC36" s="52">
        <f t="shared" ca="1" si="51"/>
        <v>0</v>
      </c>
      <c r="AD36" s="52">
        <f t="shared" ca="1" si="51"/>
        <v>0</v>
      </c>
      <c r="AE36" s="52">
        <f t="shared" ca="1" si="51"/>
        <v>0</v>
      </c>
      <c r="AF36" s="52">
        <f t="shared" ca="1" si="51"/>
        <v>0</v>
      </c>
      <c r="AG36" s="52">
        <f t="shared" ca="1" si="51"/>
        <v>0</v>
      </c>
      <c r="AH36" s="52">
        <f t="shared" ca="1" si="51"/>
        <v>0</v>
      </c>
      <c r="AI36" s="52">
        <f t="shared" ca="1" si="51"/>
        <v>0</v>
      </c>
      <c r="AJ36" s="52">
        <f t="shared" ca="1" si="51"/>
        <v>0</v>
      </c>
      <c r="AK36" s="52">
        <f t="shared" ca="1" si="51"/>
        <v>0</v>
      </c>
      <c r="AL36" s="52">
        <f t="shared" ca="1" si="51"/>
        <v>0</v>
      </c>
      <c r="AM36" s="52">
        <f t="shared" ca="1" si="51"/>
        <v>0</v>
      </c>
      <c r="AN36" s="52">
        <f t="shared" ca="1" si="51"/>
        <v>0</v>
      </c>
      <c r="AO36" s="52">
        <f t="shared" ca="1" si="51"/>
        <v>0</v>
      </c>
      <c r="AP36" s="52">
        <f t="shared" ca="1" si="51"/>
        <v>0</v>
      </c>
      <c r="AQ36" s="52">
        <f t="shared" ca="1" si="51"/>
        <v>0</v>
      </c>
      <c r="AR36" s="52">
        <f t="shared" ref="AR36:BW36" ca="1" si="52">-(Debt_Interest_Paid+Subord_Interest_Paid)*Flag_Construction</f>
        <v>0</v>
      </c>
      <c r="AS36" s="52">
        <f t="shared" ca="1" si="52"/>
        <v>0</v>
      </c>
      <c r="AT36" s="52">
        <f t="shared" ca="1" si="52"/>
        <v>0</v>
      </c>
      <c r="AU36" s="52">
        <f t="shared" ca="1" si="52"/>
        <v>0</v>
      </c>
      <c r="AV36" s="52">
        <f t="shared" ca="1" si="52"/>
        <v>0</v>
      </c>
      <c r="AW36" s="52">
        <f t="shared" ca="1" si="52"/>
        <v>0</v>
      </c>
      <c r="AX36" s="52">
        <f t="shared" ca="1" si="52"/>
        <v>0</v>
      </c>
      <c r="AY36" s="52">
        <f t="shared" ca="1" si="52"/>
        <v>0</v>
      </c>
      <c r="AZ36" s="52">
        <f t="shared" ca="1" si="52"/>
        <v>0</v>
      </c>
      <c r="BA36" s="52">
        <f t="shared" ca="1" si="52"/>
        <v>0</v>
      </c>
      <c r="BB36" s="52">
        <f t="shared" ca="1" si="52"/>
        <v>0</v>
      </c>
      <c r="BC36" s="52">
        <f t="shared" ca="1" si="52"/>
        <v>0</v>
      </c>
      <c r="BD36" s="52">
        <f t="shared" ca="1" si="52"/>
        <v>0</v>
      </c>
      <c r="BE36" s="52">
        <f t="shared" ca="1" si="52"/>
        <v>0</v>
      </c>
      <c r="BF36" s="52">
        <f t="shared" ca="1" si="52"/>
        <v>0</v>
      </c>
      <c r="BG36" s="52">
        <f t="shared" ca="1" si="52"/>
        <v>0</v>
      </c>
      <c r="BH36" s="52">
        <f t="shared" ca="1" si="52"/>
        <v>0</v>
      </c>
      <c r="BI36" s="52">
        <f t="shared" ca="1" si="52"/>
        <v>0</v>
      </c>
      <c r="BJ36" s="52">
        <f t="shared" ca="1" si="52"/>
        <v>0</v>
      </c>
      <c r="BK36" s="52">
        <f t="shared" ca="1" si="52"/>
        <v>0</v>
      </c>
      <c r="BL36" s="52">
        <f t="shared" ca="1" si="52"/>
        <v>0</v>
      </c>
      <c r="BM36" s="52">
        <f t="shared" ca="1" si="52"/>
        <v>0</v>
      </c>
      <c r="BN36" s="52">
        <f t="shared" ca="1" si="52"/>
        <v>0</v>
      </c>
      <c r="BO36" s="52">
        <f t="shared" ca="1" si="52"/>
        <v>0</v>
      </c>
      <c r="BP36" s="52">
        <f t="shared" ca="1" si="52"/>
        <v>0</v>
      </c>
      <c r="BQ36" s="52">
        <f t="shared" ca="1" si="52"/>
        <v>0</v>
      </c>
      <c r="BR36" s="52">
        <f t="shared" ca="1" si="52"/>
        <v>0</v>
      </c>
      <c r="BS36" s="52">
        <f t="shared" ca="1" si="52"/>
        <v>0</v>
      </c>
      <c r="BT36" s="52">
        <f t="shared" ca="1" si="52"/>
        <v>0</v>
      </c>
      <c r="BU36" s="52">
        <f t="shared" ca="1" si="52"/>
        <v>0</v>
      </c>
      <c r="BV36" s="52">
        <f t="shared" ca="1" si="52"/>
        <v>0</v>
      </c>
      <c r="BW36" s="52">
        <f t="shared" ca="1" si="52"/>
        <v>0</v>
      </c>
      <c r="BX36" s="52">
        <f t="shared" ref="BX36:CO36" ca="1" si="53">-(Debt_Interest_Paid+Subord_Interest_Paid)*Flag_Construction</f>
        <v>0</v>
      </c>
      <c r="BY36" s="52">
        <f t="shared" ca="1" si="53"/>
        <v>0</v>
      </c>
      <c r="BZ36" s="52">
        <f t="shared" ca="1" si="53"/>
        <v>0</v>
      </c>
      <c r="CA36" s="52">
        <f t="shared" ca="1" si="53"/>
        <v>0</v>
      </c>
      <c r="CB36" s="52">
        <f t="shared" ca="1" si="53"/>
        <v>0</v>
      </c>
      <c r="CC36" s="52">
        <f t="shared" ca="1" si="53"/>
        <v>0</v>
      </c>
      <c r="CD36" s="52">
        <f t="shared" ca="1" si="53"/>
        <v>0</v>
      </c>
      <c r="CE36" s="52">
        <f t="shared" ca="1" si="53"/>
        <v>0</v>
      </c>
      <c r="CF36" s="52">
        <f t="shared" ca="1" si="53"/>
        <v>0</v>
      </c>
      <c r="CG36" s="52">
        <f t="shared" ca="1" si="53"/>
        <v>0</v>
      </c>
      <c r="CH36" s="52">
        <f t="shared" ca="1" si="53"/>
        <v>0</v>
      </c>
      <c r="CI36" s="52">
        <f t="shared" ca="1" si="53"/>
        <v>0</v>
      </c>
      <c r="CJ36" s="52">
        <f t="shared" ca="1" si="53"/>
        <v>0</v>
      </c>
      <c r="CK36" s="52">
        <f t="shared" ca="1" si="53"/>
        <v>0</v>
      </c>
      <c r="CL36" s="52">
        <f t="shared" ca="1" si="53"/>
        <v>0</v>
      </c>
      <c r="CM36" s="52">
        <f t="shared" ca="1" si="53"/>
        <v>0</v>
      </c>
      <c r="CN36" s="52">
        <f t="shared" ca="1" si="53"/>
        <v>0</v>
      </c>
      <c r="CO36" s="52">
        <f t="shared" ca="1" si="53"/>
        <v>0</v>
      </c>
    </row>
    <row r="37" spans="1:93" s="141" customFormat="1" ht="15" customHeight="1">
      <c r="A37" s="153"/>
      <c r="B37" s="153"/>
      <c r="C37" s="418" t="s">
        <v>103</v>
      </c>
      <c r="D37" s="153"/>
      <c r="E37" s="153"/>
      <c r="F37" s="153"/>
      <c r="G37" s="11" t="str">
        <f t="shared" si="42"/>
        <v>тыс. руб.</v>
      </c>
      <c r="H37" s="153"/>
      <c r="I37" s="23">
        <f t="shared" si="43"/>
        <v>20126.474624454266</v>
      </c>
      <c r="J37" s="153"/>
      <c r="K37" s="153"/>
      <c r="L37" s="52">
        <f t="shared" ref="L37:AQ37" si="54">-Bank_Fees*Flag_Construction</f>
        <v>0</v>
      </c>
      <c r="M37" s="52">
        <f t="shared" si="54"/>
        <v>0</v>
      </c>
      <c r="N37" s="52">
        <f t="shared" si="54"/>
        <v>0</v>
      </c>
      <c r="O37" s="52">
        <f t="shared" si="54"/>
        <v>0</v>
      </c>
      <c r="P37" s="52">
        <f t="shared" si="54"/>
        <v>0</v>
      </c>
      <c r="Q37" s="52">
        <f t="shared" si="54"/>
        <v>0</v>
      </c>
      <c r="R37" s="52">
        <f t="shared" si="54"/>
        <v>0</v>
      </c>
      <c r="S37" s="52">
        <f t="shared" si="54"/>
        <v>0</v>
      </c>
      <c r="T37" s="52">
        <f t="shared" si="54"/>
        <v>3345.7721709148877</v>
      </c>
      <c r="U37" s="52">
        <f t="shared" si="54"/>
        <v>3168.5750091153564</v>
      </c>
      <c r="V37" s="52">
        <f t="shared" si="54"/>
        <v>2984.5308552565393</v>
      </c>
      <c r="W37" s="52">
        <f t="shared" si="54"/>
        <v>2763.5106431876575</v>
      </c>
      <c r="X37" s="52">
        <f t="shared" si="54"/>
        <v>2505.8352333099388</v>
      </c>
      <c r="Y37" s="52">
        <f t="shared" si="54"/>
        <v>2041.5022126606673</v>
      </c>
      <c r="Z37" s="52">
        <f t="shared" si="54"/>
        <v>1589.8751819626839</v>
      </c>
      <c r="AA37" s="52">
        <f t="shared" si="54"/>
        <v>1111.1429440619313</v>
      </c>
      <c r="AB37" s="52">
        <f t="shared" si="54"/>
        <v>615.73037398460076</v>
      </c>
      <c r="AC37" s="52">
        <f t="shared" si="54"/>
        <v>0</v>
      </c>
      <c r="AD37" s="52">
        <f t="shared" si="54"/>
        <v>0</v>
      </c>
      <c r="AE37" s="52">
        <f t="shared" si="54"/>
        <v>0</v>
      </c>
      <c r="AF37" s="52">
        <f t="shared" si="54"/>
        <v>0</v>
      </c>
      <c r="AG37" s="52">
        <f t="shared" si="54"/>
        <v>0</v>
      </c>
      <c r="AH37" s="52">
        <f t="shared" si="54"/>
        <v>0</v>
      </c>
      <c r="AI37" s="52">
        <f t="shared" si="54"/>
        <v>0</v>
      </c>
      <c r="AJ37" s="52">
        <f t="shared" si="54"/>
        <v>0</v>
      </c>
      <c r="AK37" s="52">
        <f t="shared" si="54"/>
        <v>0</v>
      </c>
      <c r="AL37" s="52">
        <f t="shared" si="54"/>
        <v>0</v>
      </c>
      <c r="AM37" s="52">
        <f t="shared" si="54"/>
        <v>0</v>
      </c>
      <c r="AN37" s="52">
        <f t="shared" si="54"/>
        <v>0</v>
      </c>
      <c r="AO37" s="52">
        <f t="shared" si="54"/>
        <v>0</v>
      </c>
      <c r="AP37" s="52">
        <f t="shared" si="54"/>
        <v>0</v>
      </c>
      <c r="AQ37" s="52">
        <f t="shared" si="54"/>
        <v>0</v>
      </c>
      <c r="AR37" s="52">
        <f t="shared" ref="AR37:BW37" si="55">-Bank_Fees*Flag_Construction</f>
        <v>0</v>
      </c>
      <c r="AS37" s="52">
        <f t="shared" si="55"/>
        <v>0</v>
      </c>
      <c r="AT37" s="52">
        <f t="shared" si="55"/>
        <v>0</v>
      </c>
      <c r="AU37" s="52">
        <f t="shared" si="55"/>
        <v>0</v>
      </c>
      <c r="AV37" s="52">
        <f t="shared" si="55"/>
        <v>0</v>
      </c>
      <c r="AW37" s="52">
        <f t="shared" si="55"/>
        <v>0</v>
      </c>
      <c r="AX37" s="52">
        <f t="shared" si="55"/>
        <v>0</v>
      </c>
      <c r="AY37" s="52">
        <f t="shared" si="55"/>
        <v>0</v>
      </c>
      <c r="AZ37" s="52">
        <f t="shared" si="55"/>
        <v>0</v>
      </c>
      <c r="BA37" s="52">
        <f t="shared" si="55"/>
        <v>0</v>
      </c>
      <c r="BB37" s="52">
        <f t="shared" si="55"/>
        <v>0</v>
      </c>
      <c r="BC37" s="52">
        <f t="shared" si="55"/>
        <v>0</v>
      </c>
      <c r="BD37" s="52">
        <f t="shared" si="55"/>
        <v>0</v>
      </c>
      <c r="BE37" s="52">
        <f t="shared" si="55"/>
        <v>0</v>
      </c>
      <c r="BF37" s="52">
        <f t="shared" si="55"/>
        <v>0</v>
      </c>
      <c r="BG37" s="52">
        <f t="shared" si="55"/>
        <v>0</v>
      </c>
      <c r="BH37" s="52">
        <f t="shared" si="55"/>
        <v>0</v>
      </c>
      <c r="BI37" s="52">
        <f t="shared" si="55"/>
        <v>0</v>
      </c>
      <c r="BJ37" s="52">
        <f t="shared" si="55"/>
        <v>0</v>
      </c>
      <c r="BK37" s="52">
        <f t="shared" si="55"/>
        <v>0</v>
      </c>
      <c r="BL37" s="52">
        <f t="shared" si="55"/>
        <v>0</v>
      </c>
      <c r="BM37" s="52">
        <f t="shared" si="55"/>
        <v>0</v>
      </c>
      <c r="BN37" s="52">
        <f t="shared" si="55"/>
        <v>0</v>
      </c>
      <c r="BO37" s="52">
        <f t="shared" si="55"/>
        <v>0</v>
      </c>
      <c r="BP37" s="52">
        <f t="shared" si="55"/>
        <v>0</v>
      </c>
      <c r="BQ37" s="52">
        <f t="shared" si="55"/>
        <v>0</v>
      </c>
      <c r="BR37" s="52">
        <f t="shared" si="55"/>
        <v>0</v>
      </c>
      <c r="BS37" s="52">
        <f t="shared" si="55"/>
        <v>0</v>
      </c>
      <c r="BT37" s="52">
        <f t="shared" si="55"/>
        <v>0</v>
      </c>
      <c r="BU37" s="52">
        <f t="shared" si="55"/>
        <v>0</v>
      </c>
      <c r="BV37" s="52">
        <f t="shared" si="55"/>
        <v>0</v>
      </c>
      <c r="BW37" s="52">
        <f t="shared" si="55"/>
        <v>0</v>
      </c>
      <c r="BX37" s="52">
        <f t="shared" ref="BX37:CO37" si="56">-Bank_Fees*Flag_Construction</f>
        <v>0</v>
      </c>
      <c r="BY37" s="52">
        <f t="shared" si="56"/>
        <v>0</v>
      </c>
      <c r="BZ37" s="52">
        <f t="shared" si="56"/>
        <v>0</v>
      </c>
      <c r="CA37" s="52">
        <f t="shared" si="56"/>
        <v>0</v>
      </c>
      <c r="CB37" s="52">
        <f t="shared" si="56"/>
        <v>0</v>
      </c>
      <c r="CC37" s="52">
        <f t="shared" si="56"/>
        <v>0</v>
      </c>
      <c r="CD37" s="52">
        <f t="shared" si="56"/>
        <v>0</v>
      </c>
      <c r="CE37" s="52">
        <f t="shared" si="56"/>
        <v>0</v>
      </c>
      <c r="CF37" s="52">
        <f t="shared" si="56"/>
        <v>0</v>
      </c>
      <c r="CG37" s="52">
        <f t="shared" si="56"/>
        <v>0</v>
      </c>
      <c r="CH37" s="52">
        <f t="shared" si="56"/>
        <v>0</v>
      </c>
      <c r="CI37" s="52">
        <f t="shared" si="56"/>
        <v>0</v>
      </c>
      <c r="CJ37" s="52">
        <f t="shared" si="56"/>
        <v>0</v>
      </c>
      <c r="CK37" s="52">
        <f t="shared" si="56"/>
        <v>0</v>
      </c>
      <c r="CL37" s="52">
        <f t="shared" si="56"/>
        <v>0</v>
      </c>
      <c r="CM37" s="52">
        <f t="shared" si="56"/>
        <v>0</v>
      </c>
      <c r="CN37" s="52">
        <f t="shared" si="56"/>
        <v>0</v>
      </c>
      <c r="CO37" s="52">
        <f t="shared" si="56"/>
        <v>0</v>
      </c>
    </row>
    <row r="38" spans="1:93" ht="15" customHeight="1">
      <c r="A38" s="47"/>
      <c r="B38" s="47"/>
      <c r="C38" s="418" t="s">
        <v>1159</v>
      </c>
      <c r="D38" s="153"/>
      <c r="E38" s="11"/>
      <c r="F38" s="11"/>
      <c r="G38" s="11" t="str">
        <f t="shared" si="42"/>
        <v>тыс. руб.</v>
      </c>
      <c r="H38" s="153"/>
      <c r="I38" s="23">
        <f>SUM(L38:CO38)</f>
        <v>0</v>
      </c>
      <c r="J38" s="153"/>
      <c r="K38" s="153"/>
      <c r="L38" s="52">
        <f t="shared" ref="L38:AQ38" si="57">-Debt_Repaiment*Flag_Construction</f>
        <v>0</v>
      </c>
      <c r="M38" s="52">
        <f t="shared" si="57"/>
        <v>0</v>
      </c>
      <c r="N38" s="52">
        <f t="shared" si="57"/>
        <v>0</v>
      </c>
      <c r="O38" s="52">
        <f t="shared" si="57"/>
        <v>0</v>
      </c>
      <c r="P38" s="52">
        <f t="shared" si="57"/>
        <v>0</v>
      </c>
      <c r="Q38" s="52">
        <f t="shared" si="57"/>
        <v>0</v>
      </c>
      <c r="R38" s="52">
        <f t="shared" si="57"/>
        <v>0</v>
      </c>
      <c r="S38" s="52">
        <f t="shared" si="57"/>
        <v>0</v>
      </c>
      <c r="T38" s="52">
        <f t="shared" si="57"/>
        <v>0</v>
      </c>
      <c r="U38" s="52">
        <f t="shared" si="57"/>
        <v>0</v>
      </c>
      <c r="V38" s="52">
        <f t="shared" si="57"/>
        <v>0</v>
      </c>
      <c r="W38" s="52">
        <f t="shared" si="57"/>
        <v>0</v>
      </c>
      <c r="X38" s="52">
        <f t="shared" si="57"/>
        <v>0</v>
      </c>
      <c r="Y38" s="52">
        <f t="shared" si="57"/>
        <v>0</v>
      </c>
      <c r="Z38" s="52">
        <f t="shared" si="57"/>
        <v>0</v>
      </c>
      <c r="AA38" s="52">
        <f t="shared" si="57"/>
        <v>0</v>
      </c>
      <c r="AB38" s="52">
        <f t="shared" si="57"/>
        <v>0</v>
      </c>
      <c r="AC38" s="52">
        <f t="shared" si="57"/>
        <v>0</v>
      </c>
      <c r="AD38" s="52">
        <f t="shared" si="57"/>
        <v>0</v>
      </c>
      <c r="AE38" s="52">
        <f t="shared" si="57"/>
        <v>0</v>
      </c>
      <c r="AF38" s="52">
        <f t="shared" si="57"/>
        <v>0</v>
      </c>
      <c r="AG38" s="52">
        <f t="shared" si="57"/>
        <v>0</v>
      </c>
      <c r="AH38" s="52">
        <f t="shared" si="57"/>
        <v>0</v>
      </c>
      <c r="AI38" s="52">
        <f t="shared" si="57"/>
        <v>0</v>
      </c>
      <c r="AJ38" s="52">
        <f t="shared" si="57"/>
        <v>0</v>
      </c>
      <c r="AK38" s="52">
        <f t="shared" si="57"/>
        <v>0</v>
      </c>
      <c r="AL38" s="52">
        <f t="shared" si="57"/>
        <v>0</v>
      </c>
      <c r="AM38" s="52">
        <f t="shared" si="57"/>
        <v>0</v>
      </c>
      <c r="AN38" s="52">
        <f t="shared" si="57"/>
        <v>0</v>
      </c>
      <c r="AO38" s="52">
        <f t="shared" si="57"/>
        <v>0</v>
      </c>
      <c r="AP38" s="52">
        <f t="shared" si="57"/>
        <v>0</v>
      </c>
      <c r="AQ38" s="52">
        <f t="shared" si="57"/>
        <v>0</v>
      </c>
      <c r="AR38" s="52">
        <f t="shared" ref="AR38:BW38" si="58">-Debt_Repaiment*Flag_Construction</f>
        <v>0</v>
      </c>
      <c r="AS38" s="52">
        <f t="shared" si="58"/>
        <v>0</v>
      </c>
      <c r="AT38" s="52">
        <f t="shared" si="58"/>
        <v>0</v>
      </c>
      <c r="AU38" s="52">
        <f t="shared" si="58"/>
        <v>0</v>
      </c>
      <c r="AV38" s="52">
        <f t="shared" si="58"/>
        <v>0</v>
      </c>
      <c r="AW38" s="52">
        <f t="shared" si="58"/>
        <v>0</v>
      </c>
      <c r="AX38" s="52">
        <f t="shared" si="58"/>
        <v>0</v>
      </c>
      <c r="AY38" s="52">
        <f t="shared" si="58"/>
        <v>0</v>
      </c>
      <c r="AZ38" s="52">
        <f t="shared" si="58"/>
        <v>0</v>
      </c>
      <c r="BA38" s="52">
        <f t="shared" si="58"/>
        <v>0</v>
      </c>
      <c r="BB38" s="52">
        <f t="shared" si="58"/>
        <v>0</v>
      </c>
      <c r="BC38" s="52">
        <f t="shared" si="58"/>
        <v>0</v>
      </c>
      <c r="BD38" s="52">
        <f t="shared" si="58"/>
        <v>0</v>
      </c>
      <c r="BE38" s="52">
        <f t="shared" si="58"/>
        <v>0</v>
      </c>
      <c r="BF38" s="52">
        <f t="shared" si="58"/>
        <v>0</v>
      </c>
      <c r="BG38" s="52">
        <f t="shared" si="58"/>
        <v>0</v>
      </c>
      <c r="BH38" s="52">
        <f t="shared" si="58"/>
        <v>0</v>
      </c>
      <c r="BI38" s="52">
        <f t="shared" si="58"/>
        <v>0</v>
      </c>
      <c r="BJ38" s="52">
        <f t="shared" si="58"/>
        <v>0</v>
      </c>
      <c r="BK38" s="52">
        <f t="shared" si="58"/>
        <v>0</v>
      </c>
      <c r="BL38" s="52">
        <f t="shared" si="58"/>
        <v>0</v>
      </c>
      <c r="BM38" s="52">
        <f t="shared" si="58"/>
        <v>0</v>
      </c>
      <c r="BN38" s="52">
        <f t="shared" si="58"/>
        <v>0</v>
      </c>
      <c r="BO38" s="52">
        <f t="shared" si="58"/>
        <v>0</v>
      </c>
      <c r="BP38" s="52">
        <f t="shared" si="58"/>
        <v>0</v>
      </c>
      <c r="BQ38" s="52">
        <f t="shared" si="58"/>
        <v>0</v>
      </c>
      <c r="BR38" s="52">
        <f t="shared" si="58"/>
        <v>0</v>
      </c>
      <c r="BS38" s="52">
        <f t="shared" si="58"/>
        <v>0</v>
      </c>
      <c r="BT38" s="52">
        <f t="shared" si="58"/>
        <v>0</v>
      </c>
      <c r="BU38" s="52">
        <f t="shared" si="58"/>
        <v>0</v>
      </c>
      <c r="BV38" s="52">
        <f t="shared" si="58"/>
        <v>0</v>
      </c>
      <c r="BW38" s="52">
        <f t="shared" si="58"/>
        <v>0</v>
      </c>
      <c r="BX38" s="52">
        <f t="shared" ref="BX38:CO38" si="59">-Debt_Repaiment*Flag_Construction</f>
        <v>0</v>
      </c>
      <c r="BY38" s="52">
        <f t="shared" si="59"/>
        <v>0</v>
      </c>
      <c r="BZ38" s="52">
        <f t="shared" si="59"/>
        <v>0</v>
      </c>
      <c r="CA38" s="52">
        <f t="shared" si="59"/>
        <v>0</v>
      </c>
      <c r="CB38" s="52">
        <f t="shared" si="59"/>
        <v>0</v>
      </c>
      <c r="CC38" s="52">
        <f t="shared" si="59"/>
        <v>0</v>
      </c>
      <c r="CD38" s="52">
        <f t="shared" si="59"/>
        <v>0</v>
      </c>
      <c r="CE38" s="52">
        <f t="shared" si="59"/>
        <v>0</v>
      </c>
      <c r="CF38" s="52">
        <f t="shared" si="59"/>
        <v>0</v>
      </c>
      <c r="CG38" s="52">
        <f t="shared" si="59"/>
        <v>0</v>
      </c>
      <c r="CH38" s="52">
        <f t="shared" si="59"/>
        <v>0</v>
      </c>
      <c r="CI38" s="52">
        <f t="shared" si="59"/>
        <v>0</v>
      </c>
      <c r="CJ38" s="52">
        <f t="shared" si="59"/>
        <v>0</v>
      </c>
      <c r="CK38" s="52">
        <f t="shared" si="59"/>
        <v>0</v>
      </c>
      <c r="CL38" s="52">
        <f t="shared" si="59"/>
        <v>0</v>
      </c>
      <c r="CM38" s="52">
        <f t="shared" si="59"/>
        <v>0</v>
      </c>
      <c r="CN38" s="52">
        <f t="shared" si="59"/>
        <v>0</v>
      </c>
      <c r="CO38" s="52">
        <f t="shared" si="59"/>
        <v>0</v>
      </c>
    </row>
    <row r="39" spans="1:93" ht="15" customHeight="1">
      <c r="A39" s="47"/>
      <c r="B39" s="47"/>
      <c r="C39" s="418" t="s">
        <v>1160</v>
      </c>
      <c r="D39" s="153"/>
      <c r="E39" s="11"/>
      <c r="F39" s="11"/>
      <c r="G39" s="11" t="str">
        <f t="shared" si="42"/>
        <v>тыс. руб.</v>
      </c>
      <c r="H39" s="153"/>
      <c r="I39" s="23">
        <f t="shared" ref="I39:I44" ca="1" si="60">SUM(L39:CO39)</f>
        <v>0</v>
      </c>
      <c r="J39" s="153"/>
      <c r="K39" s="153"/>
      <c r="L39" s="52">
        <f t="shared" ref="L39:AQ39" ca="1" si="61">-Subord_Repayment*Flag_Construction</f>
        <v>0</v>
      </c>
      <c r="M39" s="52">
        <f t="shared" ca="1" si="61"/>
        <v>0</v>
      </c>
      <c r="N39" s="52">
        <f t="shared" ca="1" si="61"/>
        <v>0</v>
      </c>
      <c r="O39" s="52">
        <f t="shared" ca="1" si="61"/>
        <v>0</v>
      </c>
      <c r="P39" s="52">
        <f t="shared" ca="1" si="61"/>
        <v>0</v>
      </c>
      <c r="Q39" s="52">
        <f t="shared" ca="1" si="61"/>
        <v>0</v>
      </c>
      <c r="R39" s="52">
        <f t="shared" ca="1" si="61"/>
        <v>0</v>
      </c>
      <c r="S39" s="52">
        <f t="shared" ca="1" si="61"/>
        <v>0</v>
      </c>
      <c r="T39" s="52">
        <f t="shared" ca="1" si="61"/>
        <v>0</v>
      </c>
      <c r="U39" s="52">
        <f t="shared" ca="1" si="61"/>
        <v>0</v>
      </c>
      <c r="V39" s="52">
        <f t="shared" ca="1" si="61"/>
        <v>0</v>
      </c>
      <c r="W39" s="52">
        <f t="shared" ca="1" si="61"/>
        <v>0</v>
      </c>
      <c r="X39" s="52">
        <f t="shared" ca="1" si="61"/>
        <v>0</v>
      </c>
      <c r="Y39" s="52">
        <f t="shared" ca="1" si="61"/>
        <v>0</v>
      </c>
      <c r="Z39" s="52">
        <f t="shared" ca="1" si="61"/>
        <v>0</v>
      </c>
      <c r="AA39" s="52">
        <f t="shared" ca="1" si="61"/>
        <v>0</v>
      </c>
      <c r="AB39" s="52">
        <f t="shared" ca="1" si="61"/>
        <v>0</v>
      </c>
      <c r="AC39" s="52">
        <f t="shared" ca="1" si="61"/>
        <v>0</v>
      </c>
      <c r="AD39" s="52">
        <f t="shared" ca="1" si="61"/>
        <v>0</v>
      </c>
      <c r="AE39" s="52">
        <f t="shared" ca="1" si="61"/>
        <v>0</v>
      </c>
      <c r="AF39" s="52">
        <f t="shared" ca="1" si="61"/>
        <v>0</v>
      </c>
      <c r="AG39" s="52">
        <f t="shared" ca="1" si="61"/>
        <v>0</v>
      </c>
      <c r="AH39" s="52">
        <f t="shared" ca="1" si="61"/>
        <v>0</v>
      </c>
      <c r="AI39" s="52">
        <f t="shared" ca="1" si="61"/>
        <v>0</v>
      </c>
      <c r="AJ39" s="52">
        <f t="shared" ca="1" si="61"/>
        <v>0</v>
      </c>
      <c r="AK39" s="52">
        <f t="shared" ca="1" si="61"/>
        <v>0</v>
      </c>
      <c r="AL39" s="52">
        <f t="shared" ca="1" si="61"/>
        <v>0</v>
      </c>
      <c r="AM39" s="52">
        <f t="shared" ca="1" si="61"/>
        <v>0</v>
      </c>
      <c r="AN39" s="52">
        <f t="shared" ca="1" si="61"/>
        <v>0</v>
      </c>
      <c r="AO39" s="52">
        <f t="shared" ca="1" si="61"/>
        <v>0</v>
      </c>
      <c r="AP39" s="52">
        <f t="shared" ca="1" si="61"/>
        <v>0</v>
      </c>
      <c r="AQ39" s="52">
        <f t="shared" ca="1" si="61"/>
        <v>0</v>
      </c>
      <c r="AR39" s="52">
        <f t="shared" ref="AR39:BW39" ca="1" si="62">-Subord_Repayment*Flag_Construction</f>
        <v>0</v>
      </c>
      <c r="AS39" s="52">
        <f t="shared" ca="1" si="62"/>
        <v>0</v>
      </c>
      <c r="AT39" s="52">
        <f t="shared" ca="1" si="62"/>
        <v>0</v>
      </c>
      <c r="AU39" s="52">
        <f t="shared" ca="1" si="62"/>
        <v>0</v>
      </c>
      <c r="AV39" s="52">
        <f t="shared" ca="1" si="62"/>
        <v>0</v>
      </c>
      <c r="AW39" s="52">
        <f t="shared" ca="1" si="62"/>
        <v>0</v>
      </c>
      <c r="AX39" s="52">
        <f t="shared" ca="1" si="62"/>
        <v>0</v>
      </c>
      <c r="AY39" s="52">
        <f t="shared" ca="1" si="62"/>
        <v>0</v>
      </c>
      <c r="AZ39" s="52">
        <f t="shared" ca="1" si="62"/>
        <v>0</v>
      </c>
      <c r="BA39" s="52">
        <f t="shared" ca="1" si="62"/>
        <v>0</v>
      </c>
      <c r="BB39" s="52">
        <f t="shared" ca="1" si="62"/>
        <v>0</v>
      </c>
      <c r="BC39" s="52">
        <f t="shared" ca="1" si="62"/>
        <v>0</v>
      </c>
      <c r="BD39" s="52">
        <f t="shared" ca="1" si="62"/>
        <v>0</v>
      </c>
      <c r="BE39" s="52">
        <f t="shared" ca="1" si="62"/>
        <v>0</v>
      </c>
      <c r="BF39" s="52">
        <f t="shared" ca="1" si="62"/>
        <v>0</v>
      </c>
      <c r="BG39" s="52">
        <f t="shared" ca="1" si="62"/>
        <v>0</v>
      </c>
      <c r="BH39" s="52">
        <f t="shared" ca="1" si="62"/>
        <v>0</v>
      </c>
      <c r="BI39" s="52">
        <f t="shared" ca="1" si="62"/>
        <v>0</v>
      </c>
      <c r="BJ39" s="52">
        <f t="shared" ca="1" si="62"/>
        <v>0</v>
      </c>
      <c r="BK39" s="52">
        <f t="shared" ca="1" si="62"/>
        <v>0</v>
      </c>
      <c r="BL39" s="52">
        <f t="shared" ca="1" si="62"/>
        <v>0</v>
      </c>
      <c r="BM39" s="52">
        <f t="shared" ca="1" si="62"/>
        <v>0</v>
      </c>
      <c r="BN39" s="52">
        <f t="shared" ca="1" si="62"/>
        <v>0</v>
      </c>
      <c r="BO39" s="52">
        <f t="shared" ca="1" si="62"/>
        <v>0</v>
      </c>
      <c r="BP39" s="52">
        <f t="shared" ca="1" si="62"/>
        <v>0</v>
      </c>
      <c r="BQ39" s="52">
        <f t="shared" ca="1" si="62"/>
        <v>0</v>
      </c>
      <c r="BR39" s="52">
        <f t="shared" ca="1" si="62"/>
        <v>0</v>
      </c>
      <c r="BS39" s="52">
        <f t="shared" ca="1" si="62"/>
        <v>0</v>
      </c>
      <c r="BT39" s="52">
        <f t="shared" ca="1" si="62"/>
        <v>0</v>
      </c>
      <c r="BU39" s="52">
        <f t="shared" ca="1" si="62"/>
        <v>0</v>
      </c>
      <c r="BV39" s="52">
        <f t="shared" ca="1" si="62"/>
        <v>0</v>
      </c>
      <c r="BW39" s="52">
        <f t="shared" ca="1" si="62"/>
        <v>0</v>
      </c>
      <c r="BX39" s="52">
        <f t="shared" ref="BX39:CO39" ca="1" si="63">-Subord_Repayment*Flag_Construction</f>
        <v>0</v>
      </c>
      <c r="BY39" s="52">
        <f t="shared" ca="1" si="63"/>
        <v>0</v>
      </c>
      <c r="BZ39" s="52">
        <f t="shared" ca="1" si="63"/>
        <v>0</v>
      </c>
      <c r="CA39" s="52">
        <f t="shared" ca="1" si="63"/>
        <v>0</v>
      </c>
      <c r="CB39" s="52">
        <f t="shared" ca="1" si="63"/>
        <v>0</v>
      </c>
      <c r="CC39" s="52">
        <f t="shared" ca="1" si="63"/>
        <v>0</v>
      </c>
      <c r="CD39" s="52">
        <f t="shared" ca="1" si="63"/>
        <v>0</v>
      </c>
      <c r="CE39" s="52">
        <f t="shared" ca="1" si="63"/>
        <v>0</v>
      </c>
      <c r="CF39" s="52">
        <f t="shared" ca="1" si="63"/>
        <v>0</v>
      </c>
      <c r="CG39" s="52">
        <f t="shared" ca="1" si="63"/>
        <v>0</v>
      </c>
      <c r="CH39" s="52">
        <f t="shared" ca="1" si="63"/>
        <v>0</v>
      </c>
      <c r="CI39" s="52">
        <f t="shared" ca="1" si="63"/>
        <v>0</v>
      </c>
      <c r="CJ39" s="52">
        <f t="shared" ca="1" si="63"/>
        <v>0</v>
      </c>
      <c r="CK39" s="52">
        <f t="shared" ca="1" si="63"/>
        <v>0</v>
      </c>
      <c r="CL39" s="52">
        <f t="shared" ca="1" si="63"/>
        <v>0</v>
      </c>
      <c r="CM39" s="52">
        <f t="shared" ca="1" si="63"/>
        <v>0</v>
      </c>
      <c r="CN39" s="52">
        <f t="shared" ca="1" si="63"/>
        <v>0</v>
      </c>
      <c r="CO39" s="52">
        <f t="shared" ca="1" si="63"/>
        <v>0</v>
      </c>
    </row>
    <row r="40" spans="1:93" ht="15" customHeight="1">
      <c r="A40" s="47"/>
      <c r="B40" s="47"/>
      <c r="C40" s="417" t="s">
        <v>1162</v>
      </c>
      <c r="D40" s="153"/>
      <c r="E40" s="11"/>
      <c r="F40" s="11"/>
      <c r="G40" s="162" t="str">
        <f t="shared" si="42"/>
        <v>тыс. руб.</v>
      </c>
      <c r="H40" s="153"/>
      <c r="I40" s="176">
        <f ca="1">SUM(L40:CO40)</f>
        <v>961679.90095596761</v>
      </c>
      <c r="J40" s="153"/>
      <c r="K40" s="153"/>
      <c r="L40" s="132">
        <f ca="1">SUM(L41:L44)</f>
        <v>5234.3588965478193</v>
      </c>
      <c r="M40" s="132">
        <f t="shared" ref="M40:BX40" ca="1" si="64">SUM(M41:M44)</f>
        <v>5308.6600317512566</v>
      </c>
      <c r="N40" s="132">
        <f t="shared" ca="1" si="64"/>
        <v>5384.015863203389</v>
      </c>
      <c r="O40" s="132">
        <f t="shared" ca="1" si="64"/>
        <v>5460.4413621987187</v>
      </c>
      <c r="P40" s="132">
        <f t="shared" ca="1" si="64"/>
        <v>45931.910967999196</v>
      </c>
      <c r="Q40" s="132">
        <f t="shared" ca="1" si="64"/>
        <v>46384.496760337934</v>
      </c>
      <c r="R40" s="132">
        <f t="shared" ca="1" si="64"/>
        <v>46841.542064486872</v>
      </c>
      <c r="S40" s="132">
        <f t="shared" ca="1" si="64"/>
        <v>47303.090821828868</v>
      </c>
      <c r="T40" s="132">
        <f t="shared" ca="1" si="64"/>
        <v>47769.187406719167</v>
      </c>
      <c r="U40" s="132">
        <f t="shared" ca="1" si="64"/>
        <v>48239.876630751445</v>
      </c>
      <c r="V40" s="132">
        <f t="shared" ca="1" si="64"/>
        <v>48715.20374706632</v>
      </c>
      <c r="W40" s="132">
        <f t="shared" ca="1" si="64"/>
        <v>49195.214454702043</v>
      </c>
      <c r="X40" s="132">
        <f t="shared" ca="1" si="64"/>
        <v>103752.06688500196</v>
      </c>
      <c r="Y40" s="132">
        <f t="shared" ca="1" si="64"/>
        <v>104774.37818031572</v>
      </c>
      <c r="Z40" s="132">
        <f t="shared" ca="1" si="64"/>
        <v>105806.76272444171</v>
      </c>
      <c r="AA40" s="132">
        <f t="shared" ca="1" si="64"/>
        <v>106849.31977319589</v>
      </c>
      <c r="AB40" s="132">
        <f t="shared" ca="1" si="64"/>
        <v>138729.3743854193</v>
      </c>
      <c r="AC40" s="132">
        <f t="shared" ca="1" si="64"/>
        <v>0</v>
      </c>
      <c r="AD40" s="132">
        <f t="shared" ca="1" si="64"/>
        <v>0</v>
      </c>
      <c r="AE40" s="132">
        <f t="shared" ca="1" si="64"/>
        <v>0</v>
      </c>
      <c r="AF40" s="132">
        <f t="shared" ca="1" si="64"/>
        <v>0</v>
      </c>
      <c r="AG40" s="132">
        <f t="shared" ca="1" si="64"/>
        <v>0</v>
      </c>
      <c r="AH40" s="132">
        <f t="shared" ca="1" si="64"/>
        <v>0</v>
      </c>
      <c r="AI40" s="132">
        <f t="shared" ca="1" si="64"/>
        <v>0</v>
      </c>
      <c r="AJ40" s="132">
        <f t="shared" ca="1" si="64"/>
        <v>0</v>
      </c>
      <c r="AK40" s="132">
        <f t="shared" ca="1" si="64"/>
        <v>0</v>
      </c>
      <c r="AL40" s="132">
        <f t="shared" ca="1" si="64"/>
        <v>0</v>
      </c>
      <c r="AM40" s="132">
        <f t="shared" ca="1" si="64"/>
        <v>0</v>
      </c>
      <c r="AN40" s="132">
        <f t="shared" ca="1" si="64"/>
        <v>0</v>
      </c>
      <c r="AO40" s="132">
        <f t="shared" ca="1" si="64"/>
        <v>0</v>
      </c>
      <c r="AP40" s="132">
        <f t="shared" ca="1" si="64"/>
        <v>0</v>
      </c>
      <c r="AQ40" s="132">
        <f t="shared" ca="1" si="64"/>
        <v>0</v>
      </c>
      <c r="AR40" s="132">
        <f t="shared" ca="1" si="64"/>
        <v>0</v>
      </c>
      <c r="AS40" s="132">
        <f t="shared" ca="1" si="64"/>
        <v>0</v>
      </c>
      <c r="AT40" s="132">
        <f t="shared" ca="1" si="64"/>
        <v>0</v>
      </c>
      <c r="AU40" s="132">
        <f t="shared" ca="1" si="64"/>
        <v>0</v>
      </c>
      <c r="AV40" s="132">
        <f t="shared" ca="1" si="64"/>
        <v>0</v>
      </c>
      <c r="AW40" s="132">
        <f t="shared" ca="1" si="64"/>
        <v>0</v>
      </c>
      <c r="AX40" s="132">
        <f t="shared" ca="1" si="64"/>
        <v>0</v>
      </c>
      <c r="AY40" s="132">
        <f t="shared" ca="1" si="64"/>
        <v>0</v>
      </c>
      <c r="AZ40" s="132">
        <f t="shared" ca="1" si="64"/>
        <v>0</v>
      </c>
      <c r="BA40" s="132">
        <f t="shared" ca="1" si="64"/>
        <v>0</v>
      </c>
      <c r="BB40" s="132">
        <f t="shared" ca="1" si="64"/>
        <v>0</v>
      </c>
      <c r="BC40" s="132">
        <f t="shared" ca="1" si="64"/>
        <v>0</v>
      </c>
      <c r="BD40" s="132">
        <f t="shared" ca="1" si="64"/>
        <v>0</v>
      </c>
      <c r="BE40" s="132">
        <f t="shared" ca="1" si="64"/>
        <v>0</v>
      </c>
      <c r="BF40" s="132">
        <f t="shared" ca="1" si="64"/>
        <v>0</v>
      </c>
      <c r="BG40" s="132">
        <f t="shared" ca="1" si="64"/>
        <v>0</v>
      </c>
      <c r="BH40" s="132">
        <f t="shared" ca="1" si="64"/>
        <v>0</v>
      </c>
      <c r="BI40" s="132">
        <f t="shared" ca="1" si="64"/>
        <v>0</v>
      </c>
      <c r="BJ40" s="132">
        <f t="shared" ca="1" si="64"/>
        <v>0</v>
      </c>
      <c r="BK40" s="132">
        <f t="shared" ca="1" si="64"/>
        <v>0</v>
      </c>
      <c r="BL40" s="132">
        <f t="shared" ca="1" si="64"/>
        <v>0</v>
      </c>
      <c r="BM40" s="132">
        <f t="shared" ca="1" si="64"/>
        <v>0</v>
      </c>
      <c r="BN40" s="132">
        <f t="shared" ca="1" si="64"/>
        <v>0</v>
      </c>
      <c r="BO40" s="132">
        <f t="shared" ca="1" si="64"/>
        <v>0</v>
      </c>
      <c r="BP40" s="132">
        <f t="shared" ca="1" si="64"/>
        <v>0</v>
      </c>
      <c r="BQ40" s="132">
        <f t="shared" ca="1" si="64"/>
        <v>0</v>
      </c>
      <c r="BR40" s="132">
        <f t="shared" ca="1" si="64"/>
        <v>0</v>
      </c>
      <c r="BS40" s="132">
        <f t="shared" ca="1" si="64"/>
        <v>0</v>
      </c>
      <c r="BT40" s="132">
        <f t="shared" ca="1" si="64"/>
        <v>0</v>
      </c>
      <c r="BU40" s="132">
        <f t="shared" ca="1" si="64"/>
        <v>0</v>
      </c>
      <c r="BV40" s="132">
        <f t="shared" ca="1" si="64"/>
        <v>0</v>
      </c>
      <c r="BW40" s="132">
        <f t="shared" ca="1" si="64"/>
        <v>0</v>
      </c>
      <c r="BX40" s="132">
        <f t="shared" ca="1" si="64"/>
        <v>0</v>
      </c>
      <c r="BY40" s="132">
        <f t="shared" ref="BY40:CO40" ca="1" si="65">SUM(BY41:BY44)</f>
        <v>0</v>
      </c>
      <c r="BZ40" s="132">
        <f t="shared" ca="1" si="65"/>
        <v>0</v>
      </c>
      <c r="CA40" s="132">
        <f t="shared" ca="1" si="65"/>
        <v>0</v>
      </c>
      <c r="CB40" s="132">
        <f t="shared" ca="1" si="65"/>
        <v>0</v>
      </c>
      <c r="CC40" s="132">
        <f t="shared" ca="1" si="65"/>
        <v>0</v>
      </c>
      <c r="CD40" s="132">
        <f t="shared" ca="1" si="65"/>
        <v>0</v>
      </c>
      <c r="CE40" s="132">
        <f t="shared" ca="1" si="65"/>
        <v>0</v>
      </c>
      <c r="CF40" s="132">
        <f t="shared" ca="1" si="65"/>
        <v>0</v>
      </c>
      <c r="CG40" s="132">
        <f t="shared" ca="1" si="65"/>
        <v>0</v>
      </c>
      <c r="CH40" s="132">
        <f t="shared" ca="1" si="65"/>
        <v>0</v>
      </c>
      <c r="CI40" s="132">
        <f t="shared" ca="1" si="65"/>
        <v>0</v>
      </c>
      <c r="CJ40" s="132">
        <f t="shared" ca="1" si="65"/>
        <v>0</v>
      </c>
      <c r="CK40" s="132">
        <f t="shared" ca="1" si="65"/>
        <v>0</v>
      </c>
      <c r="CL40" s="132">
        <f t="shared" ca="1" si="65"/>
        <v>0</v>
      </c>
      <c r="CM40" s="132">
        <f t="shared" ca="1" si="65"/>
        <v>0</v>
      </c>
      <c r="CN40" s="132">
        <f t="shared" ca="1" si="65"/>
        <v>0</v>
      </c>
      <c r="CO40" s="132">
        <f t="shared" ca="1" si="65"/>
        <v>0</v>
      </c>
    </row>
    <row r="41" spans="1:93" ht="15" customHeight="1">
      <c r="A41" s="47"/>
      <c r="B41" s="47"/>
      <c r="C41" s="418" t="s">
        <v>1161</v>
      </c>
      <c r="D41" s="153"/>
      <c r="E41" s="11"/>
      <c r="F41" s="11"/>
      <c r="G41" s="11" t="str">
        <f t="shared" si="42"/>
        <v>тыс. руб.</v>
      </c>
      <c r="H41" s="153"/>
      <c r="I41" s="23">
        <f t="shared" ca="1" si="60"/>
        <v>961679.90095596761</v>
      </c>
      <c r="J41" s="153"/>
      <c r="K41" s="153"/>
      <c r="L41" s="52">
        <f t="shared" ref="L41:AQ41" ca="1" si="66">(-VAT_Cash_Flow+VAT_from_Investor)*Flag_Construction+L21</f>
        <v>5234.3588965478193</v>
      </c>
      <c r="M41" s="52">
        <f t="shared" ca="1" si="66"/>
        <v>5308.6600317512566</v>
      </c>
      <c r="N41" s="52">
        <f t="shared" ca="1" si="66"/>
        <v>5384.015863203389</v>
      </c>
      <c r="O41" s="52">
        <f t="shared" ca="1" si="66"/>
        <v>5460.4413621987187</v>
      </c>
      <c r="P41" s="52">
        <f t="shared" ca="1" si="66"/>
        <v>45931.910967999196</v>
      </c>
      <c r="Q41" s="52">
        <f t="shared" ca="1" si="66"/>
        <v>46384.496760337934</v>
      </c>
      <c r="R41" s="52">
        <f t="shared" ca="1" si="66"/>
        <v>46841.542064486872</v>
      </c>
      <c r="S41" s="52">
        <f t="shared" ca="1" si="66"/>
        <v>47303.090821828868</v>
      </c>
      <c r="T41" s="52">
        <f t="shared" ca="1" si="66"/>
        <v>47769.187406719167</v>
      </c>
      <c r="U41" s="52">
        <f t="shared" ca="1" si="66"/>
        <v>48239.876630751445</v>
      </c>
      <c r="V41" s="52">
        <f t="shared" ca="1" si="66"/>
        <v>48715.20374706632</v>
      </c>
      <c r="W41" s="52">
        <f t="shared" ca="1" si="66"/>
        <v>49195.214454702043</v>
      </c>
      <c r="X41" s="52">
        <f t="shared" ca="1" si="66"/>
        <v>103752.06688500196</v>
      </c>
      <c r="Y41" s="52">
        <f t="shared" ca="1" si="66"/>
        <v>104774.37818031572</v>
      </c>
      <c r="Z41" s="52">
        <f t="shared" ca="1" si="66"/>
        <v>105806.76272444171</v>
      </c>
      <c r="AA41" s="52">
        <f t="shared" ca="1" si="66"/>
        <v>106849.31977319589</v>
      </c>
      <c r="AB41" s="52">
        <f t="shared" ca="1" si="66"/>
        <v>138729.3743854193</v>
      </c>
      <c r="AC41" s="52">
        <f t="shared" ca="1" si="66"/>
        <v>0</v>
      </c>
      <c r="AD41" s="52">
        <f t="shared" ca="1" si="66"/>
        <v>0</v>
      </c>
      <c r="AE41" s="52">
        <f t="shared" ca="1" si="66"/>
        <v>0</v>
      </c>
      <c r="AF41" s="52">
        <f t="shared" ca="1" si="66"/>
        <v>0</v>
      </c>
      <c r="AG41" s="52">
        <f t="shared" ca="1" si="66"/>
        <v>0</v>
      </c>
      <c r="AH41" s="52">
        <f t="shared" ca="1" si="66"/>
        <v>0</v>
      </c>
      <c r="AI41" s="52">
        <f t="shared" ca="1" si="66"/>
        <v>0</v>
      </c>
      <c r="AJ41" s="52">
        <f t="shared" ca="1" si="66"/>
        <v>0</v>
      </c>
      <c r="AK41" s="52">
        <f t="shared" ca="1" si="66"/>
        <v>0</v>
      </c>
      <c r="AL41" s="52">
        <f t="shared" ca="1" si="66"/>
        <v>0</v>
      </c>
      <c r="AM41" s="52">
        <f t="shared" ca="1" si="66"/>
        <v>0</v>
      </c>
      <c r="AN41" s="52">
        <f t="shared" ca="1" si="66"/>
        <v>0</v>
      </c>
      <c r="AO41" s="52">
        <f t="shared" ca="1" si="66"/>
        <v>0</v>
      </c>
      <c r="AP41" s="52">
        <f t="shared" ca="1" si="66"/>
        <v>0</v>
      </c>
      <c r="AQ41" s="52">
        <f t="shared" ca="1" si="66"/>
        <v>0</v>
      </c>
      <c r="AR41" s="52">
        <f t="shared" ref="AR41:BW41" ca="1" si="67">(-VAT_Cash_Flow+VAT_from_Investor)*Flag_Construction+AR21</f>
        <v>0</v>
      </c>
      <c r="AS41" s="52">
        <f t="shared" ca="1" si="67"/>
        <v>0</v>
      </c>
      <c r="AT41" s="52">
        <f t="shared" ca="1" si="67"/>
        <v>0</v>
      </c>
      <c r="AU41" s="52">
        <f t="shared" ca="1" si="67"/>
        <v>0</v>
      </c>
      <c r="AV41" s="52">
        <f t="shared" ca="1" si="67"/>
        <v>0</v>
      </c>
      <c r="AW41" s="52">
        <f t="shared" ca="1" si="67"/>
        <v>0</v>
      </c>
      <c r="AX41" s="52">
        <f t="shared" ca="1" si="67"/>
        <v>0</v>
      </c>
      <c r="AY41" s="52">
        <f t="shared" ca="1" si="67"/>
        <v>0</v>
      </c>
      <c r="AZ41" s="52">
        <f t="shared" ca="1" si="67"/>
        <v>0</v>
      </c>
      <c r="BA41" s="52">
        <f t="shared" ca="1" si="67"/>
        <v>0</v>
      </c>
      <c r="BB41" s="52">
        <f t="shared" ca="1" si="67"/>
        <v>0</v>
      </c>
      <c r="BC41" s="52">
        <f t="shared" ca="1" si="67"/>
        <v>0</v>
      </c>
      <c r="BD41" s="52">
        <f t="shared" ca="1" si="67"/>
        <v>0</v>
      </c>
      <c r="BE41" s="52">
        <f t="shared" ca="1" si="67"/>
        <v>0</v>
      </c>
      <c r="BF41" s="52">
        <f t="shared" ca="1" si="67"/>
        <v>0</v>
      </c>
      <c r="BG41" s="52">
        <f t="shared" ca="1" si="67"/>
        <v>0</v>
      </c>
      <c r="BH41" s="52">
        <f t="shared" ca="1" si="67"/>
        <v>0</v>
      </c>
      <c r="BI41" s="52">
        <f t="shared" ca="1" si="67"/>
        <v>0</v>
      </c>
      <c r="BJ41" s="52">
        <f t="shared" ca="1" si="67"/>
        <v>0</v>
      </c>
      <c r="BK41" s="52">
        <f t="shared" ca="1" si="67"/>
        <v>0</v>
      </c>
      <c r="BL41" s="52">
        <f t="shared" ca="1" si="67"/>
        <v>0</v>
      </c>
      <c r="BM41" s="52">
        <f t="shared" ca="1" si="67"/>
        <v>0</v>
      </c>
      <c r="BN41" s="52">
        <f t="shared" ca="1" si="67"/>
        <v>0</v>
      </c>
      <c r="BO41" s="52">
        <f t="shared" ca="1" si="67"/>
        <v>0</v>
      </c>
      <c r="BP41" s="52">
        <f t="shared" ca="1" si="67"/>
        <v>0</v>
      </c>
      <c r="BQ41" s="52">
        <f t="shared" ca="1" si="67"/>
        <v>0</v>
      </c>
      <c r="BR41" s="52">
        <f t="shared" ca="1" si="67"/>
        <v>0</v>
      </c>
      <c r="BS41" s="52">
        <f t="shared" ca="1" si="67"/>
        <v>0</v>
      </c>
      <c r="BT41" s="52">
        <f t="shared" ca="1" si="67"/>
        <v>0</v>
      </c>
      <c r="BU41" s="52">
        <f t="shared" ca="1" si="67"/>
        <v>0</v>
      </c>
      <c r="BV41" s="52">
        <f t="shared" ca="1" si="67"/>
        <v>0</v>
      </c>
      <c r="BW41" s="52">
        <f t="shared" ca="1" si="67"/>
        <v>0</v>
      </c>
      <c r="BX41" s="52">
        <f t="shared" ref="BX41:CO41" ca="1" si="68">(-VAT_Cash_Flow+VAT_from_Investor)*Flag_Construction+BX21</f>
        <v>0</v>
      </c>
      <c r="BY41" s="52">
        <f t="shared" ca="1" si="68"/>
        <v>0</v>
      </c>
      <c r="BZ41" s="52">
        <f t="shared" ca="1" si="68"/>
        <v>0</v>
      </c>
      <c r="CA41" s="52">
        <f t="shared" ca="1" si="68"/>
        <v>0</v>
      </c>
      <c r="CB41" s="52">
        <f t="shared" ca="1" si="68"/>
        <v>0</v>
      </c>
      <c r="CC41" s="52">
        <f t="shared" ca="1" si="68"/>
        <v>0</v>
      </c>
      <c r="CD41" s="52">
        <f t="shared" ca="1" si="68"/>
        <v>0</v>
      </c>
      <c r="CE41" s="52">
        <f t="shared" ca="1" si="68"/>
        <v>0</v>
      </c>
      <c r="CF41" s="52">
        <f t="shared" ca="1" si="68"/>
        <v>0</v>
      </c>
      <c r="CG41" s="52">
        <f t="shared" ca="1" si="68"/>
        <v>0</v>
      </c>
      <c r="CH41" s="52">
        <f t="shared" ca="1" si="68"/>
        <v>0</v>
      </c>
      <c r="CI41" s="52">
        <f t="shared" ca="1" si="68"/>
        <v>0</v>
      </c>
      <c r="CJ41" s="52">
        <f t="shared" ca="1" si="68"/>
        <v>0</v>
      </c>
      <c r="CK41" s="52">
        <f t="shared" ca="1" si="68"/>
        <v>0</v>
      </c>
      <c r="CL41" s="52">
        <f t="shared" ca="1" si="68"/>
        <v>0</v>
      </c>
      <c r="CM41" s="52">
        <f t="shared" ca="1" si="68"/>
        <v>0</v>
      </c>
      <c r="CN41" s="52">
        <f t="shared" ca="1" si="68"/>
        <v>0</v>
      </c>
      <c r="CO41" s="52">
        <f t="shared" ca="1" si="68"/>
        <v>0</v>
      </c>
    </row>
    <row r="42" spans="1:93" ht="15" customHeight="1">
      <c r="A42" s="47"/>
      <c r="B42" s="47"/>
      <c r="C42" s="418" t="s">
        <v>1223</v>
      </c>
      <c r="D42" s="153"/>
      <c r="E42" s="11"/>
      <c r="F42" s="11"/>
      <c r="G42" s="11" t="str">
        <f t="shared" si="42"/>
        <v>тыс. руб.</v>
      </c>
      <c r="H42" s="153"/>
      <c r="I42" s="23">
        <f t="shared" ref="I42" ca="1" si="69">SUM(L42:CO42)</f>
        <v>0</v>
      </c>
      <c r="J42" s="153"/>
      <c r="K42" s="153"/>
      <c r="L42" s="52">
        <f t="shared" ref="L42:AQ42" ca="1" si="70">-COGS_Capitalised-SGA_Capitalised</f>
        <v>0</v>
      </c>
      <c r="M42" s="52">
        <f t="shared" ca="1" si="70"/>
        <v>0</v>
      </c>
      <c r="N42" s="52">
        <f t="shared" ca="1" si="70"/>
        <v>0</v>
      </c>
      <c r="O42" s="52">
        <f t="shared" ca="1" si="70"/>
        <v>0</v>
      </c>
      <c r="P42" s="52">
        <f t="shared" ca="1" si="70"/>
        <v>0</v>
      </c>
      <c r="Q42" s="52">
        <f t="shared" ca="1" si="70"/>
        <v>0</v>
      </c>
      <c r="R42" s="52">
        <f t="shared" ca="1" si="70"/>
        <v>0</v>
      </c>
      <c r="S42" s="52">
        <f t="shared" ca="1" si="70"/>
        <v>0</v>
      </c>
      <c r="T42" s="52">
        <f t="shared" ca="1" si="70"/>
        <v>0</v>
      </c>
      <c r="U42" s="52">
        <f t="shared" ca="1" si="70"/>
        <v>0</v>
      </c>
      <c r="V42" s="52">
        <f t="shared" ca="1" si="70"/>
        <v>0</v>
      </c>
      <c r="W42" s="52">
        <f t="shared" ca="1" si="70"/>
        <v>0</v>
      </c>
      <c r="X42" s="52">
        <f t="shared" ca="1" si="70"/>
        <v>0</v>
      </c>
      <c r="Y42" s="52">
        <f t="shared" ca="1" si="70"/>
        <v>0</v>
      </c>
      <c r="Z42" s="52">
        <f t="shared" ca="1" si="70"/>
        <v>0</v>
      </c>
      <c r="AA42" s="52">
        <f t="shared" ca="1" si="70"/>
        <v>0</v>
      </c>
      <c r="AB42" s="52">
        <f t="shared" ca="1" si="70"/>
        <v>0</v>
      </c>
      <c r="AC42" s="52">
        <f t="shared" ca="1" si="70"/>
        <v>0</v>
      </c>
      <c r="AD42" s="52">
        <f t="shared" ca="1" si="70"/>
        <v>0</v>
      </c>
      <c r="AE42" s="52">
        <f t="shared" ca="1" si="70"/>
        <v>0</v>
      </c>
      <c r="AF42" s="52">
        <f t="shared" ca="1" si="70"/>
        <v>0</v>
      </c>
      <c r="AG42" s="52">
        <f t="shared" ca="1" si="70"/>
        <v>0</v>
      </c>
      <c r="AH42" s="52">
        <f t="shared" ca="1" si="70"/>
        <v>0</v>
      </c>
      <c r="AI42" s="52">
        <f t="shared" ca="1" si="70"/>
        <v>0</v>
      </c>
      <c r="AJ42" s="52">
        <f t="shared" ca="1" si="70"/>
        <v>0</v>
      </c>
      <c r="AK42" s="52">
        <f t="shared" ca="1" si="70"/>
        <v>0</v>
      </c>
      <c r="AL42" s="52">
        <f t="shared" ca="1" si="70"/>
        <v>0</v>
      </c>
      <c r="AM42" s="52">
        <f t="shared" ca="1" si="70"/>
        <v>0</v>
      </c>
      <c r="AN42" s="52">
        <f t="shared" ca="1" si="70"/>
        <v>0</v>
      </c>
      <c r="AO42" s="52">
        <f t="shared" ca="1" si="70"/>
        <v>0</v>
      </c>
      <c r="AP42" s="52">
        <f t="shared" ca="1" si="70"/>
        <v>0</v>
      </c>
      <c r="AQ42" s="52">
        <f t="shared" ca="1" si="70"/>
        <v>0</v>
      </c>
      <c r="AR42" s="52">
        <f t="shared" ref="AR42:BW42" ca="1" si="71">-COGS_Capitalised-SGA_Capitalised</f>
        <v>0</v>
      </c>
      <c r="AS42" s="52">
        <f t="shared" ca="1" si="71"/>
        <v>0</v>
      </c>
      <c r="AT42" s="52">
        <f t="shared" ca="1" si="71"/>
        <v>0</v>
      </c>
      <c r="AU42" s="52">
        <f t="shared" ca="1" si="71"/>
        <v>0</v>
      </c>
      <c r="AV42" s="52">
        <f t="shared" ca="1" si="71"/>
        <v>0</v>
      </c>
      <c r="AW42" s="52">
        <f t="shared" ca="1" si="71"/>
        <v>0</v>
      </c>
      <c r="AX42" s="52">
        <f t="shared" ca="1" si="71"/>
        <v>0</v>
      </c>
      <c r="AY42" s="52">
        <f t="shared" ca="1" si="71"/>
        <v>0</v>
      </c>
      <c r="AZ42" s="52">
        <f t="shared" ca="1" si="71"/>
        <v>0</v>
      </c>
      <c r="BA42" s="52">
        <f t="shared" ca="1" si="71"/>
        <v>0</v>
      </c>
      <c r="BB42" s="52">
        <f t="shared" ca="1" si="71"/>
        <v>0</v>
      </c>
      <c r="BC42" s="52">
        <f t="shared" ca="1" si="71"/>
        <v>0</v>
      </c>
      <c r="BD42" s="52">
        <f t="shared" ca="1" si="71"/>
        <v>0</v>
      </c>
      <c r="BE42" s="52">
        <f t="shared" ca="1" si="71"/>
        <v>0</v>
      </c>
      <c r="BF42" s="52">
        <f t="shared" ca="1" si="71"/>
        <v>0</v>
      </c>
      <c r="BG42" s="52">
        <f t="shared" ca="1" si="71"/>
        <v>0</v>
      </c>
      <c r="BH42" s="52">
        <f t="shared" ca="1" si="71"/>
        <v>0</v>
      </c>
      <c r="BI42" s="52">
        <f t="shared" ca="1" si="71"/>
        <v>0</v>
      </c>
      <c r="BJ42" s="52">
        <f t="shared" ca="1" si="71"/>
        <v>0</v>
      </c>
      <c r="BK42" s="52">
        <f t="shared" ca="1" si="71"/>
        <v>0</v>
      </c>
      <c r="BL42" s="52">
        <f t="shared" ca="1" si="71"/>
        <v>0</v>
      </c>
      <c r="BM42" s="52">
        <f t="shared" ca="1" si="71"/>
        <v>0</v>
      </c>
      <c r="BN42" s="52">
        <f t="shared" ca="1" si="71"/>
        <v>0</v>
      </c>
      <c r="BO42" s="52">
        <f t="shared" ca="1" si="71"/>
        <v>0</v>
      </c>
      <c r="BP42" s="52">
        <f t="shared" ca="1" si="71"/>
        <v>0</v>
      </c>
      <c r="BQ42" s="52">
        <f t="shared" ca="1" si="71"/>
        <v>0</v>
      </c>
      <c r="BR42" s="52">
        <f t="shared" ca="1" si="71"/>
        <v>0</v>
      </c>
      <c r="BS42" s="52">
        <f t="shared" ca="1" si="71"/>
        <v>0</v>
      </c>
      <c r="BT42" s="52">
        <f t="shared" ca="1" si="71"/>
        <v>0</v>
      </c>
      <c r="BU42" s="52">
        <f t="shared" ca="1" si="71"/>
        <v>0</v>
      </c>
      <c r="BV42" s="52">
        <f t="shared" ca="1" si="71"/>
        <v>0</v>
      </c>
      <c r="BW42" s="52">
        <f t="shared" ca="1" si="71"/>
        <v>0</v>
      </c>
      <c r="BX42" s="52">
        <f t="shared" ref="BX42:CO42" ca="1" si="72">-COGS_Capitalised-SGA_Capitalised</f>
        <v>0</v>
      </c>
      <c r="BY42" s="52">
        <f t="shared" ca="1" si="72"/>
        <v>0</v>
      </c>
      <c r="BZ42" s="52">
        <f t="shared" ca="1" si="72"/>
        <v>0</v>
      </c>
      <c r="CA42" s="52">
        <f t="shared" ca="1" si="72"/>
        <v>0</v>
      </c>
      <c r="CB42" s="52">
        <f t="shared" ca="1" si="72"/>
        <v>0</v>
      </c>
      <c r="CC42" s="52">
        <f t="shared" ca="1" si="72"/>
        <v>0</v>
      </c>
      <c r="CD42" s="52">
        <f t="shared" ca="1" si="72"/>
        <v>0</v>
      </c>
      <c r="CE42" s="52">
        <f t="shared" ca="1" si="72"/>
        <v>0</v>
      </c>
      <c r="CF42" s="52">
        <f t="shared" ca="1" si="72"/>
        <v>0</v>
      </c>
      <c r="CG42" s="52">
        <f t="shared" ca="1" si="72"/>
        <v>0</v>
      </c>
      <c r="CH42" s="52">
        <f t="shared" ca="1" si="72"/>
        <v>0</v>
      </c>
      <c r="CI42" s="52">
        <f t="shared" ca="1" si="72"/>
        <v>0</v>
      </c>
      <c r="CJ42" s="52">
        <f t="shared" ca="1" si="72"/>
        <v>0</v>
      </c>
      <c r="CK42" s="52">
        <f t="shared" ca="1" si="72"/>
        <v>0</v>
      </c>
      <c r="CL42" s="52">
        <f t="shared" ca="1" si="72"/>
        <v>0</v>
      </c>
      <c r="CM42" s="52">
        <f t="shared" ca="1" si="72"/>
        <v>0</v>
      </c>
      <c r="CN42" s="52">
        <f t="shared" ca="1" si="72"/>
        <v>0</v>
      </c>
      <c r="CO42" s="52">
        <f t="shared" ca="1" si="72"/>
        <v>0</v>
      </c>
    </row>
    <row r="43" spans="1:93" ht="15" customHeight="1">
      <c r="A43" s="47"/>
      <c r="B43" s="47"/>
      <c r="C43" s="418" t="s">
        <v>511</v>
      </c>
      <c r="D43" s="153"/>
      <c r="E43" s="11"/>
      <c r="F43" s="11"/>
      <c r="G43" s="11" t="str">
        <f t="shared" si="42"/>
        <v>тыс. руб.</v>
      </c>
      <c r="H43" s="153"/>
      <c r="I43" s="23">
        <f t="shared" ca="1" si="60"/>
        <v>0</v>
      </c>
      <c r="J43" s="153"/>
      <c r="K43" s="153"/>
      <c r="L43" s="52">
        <f t="shared" ref="L43:AQ43" ca="1" si="73">-MIN(WC_Cash_Flow*Flag_Construction,0)</f>
        <v>0</v>
      </c>
      <c r="M43" s="52">
        <f t="shared" ca="1" si="73"/>
        <v>0</v>
      </c>
      <c r="N43" s="52">
        <f t="shared" ca="1" si="73"/>
        <v>0</v>
      </c>
      <c r="O43" s="52">
        <f t="shared" ca="1" si="73"/>
        <v>0</v>
      </c>
      <c r="P43" s="52">
        <f t="shared" ca="1" si="73"/>
        <v>0</v>
      </c>
      <c r="Q43" s="52">
        <f t="shared" ca="1" si="73"/>
        <v>0</v>
      </c>
      <c r="R43" s="52">
        <f t="shared" ca="1" si="73"/>
        <v>0</v>
      </c>
      <c r="S43" s="52">
        <f t="shared" ca="1" si="73"/>
        <v>0</v>
      </c>
      <c r="T43" s="52">
        <f t="shared" ca="1" si="73"/>
        <v>0</v>
      </c>
      <c r="U43" s="52">
        <f t="shared" ca="1" si="73"/>
        <v>0</v>
      </c>
      <c r="V43" s="52">
        <f t="shared" ca="1" si="73"/>
        <v>0</v>
      </c>
      <c r="W43" s="52">
        <f t="shared" ca="1" si="73"/>
        <v>0</v>
      </c>
      <c r="X43" s="52">
        <f t="shared" ca="1" si="73"/>
        <v>0</v>
      </c>
      <c r="Y43" s="52">
        <f t="shared" ca="1" si="73"/>
        <v>0</v>
      </c>
      <c r="Z43" s="52">
        <f t="shared" ca="1" si="73"/>
        <v>0</v>
      </c>
      <c r="AA43" s="52">
        <f t="shared" ca="1" si="73"/>
        <v>0</v>
      </c>
      <c r="AB43" s="52">
        <f t="shared" ca="1" si="73"/>
        <v>0</v>
      </c>
      <c r="AC43" s="52">
        <f t="shared" ca="1" si="73"/>
        <v>0</v>
      </c>
      <c r="AD43" s="52">
        <f t="shared" ca="1" si="73"/>
        <v>0</v>
      </c>
      <c r="AE43" s="52">
        <f t="shared" ca="1" si="73"/>
        <v>0</v>
      </c>
      <c r="AF43" s="52">
        <f t="shared" ca="1" si="73"/>
        <v>0</v>
      </c>
      <c r="AG43" s="52">
        <f t="shared" ca="1" si="73"/>
        <v>0</v>
      </c>
      <c r="AH43" s="52">
        <f t="shared" ca="1" si="73"/>
        <v>0</v>
      </c>
      <c r="AI43" s="52">
        <f t="shared" ca="1" si="73"/>
        <v>0</v>
      </c>
      <c r="AJ43" s="52">
        <f t="shared" ca="1" si="73"/>
        <v>0</v>
      </c>
      <c r="AK43" s="52">
        <f t="shared" ca="1" si="73"/>
        <v>0</v>
      </c>
      <c r="AL43" s="52">
        <f t="shared" ca="1" si="73"/>
        <v>0</v>
      </c>
      <c r="AM43" s="52">
        <f t="shared" ca="1" si="73"/>
        <v>0</v>
      </c>
      <c r="AN43" s="52">
        <f t="shared" ca="1" si="73"/>
        <v>0</v>
      </c>
      <c r="AO43" s="52">
        <f t="shared" ca="1" si="73"/>
        <v>0</v>
      </c>
      <c r="AP43" s="52">
        <f t="shared" ca="1" si="73"/>
        <v>0</v>
      </c>
      <c r="AQ43" s="52">
        <f t="shared" ca="1" si="73"/>
        <v>0</v>
      </c>
      <c r="AR43" s="52">
        <f t="shared" ref="AR43:BW43" ca="1" si="74">-MIN(WC_Cash_Flow*Flag_Construction,0)</f>
        <v>0</v>
      </c>
      <c r="AS43" s="52">
        <f t="shared" ca="1" si="74"/>
        <v>0</v>
      </c>
      <c r="AT43" s="52">
        <f t="shared" ca="1" si="74"/>
        <v>0</v>
      </c>
      <c r="AU43" s="52">
        <f t="shared" ca="1" si="74"/>
        <v>0</v>
      </c>
      <c r="AV43" s="52">
        <f t="shared" ca="1" si="74"/>
        <v>0</v>
      </c>
      <c r="AW43" s="52">
        <f t="shared" ca="1" si="74"/>
        <v>0</v>
      </c>
      <c r="AX43" s="52">
        <f t="shared" ca="1" si="74"/>
        <v>0</v>
      </c>
      <c r="AY43" s="52">
        <f t="shared" ca="1" si="74"/>
        <v>0</v>
      </c>
      <c r="AZ43" s="52">
        <f t="shared" ca="1" si="74"/>
        <v>0</v>
      </c>
      <c r="BA43" s="52">
        <f t="shared" ca="1" si="74"/>
        <v>0</v>
      </c>
      <c r="BB43" s="52">
        <f t="shared" ca="1" si="74"/>
        <v>0</v>
      </c>
      <c r="BC43" s="52">
        <f t="shared" ca="1" si="74"/>
        <v>0</v>
      </c>
      <c r="BD43" s="52">
        <f t="shared" ca="1" si="74"/>
        <v>0</v>
      </c>
      <c r="BE43" s="52">
        <f t="shared" ca="1" si="74"/>
        <v>0</v>
      </c>
      <c r="BF43" s="52">
        <f t="shared" ca="1" si="74"/>
        <v>0</v>
      </c>
      <c r="BG43" s="52">
        <f t="shared" ca="1" si="74"/>
        <v>0</v>
      </c>
      <c r="BH43" s="52">
        <f t="shared" ca="1" si="74"/>
        <v>0</v>
      </c>
      <c r="BI43" s="52">
        <f t="shared" ca="1" si="74"/>
        <v>0</v>
      </c>
      <c r="BJ43" s="52">
        <f t="shared" ca="1" si="74"/>
        <v>0</v>
      </c>
      <c r="BK43" s="52">
        <f t="shared" ca="1" si="74"/>
        <v>0</v>
      </c>
      <c r="BL43" s="52">
        <f t="shared" ca="1" si="74"/>
        <v>0</v>
      </c>
      <c r="BM43" s="52">
        <f t="shared" ca="1" si="74"/>
        <v>0</v>
      </c>
      <c r="BN43" s="52">
        <f t="shared" ca="1" si="74"/>
        <v>0</v>
      </c>
      <c r="BO43" s="52">
        <f t="shared" ca="1" si="74"/>
        <v>0</v>
      </c>
      <c r="BP43" s="52">
        <f t="shared" ca="1" si="74"/>
        <v>0</v>
      </c>
      <c r="BQ43" s="52">
        <f t="shared" ca="1" si="74"/>
        <v>0</v>
      </c>
      <c r="BR43" s="52">
        <f t="shared" ca="1" si="74"/>
        <v>0</v>
      </c>
      <c r="BS43" s="52">
        <f t="shared" ca="1" si="74"/>
        <v>0</v>
      </c>
      <c r="BT43" s="52">
        <f t="shared" ca="1" si="74"/>
        <v>0</v>
      </c>
      <c r="BU43" s="52">
        <f t="shared" ca="1" si="74"/>
        <v>0</v>
      </c>
      <c r="BV43" s="52">
        <f t="shared" ca="1" si="74"/>
        <v>0</v>
      </c>
      <c r="BW43" s="52">
        <f t="shared" ca="1" si="74"/>
        <v>0</v>
      </c>
      <c r="BX43" s="52">
        <f t="shared" ref="BX43:CO43" ca="1" si="75">-MIN(WC_Cash_Flow*Flag_Construction,0)</f>
        <v>0</v>
      </c>
      <c r="BY43" s="52">
        <f t="shared" ca="1" si="75"/>
        <v>0</v>
      </c>
      <c r="BZ43" s="52">
        <f t="shared" ca="1" si="75"/>
        <v>0</v>
      </c>
      <c r="CA43" s="52">
        <f t="shared" ca="1" si="75"/>
        <v>0</v>
      </c>
      <c r="CB43" s="52">
        <f t="shared" ca="1" si="75"/>
        <v>0</v>
      </c>
      <c r="CC43" s="52">
        <f t="shared" ca="1" si="75"/>
        <v>0</v>
      </c>
      <c r="CD43" s="52">
        <f t="shared" ca="1" si="75"/>
        <v>0</v>
      </c>
      <c r="CE43" s="52">
        <f t="shared" ca="1" si="75"/>
        <v>0</v>
      </c>
      <c r="CF43" s="52">
        <f t="shared" ca="1" si="75"/>
        <v>0</v>
      </c>
      <c r="CG43" s="52">
        <f t="shared" ca="1" si="75"/>
        <v>0</v>
      </c>
      <c r="CH43" s="52">
        <f t="shared" ca="1" si="75"/>
        <v>0</v>
      </c>
      <c r="CI43" s="52">
        <f t="shared" ca="1" si="75"/>
        <v>0</v>
      </c>
      <c r="CJ43" s="52">
        <f t="shared" ca="1" si="75"/>
        <v>0</v>
      </c>
      <c r="CK43" s="52">
        <f t="shared" ca="1" si="75"/>
        <v>0</v>
      </c>
      <c r="CL43" s="52">
        <f t="shared" ca="1" si="75"/>
        <v>0</v>
      </c>
      <c r="CM43" s="52">
        <f t="shared" ca="1" si="75"/>
        <v>0</v>
      </c>
      <c r="CN43" s="52">
        <f t="shared" ca="1" si="75"/>
        <v>0</v>
      </c>
      <c r="CO43" s="52">
        <f t="shared" ca="1" si="75"/>
        <v>0</v>
      </c>
    </row>
    <row r="44" spans="1:93" ht="15" customHeight="1">
      <c r="A44" s="47"/>
      <c r="B44" s="47"/>
      <c r="C44" s="418" t="s">
        <v>470</v>
      </c>
      <c r="D44" s="153"/>
      <c r="E44" s="11"/>
      <c r="F44" s="11"/>
      <c r="G44" s="11" t="str">
        <f t="shared" si="42"/>
        <v>тыс. руб.</v>
      </c>
      <c r="H44" s="153"/>
      <c r="I44" s="23">
        <f t="shared" ca="1" si="60"/>
        <v>0</v>
      </c>
      <c r="J44" s="153"/>
      <c r="K44" s="153"/>
      <c r="L44" s="52">
        <f t="shared" ref="L44:AQ44" ca="1" si="76">MAX((Cash_EoP-Cash_BoP)*Flag_Construction,0)</f>
        <v>0</v>
      </c>
      <c r="M44" s="52">
        <f t="shared" ca="1" si="76"/>
        <v>0</v>
      </c>
      <c r="N44" s="52">
        <f t="shared" ca="1" si="76"/>
        <v>0</v>
      </c>
      <c r="O44" s="52">
        <f t="shared" ca="1" si="76"/>
        <v>0</v>
      </c>
      <c r="P44" s="52">
        <f t="shared" ca="1" si="76"/>
        <v>0</v>
      </c>
      <c r="Q44" s="52">
        <f t="shared" ca="1" si="76"/>
        <v>0</v>
      </c>
      <c r="R44" s="52">
        <f t="shared" ca="1" si="76"/>
        <v>0</v>
      </c>
      <c r="S44" s="52">
        <f t="shared" ca="1" si="76"/>
        <v>0</v>
      </c>
      <c r="T44" s="52">
        <f t="shared" ca="1" si="76"/>
        <v>0</v>
      </c>
      <c r="U44" s="52">
        <f t="shared" ca="1" si="76"/>
        <v>0</v>
      </c>
      <c r="V44" s="52">
        <f t="shared" ca="1" si="76"/>
        <v>0</v>
      </c>
      <c r="W44" s="52">
        <f t="shared" ca="1" si="76"/>
        <v>0</v>
      </c>
      <c r="X44" s="52">
        <f t="shared" ca="1" si="76"/>
        <v>0</v>
      </c>
      <c r="Y44" s="52">
        <f t="shared" ca="1" si="76"/>
        <v>0</v>
      </c>
      <c r="Z44" s="52">
        <f t="shared" ca="1" si="76"/>
        <v>0</v>
      </c>
      <c r="AA44" s="52">
        <f t="shared" ca="1" si="76"/>
        <v>0</v>
      </c>
      <c r="AB44" s="52">
        <f t="shared" ca="1" si="76"/>
        <v>0</v>
      </c>
      <c r="AC44" s="52">
        <f t="shared" ca="1" si="76"/>
        <v>0</v>
      </c>
      <c r="AD44" s="52">
        <f t="shared" ca="1" si="76"/>
        <v>0</v>
      </c>
      <c r="AE44" s="52">
        <f t="shared" ca="1" si="76"/>
        <v>0</v>
      </c>
      <c r="AF44" s="52">
        <f t="shared" ca="1" si="76"/>
        <v>0</v>
      </c>
      <c r="AG44" s="52">
        <f t="shared" ca="1" si="76"/>
        <v>0</v>
      </c>
      <c r="AH44" s="52">
        <f t="shared" ca="1" si="76"/>
        <v>0</v>
      </c>
      <c r="AI44" s="52">
        <f t="shared" ca="1" si="76"/>
        <v>0</v>
      </c>
      <c r="AJ44" s="52">
        <f t="shared" ca="1" si="76"/>
        <v>0</v>
      </c>
      <c r="AK44" s="52">
        <f t="shared" ca="1" si="76"/>
        <v>0</v>
      </c>
      <c r="AL44" s="52">
        <f t="shared" ca="1" si="76"/>
        <v>0</v>
      </c>
      <c r="AM44" s="52">
        <f t="shared" ca="1" si="76"/>
        <v>0</v>
      </c>
      <c r="AN44" s="52">
        <f t="shared" ca="1" si="76"/>
        <v>0</v>
      </c>
      <c r="AO44" s="52">
        <f t="shared" ca="1" si="76"/>
        <v>0</v>
      </c>
      <c r="AP44" s="52">
        <f t="shared" ca="1" si="76"/>
        <v>0</v>
      </c>
      <c r="AQ44" s="52">
        <f t="shared" ca="1" si="76"/>
        <v>0</v>
      </c>
      <c r="AR44" s="52">
        <f t="shared" ref="AR44:BW44" ca="1" si="77">MAX((Cash_EoP-Cash_BoP)*Flag_Construction,0)</f>
        <v>0</v>
      </c>
      <c r="AS44" s="52">
        <f t="shared" ca="1" si="77"/>
        <v>0</v>
      </c>
      <c r="AT44" s="52">
        <f t="shared" ca="1" si="77"/>
        <v>0</v>
      </c>
      <c r="AU44" s="52">
        <f t="shared" ca="1" si="77"/>
        <v>0</v>
      </c>
      <c r="AV44" s="52">
        <f t="shared" ca="1" si="77"/>
        <v>0</v>
      </c>
      <c r="AW44" s="52">
        <f t="shared" ca="1" si="77"/>
        <v>0</v>
      </c>
      <c r="AX44" s="52">
        <f t="shared" ca="1" si="77"/>
        <v>0</v>
      </c>
      <c r="AY44" s="52">
        <f t="shared" ca="1" si="77"/>
        <v>0</v>
      </c>
      <c r="AZ44" s="52">
        <f t="shared" ca="1" si="77"/>
        <v>0</v>
      </c>
      <c r="BA44" s="52">
        <f t="shared" ca="1" si="77"/>
        <v>0</v>
      </c>
      <c r="BB44" s="52">
        <f t="shared" ca="1" si="77"/>
        <v>0</v>
      </c>
      <c r="BC44" s="52">
        <f t="shared" ca="1" si="77"/>
        <v>0</v>
      </c>
      <c r="BD44" s="52">
        <f t="shared" ca="1" si="77"/>
        <v>0</v>
      </c>
      <c r="BE44" s="52">
        <f t="shared" ca="1" si="77"/>
        <v>0</v>
      </c>
      <c r="BF44" s="52">
        <f t="shared" ca="1" si="77"/>
        <v>0</v>
      </c>
      <c r="BG44" s="52">
        <f t="shared" ca="1" si="77"/>
        <v>0</v>
      </c>
      <c r="BH44" s="52">
        <f t="shared" ca="1" si="77"/>
        <v>0</v>
      </c>
      <c r="BI44" s="52">
        <f t="shared" ca="1" si="77"/>
        <v>0</v>
      </c>
      <c r="BJ44" s="52">
        <f t="shared" ca="1" si="77"/>
        <v>0</v>
      </c>
      <c r="BK44" s="52">
        <f t="shared" ca="1" si="77"/>
        <v>0</v>
      </c>
      <c r="BL44" s="52">
        <f t="shared" ca="1" si="77"/>
        <v>0</v>
      </c>
      <c r="BM44" s="52">
        <f t="shared" ca="1" si="77"/>
        <v>0</v>
      </c>
      <c r="BN44" s="52">
        <f t="shared" ca="1" si="77"/>
        <v>0</v>
      </c>
      <c r="BO44" s="52">
        <f t="shared" ca="1" si="77"/>
        <v>0</v>
      </c>
      <c r="BP44" s="52">
        <f t="shared" ca="1" si="77"/>
        <v>0</v>
      </c>
      <c r="BQ44" s="52">
        <f t="shared" ca="1" si="77"/>
        <v>0</v>
      </c>
      <c r="BR44" s="52">
        <f t="shared" ca="1" si="77"/>
        <v>0</v>
      </c>
      <c r="BS44" s="52">
        <f t="shared" ca="1" si="77"/>
        <v>0</v>
      </c>
      <c r="BT44" s="52">
        <f t="shared" ca="1" si="77"/>
        <v>0</v>
      </c>
      <c r="BU44" s="52">
        <f t="shared" ca="1" si="77"/>
        <v>0</v>
      </c>
      <c r="BV44" s="52">
        <f t="shared" ca="1" si="77"/>
        <v>0</v>
      </c>
      <c r="BW44" s="52">
        <f t="shared" ca="1" si="77"/>
        <v>0</v>
      </c>
      <c r="BX44" s="52">
        <f t="shared" ref="BX44:CO44" ca="1" si="78">MAX((Cash_EoP-Cash_BoP)*Flag_Construction,0)</f>
        <v>0</v>
      </c>
      <c r="BY44" s="52">
        <f t="shared" ca="1" si="78"/>
        <v>0</v>
      </c>
      <c r="BZ44" s="52">
        <f t="shared" ca="1" si="78"/>
        <v>0</v>
      </c>
      <c r="CA44" s="52">
        <f t="shared" ca="1" si="78"/>
        <v>0</v>
      </c>
      <c r="CB44" s="52">
        <f t="shared" ca="1" si="78"/>
        <v>0</v>
      </c>
      <c r="CC44" s="52">
        <f t="shared" ca="1" si="78"/>
        <v>0</v>
      </c>
      <c r="CD44" s="52">
        <f t="shared" ca="1" si="78"/>
        <v>0</v>
      </c>
      <c r="CE44" s="52">
        <f t="shared" ca="1" si="78"/>
        <v>0</v>
      </c>
      <c r="CF44" s="52">
        <f t="shared" ca="1" si="78"/>
        <v>0</v>
      </c>
      <c r="CG44" s="52">
        <f t="shared" ca="1" si="78"/>
        <v>0</v>
      </c>
      <c r="CH44" s="52">
        <f t="shared" ca="1" si="78"/>
        <v>0</v>
      </c>
      <c r="CI44" s="52">
        <f t="shared" ca="1" si="78"/>
        <v>0</v>
      </c>
      <c r="CJ44" s="52">
        <f t="shared" ca="1" si="78"/>
        <v>0</v>
      </c>
      <c r="CK44" s="52">
        <f t="shared" ca="1" si="78"/>
        <v>0</v>
      </c>
      <c r="CL44" s="52">
        <f t="shared" ca="1" si="78"/>
        <v>0</v>
      </c>
      <c r="CM44" s="52">
        <f t="shared" ca="1" si="78"/>
        <v>0</v>
      </c>
      <c r="CN44" s="52">
        <f t="shared" ca="1" si="78"/>
        <v>0</v>
      </c>
      <c r="CO44" s="52">
        <f t="shared" ca="1" si="78"/>
        <v>0</v>
      </c>
    </row>
    <row r="45" spans="1:93" customFormat="1" ht="14.5">
      <c r="A45" s="10"/>
      <c r="B45" s="10"/>
      <c r="C45" s="17"/>
      <c r="D45" s="10"/>
      <c r="E45" s="106"/>
      <c r="F45" s="10"/>
      <c r="G45" s="134"/>
      <c r="H45" s="10"/>
      <c r="I45" s="153"/>
      <c r="J45" s="10"/>
      <c r="K45" s="10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</row>
    <row r="46" spans="1:93" ht="14">
      <c r="A46" s="10"/>
      <c r="B46" s="10"/>
      <c r="C46" s="415" t="s">
        <v>1170</v>
      </c>
      <c r="D46" s="24"/>
      <c r="E46" s="24"/>
      <c r="F46" s="24"/>
      <c r="G46" s="459" t="s">
        <v>26</v>
      </c>
      <c r="H46" s="24"/>
      <c r="I46" s="415">
        <f ca="1">SUM(L46:CO46)</f>
        <v>6025459.4802389424</v>
      </c>
      <c r="J46" s="24"/>
      <c r="K46" s="24"/>
      <c r="L46" s="415">
        <f ca="1">SUM(L32,L35,L40)</f>
        <v>31406.153379286916</v>
      </c>
      <c r="M46" s="415">
        <f t="shared" ref="M46:BX46" ca="1" si="79">SUM(M32,M35,M40)</f>
        <v>31851.960190507532</v>
      </c>
      <c r="N46" s="415">
        <f t="shared" ca="1" si="79"/>
        <v>32304.095179220327</v>
      </c>
      <c r="O46" s="415">
        <f t="shared" ca="1" si="79"/>
        <v>32762.648173192309</v>
      </c>
      <c r="P46" s="415">
        <f t="shared" ca="1" si="79"/>
        <v>275591.46580799518</v>
      </c>
      <c r="Q46" s="415">
        <f t="shared" ca="1" si="79"/>
        <v>278306.9805620276</v>
      </c>
      <c r="R46" s="415">
        <f t="shared" ca="1" si="79"/>
        <v>281049.25238692126</v>
      </c>
      <c r="S46" s="415">
        <f t="shared" ca="1" si="79"/>
        <v>284557.5366734491</v>
      </c>
      <c r="T46" s="415">
        <f t="shared" ca="1" si="79"/>
        <v>293195.77878796187</v>
      </c>
      <c r="U46" s="415">
        <f t="shared" ca="1" si="79"/>
        <v>299864.08841733454</v>
      </c>
      <c r="V46" s="415">
        <f t="shared" ca="1" si="79"/>
        <v>306680.671823757</v>
      </c>
      <c r="W46" s="415">
        <f t="shared" ca="1" si="79"/>
        <v>313448.73444932338</v>
      </c>
      <c r="X46" s="415">
        <f t="shared" ca="1" si="79"/>
        <v>646653.2581487901</v>
      </c>
      <c r="Y46" s="415">
        <f t="shared" ca="1" si="79"/>
        <v>660955.27495578071</v>
      </c>
      <c r="Z46" s="415">
        <f t="shared" ca="1" si="79"/>
        <v>675843.90368952369</v>
      </c>
      <c r="AA46" s="415">
        <f t="shared" ca="1" si="79"/>
        <v>690520.69372146716</v>
      </c>
      <c r="AB46" s="415">
        <f t="shared" ca="1" si="79"/>
        <v>890466.98389240366</v>
      </c>
      <c r="AC46" s="415">
        <f t="shared" ca="1" si="79"/>
        <v>0</v>
      </c>
      <c r="AD46" s="415">
        <f t="shared" ca="1" si="79"/>
        <v>0</v>
      </c>
      <c r="AE46" s="415">
        <f t="shared" ca="1" si="79"/>
        <v>0</v>
      </c>
      <c r="AF46" s="415">
        <f t="shared" ca="1" si="79"/>
        <v>0</v>
      </c>
      <c r="AG46" s="415">
        <f t="shared" ca="1" si="79"/>
        <v>0</v>
      </c>
      <c r="AH46" s="415">
        <f t="shared" ca="1" si="79"/>
        <v>0</v>
      </c>
      <c r="AI46" s="415">
        <f t="shared" ca="1" si="79"/>
        <v>0</v>
      </c>
      <c r="AJ46" s="415">
        <f t="shared" ca="1" si="79"/>
        <v>0</v>
      </c>
      <c r="AK46" s="415">
        <f t="shared" ca="1" si="79"/>
        <v>0</v>
      </c>
      <c r="AL46" s="415">
        <f t="shared" ca="1" si="79"/>
        <v>0</v>
      </c>
      <c r="AM46" s="415">
        <f t="shared" ca="1" si="79"/>
        <v>0</v>
      </c>
      <c r="AN46" s="415">
        <f t="shared" ca="1" si="79"/>
        <v>0</v>
      </c>
      <c r="AO46" s="415">
        <f t="shared" ca="1" si="79"/>
        <v>0</v>
      </c>
      <c r="AP46" s="415">
        <f t="shared" ca="1" si="79"/>
        <v>0</v>
      </c>
      <c r="AQ46" s="415">
        <f t="shared" ca="1" si="79"/>
        <v>0</v>
      </c>
      <c r="AR46" s="415">
        <f t="shared" ca="1" si="79"/>
        <v>0</v>
      </c>
      <c r="AS46" s="415">
        <f t="shared" ca="1" si="79"/>
        <v>0</v>
      </c>
      <c r="AT46" s="415">
        <f t="shared" ca="1" si="79"/>
        <v>0</v>
      </c>
      <c r="AU46" s="415">
        <f t="shared" ca="1" si="79"/>
        <v>0</v>
      </c>
      <c r="AV46" s="415">
        <f t="shared" ca="1" si="79"/>
        <v>0</v>
      </c>
      <c r="AW46" s="415">
        <f t="shared" ca="1" si="79"/>
        <v>0</v>
      </c>
      <c r="AX46" s="415">
        <f t="shared" ca="1" si="79"/>
        <v>0</v>
      </c>
      <c r="AY46" s="415">
        <f t="shared" ca="1" si="79"/>
        <v>0</v>
      </c>
      <c r="AZ46" s="415">
        <f t="shared" ca="1" si="79"/>
        <v>0</v>
      </c>
      <c r="BA46" s="415">
        <f t="shared" ca="1" si="79"/>
        <v>0</v>
      </c>
      <c r="BB46" s="415">
        <f t="shared" ca="1" si="79"/>
        <v>0</v>
      </c>
      <c r="BC46" s="415">
        <f t="shared" ca="1" si="79"/>
        <v>0</v>
      </c>
      <c r="BD46" s="415">
        <f t="shared" ca="1" si="79"/>
        <v>0</v>
      </c>
      <c r="BE46" s="415">
        <f t="shared" ca="1" si="79"/>
        <v>0</v>
      </c>
      <c r="BF46" s="415">
        <f t="shared" ca="1" si="79"/>
        <v>0</v>
      </c>
      <c r="BG46" s="415">
        <f t="shared" ca="1" si="79"/>
        <v>0</v>
      </c>
      <c r="BH46" s="415">
        <f t="shared" ca="1" si="79"/>
        <v>0</v>
      </c>
      <c r="BI46" s="415">
        <f t="shared" ca="1" si="79"/>
        <v>0</v>
      </c>
      <c r="BJ46" s="415">
        <f t="shared" ca="1" si="79"/>
        <v>0</v>
      </c>
      <c r="BK46" s="415">
        <f t="shared" ca="1" si="79"/>
        <v>0</v>
      </c>
      <c r="BL46" s="415">
        <f t="shared" ca="1" si="79"/>
        <v>0</v>
      </c>
      <c r="BM46" s="415">
        <f t="shared" ca="1" si="79"/>
        <v>0</v>
      </c>
      <c r="BN46" s="415">
        <f t="shared" ca="1" si="79"/>
        <v>0</v>
      </c>
      <c r="BO46" s="415">
        <f t="shared" ca="1" si="79"/>
        <v>0</v>
      </c>
      <c r="BP46" s="415">
        <f t="shared" ca="1" si="79"/>
        <v>0</v>
      </c>
      <c r="BQ46" s="415">
        <f t="shared" ca="1" si="79"/>
        <v>0</v>
      </c>
      <c r="BR46" s="415">
        <f t="shared" ca="1" si="79"/>
        <v>0</v>
      </c>
      <c r="BS46" s="415">
        <f t="shared" ca="1" si="79"/>
        <v>0</v>
      </c>
      <c r="BT46" s="415">
        <f t="shared" ca="1" si="79"/>
        <v>0</v>
      </c>
      <c r="BU46" s="415">
        <f t="shared" ca="1" si="79"/>
        <v>0</v>
      </c>
      <c r="BV46" s="415">
        <f t="shared" ca="1" si="79"/>
        <v>0</v>
      </c>
      <c r="BW46" s="415">
        <f t="shared" ca="1" si="79"/>
        <v>0</v>
      </c>
      <c r="BX46" s="415">
        <f t="shared" ca="1" si="79"/>
        <v>0</v>
      </c>
      <c r="BY46" s="415">
        <f t="shared" ref="BY46:CO46" ca="1" si="80">SUM(BY32,BY35,BY40)</f>
        <v>0</v>
      </c>
      <c r="BZ46" s="415">
        <f t="shared" ca="1" si="80"/>
        <v>0</v>
      </c>
      <c r="CA46" s="415">
        <f t="shared" ca="1" si="80"/>
        <v>0</v>
      </c>
      <c r="CB46" s="415">
        <f t="shared" ca="1" si="80"/>
        <v>0</v>
      </c>
      <c r="CC46" s="415">
        <f t="shared" ca="1" si="80"/>
        <v>0</v>
      </c>
      <c r="CD46" s="415">
        <f t="shared" ca="1" si="80"/>
        <v>0</v>
      </c>
      <c r="CE46" s="415">
        <f t="shared" ca="1" si="80"/>
        <v>0</v>
      </c>
      <c r="CF46" s="415">
        <f t="shared" ca="1" si="80"/>
        <v>0</v>
      </c>
      <c r="CG46" s="415">
        <f t="shared" ca="1" si="80"/>
        <v>0</v>
      </c>
      <c r="CH46" s="415">
        <f t="shared" ca="1" si="80"/>
        <v>0</v>
      </c>
      <c r="CI46" s="415">
        <f t="shared" ca="1" si="80"/>
        <v>0</v>
      </c>
      <c r="CJ46" s="415">
        <f t="shared" ca="1" si="80"/>
        <v>0</v>
      </c>
      <c r="CK46" s="415">
        <f t="shared" ca="1" si="80"/>
        <v>0</v>
      </c>
      <c r="CL46" s="415">
        <f t="shared" ca="1" si="80"/>
        <v>0</v>
      </c>
      <c r="CM46" s="415">
        <f t="shared" ca="1" si="80"/>
        <v>0</v>
      </c>
      <c r="CN46" s="415">
        <f t="shared" ca="1" si="80"/>
        <v>0</v>
      </c>
      <c r="CO46" s="415">
        <f t="shared" ca="1" si="80"/>
        <v>0</v>
      </c>
    </row>
    <row r="47" spans="1:93" s="141" customFormat="1" ht="15" customHeight="1">
      <c r="A47" s="153"/>
      <c r="B47" s="153"/>
      <c r="C47" s="153"/>
      <c r="D47" s="153"/>
      <c r="E47" s="153"/>
      <c r="F47" s="153"/>
      <c r="G47" s="179"/>
      <c r="H47" s="153"/>
      <c r="I47" s="153"/>
      <c r="J47" s="153"/>
      <c r="K47" s="153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</row>
    <row r="48" spans="1:93" s="46" customFormat="1" ht="13">
      <c r="C48" s="46" t="s">
        <v>1179</v>
      </c>
      <c r="G48" s="89" t="str">
        <f>Monetary_Unit</f>
        <v>тыс. руб.</v>
      </c>
      <c r="H48" s="73"/>
      <c r="I48" s="46">
        <f ca="1">SUM(L48:CQ48)</f>
        <v>0</v>
      </c>
      <c r="L48" s="46">
        <f t="shared" ref="L48:AQ48" ca="1" si="81">(L46-L26)*(ABS(L46-L26)&gt;Accuracy)</f>
        <v>0</v>
      </c>
      <c r="M48" s="46">
        <f t="shared" ca="1" si="81"/>
        <v>0</v>
      </c>
      <c r="N48" s="46">
        <f t="shared" ca="1" si="81"/>
        <v>0</v>
      </c>
      <c r="O48" s="46">
        <f t="shared" ca="1" si="81"/>
        <v>0</v>
      </c>
      <c r="P48" s="46">
        <f t="shared" ca="1" si="81"/>
        <v>0</v>
      </c>
      <c r="Q48" s="46">
        <f t="shared" ca="1" si="81"/>
        <v>0</v>
      </c>
      <c r="R48" s="46">
        <f t="shared" ca="1" si="81"/>
        <v>0</v>
      </c>
      <c r="S48" s="46">
        <f t="shared" ca="1" si="81"/>
        <v>0</v>
      </c>
      <c r="T48" s="46">
        <f t="shared" ca="1" si="81"/>
        <v>0</v>
      </c>
      <c r="U48" s="46">
        <f t="shared" ca="1" si="81"/>
        <v>0</v>
      </c>
      <c r="V48" s="46">
        <f t="shared" ca="1" si="81"/>
        <v>0</v>
      </c>
      <c r="W48" s="46">
        <f t="shared" ca="1" si="81"/>
        <v>0</v>
      </c>
      <c r="X48" s="46">
        <f t="shared" ca="1" si="81"/>
        <v>0</v>
      </c>
      <c r="Y48" s="46">
        <f t="shared" ca="1" si="81"/>
        <v>0</v>
      </c>
      <c r="Z48" s="46">
        <f t="shared" ca="1" si="81"/>
        <v>0</v>
      </c>
      <c r="AA48" s="46">
        <f t="shared" ca="1" si="81"/>
        <v>0</v>
      </c>
      <c r="AB48" s="46">
        <f t="shared" ca="1" si="81"/>
        <v>0</v>
      </c>
      <c r="AC48" s="46">
        <f t="shared" ca="1" si="81"/>
        <v>0</v>
      </c>
      <c r="AD48" s="46">
        <f t="shared" ca="1" si="81"/>
        <v>0</v>
      </c>
      <c r="AE48" s="46">
        <f t="shared" ca="1" si="81"/>
        <v>0</v>
      </c>
      <c r="AF48" s="46">
        <f t="shared" ca="1" si="81"/>
        <v>0</v>
      </c>
      <c r="AG48" s="46">
        <f t="shared" ca="1" si="81"/>
        <v>0</v>
      </c>
      <c r="AH48" s="46">
        <f t="shared" ca="1" si="81"/>
        <v>0</v>
      </c>
      <c r="AI48" s="46">
        <f t="shared" ca="1" si="81"/>
        <v>0</v>
      </c>
      <c r="AJ48" s="46">
        <f t="shared" ca="1" si="81"/>
        <v>0</v>
      </c>
      <c r="AK48" s="46">
        <f t="shared" ca="1" si="81"/>
        <v>0</v>
      </c>
      <c r="AL48" s="46">
        <f t="shared" ca="1" si="81"/>
        <v>0</v>
      </c>
      <c r="AM48" s="46">
        <f t="shared" ca="1" si="81"/>
        <v>0</v>
      </c>
      <c r="AN48" s="46">
        <f t="shared" ca="1" si="81"/>
        <v>0</v>
      </c>
      <c r="AO48" s="46">
        <f t="shared" ca="1" si="81"/>
        <v>0</v>
      </c>
      <c r="AP48" s="46">
        <f t="shared" ca="1" si="81"/>
        <v>0</v>
      </c>
      <c r="AQ48" s="46">
        <f t="shared" ca="1" si="81"/>
        <v>0</v>
      </c>
      <c r="AR48" s="46">
        <f t="shared" ref="AR48:BW48" ca="1" si="82">(AR46-AR26)*(ABS(AR46-AR26)&gt;Accuracy)</f>
        <v>0</v>
      </c>
      <c r="AS48" s="46">
        <f t="shared" ca="1" si="82"/>
        <v>0</v>
      </c>
      <c r="AT48" s="46">
        <f t="shared" ca="1" si="82"/>
        <v>0</v>
      </c>
      <c r="AU48" s="46">
        <f t="shared" ca="1" si="82"/>
        <v>0</v>
      </c>
      <c r="AV48" s="46">
        <f t="shared" ca="1" si="82"/>
        <v>0</v>
      </c>
      <c r="AW48" s="46">
        <f t="shared" ca="1" si="82"/>
        <v>0</v>
      </c>
      <c r="AX48" s="46">
        <f t="shared" ca="1" si="82"/>
        <v>0</v>
      </c>
      <c r="AY48" s="46">
        <f t="shared" ca="1" si="82"/>
        <v>0</v>
      </c>
      <c r="AZ48" s="46">
        <f t="shared" ca="1" si="82"/>
        <v>0</v>
      </c>
      <c r="BA48" s="46">
        <f t="shared" ca="1" si="82"/>
        <v>0</v>
      </c>
      <c r="BB48" s="46">
        <f t="shared" ca="1" si="82"/>
        <v>0</v>
      </c>
      <c r="BC48" s="46">
        <f t="shared" ca="1" si="82"/>
        <v>0</v>
      </c>
      <c r="BD48" s="46">
        <f t="shared" ca="1" si="82"/>
        <v>0</v>
      </c>
      <c r="BE48" s="46">
        <f t="shared" ca="1" si="82"/>
        <v>0</v>
      </c>
      <c r="BF48" s="46">
        <f t="shared" ca="1" si="82"/>
        <v>0</v>
      </c>
      <c r="BG48" s="46">
        <f t="shared" ca="1" si="82"/>
        <v>0</v>
      </c>
      <c r="BH48" s="46">
        <f t="shared" ca="1" si="82"/>
        <v>0</v>
      </c>
      <c r="BI48" s="46">
        <f t="shared" ca="1" si="82"/>
        <v>0</v>
      </c>
      <c r="BJ48" s="46">
        <f t="shared" ca="1" si="82"/>
        <v>0</v>
      </c>
      <c r="BK48" s="46">
        <f t="shared" ca="1" si="82"/>
        <v>0</v>
      </c>
      <c r="BL48" s="46">
        <f t="shared" ca="1" si="82"/>
        <v>0</v>
      </c>
      <c r="BM48" s="46">
        <f t="shared" ca="1" si="82"/>
        <v>0</v>
      </c>
      <c r="BN48" s="46">
        <f t="shared" ca="1" si="82"/>
        <v>0</v>
      </c>
      <c r="BO48" s="46">
        <f t="shared" ca="1" si="82"/>
        <v>0</v>
      </c>
      <c r="BP48" s="46">
        <f t="shared" ca="1" si="82"/>
        <v>0</v>
      </c>
      <c r="BQ48" s="46">
        <f t="shared" ca="1" si="82"/>
        <v>0</v>
      </c>
      <c r="BR48" s="46">
        <f t="shared" ca="1" si="82"/>
        <v>0</v>
      </c>
      <c r="BS48" s="46">
        <f t="shared" ca="1" si="82"/>
        <v>0</v>
      </c>
      <c r="BT48" s="46">
        <f t="shared" ca="1" si="82"/>
        <v>0</v>
      </c>
      <c r="BU48" s="46">
        <f t="shared" ca="1" si="82"/>
        <v>0</v>
      </c>
      <c r="BV48" s="46">
        <f t="shared" ca="1" si="82"/>
        <v>0</v>
      </c>
      <c r="BW48" s="46">
        <f t="shared" ca="1" si="82"/>
        <v>0</v>
      </c>
      <c r="BX48" s="46">
        <f t="shared" ref="BX48:CO48" ca="1" si="83">(BX46-BX26)*(ABS(BX46-BX26)&gt;Accuracy)</f>
        <v>0</v>
      </c>
      <c r="BY48" s="46">
        <f t="shared" ca="1" si="83"/>
        <v>0</v>
      </c>
      <c r="BZ48" s="46">
        <f t="shared" ca="1" si="83"/>
        <v>0</v>
      </c>
      <c r="CA48" s="46">
        <f t="shared" ca="1" si="83"/>
        <v>0</v>
      </c>
      <c r="CB48" s="46">
        <f t="shared" ca="1" si="83"/>
        <v>0</v>
      </c>
      <c r="CC48" s="46">
        <f t="shared" ca="1" si="83"/>
        <v>0</v>
      </c>
      <c r="CD48" s="46">
        <f t="shared" ca="1" si="83"/>
        <v>0</v>
      </c>
      <c r="CE48" s="46">
        <f t="shared" ca="1" si="83"/>
        <v>0</v>
      </c>
      <c r="CF48" s="46">
        <f t="shared" ca="1" si="83"/>
        <v>0</v>
      </c>
      <c r="CG48" s="46">
        <f t="shared" ca="1" si="83"/>
        <v>0</v>
      </c>
      <c r="CH48" s="46">
        <f t="shared" ca="1" si="83"/>
        <v>0</v>
      </c>
      <c r="CI48" s="46">
        <f t="shared" ca="1" si="83"/>
        <v>0</v>
      </c>
      <c r="CJ48" s="46">
        <f t="shared" ca="1" si="83"/>
        <v>0</v>
      </c>
      <c r="CK48" s="46">
        <f t="shared" ca="1" si="83"/>
        <v>0</v>
      </c>
      <c r="CL48" s="46">
        <f t="shared" ca="1" si="83"/>
        <v>0</v>
      </c>
      <c r="CM48" s="46">
        <f t="shared" ca="1" si="83"/>
        <v>0</v>
      </c>
      <c r="CN48" s="46">
        <f t="shared" ca="1" si="83"/>
        <v>0</v>
      </c>
      <c r="CO48" s="46">
        <f t="shared" ca="1" si="83"/>
        <v>0</v>
      </c>
    </row>
    <row r="49" spans="1:93" ht="15" customHeight="1">
      <c r="A49" s="47"/>
      <c r="B49" s="47"/>
      <c r="C49" s="153"/>
      <c r="D49" s="153"/>
      <c r="E49" s="11"/>
      <c r="F49" s="11"/>
      <c r="G49" s="11"/>
      <c r="H49" s="153"/>
      <c r="I49" s="154"/>
      <c r="J49" s="153"/>
      <c r="K49" s="153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</row>
    <row r="50" spans="1:93" ht="15" hidden="1" customHeight="1">
      <c r="A50" s="47"/>
      <c r="B50" s="47"/>
      <c r="C50" s="47"/>
      <c r="D50" s="47"/>
      <c r="E50" s="47"/>
      <c r="F50" s="47"/>
      <c r="G50" s="321"/>
      <c r="H50" s="47"/>
      <c r="I50" s="47"/>
      <c r="J50" s="47"/>
      <c r="K50" s="47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</row>
    <row r="51" spans="1:93" ht="15" hidden="1" customHeight="1">
      <c r="A51" s="47"/>
      <c r="B51" s="47"/>
      <c r="C51" s="47"/>
      <c r="D51" s="47"/>
      <c r="E51" s="47"/>
      <c r="F51" s="47"/>
      <c r="G51" s="321"/>
      <c r="H51" s="47"/>
      <c r="I51" s="47"/>
      <c r="J51" s="47"/>
      <c r="K51" s="47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</row>
    <row r="52" spans="1:93" ht="15" hidden="1" customHeight="1">
      <c r="A52" s="47"/>
      <c r="B52" s="47"/>
      <c r="C52" s="47"/>
      <c r="D52" s="47"/>
      <c r="E52" s="47"/>
      <c r="F52" s="47"/>
      <c r="G52" s="321"/>
      <c r="H52" s="47"/>
      <c r="I52" s="47"/>
      <c r="J52" s="47"/>
      <c r="K52" s="47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</row>
    <row r="53" spans="1:93" ht="15" hidden="1" customHeight="1">
      <c r="A53" s="47"/>
      <c r="B53" s="47"/>
      <c r="C53" s="47"/>
      <c r="D53" s="47"/>
      <c r="E53" s="47"/>
      <c r="F53" s="47"/>
      <c r="G53" s="321"/>
      <c r="H53" s="47"/>
      <c r="I53" s="47"/>
      <c r="J53" s="47"/>
      <c r="K53" s="47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</row>
    <row r="54" spans="1:93" ht="15" hidden="1" customHeight="1">
      <c r="A54" s="47"/>
      <c r="B54" s="47"/>
      <c r="C54" s="47"/>
      <c r="D54" s="47"/>
      <c r="E54" s="47"/>
      <c r="F54" s="47"/>
      <c r="G54" s="321"/>
      <c r="H54" s="47"/>
      <c r="I54" s="47"/>
      <c r="J54" s="47"/>
      <c r="K54" s="47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</row>
    <row r="55" spans="1:93" ht="15" hidden="1" customHeight="1">
      <c r="A55" s="47"/>
      <c r="B55" s="47"/>
      <c r="C55" s="47"/>
      <c r="D55" s="47"/>
      <c r="E55" s="47"/>
      <c r="F55" s="47"/>
      <c r="G55" s="321"/>
      <c r="H55" s="47"/>
      <c r="I55" s="47"/>
      <c r="J55" s="47"/>
      <c r="K55" s="47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</row>
    <row r="56" spans="1:93" ht="15" hidden="1" customHeight="1">
      <c r="A56" s="47"/>
      <c r="B56" s="47"/>
      <c r="C56" s="47"/>
      <c r="D56" s="47"/>
      <c r="E56" s="47"/>
      <c r="F56" s="47"/>
      <c r="G56" s="321"/>
      <c r="H56" s="47"/>
      <c r="I56" s="47"/>
      <c r="J56" s="47"/>
      <c r="K56" s="47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</row>
    <row r="57" spans="1:93" ht="15" hidden="1" customHeight="1">
      <c r="A57" s="47"/>
      <c r="B57" s="47"/>
      <c r="C57" s="47"/>
      <c r="D57" s="47"/>
      <c r="E57" s="47"/>
      <c r="F57" s="47"/>
      <c r="G57" s="321"/>
      <c r="H57" s="47"/>
      <c r="I57" s="47"/>
      <c r="J57" s="47"/>
      <c r="K57" s="47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</row>
    <row r="58" spans="1:93" ht="15" hidden="1" customHeight="1">
      <c r="A58" s="47"/>
      <c r="B58" s="47"/>
      <c r="C58" s="47"/>
      <c r="D58" s="47"/>
      <c r="E58" s="47"/>
      <c r="F58" s="47"/>
      <c r="G58" s="321"/>
      <c r="H58" s="47"/>
      <c r="I58" s="47"/>
      <c r="J58" s="47"/>
      <c r="K58" s="47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</row>
    <row r="59" spans="1:93" ht="15" hidden="1" customHeight="1">
      <c r="A59" s="47"/>
      <c r="B59" s="47"/>
      <c r="C59" s="47"/>
      <c r="D59" s="47"/>
      <c r="E59" s="47"/>
      <c r="F59" s="47"/>
      <c r="G59" s="321"/>
      <c r="H59" s="47"/>
      <c r="I59" s="47"/>
      <c r="J59" s="47"/>
      <c r="K59" s="47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 ht="14.5" hidden="1" customHeight="1"/>
    <row r="61" spans="1:93" ht="14.5" hidden="1" customHeight="1"/>
    <row r="62" spans="1:93" ht="14.5" hidden="1" customHeight="1"/>
    <row r="63" spans="1:93" ht="14.5" hidden="1" customHeight="1"/>
    <row r="64" spans="1:93" ht="14.5" hidden="1" customHeight="1"/>
    <row r="65" ht="14.5" hidden="1" customHeight="1"/>
    <row r="66" ht="14.5" hidden="1" customHeight="1"/>
    <row r="67" ht="14.5" hidden="1" customHeight="1"/>
    <row r="68" ht="14.5" hidden="1" customHeight="1"/>
    <row r="69" ht="14.5" hidden="1" customHeight="1"/>
    <row r="70" ht="14.5" hidden="1" customHeight="1"/>
    <row r="71" ht="14.5" hidden="1" customHeight="1"/>
    <row r="72" ht="14.5" hidden="1" customHeight="1"/>
    <row r="73" ht="14.5" hidden="1" customHeight="1"/>
    <row r="74" ht="14.5" hidden="1" customHeight="1"/>
    <row r="75" ht="14.5" hidden="1" customHeight="1"/>
    <row r="76" ht="14.5" hidden="1" customHeight="1"/>
    <row r="77" ht="14.5" hidden="1" customHeight="1"/>
    <row r="78" ht="14.5" hidden="1" customHeight="1"/>
    <row r="79" ht="14.5" hidden="1" customHeight="1"/>
    <row r="80" ht="14.5" hidden="1" customHeight="1"/>
    <row r="81" ht="14.5" hidden="1" customHeight="1"/>
    <row r="82" ht="14.5" hidden="1" customHeight="1"/>
    <row r="83" ht="14.5" hidden="1" customHeight="1"/>
    <row r="84" ht="14.5" hidden="1" customHeight="1"/>
    <row r="85" ht="14.5" hidden="1" customHeight="1"/>
    <row r="86" ht="14.5" hidden="1" customHeight="1"/>
    <row r="87" ht="14.5" hidden="1" customHeight="1"/>
    <row r="88" ht="14.5" hidden="1" customHeight="1"/>
    <row r="89" ht="14.5" hidden="1" customHeight="1"/>
    <row r="90" ht="14.5" hidden="1" customHeight="1"/>
    <row r="91" ht="14.5" hidden="1" customHeight="1"/>
    <row r="92" ht="14.5" hidden="1" customHeight="1"/>
    <row r="93" ht="14.5" hidden="1" customHeight="1"/>
    <row r="94" ht="14.5" hidden="1" customHeight="1"/>
    <row r="95" ht="14.5" hidden="1" customHeight="1"/>
    <row r="96" ht="14.5" hidden="1" customHeight="1"/>
    <row r="97" ht="14.5" hidden="1" customHeight="1"/>
    <row r="98" ht="14.5" hidden="1" customHeight="1"/>
    <row r="99" ht="14.5" hidden="1" customHeight="1"/>
    <row r="100" ht="14.5" hidden="1" customHeight="1"/>
    <row r="101" ht="14.5" hidden="1" customHeight="1"/>
    <row r="102" ht="14.5" hidden="1" customHeight="1"/>
    <row r="103" ht="14.5" hidden="1" customHeight="1"/>
    <row r="104" ht="14.5" hidden="1" customHeight="1"/>
    <row r="105" ht="14.5" hidden="1" customHeight="1"/>
    <row r="106" ht="14.5" hidden="1" customHeight="1"/>
    <row r="107" ht="14.5" hidden="1" customHeight="1"/>
    <row r="108" ht="14.5" hidden="1" customHeight="1"/>
    <row r="109" ht="14.5" hidden="1" customHeight="1"/>
    <row r="110" ht="14.5" hidden="1" customHeight="1"/>
    <row r="111" ht="14.5" hidden="1" customHeight="1"/>
    <row r="112" ht="14.5" hidden="1" customHeight="1"/>
    <row r="113" ht="14.5" hidden="1" customHeight="1"/>
    <row r="114" ht="14.5" hidden="1" customHeight="1"/>
    <row r="115" ht="14.5" hidden="1" customHeight="1"/>
    <row r="116" ht="14.5" hidden="1" customHeight="1"/>
    <row r="117" ht="14.5" hidden="1" customHeight="1"/>
    <row r="118" ht="14.5" hidden="1" customHeight="1"/>
    <row r="119" ht="14.5" hidden="1" customHeight="1"/>
    <row r="120" ht="14.5" hidden="1" customHeight="1"/>
    <row r="121" ht="14.5" hidden="1" customHeight="1"/>
    <row r="122" ht="14.5" hidden="1" customHeight="1"/>
    <row r="123" ht="14.5" hidden="1" customHeight="1"/>
    <row r="124" ht="14.5" hidden="1" customHeight="1"/>
    <row r="125" ht="14.5" hidden="1" customHeight="1"/>
    <row r="126" ht="14.5" hidden="1" customHeight="1"/>
    <row r="127" ht="14.5" hidden="1" customHeight="1"/>
    <row r="128" ht="14.5" hidden="1" customHeight="1"/>
    <row r="129" ht="14.5" hidden="1" customHeight="1"/>
    <row r="130" ht="14.5" hidden="1" customHeight="1"/>
    <row r="131" ht="14.5" hidden="1" customHeight="1"/>
    <row r="132" ht="14.5" hidden="1" customHeight="1"/>
    <row r="133" ht="14.5" hidden="1" customHeight="1"/>
    <row r="134" ht="14.5" hidden="1" customHeight="1"/>
    <row r="135" ht="14.5" hidden="1" customHeight="1"/>
    <row r="136" ht="14.5" hidden="1" customHeight="1"/>
    <row r="137" ht="14.5" hidden="1" customHeight="1"/>
    <row r="138" ht="14.5" hidden="1" customHeight="1"/>
    <row r="139" ht="14.5" hidden="1" customHeight="1"/>
    <row r="140" ht="14.5" hidden="1" customHeight="1"/>
    <row r="141" ht="14.5" hidden="1" customHeight="1"/>
    <row r="142" ht="14.5" hidden="1" customHeight="1"/>
    <row r="143" ht="14.5" hidden="1" customHeight="1"/>
  </sheetData>
  <conditionalFormatting sqref="L9:CO9">
    <cfRule type="cellIs" dxfId="10" priority="137" operator="equal">
      <formula>2</formula>
    </cfRule>
    <cfRule type="cellIs" dxfId="9" priority="138" operator="equal">
      <formula>1</formula>
    </cfRule>
  </conditionalFormatting>
  <conditionalFormatting sqref="E4">
    <cfRule type="cellIs" dxfId="8" priority="135" operator="equal">
      <formula>FALSE</formula>
    </cfRule>
    <cfRule type="cellIs" dxfId="7" priority="136" operator="equal">
      <formula>TRUE</formula>
    </cfRule>
  </conditionalFormatting>
  <conditionalFormatting sqref="L27:CO28 L32:CO44 L13:CO24">
    <cfRule type="expression" dxfId="6" priority="5">
      <formula>L$9&lt;&gt;1</formula>
    </cfRule>
  </conditionalFormatting>
  <pageMargins left="0.70866141732283472" right="0.70866141732283472" top="0.74803149606299213" bottom="0.74803149606299213" header="0.31496062992125984" footer="0.31496062992125984"/>
  <pageSetup paperSize="8" scale="26" orientation="landscape" r:id="rId1"/>
  <colBreaks count="1" manualBreakCount="1">
    <brk id="62" max="69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7984F40E-643C-409B-A5E6-BC7357E44CD4}">
            <xm:f>Инвестор!$I$13+Accuracy</xm:f>
            <x14:dxf>
              <font>
                <color rgb="FF9C0006"/>
              </font>
            </x14:dxf>
          </x14:cfRule>
          <xm:sqref>L28:CO28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92D050"/>
  </sheetPr>
  <dimension ref="A1:CQ168"/>
  <sheetViews>
    <sheetView showGridLines="0" view="pageBreakPreview" zoomScale="70" zoomScaleNormal="60" zoomScaleSheetLayoutView="70" workbookViewId="0">
      <pane xSplit="10" ySplit="9" topLeftCell="L11" activePane="bottomRight" state="frozen"/>
      <selection pane="topRight" activeCell="K1" sqref="K1"/>
      <selection pane="bottomLeft" activeCell="A10" sqref="A10"/>
      <selection pane="bottomRight" activeCell="I13" sqref="I13"/>
    </sheetView>
  </sheetViews>
  <sheetFormatPr defaultColWidth="0" defaultRowHeight="0" customHeight="1" zeroHeight="1"/>
  <cols>
    <col min="1" max="2" width="2.453125" style="133" customWidth="1"/>
    <col min="3" max="3" width="50.7265625" style="133" customWidth="1"/>
    <col min="4" max="5" width="11.54296875" style="133" customWidth="1"/>
    <col min="6" max="6" width="2.453125" style="133" customWidth="1"/>
    <col min="7" max="7" width="10.26953125" style="207" customWidth="1"/>
    <col min="8" max="8" width="2.453125" style="133" customWidth="1"/>
    <col min="9" max="9" width="13.7265625" style="133" customWidth="1"/>
    <col min="10" max="11" width="2.453125" style="133" customWidth="1"/>
    <col min="12" max="93" width="12.453125" style="133" customWidth="1"/>
    <col min="94" max="94" width="2.7265625" style="133" hidden="1" customWidth="1"/>
    <col min="95" max="95" width="0" style="133" hidden="1" customWidth="1"/>
    <col min="96" max="16384" width="2.7265625" style="133" hidden="1"/>
  </cols>
  <sheetData>
    <row r="1" spans="1:93" ht="14">
      <c r="A1" s="47"/>
      <c r="B1" s="47"/>
      <c r="C1" s="47"/>
      <c r="D1" s="47"/>
      <c r="E1" s="47"/>
      <c r="F1" s="47"/>
      <c r="G1" s="321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«Гостиница UAI 5*»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975</v>
      </c>
      <c r="D4" s="322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O7" si="1">Beginning_of_period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si="1"/>
        <v>48580</v>
      </c>
      <c r="AS7" s="113">
        <f t="shared" si="1"/>
        <v>48670</v>
      </c>
      <c r="AT7" s="113">
        <f t="shared" si="1"/>
        <v>48761</v>
      </c>
      <c r="AU7" s="113">
        <f t="shared" si="1"/>
        <v>48853</v>
      </c>
      <c r="AV7" s="113">
        <f t="shared" si="1"/>
        <v>48945</v>
      </c>
      <c r="AW7" s="113">
        <f t="shared" si="1"/>
        <v>49035</v>
      </c>
      <c r="AX7" s="113">
        <f t="shared" si="1"/>
        <v>49126</v>
      </c>
      <c r="AY7" s="113">
        <f t="shared" si="1"/>
        <v>49218</v>
      </c>
      <c r="AZ7" s="113">
        <f t="shared" si="1"/>
        <v>49310</v>
      </c>
      <c r="BA7" s="113">
        <f t="shared" si="1"/>
        <v>49400</v>
      </c>
      <c r="BB7" s="113">
        <f t="shared" si="1"/>
        <v>49491</v>
      </c>
      <c r="BC7" s="113">
        <f t="shared" si="1"/>
        <v>49583</v>
      </c>
      <c r="BD7" s="113">
        <f t="shared" si="1"/>
        <v>49675</v>
      </c>
      <c r="BE7" s="113">
        <f t="shared" si="1"/>
        <v>49766</v>
      </c>
      <c r="BF7" s="113">
        <f t="shared" si="1"/>
        <v>49857</v>
      </c>
      <c r="BG7" s="113">
        <f t="shared" si="1"/>
        <v>49949</v>
      </c>
      <c r="BH7" s="113">
        <f t="shared" si="1"/>
        <v>50041</v>
      </c>
      <c r="BI7" s="113">
        <f t="shared" si="1"/>
        <v>50131</v>
      </c>
      <c r="BJ7" s="113">
        <f t="shared" si="1"/>
        <v>50222</v>
      </c>
      <c r="BK7" s="113">
        <f t="shared" si="1"/>
        <v>50314</v>
      </c>
      <c r="BL7" s="113">
        <f t="shared" si="1"/>
        <v>50406</v>
      </c>
      <c r="BM7" s="113">
        <f t="shared" si="1"/>
        <v>50496</v>
      </c>
      <c r="BN7" s="113">
        <f t="shared" si="1"/>
        <v>50587</v>
      </c>
      <c r="BO7" s="113">
        <f t="shared" si="1"/>
        <v>50679</v>
      </c>
      <c r="BP7" s="113">
        <f t="shared" si="1"/>
        <v>50771</v>
      </c>
      <c r="BQ7" s="113">
        <f t="shared" si="1"/>
        <v>50861</v>
      </c>
      <c r="BR7" s="113">
        <f t="shared" si="1"/>
        <v>50952</v>
      </c>
      <c r="BS7" s="113">
        <f t="shared" si="1"/>
        <v>51044</v>
      </c>
      <c r="BT7" s="113">
        <f t="shared" si="1"/>
        <v>51136</v>
      </c>
      <c r="BU7" s="113">
        <f t="shared" si="1"/>
        <v>51227</v>
      </c>
      <c r="BV7" s="113">
        <f t="shared" si="1"/>
        <v>51318</v>
      </c>
      <c r="BW7" s="113">
        <f t="shared" si="1"/>
        <v>51410</v>
      </c>
      <c r="BX7" s="113">
        <f t="shared" si="1"/>
        <v>51502</v>
      </c>
      <c r="BY7" s="113">
        <f t="shared" si="1"/>
        <v>51592</v>
      </c>
      <c r="BZ7" s="113">
        <f t="shared" si="1"/>
        <v>51683</v>
      </c>
      <c r="CA7" s="113">
        <f t="shared" si="1"/>
        <v>51775</v>
      </c>
      <c r="CB7" s="113">
        <f t="shared" si="1"/>
        <v>51867</v>
      </c>
      <c r="CC7" s="113">
        <f t="shared" si="1"/>
        <v>51957</v>
      </c>
      <c r="CD7" s="113">
        <f t="shared" si="1"/>
        <v>52048</v>
      </c>
      <c r="CE7" s="113">
        <f t="shared" si="1"/>
        <v>52140</v>
      </c>
      <c r="CF7" s="113">
        <f t="shared" si="1"/>
        <v>52232</v>
      </c>
      <c r="CG7" s="113">
        <f t="shared" si="1"/>
        <v>52322</v>
      </c>
      <c r="CH7" s="113">
        <f t="shared" si="1"/>
        <v>52413</v>
      </c>
      <c r="CI7" s="113">
        <f t="shared" si="1"/>
        <v>52505</v>
      </c>
      <c r="CJ7" s="113">
        <f t="shared" si="1"/>
        <v>52597</v>
      </c>
      <c r="CK7" s="113">
        <f t="shared" si="1"/>
        <v>52688</v>
      </c>
      <c r="CL7" s="113">
        <f t="shared" si="1"/>
        <v>52779</v>
      </c>
      <c r="CM7" s="113">
        <f t="shared" si="1"/>
        <v>52871</v>
      </c>
      <c r="CN7" s="113">
        <f t="shared" si="1"/>
        <v>52963</v>
      </c>
      <c r="CO7" s="113">
        <f t="shared" si="1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2">End_of_period</f>
        <v>45747</v>
      </c>
      <c r="M8" s="113">
        <f t="shared" si="2"/>
        <v>45838</v>
      </c>
      <c r="N8" s="113">
        <f t="shared" si="2"/>
        <v>45930</v>
      </c>
      <c r="O8" s="113">
        <f t="shared" si="2"/>
        <v>46022</v>
      </c>
      <c r="P8" s="113">
        <f t="shared" si="2"/>
        <v>46112</v>
      </c>
      <c r="Q8" s="113">
        <f t="shared" si="2"/>
        <v>46203</v>
      </c>
      <c r="R8" s="113">
        <f t="shared" si="2"/>
        <v>46295</v>
      </c>
      <c r="S8" s="113">
        <f t="shared" si="2"/>
        <v>46387</v>
      </c>
      <c r="T8" s="113">
        <f t="shared" si="2"/>
        <v>46477</v>
      </c>
      <c r="U8" s="113">
        <f t="shared" si="2"/>
        <v>46568</v>
      </c>
      <c r="V8" s="113">
        <f t="shared" si="2"/>
        <v>46660</v>
      </c>
      <c r="W8" s="113">
        <f t="shared" si="2"/>
        <v>46752</v>
      </c>
      <c r="X8" s="113">
        <f t="shared" si="2"/>
        <v>46843</v>
      </c>
      <c r="Y8" s="113">
        <f t="shared" si="2"/>
        <v>46934</v>
      </c>
      <c r="Z8" s="113">
        <f t="shared" si="2"/>
        <v>47026</v>
      </c>
      <c r="AA8" s="113">
        <f t="shared" si="2"/>
        <v>47118</v>
      </c>
      <c r="AB8" s="113">
        <f t="shared" si="2"/>
        <v>47208</v>
      </c>
      <c r="AC8" s="113">
        <f t="shared" si="2"/>
        <v>47299</v>
      </c>
      <c r="AD8" s="113">
        <f t="shared" si="2"/>
        <v>47391</v>
      </c>
      <c r="AE8" s="113">
        <f t="shared" si="2"/>
        <v>47483</v>
      </c>
      <c r="AF8" s="113">
        <f t="shared" si="2"/>
        <v>47573</v>
      </c>
      <c r="AG8" s="113">
        <f t="shared" si="2"/>
        <v>47664</v>
      </c>
      <c r="AH8" s="113">
        <f t="shared" si="2"/>
        <v>47756</v>
      </c>
      <c r="AI8" s="113">
        <f t="shared" si="2"/>
        <v>47848</v>
      </c>
      <c r="AJ8" s="113">
        <f t="shared" si="2"/>
        <v>47938</v>
      </c>
      <c r="AK8" s="113">
        <f t="shared" si="2"/>
        <v>48029</v>
      </c>
      <c r="AL8" s="113">
        <f t="shared" si="2"/>
        <v>48121</v>
      </c>
      <c r="AM8" s="113">
        <f t="shared" si="2"/>
        <v>48213</v>
      </c>
      <c r="AN8" s="113">
        <f t="shared" si="2"/>
        <v>48304</v>
      </c>
      <c r="AO8" s="113">
        <f t="shared" si="2"/>
        <v>48395</v>
      </c>
      <c r="AP8" s="113">
        <f t="shared" si="2"/>
        <v>48487</v>
      </c>
      <c r="AQ8" s="113">
        <f t="shared" si="2"/>
        <v>48579</v>
      </c>
      <c r="AR8" s="113">
        <f t="shared" si="2"/>
        <v>48669</v>
      </c>
      <c r="AS8" s="113">
        <f t="shared" si="2"/>
        <v>48760</v>
      </c>
      <c r="AT8" s="113">
        <f t="shared" si="2"/>
        <v>48852</v>
      </c>
      <c r="AU8" s="113">
        <f t="shared" si="2"/>
        <v>48944</v>
      </c>
      <c r="AV8" s="113">
        <f t="shared" si="2"/>
        <v>49034</v>
      </c>
      <c r="AW8" s="113">
        <f t="shared" si="2"/>
        <v>49125</v>
      </c>
      <c r="AX8" s="113">
        <f t="shared" si="2"/>
        <v>49217</v>
      </c>
      <c r="AY8" s="113">
        <f t="shared" si="2"/>
        <v>49309</v>
      </c>
      <c r="AZ8" s="113">
        <f t="shared" si="2"/>
        <v>49399</v>
      </c>
      <c r="BA8" s="113">
        <f t="shared" si="2"/>
        <v>49490</v>
      </c>
      <c r="BB8" s="113">
        <f t="shared" si="2"/>
        <v>49582</v>
      </c>
      <c r="BC8" s="113">
        <f t="shared" si="2"/>
        <v>49674</v>
      </c>
      <c r="BD8" s="113">
        <f t="shared" si="2"/>
        <v>49765</v>
      </c>
      <c r="BE8" s="113">
        <f t="shared" si="2"/>
        <v>49856</v>
      </c>
      <c r="BF8" s="113">
        <f t="shared" si="2"/>
        <v>49948</v>
      </c>
      <c r="BG8" s="113">
        <f t="shared" si="2"/>
        <v>50040</v>
      </c>
      <c r="BH8" s="113">
        <f t="shared" si="2"/>
        <v>50130</v>
      </c>
      <c r="BI8" s="113">
        <f t="shared" si="2"/>
        <v>50221</v>
      </c>
      <c r="BJ8" s="113">
        <f t="shared" si="2"/>
        <v>50313</v>
      </c>
      <c r="BK8" s="113">
        <f t="shared" si="2"/>
        <v>50405</v>
      </c>
      <c r="BL8" s="113">
        <f t="shared" si="2"/>
        <v>50495</v>
      </c>
      <c r="BM8" s="113">
        <f t="shared" si="2"/>
        <v>50586</v>
      </c>
      <c r="BN8" s="113">
        <f t="shared" si="2"/>
        <v>50678</v>
      </c>
      <c r="BO8" s="113">
        <f t="shared" si="2"/>
        <v>50770</v>
      </c>
      <c r="BP8" s="113">
        <f t="shared" si="2"/>
        <v>50860</v>
      </c>
      <c r="BQ8" s="113">
        <f t="shared" si="2"/>
        <v>50951</v>
      </c>
      <c r="BR8" s="113">
        <f t="shared" si="2"/>
        <v>51043</v>
      </c>
      <c r="BS8" s="113">
        <f t="shared" si="2"/>
        <v>51135</v>
      </c>
      <c r="BT8" s="113">
        <f t="shared" si="2"/>
        <v>51226</v>
      </c>
      <c r="BU8" s="113">
        <f t="shared" si="2"/>
        <v>51317</v>
      </c>
      <c r="BV8" s="113">
        <f t="shared" si="2"/>
        <v>51409</v>
      </c>
      <c r="BW8" s="113">
        <f t="shared" si="2"/>
        <v>51501</v>
      </c>
      <c r="BX8" s="113">
        <f t="shared" si="2"/>
        <v>51591</v>
      </c>
      <c r="BY8" s="113">
        <f t="shared" si="2"/>
        <v>51682</v>
      </c>
      <c r="BZ8" s="113">
        <f t="shared" si="2"/>
        <v>51774</v>
      </c>
      <c r="CA8" s="113">
        <f t="shared" si="2"/>
        <v>51866</v>
      </c>
      <c r="CB8" s="113">
        <f t="shared" si="2"/>
        <v>51956</v>
      </c>
      <c r="CC8" s="113">
        <f t="shared" si="2"/>
        <v>52047</v>
      </c>
      <c r="CD8" s="113">
        <f t="shared" si="2"/>
        <v>52139</v>
      </c>
      <c r="CE8" s="113">
        <f t="shared" si="2"/>
        <v>52231</v>
      </c>
      <c r="CF8" s="113">
        <f t="shared" si="2"/>
        <v>52321</v>
      </c>
      <c r="CG8" s="113">
        <f t="shared" si="2"/>
        <v>52412</v>
      </c>
      <c r="CH8" s="113">
        <f t="shared" si="2"/>
        <v>52504</v>
      </c>
      <c r="CI8" s="113">
        <f t="shared" si="2"/>
        <v>52596</v>
      </c>
      <c r="CJ8" s="113">
        <f t="shared" si="2"/>
        <v>52687</v>
      </c>
      <c r="CK8" s="113">
        <f t="shared" si="2"/>
        <v>52778</v>
      </c>
      <c r="CL8" s="113">
        <f t="shared" si="2"/>
        <v>52870</v>
      </c>
      <c r="CM8" s="113">
        <f t="shared" si="2"/>
        <v>52962</v>
      </c>
      <c r="CN8" s="113">
        <f t="shared" si="2"/>
        <v>53052</v>
      </c>
      <c r="CO8" s="113">
        <f t="shared" si="2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O9" si="3">IF(Flag_Construction,1,2)*Flag_Financial_Model</f>
        <v>1</v>
      </c>
      <c r="M9" s="152">
        <f t="shared" si="3"/>
        <v>1</v>
      </c>
      <c r="N9" s="152">
        <f t="shared" si="3"/>
        <v>1</v>
      </c>
      <c r="O9" s="152">
        <f t="shared" si="3"/>
        <v>1</v>
      </c>
      <c r="P9" s="152">
        <f t="shared" si="3"/>
        <v>1</v>
      </c>
      <c r="Q9" s="152">
        <f t="shared" si="3"/>
        <v>1</v>
      </c>
      <c r="R9" s="152">
        <f t="shared" si="3"/>
        <v>1</v>
      </c>
      <c r="S9" s="152">
        <f t="shared" si="3"/>
        <v>1</v>
      </c>
      <c r="T9" s="152">
        <f t="shared" si="3"/>
        <v>1</v>
      </c>
      <c r="U9" s="152">
        <f t="shared" si="3"/>
        <v>1</v>
      </c>
      <c r="V9" s="152">
        <f t="shared" si="3"/>
        <v>1</v>
      </c>
      <c r="W9" s="152">
        <f t="shared" si="3"/>
        <v>1</v>
      </c>
      <c r="X9" s="152">
        <f t="shared" si="3"/>
        <v>1</v>
      </c>
      <c r="Y9" s="152">
        <f t="shared" si="3"/>
        <v>1</v>
      </c>
      <c r="Z9" s="152">
        <f t="shared" si="3"/>
        <v>1</v>
      </c>
      <c r="AA9" s="152">
        <f t="shared" si="3"/>
        <v>1</v>
      </c>
      <c r="AB9" s="152">
        <f t="shared" si="3"/>
        <v>1</v>
      </c>
      <c r="AC9" s="152">
        <f t="shared" si="3"/>
        <v>2</v>
      </c>
      <c r="AD9" s="152">
        <f t="shared" si="3"/>
        <v>2</v>
      </c>
      <c r="AE9" s="152">
        <f t="shared" si="3"/>
        <v>2</v>
      </c>
      <c r="AF9" s="152">
        <f t="shared" si="3"/>
        <v>2</v>
      </c>
      <c r="AG9" s="152">
        <f t="shared" si="3"/>
        <v>2</v>
      </c>
      <c r="AH9" s="152">
        <f t="shared" si="3"/>
        <v>2</v>
      </c>
      <c r="AI9" s="152">
        <f t="shared" si="3"/>
        <v>2</v>
      </c>
      <c r="AJ9" s="152">
        <f t="shared" si="3"/>
        <v>2</v>
      </c>
      <c r="AK9" s="152">
        <f t="shared" si="3"/>
        <v>2</v>
      </c>
      <c r="AL9" s="152">
        <f t="shared" si="3"/>
        <v>2</v>
      </c>
      <c r="AM9" s="152">
        <f t="shared" si="3"/>
        <v>2</v>
      </c>
      <c r="AN9" s="152">
        <f t="shared" si="3"/>
        <v>2</v>
      </c>
      <c r="AO9" s="152">
        <f t="shared" si="3"/>
        <v>2</v>
      </c>
      <c r="AP9" s="152">
        <f t="shared" si="3"/>
        <v>2</v>
      </c>
      <c r="AQ9" s="152">
        <f t="shared" si="3"/>
        <v>2</v>
      </c>
      <c r="AR9" s="152">
        <f t="shared" si="3"/>
        <v>2</v>
      </c>
      <c r="AS9" s="152">
        <f t="shared" si="3"/>
        <v>2</v>
      </c>
      <c r="AT9" s="152">
        <f t="shared" si="3"/>
        <v>2</v>
      </c>
      <c r="AU9" s="152">
        <f t="shared" si="3"/>
        <v>2</v>
      </c>
      <c r="AV9" s="152">
        <f t="shared" si="3"/>
        <v>2</v>
      </c>
      <c r="AW9" s="152">
        <f t="shared" si="3"/>
        <v>2</v>
      </c>
      <c r="AX9" s="152">
        <f t="shared" si="3"/>
        <v>2</v>
      </c>
      <c r="AY9" s="152">
        <f t="shared" si="3"/>
        <v>2</v>
      </c>
      <c r="AZ9" s="152">
        <f t="shared" si="3"/>
        <v>2</v>
      </c>
      <c r="BA9" s="152">
        <f t="shared" si="3"/>
        <v>2</v>
      </c>
      <c r="BB9" s="152">
        <f t="shared" si="3"/>
        <v>2</v>
      </c>
      <c r="BC9" s="152">
        <f t="shared" si="3"/>
        <v>2</v>
      </c>
      <c r="BD9" s="152">
        <f t="shared" si="3"/>
        <v>2</v>
      </c>
      <c r="BE9" s="152">
        <f t="shared" si="3"/>
        <v>2</v>
      </c>
      <c r="BF9" s="152">
        <f t="shared" si="3"/>
        <v>2</v>
      </c>
      <c r="BG9" s="152">
        <f t="shared" si="3"/>
        <v>2</v>
      </c>
      <c r="BH9" s="152">
        <f t="shared" si="3"/>
        <v>2</v>
      </c>
      <c r="BI9" s="152">
        <f t="shared" si="3"/>
        <v>2</v>
      </c>
      <c r="BJ9" s="152">
        <f t="shared" si="3"/>
        <v>2</v>
      </c>
      <c r="BK9" s="152">
        <f t="shared" si="3"/>
        <v>2</v>
      </c>
      <c r="BL9" s="152">
        <f t="shared" si="3"/>
        <v>2</v>
      </c>
      <c r="BM9" s="152">
        <f t="shared" si="3"/>
        <v>2</v>
      </c>
      <c r="BN9" s="152">
        <f t="shared" si="3"/>
        <v>2</v>
      </c>
      <c r="BO9" s="152">
        <f t="shared" si="3"/>
        <v>2</v>
      </c>
      <c r="BP9" s="152">
        <f t="shared" si="3"/>
        <v>2</v>
      </c>
      <c r="BQ9" s="152">
        <f t="shared" si="3"/>
        <v>2</v>
      </c>
      <c r="BR9" s="152">
        <f t="shared" si="3"/>
        <v>2</v>
      </c>
      <c r="BS9" s="152">
        <f t="shared" si="3"/>
        <v>2</v>
      </c>
      <c r="BT9" s="152">
        <f t="shared" si="3"/>
        <v>2</v>
      </c>
      <c r="BU9" s="152">
        <f t="shared" si="3"/>
        <v>2</v>
      </c>
      <c r="BV9" s="152">
        <f t="shared" si="3"/>
        <v>2</v>
      </c>
      <c r="BW9" s="152">
        <f t="shared" si="3"/>
        <v>2</v>
      </c>
      <c r="BX9" s="152">
        <f t="shared" si="3"/>
        <v>2</v>
      </c>
      <c r="BY9" s="152">
        <f t="shared" si="3"/>
        <v>2</v>
      </c>
      <c r="BZ9" s="152">
        <f t="shared" si="3"/>
        <v>2</v>
      </c>
      <c r="CA9" s="152">
        <f t="shared" si="3"/>
        <v>2</v>
      </c>
      <c r="CB9" s="152">
        <f t="shared" si="3"/>
        <v>2</v>
      </c>
      <c r="CC9" s="152">
        <f t="shared" si="3"/>
        <v>2</v>
      </c>
      <c r="CD9" s="152">
        <f t="shared" si="3"/>
        <v>2</v>
      </c>
      <c r="CE9" s="152">
        <f t="shared" si="3"/>
        <v>2</v>
      </c>
      <c r="CF9" s="152">
        <f t="shared" si="3"/>
        <v>2</v>
      </c>
      <c r="CG9" s="152">
        <f t="shared" si="3"/>
        <v>2</v>
      </c>
      <c r="CH9" s="152">
        <f t="shared" si="3"/>
        <v>2</v>
      </c>
      <c r="CI9" s="152">
        <f t="shared" si="3"/>
        <v>2</v>
      </c>
      <c r="CJ9" s="152">
        <f t="shared" si="3"/>
        <v>2</v>
      </c>
      <c r="CK9" s="152">
        <f t="shared" si="3"/>
        <v>2</v>
      </c>
      <c r="CL9" s="152">
        <f t="shared" si="3"/>
        <v>2</v>
      </c>
      <c r="CM9" s="152">
        <f t="shared" si="3"/>
        <v>2</v>
      </c>
      <c r="CN9" s="152">
        <f t="shared" si="3"/>
        <v>2</v>
      </c>
      <c r="CO9" s="152">
        <f t="shared" si="3"/>
        <v>2</v>
      </c>
    </row>
    <row r="10" spans="1:93" ht="15" customHeight="1">
      <c r="A10" s="47"/>
      <c r="B10" s="47"/>
      <c r="C10" s="47"/>
      <c r="D10" s="47"/>
      <c r="E10" s="47"/>
      <c r="F10" s="47"/>
      <c r="G10" s="321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15" customHeight="1" thickBot="1">
      <c r="A11" s="47"/>
      <c r="B11" s="47"/>
      <c r="C11" s="12" t="s">
        <v>1240</v>
      </c>
      <c r="D11" s="12"/>
      <c r="E11" s="12"/>
      <c r="F11" s="12"/>
      <c r="G11" s="12"/>
      <c r="H11" s="12"/>
      <c r="I11" s="12"/>
      <c r="J11" s="47"/>
      <c r="K11" s="47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</row>
    <row r="12" spans="1:93" s="141" customFormat="1" ht="15" customHeight="1">
      <c r="A12" s="153"/>
      <c r="B12" s="153"/>
      <c r="C12" s="153"/>
      <c r="D12" s="153"/>
      <c r="E12" s="153"/>
      <c r="F12" s="153"/>
      <c r="G12" s="179"/>
      <c r="H12" s="153"/>
      <c r="I12" s="153"/>
      <c r="J12" s="153"/>
      <c r="K12" s="153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s="141" customFormat="1" ht="15" customHeight="1">
      <c r="A13" s="153"/>
      <c r="B13" s="153"/>
      <c r="C13" s="156" t="s">
        <v>976</v>
      </c>
      <c r="D13" s="153"/>
      <c r="E13" s="153"/>
      <c r="F13" s="153"/>
      <c r="G13" s="179" t="s">
        <v>28</v>
      </c>
      <c r="H13" s="153"/>
      <c r="I13" s="413">
        <f>Предпосылки!E607</f>
        <v>0</v>
      </c>
      <c r="J13" s="153"/>
      <c r="K13" s="153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 s="141" customFormat="1" ht="15" customHeight="1">
      <c r="A14" s="153"/>
      <c r="B14" s="153"/>
      <c r="C14" s="156" t="s">
        <v>977</v>
      </c>
      <c r="D14" s="153"/>
      <c r="E14" s="153"/>
      <c r="F14" s="153"/>
      <c r="G14" s="179"/>
      <c r="H14" s="153"/>
      <c r="I14" s="334">
        <f xml:space="preserve"> Date_Operations_Start</f>
        <v>47209</v>
      </c>
      <c r="J14" s="153"/>
      <c r="K14" s="153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</row>
    <row r="15" spans="1:93" s="141" customFormat="1" ht="15" customHeight="1">
      <c r="A15" s="153"/>
      <c r="B15" s="153"/>
      <c r="C15" s="156" t="s">
        <v>1228</v>
      </c>
      <c r="D15" s="153"/>
      <c r="E15" s="153"/>
      <c r="F15" s="153"/>
      <c r="G15" s="179" t="s">
        <v>1229</v>
      </c>
      <c r="H15" s="153"/>
      <c r="I15" s="396">
        <v>3</v>
      </c>
      <c r="J15" s="153"/>
      <c r="K15" s="153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3" s="141" customFormat="1" ht="15" customHeight="1">
      <c r="A16" s="153"/>
      <c r="B16" s="153"/>
      <c r="C16" s="156" t="s">
        <v>978</v>
      </c>
      <c r="D16" s="153"/>
      <c r="E16" s="153"/>
      <c r="F16" s="153"/>
      <c r="G16" s="179" t="s">
        <v>31</v>
      </c>
      <c r="H16" s="153"/>
      <c r="I16" s="334">
        <f>EOMONTH(I14,I15*Months_in_Year-1)</f>
        <v>48304</v>
      </c>
      <c r="J16" s="153"/>
      <c r="K16" s="153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41" customFormat="1" ht="15" customHeight="1">
      <c r="A17" s="153"/>
      <c r="B17" s="153"/>
      <c r="C17" s="153"/>
      <c r="D17" s="153"/>
      <c r="E17" s="153"/>
      <c r="F17" s="153"/>
      <c r="G17" s="11"/>
      <c r="H17" s="153"/>
      <c r="I17" s="153"/>
      <c r="J17" s="153"/>
      <c r="K17" s="153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3" s="141" customFormat="1" ht="15" customHeight="1">
      <c r="A18" s="153"/>
      <c r="B18" s="153"/>
      <c r="C18" s="156" t="s">
        <v>953</v>
      </c>
      <c r="D18" s="153"/>
      <c r="E18" s="153"/>
      <c r="F18" s="153"/>
      <c r="G18" s="11" t="s">
        <v>28</v>
      </c>
      <c r="H18" s="153"/>
      <c r="I18" s="328">
        <f ca="1">Расчеты!E1372</f>
        <v>0.21537282136279923</v>
      </c>
      <c r="J18" s="153"/>
      <c r="K18" s="153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</row>
    <row r="19" spans="1:93" s="141" customFormat="1" ht="15" customHeight="1">
      <c r="A19" s="153"/>
      <c r="B19" s="153"/>
      <c r="C19" s="156" t="s">
        <v>963</v>
      </c>
      <c r="D19" s="153"/>
      <c r="E19" s="153"/>
      <c r="F19" s="153"/>
      <c r="G19" s="11" t="s">
        <v>28</v>
      </c>
      <c r="H19" s="153"/>
      <c r="I19" s="328">
        <f>AVERAGE(Предпосылки!R59:AA59)</f>
        <v>4.0300646272306576E-2</v>
      </c>
      <c r="J19" s="153"/>
      <c r="K19" s="153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</row>
    <row r="20" spans="1:93" s="141" customFormat="1" ht="15" customHeight="1">
      <c r="A20" s="153"/>
      <c r="B20" s="153"/>
      <c r="C20" s="153"/>
      <c r="D20" s="153"/>
      <c r="E20" s="153"/>
      <c r="F20" s="153"/>
      <c r="G20" s="179"/>
      <c r="H20" s="153"/>
      <c r="I20" s="153"/>
      <c r="J20" s="153"/>
      <c r="K20" s="153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</row>
    <row r="21" spans="1:93" s="141" customFormat="1" ht="15" customHeight="1" thickBot="1">
      <c r="A21" s="153"/>
      <c r="B21" s="153"/>
      <c r="C21" s="12" t="s">
        <v>1241</v>
      </c>
      <c r="D21" s="12"/>
      <c r="E21" s="12"/>
      <c r="F21" s="12"/>
      <c r="G21" s="12"/>
      <c r="H21" s="12"/>
      <c r="I21" s="12"/>
      <c r="J21" s="153"/>
      <c r="K21" s="153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</row>
    <row r="22" spans="1:93" ht="15" customHeight="1">
      <c r="A22" s="47"/>
      <c r="B22" s="47"/>
      <c r="C22" s="47"/>
      <c r="D22" s="47"/>
      <c r="E22" s="47"/>
      <c r="F22" s="47"/>
      <c r="G22" s="321"/>
      <c r="H22" s="47"/>
      <c r="I22" s="47"/>
      <c r="J22" s="47"/>
      <c r="K22" s="4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ht="15" customHeight="1">
      <c r="A23" s="47"/>
      <c r="B23" s="47"/>
      <c r="C23" s="156" t="s">
        <v>590</v>
      </c>
      <c r="D23" s="153"/>
      <c r="E23" s="11"/>
      <c r="F23" s="11"/>
      <c r="G23" s="11" t="str">
        <f>Monetary_Unit</f>
        <v>тыс. руб.</v>
      </c>
      <c r="H23" s="153"/>
      <c r="I23" s="23">
        <f>SUM(L23:CO23)</f>
        <v>0</v>
      </c>
      <c r="J23" s="153"/>
      <c r="K23" s="153"/>
      <c r="L23" s="10">
        <f t="shared" ref="L23:AQ23" si="4" xml:space="preserve"> - L43</f>
        <v>0</v>
      </c>
      <c r="M23" s="10">
        <f t="shared" si="4"/>
        <v>0</v>
      </c>
      <c r="N23" s="10">
        <f t="shared" si="4"/>
        <v>0</v>
      </c>
      <c r="O23" s="10">
        <f t="shared" si="4"/>
        <v>0</v>
      </c>
      <c r="P23" s="10">
        <f t="shared" si="4"/>
        <v>0</v>
      </c>
      <c r="Q23" s="10">
        <f t="shared" si="4"/>
        <v>0</v>
      </c>
      <c r="R23" s="10">
        <f t="shared" si="4"/>
        <v>0</v>
      </c>
      <c r="S23" s="10">
        <f t="shared" si="4"/>
        <v>0</v>
      </c>
      <c r="T23" s="10">
        <f t="shared" si="4"/>
        <v>0</v>
      </c>
      <c r="U23" s="10">
        <f t="shared" si="4"/>
        <v>0</v>
      </c>
      <c r="V23" s="10">
        <f t="shared" si="4"/>
        <v>0</v>
      </c>
      <c r="W23" s="10">
        <f t="shared" si="4"/>
        <v>0</v>
      </c>
      <c r="X23" s="10">
        <f t="shared" si="4"/>
        <v>0</v>
      </c>
      <c r="Y23" s="10">
        <f t="shared" si="4"/>
        <v>0</v>
      </c>
      <c r="Z23" s="10">
        <f t="shared" si="4"/>
        <v>0</v>
      </c>
      <c r="AA23" s="10">
        <f t="shared" si="4"/>
        <v>0</v>
      </c>
      <c r="AB23" s="10">
        <f t="shared" si="4"/>
        <v>0</v>
      </c>
      <c r="AC23" s="10">
        <f t="shared" si="4"/>
        <v>0</v>
      </c>
      <c r="AD23" s="10">
        <f t="shared" si="4"/>
        <v>0</v>
      </c>
      <c r="AE23" s="10">
        <f t="shared" si="4"/>
        <v>0</v>
      </c>
      <c r="AF23" s="10">
        <f t="shared" si="4"/>
        <v>0</v>
      </c>
      <c r="AG23" s="10">
        <f t="shared" si="4"/>
        <v>0</v>
      </c>
      <c r="AH23" s="10">
        <f t="shared" si="4"/>
        <v>0</v>
      </c>
      <c r="AI23" s="10">
        <f t="shared" si="4"/>
        <v>0</v>
      </c>
      <c r="AJ23" s="10">
        <f t="shared" si="4"/>
        <v>0</v>
      </c>
      <c r="AK23" s="10">
        <f t="shared" si="4"/>
        <v>0</v>
      </c>
      <c r="AL23" s="10">
        <f t="shared" si="4"/>
        <v>0</v>
      </c>
      <c r="AM23" s="10">
        <f t="shared" si="4"/>
        <v>0</v>
      </c>
      <c r="AN23" s="10">
        <f t="shared" si="4"/>
        <v>0</v>
      </c>
      <c r="AO23" s="10">
        <f t="shared" si="4"/>
        <v>0</v>
      </c>
      <c r="AP23" s="10">
        <f t="shared" si="4"/>
        <v>0</v>
      </c>
      <c r="AQ23" s="10">
        <f t="shared" si="4"/>
        <v>0</v>
      </c>
      <c r="AR23" s="10">
        <f t="shared" ref="AR23:BS23" si="5" xml:space="preserve"> - AR43</f>
        <v>0</v>
      </c>
      <c r="AS23" s="10">
        <f t="shared" si="5"/>
        <v>0</v>
      </c>
      <c r="AT23" s="10">
        <f t="shared" si="5"/>
        <v>0</v>
      </c>
      <c r="AU23" s="10">
        <f t="shared" si="5"/>
        <v>0</v>
      </c>
      <c r="AV23" s="10">
        <f t="shared" si="5"/>
        <v>0</v>
      </c>
      <c r="AW23" s="10">
        <f t="shared" si="5"/>
        <v>0</v>
      </c>
      <c r="AX23" s="10">
        <f t="shared" si="5"/>
        <v>0</v>
      </c>
      <c r="AY23" s="10">
        <f t="shared" si="5"/>
        <v>0</v>
      </c>
      <c r="AZ23" s="10">
        <f t="shared" si="5"/>
        <v>0</v>
      </c>
      <c r="BA23" s="10">
        <f t="shared" si="5"/>
        <v>0</v>
      </c>
      <c r="BB23" s="10">
        <f t="shared" si="5"/>
        <v>0</v>
      </c>
      <c r="BC23" s="10">
        <f t="shared" si="5"/>
        <v>0</v>
      </c>
      <c r="BD23" s="10">
        <f t="shared" si="5"/>
        <v>0</v>
      </c>
      <c r="BE23" s="10">
        <f t="shared" si="5"/>
        <v>0</v>
      </c>
      <c r="BF23" s="10">
        <f t="shared" si="5"/>
        <v>0</v>
      </c>
      <c r="BG23" s="10">
        <f t="shared" si="5"/>
        <v>0</v>
      </c>
      <c r="BH23" s="10">
        <f t="shared" si="5"/>
        <v>0</v>
      </c>
      <c r="BI23" s="10">
        <f t="shared" si="5"/>
        <v>0</v>
      </c>
      <c r="BJ23" s="10">
        <f t="shared" si="5"/>
        <v>0</v>
      </c>
      <c r="BK23" s="10">
        <f t="shared" si="5"/>
        <v>0</v>
      </c>
      <c r="BL23" s="10">
        <f t="shared" si="5"/>
        <v>0</v>
      </c>
      <c r="BM23" s="10">
        <f t="shared" si="5"/>
        <v>0</v>
      </c>
      <c r="BN23" s="10">
        <f t="shared" si="5"/>
        <v>0</v>
      </c>
      <c r="BO23" s="10">
        <f t="shared" si="5"/>
        <v>0</v>
      </c>
      <c r="BP23" s="10">
        <f t="shared" si="5"/>
        <v>0</v>
      </c>
      <c r="BQ23" s="10">
        <f t="shared" si="5"/>
        <v>0</v>
      </c>
      <c r="BR23" s="10">
        <f t="shared" si="5"/>
        <v>0</v>
      </c>
      <c r="BS23" s="10">
        <f t="shared" si="5"/>
        <v>0</v>
      </c>
      <c r="BT23" s="10">
        <f t="shared" ref="BT23:CO23" si="6" xml:space="preserve"> - BT43</f>
        <v>0</v>
      </c>
      <c r="BU23" s="10">
        <f t="shared" si="6"/>
        <v>0</v>
      </c>
      <c r="BV23" s="10">
        <f t="shared" si="6"/>
        <v>0</v>
      </c>
      <c r="BW23" s="10">
        <f t="shared" si="6"/>
        <v>0</v>
      </c>
      <c r="BX23" s="10">
        <f t="shared" si="6"/>
        <v>0</v>
      </c>
      <c r="BY23" s="10">
        <f t="shared" si="6"/>
        <v>0</v>
      </c>
      <c r="BZ23" s="10">
        <f t="shared" si="6"/>
        <v>0</v>
      </c>
      <c r="CA23" s="10">
        <f t="shared" si="6"/>
        <v>0</v>
      </c>
      <c r="CB23" s="10">
        <f t="shared" si="6"/>
        <v>0</v>
      </c>
      <c r="CC23" s="10">
        <f t="shared" si="6"/>
        <v>0</v>
      </c>
      <c r="CD23" s="10">
        <f t="shared" si="6"/>
        <v>0</v>
      </c>
      <c r="CE23" s="10">
        <f t="shared" si="6"/>
        <v>0</v>
      </c>
      <c r="CF23" s="10">
        <f t="shared" si="6"/>
        <v>0</v>
      </c>
      <c r="CG23" s="10">
        <f t="shared" si="6"/>
        <v>0</v>
      </c>
      <c r="CH23" s="10">
        <f t="shared" si="6"/>
        <v>0</v>
      </c>
      <c r="CI23" s="10">
        <f t="shared" si="6"/>
        <v>0</v>
      </c>
      <c r="CJ23" s="10">
        <f t="shared" si="6"/>
        <v>0</v>
      </c>
      <c r="CK23" s="10">
        <f t="shared" si="6"/>
        <v>0</v>
      </c>
      <c r="CL23" s="10">
        <f t="shared" si="6"/>
        <v>0</v>
      </c>
      <c r="CM23" s="10">
        <f t="shared" si="6"/>
        <v>0</v>
      </c>
      <c r="CN23" s="10">
        <f t="shared" si="6"/>
        <v>0</v>
      </c>
      <c r="CO23" s="10">
        <f t="shared" si="6"/>
        <v>0</v>
      </c>
    </row>
    <row r="24" spans="1:93" ht="15" customHeight="1">
      <c r="A24" s="47"/>
      <c r="B24" s="47"/>
      <c r="C24" s="156" t="s">
        <v>965</v>
      </c>
      <c r="D24" s="153"/>
      <c r="E24" s="11"/>
      <c r="F24" s="11"/>
      <c r="G24" s="11" t="str">
        <f>Monetary_Unit</f>
        <v>тыс. руб.</v>
      </c>
      <c r="H24" s="153"/>
      <c r="I24" s="23">
        <f t="shared" ref="I24:I27" ca="1" si="7">SUM(L24:CO24)</f>
        <v>0</v>
      </c>
      <c r="J24" s="153"/>
      <c r="K24" s="153"/>
      <c r="L24" s="10">
        <f t="shared" ref="L24:AQ24" ca="1" si="8" xml:space="preserve"> L48 * L53 * $I$13</f>
        <v>0</v>
      </c>
      <c r="M24" s="10">
        <f t="shared" ca="1" si="8"/>
        <v>0</v>
      </c>
      <c r="N24" s="10">
        <f t="shared" ca="1" si="8"/>
        <v>0</v>
      </c>
      <c r="O24" s="10">
        <f t="shared" ca="1" si="8"/>
        <v>0</v>
      </c>
      <c r="P24" s="10">
        <f t="shared" ca="1" si="8"/>
        <v>0</v>
      </c>
      <c r="Q24" s="10">
        <f t="shared" ca="1" si="8"/>
        <v>0</v>
      </c>
      <c r="R24" s="10">
        <f t="shared" ca="1" si="8"/>
        <v>0</v>
      </c>
      <c r="S24" s="10">
        <f t="shared" ca="1" si="8"/>
        <v>0</v>
      </c>
      <c r="T24" s="10">
        <f t="shared" ca="1" si="8"/>
        <v>0</v>
      </c>
      <c r="U24" s="10">
        <f t="shared" ca="1" si="8"/>
        <v>0</v>
      </c>
      <c r="V24" s="10">
        <f t="shared" ca="1" si="8"/>
        <v>0</v>
      </c>
      <c r="W24" s="10">
        <f t="shared" ca="1" si="8"/>
        <v>0</v>
      </c>
      <c r="X24" s="10">
        <f t="shared" ca="1" si="8"/>
        <v>0</v>
      </c>
      <c r="Y24" s="10">
        <f t="shared" ca="1" si="8"/>
        <v>0</v>
      </c>
      <c r="Z24" s="10">
        <f t="shared" ca="1" si="8"/>
        <v>0</v>
      </c>
      <c r="AA24" s="10">
        <f t="shared" ca="1" si="8"/>
        <v>0</v>
      </c>
      <c r="AB24" s="10">
        <f t="shared" ca="1" si="8"/>
        <v>0</v>
      </c>
      <c r="AC24" s="10">
        <f t="shared" ca="1" si="8"/>
        <v>0</v>
      </c>
      <c r="AD24" s="10">
        <f t="shared" ca="1" si="8"/>
        <v>0</v>
      </c>
      <c r="AE24" s="10">
        <f t="shared" ca="1" si="8"/>
        <v>0</v>
      </c>
      <c r="AF24" s="10">
        <f t="shared" ca="1" si="8"/>
        <v>0</v>
      </c>
      <c r="AG24" s="10">
        <f t="shared" ca="1" si="8"/>
        <v>0</v>
      </c>
      <c r="AH24" s="10">
        <f t="shared" ca="1" si="8"/>
        <v>0</v>
      </c>
      <c r="AI24" s="10">
        <f t="shared" ca="1" si="8"/>
        <v>0</v>
      </c>
      <c r="AJ24" s="10">
        <f t="shared" ca="1" si="8"/>
        <v>0</v>
      </c>
      <c r="AK24" s="10">
        <f t="shared" ca="1" si="8"/>
        <v>0</v>
      </c>
      <c r="AL24" s="10">
        <f t="shared" ca="1" si="8"/>
        <v>0</v>
      </c>
      <c r="AM24" s="10">
        <f t="shared" ca="1" si="8"/>
        <v>0</v>
      </c>
      <c r="AN24" s="10">
        <f t="shared" ca="1" si="8"/>
        <v>0</v>
      </c>
      <c r="AO24" s="10">
        <f t="shared" ca="1" si="8"/>
        <v>0</v>
      </c>
      <c r="AP24" s="10">
        <f t="shared" ca="1" si="8"/>
        <v>0</v>
      </c>
      <c r="AQ24" s="10">
        <f t="shared" ca="1" si="8"/>
        <v>0</v>
      </c>
      <c r="AR24" s="10">
        <f t="shared" ref="AR24:BS24" ca="1" si="9" xml:space="preserve"> AR48 * AR53 * $I$13</f>
        <v>0</v>
      </c>
      <c r="AS24" s="10">
        <f t="shared" ca="1" si="9"/>
        <v>0</v>
      </c>
      <c r="AT24" s="10">
        <f t="shared" ca="1" si="9"/>
        <v>0</v>
      </c>
      <c r="AU24" s="10">
        <f t="shared" ca="1" si="9"/>
        <v>0</v>
      </c>
      <c r="AV24" s="10">
        <f t="shared" ca="1" si="9"/>
        <v>0</v>
      </c>
      <c r="AW24" s="10">
        <f t="shared" ca="1" si="9"/>
        <v>0</v>
      </c>
      <c r="AX24" s="10">
        <f t="shared" ca="1" si="9"/>
        <v>0</v>
      </c>
      <c r="AY24" s="10">
        <f t="shared" ca="1" si="9"/>
        <v>0</v>
      </c>
      <c r="AZ24" s="10">
        <f t="shared" ca="1" si="9"/>
        <v>0</v>
      </c>
      <c r="BA24" s="10">
        <f t="shared" ca="1" si="9"/>
        <v>0</v>
      </c>
      <c r="BB24" s="10">
        <f t="shared" ca="1" si="9"/>
        <v>0</v>
      </c>
      <c r="BC24" s="10">
        <f t="shared" ca="1" si="9"/>
        <v>0</v>
      </c>
      <c r="BD24" s="10">
        <f t="shared" ca="1" si="9"/>
        <v>0</v>
      </c>
      <c r="BE24" s="10">
        <f t="shared" ca="1" si="9"/>
        <v>0</v>
      </c>
      <c r="BF24" s="10">
        <f t="shared" ca="1" si="9"/>
        <v>0</v>
      </c>
      <c r="BG24" s="10">
        <f t="shared" ca="1" si="9"/>
        <v>0</v>
      </c>
      <c r="BH24" s="10">
        <f t="shared" ca="1" si="9"/>
        <v>0</v>
      </c>
      <c r="BI24" s="10">
        <f t="shared" ca="1" si="9"/>
        <v>0</v>
      </c>
      <c r="BJ24" s="10">
        <f t="shared" ca="1" si="9"/>
        <v>0</v>
      </c>
      <c r="BK24" s="10">
        <f t="shared" ca="1" si="9"/>
        <v>0</v>
      </c>
      <c r="BL24" s="10">
        <f t="shared" ca="1" si="9"/>
        <v>0</v>
      </c>
      <c r="BM24" s="10">
        <f t="shared" ca="1" si="9"/>
        <v>0</v>
      </c>
      <c r="BN24" s="10">
        <f t="shared" ca="1" si="9"/>
        <v>0</v>
      </c>
      <c r="BO24" s="10">
        <f t="shared" ca="1" si="9"/>
        <v>0</v>
      </c>
      <c r="BP24" s="10">
        <f t="shared" ca="1" si="9"/>
        <v>0</v>
      </c>
      <c r="BQ24" s="10">
        <f t="shared" ca="1" si="9"/>
        <v>0</v>
      </c>
      <c r="BR24" s="10">
        <f t="shared" ca="1" si="9"/>
        <v>0</v>
      </c>
      <c r="BS24" s="10">
        <f t="shared" ca="1" si="9"/>
        <v>0</v>
      </c>
      <c r="BT24" s="10">
        <f t="shared" ref="BT24:CO24" ca="1" si="10" xml:space="preserve"> BT48 * BT53 * $I$13</f>
        <v>0</v>
      </c>
      <c r="BU24" s="10">
        <f t="shared" ca="1" si="10"/>
        <v>0</v>
      </c>
      <c r="BV24" s="10">
        <f t="shared" ca="1" si="10"/>
        <v>0</v>
      </c>
      <c r="BW24" s="10">
        <f t="shared" ca="1" si="10"/>
        <v>0</v>
      </c>
      <c r="BX24" s="10">
        <f t="shared" ca="1" si="10"/>
        <v>0</v>
      </c>
      <c r="BY24" s="10">
        <f t="shared" ca="1" si="10"/>
        <v>0</v>
      </c>
      <c r="BZ24" s="10">
        <f t="shared" ca="1" si="10"/>
        <v>0</v>
      </c>
      <c r="CA24" s="10">
        <f t="shared" ca="1" si="10"/>
        <v>0</v>
      </c>
      <c r="CB24" s="10">
        <f t="shared" ca="1" si="10"/>
        <v>0</v>
      </c>
      <c r="CC24" s="10">
        <f t="shared" ca="1" si="10"/>
        <v>0</v>
      </c>
      <c r="CD24" s="10">
        <f t="shared" ca="1" si="10"/>
        <v>0</v>
      </c>
      <c r="CE24" s="10">
        <f t="shared" ca="1" si="10"/>
        <v>0</v>
      </c>
      <c r="CF24" s="10">
        <f t="shared" ca="1" si="10"/>
        <v>0</v>
      </c>
      <c r="CG24" s="10">
        <f t="shared" ca="1" si="10"/>
        <v>0</v>
      </c>
      <c r="CH24" s="10">
        <f t="shared" ca="1" si="10"/>
        <v>0</v>
      </c>
      <c r="CI24" s="10">
        <f t="shared" ca="1" si="10"/>
        <v>0</v>
      </c>
      <c r="CJ24" s="10">
        <f t="shared" ca="1" si="10"/>
        <v>0</v>
      </c>
      <c r="CK24" s="10">
        <f t="shared" ca="1" si="10"/>
        <v>0</v>
      </c>
      <c r="CL24" s="10">
        <f t="shared" ca="1" si="10"/>
        <v>0</v>
      </c>
      <c r="CM24" s="10">
        <f t="shared" ca="1" si="10"/>
        <v>0</v>
      </c>
      <c r="CN24" s="10">
        <f t="shared" ca="1" si="10"/>
        <v>0</v>
      </c>
      <c r="CO24" s="10">
        <f t="shared" ca="1" si="10"/>
        <v>0</v>
      </c>
    </row>
    <row r="25" spans="1:93" ht="15" customHeight="1">
      <c r="A25" s="47"/>
      <c r="B25" s="47"/>
      <c r="C25" s="156" t="s">
        <v>966</v>
      </c>
      <c r="D25" s="153"/>
      <c r="E25" s="11"/>
      <c r="F25" s="11"/>
      <c r="G25" s="11" t="str">
        <f>Monetary_Unit</f>
        <v>тыс. руб.</v>
      </c>
      <c r="H25" s="153"/>
      <c r="I25" s="23">
        <f t="shared" ca="1" si="7"/>
        <v>0</v>
      </c>
      <c r="J25" s="153"/>
      <c r="K25" s="153"/>
      <c r="L25" s="10">
        <f t="shared" ref="L25:AQ25" ca="1" si="11" xml:space="preserve"> L54 * $I$74 * $I$13</f>
        <v>0</v>
      </c>
      <c r="M25" s="10">
        <f t="shared" ca="1" si="11"/>
        <v>0</v>
      </c>
      <c r="N25" s="10">
        <f t="shared" ca="1" si="11"/>
        <v>0</v>
      </c>
      <c r="O25" s="10">
        <f t="shared" ca="1" si="11"/>
        <v>0</v>
      </c>
      <c r="P25" s="10">
        <f t="shared" ca="1" si="11"/>
        <v>0</v>
      </c>
      <c r="Q25" s="10">
        <f t="shared" ca="1" si="11"/>
        <v>0</v>
      </c>
      <c r="R25" s="10">
        <f t="shared" ca="1" si="11"/>
        <v>0</v>
      </c>
      <c r="S25" s="10">
        <f t="shared" ca="1" si="11"/>
        <v>0</v>
      </c>
      <c r="T25" s="10">
        <f t="shared" ca="1" si="11"/>
        <v>0</v>
      </c>
      <c r="U25" s="10">
        <f t="shared" ca="1" si="11"/>
        <v>0</v>
      </c>
      <c r="V25" s="10">
        <f t="shared" ca="1" si="11"/>
        <v>0</v>
      </c>
      <c r="W25" s="10">
        <f t="shared" ca="1" si="11"/>
        <v>0</v>
      </c>
      <c r="X25" s="10">
        <f t="shared" ca="1" si="11"/>
        <v>0</v>
      </c>
      <c r="Y25" s="10">
        <f t="shared" ca="1" si="11"/>
        <v>0</v>
      </c>
      <c r="Z25" s="10">
        <f t="shared" ca="1" si="11"/>
        <v>0</v>
      </c>
      <c r="AA25" s="10">
        <f t="shared" ca="1" si="11"/>
        <v>0</v>
      </c>
      <c r="AB25" s="10">
        <f t="shared" ca="1" si="11"/>
        <v>0</v>
      </c>
      <c r="AC25" s="10">
        <f t="shared" ca="1" si="11"/>
        <v>0</v>
      </c>
      <c r="AD25" s="10">
        <f t="shared" ca="1" si="11"/>
        <v>0</v>
      </c>
      <c r="AE25" s="10">
        <f t="shared" ca="1" si="11"/>
        <v>0</v>
      </c>
      <c r="AF25" s="10">
        <f t="shared" ca="1" si="11"/>
        <v>0</v>
      </c>
      <c r="AG25" s="10">
        <f t="shared" ca="1" si="11"/>
        <v>0</v>
      </c>
      <c r="AH25" s="10">
        <f t="shared" ca="1" si="11"/>
        <v>0</v>
      </c>
      <c r="AI25" s="10">
        <f t="shared" ca="1" si="11"/>
        <v>0</v>
      </c>
      <c r="AJ25" s="10">
        <f t="shared" ca="1" si="11"/>
        <v>0</v>
      </c>
      <c r="AK25" s="10">
        <f t="shared" ca="1" si="11"/>
        <v>0</v>
      </c>
      <c r="AL25" s="10">
        <f t="shared" ca="1" si="11"/>
        <v>0</v>
      </c>
      <c r="AM25" s="10">
        <f t="shared" ca="1" si="11"/>
        <v>0</v>
      </c>
      <c r="AN25" s="10">
        <f t="shared" ca="1" si="11"/>
        <v>0</v>
      </c>
      <c r="AO25" s="10">
        <f t="shared" ca="1" si="11"/>
        <v>0</v>
      </c>
      <c r="AP25" s="10">
        <f t="shared" ca="1" si="11"/>
        <v>0</v>
      </c>
      <c r="AQ25" s="10">
        <f t="shared" ca="1" si="11"/>
        <v>0</v>
      </c>
      <c r="AR25" s="10">
        <f t="shared" ref="AR25:BS25" ca="1" si="12" xml:space="preserve"> AR54 * $I$74 * $I$13</f>
        <v>0</v>
      </c>
      <c r="AS25" s="10">
        <f t="shared" ca="1" si="12"/>
        <v>0</v>
      </c>
      <c r="AT25" s="10">
        <f t="shared" ca="1" si="12"/>
        <v>0</v>
      </c>
      <c r="AU25" s="10">
        <f t="shared" ca="1" si="12"/>
        <v>0</v>
      </c>
      <c r="AV25" s="10">
        <f t="shared" ca="1" si="12"/>
        <v>0</v>
      </c>
      <c r="AW25" s="10">
        <f t="shared" ca="1" si="12"/>
        <v>0</v>
      </c>
      <c r="AX25" s="10">
        <f t="shared" ca="1" si="12"/>
        <v>0</v>
      </c>
      <c r="AY25" s="10">
        <f t="shared" ca="1" si="12"/>
        <v>0</v>
      </c>
      <c r="AZ25" s="10">
        <f t="shared" ca="1" si="12"/>
        <v>0</v>
      </c>
      <c r="BA25" s="10">
        <f t="shared" ca="1" si="12"/>
        <v>0</v>
      </c>
      <c r="BB25" s="10">
        <f t="shared" ca="1" si="12"/>
        <v>0</v>
      </c>
      <c r="BC25" s="10">
        <f t="shared" ca="1" si="12"/>
        <v>0</v>
      </c>
      <c r="BD25" s="10">
        <f t="shared" ca="1" si="12"/>
        <v>0</v>
      </c>
      <c r="BE25" s="10">
        <f t="shared" ca="1" si="12"/>
        <v>0</v>
      </c>
      <c r="BF25" s="10">
        <f t="shared" ca="1" si="12"/>
        <v>0</v>
      </c>
      <c r="BG25" s="10">
        <f t="shared" ca="1" si="12"/>
        <v>0</v>
      </c>
      <c r="BH25" s="10">
        <f t="shared" ca="1" si="12"/>
        <v>0</v>
      </c>
      <c r="BI25" s="10">
        <f t="shared" ca="1" si="12"/>
        <v>0</v>
      </c>
      <c r="BJ25" s="10">
        <f t="shared" ca="1" si="12"/>
        <v>0</v>
      </c>
      <c r="BK25" s="10">
        <f t="shared" ca="1" si="12"/>
        <v>0</v>
      </c>
      <c r="BL25" s="10">
        <f t="shared" ca="1" si="12"/>
        <v>0</v>
      </c>
      <c r="BM25" s="10">
        <f t="shared" ca="1" si="12"/>
        <v>0</v>
      </c>
      <c r="BN25" s="10">
        <f t="shared" ca="1" si="12"/>
        <v>0</v>
      </c>
      <c r="BO25" s="10">
        <f t="shared" ca="1" si="12"/>
        <v>0</v>
      </c>
      <c r="BP25" s="10">
        <f t="shared" ca="1" si="12"/>
        <v>0</v>
      </c>
      <c r="BQ25" s="10">
        <f t="shared" ca="1" si="12"/>
        <v>0</v>
      </c>
      <c r="BR25" s="10">
        <f t="shared" ca="1" si="12"/>
        <v>0</v>
      </c>
      <c r="BS25" s="10">
        <f t="shared" ca="1" si="12"/>
        <v>0</v>
      </c>
      <c r="BT25" s="10">
        <f t="shared" ref="BT25:CO25" ca="1" si="13" xml:space="preserve"> BT54 * $I$74 * $I$13</f>
        <v>0</v>
      </c>
      <c r="BU25" s="10">
        <f t="shared" ca="1" si="13"/>
        <v>0</v>
      </c>
      <c r="BV25" s="10">
        <f t="shared" ca="1" si="13"/>
        <v>0</v>
      </c>
      <c r="BW25" s="10">
        <f t="shared" ca="1" si="13"/>
        <v>0</v>
      </c>
      <c r="BX25" s="10">
        <f t="shared" ca="1" si="13"/>
        <v>0</v>
      </c>
      <c r="BY25" s="10">
        <f t="shared" ca="1" si="13"/>
        <v>0</v>
      </c>
      <c r="BZ25" s="10">
        <f t="shared" ca="1" si="13"/>
        <v>0</v>
      </c>
      <c r="CA25" s="10">
        <f t="shared" ca="1" si="13"/>
        <v>0</v>
      </c>
      <c r="CB25" s="10">
        <f t="shared" ca="1" si="13"/>
        <v>0</v>
      </c>
      <c r="CC25" s="10">
        <f t="shared" ca="1" si="13"/>
        <v>0</v>
      </c>
      <c r="CD25" s="10">
        <f t="shared" ca="1" si="13"/>
        <v>0</v>
      </c>
      <c r="CE25" s="10">
        <f t="shared" ca="1" si="13"/>
        <v>0</v>
      </c>
      <c r="CF25" s="10">
        <f t="shared" ca="1" si="13"/>
        <v>0</v>
      </c>
      <c r="CG25" s="10">
        <f t="shared" ca="1" si="13"/>
        <v>0</v>
      </c>
      <c r="CH25" s="10">
        <f t="shared" ca="1" si="13"/>
        <v>0</v>
      </c>
      <c r="CI25" s="10">
        <f t="shared" ca="1" si="13"/>
        <v>0</v>
      </c>
      <c r="CJ25" s="10">
        <f t="shared" ca="1" si="13"/>
        <v>0</v>
      </c>
      <c r="CK25" s="10">
        <f t="shared" ca="1" si="13"/>
        <v>0</v>
      </c>
      <c r="CL25" s="10">
        <f t="shared" ca="1" si="13"/>
        <v>0</v>
      </c>
      <c r="CM25" s="10">
        <f t="shared" ca="1" si="13"/>
        <v>0</v>
      </c>
      <c r="CN25" s="10">
        <f t="shared" ca="1" si="13"/>
        <v>0</v>
      </c>
      <c r="CO25" s="10">
        <f t="shared" ca="1" si="13"/>
        <v>0</v>
      </c>
    </row>
    <row r="26" spans="1:93" ht="15" customHeight="1">
      <c r="A26" s="47"/>
      <c r="B26" s="47"/>
      <c r="C26" s="156" t="s">
        <v>967</v>
      </c>
      <c r="D26" s="153"/>
      <c r="E26" s="413">
        <f>Divid_Tax_Rate</f>
        <v>0.13</v>
      </c>
      <c r="F26" s="11"/>
      <c r="G26" s="11" t="str">
        <f>Monetary_Unit</f>
        <v>тыс. руб.</v>
      </c>
      <c r="H26" s="153"/>
      <c r="I26" s="23">
        <f t="shared" ca="1" si="7"/>
        <v>0</v>
      </c>
      <c r="J26" s="153"/>
      <c r="K26" s="153"/>
      <c r="L26" s="452">
        <f t="shared" ref="L26:AQ26" ca="1" si="14" xml:space="preserve"> - L24 * Divid_Tax_Rate</f>
        <v>0</v>
      </c>
      <c r="M26" s="452">
        <f t="shared" ca="1" si="14"/>
        <v>0</v>
      </c>
      <c r="N26" s="452">
        <f t="shared" ca="1" si="14"/>
        <v>0</v>
      </c>
      <c r="O26" s="452">
        <f t="shared" ca="1" si="14"/>
        <v>0</v>
      </c>
      <c r="P26" s="452">
        <f t="shared" ca="1" si="14"/>
        <v>0</v>
      </c>
      <c r="Q26" s="452">
        <f t="shared" ca="1" si="14"/>
        <v>0</v>
      </c>
      <c r="R26" s="452">
        <f t="shared" ca="1" si="14"/>
        <v>0</v>
      </c>
      <c r="S26" s="452">
        <f t="shared" ca="1" si="14"/>
        <v>0</v>
      </c>
      <c r="T26" s="452">
        <f t="shared" ca="1" si="14"/>
        <v>0</v>
      </c>
      <c r="U26" s="452">
        <f t="shared" ca="1" si="14"/>
        <v>0</v>
      </c>
      <c r="V26" s="452">
        <f t="shared" ca="1" si="14"/>
        <v>0</v>
      </c>
      <c r="W26" s="452">
        <f t="shared" ca="1" si="14"/>
        <v>0</v>
      </c>
      <c r="X26" s="452">
        <f t="shared" ca="1" si="14"/>
        <v>0</v>
      </c>
      <c r="Y26" s="452">
        <f t="shared" ca="1" si="14"/>
        <v>0</v>
      </c>
      <c r="Z26" s="452">
        <f t="shared" ca="1" si="14"/>
        <v>0</v>
      </c>
      <c r="AA26" s="452">
        <f t="shared" ca="1" si="14"/>
        <v>0</v>
      </c>
      <c r="AB26" s="452">
        <f t="shared" ca="1" si="14"/>
        <v>0</v>
      </c>
      <c r="AC26" s="452">
        <f t="shared" ca="1" si="14"/>
        <v>0</v>
      </c>
      <c r="AD26" s="452">
        <f t="shared" ca="1" si="14"/>
        <v>0</v>
      </c>
      <c r="AE26" s="452">
        <f t="shared" ca="1" si="14"/>
        <v>0</v>
      </c>
      <c r="AF26" s="452">
        <f t="shared" ca="1" si="14"/>
        <v>0</v>
      </c>
      <c r="AG26" s="452">
        <f t="shared" ca="1" si="14"/>
        <v>0</v>
      </c>
      <c r="AH26" s="452">
        <f t="shared" ca="1" si="14"/>
        <v>0</v>
      </c>
      <c r="AI26" s="452">
        <f t="shared" ca="1" si="14"/>
        <v>0</v>
      </c>
      <c r="AJ26" s="452">
        <f t="shared" ca="1" si="14"/>
        <v>0</v>
      </c>
      <c r="AK26" s="452">
        <f t="shared" ca="1" si="14"/>
        <v>0</v>
      </c>
      <c r="AL26" s="452">
        <f t="shared" ca="1" si="14"/>
        <v>0</v>
      </c>
      <c r="AM26" s="452">
        <f t="shared" ca="1" si="14"/>
        <v>0</v>
      </c>
      <c r="AN26" s="452">
        <f t="shared" ca="1" si="14"/>
        <v>0</v>
      </c>
      <c r="AO26" s="452">
        <f t="shared" ca="1" si="14"/>
        <v>0</v>
      </c>
      <c r="AP26" s="452">
        <f t="shared" ca="1" si="14"/>
        <v>0</v>
      </c>
      <c r="AQ26" s="452">
        <f t="shared" ca="1" si="14"/>
        <v>0</v>
      </c>
      <c r="AR26" s="452">
        <f t="shared" ref="AR26:BW26" ca="1" si="15" xml:space="preserve"> - AR24 * Divid_Tax_Rate</f>
        <v>0</v>
      </c>
      <c r="AS26" s="452">
        <f t="shared" ca="1" si="15"/>
        <v>0</v>
      </c>
      <c r="AT26" s="452">
        <f t="shared" ca="1" si="15"/>
        <v>0</v>
      </c>
      <c r="AU26" s="452">
        <f t="shared" ca="1" si="15"/>
        <v>0</v>
      </c>
      <c r="AV26" s="452">
        <f t="shared" ca="1" si="15"/>
        <v>0</v>
      </c>
      <c r="AW26" s="452">
        <f t="shared" ca="1" si="15"/>
        <v>0</v>
      </c>
      <c r="AX26" s="452">
        <f t="shared" ca="1" si="15"/>
        <v>0</v>
      </c>
      <c r="AY26" s="452">
        <f t="shared" ca="1" si="15"/>
        <v>0</v>
      </c>
      <c r="AZ26" s="452">
        <f t="shared" ca="1" si="15"/>
        <v>0</v>
      </c>
      <c r="BA26" s="452">
        <f t="shared" ca="1" si="15"/>
        <v>0</v>
      </c>
      <c r="BB26" s="452">
        <f t="shared" ca="1" si="15"/>
        <v>0</v>
      </c>
      <c r="BC26" s="452">
        <f t="shared" ca="1" si="15"/>
        <v>0</v>
      </c>
      <c r="BD26" s="452">
        <f t="shared" ca="1" si="15"/>
        <v>0</v>
      </c>
      <c r="BE26" s="452">
        <f t="shared" ca="1" si="15"/>
        <v>0</v>
      </c>
      <c r="BF26" s="452">
        <f t="shared" ca="1" si="15"/>
        <v>0</v>
      </c>
      <c r="BG26" s="452">
        <f t="shared" ca="1" si="15"/>
        <v>0</v>
      </c>
      <c r="BH26" s="452">
        <f t="shared" ca="1" si="15"/>
        <v>0</v>
      </c>
      <c r="BI26" s="452">
        <f t="shared" ca="1" si="15"/>
        <v>0</v>
      </c>
      <c r="BJ26" s="452">
        <f t="shared" ca="1" si="15"/>
        <v>0</v>
      </c>
      <c r="BK26" s="452">
        <f t="shared" ca="1" si="15"/>
        <v>0</v>
      </c>
      <c r="BL26" s="452">
        <f t="shared" ca="1" si="15"/>
        <v>0</v>
      </c>
      <c r="BM26" s="452">
        <f t="shared" ca="1" si="15"/>
        <v>0</v>
      </c>
      <c r="BN26" s="452">
        <f t="shared" ca="1" si="15"/>
        <v>0</v>
      </c>
      <c r="BO26" s="452">
        <f t="shared" ca="1" si="15"/>
        <v>0</v>
      </c>
      <c r="BP26" s="452">
        <f t="shared" ca="1" si="15"/>
        <v>0</v>
      </c>
      <c r="BQ26" s="452">
        <f t="shared" ca="1" si="15"/>
        <v>0</v>
      </c>
      <c r="BR26" s="452">
        <f t="shared" ca="1" si="15"/>
        <v>0</v>
      </c>
      <c r="BS26" s="452">
        <f t="shared" ca="1" si="15"/>
        <v>0</v>
      </c>
      <c r="BT26" s="452">
        <f t="shared" ca="1" si="15"/>
        <v>0</v>
      </c>
      <c r="BU26" s="452">
        <f t="shared" ca="1" si="15"/>
        <v>0</v>
      </c>
      <c r="BV26" s="452">
        <f t="shared" ca="1" si="15"/>
        <v>0</v>
      </c>
      <c r="BW26" s="452">
        <f t="shared" ca="1" si="15"/>
        <v>0</v>
      </c>
      <c r="BX26" s="452">
        <f t="shared" ref="BX26:CO26" ca="1" si="16" xml:space="preserve"> - BX24 * Divid_Tax_Rate</f>
        <v>0</v>
      </c>
      <c r="BY26" s="452">
        <f t="shared" ca="1" si="16"/>
        <v>0</v>
      </c>
      <c r="BZ26" s="452">
        <f t="shared" ca="1" si="16"/>
        <v>0</v>
      </c>
      <c r="CA26" s="452">
        <f t="shared" ca="1" si="16"/>
        <v>0</v>
      </c>
      <c r="CB26" s="452">
        <f t="shared" ca="1" si="16"/>
        <v>0</v>
      </c>
      <c r="CC26" s="452">
        <f t="shared" ca="1" si="16"/>
        <v>0</v>
      </c>
      <c r="CD26" s="452">
        <f t="shared" ca="1" si="16"/>
        <v>0</v>
      </c>
      <c r="CE26" s="452">
        <f t="shared" ca="1" si="16"/>
        <v>0</v>
      </c>
      <c r="CF26" s="452">
        <f t="shared" ca="1" si="16"/>
        <v>0</v>
      </c>
      <c r="CG26" s="452">
        <f t="shared" ca="1" si="16"/>
        <v>0</v>
      </c>
      <c r="CH26" s="452">
        <f t="shared" ca="1" si="16"/>
        <v>0</v>
      </c>
      <c r="CI26" s="452">
        <f t="shared" ca="1" si="16"/>
        <v>0</v>
      </c>
      <c r="CJ26" s="452">
        <f t="shared" ca="1" si="16"/>
        <v>0</v>
      </c>
      <c r="CK26" s="452">
        <f t="shared" ca="1" si="16"/>
        <v>0</v>
      </c>
      <c r="CL26" s="452">
        <f t="shared" ca="1" si="16"/>
        <v>0</v>
      </c>
      <c r="CM26" s="452">
        <f t="shared" ca="1" si="16"/>
        <v>0</v>
      </c>
      <c r="CN26" s="452">
        <f t="shared" ca="1" si="16"/>
        <v>0</v>
      </c>
      <c r="CO26" s="452">
        <f t="shared" ca="1" si="16"/>
        <v>0</v>
      </c>
    </row>
    <row r="27" spans="1:93" ht="15" customHeight="1">
      <c r="A27" s="47"/>
      <c r="B27" s="47"/>
      <c r="C27" s="156" t="s">
        <v>968</v>
      </c>
      <c r="D27" s="153"/>
      <c r="E27" s="413">
        <f>Profits_Tax_Rate</f>
        <v>0.155</v>
      </c>
      <c r="F27" s="11"/>
      <c r="G27" s="11" t="str">
        <f>Monetary_Unit</f>
        <v>тыс. руб.</v>
      </c>
      <c r="H27" s="153"/>
      <c r="I27" s="23">
        <f t="shared" ca="1" si="7"/>
        <v>0</v>
      </c>
      <c r="J27" s="153"/>
      <c r="K27" s="153"/>
      <c r="L27" s="452">
        <f ca="1" xml:space="preserve"> - MAX(SUM($K$23:L23,$K$25:L25) * $E$27 * L54, 0)</f>
        <v>0</v>
      </c>
      <c r="M27" s="452">
        <f ca="1" xml:space="preserve"> - MAX(SUM($K$23:M23,$K$25:M25) * $E$27 * M54, 0)</f>
        <v>0</v>
      </c>
      <c r="N27" s="452">
        <f ca="1" xml:space="preserve"> - MAX(SUM($K$23:N23,$K$25:N25) * $E$27 * N54, 0)</f>
        <v>0</v>
      </c>
      <c r="O27" s="452">
        <f ca="1" xml:space="preserve"> - MAX(SUM($K$23:O23,$K$25:O25) * $E$27 * O54, 0)</f>
        <v>0</v>
      </c>
      <c r="P27" s="452">
        <f ca="1" xml:space="preserve"> - MAX(SUM($K$23:P23,$K$25:P25) * $E$27 * P54, 0)</f>
        <v>0</v>
      </c>
      <c r="Q27" s="452">
        <f ca="1" xml:space="preserve"> - MAX(SUM($K$23:Q23,$K$25:Q25) * $E$27 * Q54, 0)</f>
        <v>0</v>
      </c>
      <c r="R27" s="452">
        <f ca="1" xml:space="preserve"> - MAX(SUM($K$23:R23,$K$25:R25) * $E$27 * R54, 0)</f>
        <v>0</v>
      </c>
      <c r="S27" s="452">
        <f ca="1" xml:space="preserve"> - MAX(SUM($K$23:S23,$K$25:S25) * $E$27 * S54, 0)</f>
        <v>0</v>
      </c>
      <c r="T27" s="452">
        <f ca="1" xml:space="preserve"> - MAX(SUM($K$23:T23,$K$25:T25) * $E$27 * T54, 0)</f>
        <v>0</v>
      </c>
      <c r="U27" s="452">
        <f ca="1" xml:space="preserve"> - MAX(SUM($K$23:U23,$K$25:U25) * $E$27 * U54, 0)</f>
        <v>0</v>
      </c>
      <c r="V27" s="452">
        <f ca="1" xml:space="preserve"> - MAX(SUM($K$23:V23,$K$25:V25) * $E$27 * V54, 0)</f>
        <v>0</v>
      </c>
      <c r="W27" s="452">
        <f ca="1" xml:space="preserve"> - MAX(SUM($K$23:W23,$K$25:W25) * $E$27 * W54, 0)</f>
        <v>0</v>
      </c>
      <c r="X27" s="452">
        <f ca="1" xml:space="preserve"> - MAX(SUM($K$23:X23,$K$25:X25) * $E$27 * X54, 0)</f>
        <v>0</v>
      </c>
      <c r="Y27" s="452">
        <f ca="1" xml:space="preserve"> - MAX(SUM($K$23:Y23,$K$25:Y25) * $E$27 * Y54, 0)</f>
        <v>0</v>
      </c>
      <c r="Z27" s="452">
        <f ca="1" xml:space="preserve"> - MAX(SUM($K$23:Z23,$K$25:Z25) * $E$27 * Z54, 0)</f>
        <v>0</v>
      </c>
      <c r="AA27" s="452">
        <f ca="1" xml:space="preserve"> - MAX(SUM($K$23:AA23,$K$25:AA25) * $E$27 * AA54, 0)</f>
        <v>0</v>
      </c>
      <c r="AB27" s="452">
        <f ca="1" xml:space="preserve"> - MAX(SUM($K$23:AB23,$K$25:AB25) * $E$27 * AB54, 0)</f>
        <v>0</v>
      </c>
      <c r="AC27" s="452">
        <f ca="1" xml:space="preserve"> - MAX(SUM($K$23:AC23,$K$25:AC25) * $E$27 * AC54, 0)</f>
        <v>0</v>
      </c>
      <c r="AD27" s="452">
        <f ca="1" xml:space="preserve"> - MAX(SUM($K$23:AD23,$K$25:AD25) * $E$27 * AD54, 0)</f>
        <v>0</v>
      </c>
      <c r="AE27" s="452">
        <f ca="1" xml:space="preserve"> - MAX(SUM($K$23:AE23,$K$25:AE25) * $E$27 * AE54, 0)</f>
        <v>0</v>
      </c>
      <c r="AF27" s="452">
        <f ca="1" xml:space="preserve"> - MAX(SUM($K$23:AF23,$K$25:AF25) * $E$27 * AF54, 0)</f>
        <v>0</v>
      </c>
      <c r="AG27" s="452">
        <f ca="1" xml:space="preserve"> - MAX(SUM($K$23:AG23,$K$25:AG25) * $E$27 * AG54, 0)</f>
        <v>0</v>
      </c>
      <c r="AH27" s="452">
        <f ca="1" xml:space="preserve"> - MAX(SUM($K$23:AH23,$K$25:AH25) * $E$27 * AH54, 0)</f>
        <v>0</v>
      </c>
      <c r="AI27" s="452">
        <f ca="1" xml:space="preserve"> - MAX(SUM($K$23:AI23,$K$25:AI25) * $E$27 * AI54, 0)</f>
        <v>0</v>
      </c>
      <c r="AJ27" s="452">
        <f ca="1" xml:space="preserve"> - MAX(SUM($K$23:AJ23,$K$25:AJ25) * $E$27 * AJ54, 0)</f>
        <v>0</v>
      </c>
      <c r="AK27" s="452">
        <f ca="1" xml:space="preserve"> - MAX(SUM($K$23:AK23,$K$25:AK25) * $E$27 * AK54, 0)</f>
        <v>0</v>
      </c>
      <c r="AL27" s="452">
        <f ca="1" xml:space="preserve"> - MAX(SUM($K$23:AL23,$K$25:AL25) * $E$27 * AL54, 0)</f>
        <v>0</v>
      </c>
      <c r="AM27" s="452">
        <f ca="1" xml:space="preserve"> - MAX(SUM($K$23:AM23,$K$25:AM25) * $E$27 * AM54, 0)</f>
        <v>0</v>
      </c>
      <c r="AN27" s="452">
        <f ca="1" xml:space="preserve"> - MAX(SUM($K$23:AN23,$K$25:AN25) * $E$27 * AN54, 0)</f>
        <v>0</v>
      </c>
      <c r="AO27" s="452">
        <f ca="1" xml:space="preserve"> - MAX(SUM($K$23:AO23,$K$25:AO25) * $E$27 * AO54, 0)</f>
        <v>0</v>
      </c>
      <c r="AP27" s="452">
        <f ca="1" xml:space="preserve"> - MAX(SUM($K$23:AP23,$K$25:AP25) * $E$27 * AP54, 0)</f>
        <v>0</v>
      </c>
      <c r="AQ27" s="452">
        <f ca="1" xml:space="preserve"> - MAX(SUM($K$23:AQ23,$K$25:AQ25) * $E$27 * AQ54, 0)</f>
        <v>0</v>
      </c>
      <c r="AR27" s="452">
        <f ca="1" xml:space="preserve"> - MAX(SUM($K$23:AR23,$K$25:AR25) * $E$27 * AR54, 0)</f>
        <v>0</v>
      </c>
      <c r="AS27" s="452">
        <f ca="1" xml:space="preserve"> - MAX(SUM($K$23:AS23,$K$25:AS25) * $E$27 * AS54, 0)</f>
        <v>0</v>
      </c>
      <c r="AT27" s="452">
        <f ca="1" xml:space="preserve"> - MAX(SUM($K$23:AT23,$K$25:AT25) * $E$27 * AT54, 0)</f>
        <v>0</v>
      </c>
      <c r="AU27" s="452">
        <f ca="1" xml:space="preserve"> - MAX(SUM($K$23:AU23,$K$25:AU25) * $E$27 * AU54, 0)</f>
        <v>0</v>
      </c>
      <c r="AV27" s="452">
        <f ca="1" xml:space="preserve"> - MAX(SUM($K$23:AV23,$K$25:AV25) * $E$27 * AV54, 0)</f>
        <v>0</v>
      </c>
      <c r="AW27" s="452">
        <f ca="1" xml:space="preserve"> - MAX(SUM($K$23:AW23,$K$25:AW25) * $E$27 * AW54, 0)</f>
        <v>0</v>
      </c>
      <c r="AX27" s="452">
        <f ca="1" xml:space="preserve"> - MAX(SUM($K$23:AX23,$K$25:AX25) * $E$27 * AX54, 0)</f>
        <v>0</v>
      </c>
      <c r="AY27" s="452">
        <f ca="1" xml:space="preserve"> - MAX(SUM($K$23:AY23,$K$25:AY25) * $E$27 * AY54, 0)</f>
        <v>0</v>
      </c>
      <c r="AZ27" s="452">
        <f ca="1" xml:space="preserve"> - MAX(SUM($K$23:AZ23,$K$25:AZ25) * $E$27 * AZ54, 0)</f>
        <v>0</v>
      </c>
      <c r="BA27" s="452">
        <f ca="1" xml:space="preserve"> - MAX(SUM($K$23:BA23,$K$25:BA25) * $E$27 * BA54, 0)</f>
        <v>0</v>
      </c>
      <c r="BB27" s="452">
        <f ca="1" xml:space="preserve"> - MAX(SUM($K$23:BB23,$K$25:BB25) * $E$27 * BB54, 0)</f>
        <v>0</v>
      </c>
      <c r="BC27" s="452">
        <f ca="1" xml:space="preserve"> - MAX(SUM($K$23:BC23,$K$25:BC25) * $E$27 * BC54, 0)</f>
        <v>0</v>
      </c>
      <c r="BD27" s="452">
        <f ca="1" xml:space="preserve"> - MAX(SUM($K$23:BD23,$K$25:BD25) * $E$27 * BD54, 0)</f>
        <v>0</v>
      </c>
      <c r="BE27" s="452">
        <f ca="1" xml:space="preserve"> - MAX(SUM($K$23:BE23,$K$25:BE25) * $E$27 * BE54, 0)</f>
        <v>0</v>
      </c>
      <c r="BF27" s="452">
        <f ca="1" xml:space="preserve"> - MAX(SUM($K$23:BF23,$K$25:BF25) * $E$27 * BF54, 0)</f>
        <v>0</v>
      </c>
      <c r="BG27" s="452">
        <f ca="1" xml:space="preserve"> - MAX(SUM($K$23:BG23,$K$25:BG25) * $E$27 * BG54, 0)</f>
        <v>0</v>
      </c>
      <c r="BH27" s="452">
        <f ca="1" xml:space="preserve"> - MAX(SUM($K$23:BH23,$K$25:BH25) * $E$27 * BH54, 0)</f>
        <v>0</v>
      </c>
      <c r="BI27" s="452">
        <f ca="1" xml:space="preserve"> - MAX(SUM($K$23:BI23,$K$25:BI25) * $E$27 * BI54, 0)</f>
        <v>0</v>
      </c>
      <c r="BJ27" s="452">
        <f ca="1" xml:space="preserve"> - MAX(SUM($K$23:BJ23,$K$25:BJ25) * $E$27 * BJ54, 0)</f>
        <v>0</v>
      </c>
      <c r="BK27" s="452">
        <f ca="1" xml:space="preserve"> - MAX(SUM($K$23:BK23,$K$25:BK25) * $E$27 * BK54, 0)</f>
        <v>0</v>
      </c>
      <c r="BL27" s="452">
        <f ca="1" xml:space="preserve"> - MAX(SUM($K$23:BL23,$K$25:BL25) * $E$27 * BL54, 0)</f>
        <v>0</v>
      </c>
      <c r="BM27" s="452">
        <f ca="1" xml:space="preserve"> - MAX(SUM($K$23:BM23,$K$25:BM25) * $E$27 * BM54, 0)</f>
        <v>0</v>
      </c>
      <c r="BN27" s="452">
        <f ca="1" xml:space="preserve"> - MAX(SUM($K$23:BN23,$K$25:BN25) * $E$27 * BN54, 0)</f>
        <v>0</v>
      </c>
      <c r="BO27" s="452">
        <f ca="1" xml:space="preserve"> - MAX(SUM($K$23:BO23,$K$25:BO25) * $E$27 * BO54, 0)</f>
        <v>0</v>
      </c>
      <c r="BP27" s="452">
        <f ca="1" xml:space="preserve"> - MAX(SUM($K$23:BP23,$K$25:BP25) * $E$27 * BP54, 0)</f>
        <v>0</v>
      </c>
      <c r="BQ27" s="452">
        <f ca="1" xml:space="preserve"> - MAX(SUM($K$23:BQ23,$K$25:BQ25) * $E$27 * BQ54, 0)</f>
        <v>0</v>
      </c>
      <c r="BR27" s="452">
        <f ca="1" xml:space="preserve"> - MAX(SUM($K$23:BR23,$K$25:BR25) * $E$27 * BR54, 0)</f>
        <v>0</v>
      </c>
      <c r="BS27" s="452">
        <f ca="1" xml:space="preserve"> - MAX(SUM($K$23:BS23,$K$25:BS25) * $E$27 * BS54, 0)</f>
        <v>0</v>
      </c>
      <c r="BT27" s="452">
        <f ca="1" xml:space="preserve"> - MAX(SUM($K$23:BT23,$K$25:BT25) * $E$27 * BT54, 0)</f>
        <v>0</v>
      </c>
      <c r="BU27" s="452">
        <f ca="1" xml:space="preserve"> - MAX(SUM($K$23:BU23,$K$25:BU25) * $E$27 * BU54, 0)</f>
        <v>0</v>
      </c>
      <c r="BV27" s="452">
        <f ca="1" xml:space="preserve"> - MAX(SUM($K$23:BV23,$K$25:BV25) * $E$27 * BV54, 0)</f>
        <v>0</v>
      </c>
      <c r="BW27" s="452">
        <f ca="1" xml:space="preserve"> - MAX(SUM($K$23:BW23,$K$25:BW25) * $E$27 * BW54, 0)</f>
        <v>0</v>
      </c>
      <c r="BX27" s="452">
        <f ca="1" xml:space="preserve"> - MAX(SUM($K$23:BX23,$K$25:BX25) * $E$27 * BX54, 0)</f>
        <v>0</v>
      </c>
      <c r="BY27" s="452">
        <f ca="1" xml:space="preserve"> - MAX(SUM($K$23:BY23,$K$25:BY25) * $E$27 * BY54, 0)</f>
        <v>0</v>
      </c>
      <c r="BZ27" s="452">
        <f ca="1" xml:space="preserve"> - MAX(SUM($K$23:BZ23,$K$25:BZ25) * $E$27 * BZ54, 0)</f>
        <v>0</v>
      </c>
      <c r="CA27" s="452">
        <f ca="1" xml:space="preserve"> - MAX(SUM($K$23:CA23,$K$25:CA25) * $E$27 * CA54, 0)</f>
        <v>0</v>
      </c>
      <c r="CB27" s="452">
        <f ca="1" xml:space="preserve"> - MAX(SUM($K$23:CB23,$K$25:CB25) * $E$27 * CB54, 0)</f>
        <v>0</v>
      </c>
      <c r="CC27" s="452">
        <f ca="1" xml:space="preserve"> - MAX(SUM($K$23:CC23,$K$25:CC25) * $E$27 * CC54, 0)</f>
        <v>0</v>
      </c>
      <c r="CD27" s="452">
        <f ca="1" xml:space="preserve"> - MAX(SUM($K$23:CD23,$K$25:CD25) * $E$27 * CD54, 0)</f>
        <v>0</v>
      </c>
      <c r="CE27" s="452">
        <f ca="1" xml:space="preserve"> - MAX(SUM($K$23:CE23,$K$25:CE25) * $E$27 * CE54, 0)</f>
        <v>0</v>
      </c>
      <c r="CF27" s="452">
        <f ca="1" xml:space="preserve"> - MAX(SUM($K$23:CF23,$K$25:CF25) * $E$27 * CF54, 0)</f>
        <v>0</v>
      </c>
      <c r="CG27" s="452">
        <f ca="1" xml:space="preserve"> - MAX(SUM($K$23:CG23,$K$25:CG25) * $E$27 * CG54, 0)</f>
        <v>0</v>
      </c>
      <c r="CH27" s="452">
        <f ca="1" xml:space="preserve"> - MAX(SUM($K$23:CH23,$K$25:CH25) * $E$27 * CH54, 0)</f>
        <v>0</v>
      </c>
      <c r="CI27" s="452">
        <f ca="1" xml:space="preserve"> - MAX(SUM($K$23:CI23,$K$25:CI25) * $E$27 * CI54, 0)</f>
        <v>0</v>
      </c>
      <c r="CJ27" s="452">
        <f ca="1" xml:space="preserve"> - MAX(SUM($K$23:CJ23,$K$25:CJ25) * $E$27 * CJ54, 0)</f>
        <v>0</v>
      </c>
      <c r="CK27" s="452">
        <f ca="1" xml:space="preserve"> - MAX(SUM($K$23:CK23,$K$25:CK25) * $E$27 * CK54, 0)</f>
        <v>0</v>
      </c>
      <c r="CL27" s="452">
        <f ca="1" xml:space="preserve"> - MAX(SUM($K$23:CL23,$K$25:CL25) * $E$27 * CL54, 0)</f>
        <v>0</v>
      </c>
      <c r="CM27" s="452">
        <f ca="1" xml:space="preserve"> - MAX(SUM($K$23:CM23,$K$25:CM25) * $E$27 * CM54, 0)</f>
        <v>0</v>
      </c>
      <c r="CN27" s="452">
        <f ca="1" xml:space="preserve"> - MAX(SUM($K$23:CN23,$K$25:CN25) * $E$27 * CN54, 0)</f>
        <v>0</v>
      </c>
      <c r="CO27" s="452">
        <f ca="1" xml:space="preserve"> - MAX(SUM($K$23:CO23,$K$25:CO25) * $E$27 * CO54, 0)</f>
        <v>0</v>
      </c>
    </row>
    <row r="28" spans="1:93" ht="15" customHeight="1">
      <c r="A28" s="47"/>
      <c r="B28" s="47"/>
      <c r="C28" s="323" t="s">
        <v>971</v>
      </c>
      <c r="D28" s="323"/>
      <c r="E28" s="323"/>
      <c r="F28" s="323"/>
      <c r="G28" s="324"/>
      <c r="H28" s="323"/>
      <c r="I28" s="23">
        <f ca="1">SUM(L28:CO28)</f>
        <v>0</v>
      </c>
      <c r="J28" s="323"/>
      <c r="K28" s="323"/>
      <c r="L28" s="323">
        <f ca="1">SUM(L23:L25)</f>
        <v>0</v>
      </c>
      <c r="M28" s="323">
        <f t="shared" ref="M28:P28" ca="1" si="17">SUM(M23:M25)</f>
        <v>0</v>
      </c>
      <c r="N28" s="323">
        <f t="shared" ca="1" si="17"/>
        <v>0</v>
      </c>
      <c r="O28" s="323">
        <f t="shared" ca="1" si="17"/>
        <v>0</v>
      </c>
      <c r="P28" s="323">
        <f t="shared" ca="1" si="17"/>
        <v>0</v>
      </c>
      <c r="Q28" s="323">
        <f t="shared" ref="Q28:BS28" ca="1" si="18">SUM(Q23:Q25)</f>
        <v>0</v>
      </c>
      <c r="R28" s="323">
        <f t="shared" ca="1" si="18"/>
        <v>0</v>
      </c>
      <c r="S28" s="323">
        <f t="shared" ca="1" si="18"/>
        <v>0</v>
      </c>
      <c r="T28" s="323">
        <f t="shared" ca="1" si="18"/>
        <v>0</v>
      </c>
      <c r="U28" s="323">
        <f t="shared" ca="1" si="18"/>
        <v>0</v>
      </c>
      <c r="V28" s="323">
        <f t="shared" ca="1" si="18"/>
        <v>0</v>
      </c>
      <c r="W28" s="323">
        <f t="shared" ca="1" si="18"/>
        <v>0</v>
      </c>
      <c r="X28" s="323">
        <f t="shared" ca="1" si="18"/>
        <v>0</v>
      </c>
      <c r="Y28" s="323">
        <f t="shared" ca="1" si="18"/>
        <v>0</v>
      </c>
      <c r="Z28" s="323">
        <f t="shared" ca="1" si="18"/>
        <v>0</v>
      </c>
      <c r="AA28" s="323">
        <f t="shared" ca="1" si="18"/>
        <v>0</v>
      </c>
      <c r="AB28" s="323">
        <f t="shared" ca="1" si="18"/>
        <v>0</v>
      </c>
      <c r="AC28" s="323">
        <f t="shared" ca="1" si="18"/>
        <v>0</v>
      </c>
      <c r="AD28" s="323">
        <f t="shared" ca="1" si="18"/>
        <v>0</v>
      </c>
      <c r="AE28" s="323">
        <f t="shared" ca="1" si="18"/>
        <v>0</v>
      </c>
      <c r="AF28" s="323">
        <f t="shared" ca="1" si="18"/>
        <v>0</v>
      </c>
      <c r="AG28" s="323">
        <f t="shared" ca="1" si="18"/>
        <v>0</v>
      </c>
      <c r="AH28" s="323">
        <f t="shared" ca="1" si="18"/>
        <v>0</v>
      </c>
      <c r="AI28" s="323">
        <f t="shared" ca="1" si="18"/>
        <v>0</v>
      </c>
      <c r="AJ28" s="323">
        <f t="shared" ca="1" si="18"/>
        <v>0</v>
      </c>
      <c r="AK28" s="323">
        <f t="shared" ca="1" si="18"/>
        <v>0</v>
      </c>
      <c r="AL28" s="323">
        <f t="shared" ca="1" si="18"/>
        <v>0</v>
      </c>
      <c r="AM28" s="323">
        <f t="shared" ca="1" si="18"/>
        <v>0</v>
      </c>
      <c r="AN28" s="323">
        <f t="shared" ca="1" si="18"/>
        <v>0</v>
      </c>
      <c r="AO28" s="323">
        <f t="shared" ca="1" si="18"/>
        <v>0</v>
      </c>
      <c r="AP28" s="323">
        <f t="shared" ca="1" si="18"/>
        <v>0</v>
      </c>
      <c r="AQ28" s="323">
        <f t="shared" ca="1" si="18"/>
        <v>0</v>
      </c>
      <c r="AR28" s="323">
        <f t="shared" ca="1" si="18"/>
        <v>0</v>
      </c>
      <c r="AS28" s="323">
        <f t="shared" ca="1" si="18"/>
        <v>0</v>
      </c>
      <c r="AT28" s="323">
        <f t="shared" ca="1" si="18"/>
        <v>0</v>
      </c>
      <c r="AU28" s="323">
        <f t="shared" ca="1" si="18"/>
        <v>0</v>
      </c>
      <c r="AV28" s="323">
        <f t="shared" ca="1" si="18"/>
        <v>0</v>
      </c>
      <c r="AW28" s="323">
        <f t="shared" ca="1" si="18"/>
        <v>0</v>
      </c>
      <c r="AX28" s="323">
        <f t="shared" ca="1" si="18"/>
        <v>0</v>
      </c>
      <c r="AY28" s="323">
        <f t="shared" ca="1" si="18"/>
        <v>0</v>
      </c>
      <c r="AZ28" s="323">
        <f t="shared" ca="1" si="18"/>
        <v>0</v>
      </c>
      <c r="BA28" s="323">
        <f t="shared" ca="1" si="18"/>
        <v>0</v>
      </c>
      <c r="BB28" s="323">
        <f t="shared" ca="1" si="18"/>
        <v>0</v>
      </c>
      <c r="BC28" s="323">
        <f t="shared" ca="1" si="18"/>
        <v>0</v>
      </c>
      <c r="BD28" s="323">
        <f t="shared" ca="1" si="18"/>
        <v>0</v>
      </c>
      <c r="BE28" s="323">
        <f t="shared" ca="1" si="18"/>
        <v>0</v>
      </c>
      <c r="BF28" s="323">
        <f t="shared" ca="1" si="18"/>
        <v>0</v>
      </c>
      <c r="BG28" s="323">
        <f t="shared" ca="1" si="18"/>
        <v>0</v>
      </c>
      <c r="BH28" s="323">
        <f t="shared" ca="1" si="18"/>
        <v>0</v>
      </c>
      <c r="BI28" s="323">
        <f t="shared" ca="1" si="18"/>
        <v>0</v>
      </c>
      <c r="BJ28" s="323">
        <f t="shared" ca="1" si="18"/>
        <v>0</v>
      </c>
      <c r="BK28" s="323">
        <f t="shared" ca="1" si="18"/>
        <v>0</v>
      </c>
      <c r="BL28" s="323">
        <f t="shared" ca="1" si="18"/>
        <v>0</v>
      </c>
      <c r="BM28" s="323">
        <f t="shared" ca="1" si="18"/>
        <v>0</v>
      </c>
      <c r="BN28" s="323">
        <f t="shared" ca="1" si="18"/>
        <v>0</v>
      </c>
      <c r="BO28" s="323">
        <f t="shared" ca="1" si="18"/>
        <v>0</v>
      </c>
      <c r="BP28" s="323">
        <f t="shared" ca="1" si="18"/>
        <v>0</v>
      </c>
      <c r="BQ28" s="323">
        <f t="shared" ca="1" si="18"/>
        <v>0</v>
      </c>
      <c r="BR28" s="323">
        <f t="shared" ca="1" si="18"/>
        <v>0</v>
      </c>
      <c r="BS28" s="323">
        <f t="shared" ca="1" si="18"/>
        <v>0</v>
      </c>
      <c r="BT28" s="323">
        <f t="shared" ref="BT28:CO28" ca="1" si="19">SUM(BT23:BT25)</f>
        <v>0</v>
      </c>
      <c r="BU28" s="323">
        <f t="shared" ca="1" si="19"/>
        <v>0</v>
      </c>
      <c r="BV28" s="323">
        <f t="shared" ca="1" si="19"/>
        <v>0</v>
      </c>
      <c r="BW28" s="323">
        <f t="shared" ca="1" si="19"/>
        <v>0</v>
      </c>
      <c r="BX28" s="323">
        <f t="shared" ca="1" si="19"/>
        <v>0</v>
      </c>
      <c r="BY28" s="323">
        <f t="shared" ca="1" si="19"/>
        <v>0</v>
      </c>
      <c r="BZ28" s="323">
        <f t="shared" ca="1" si="19"/>
        <v>0</v>
      </c>
      <c r="CA28" s="323">
        <f t="shared" ca="1" si="19"/>
        <v>0</v>
      </c>
      <c r="CB28" s="323">
        <f t="shared" ca="1" si="19"/>
        <v>0</v>
      </c>
      <c r="CC28" s="323">
        <f t="shared" ca="1" si="19"/>
        <v>0</v>
      </c>
      <c r="CD28" s="323">
        <f t="shared" ca="1" si="19"/>
        <v>0</v>
      </c>
      <c r="CE28" s="323">
        <f t="shared" ca="1" si="19"/>
        <v>0</v>
      </c>
      <c r="CF28" s="323">
        <f t="shared" ca="1" si="19"/>
        <v>0</v>
      </c>
      <c r="CG28" s="323">
        <f t="shared" ca="1" si="19"/>
        <v>0</v>
      </c>
      <c r="CH28" s="323">
        <f t="shared" ca="1" si="19"/>
        <v>0</v>
      </c>
      <c r="CI28" s="323">
        <f t="shared" ca="1" si="19"/>
        <v>0</v>
      </c>
      <c r="CJ28" s="323">
        <f t="shared" ca="1" si="19"/>
        <v>0</v>
      </c>
      <c r="CK28" s="323">
        <f t="shared" ca="1" si="19"/>
        <v>0</v>
      </c>
      <c r="CL28" s="323">
        <f t="shared" ca="1" si="19"/>
        <v>0</v>
      </c>
      <c r="CM28" s="323">
        <f t="shared" ca="1" si="19"/>
        <v>0</v>
      </c>
      <c r="CN28" s="323">
        <f t="shared" ca="1" si="19"/>
        <v>0</v>
      </c>
      <c r="CO28" s="323">
        <f t="shared" ca="1" si="19"/>
        <v>0</v>
      </c>
    </row>
    <row r="29" spans="1:93" ht="15" customHeight="1">
      <c r="A29" s="47"/>
      <c r="B29" s="47"/>
      <c r="C29" s="326" t="s">
        <v>972</v>
      </c>
      <c r="D29" s="326"/>
      <c r="E29" s="326"/>
      <c r="F29" s="326"/>
      <c r="G29" s="327"/>
      <c r="H29" s="326"/>
      <c r="I29" s="23">
        <f ca="1">SUM(L29:CO29)</f>
        <v>0</v>
      </c>
      <c r="J29" s="326"/>
      <c r="K29" s="326"/>
      <c r="L29" s="326">
        <f ca="1">SUM(L23:L27)</f>
        <v>0</v>
      </c>
      <c r="M29" s="326">
        <f t="shared" ref="M29:P29" ca="1" si="20">SUM(M23:M27)</f>
        <v>0</v>
      </c>
      <c r="N29" s="326">
        <f t="shared" ca="1" si="20"/>
        <v>0</v>
      </c>
      <c r="O29" s="326">
        <f t="shared" ca="1" si="20"/>
        <v>0</v>
      </c>
      <c r="P29" s="326">
        <f t="shared" ca="1" si="20"/>
        <v>0</v>
      </c>
      <c r="Q29" s="326">
        <f t="shared" ref="Q29:BS29" ca="1" si="21">SUM(Q23:Q27)</f>
        <v>0</v>
      </c>
      <c r="R29" s="326">
        <f t="shared" ca="1" si="21"/>
        <v>0</v>
      </c>
      <c r="S29" s="326">
        <f t="shared" ca="1" si="21"/>
        <v>0</v>
      </c>
      <c r="T29" s="326">
        <f t="shared" ca="1" si="21"/>
        <v>0</v>
      </c>
      <c r="U29" s="326">
        <f t="shared" ca="1" si="21"/>
        <v>0</v>
      </c>
      <c r="V29" s="326">
        <f t="shared" ca="1" si="21"/>
        <v>0</v>
      </c>
      <c r="W29" s="326">
        <f t="shared" ca="1" si="21"/>
        <v>0</v>
      </c>
      <c r="X29" s="326">
        <f t="shared" ca="1" si="21"/>
        <v>0</v>
      </c>
      <c r="Y29" s="326">
        <f t="shared" ca="1" si="21"/>
        <v>0</v>
      </c>
      <c r="Z29" s="326">
        <f t="shared" ca="1" si="21"/>
        <v>0</v>
      </c>
      <c r="AA29" s="326">
        <f t="shared" ca="1" si="21"/>
        <v>0</v>
      </c>
      <c r="AB29" s="326">
        <f t="shared" ca="1" si="21"/>
        <v>0</v>
      </c>
      <c r="AC29" s="326">
        <f t="shared" ca="1" si="21"/>
        <v>0</v>
      </c>
      <c r="AD29" s="326">
        <f t="shared" ca="1" si="21"/>
        <v>0</v>
      </c>
      <c r="AE29" s="326">
        <f t="shared" ca="1" si="21"/>
        <v>0</v>
      </c>
      <c r="AF29" s="326">
        <f t="shared" ca="1" si="21"/>
        <v>0</v>
      </c>
      <c r="AG29" s="326">
        <f t="shared" ca="1" si="21"/>
        <v>0</v>
      </c>
      <c r="AH29" s="326">
        <f t="shared" ca="1" si="21"/>
        <v>0</v>
      </c>
      <c r="AI29" s="326">
        <f t="shared" ca="1" si="21"/>
        <v>0</v>
      </c>
      <c r="AJ29" s="326">
        <f t="shared" ca="1" si="21"/>
        <v>0</v>
      </c>
      <c r="AK29" s="326">
        <f t="shared" ca="1" si="21"/>
        <v>0</v>
      </c>
      <c r="AL29" s="326">
        <f t="shared" ca="1" si="21"/>
        <v>0</v>
      </c>
      <c r="AM29" s="326">
        <f t="shared" ca="1" si="21"/>
        <v>0</v>
      </c>
      <c r="AN29" s="326">
        <f t="shared" ca="1" si="21"/>
        <v>0</v>
      </c>
      <c r="AO29" s="326">
        <f t="shared" ca="1" si="21"/>
        <v>0</v>
      </c>
      <c r="AP29" s="326">
        <f t="shared" ca="1" si="21"/>
        <v>0</v>
      </c>
      <c r="AQ29" s="326">
        <f t="shared" ca="1" si="21"/>
        <v>0</v>
      </c>
      <c r="AR29" s="326">
        <f t="shared" ca="1" si="21"/>
        <v>0</v>
      </c>
      <c r="AS29" s="326">
        <f t="shared" ca="1" si="21"/>
        <v>0</v>
      </c>
      <c r="AT29" s="326">
        <f t="shared" ca="1" si="21"/>
        <v>0</v>
      </c>
      <c r="AU29" s="326">
        <f t="shared" ca="1" si="21"/>
        <v>0</v>
      </c>
      <c r="AV29" s="326">
        <f t="shared" ca="1" si="21"/>
        <v>0</v>
      </c>
      <c r="AW29" s="326">
        <f t="shared" ca="1" si="21"/>
        <v>0</v>
      </c>
      <c r="AX29" s="326">
        <f t="shared" ca="1" si="21"/>
        <v>0</v>
      </c>
      <c r="AY29" s="326">
        <f t="shared" ca="1" si="21"/>
        <v>0</v>
      </c>
      <c r="AZ29" s="326">
        <f t="shared" ca="1" si="21"/>
        <v>0</v>
      </c>
      <c r="BA29" s="326">
        <f t="shared" ca="1" si="21"/>
        <v>0</v>
      </c>
      <c r="BB29" s="326">
        <f t="shared" ca="1" si="21"/>
        <v>0</v>
      </c>
      <c r="BC29" s="326">
        <f t="shared" ca="1" si="21"/>
        <v>0</v>
      </c>
      <c r="BD29" s="326">
        <f t="shared" ca="1" si="21"/>
        <v>0</v>
      </c>
      <c r="BE29" s="326">
        <f t="shared" ca="1" si="21"/>
        <v>0</v>
      </c>
      <c r="BF29" s="326">
        <f t="shared" ca="1" si="21"/>
        <v>0</v>
      </c>
      <c r="BG29" s="326">
        <f t="shared" ca="1" si="21"/>
        <v>0</v>
      </c>
      <c r="BH29" s="326">
        <f t="shared" ca="1" si="21"/>
        <v>0</v>
      </c>
      <c r="BI29" s="326">
        <f t="shared" ca="1" si="21"/>
        <v>0</v>
      </c>
      <c r="BJ29" s="326">
        <f t="shared" ca="1" si="21"/>
        <v>0</v>
      </c>
      <c r="BK29" s="326">
        <f t="shared" ca="1" si="21"/>
        <v>0</v>
      </c>
      <c r="BL29" s="326">
        <f t="shared" ca="1" si="21"/>
        <v>0</v>
      </c>
      <c r="BM29" s="326">
        <f t="shared" ca="1" si="21"/>
        <v>0</v>
      </c>
      <c r="BN29" s="326">
        <f t="shared" ca="1" si="21"/>
        <v>0</v>
      </c>
      <c r="BO29" s="326">
        <f t="shared" ca="1" si="21"/>
        <v>0</v>
      </c>
      <c r="BP29" s="326">
        <f t="shared" ca="1" si="21"/>
        <v>0</v>
      </c>
      <c r="BQ29" s="326">
        <f t="shared" ca="1" si="21"/>
        <v>0</v>
      </c>
      <c r="BR29" s="326">
        <f t="shared" ca="1" si="21"/>
        <v>0</v>
      </c>
      <c r="BS29" s="326">
        <f t="shared" ca="1" si="21"/>
        <v>0</v>
      </c>
      <c r="BT29" s="326">
        <f t="shared" ref="BT29:CO29" ca="1" si="22">SUM(BT23:BT27)</f>
        <v>0</v>
      </c>
      <c r="BU29" s="326">
        <f t="shared" ca="1" si="22"/>
        <v>0</v>
      </c>
      <c r="BV29" s="326">
        <f t="shared" ca="1" si="22"/>
        <v>0</v>
      </c>
      <c r="BW29" s="326">
        <f t="shared" ca="1" si="22"/>
        <v>0</v>
      </c>
      <c r="BX29" s="326">
        <f t="shared" ca="1" si="22"/>
        <v>0</v>
      </c>
      <c r="BY29" s="326">
        <f t="shared" ca="1" si="22"/>
        <v>0</v>
      </c>
      <c r="BZ29" s="326">
        <f t="shared" ca="1" si="22"/>
        <v>0</v>
      </c>
      <c r="CA29" s="326">
        <f t="shared" ca="1" si="22"/>
        <v>0</v>
      </c>
      <c r="CB29" s="326">
        <f t="shared" ca="1" si="22"/>
        <v>0</v>
      </c>
      <c r="CC29" s="326">
        <f t="shared" ca="1" si="22"/>
        <v>0</v>
      </c>
      <c r="CD29" s="326">
        <f t="shared" ca="1" si="22"/>
        <v>0</v>
      </c>
      <c r="CE29" s="326">
        <f t="shared" ca="1" si="22"/>
        <v>0</v>
      </c>
      <c r="CF29" s="326">
        <f t="shared" ca="1" si="22"/>
        <v>0</v>
      </c>
      <c r="CG29" s="326">
        <f t="shared" ca="1" si="22"/>
        <v>0</v>
      </c>
      <c r="CH29" s="326">
        <f t="shared" ca="1" si="22"/>
        <v>0</v>
      </c>
      <c r="CI29" s="326">
        <f t="shared" ca="1" si="22"/>
        <v>0</v>
      </c>
      <c r="CJ29" s="326">
        <f t="shared" ca="1" si="22"/>
        <v>0</v>
      </c>
      <c r="CK29" s="326">
        <f t="shared" ca="1" si="22"/>
        <v>0</v>
      </c>
      <c r="CL29" s="326">
        <f t="shared" ca="1" si="22"/>
        <v>0</v>
      </c>
      <c r="CM29" s="326">
        <f t="shared" ca="1" si="22"/>
        <v>0</v>
      </c>
      <c r="CN29" s="326">
        <f t="shared" ca="1" si="22"/>
        <v>0</v>
      </c>
      <c r="CO29" s="326">
        <f t="shared" ca="1" si="22"/>
        <v>0</v>
      </c>
    </row>
    <row r="30" spans="1:93" ht="15" customHeight="1">
      <c r="A30" s="47"/>
      <c r="B30" s="47"/>
      <c r="C30" s="153"/>
      <c r="D30" s="153"/>
      <c r="E30" s="11"/>
      <c r="F30" s="11"/>
      <c r="G30" s="11"/>
      <c r="H30" s="153"/>
      <c r="I30" s="154"/>
      <c r="J30" s="153"/>
      <c r="K30" s="153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</row>
    <row r="31" spans="1:93" customFormat="1" ht="14.5">
      <c r="A31" s="10"/>
      <c r="B31" s="10"/>
      <c r="C31" s="17" t="s">
        <v>425</v>
      </c>
      <c r="D31" s="10"/>
      <c r="E31" s="62"/>
      <c r="F31" s="10"/>
      <c r="G31" s="11"/>
      <c r="H31" s="10"/>
      <c r="I31" s="10"/>
      <c r="J31" s="10"/>
      <c r="K31" s="10"/>
      <c r="L31" s="35">
        <f t="shared" ref="L31:BW31" si="23">IF(K31="",YEAR(Beginning_of_period),K31+1)</f>
        <v>2025</v>
      </c>
      <c r="M31" s="35">
        <f t="shared" si="23"/>
        <v>2026</v>
      </c>
      <c r="N31" s="35">
        <f t="shared" si="23"/>
        <v>2027</v>
      </c>
      <c r="O31" s="35">
        <f t="shared" si="23"/>
        <v>2028</v>
      </c>
      <c r="P31" s="35">
        <f t="shared" si="23"/>
        <v>2029</v>
      </c>
      <c r="Q31" s="35">
        <f t="shared" si="23"/>
        <v>2030</v>
      </c>
      <c r="R31" s="35">
        <f t="shared" si="23"/>
        <v>2031</v>
      </c>
      <c r="S31" s="35">
        <f t="shared" si="23"/>
        <v>2032</v>
      </c>
      <c r="T31" s="35">
        <f t="shared" si="23"/>
        <v>2033</v>
      </c>
      <c r="U31" s="35">
        <f t="shared" si="23"/>
        <v>2034</v>
      </c>
      <c r="V31" s="35">
        <f t="shared" si="23"/>
        <v>2035</v>
      </c>
      <c r="W31" s="35">
        <f t="shared" si="23"/>
        <v>2036</v>
      </c>
      <c r="X31" s="35">
        <f t="shared" si="23"/>
        <v>2037</v>
      </c>
      <c r="Y31" s="35">
        <f t="shared" si="23"/>
        <v>2038</v>
      </c>
      <c r="Z31" s="35">
        <f t="shared" si="23"/>
        <v>2039</v>
      </c>
      <c r="AA31" s="35">
        <f t="shared" si="23"/>
        <v>2040</v>
      </c>
      <c r="AB31" s="35">
        <f t="shared" si="23"/>
        <v>2041</v>
      </c>
      <c r="AC31" s="35">
        <f t="shared" si="23"/>
        <v>2042</v>
      </c>
      <c r="AD31" s="35">
        <f t="shared" si="23"/>
        <v>2043</v>
      </c>
      <c r="AE31" s="35">
        <f t="shared" si="23"/>
        <v>2044</v>
      </c>
      <c r="AF31" s="35">
        <f t="shared" si="23"/>
        <v>2045</v>
      </c>
      <c r="AG31" s="35">
        <f t="shared" si="23"/>
        <v>2046</v>
      </c>
      <c r="AH31" s="35">
        <f t="shared" si="23"/>
        <v>2047</v>
      </c>
      <c r="AI31" s="35">
        <f t="shared" si="23"/>
        <v>2048</v>
      </c>
      <c r="AJ31" s="35">
        <f t="shared" si="23"/>
        <v>2049</v>
      </c>
      <c r="AK31" s="35">
        <f t="shared" si="23"/>
        <v>2050</v>
      </c>
      <c r="AL31" s="35">
        <f t="shared" si="23"/>
        <v>2051</v>
      </c>
      <c r="AM31" s="35">
        <f t="shared" si="23"/>
        <v>2052</v>
      </c>
      <c r="AN31" s="35">
        <f t="shared" si="23"/>
        <v>2053</v>
      </c>
      <c r="AO31" s="35">
        <f t="shared" si="23"/>
        <v>2054</v>
      </c>
      <c r="AP31" s="35">
        <f t="shared" si="23"/>
        <v>2055</v>
      </c>
      <c r="AQ31" s="35">
        <f t="shared" si="23"/>
        <v>2056</v>
      </c>
      <c r="AR31" s="35">
        <f t="shared" si="23"/>
        <v>2057</v>
      </c>
      <c r="AS31" s="35">
        <f t="shared" si="23"/>
        <v>2058</v>
      </c>
      <c r="AT31" s="35">
        <f t="shared" si="23"/>
        <v>2059</v>
      </c>
      <c r="AU31" s="35">
        <f t="shared" si="23"/>
        <v>2060</v>
      </c>
      <c r="AV31" s="35">
        <f t="shared" si="23"/>
        <v>2061</v>
      </c>
      <c r="AW31" s="35">
        <f t="shared" si="23"/>
        <v>2062</v>
      </c>
      <c r="AX31" s="35">
        <f t="shared" si="23"/>
        <v>2063</v>
      </c>
      <c r="AY31" s="35">
        <f t="shared" si="23"/>
        <v>2064</v>
      </c>
      <c r="AZ31" s="35">
        <f t="shared" si="23"/>
        <v>2065</v>
      </c>
      <c r="BA31" s="35">
        <f t="shared" si="23"/>
        <v>2066</v>
      </c>
      <c r="BB31" s="35">
        <f t="shared" si="23"/>
        <v>2067</v>
      </c>
      <c r="BC31" s="35">
        <f t="shared" si="23"/>
        <v>2068</v>
      </c>
      <c r="BD31" s="35">
        <f t="shared" si="23"/>
        <v>2069</v>
      </c>
      <c r="BE31" s="35">
        <f t="shared" si="23"/>
        <v>2070</v>
      </c>
      <c r="BF31" s="35">
        <f t="shared" si="23"/>
        <v>2071</v>
      </c>
      <c r="BG31" s="35">
        <f t="shared" si="23"/>
        <v>2072</v>
      </c>
      <c r="BH31" s="35">
        <f t="shared" si="23"/>
        <v>2073</v>
      </c>
      <c r="BI31" s="35">
        <f t="shared" si="23"/>
        <v>2074</v>
      </c>
      <c r="BJ31" s="35">
        <f t="shared" si="23"/>
        <v>2075</v>
      </c>
      <c r="BK31" s="35">
        <f t="shared" si="23"/>
        <v>2076</v>
      </c>
      <c r="BL31" s="35">
        <f t="shared" si="23"/>
        <v>2077</v>
      </c>
      <c r="BM31" s="35">
        <f t="shared" si="23"/>
        <v>2078</v>
      </c>
      <c r="BN31" s="35">
        <f t="shared" si="23"/>
        <v>2079</v>
      </c>
      <c r="BO31" s="35">
        <f t="shared" si="23"/>
        <v>2080</v>
      </c>
      <c r="BP31" s="35">
        <f t="shared" si="23"/>
        <v>2081</v>
      </c>
      <c r="BQ31" s="35">
        <f t="shared" si="23"/>
        <v>2082</v>
      </c>
      <c r="BR31" s="35">
        <f t="shared" si="23"/>
        <v>2083</v>
      </c>
      <c r="BS31" s="35">
        <f t="shared" si="23"/>
        <v>2084</v>
      </c>
      <c r="BT31" s="35">
        <f t="shared" si="23"/>
        <v>2085</v>
      </c>
      <c r="BU31" s="35">
        <f t="shared" si="23"/>
        <v>2086</v>
      </c>
      <c r="BV31" s="35">
        <f t="shared" si="23"/>
        <v>2087</v>
      </c>
      <c r="BW31" s="35">
        <f t="shared" si="23"/>
        <v>2088</v>
      </c>
      <c r="BX31" s="35">
        <f t="shared" ref="BX31:CO31" si="24">IF(BW31="",YEAR(Beginning_of_period),BW31+1)</f>
        <v>2089</v>
      </c>
      <c r="BY31" s="35">
        <f t="shared" si="24"/>
        <v>2090</v>
      </c>
      <c r="BZ31" s="35">
        <f t="shared" si="24"/>
        <v>2091</v>
      </c>
      <c r="CA31" s="35">
        <f t="shared" si="24"/>
        <v>2092</v>
      </c>
      <c r="CB31" s="35">
        <f t="shared" si="24"/>
        <v>2093</v>
      </c>
      <c r="CC31" s="35">
        <f t="shared" si="24"/>
        <v>2094</v>
      </c>
      <c r="CD31" s="35">
        <f t="shared" si="24"/>
        <v>2095</v>
      </c>
      <c r="CE31" s="35">
        <f t="shared" si="24"/>
        <v>2096</v>
      </c>
      <c r="CF31" s="35">
        <f t="shared" si="24"/>
        <v>2097</v>
      </c>
      <c r="CG31" s="35">
        <f t="shared" si="24"/>
        <v>2098</v>
      </c>
      <c r="CH31" s="35">
        <f t="shared" si="24"/>
        <v>2099</v>
      </c>
      <c r="CI31" s="35">
        <f t="shared" si="24"/>
        <v>2100</v>
      </c>
      <c r="CJ31" s="35">
        <f t="shared" si="24"/>
        <v>2101</v>
      </c>
      <c r="CK31" s="35">
        <f t="shared" si="24"/>
        <v>2102</v>
      </c>
      <c r="CL31" s="35">
        <f t="shared" si="24"/>
        <v>2103</v>
      </c>
      <c r="CM31" s="35">
        <f t="shared" si="24"/>
        <v>2104</v>
      </c>
      <c r="CN31" s="35">
        <f t="shared" si="24"/>
        <v>2105</v>
      </c>
      <c r="CO31" s="35">
        <f t="shared" si="24"/>
        <v>2106</v>
      </c>
    </row>
    <row r="32" spans="1:93" customFormat="1" ht="14.5">
      <c r="A32" s="10"/>
      <c r="B32" s="10"/>
      <c r="C32" s="17" t="s">
        <v>1103</v>
      </c>
      <c r="D32" s="10"/>
      <c r="E32" s="106"/>
      <c r="F32" s="10"/>
      <c r="G32" s="134" t="str">
        <f>Monetary_Unit</f>
        <v>тыс. руб.</v>
      </c>
      <c r="H32" s="10"/>
      <c r="I32" s="23">
        <f ca="1">SUM(L32:CO32)</f>
        <v>0</v>
      </c>
      <c r="J32" s="10"/>
      <c r="K32" s="10"/>
      <c r="L32" s="52">
        <f t="shared" ref="L32:AQ32" ca="1" si="25">SUMIF(Year,L$31,$L28:$CO28)</f>
        <v>0</v>
      </c>
      <c r="M32" s="52">
        <f t="shared" ca="1" si="25"/>
        <v>0</v>
      </c>
      <c r="N32" s="52">
        <f t="shared" ca="1" si="25"/>
        <v>0</v>
      </c>
      <c r="O32" s="52">
        <f t="shared" ca="1" si="25"/>
        <v>0</v>
      </c>
      <c r="P32" s="52">
        <f t="shared" ca="1" si="25"/>
        <v>0</v>
      </c>
      <c r="Q32" s="52">
        <f t="shared" ca="1" si="25"/>
        <v>0</v>
      </c>
      <c r="R32" s="52">
        <f t="shared" ca="1" si="25"/>
        <v>0</v>
      </c>
      <c r="S32" s="52">
        <f t="shared" ca="1" si="25"/>
        <v>0</v>
      </c>
      <c r="T32" s="52">
        <f t="shared" ca="1" si="25"/>
        <v>0</v>
      </c>
      <c r="U32" s="52">
        <f t="shared" ca="1" si="25"/>
        <v>0</v>
      </c>
      <c r="V32" s="52">
        <f t="shared" ca="1" si="25"/>
        <v>0</v>
      </c>
      <c r="W32" s="52">
        <f t="shared" ca="1" si="25"/>
        <v>0</v>
      </c>
      <c r="X32" s="52">
        <f t="shared" ca="1" si="25"/>
        <v>0</v>
      </c>
      <c r="Y32" s="52">
        <f t="shared" ca="1" si="25"/>
        <v>0</v>
      </c>
      <c r="Z32" s="52">
        <f t="shared" ca="1" si="25"/>
        <v>0</v>
      </c>
      <c r="AA32" s="52">
        <f t="shared" ca="1" si="25"/>
        <v>0</v>
      </c>
      <c r="AB32" s="52">
        <f t="shared" ca="1" si="25"/>
        <v>0</v>
      </c>
      <c r="AC32" s="52">
        <f t="shared" ca="1" si="25"/>
        <v>0</v>
      </c>
      <c r="AD32" s="52">
        <f t="shared" ca="1" si="25"/>
        <v>0</v>
      </c>
      <c r="AE32" s="52">
        <f t="shared" ca="1" si="25"/>
        <v>0</v>
      </c>
      <c r="AF32" s="52">
        <f t="shared" ca="1" si="25"/>
        <v>0</v>
      </c>
      <c r="AG32" s="52">
        <f t="shared" si="25"/>
        <v>0</v>
      </c>
      <c r="AH32" s="52">
        <f t="shared" si="25"/>
        <v>0</v>
      </c>
      <c r="AI32" s="52">
        <f t="shared" si="25"/>
        <v>0</v>
      </c>
      <c r="AJ32" s="52">
        <f t="shared" si="25"/>
        <v>0</v>
      </c>
      <c r="AK32" s="52">
        <f t="shared" si="25"/>
        <v>0</v>
      </c>
      <c r="AL32" s="52">
        <f t="shared" si="25"/>
        <v>0</v>
      </c>
      <c r="AM32" s="52">
        <f t="shared" si="25"/>
        <v>0</v>
      </c>
      <c r="AN32" s="52">
        <f t="shared" si="25"/>
        <v>0</v>
      </c>
      <c r="AO32" s="52">
        <f t="shared" si="25"/>
        <v>0</v>
      </c>
      <c r="AP32" s="52">
        <f t="shared" si="25"/>
        <v>0</v>
      </c>
      <c r="AQ32" s="52">
        <f t="shared" si="25"/>
        <v>0</v>
      </c>
      <c r="AR32" s="52">
        <f t="shared" ref="AR32:BW32" si="26">SUMIF(Year,AR$31,$L28:$CO28)</f>
        <v>0</v>
      </c>
      <c r="AS32" s="52">
        <f t="shared" si="26"/>
        <v>0</v>
      </c>
      <c r="AT32" s="52">
        <f t="shared" si="26"/>
        <v>0</v>
      </c>
      <c r="AU32" s="52">
        <f t="shared" si="26"/>
        <v>0</v>
      </c>
      <c r="AV32" s="52">
        <f t="shared" si="26"/>
        <v>0</v>
      </c>
      <c r="AW32" s="52">
        <f t="shared" si="26"/>
        <v>0</v>
      </c>
      <c r="AX32" s="52">
        <f t="shared" si="26"/>
        <v>0</v>
      </c>
      <c r="AY32" s="52">
        <f t="shared" si="26"/>
        <v>0</v>
      </c>
      <c r="AZ32" s="52">
        <f t="shared" si="26"/>
        <v>0</v>
      </c>
      <c r="BA32" s="52">
        <f t="shared" si="26"/>
        <v>0</v>
      </c>
      <c r="BB32" s="52">
        <f t="shared" si="26"/>
        <v>0</v>
      </c>
      <c r="BC32" s="52">
        <f t="shared" si="26"/>
        <v>0</v>
      </c>
      <c r="BD32" s="52">
        <f t="shared" si="26"/>
        <v>0</v>
      </c>
      <c r="BE32" s="52">
        <f t="shared" si="26"/>
        <v>0</v>
      </c>
      <c r="BF32" s="52">
        <f t="shared" si="26"/>
        <v>0</v>
      </c>
      <c r="BG32" s="52">
        <f t="shared" si="26"/>
        <v>0</v>
      </c>
      <c r="BH32" s="52">
        <f t="shared" si="26"/>
        <v>0</v>
      </c>
      <c r="BI32" s="52">
        <f t="shared" si="26"/>
        <v>0</v>
      </c>
      <c r="BJ32" s="52">
        <f t="shared" si="26"/>
        <v>0</v>
      </c>
      <c r="BK32" s="52">
        <f t="shared" si="26"/>
        <v>0</v>
      </c>
      <c r="BL32" s="52">
        <f t="shared" si="26"/>
        <v>0</v>
      </c>
      <c r="BM32" s="52">
        <f t="shared" si="26"/>
        <v>0</v>
      </c>
      <c r="BN32" s="52">
        <f t="shared" si="26"/>
        <v>0</v>
      </c>
      <c r="BO32" s="52">
        <f t="shared" si="26"/>
        <v>0</v>
      </c>
      <c r="BP32" s="52">
        <f t="shared" si="26"/>
        <v>0</v>
      </c>
      <c r="BQ32" s="52">
        <f t="shared" si="26"/>
        <v>0</v>
      </c>
      <c r="BR32" s="52">
        <f t="shared" si="26"/>
        <v>0</v>
      </c>
      <c r="BS32" s="52">
        <f t="shared" si="26"/>
        <v>0</v>
      </c>
      <c r="BT32" s="52">
        <f t="shared" si="26"/>
        <v>0</v>
      </c>
      <c r="BU32" s="52">
        <f t="shared" si="26"/>
        <v>0</v>
      </c>
      <c r="BV32" s="52">
        <f t="shared" si="26"/>
        <v>0</v>
      </c>
      <c r="BW32" s="52">
        <f t="shared" si="26"/>
        <v>0</v>
      </c>
      <c r="BX32" s="52">
        <f t="shared" ref="BX32:CO32" si="27">SUMIF(Year,BX$31,$L28:$CO28)</f>
        <v>0</v>
      </c>
      <c r="BY32" s="52">
        <f t="shared" si="27"/>
        <v>0</v>
      </c>
      <c r="BZ32" s="52">
        <f t="shared" si="27"/>
        <v>0</v>
      </c>
      <c r="CA32" s="52">
        <f t="shared" si="27"/>
        <v>0</v>
      </c>
      <c r="CB32" s="52">
        <f t="shared" si="27"/>
        <v>0</v>
      </c>
      <c r="CC32" s="52">
        <f t="shared" si="27"/>
        <v>0</v>
      </c>
      <c r="CD32" s="52">
        <f t="shared" si="27"/>
        <v>0</v>
      </c>
      <c r="CE32" s="52">
        <f t="shared" si="27"/>
        <v>0</v>
      </c>
      <c r="CF32" s="52">
        <f t="shared" si="27"/>
        <v>0</v>
      </c>
      <c r="CG32" s="52">
        <f t="shared" si="27"/>
        <v>0</v>
      </c>
      <c r="CH32" s="52">
        <f t="shared" si="27"/>
        <v>0</v>
      </c>
      <c r="CI32" s="52">
        <f t="shared" si="27"/>
        <v>0</v>
      </c>
      <c r="CJ32" s="52">
        <f t="shared" si="27"/>
        <v>0</v>
      </c>
      <c r="CK32" s="52">
        <f t="shared" si="27"/>
        <v>0</v>
      </c>
      <c r="CL32" s="52">
        <f t="shared" si="27"/>
        <v>0</v>
      </c>
      <c r="CM32" s="52">
        <f t="shared" si="27"/>
        <v>0</v>
      </c>
      <c r="CN32" s="52">
        <f t="shared" si="27"/>
        <v>0</v>
      </c>
      <c r="CO32" s="52">
        <f t="shared" si="27"/>
        <v>0</v>
      </c>
    </row>
    <row r="33" spans="1:93" customFormat="1" ht="14.5">
      <c r="A33" s="10"/>
      <c r="B33" s="10"/>
      <c r="C33" s="17" t="s">
        <v>1104</v>
      </c>
      <c r="D33" s="10"/>
      <c r="E33" s="106"/>
      <c r="F33" s="10"/>
      <c r="G33" s="134" t="str">
        <f>Monetary_Unit</f>
        <v>тыс. руб.</v>
      </c>
      <c r="H33" s="10"/>
      <c r="I33" s="23">
        <f ca="1">SUM(L33:CO33)</f>
        <v>0</v>
      </c>
      <c r="J33" s="10"/>
      <c r="K33" s="10"/>
      <c r="L33" s="52">
        <f t="shared" ref="L33:AQ33" ca="1" si="28">SUMIF(Year,L$31,$L29:$CO29)</f>
        <v>0</v>
      </c>
      <c r="M33" s="52">
        <f t="shared" ca="1" si="28"/>
        <v>0</v>
      </c>
      <c r="N33" s="52">
        <f t="shared" ca="1" si="28"/>
        <v>0</v>
      </c>
      <c r="O33" s="52">
        <f t="shared" ca="1" si="28"/>
        <v>0</v>
      </c>
      <c r="P33" s="52">
        <f t="shared" ca="1" si="28"/>
        <v>0</v>
      </c>
      <c r="Q33" s="52">
        <f t="shared" ca="1" si="28"/>
        <v>0</v>
      </c>
      <c r="R33" s="52">
        <f t="shared" ca="1" si="28"/>
        <v>0</v>
      </c>
      <c r="S33" s="52">
        <f t="shared" ca="1" si="28"/>
        <v>0</v>
      </c>
      <c r="T33" s="52">
        <f t="shared" ca="1" si="28"/>
        <v>0</v>
      </c>
      <c r="U33" s="52">
        <f t="shared" ca="1" si="28"/>
        <v>0</v>
      </c>
      <c r="V33" s="52">
        <f t="shared" ca="1" si="28"/>
        <v>0</v>
      </c>
      <c r="W33" s="52">
        <f t="shared" ca="1" si="28"/>
        <v>0</v>
      </c>
      <c r="X33" s="52">
        <f t="shared" ca="1" si="28"/>
        <v>0</v>
      </c>
      <c r="Y33" s="52">
        <f t="shared" ca="1" si="28"/>
        <v>0</v>
      </c>
      <c r="Z33" s="52">
        <f t="shared" ca="1" si="28"/>
        <v>0</v>
      </c>
      <c r="AA33" s="52">
        <f t="shared" ca="1" si="28"/>
        <v>0</v>
      </c>
      <c r="AB33" s="52">
        <f t="shared" ca="1" si="28"/>
        <v>0</v>
      </c>
      <c r="AC33" s="52">
        <f t="shared" ca="1" si="28"/>
        <v>0</v>
      </c>
      <c r="AD33" s="52">
        <f t="shared" ca="1" si="28"/>
        <v>0</v>
      </c>
      <c r="AE33" s="52">
        <f t="shared" ca="1" si="28"/>
        <v>0</v>
      </c>
      <c r="AF33" s="52">
        <f t="shared" ca="1" si="28"/>
        <v>0</v>
      </c>
      <c r="AG33" s="52">
        <f t="shared" si="28"/>
        <v>0</v>
      </c>
      <c r="AH33" s="52">
        <f t="shared" si="28"/>
        <v>0</v>
      </c>
      <c r="AI33" s="52">
        <f t="shared" si="28"/>
        <v>0</v>
      </c>
      <c r="AJ33" s="52">
        <f t="shared" si="28"/>
        <v>0</v>
      </c>
      <c r="AK33" s="52">
        <f t="shared" si="28"/>
        <v>0</v>
      </c>
      <c r="AL33" s="52">
        <f t="shared" si="28"/>
        <v>0</v>
      </c>
      <c r="AM33" s="52">
        <f t="shared" si="28"/>
        <v>0</v>
      </c>
      <c r="AN33" s="52">
        <f t="shared" si="28"/>
        <v>0</v>
      </c>
      <c r="AO33" s="52">
        <f t="shared" si="28"/>
        <v>0</v>
      </c>
      <c r="AP33" s="52">
        <f t="shared" si="28"/>
        <v>0</v>
      </c>
      <c r="AQ33" s="52">
        <f t="shared" si="28"/>
        <v>0</v>
      </c>
      <c r="AR33" s="52">
        <f t="shared" ref="AR33:BW33" si="29">SUMIF(Year,AR$31,$L29:$CO29)</f>
        <v>0</v>
      </c>
      <c r="AS33" s="52">
        <f t="shared" si="29"/>
        <v>0</v>
      </c>
      <c r="AT33" s="52">
        <f t="shared" si="29"/>
        <v>0</v>
      </c>
      <c r="AU33" s="52">
        <f t="shared" si="29"/>
        <v>0</v>
      </c>
      <c r="AV33" s="52">
        <f t="shared" si="29"/>
        <v>0</v>
      </c>
      <c r="AW33" s="52">
        <f t="shared" si="29"/>
        <v>0</v>
      </c>
      <c r="AX33" s="52">
        <f t="shared" si="29"/>
        <v>0</v>
      </c>
      <c r="AY33" s="52">
        <f t="shared" si="29"/>
        <v>0</v>
      </c>
      <c r="AZ33" s="52">
        <f t="shared" si="29"/>
        <v>0</v>
      </c>
      <c r="BA33" s="52">
        <f t="shared" si="29"/>
        <v>0</v>
      </c>
      <c r="BB33" s="52">
        <f t="shared" si="29"/>
        <v>0</v>
      </c>
      <c r="BC33" s="52">
        <f t="shared" si="29"/>
        <v>0</v>
      </c>
      <c r="BD33" s="52">
        <f t="shared" si="29"/>
        <v>0</v>
      </c>
      <c r="BE33" s="52">
        <f t="shared" si="29"/>
        <v>0</v>
      </c>
      <c r="BF33" s="52">
        <f t="shared" si="29"/>
        <v>0</v>
      </c>
      <c r="BG33" s="52">
        <f t="shared" si="29"/>
        <v>0</v>
      </c>
      <c r="BH33" s="52">
        <f t="shared" si="29"/>
        <v>0</v>
      </c>
      <c r="BI33" s="52">
        <f t="shared" si="29"/>
        <v>0</v>
      </c>
      <c r="BJ33" s="52">
        <f t="shared" si="29"/>
        <v>0</v>
      </c>
      <c r="BK33" s="52">
        <f t="shared" si="29"/>
        <v>0</v>
      </c>
      <c r="BL33" s="52">
        <f t="shared" si="29"/>
        <v>0</v>
      </c>
      <c r="BM33" s="52">
        <f t="shared" si="29"/>
        <v>0</v>
      </c>
      <c r="BN33" s="52">
        <f t="shared" si="29"/>
        <v>0</v>
      </c>
      <c r="BO33" s="52">
        <f t="shared" si="29"/>
        <v>0</v>
      </c>
      <c r="BP33" s="52">
        <f t="shared" si="29"/>
        <v>0</v>
      </c>
      <c r="BQ33" s="52">
        <f t="shared" si="29"/>
        <v>0</v>
      </c>
      <c r="BR33" s="52">
        <f t="shared" si="29"/>
        <v>0</v>
      </c>
      <c r="BS33" s="52">
        <f t="shared" si="29"/>
        <v>0</v>
      </c>
      <c r="BT33" s="52">
        <f t="shared" si="29"/>
        <v>0</v>
      </c>
      <c r="BU33" s="52">
        <f t="shared" si="29"/>
        <v>0</v>
      </c>
      <c r="BV33" s="52">
        <f t="shared" si="29"/>
        <v>0</v>
      </c>
      <c r="BW33" s="52">
        <f t="shared" si="29"/>
        <v>0</v>
      </c>
      <c r="BX33" s="52">
        <f t="shared" ref="BX33:CO33" si="30">SUMIF(Year,BX$31,$L29:$CO29)</f>
        <v>0</v>
      </c>
      <c r="BY33" s="52">
        <f t="shared" si="30"/>
        <v>0</v>
      </c>
      <c r="BZ33" s="52">
        <f t="shared" si="30"/>
        <v>0</v>
      </c>
      <c r="CA33" s="52">
        <f t="shared" si="30"/>
        <v>0</v>
      </c>
      <c r="CB33" s="52">
        <f t="shared" si="30"/>
        <v>0</v>
      </c>
      <c r="CC33" s="52">
        <f t="shared" si="30"/>
        <v>0</v>
      </c>
      <c r="CD33" s="52">
        <f t="shared" si="30"/>
        <v>0</v>
      </c>
      <c r="CE33" s="52">
        <f t="shared" si="30"/>
        <v>0</v>
      </c>
      <c r="CF33" s="52">
        <f t="shared" si="30"/>
        <v>0</v>
      </c>
      <c r="CG33" s="52">
        <f t="shared" si="30"/>
        <v>0</v>
      </c>
      <c r="CH33" s="52">
        <f t="shared" si="30"/>
        <v>0</v>
      </c>
      <c r="CI33" s="52">
        <f t="shared" si="30"/>
        <v>0</v>
      </c>
      <c r="CJ33" s="52">
        <f t="shared" si="30"/>
        <v>0</v>
      </c>
      <c r="CK33" s="52">
        <f t="shared" si="30"/>
        <v>0</v>
      </c>
      <c r="CL33" s="52">
        <f t="shared" si="30"/>
        <v>0</v>
      </c>
      <c r="CM33" s="52">
        <f t="shared" si="30"/>
        <v>0</v>
      </c>
      <c r="CN33" s="52">
        <f t="shared" si="30"/>
        <v>0</v>
      </c>
      <c r="CO33" s="52">
        <f t="shared" si="30"/>
        <v>0</v>
      </c>
    </row>
    <row r="34" spans="1:93" ht="15" customHeight="1">
      <c r="A34" s="47"/>
      <c r="B34" s="47"/>
      <c r="C34" s="153"/>
      <c r="D34" s="153"/>
      <c r="E34" s="11"/>
      <c r="F34" s="11"/>
      <c r="G34" s="11"/>
      <c r="H34" s="153"/>
      <c r="I34" s="154"/>
      <c r="J34" s="153"/>
      <c r="K34" s="153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</row>
    <row r="35" spans="1:93" ht="15" customHeight="1">
      <c r="A35" s="47"/>
      <c r="B35" s="47"/>
      <c r="C35" s="161" t="s">
        <v>969</v>
      </c>
      <c r="D35" s="153"/>
      <c r="E35" s="11"/>
      <c r="F35" s="11"/>
      <c r="G35" s="11" t="s">
        <v>28</v>
      </c>
      <c r="H35" s="153"/>
      <c r="I35" s="329" t="e">
        <f ca="1" xml:space="preserve"> IRR(L32:CO32)</f>
        <v>#NUM!</v>
      </c>
      <c r="J35" s="153"/>
      <c r="K35" s="153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</row>
    <row r="36" spans="1:93" ht="15" customHeight="1">
      <c r="A36" s="47"/>
      <c r="B36" s="47"/>
      <c r="C36" s="161" t="s">
        <v>970</v>
      </c>
      <c r="D36" s="153"/>
      <c r="E36" s="11"/>
      <c r="F36" s="11"/>
      <c r="G36" s="11" t="s">
        <v>28</v>
      </c>
      <c r="H36" s="153"/>
      <c r="I36" s="329" t="e">
        <f ca="1" xml:space="preserve"> IRR(L33:CO33)</f>
        <v>#NUM!</v>
      </c>
      <c r="J36" s="153"/>
      <c r="K36" s="153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ht="15" customHeight="1">
      <c r="A37" s="47"/>
      <c r="B37" s="47"/>
      <c r="C37" s="47"/>
      <c r="D37" s="47"/>
      <c r="E37" s="47"/>
      <c r="F37" s="47"/>
      <c r="G37" s="321"/>
      <c r="H37" s="47"/>
      <c r="I37" s="47"/>
      <c r="J37" s="47"/>
      <c r="K37" s="47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</row>
    <row r="38" spans="1:93" s="141" customFormat="1" ht="15" customHeight="1">
      <c r="A38" s="153"/>
      <c r="B38" s="330"/>
      <c r="C38" s="330"/>
      <c r="D38" s="330"/>
      <c r="E38" s="331"/>
      <c r="F38" s="331"/>
      <c r="G38" s="331"/>
      <c r="H38" s="330"/>
      <c r="I38" s="332"/>
      <c r="J38" s="330"/>
      <c r="K38" s="330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  <c r="AL38" s="333"/>
      <c r="AM38" s="333"/>
      <c r="AN38" s="333"/>
      <c r="AO38" s="333"/>
      <c r="AP38" s="333"/>
      <c r="AQ38" s="333"/>
      <c r="AR38" s="333"/>
      <c r="AS38" s="333"/>
      <c r="AT38" s="333"/>
      <c r="AU38" s="333"/>
      <c r="AV38" s="333"/>
      <c r="AW38" s="333"/>
      <c r="AX38" s="333"/>
      <c r="AY38" s="333"/>
      <c r="AZ38" s="333"/>
      <c r="BA38" s="333"/>
      <c r="BB38" s="333"/>
      <c r="BC38" s="333"/>
      <c r="BD38" s="333"/>
      <c r="BE38" s="333"/>
      <c r="BF38" s="333"/>
      <c r="BG38" s="333"/>
      <c r="BH38" s="333"/>
      <c r="BI38" s="333"/>
      <c r="BJ38" s="333"/>
      <c r="BK38" s="333"/>
      <c r="BL38" s="333"/>
      <c r="BM38" s="333"/>
      <c r="BN38" s="333"/>
      <c r="BO38" s="333"/>
      <c r="BP38" s="333"/>
      <c r="BQ38" s="333"/>
      <c r="BR38" s="333"/>
      <c r="BS38" s="333"/>
      <c r="BT38" s="333"/>
      <c r="BU38" s="333"/>
      <c r="BV38" s="333"/>
      <c r="BW38" s="333"/>
      <c r="BX38" s="333"/>
      <c r="BY38" s="333"/>
      <c r="BZ38" s="333"/>
      <c r="CA38" s="333"/>
      <c r="CB38" s="333"/>
      <c r="CC38" s="333"/>
      <c r="CD38" s="333"/>
      <c r="CE38" s="333"/>
      <c r="CF38" s="333"/>
      <c r="CG38" s="333"/>
      <c r="CH38" s="333"/>
      <c r="CI38" s="333"/>
      <c r="CJ38" s="333"/>
      <c r="CK38" s="333"/>
      <c r="CL38" s="333"/>
      <c r="CM38" s="333"/>
      <c r="CN38" s="333"/>
      <c r="CO38" s="333"/>
    </row>
    <row r="39" spans="1:93" ht="15" customHeight="1">
      <c r="A39" s="47"/>
      <c r="B39" s="47"/>
      <c r="C39" s="47"/>
      <c r="D39" s="47"/>
      <c r="E39" s="47"/>
      <c r="F39" s="47"/>
      <c r="G39" s="321"/>
      <c r="H39" s="47"/>
      <c r="I39" s="47"/>
      <c r="J39" s="47"/>
      <c r="K39" s="47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</row>
    <row r="40" spans="1:93" s="141" customFormat="1" ht="15" customHeight="1" thickBot="1">
      <c r="A40" s="153"/>
      <c r="B40" s="153"/>
      <c r="C40" s="12" t="s">
        <v>979</v>
      </c>
      <c r="D40" s="12"/>
      <c r="E40" s="12"/>
      <c r="F40" s="12"/>
      <c r="G40" s="12"/>
      <c r="H40" s="12"/>
      <c r="I40" s="12"/>
      <c r="J40" s="153"/>
      <c r="K40" s="153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</row>
    <row r="41" spans="1:93" ht="15" customHeight="1">
      <c r="A41" s="47"/>
      <c r="B41" s="47"/>
      <c r="C41" s="47"/>
      <c r="D41" s="47"/>
      <c r="E41" s="47"/>
      <c r="F41" s="47"/>
      <c r="G41" s="321"/>
      <c r="H41" s="47"/>
      <c r="I41" s="47"/>
      <c r="J41" s="47"/>
      <c r="K41" s="47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</row>
    <row r="42" spans="1:93" ht="15" customHeight="1">
      <c r="A42" s="47"/>
      <c r="B42" s="47"/>
      <c r="C42" s="156" t="s">
        <v>960</v>
      </c>
      <c r="D42" s="47"/>
      <c r="E42" s="419"/>
      <c r="F42" s="47"/>
      <c r="G42" s="11" t="str">
        <f>Monetary_Unit</f>
        <v>тыс. руб.</v>
      </c>
      <c r="H42" s="47"/>
      <c r="I42" s="23">
        <f>SUM(L42:CO42)</f>
        <v>1409395.9556502979</v>
      </c>
      <c r="J42" s="47"/>
      <c r="K42" s="47"/>
      <c r="L42" s="10">
        <f>SUM(Расчеты!L1241:L1243)</f>
        <v>31406.153379286916</v>
      </c>
      <c r="M42" s="10">
        <f>SUM(Расчеты!M1241:M1243)</f>
        <v>31851.960190507532</v>
      </c>
      <c r="N42" s="10">
        <f>SUM(Расчеты!N1241:N1243)</f>
        <v>32304.095179220327</v>
      </c>
      <c r="O42" s="10">
        <f>SUM(Расчеты!O1241:O1243)</f>
        <v>32762.648173192309</v>
      </c>
      <c r="P42" s="10">
        <f>SUM(Расчеты!P1241:P1243)</f>
        <v>275591.46580799518</v>
      </c>
      <c r="Q42" s="10">
        <f>SUM(Расчеты!Q1241:Q1243)</f>
        <v>278306.9805620276</v>
      </c>
      <c r="R42" s="10">
        <f>SUM(Расчеты!R1241:R1243)</f>
        <v>281049.25238692126</v>
      </c>
      <c r="S42" s="10">
        <f>SUM(Расчеты!S1241:S1243)</f>
        <v>191482.31721048584</v>
      </c>
      <c r="T42" s="10">
        <f>SUM(Расчеты!T1241:T1243)</f>
        <v>6580.6543476469105</v>
      </c>
      <c r="U42" s="10">
        <f>SUM(Расчеты!U1241:U1243)</f>
        <v>10424.828632825871</v>
      </c>
      <c r="V42" s="10">
        <f>SUM(Расчеты!V1241:V1243)</f>
        <v>14389.449341359013</v>
      </c>
      <c r="W42" s="10">
        <f>SUM(Расчеты!W1241:W1243)</f>
        <v>18277.447721111192</v>
      </c>
      <c r="X42" s="10">
        <f>SUM(Расчеты!X1241:X1243)</f>
        <v>24140.856838778414</v>
      </c>
      <c r="Y42" s="10">
        <f>SUM(Расчеты!Y1241:Y1243)</f>
        <v>32309.00587388641</v>
      </c>
      <c r="Z42" s="10">
        <f>SUM(Расчеты!Z1241:Z1243)</f>
        <v>41003.327342873301</v>
      </c>
      <c r="AA42" s="10">
        <f>SUM(Расчеты!AA1241:AA1243)</f>
        <v>49424.775082291708</v>
      </c>
      <c r="AB42" s="10">
        <f>SUM(Расчеты!AB1241:AB1243)</f>
        <v>58090.737579888082</v>
      </c>
      <c r="AC42" s="10">
        <f>SUM(Расчеты!AC1241:AC1243)</f>
        <v>0</v>
      </c>
      <c r="AD42" s="10">
        <f>SUM(Расчеты!AD1241:AD1243)</f>
        <v>0</v>
      </c>
      <c r="AE42" s="10">
        <f>SUM(Расчеты!AE1241:AE1243)</f>
        <v>0</v>
      </c>
      <c r="AF42" s="10">
        <f>SUM(Расчеты!AF1241:AF1243)</f>
        <v>0</v>
      </c>
      <c r="AG42" s="10">
        <f>SUM(Расчеты!AG1241:AG1243)</f>
        <v>0</v>
      </c>
      <c r="AH42" s="10">
        <f>SUM(Расчеты!AH1241:AH1243)</f>
        <v>0</v>
      </c>
      <c r="AI42" s="10">
        <f>SUM(Расчеты!AI1241:AI1243)</f>
        <v>0</v>
      </c>
      <c r="AJ42" s="10">
        <f>SUM(Расчеты!AJ1241:AJ1243)</f>
        <v>0</v>
      </c>
      <c r="AK42" s="10">
        <f>SUM(Расчеты!AK1241:AK1243)</f>
        <v>0</v>
      </c>
      <c r="AL42" s="10">
        <f>SUM(Расчеты!AL1241:AL1243)</f>
        <v>0</v>
      </c>
      <c r="AM42" s="10">
        <f>SUM(Расчеты!AM1241:AM1243)</f>
        <v>0</v>
      </c>
      <c r="AN42" s="10">
        <f>SUM(Расчеты!AN1241:AN1243)</f>
        <v>0</v>
      </c>
      <c r="AO42" s="10">
        <f>SUM(Расчеты!AO1241:AO1243)</f>
        <v>0</v>
      </c>
      <c r="AP42" s="10">
        <f>SUM(Расчеты!AP1241:AP1243)</f>
        <v>0</v>
      </c>
      <c r="AQ42" s="10">
        <f>SUM(Расчеты!AQ1241:AQ1243)</f>
        <v>0</v>
      </c>
      <c r="AR42" s="10">
        <f>SUM(Расчеты!AR1241:AR1243)</f>
        <v>0</v>
      </c>
      <c r="AS42" s="10">
        <f>SUM(Расчеты!AS1241:AS1243)</f>
        <v>0</v>
      </c>
      <c r="AT42" s="10">
        <f>SUM(Расчеты!AT1241:AT1243)</f>
        <v>0</v>
      </c>
      <c r="AU42" s="10">
        <f>SUM(Расчеты!AU1241:AU1243)</f>
        <v>0</v>
      </c>
      <c r="AV42" s="10">
        <f>SUM(Расчеты!AV1241:AV1243)</f>
        <v>0</v>
      </c>
      <c r="AW42" s="10">
        <f>SUM(Расчеты!AW1241:AW1243)</f>
        <v>0</v>
      </c>
      <c r="AX42" s="10">
        <f>SUM(Расчеты!AX1241:AX1243)</f>
        <v>0</v>
      </c>
      <c r="AY42" s="10">
        <f>SUM(Расчеты!AY1241:AY1243)</f>
        <v>0</v>
      </c>
      <c r="AZ42" s="10">
        <f>SUM(Расчеты!AZ1241:AZ1243)</f>
        <v>0</v>
      </c>
      <c r="BA42" s="10">
        <f>SUM(Расчеты!BA1241:BA1243)</f>
        <v>0</v>
      </c>
      <c r="BB42" s="10">
        <f>SUM(Расчеты!BB1241:BB1243)</f>
        <v>0</v>
      </c>
      <c r="BC42" s="10">
        <f>SUM(Расчеты!BC1241:BC1243)</f>
        <v>0</v>
      </c>
      <c r="BD42" s="10">
        <f>SUM(Расчеты!BD1241:BD1243)</f>
        <v>0</v>
      </c>
      <c r="BE42" s="10">
        <f>SUM(Расчеты!BE1241:BE1243)</f>
        <v>0</v>
      </c>
      <c r="BF42" s="10">
        <f>SUM(Расчеты!BF1241:BF1243)</f>
        <v>0</v>
      </c>
      <c r="BG42" s="10">
        <f>SUM(Расчеты!BG1241:BG1243)</f>
        <v>0</v>
      </c>
      <c r="BH42" s="10">
        <f>SUM(Расчеты!BH1241:BH1243)</f>
        <v>0</v>
      </c>
      <c r="BI42" s="10">
        <f>SUM(Расчеты!BI1241:BI1243)</f>
        <v>0</v>
      </c>
      <c r="BJ42" s="10">
        <f>SUM(Расчеты!BJ1241:BJ1243)</f>
        <v>0</v>
      </c>
      <c r="BK42" s="10">
        <f>SUM(Расчеты!BK1241:BK1243)</f>
        <v>0</v>
      </c>
      <c r="BL42" s="10">
        <f>SUM(Расчеты!BL1241:BL1243)</f>
        <v>0</v>
      </c>
      <c r="BM42" s="10">
        <f>SUM(Расчеты!BM1241:BM1243)</f>
        <v>0</v>
      </c>
      <c r="BN42" s="10">
        <f>SUM(Расчеты!BN1241:BN1243)</f>
        <v>0</v>
      </c>
      <c r="BO42" s="10">
        <f>SUM(Расчеты!BO1241:BO1243)</f>
        <v>0</v>
      </c>
      <c r="BP42" s="10">
        <f>SUM(Расчеты!BP1241:BP1243)</f>
        <v>0</v>
      </c>
      <c r="BQ42" s="10">
        <f>SUM(Расчеты!BQ1241:BQ1243)</f>
        <v>0</v>
      </c>
      <c r="BR42" s="10">
        <f>SUM(Расчеты!BR1241:BR1243)</f>
        <v>0</v>
      </c>
      <c r="BS42" s="10">
        <f>SUM(Расчеты!BS1241:BS1243)</f>
        <v>0</v>
      </c>
      <c r="BT42" s="10">
        <f>SUM(Расчеты!BT1241:BT1243)</f>
        <v>0</v>
      </c>
      <c r="BU42" s="10">
        <f>SUM(Расчеты!BU1241:BU1243)</f>
        <v>0</v>
      </c>
      <c r="BV42" s="10">
        <f>SUM(Расчеты!BV1241:BV1243)</f>
        <v>0</v>
      </c>
      <c r="BW42" s="10">
        <f>SUM(Расчеты!BW1241:BW1243)</f>
        <v>0</v>
      </c>
      <c r="BX42" s="10">
        <f>SUM(Расчеты!BX1241:BX1243)</f>
        <v>0</v>
      </c>
      <c r="BY42" s="10">
        <f>SUM(Расчеты!BY1241:BY1243)</f>
        <v>0</v>
      </c>
      <c r="BZ42" s="10">
        <f>SUM(Расчеты!BZ1241:BZ1243)</f>
        <v>0</v>
      </c>
      <c r="CA42" s="10">
        <f>SUM(Расчеты!CA1241:CA1243)</f>
        <v>0</v>
      </c>
      <c r="CB42" s="10">
        <f>SUM(Расчеты!CB1241:CB1243)</f>
        <v>0</v>
      </c>
      <c r="CC42" s="10">
        <f>SUM(Расчеты!CC1241:CC1243)</f>
        <v>0</v>
      </c>
      <c r="CD42" s="10">
        <f>SUM(Расчеты!CD1241:CD1243)</f>
        <v>0</v>
      </c>
      <c r="CE42" s="10">
        <f>SUM(Расчеты!CE1241:CE1243)</f>
        <v>0</v>
      </c>
      <c r="CF42" s="10">
        <f>SUM(Расчеты!CF1241:CF1243)</f>
        <v>0</v>
      </c>
      <c r="CG42" s="10">
        <f>SUM(Расчеты!CG1241:CG1243)</f>
        <v>0</v>
      </c>
      <c r="CH42" s="10">
        <f>SUM(Расчеты!CH1241:CH1243)</f>
        <v>0</v>
      </c>
      <c r="CI42" s="10">
        <f>SUM(Расчеты!CI1241:CI1243)</f>
        <v>0</v>
      </c>
      <c r="CJ42" s="10">
        <f>SUM(Расчеты!CJ1241:CJ1243)</f>
        <v>0</v>
      </c>
      <c r="CK42" s="10">
        <f>SUM(Расчеты!CK1241:CK1243)</f>
        <v>0</v>
      </c>
      <c r="CL42" s="10">
        <f>SUM(Расчеты!CL1241:CL1243)</f>
        <v>0</v>
      </c>
      <c r="CM42" s="10">
        <f>SUM(Расчеты!CM1241:CM1243)</f>
        <v>0</v>
      </c>
      <c r="CN42" s="10">
        <f>SUM(Расчеты!CN1241:CN1243)</f>
        <v>0</v>
      </c>
      <c r="CO42" s="10">
        <f>SUM(Расчеты!CO1241:CO1243)</f>
        <v>0</v>
      </c>
    </row>
    <row r="43" spans="1:93" ht="15" customHeight="1">
      <c r="A43" s="47"/>
      <c r="B43" s="47"/>
      <c r="C43" s="156" t="s">
        <v>980</v>
      </c>
      <c r="D43" s="47"/>
      <c r="E43" s="47"/>
      <c r="F43" s="47"/>
      <c r="G43" s="11" t="str">
        <f>Monetary_Unit</f>
        <v>тыс. руб.</v>
      </c>
      <c r="H43" s="47"/>
      <c r="I43" s="23">
        <f>SUM(L43:CO43)</f>
        <v>0</v>
      </c>
      <c r="J43" s="47"/>
      <c r="K43" s="47"/>
      <c r="L43" s="452">
        <f>MIN(SUM($L42:L42)*$I$13-SUM($K43:K43),L42-SUM(Расчеты!L1242:L1243))</f>
        <v>0</v>
      </c>
      <c r="M43" s="452">
        <f>MIN(SUM($L42:M42)*$I$13-SUM($K43:L43),M42-SUM(Расчеты!M1242:M1243))</f>
        <v>0</v>
      </c>
      <c r="N43" s="452">
        <f>MIN(SUM($L42:N42)*$I$13-SUM($K43:M43),N42-SUM(Расчеты!N1242:N1243))</f>
        <v>0</v>
      </c>
      <c r="O43" s="452">
        <f>MIN(SUM($L42:O42)*$I$13-SUM($K43:N43),O42-SUM(Расчеты!O1242:O1243))</f>
        <v>0</v>
      </c>
      <c r="P43" s="452">
        <f>MIN(SUM($L42:P42)*$I$13-SUM($K43:O43),P42-SUM(Расчеты!P1242:P1243))</f>
        <v>0</v>
      </c>
      <c r="Q43" s="452">
        <f>MIN(SUM($L42:Q42)*$I$13-SUM($K43:P43),Q42-SUM(Расчеты!Q1242:Q1243))</f>
        <v>0</v>
      </c>
      <c r="R43" s="452">
        <f>MIN(SUM($L42:R42)*$I$13-SUM($K43:Q43),R42-SUM(Расчеты!R1242:R1243))</f>
        <v>0</v>
      </c>
      <c r="S43" s="452">
        <f>MIN(SUM($L42:S42)*$I$13-SUM($K43:R43),S42-SUM(Расчеты!S1242:S1243))</f>
        <v>0</v>
      </c>
      <c r="T43" s="452">
        <f>MIN(SUM($L42:T42)*$I$13-SUM($K43:S43),T42-SUM(Расчеты!T1242:T1243))</f>
        <v>0</v>
      </c>
      <c r="U43" s="452">
        <f>MIN(SUM($L42:U42)*$I$13-SUM($K43:T43),U42-SUM(Расчеты!U1242:U1243))</f>
        <v>0</v>
      </c>
      <c r="V43" s="452">
        <f>MIN(SUM($L42:V42)*$I$13-SUM($K43:U43),V42-SUM(Расчеты!V1242:V1243))</f>
        <v>0</v>
      </c>
      <c r="W43" s="452">
        <f>MIN(SUM($L42:W42)*$I$13-SUM($K43:V43),W42-SUM(Расчеты!W1242:W1243))</f>
        <v>0</v>
      </c>
      <c r="X43" s="452">
        <f>MIN(SUM($L42:X42)*$I$13-SUM($K43:W43),X42-SUM(Расчеты!X1242:X1243))</f>
        <v>0</v>
      </c>
      <c r="Y43" s="452">
        <f>MIN(SUM($L42:Y42)*$I$13-SUM($K43:X43),Y42-SUM(Расчеты!Y1242:Y1243))</f>
        <v>0</v>
      </c>
      <c r="Z43" s="452">
        <f>MIN(SUM($L42:Z42)*$I$13-SUM($K43:Y43),Z42-SUM(Расчеты!Z1242:Z1243))</f>
        <v>0</v>
      </c>
      <c r="AA43" s="452">
        <f>MIN(SUM($L42:AA42)*$I$13-SUM($K43:Z43),AA42-SUM(Расчеты!AA1242:AA1243))</f>
        <v>0</v>
      </c>
      <c r="AB43" s="452">
        <f>MIN(SUM($L42:AB42)*$I$13-SUM($K43:AA43),AB42-SUM(Расчеты!AB1242:AB1243))</f>
        <v>0</v>
      </c>
      <c r="AC43" s="452">
        <f>MIN(SUM($L42:AC42)*$I$13-SUM($K43:AB43),AC42-SUM(Расчеты!AC1242:AC1243))</f>
        <v>0</v>
      </c>
      <c r="AD43" s="452">
        <f>MIN(SUM($L42:AD42)*$I$13-SUM($K43:AC43),AD42-SUM(Расчеты!AD1242:AD1243))</f>
        <v>0</v>
      </c>
      <c r="AE43" s="452">
        <f>MIN(SUM($L42:AE42)*$I$13-SUM($K43:AD43),AE42-SUM(Расчеты!AE1242:AE1243))</f>
        <v>0</v>
      </c>
      <c r="AF43" s="452">
        <f>MIN(SUM($L42:AF42)*$I$13-SUM($K43:AE43),AF42-SUM(Расчеты!AF1242:AF1243))</f>
        <v>0</v>
      </c>
      <c r="AG43" s="452">
        <f>MIN(SUM($L42:AG42)*$I$13-SUM($K43:AF43),AG42-SUM(Расчеты!AG1242:AG1243))</f>
        <v>0</v>
      </c>
      <c r="AH43" s="452">
        <f>MIN(SUM($L42:AH42)*$I$13-SUM($K43:AG43),AH42-SUM(Расчеты!AH1242:AH1243))</f>
        <v>0</v>
      </c>
      <c r="AI43" s="452">
        <f>MIN(SUM($L42:AI42)*$I$13-SUM($K43:AH43),AI42-SUM(Расчеты!AI1242:AI1243))</f>
        <v>0</v>
      </c>
      <c r="AJ43" s="452">
        <f>MIN(SUM($L42:AJ42)*$I$13-SUM($K43:AI43),AJ42-SUM(Расчеты!AJ1242:AJ1243))</f>
        <v>0</v>
      </c>
      <c r="AK43" s="452">
        <f>MIN(SUM($L42:AK42)*$I$13-SUM($K43:AJ43),AK42-SUM(Расчеты!AK1242:AK1243))</f>
        <v>0</v>
      </c>
      <c r="AL43" s="452">
        <f>MIN(SUM($L42:AL42)*$I$13-SUM($K43:AK43),AL42-SUM(Расчеты!AL1242:AL1243))</f>
        <v>0</v>
      </c>
      <c r="AM43" s="452">
        <f>MIN(SUM($L42:AM42)*$I$13-SUM($K43:AL43),AM42-SUM(Расчеты!AM1242:AM1243))</f>
        <v>0</v>
      </c>
      <c r="AN43" s="452">
        <f>MIN(SUM($L42:AN42)*$I$13-SUM($K43:AM43),AN42-SUM(Расчеты!AN1242:AN1243))</f>
        <v>0</v>
      </c>
      <c r="AO43" s="452">
        <f>MIN(SUM($L42:AO42)*$I$13-SUM($K43:AN43),AO42-SUM(Расчеты!AO1242:AO1243))</f>
        <v>0</v>
      </c>
      <c r="AP43" s="452">
        <f>MIN(SUM($L42:AP42)*$I$13-SUM($K43:AO43),AP42-SUM(Расчеты!AP1242:AP1243))</f>
        <v>0</v>
      </c>
      <c r="AQ43" s="452">
        <f>MIN(SUM($L42:AQ42)*$I$13-SUM($K43:AP43),AQ42-SUM(Расчеты!AQ1242:AQ1243))</f>
        <v>0</v>
      </c>
      <c r="AR43" s="452">
        <f>MIN(SUM($L42:AR42)*$I$13-SUM($K43:AQ43),AR42-SUM(Расчеты!AR1242:AR1243))</f>
        <v>0</v>
      </c>
      <c r="AS43" s="452">
        <f>MIN(SUM($L42:AS42)*$I$13-SUM($K43:AR43),AS42-SUM(Расчеты!AS1242:AS1243))</f>
        <v>0</v>
      </c>
      <c r="AT43" s="452">
        <f>MIN(SUM($L42:AT42)*$I$13-SUM($K43:AS43),AT42-SUM(Расчеты!AT1242:AT1243))</f>
        <v>0</v>
      </c>
      <c r="AU43" s="452">
        <f>MIN(SUM($L42:AU42)*$I$13-SUM($K43:AT43),AU42-SUM(Расчеты!AU1242:AU1243))</f>
        <v>0</v>
      </c>
      <c r="AV43" s="452">
        <f>MIN(SUM($L42:AV42)*$I$13-SUM($K43:AU43),AV42-SUM(Расчеты!AV1242:AV1243))</f>
        <v>0</v>
      </c>
      <c r="AW43" s="452">
        <f>MIN(SUM($L42:AW42)*$I$13-SUM($K43:AV43),AW42-SUM(Расчеты!AW1242:AW1243))</f>
        <v>0</v>
      </c>
      <c r="AX43" s="452">
        <f>MIN(SUM($L42:AX42)*$I$13-SUM($K43:AW43),AX42-SUM(Расчеты!AX1242:AX1243))</f>
        <v>0</v>
      </c>
      <c r="AY43" s="452">
        <f>MIN(SUM($L42:AY42)*$I$13-SUM($K43:AX43),AY42-SUM(Расчеты!AY1242:AY1243))</f>
        <v>0</v>
      </c>
      <c r="AZ43" s="452">
        <f>MIN(SUM($L42:AZ42)*$I$13-SUM($K43:AY43),AZ42-SUM(Расчеты!AZ1242:AZ1243))</f>
        <v>0</v>
      </c>
      <c r="BA43" s="452">
        <f>MIN(SUM($L42:BA42)*$I$13-SUM($K43:AZ43),BA42-SUM(Расчеты!BA1242:BA1243))</f>
        <v>0</v>
      </c>
      <c r="BB43" s="452">
        <f>MIN(SUM($L42:BB42)*$I$13-SUM($K43:BA43),BB42-SUM(Расчеты!BB1242:BB1243))</f>
        <v>0</v>
      </c>
      <c r="BC43" s="452">
        <f>MIN(SUM($L42:BC42)*$I$13-SUM($K43:BB43),BC42-SUM(Расчеты!BC1242:BC1243))</f>
        <v>0</v>
      </c>
      <c r="BD43" s="452">
        <f>MIN(SUM($L42:BD42)*$I$13-SUM($K43:BC43),BD42-SUM(Расчеты!BD1242:BD1243))</f>
        <v>0</v>
      </c>
      <c r="BE43" s="452">
        <f>MIN(SUM($L42:BE42)*$I$13-SUM($K43:BD43),BE42-SUM(Расчеты!BE1242:BE1243))</f>
        <v>0</v>
      </c>
      <c r="BF43" s="452">
        <f>MIN(SUM($L42:BF42)*$I$13-SUM($K43:BE43),BF42-SUM(Расчеты!BF1242:BF1243))</f>
        <v>0</v>
      </c>
      <c r="BG43" s="452">
        <f>MIN(SUM($L42:BG42)*$I$13-SUM($K43:BF43),BG42-SUM(Расчеты!BG1242:BG1243))</f>
        <v>0</v>
      </c>
      <c r="BH43" s="452">
        <f>MIN(SUM($L42:BH42)*$I$13-SUM($K43:BG43),BH42-SUM(Расчеты!BH1242:BH1243))</f>
        <v>0</v>
      </c>
      <c r="BI43" s="452">
        <f>MIN(SUM($L42:BI42)*$I$13-SUM($K43:BH43),BI42-SUM(Расчеты!BI1242:BI1243))</f>
        <v>0</v>
      </c>
      <c r="BJ43" s="452">
        <f>MIN(SUM($L42:BJ42)*$I$13-SUM($K43:BI43),BJ42-SUM(Расчеты!BJ1242:BJ1243))</f>
        <v>0</v>
      </c>
      <c r="BK43" s="452">
        <f>MIN(SUM($L42:BK42)*$I$13-SUM($K43:BJ43),BK42-SUM(Расчеты!BK1242:BK1243))</f>
        <v>0</v>
      </c>
      <c r="BL43" s="452">
        <f>MIN(SUM($L42:BL42)*$I$13-SUM($K43:BK43),BL42-SUM(Расчеты!BL1242:BL1243))</f>
        <v>0</v>
      </c>
      <c r="BM43" s="452">
        <f>MIN(SUM($L42:BM42)*$I$13-SUM($K43:BL43),BM42-SUM(Расчеты!BM1242:BM1243))</f>
        <v>0</v>
      </c>
      <c r="BN43" s="452">
        <f>MIN(SUM($L42:BN42)*$I$13-SUM($K43:BM43),BN42-SUM(Расчеты!BN1242:BN1243))</f>
        <v>0</v>
      </c>
      <c r="BO43" s="452">
        <f>MIN(SUM($L42:BO42)*$I$13-SUM($K43:BN43),BO42-SUM(Расчеты!BO1242:BO1243))</f>
        <v>0</v>
      </c>
      <c r="BP43" s="452">
        <f>MIN(SUM($L42:BP42)*$I$13-SUM($K43:BO43),BP42-SUM(Расчеты!BP1242:BP1243))</f>
        <v>0</v>
      </c>
      <c r="BQ43" s="452">
        <f>MIN(SUM($L42:BQ42)*$I$13-SUM($K43:BP43),BQ42-SUM(Расчеты!BQ1242:BQ1243))</f>
        <v>0</v>
      </c>
      <c r="BR43" s="452">
        <f>MIN(SUM($L42:BR42)*$I$13-SUM($K43:BQ43),BR42-SUM(Расчеты!BR1242:BR1243))</f>
        <v>0</v>
      </c>
      <c r="BS43" s="452">
        <f>MIN(SUM($L42:BS42)*$I$13-SUM($K43:BR43),BS42-SUM(Расчеты!BS1242:BS1243))</f>
        <v>0</v>
      </c>
      <c r="BT43" s="452">
        <f>MIN(SUM($L42:BT42)*$I$13-SUM($K43:BS43),BT42-SUM(Расчеты!BT1242:BT1243))</f>
        <v>0</v>
      </c>
      <c r="BU43" s="452">
        <f>MIN(SUM($L42:BU42)*$I$13-SUM($K43:BT43),BU42-SUM(Расчеты!BU1242:BU1243))</f>
        <v>0</v>
      </c>
      <c r="BV43" s="452">
        <f>MIN(SUM($L42:BV42)*$I$13-SUM($K43:BU43),BV42-SUM(Расчеты!BV1242:BV1243))</f>
        <v>0</v>
      </c>
      <c r="BW43" s="452">
        <f>MIN(SUM($L42:BW42)*$I$13-SUM($K43:BV43),BW42-SUM(Расчеты!BW1242:BW1243))</f>
        <v>0</v>
      </c>
      <c r="BX43" s="452">
        <f>MIN(SUM($L42:BX42)*$I$13-SUM($K43:BW43),BX42-SUM(Расчеты!BX1242:BX1243))</f>
        <v>0</v>
      </c>
      <c r="BY43" s="452">
        <f>MIN(SUM($L42:BY42)*$I$13-SUM($K43:BX43),BY42-SUM(Расчеты!BY1242:BY1243))</f>
        <v>0</v>
      </c>
      <c r="BZ43" s="452">
        <f>MIN(SUM($L42:BZ42)*$I$13-SUM($K43:BY43),BZ42-SUM(Расчеты!BZ1242:BZ1243))</f>
        <v>0</v>
      </c>
      <c r="CA43" s="452">
        <f>MIN(SUM($L42:CA42)*$I$13-SUM($K43:BZ43),CA42-SUM(Расчеты!CA1242:CA1243))</f>
        <v>0</v>
      </c>
      <c r="CB43" s="452">
        <f>MIN(SUM($L42:CB42)*$I$13-SUM($K43:CA43),CB42-SUM(Расчеты!CB1242:CB1243))</f>
        <v>0</v>
      </c>
      <c r="CC43" s="452">
        <f>MIN(SUM($L42:CC42)*$I$13-SUM($K43:CB43),CC42-SUM(Расчеты!CC1242:CC1243))</f>
        <v>0</v>
      </c>
      <c r="CD43" s="452">
        <f>MIN(SUM($L42:CD42)*$I$13-SUM($K43:CC43),CD42-SUM(Расчеты!CD1242:CD1243))</f>
        <v>0</v>
      </c>
      <c r="CE43" s="452">
        <f>MIN(SUM($L42:CE42)*$I$13-SUM($K43:CD43),CE42-SUM(Расчеты!CE1242:CE1243))</f>
        <v>0</v>
      </c>
      <c r="CF43" s="452">
        <f>MIN(SUM($L42:CF42)*$I$13-SUM($K43:CE43),CF42-SUM(Расчеты!CF1242:CF1243))</f>
        <v>0</v>
      </c>
      <c r="CG43" s="452">
        <f>MIN(SUM($L42:CG42)*$I$13-SUM($K43:CF43),CG42-SUM(Расчеты!CG1242:CG1243))</f>
        <v>0</v>
      </c>
      <c r="CH43" s="452">
        <f>MIN(SUM($L42:CH42)*$I$13-SUM($K43:CG43),CH42-SUM(Расчеты!CH1242:CH1243))</f>
        <v>0</v>
      </c>
      <c r="CI43" s="452">
        <f>MIN(SUM($L42:CI42)*$I$13-SUM($K43:CH43),CI42-SUM(Расчеты!CI1242:CI1243))</f>
        <v>0</v>
      </c>
      <c r="CJ43" s="452">
        <f>MIN(SUM($L42:CJ42)*$I$13-SUM($K43:CI43),CJ42-SUM(Расчеты!CJ1242:CJ1243))</f>
        <v>0</v>
      </c>
      <c r="CK43" s="452">
        <f>MIN(SUM($L42:CK42)*$I$13-SUM($K43:CJ43),CK42-SUM(Расчеты!CK1242:CK1243))</f>
        <v>0</v>
      </c>
      <c r="CL43" s="452">
        <f>MIN(SUM($L42:CL42)*$I$13-SUM($K43:CK43),CL42-SUM(Расчеты!CL1242:CL1243))</f>
        <v>0</v>
      </c>
      <c r="CM43" s="452">
        <f>MIN(SUM($L42:CM42)*$I$13-SUM($K43:CL43),CM42-SUM(Расчеты!CM1242:CM1243))</f>
        <v>0</v>
      </c>
      <c r="CN43" s="452">
        <f>MIN(SUM($L42:CN42)*$I$13-SUM($K43:CM43),CN42-SUM(Расчеты!CN1242:CN1243))</f>
        <v>0</v>
      </c>
      <c r="CO43" s="452">
        <f>MIN(SUM($L42:CO42)*$I$13-SUM($K43:CN43),CO42-SUM(Расчеты!CO1242:CO1243))</f>
        <v>0</v>
      </c>
    </row>
    <row r="44" spans="1:93" ht="15" customHeight="1">
      <c r="A44" s="47"/>
      <c r="B44" s="47"/>
      <c r="C44" s="156"/>
      <c r="D44" s="47"/>
      <c r="E44" s="419"/>
      <c r="F44" s="47"/>
      <c r="G44" s="321"/>
      <c r="H44" s="47"/>
      <c r="I44" s="47"/>
      <c r="J44" s="47"/>
      <c r="K44" s="47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</row>
    <row r="45" spans="1:93" ht="15" customHeight="1">
      <c r="A45" s="47"/>
      <c r="B45" s="47"/>
      <c r="C45" s="156" t="s">
        <v>961</v>
      </c>
      <c r="D45" s="47"/>
      <c r="E45" s="47"/>
      <c r="F45" s="47"/>
      <c r="G45" s="11" t="str">
        <f>Monetary_Unit</f>
        <v>тыс. руб.</v>
      </c>
      <c r="H45" s="47"/>
      <c r="I45" s="23">
        <f>SUM(L45:CO45)</f>
        <v>3058682.3180184551</v>
      </c>
      <c r="J45" s="47"/>
      <c r="K45" s="47"/>
      <c r="L45" s="10">
        <f xml:space="preserve"> Отчетность!L31 * L$54</f>
        <v>0</v>
      </c>
      <c r="M45" s="10">
        <f xml:space="preserve"> Отчетность!M31 * M$54</f>
        <v>0</v>
      </c>
      <c r="N45" s="10">
        <f xml:space="preserve"> Отчетность!N31 * N$54</f>
        <v>0</v>
      </c>
      <c r="O45" s="10">
        <f xml:space="preserve"> Отчетность!O31 * O$54</f>
        <v>0</v>
      </c>
      <c r="P45" s="10">
        <f xml:space="preserve"> Отчетность!P31 * P$54</f>
        <v>0</v>
      </c>
      <c r="Q45" s="10">
        <f xml:space="preserve"> Отчетность!Q31 * Q$54</f>
        <v>0</v>
      </c>
      <c r="R45" s="10">
        <f xml:space="preserve"> Отчетность!R31 * R$54</f>
        <v>0</v>
      </c>
      <c r="S45" s="10">
        <f xml:space="preserve"> Отчетность!S31 * S$54</f>
        <v>0</v>
      </c>
      <c r="T45" s="10">
        <f xml:space="preserve"> Отчетность!T31 * T$54</f>
        <v>0</v>
      </c>
      <c r="U45" s="10">
        <f xml:space="preserve"> Отчетность!U31 * U$54</f>
        <v>0</v>
      </c>
      <c r="V45" s="10">
        <f xml:space="preserve"> Отчетность!V31 * V$54</f>
        <v>0</v>
      </c>
      <c r="W45" s="10">
        <f xml:space="preserve"> Отчетность!W31 * W$54</f>
        <v>0</v>
      </c>
      <c r="X45" s="10">
        <f xml:space="preserve"> Отчетность!X31 * X$54</f>
        <v>0</v>
      </c>
      <c r="Y45" s="10">
        <f xml:space="preserve"> Отчетность!Y31 * Y$54</f>
        <v>0</v>
      </c>
      <c r="Z45" s="10">
        <f xml:space="preserve"> Отчетность!Z31 * Z$54</f>
        <v>0</v>
      </c>
      <c r="AA45" s="10">
        <f xml:space="preserve"> Отчетность!AA31 * AA$54</f>
        <v>0</v>
      </c>
      <c r="AB45" s="10">
        <f xml:space="preserve"> Отчетность!AB31 * AB$54</f>
        <v>0</v>
      </c>
      <c r="AC45" s="10">
        <f xml:space="preserve"> Отчетность!AC31 * AC$54</f>
        <v>0</v>
      </c>
      <c r="AD45" s="10">
        <f xml:space="preserve"> Отчетность!AD31 * AD$54</f>
        <v>0</v>
      </c>
      <c r="AE45" s="10">
        <f xml:space="preserve"> Отчетность!AE31 * AE$54</f>
        <v>0</v>
      </c>
      <c r="AF45" s="10">
        <f xml:space="preserve"> Отчетность!AF31 * AF$54</f>
        <v>0</v>
      </c>
      <c r="AG45" s="10">
        <f xml:space="preserve"> Отчетность!AG31 * AG$54</f>
        <v>0</v>
      </c>
      <c r="AH45" s="10">
        <f xml:space="preserve"> Отчетность!AH31 * AH$54</f>
        <v>0</v>
      </c>
      <c r="AI45" s="10">
        <f xml:space="preserve"> Отчетность!AI31 * AI$54</f>
        <v>0</v>
      </c>
      <c r="AJ45" s="10">
        <f xml:space="preserve"> Отчетность!AJ31 * AJ$54</f>
        <v>0</v>
      </c>
      <c r="AK45" s="10">
        <f xml:space="preserve"> Отчетность!AK31 * AK$54</f>
        <v>0</v>
      </c>
      <c r="AL45" s="10">
        <f xml:space="preserve"> Отчетность!AL31 * AL$54</f>
        <v>0</v>
      </c>
      <c r="AM45" s="10">
        <f xml:space="preserve"> Отчетность!AM31 * AM$54</f>
        <v>0</v>
      </c>
      <c r="AN45" s="10">
        <f xml:space="preserve"> Отчетность!AN31 * AN$54</f>
        <v>3058682.3180184551</v>
      </c>
      <c r="AO45" s="10">
        <f xml:space="preserve"> Отчетность!AO31 * AO$54</f>
        <v>0</v>
      </c>
      <c r="AP45" s="10">
        <f xml:space="preserve"> Отчетность!AP31 * AP$54</f>
        <v>0</v>
      </c>
      <c r="AQ45" s="10">
        <f xml:space="preserve"> Отчетность!AQ31 * AQ$54</f>
        <v>0</v>
      </c>
      <c r="AR45" s="10">
        <f xml:space="preserve"> Отчетность!AR31 * AR$54</f>
        <v>0</v>
      </c>
      <c r="AS45" s="10">
        <f xml:space="preserve"> Отчетность!AS31 * AS$54</f>
        <v>0</v>
      </c>
      <c r="AT45" s="10">
        <f xml:space="preserve"> Отчетность!AT31 * AT$54</f>
        <v>0</v>
      </c>
      <c r="AU45" s="10">
        <f xml:space="preserve"> Отчетность!AU31 * AU$54</f>
        <v>0</v>
      </c>
      <c r="AV45" s="10">
        <f xml:space="preserve"> Отчетность!AV31 * AV$54</f>
        <v>0</v>
      </c>
      <c r="AW45" s="10">
        <f xml:space="preserve"> Отчетность!AW31 * AW$54</f>
        <v>0</v>
      </c>
      <c r="AX45" s="10">
        <f xml:space="preserve"> Отчетность!AX31 * AX$54</f>
        <v>0</v>
      </c>
      <c r="AY45" s="10">
        <f xml:space="preserve"> Отчетность!AY31 * AY$54</f>
        <v>0</v>
      </c>
      <c r="AZ45" s="10">
        <f xml:space="preserve"> Отчетность!AZ31 * AZ$54</f>
        <v>0</v>
      </c>
      <c r="BA45" s="10">
        <f xml:space="preserve"> Отчетность!BA31 * BA$54</f>
        <v>0</v>
      </c>
      <c r="BB45" s="10">
        <f xml:space="preserve"> Отчетность!BB31 * BB$54</f>
        <v>0</v>
      </c>
      <c r="BC45" s="10">
        <f xml:space="preserve"> Отчетность!BC31 * BC$54</f>
        <v>0</v>
      </c>
      <c r="BD45" s="10">
        <f xml:space="preserve"> Отчетность!BD31 * BD$54</f>
        <v>0</v>
      </c>
      <c r="BE45" s="10">
        <f xml:space="preserve"> Отчетность!BE31 * BE$54</f>
        <v>0</v>
      </c>
      <c r="BF45" s="10">
        <f xml:space="preserve"> Отчетность!BF31 * BF$54</f>
        <v>0</v>
      </c>
      <c r="BG45" s="10">
        <f xml:space="preserve"> Отчетность!BG31 * BG$54</f>
        <v>0</v>
      </c>
      <c r="BH45" s="10">
        <f xml:space="preserve"> Отчетность!BH31 * BH$54</f>
        <v>0</v>
      </c>
      <c r="BI45" s="10">
        <f xml:space="preserve"> Отчетность!BI31 * BI$54</f>
        <v>0</v>
      </c>
      <c r="BJ45" s="10">
        <f xml:space="preserve"> Отчетность!BJ31 * BJ$54</f>
        <v>0</v>
      </c>
      <c r="BK45" s="10">
        <f xml:space="preserve"> Отчетность!BK31 * BK$54</f>
        <v>0</v>
      </c>
      <c r="BL45" s="10">
        <f xml:space="preserve"> Отчетность!BL31 * BL$54</f>
        <v>0</v>
      </c>
      <c r="BM45" s="10">
        <f xml:space="preserve"> Отчетность!BM31 * BM$54</f>
        <v>0</v>
      </c>
      <c r="BN45" s="10">
        <f xml:space="preserve"> Отчетность!BN31 * BN$54</f>
        <v>0</v>
      </c>
      <c r="BO45" s="10">
        <f xml:space="preserve"> Отчетность!BO31 * BO$54</f>
        <v>0</v>
      </c>
      <c r="BP45" s="10">
        <f xml:space="preserve"> Отчетность!BP31 * BP$54</f>
        <v>0</v>
      </c>
      <c r="BQ45" s="10">
        <f xml:space="preserve"> Отчетность!BQ31 * BQ$54</f>
        <v>0</v>
      </c>
      <c r="BR45" s="10">
        <f xml:space="preserve"> Отчетность!BR31 * BR$54</f>
        <v>0</v>
      </c>
      <c r="BS45" s="10">
        <f xml:space="preserve"> Отчетность!BS31 * BS$54</f>
        <v>0</v>
      </c>
      <c r="BT45" s="10">
        <f xml:space="preserve"> Отчетность!BT31 * BT$54</f>
        <v>0</v>
      </c>
      <c r="BU45" s="10">
        <f xml:space="preserve"> Отчетность!BU31 * BU$54</f>
        <v>0</v>
      </c>
      <c r="BV45" s="10">
        <f xml:space="preserve"> Отчетность!BV31 * BV$54</f>
        <v>0</v>
      </c>
      <c r="BW45" s="10">
        <f xml:space="preserve"> Отчетность!BW31 * BW$54</f>
        <v>0</v>
      </c>
      <c r="BX45" s="10">
        <f xml:space="preserve"> Отчетность!BX31 * BX$54</f>
        <v>0</v>
      </c>
      <c r="BY45" s="10">
        <f xml:space="preserve"> Отчетность!BY31 * BY$54</f>
        <v>0</v>
      </c>
      <c r="BZ45" s="10">
        <f xml:space="preserve"> Отчетность!BZ31 * BZ$54</f>
        <v>0</v>
      </c>
      <c r="CA45" s="10">
        <f xml:space="preserve"> Отчетность!CA31 * CA$54</f>
        <v>0</v>
      </c>
      <c r="CB45" s="10">
        <f xml:space="preserve"> Отчетность!CB31 * CB$54</f>
        <v>0</v>
      </c>
      <c r="CC45" s="10">
        <f xml:space="preserve"> Отчетность!CC31 * CC$54</f>
        <v>0</v>
      </c>
      <c r="CD45" s="10">
        <f xml:space="preserve"> Отчетность!CD31 * CD$54</f>
        <v>0</v>
      </c>
      <c r="CE45" s="10">
        <f xml:space="preserve"> Отчетность!CE31 * CE$54</f>
        <v>0</v>
      </c>
      <c r="CF45" s="10">
        <f xml:space="preserve"> Отчетность!CF31 * CF$54</f>
        <v>0</v>
      </c>
      <c r="CG45" s="10">
        <f xml:space="preserve"> Отчетность!CG31 * CG$54</f>
        <v>0</v>
      </c>
      <c r="CH45" s="10">
        <f xml:space="preserve"> Отчетность!CH31 * CH$54</f>
        <v>0</v>
      </c>
      <c r="CI45" s="10">
        <f xml:space="preserve"> Отчетность!CI31 * CI$54</f>
        <v>0</v>
      </c>
      <c r="CJ45" s="10">
        <f xml:space="preserve"> Отчетность!CJ31 * CJ$54</f>
        <v>0</v>
      </c>
      <c r="CK45" s="10">
        <f xml:space="preserve"> Отчетность!CK31 * CK$54</f>
        <v>0</v>
      </c>
      <c r="CL45" s="10">
        <f xml:space="preserve"> Отчетность!CL31 * CL$54</f>
        <v>0</v>
      </c>
      <c r="CM45" s="10">
        <f xml:space="preserve"> Отчетность!CM31 * CM$54</f>
        <v>0</v>
      </c>
      <c r="CN45" s="10">
        <f xml:space="preserve"> Отчетность!CN31 * CN$54</f>
        <v>0</v>
      </c>
      <c r="CO45" s="10">
        <f xml:space="preserve"> Отчетность!CO31 * CO$54</f>
        <v>0</v>
      </c>
    </row>
    <row r="46" spans="1:93" ht="15" customHeight="1">
      <c r="A46" s="47"/>
      <c r="B46" s="47"/>
      <c r="C46" s="156" t="s">
        <v>216</v>
      </c>
      <c r="D46" s="47"/>
      <c r="E46" s="47"/>
      <c r="F46" s="47"/>
      <c r="G46" s="11" t="str">
        <f>Monetary_Unit</f>
        <v>тыс. руб.</v>
      </c>
      <c r="H46" s="47"/>
      <c r="I46" s="23">
        <f ca="1">SUM(L46:CO46)</f>
        <v>104363.15485197087</v>
      </c>
      <c r="J46" s="47"/>
      <c r="K46" s="47"/>
      <c r="L46" s="452">
        <f t="shared" ref="L46:AQ46" ca="1" si="31" xml:space="preserve"> Cash_EoP * L$54</f>
        <v>0</v>
      </c>
      <c r="M46" s="452">
        <f t="shared" ca="1" si="31"/>
        <v>0</v>
      </c>
      <c r="N46" s="452">
        <f t="shared" ca="1" si="31"/>
        <v>0</v>
      </c>
      <c r="O46" s="452">
        <f t="shared" ca="1" si="31"/>
        <v>0</v>
      </c>
      <c r="P46" s="452">
        <f t="shared" ca="1" si="31"/>
        <v>0</v>
      </c>
      <c r="Q46" s="452">
        <f t="shared" ca="1" si="31"/>
        <v>0</v>
      </c>
      <c r="R46" s="452">
        <f t="shared" ca="1" si="31"/>
        <v>0</v>
      </c>
      <c r="S46" s="452">
        <f t="shared" ca="1" si="31"/>
        <v>0</v>
      </c>
      <c r="T46" s="452">
        <f t="shared" ca="1" si="31"/>
        <v>0</v>
      </c>
      <c r="U46" s="452">
        <f t="shared" ca="1" si="31"/>
        <v>0</v>
      </c>
      <c r="V46" s="452">
        <f t="shared" ca="1" si="31"/>
        <v>0</v>
      </c>
      <c r="W46" s="452">
        <f t="shared" ca="1" si="31"/>
        <v>0</v>
      </c>
      <c r="X46" s="452">
        <f t="shared" ca="1" si="31"/>
        <v>0</v>
      </c>
      <c r="Y46" s="452">
        <f t="shared" ca="1" si="31"/>
        <v>0</v>
      </c>
      <c r="Z46" s="452">
        <f t="shared" ca="1" si="31"/>
        <v>0</v>
      </c>
      <c r="AA46" s="452">
        <f t="shared" ca="1" si="31"/>
        <v>0</v>
      </c>
      <c r="AB46" s="452">
        <f t="shared" ca="1" si="31"/>
        <v>0</v>
      </c>
      <c r="AC46" s="452">
        <f t="shared" ca="1" si="31"/>
        <v>0</v>
      </c>
      <c r="AD46" s="452">
        <f t="shared" ca="1" si="31"/>
        <v>0</v>
      </c>
      <c r="AE46" s="452">
        <f t="shared" ca="1" si="31"/>
        <v>0</v>
      </c>
      <c r="AF46" s="452">
        <f t="shared" ca="1" si="31"/>
        <v>0</v>
      </c>
      <c r="AG46" s="452">
        <f t="shared" ca="1" si="31"/>
        <v>0</v>
      </c>
      <c r="AH46" s="452">
        <f t="shared" ca="1" si="31"/>
        <v>0</v>
      </c>
      <c r="AI46" s="452">
        <f t="shared" ca="1" si="31"/>
        <v>0</v>
      </c>
      <c r="AJ46" s="452">
        <f t="shared" ca="1" si="31"/>
        <v>0</v>
      </c>
      <c r="AK46" s="452">
        <f t="shared" ca="1" si="31"/>
        <v>0</v>
      </c>
      <c r="AL46" s="452">
        <f t="shared" ca="1" si="31"/>
        <v>0</v>
      </c>
      <c r="AM46" s="452">
        <f t="shared" ca="1" si="31"/>
        <v>0</v>
      </c>
      <c r="AN46" s="452">
        <f t="shared" ca="1" si="31"/>
        <v>104363.15485197087</v>
      </c>
      <c r="AO46" s="452">
        <f t="shared" ca="1" si="31"/>
        <v>0</v>
      </c>
      <c r="AP46" s="452">
        <f t="shared" ca="1" si="31"/>
        <v>0</v>
      </c>
      <c r="AQ46" s="452">
        <f t="shared" ca="1" si="31"/>
        <v>0</v>
      </c>
      <c r="AR46" s="452">
        <f t="shared" ref="AR46:BW46" ca="1" si="32" xml:space="preserve"> Cash_EoP * AR$54</f>
        <v>0</v>
      </c>
      <c r="AS46" s="452">
        <f t="shared" ca="1" si="32"/>
        <v>0</v>
      </c>
      <c r="AT46" s="452">
        <f t="shared" ca="1" si="32"/>
        <v>0</v>
      </c>
      <c r="AU46" s="452">
        <f t="shared" ca="1" si="32"/>
        <v>0</v>
      </c>
      <c r="AV46" s="452">
        <f t="shared" ca="1" si="32"/>
        <v>0</v>
      </c>
      <c r="AW46" s="452">
        <f t="shared" ca="1" si="32"/>
        <v>0</v>
      </c>
      <c r="AX46" s="452">
        <f t="shared" ca="1" si="32"/>
        <v>0</v>
      </c>
      <c r="AY46" s="452">
        <f t="shared" ca="1" si="32"/>
        <v>0</v>
      </c>
      <c r="AZ46" s="452">
        <f t="shared" ca="1" si="32"/>
        <v>0</v>
      </c>
      <c r="BA46" s="452">
        <f t="shared" ca="1" si="32"/>
        <v>0</v>
      </c>
      <c r="BB46" s="452">
        <f t="shared" ca="1" si="32"/>
        <v>0</v>
      </c>
      <c r="BC46" s="452">
        <f t="shared" ca="1" si="32"/>
        <v>0</v>
      </c>
      <c r="BD46" s="452">
        <f t="shared" ca="1" si="32"/>
        <v>0</v>
      </c>
      <c r="BE46" s="452">
        <f t="shared" ca="1" si="32"/>
        <v>0</v>
      </c>
      <c r="BF46" s="452">
        <f t="shared" ca="1" si="32"/>
        <v>0</v>
      </c>
      <c r="BG46" s="452">
        <f t="shared" ca="1" si="32"/>
        <v>0</v>
      </c>
      <c r="BH46" s="452">
        <f t="shared" ca="1" si="32"/>
        <v>0</v>
      </c>
      <c r="BI46" s="452">
        <f t="shared" ca="1" si="32"/>
        <v>0</v>
      </c>
      <c r="BJ46" s="452">
        <f t="shared" ca="1" si="32"/>
        <v>0</v>
      </c>
      <c r="BK46" s="452">
        <f t="shared" ca="1" si="32"/>
        <v>0</v>
      </c>
      <c r="BL46" s="452">
        <f t="shared" ca="1" si="32"/>
        <v>0</v>
      </c>
      <c r="BM46" s="452">
        <f t="shared" ca="1" si="32"/>
        <v>0</v>
      </c>
      <c r="BN46" s="452">
        <f t="shared" ca="1" si="32"/>
        <v>0</v>
      </c>
      <c r="BO46" s="452">
        <f t="shared" ca="1" si="32"/>
        <v>0</v>
      </c>
      <c r="BP46" s="452">
        <f t="shared" ca="1" si="32"/>
        <v>0</v>
      </c>
      <c r="BQ46" s="452">
        <f t="shared" ca="1" si="32"/>
        <v>0</v>
      </c>
      <c r="BR46" s="452">
        <f t="shared" ca="1" si="32"/>
        <v>0</v>
      </c>
      <c r="BS46" s="452">
        <f t="shared" ca="1" si="32"/>
        <v>0</v>
      </c>
      <c r="BT46" s="452">
        <f t="shared" ca="1" si="32"/>
        <v>0</v>
      </c>
      <c r="BU46" s="452">
        <f t="shared" ca="1" si="32"/>
        <v>0</v>
      </c>
      <c r="BV46" s="452">
        <f t="shared" ca="1" si="32"/>
        <v>0</v>
      </c>
      <c r="BW46" s="452">
        <f t="shared" ca="1" si="32"/>
        <v>0</v>
      </c>
      <c r="BX46" s="452">
        <f t="shared" ref="BX46:CO46" ca="1" si="33" xml:space="preserve"> Cash_EoP * BX$54</f>
        <v>0</v>
      </c>
      <c r="BY46" s="452">
        <f t="shared" ca="1" si="33"/>
        <v>0</v>
      </c>
      <c r="BZ46" s="452">
        <f t="shared" ca="1" si="33"/>
        <v>0</v>
      </c>
      <c r="CA46" s="452">
        <f t="shared" ca="1" si="33"/>
        <v>0</v>
      </c>
      <c r="CB46" s="452">
        <f t="shared" ca="1" si="33"/>
        <v>0</v>
      </c>
      <c r="CC46" s="452">
        <f t="shared" ca="1" si="33"/>
        <v>0</v>
      </c>
      <c r="CD46" s="452">
        <f t="shared" ca="1" si="33"/>
        <v>0</v>
      </c>
      <c r="CE46" s="452">
        <f t="shared" ca="1" si="33"/>
        <v>0</v>
      </c>
      <c r="CF46" s="452">
        <f t="shared" ca="1" si="33"/>
        <v>0</v>
      </c>
      <c r="CG46" s="452">
        <f t="shared" ca="1" si="33"/>
        <v>0</v>
      </c>
      <c r="CH46" s="452">
        <f t="shared" ca="1" si="33"/>
        <v>0</v>
      </c>
      <c r="CI46" s="452">
        <f t="shared" ca="1" si="33"/>
        <v>0</v>
      </c>
      <c r="CJ46" s="452">
        <f t="shared" ca="1" si="33"/>
        <v>0</v>
      </c>
      <c r="CK46" s="452">
        <f t="shared" ca="1" si="33"/>
        <v>0</v>
      </c>
      <c r="CL46" s="452">
        <f t="shared" ca="1" si="33"/>
        <v>0</v>
      </c>
      <c r="CM46" s="452">
        <f t="shared" ca="1" si="33"/>
        <v>0</v>
      </c>
      <c r="CN46" s="452">
        <f t="shared" ca="1" si="33"/>
        <v>0</v>
      </c>
      <c r="CO46" s="452">
        <f t="shared" ca="1" si="33"/>
        <v>0</v>
      </c>
    </row>
    <row r="47" spans="1:93" ht="15" customHeight="1">
      <c r="A47" s="47"/>
      <c r="B47" s="47"/>
      <c r="C47" s="156"/>
      <c r="D47" s="47"/>
      <c r="E47" s="47"/>
      <c r="F47" s="47"/>
      <c r="G47" s="321"/>
      <c r="H47" s="47"/>
      <c r="I47" s="47"/>
      <c r="J47" s="47"/>
      <c r="K47" s="47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</row>
    <row r="48" spans="1:93" ht="15" customHeight="1">
      <c r="A48" s="47"/>
      <c r="B48" s="47"/>
      <c r="C48" s="156" t="s">
        <v>166</v>
      </c>
      <c r="D48" s="47"/>
      <c r="E48" s="47"/>
      <c r="F48" s="47"/>
      <c r="G48" s="11" t="str">
        <f>Monetary_Unit</f>
        <v>тыс. руб.</v>
      </c>
      <c r="H48" s="47"/>
      <c r="I48" s="23">
        <f ca="1">SUM(L48:CO48)</f>
        <v>9928390.6209045984</v>
      </c>
      <c r="J48" s="47"/>
      <c r="K48" s="47"/>
      <c r="L48" s="452">
        <f t="shared" ref="L48:AQ48" ca="1" si="34" xml:space="preserve"> - Dividends</f>
        <v>0</v>
      </c>
      <c r="M48" s="452">
        <f t="shared" ca="1" si="34"/>
        <v>0</v>
      </c>
      <c r="N48" s="452">
        <f t="shared" ca="1" si="34"/>
        <v>0</v>
      </c>
      <c r="O48" s="452">
        <f t="shared" ca="1" si="34"/>
        <v>0</v>
      </c>
      <c r="P48" s="452">
        <f t="shared" ca="1" si="34"/>
        <v>0</v>
      </c>
      <c r="Q48" s="452">
        <f t="shared" ca="1" si="34"/>
        <v>0</v>
      </c>
      <c r="R48" s="452">
        <f t="shared" ca="1" si="34"/>
        <v>0</v>
      </c>
      <c r="S48" s="452">
        <f t="shared" ca="1" si="34"/>
        <v>0</v>
      </c>
      <c r="T48" s="452">
        <f t="shared" ca="1" si="34"/>
        <v>0</v>
      </c>
      <c r="U48" s="452">
        <f t="shared" ca="1" si="34"/>
        <v>0</v>
      </c>
      <c r="V48" s="452">
        <f t="shared" ca="1" si="34"/>
        <v>0</v>
      </c>
      <c r="W48" s="452">
        <f t="shared" ca="1" si="34"/>
        <v>0</v>
      </c>
      <c r="X48" s="452">
        <f t="shared" ca="1" si="34"/>
        <v>0</v>
      </c>
      <c r="Y48" s="452">
        <f t="shared" ca="1" si="34"/>
        <v>0</v>
      </c>
      <c r="Z48" s="452">
        <f t="shared" ca="1" si="34"/>
        <v>0</v>
      </c>
      <c r="AA48" s="452">
        <f t="shared" ca="1" si="34"/>
        <v>0</v>
      </c>
      <c r="AB48" s="452">
        <f t="shared" ca="1" si="34"/>
        <v>0</v>
      </c>
      <c r="AC48" s="452">
        <f t="shared" ca="1" si="34"/>
        <v>59050.396968304172</v>
      </c>
      <c r="AD48" s="452">
        <f t="shared" ca="1" si="34"/>
        <v>119023.22889081783</v>
      </c>
      <c r="AE48" s="452">
        <f t="shared" ca="1" si="34"/>
        <v>15387.84726569222</v>
      </c>
      <c r="AF48" s="452">
        <f t="shared" ca="1" si="34"/>
        <v>15602.228439205819</v>
      </c>
      <c r="AG48" s="452">
        <f t="shared" ca="1" si="34"/>
        <v>103528.78142452038</v>
      </c>
      <c r="AH48" s="452">
        <f t="shared" ca="1" si="34"/>
        <v>174633.84564213705</v>
      </c>
      <c r="AI48" s="452">
        <f t="shared" ca="1" si="34"/>
        <v>50450.080372379787</v>
      </c>
      <c r="AJ48" s="452">
        <f t="shared" ca="1" si="34"/>
        <v>49365.781800626079</v>
      </c>
      <c r="AK48" s="452">
        <f t="shared" ca="1" si="34"/>
        <v>151929.51476411583</v>
      </c>
      <c r="AL48" s="452">
        <f t="shared" ca="1" si="34"/>
        <v>234119.38886266688</v>
      </c>
      <c r="AM48" s="452">
        <f t="shared" ca="1" si="34"/>
        <v>87909.661208764373</v>
      </c>
      <c r="AN48" s="452">
        <f t="shared" ca="1" si="34"/>
        <v>87322.38730505429</v>
      </c>
      <c r="AO48" s="452">
        <f t="shared" ca="1" si="34"/>
        <v>154300.24168308536</v>
      </c>
      <c r="AP48" s="452">
        <f t="shared" ca="1" si="34"/>
        <v>141729.88994279964</v>
      </c>
      <c r="AQ48" s="452">
        <f t="shared" ca="1" si="34"/>
        <v>160798.98248832178</v>
      </c>
      <c r="AR48" s="452">
        <f t="shared" ref="AR48:BW48" ca="1" si="35" xml:space="preserve"> - Dividends</f>
        <v>61597.462780265138</v>
      </c>
      <c r="AS48" s="452">
        <f t="shared" ca="1" si="35"/>
        <v>61934.838676213985</v>
      </c>
      <c r="AT48" s="452">
        <f t="shared" ca="1" si="35"/>
        <v>152696.91451470894</v>
      </c>
      <c r="AU48" s="452">
        <f t="shared" ca="1" si="35"/>
        <v>166797.13908820559</v>
      </c>
      <c r="AV48" s="452">
        <f t="shared" ca="1" si="35"/>
        <v>64056.714336277917</v>
      </c>
      <c r="AW48" s="452">
        <f t="shared" ca="1" si="35"/>
        <v>107973.36274285452</v>
      </c>
      <c r="AX48" s="452">
        <f t="shared" ca="1" si="35"/>
        <v>84851.201995847252</v>
      </c>
      <c r="AY48" s="452">
        <f t="shared" ca="1" si="35"/>
        <v>10608.520906129328</v>
      </c>
      <c r="AZ48" s="452">
        <f t="shared" ca="1" si="35"/>
        <v>0</v>
      </c>
      <c r="BA48" s="452">
        <f t="shared" ca="1" si="35"/>
        <v>0</v>
      </c>
      <c r="BB48" s="452">
        <f t="shared" ca="1" si="35"/>
        <v>13965.406815549846</v>
      </c>
      <c r="BC48" s="452">
        <f t="shared" ca="1" si="35"/>
        <v>17715.546658842039</v>
      </c>
      <c r="BD48" s="452">
        <f t="shared" ca="1" si="35"/>
        <v>0</v>
      </c>
      <c r="BE48" s="452">
        <f t="shared" ca="1" si="35"/>
        <v>0</v>
      </c>
      <c r="BF48" s="452">
        <f t="shared" ca="1" si="35"/>
        <v>32964.281449141898</v>
      </c>
      <c r="BG48" s="452">
        <f t="shared" ca="1" si="35"/>
        <v>23187.540176706039</v>
      </c>
      <c r="BH48" s="452">
        <f t="shared" ca="1" si="35"/>
        <v>149271.3857948205</v>
      </c>
      <c r="BI48" s="452">
        <f t="shared" ca="1" si="35"/>
        <v>194467.00727934242</v>
      </c>
      <c r="BJ48" s="452">
        <f t="shared" ca="1" si="35"/>
        <v>263143.28819603729</v>
      </c>
      <c r="BK48" s="452">
        <f t="shared" ca="1" si="35"/>
        <v>215603.7609729098</v>
      </c>
      <c r="BL48" s="452">
        <f t="shared" ca="1" si="35"/>
        <v>155296.66139235115</v>
      </c>
      <c r="BM48" s="452">
        <f t="shared" ca="1" si="35"/>
        <v>202301.54613887856</v>
      </c>
      <c r="BN48" s="452">
        <f t="shared" ca="1" si="35"/>
        <v>273726.34847685776</v>
      </c>
      <c r="BO48" s="452">
        <f t="shared" ca="1" si="35"/>
        <v>211339.56051991874</v>
      </c>
      <c r="BP48" s="452">
        <f t="shared" ca="1" si="35"/>
        <v>149413.85129333788</v>
      </c>
      <c r="BQ48" s="452">
        <f t="shared" ca="1" si="35"/>
        <v>190474.5039588192</v>
      </c>
      <c r="BR48" s="452">
        <f t="shared" ca="1" si="35"/>
        <v>258984.87029722304</v>
      </c>
      <c r="BS48" s="452">
        <f t="shared" ca="1" si="35"/>
        <v>219743.48235772018</v>
      </c>
      <c r="BT48" s="452">
        <f t="shared" ca="1" si="35"/>
        <v>157749.91729861218</v>
      </c>
      <c r="BU48" s="452">
        <f t="shared" ca="1" si="35"/>
        <v>197317.58972668709</v>
      </c>
      <c r="BV48" s="452">
        <f t="shared" ca="1" si="35"/>
        <v>269303.81083330908</v>
      </c>
      <c r="BW48" s="452">
        <f t="shared" ca="1" si="35"/>
        <v>228492.77329331194</v>
      </c>
      <c r="BX48" s="452">
        <f t="shared" ref="BX48:CO48" ca="1" si="36" xml:space="preserve"> - Dividends</f>
        <v>161499.22810249944</v>
      </c>
      <c r="BY48" s="452">
        <f t="shared" ca="1" si="36"/>
        <v>205913.19083422472</v>
      </c>
      <c r="BZ48" s="452">
        <f t="shared" ca="1" si="36"/>
        <v>280016.72812416521</v>
      </c>
      <c r="CA48" s="452">
        <f t="shared" ca="1" si="36"/>
        <v>237573.24292879915</v>
      </c>
      <c r="CB48" s="452">
        <f t="shared" ca="1" si="36"/>
        <v>167906.9021982312</v>
      </c>
      <c r="CC48" s="452">
        <f t="shared" ca="1" si="36"/>
        <v>214098.72207169505</v>
      </c>
      <c r="CD48" s="452">
        <f t="shared" ca="1" si="36"/>
        <v>291167.7366661366</v>
      </c>
      <c r="CE48" s="452">
        <f t="shared" ca="1" si="36"/>
        <v>247026.51206295507</v>
      </c>
      <c r="CF48" s="452">
        <f t="shared" ca="1" si="36"/>
        <v>174570.84607735806</v>
      </c>
      <c r="CG48" s="452">
        <f t="shared" ca="1" si="36"/>
        <v>222611.67455866357</v>
      </c>
      <c r="CH48" s="452">
        <f t="shared" ca="1" si="36"/>
        <v>302764.78554978635</v>
      </c>
      <c r="CI48" s="452">
        <f t="shared" ca="1" si="36"/>
        <v>256857.91196247865</v>
      </c>
      <c r="CJ48" s="452">
        <f t="shared" ca="1" si="36"/>
        <v>184327.12636069866</v>
      </c>
      <c r="CK48" s="452">
        <f t="shared" ca="1" si="36"/>
        <v>230615.70664995754</v>
      </c>
      <c r="CL48" s="452">
        <f t="shared" ca="1" si="36"/>
        <v>314835.06059641473</v>
      </c>
      <c r="CM48" s="452">
        <f t="shared" ca="1" si="36"/>
        <v>267091.91898776783</v>
      </c>
      <c r="CN48" s="452">
        <f t="shared" ca="1" si="36"/>
        <v>188709.02758838091</v>
      </c>
      <c r="CO48" s="452">
        <f t="shared" ca="1" si="36"/>
        <v>240672.75455501606</v>
      </c>
    </row>
    <row r="49" spans="1:93" ht="15" customHeight="1">
      <c r="A49" s="47"/>
      <c r="B49" s="47"/>
      <c r="C49" s="47"/>
      <c r="D49" s="47"/>
      <c r="E49" s="47"/>
      <c r="F49" s="47"/>
      <c r="G49" s="321"/>
      <c r="H49" s="47"/>
      <c r="I49" s="47"/>
      <c r="J49" s="47"/>
      <c r="K49" s="47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</row>
    <row r="50" spans="1:93" s="141" customFormat="1" ht="15" customHeight="1" thickBot="1">
      <c r="A50" s="153"/>
      <c r="B50" s="153"/>
      <c r="C50" s="12" t="s">
        <v>981</v>
      </c>
      <c r="D50" s="12"/>
      <c r="E50" s="12"/>
      <c r="F50" s="12"/>
      <c r="G50" s="12"/>
      <c r="H50" s="12"/>
      <c r="I50" s="12"/>
      <c r="J50" s="153"/>
      <c r="K50" s="153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</row>
    <row r="51" spans="1:93" ht="15" customHeight="1">
      <c r="A51" s="47"/>
      <c r="B51" s="47"/>
      <c r="C51" s="47"/>
      <c r="D51" s="47"/>
      <c r="E51" s="47"/>
      <c r="F51" s="47"/>
      <c r="G51" s="321"/>
      <c r="H51" s="47"/>
      <c r="I51" s="47"/>
      <c r="J51" s="47"/>
      <c r="K51" s="47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</row>
    <row r="52" spans="1:93" ht="15" customHeight="1">
      <c r="A52" s="47"/>
      <c r="B52" s="47"/>
      <c r="C52" s="156" t="s">
        <v>947</v>
      </c>
      <c r="D52" s="47"/>
      <c r="E52" s="47"/>
      <c r="F52" s="47"/>
      <c r="G52" s="321" t="s">
        <v>954</v>
      </c>
      <c r="H52" s="47"/>
      <c r="I52" s="47"/>
      <c r="J52" s="47"/>
      <c r="K52" s="47"/>
      <c r="L52" s="10">
        <f t="shared" ref="L52:AE52" si="37">IF(L42=0,0,1)</f>
        <v>1</v>
      </c>
      <c r="M52" s="10">
        <f t="shared" si="37"/>
        <v>1</v>
      </c>
      <c r="N52" s="10">
        <f t="shared" si="37"/>
        <v>1</v>
      </c>
      <c r="O52" s="10">
        <f t="shared" si="37"/>
        <v>1</v>
      </c>
      <c r="P52" s="10">
        <f t="shared" si="37"/>
        <v>1</v>
      </c>
      <c r="Q52" s="10">
        <f t="shared" si="37"/>
        <v>1</v>
      </c>
      <c r="R52" s="10">
        <f t="shared" si="37"/>
        <v>1</v>
      </c>
      <c r="S52" s="10">
        <f t="shared" si="37"/>
        <v>1</v>
      </c>
      <c r="T52" s="10">
        <f t="shared" si="37"/>
        <v>1</v>
      </c>
      <c r="U52" s="10">
        <f t="shared" si="37"/>
        <v>1</v>
      </c>
      <c r="V52" s="10">
        <f t="shared" si="37"/>
        <v>1</v>
      </c>
      <c r="W52" s="10">
        <f t="shared" si="37"/>
        <v>1</v>
      </c>
      <c r="X52" s="10">
        <f t="shared" si="37"/>
        <v>1</v>
      </c>
      <c r="Y52" s="10">
        <f t="shared" si="37"/>
        <v>1</v>
      </c>
      <c r="Z52" s="10">
        <f t="shared" si="37"/>
        <v>1</v>
      </c>
      <c r="AA52" s="10">
        <f t="shared" si="37"/>
        <v>1</v>
      </c>
      <c r="AB52" s="10">
        <f t="shared" si="37"/>
        <v>1</v>
      </c>
      <c r="AC52" s="10">
        <f t="shared" si="37"/>
        <v>0</v>
      </c>
      <c r="AD52" s="10">
        <f t="shared" si="37"/>
        <v>0</v>
      </c>
      <c r="AE52" s="10">
        <f t="shared" si="37"/>
        <v>0</v>
      </c>
      <c r="AF52" s="10">
        <f t="shared" ref="AF52" si="38">IF(AF42=0,0,1)</f>
        <v>0</v>
      </c>
      <c r="AG52" s="10">
        <f t="shared" ref="AG52:CO52" si="39">IF(AG42=0,0,1)</f>
        <v>0</v>
      </c>
      <c r="AH52" s="10">
        <f t="shared" si="39"/>
        <v>0</v>
      </c>
      <c r="AI52" s="10">
        <f t="shared" si="39"/>
        <v>0</v>
      </c>
      <c r="AJ52" s="10">
        <f t="shared" si="39"/>
        <v>0</v>
      </c>
      <c r="AK52" s="10">
        <f t="shared" si="39"/>
        <v>0</v>
      </c>
      <c r="AL52" s="10">
        <f t="shared" si="39"/>
        <v>0</v>
      </c>
      <c r="AM52" s="10">
        <f t="shared" si="39"/>
        <v>0</v>
      </c>
      <c r="AN52" s="10">
        <f t="shared" si="39"/>
        <v>0</v>
      </c>
      <c r="AO52" s="10">
        <f t="shared" si="39"/>
        <v>0</v>
      </c>
      <c r="AP52" s="10">
        <f t="shared" si="39"/>
        <v>0</v>
      </c>
      <c r="AQ52" s="10">
        <f t="shared" si="39"/>
        <v>0</v>
      </c>
      <c r="AR52" s="10">
        <f t="shared" si="39"/>
        <v>0</v>
      </c>
      <c r="AS52" s="10">
        <f t="shared" si="39"/>
        <v>0</v>
      </c>
      <c r="AT52" s="10">
        <f t="shared" si="39"/>
        <v>0</v>
      </c>
      <c r="AU52" s="10">
        <f t="shared" si="39"/>
        <v>0</v>
      </c>
      <c r="AV52" s="10">
        <f t="shared" si="39"/>
        <v>0</v>
      </c>
      <c r="AW52" s="10">
        <f t="shared" si="39"/>
        <v>0</v>
      </c>
      <c r="AX52" s="10">
        <f t="shared" si="39"/>
        <v>0</v>
      </c>
      <c r="AY52" s="10">
        <f t="shared" si="39"/>
        <v>0</v>
      </c>
      <c r="AZ52" s="10">
        <f t="shared" si="39"/>
        <v>0</v>
      </c>
      <c r="BA52" s="10">
        <f t="shared" si="39"/>
        <v>0</v>
      </c>
      <c r="BB52" s="10">
        <f t="shared" si="39"/>
        <v>0</v>
      </c>
      <c r="BC52" s="10">
        <f t="shared" si="39"/>
        <v>0</v>
      </c>
      <c r="BD52" s="10">
        <f t="shared" si="39"/>
        <v>0</v>
      </c>
      <c r="BE52" s="10">
        <f t="shared" si="39"/>
        <v>0</v>
      </c>
      <c r="BF52" s="10">
        <f t="shared" si="39"/>
        <v>0</v>
      </c>
      <c r="BG52" s="10">
        <f t="shared" si="39"/>
        <v>0</v>
      </c>
      <c r="BH52" s="10">
        <f t="shared" si="39"/>
        <v>0</v>
      </c>
      <c r="BI52" s="10">
        <f t="shared" si="39"/>
        <v>0</v>
      </c>
      <c r="BJ52" s="10">
        <f t="shared" si="39"/>
        <v>0</v>
      </c>
      <c r="BK52" s="10">
        <f t="shared" si="39"/>
        <v>0</v>
      </c>
      <c r="BL52" s="10">
        <f t="shared" si="39"/>
        <v>0</v>
      </c>
      <c r="BM52" s="10">
        <f t="shared" si="39"/>
        <v>0</v>
      </c>
      <c r="BN52" s="10">
        <f t="shared" si="39"/>
        <v>0</v>
      </c>
      <c r="BO52" s="10">
        <f t="shared" si="39"/>
        <v>0</v>
      </c>
      <c r="BP52" s="10">
        <f t="shared" si="39"/>
        <v>0</v>
      </c>
      <c r="BQ52" s="10">
        <f t="shared" si="39"/>
        <v>0</v>
      </c>
      <c r="BR52" s="10">
        <f t="shared" si="39"/>
        <v>0</v>
      </c>
      <c r="BS52" s="10">
        <f t="shared" si="39"/>
        <v>0</v>
      </c>
      <c r="BT52" s="10">
        <f t="shared" si="39"/>
        <v>0</v>
      </c>
      <c r="BU52" s="10">
        <f t="shared" si="39"/>
        <v>0</v>
      </c>
      <c r="BV52" s="10">
        <f t="shared" si="39"/>
        <v>0</v>
      </c>
      <c r="BW52" s="10">
        <f t="shared" si="39"/>
        <v>0</v>
      </c>
      <c r="BX52" s="10">
        <f t="shared" si="39"/>
        <v>0</v>
      </c>
      <c r="BY52" s="10">
        <f t="shared" si="39"/>
        <v>0</v>
      </c>
      <c r="BZ52" s="10">
        <f t="shared" si="39"/>
        <v>0</v>
      </c>
      <c r="CA52" s="10">
        <f t="shared" si="39"/>
        <v>0</v>
      </c>
      <c r="CB52" s="10">
        <f t="shared" si="39"/>
        <v>0</v>
      </c>
      <c r="CC52" s="10">
        <f t="shared" si="39"/>
        <v>0</v>
      </c>
      <c r="CD52" s="10">
        <f t="shared" si="39"/>
        <v>0</v>
      </c>
      <c r="CE52" s="10">
        <f t="shared" si="39"/>
        <v>0</v>
      </c>
      <c r="CF52" s="10">
        <f t="shared" si="39"/>
        <v>0</v>
      </c>
      <c r="CG52" s="10">
        <f t="shared" si="39"/>
        <v>0</v>
      </c>
      <c r="CH52" s="10">
        <f t="shared" si="39"/>
        <v>0</v>
      </c>
      <c r="CI52" s="10">
        <f t="shared" si="39"/>
        <v>0</v>
      </c>
      <c r="CJ52" s="10">
        <f t="shared" si="39"/>
        <v>0</v>
      </c>
      <c r="CK52" s="10">
        <f t="shared" si="39"/>
        <v>0</v>
      </c>
      <c r="CL52" s="10">
        <f t="shared" si="39"/>
        <v>0</v>
      </c>
      <c r="CM52" s="10">
        <f t="shared" si="39"/>
        <v>0</v>
      </c>
      <c r="CN52" s="10">
        <f t="shared" si="39"/>
        <v>0</v>
      </c>
      <c r="CO52" s="10">
        <f t="shared" si="39"/>
        <v>0</v>
      </c>
    </row>
    <row r="53" spans="1:93" ht="15" customHeight="1">
      <c r="A53" s="47"/>
      <c r="B53" s="47"/>
      <c r="C53" s="156" t="s">
        <v>948</v>
      </c>
      <c r="D53" s="47"/>
      <c r="E53" s="47"/>
      <c r="F53" s="47"/>
      <c r="G53" s="321" t="s">
        <v>954</v>
      </c>
      <c r="H53" s="47"/>
      <c r="I53" s="47"/>
      <c r="J53" s="47"/>
      <c r="K53" s="47"/>
      <c r="L53" s="10">
        <f t="shared" ref="L53:BW53" si="40" xml:space="preserve"> (L$8 &lt;= $I$16) * Flag_Forecast</f>
        <v>1</v>
      </c>
      <c r="M53" s="10">
        <f t="shared" si="40"/>
        <v>1</v>
      </c>
      <c r="N53" s="10">
        <f t="shared" si="40"/>
        <v>1</v>
      </c>
      <c r="O53" s="10">
        <f t="shared" si="40"/>
        <v>1</v>
      </c>
      <c r="P53" s="10">
        <f t="shared" si="40"/>
        <v>1</v>
      </c>
      <c r="Q53" s="10">
        <f t="shared" si="40"/>
        <v>1</v>
      </c>
      <c r="R53" s="10">
        <f t="shared" si="40"/>
        <v>1</v>
      </c>
      <c r="S53" s="10">
        <f t="shared" si="40"/>
        <v>1</v>
      </c>
      <c r="T53" s="10">
        <f t="shared" si="40"/>
        <v>1</v>
      </c>
      <c r="U53" s="10">
        <f t="shared" si="40"/>
        <v>1</v>
      </c>
      <c r="V53" s="10">
        <f t="shared" si="40"/>
        <v>1</v>
      </c>
      <c r="W53" s="10">
        <f t="shared" si="40"/>
        <v>1</v>
      </c>
      <c r="X53" s="10">
        <f t="shared" si="40"/>
        <v>1</v>
      </c>
      <c r="Y53" s="10">
        <f t="shared" si="40"/>
        <v>1</v>
      </c>
      <c r="Z53" s="10">
        <f t="shared" si="40"/>
        <v>1</v>
      </c>
      <c r="AA53" s="10">
        <f t="shared" si="40"/>
        <v>1</v>
      </c>
      <c r="AB53" s="10">
        <f t="shared" si="40"/>
        <v>1</v>
      </c>
      <c r="AC53" s="10">
        <f t="shared" si="40"/>
        <v>1</v>
      </c>
      <c r="AD53" s="10">
        <f t="shared" si="40"/>
        <v>1</v>
      </c>
      <c r="AE53" s="10">
        <f t="shared" si="40"/>
        <v>1</v>
      </c>
      <c r="AF53" s="10">
        <f t="shared" si="40"/>
        <v>1</v>
      </c>
      <c r="AG53" s="10">
        <f t="shared" si="40"/>
        <v>1</v>
      </c>
      <c r="AH53" s="10">
        <f t="shared" si="40"/>
        <v>1</v>
      </c>
      <c r="AI53" s="10">
        <f t="shared" si="40"/>
        <v>1</v>
      </c>
      <c r="AJ53" s="10">
        <f t="shared" si="40"/>
        <v>1</v>
      </c>
      <c r="AK53" s="10">
        <f t="shared" si="40"/>
        <v>1</v>
      </c>
      <c r="AL53" s="10">
        <f t="shared" si="40"/>
        <v>1</v>
      </c>
      <c r="AM53" s="10">
        <f t="shared" si="40"/>
        <v>1</v>
      </c>
      <c r="AN53" s="10">
        <f t="shared" si="40"/>
        <v>1</v>
      </c>
      <c r="AO53" s="10">
        <f t="shared" si="40"/>
        <v>0</v>
      </c>
      <c r="AP53" s="10">
        <f t="shared" si="40"/>
        <v>0</v>
      </c>
      <c r="AQ53" s="10">
        <f t="shared" si="40"/>
        <v>0</v>
      </c>
      <c r="AR53" s="10">
        <f t="shared" si="40"/>
        <v>0</v>
      </c>
      <c r="AS53" s="10">
        <f t="shared" si="40"/>
        <v>0</v>
      </c>
      <c r="AT53" s="10">
        <f t="shared" si="40"/>
        <v>0</v>
      </c>
      <c r="AU53" s="10">
        <f t="shared" si="40"/>
        <v>0</v>
      </c>
      <c r="AV53" s="10">
        <f t="shared" si="40"/>
        <v>0</v>
      </c>
      <c r="AW53" s="10">
        <f t="shared" si="40"/>
        <v>0</v>
      </c>
      <c r="AX53" s="10">
        <f t="shared" si="40"/>
        <v>0</v>
      </c>
      <c r="AY53" s="10">
        <f t="shared" si="40"/>
        <v>0</v>
      </c>
      <c r="AZ53" s="10">
        <f t="shared" si="40"/>
        <v>0</v>
      </c>
      <c r="BA53" s="10">
        <f t="shared" si="40"/>
        <v>0</v>
      </c>
      <c r="BB53" s="10">
        <f t="shared" si="40"/>
        <v>0</v>
      </c>
      <c r="BC53" s="10">
        <f t="shared" si="40"/>
        <v>0</v>
      </c>
      <c r="BD53" s="10">
        <f t="shared" si="40"/>
        <v>0</v>
      </c>
      <c r="BE53" s="10">
        <f t="shared" si="40"/>
        <v>0</v>
      </c>
      <c r="BF53" s="10">
        <f t="shared" si="40"/>
        <v>0</v>
      </c>
      <c r="BG53" s="10">
        <f t="shared" si="40"/>
        <v>0</v>
      </c>
      <c r="BH53" s="10">
        <f t="shared" si="40"/>
        <v>0</v>
      </c>
      <c r="BI53" s="10">
        <f t="shared" si="40"/>
        <v>0</v>
      </c>
      <c r="BJ53" s="10">
        <f t="shared" si="40"/>
        <v>0</v>
      </c>
      <c r="BK53" s="10">
        <f t="shared" si="40"/>
        <v>0</v>
      </c>
      <c r="BL53" s="10">
        <f t="shared" si="40"/>
        <v>0</v>
      </c>
      <c r="BM53" s="10">
        <f t="shared" si="40"/>
        <v>0</v>
      </c>
      <c r="BN53" s="10">
        <f t="shared" si="40"/>
        <v>0</v>
      </c>
      <c r="BO53" s="10">
        <f t="shared" si="40"/>
        <v>0</v>
      </c>
      <c r="BP53" s="10">
        <f t="shared" si="40"/>
        <v>0</v>
      </c>
      <c r="BQ53" s="10">
        <f t="shared" si="40"/>
        <v>0</v>
      </c>
      <c r="BR53" s="10">
        <f t="shared" si="40"/>
        <v>0</v>
      </c>
      <c r="BS53" s="10">
        <f t="shared" si="40"/>
        <v>0</v>
      </c>
      <c r="BT53" s="10">
        <f t="shared" si="40"/>
        <v>0</v>
      </c>
      <c r="BU53" s="10">
        <f t="shared" si="40"/>
        <v>0</v>
      </c>
      <c r="BV53" s="10">
        <f t="shared" si="40"/>
        <v>0</v>
      </c>
      <c r="BW53" s="10">
        <f t="shared" si="40"/>
        <v>0</v>
      </c>
      <c r="BX53" s="10">
        <f t="shared" ref="BX53:CO53" si="41" xml:space="preserve"> (BX$8 &lt;= $I$16) * Flag_Forecast</f>
        <v>0</v>
      </c>
      <c r="BY53" s="10">
        <f t="shared" si="41"/>
        <v>0</v>
      </c>
      <c r="BZ53" s="10">
        <f t="shared" si="41"/>
        <v>0</v>
      </c>
      <c r="CA53" s="10">
        <f t="shared" si="41"/>
        <v>0</v>
      </c>
      <c r="CB53" s="10">
        <f t="shared" si="41"/>
        <v>0</v>
      </c>
      <c r="CC53" s="10">
        <f t="shared" si="41"/>
        <v>0</v>
      </c>
      <c r="CD53" s="10">
        <f t="shared" si="41"/>
        <v>0</v>
      </c>
      <c r="CE53" s="10">
        <f t="shared" si="41"/>
        <v>0</v>
      </c>
      <c r="CF53" s="10">
        <f t="shared" si="41"/>
        <v>0</v>
      </c>
      <c r="CG53" s="10">
        <f t="shared" si="41"/>
        <v>0</v>
      </c>
      <c r="CH53" s="10">
        <f t="shared" si="41"/>
        <v>0</v>
      </c>
      <c r="CI53" s="10">
        <f t="shared" si="41"/>
        <v>0</v>
      </c>
      <c r="CJ53" s="10">
        <f t="shared" si="41"/>
        <v>0</v>
      </c>
      <c r="CK53" s="10">
        <f t="shared" si="41"/>
        <v>0</v>
      </c>
      <c r="CL53" s="10">
        <f t="shared" si="41"/>
        <v>0</v>
      </c>
      <c r="CM53" s="10">
        <f t="shared" si="41"/>
        <v>0</v>
      </c>
      <c r="CN53" s="10">
        <f t="shared" si="41"/>
        <v>0</v>
      </c>
      <c r="CO53" s="10">
        <f t="shared" si="41"/>
        <v>0</v>
      </c>
    </row>
    <row r="54" spans="1:93" ht="15" customHeight="1">
      <c r="A54" s="47"/>
      <c r="B54" s="47"/>
      <c r="C54" s="156" t="s">
        <v>982</v>
      </c>
      <c r="D54" s="47"/>
      <c r="E54" s="47"/>
      <c r="F54" s="47"/>
      <c r="G54" s="321" t="s">
        <v>954</v>
      </c>
      <c r="H54" s="47"/>
      <c r="I54" s="47"/>
      <c r="J54" s="47"/>
      <c r="K54" s="47"/>
      <c r="L54" s="10">
        <f t="shared" ref="L54:AE54" si="42" xml:space="preserve"> ($I$16 &lt;= L8) * ($I$16 &gt; L7)</f>
        <v>0</v>
      </c>
      <c r="M54" s="10">
        <f t="shared" si="42"/>
        <v>0</v>
      </c>
      <c r="N54" s="10">
        <f t="shared" si="42"/>
        <v>0</v>
      </c>
      <c r="O54" s="10">
        <f t="shared" si="42"/>
        <v>0</v>
      </c>
      <c r="P54" s="10">
        <f t="shared" si="42"/>
        <v>0</v>
      </c>
      <c r="Q54" s="10">
        <f t="shared" si="42"/>
        <v>0</v>
      </c>
      <c r="R54" s="10">
        <f t="shared" si="42"/>
        <v>0</v>
      </c>
      <c r="S54" s="10">
        <f t="shared" si="42"/>
        <v>0</v>
      </c>
      <c r="T54" s="10">
        <f t="shared" si="42"/>
        <v>0</v>
      </c>
      <c r="U54" s="10">
        <f t="shared" si="42"/>
        <v>0</v>
      </c>
      <c r="V54" s="10">
        <f t="shared" si="42"/>
        <v>0</v>
      </c>
      <c r="W54" s="10">
        <f t="shared" si="42"/>
        <v>0</v>
      </c>
      <c r="X54" s="10">
        <f t="shared" si="42"/>
        <v>0</v>
      </c>
      <c r="Y54" s="10">
        <f t="shared" si="42"/>
        <v>0</v>
      </c>
      <c r="Z54" s="10">
        <f t="shared" si="42"/>
        <v>0</v>
      </c>
      <c r="AA54" s="10">
        <f t="shared" si="42"/>
        <v>0</v>
      </c>
      <c r="AB54" s="10">
        <f t="shared" si="42"/>
        <v>0</v>
      </c>
      <c r="AC54" s="10">
        <f t="shared" si="42"/>
        <v>0</v>
      </c>
      <c r="AD54" s="10">
        <f t="shared" si="42"/>
        <v>0</v>
      </c>
      <c r="AE54" s="10">
        <f t="shared" si="42"/>
        <v>0</v>
      </c>
      <c r="AF54" s="10">
        <f t="shared" ref="AF54" si="43" xml:space="preserve"> ($I$16 &lt;= AF8) * ($I$16 &gt; AF7)</f>
        <v>0</v>
      </c>
      <c r="AG54" s="10">
        <f t="shared" ref="AG54:CO54" si="44" xml:space="preserve"> ($I$16 &lt;= AG8) * ($I$16 &gt; AG7)</f>
        <v>0</v>
      </c>
      <c r="AH54" s="10">
        <f t="shared" si="44"/>
        <v>0</v>
      </c>
      <c r="AI54" s="10">
        <f t="shared" si="44"/>
        <v>0</v>
      </c>
      <c r="AJ54" s="10">
        <f t="shared" si="44"/>
        <v>0</v>
      </c>
      <c r="AK54" s="10">
        <f t="shared" si="44"/>
        <v>0</v>
      </c>
      <c r="AL54" s="10">
        <f t="shared" si="44"/>
        <v>0</v>
      </c>
      <c r="AM54" s="10">
        <f t="shared" si="44"/>
        <v>0</v>
      </c>
      <c r="AN54" s="10">
        <f t="shared" si="44"/>
        <v>1</v>
      </c>
      <c r="AO54" s="10">
        <f t="shared" si="44"/>
        <v>0</v>
      </c>
      <c r="AP54" s="10">
        <f t="shared" si="44"/>
        <v>0</v>
      </c>
      <c r="AQ54" s="10">
        <f t="shared" si="44"/>
        <v>0</v>
      </c>
      <c r="AR54" s="10">
        <f t="shared" si="44"/>
        <v>0</v>
      </c>
      <c r="AS54" s="10">
        <f t="shared" si="44"/>
        <v>0</v>
      </c>
      <c r="AT54" s="10">
        <f t="shared" si="44"/>
        <v>0</v>
      </c>
      <c r="AU54" s="10">
        <f t="shared" si="44"/>
        <v>0</v>
      </c>
      <c r="AV54" s="10">
        <f t="shared" si="44"/>
        <v>0</v>
      </c>
      <c r="AW54" s="10">
        <f t="shared" si="44"/>
        <v>0</v>
      </c>
      <c r="AX54" s="10">
        <f t="shared" si="44"/>
        <v>0</v>
      </c>
      <c r="AY54" s="10">
        <f t="shared" si="44"/>
        <v>0</v>
      </c>
      <c r="AZ54" s="10">
        <f t="shared" si="44"/>
        <v>0</v>
      </c>
      <c r="BA54" s="10">
        <f t="shared" si="44"/>
        <v>0</v>
      </c>
      <c r="BB54" s="10">
        <f t="shared" si="44"/>
        <v>0</v>
      </c>
      <c r="BC54" s="10">
        <f t="shared" si="44"/>
        <v>0</v>
      </c>
      <c r="BD54" s="10">
        <f t="shared" si="44"/>
        <v>0</v>
      </c>
      <c r="BE54" s="10">
        <f t="shared" si="44"/>
        <v>0</v>
      </c>
      <c r="BF54" s="10">
        <f t="shared" si="44"/>
        <v>0</v>
      </c>
      <c r="BG54" s="10">
        <f t="shared" si="44"/>
        <v>0</v>
      </c>
      <c r="BH54" s="10">
        <f t="shared" si="44"/>
        <v>0</v>
      </c>
      <c r="BI54" s="10">
        <f t="shared" si="44"/>
        <v>0</v>
      </c>
      <c r="BJ54" s="10">
        <f t="shared" si="44"/>
        <v>0</v>
      </c>
      <c r="BK54" s="10">
        <f t="shared" si="44"/>
        <v>0</v>
      </c>
      <c r="BL54" s="10">
        <f t="shared" si="44"/>
        <v>0</v>
      </c>
      <c r="BM54" s="10">
        <f t="shared" si="44"/>
        <v>0</v>
      </c>
      <c r="BN54" s="10">
        <f t="shared" si="44"/>
        <v>0</v>
      </c>
      <c r="BO54" s="10">
        <f t="shared" si="44"/>
        <v>0</v>
      </c>
      <c r="BP54" s="10">
        <f t="shared" si="44"/>
        <v>0</v>
      </c>
      <c r="BQ54" s="10">
        <f t="shared" si="44"/>
        <v>0</v>
      </c>
      <c r="BR54" s="10">
        <f t="shared" si="44"/>
        <v>0</v>
      </c>
      <c r="BS54" s="10">
        <f t="shared" si="44"/>
        <v>0</v>
      </c>
      <c r="BT54" s="10">
        <f t="shared" si="44"/>
        <v>0</v>
      </c>
      <c r="BU54" s="10">
        <f t="shared" si="44"/>
        <v>0</v>
      </c>
      <c r="BV54" s="10">
        <f t="shared" si="44"/>
        <v>0</v>
      </c>
      <c r="BW54" s="10">
        <f t="shared" si="44"/>
        <v>0</v>
      </c>
      <c r="BX54" s="10">
        <f t="shared" si="44"/>
        <v>0</v>
      </c>
      <c r="BY54" s="10">
        <f t="shared" si="44"/>
        <v>0</v>
      </c>
      <c r="BZ54" s="10">
        <f t="shared" si="44"/>
        <v>0</v>
      </c>
      <c r="CA54" s="10">
        <f t="shared" si="44"/>
        <v>0</v>
      </c>
      <c r="CB54" s="10">
        <f t="shared" si="44"/>
        <v>0</v>
      </c>
      <c r="CC54" s="10">
        <f t="shared" si="44"/>
        <v>0</v>
      </c>
      <c r="CD54" s="10">
        <f t="shared" si="44"/>
        <v>0</v>
      </c>
      <c r="CE54" s="10">
        <f t="shared" si="44"/>
        <v>0</v>
      </c>
      <c r="CF54" s="10">
        <f t="shared" si="44"/>
        <v>0</v>
      </c>
      <c r="CG54" s="10">
        <f t="shared" si="44"/>
        <v>0</v>
      </c>
      <c r="CH54" s="10">
        <f t="shared" si="44"/>
        <v>0</v>
      </c>
      <c r="CI54" s="10">
        <f t="shared" si="44"/>
        <v>0</v>
      </c>
      <c r="CJ54" s="10">
        <f t="shared" si="44"/>
        <v>0</v>
      </c>
      <c r="CK54" s="10">
        <f t="shared" si="44"/>
        <v>0</v>
      </c>
      <c r="CL54" s="10">
        <f t="shared" si="44"/>
        <v>0</v>
      </c>
      <c r="CM54" s="10">
        <f t="shared" si="44"/>
        <v>0</v>
      </c>
      <c r="CN54" s="10">
        <f t="shared" si="44"/>
        <v>0</v>
      </c>
      <c r="CO54" s="10">
        <f t="shared" si="44"/>
        <v>0</v>
      </c>
    </row>
    <row r="55" spans="1:93" ht="15" customHeight="1">
      <c r="A55" s="47"/>
      <c r="B55" s="47"/>
      <c r="C55" s="47"/>
      <c r="D55" s="47"/>
      <c r="E55" s="47"/>
      <c r="F55" s="47"/>
      <c r="G55" s="321"/>
      <c r="H55" s="47"/>
      <c r="I55" s="47"/>
      <c r="J55" s="47"/>
      <c r="K55" s="47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</row>
    <row r="56" spans="1:93" s="141" customFormat="1" ht="15" customHeight="1" thickBot="1">
      <c r="A56" s="153"/>
      <c r="B56" s="153"/>
      <c r="C56" s="12" t="s">
        <v>973</v>
      </c>
      <c r="D56" s="12"/>
      <c r="E56" s="12"/>
      <c r="F56" s="12"/>
      <c r="G56" s="12"/>
      <c r="H56" s="12"/>
      <c r="I56" s="12"/>
      <c r="J56" s="153"/>
      <c r="K56" s="153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</row>
    <row r="57" spans="1:93" ht="15" customHeight="1">
      <c r="A57" s="47"/>
      <c r="B57" s="47"/>
      <c r="C57" s="47"/>
      <c r="D57" s="47"/>
      <c r="E57" s="47"/>
      <c r="F57" s="47"/>
      <c r="G57" s="321"/>
      <c r="H57" s="47"/>
      <c r="I57" s="47"/>
      <c r="J57" s="47"/>
      <c r="K57" s="47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</row>
    <row r="58" spans="1:93" ht="15" customHeight="1">
      <c r="A58" s="47"/>
      <c r="B58" s="47"/>
      <c r="C58" s="10" t="s">
        <v>953</v>
      </c>
      <c r="D58" s="153"/>
      <c r="E58" s="11"/>
      <c r="F58" s="11"/>
      <c r="G58" s="11" t="s">
        <v>28</v>
      </c>
      <c r="H58" s="153"/>
      <c r="I58" s="309">
        <f ca="1" xml:space="preserve"> I18</f>
        <v>0.21537282136279923</v>
      </c>
      <c r="J58" s="153"/>
      <c r="K58" s="153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</row>
    <row r="59" spans="1:93" ht="15" customHeight="1">
      <c r="A59" s="47"/>
      <c r="B59" s="47"/>
      <c r="C59" s="10" t="s">
        <v>1127</v>
      </c>
      <c r="D59" s="153"/>
      <c r="E59" s="11"/>
      <c r="F59" s="11"/>
      <c r="G59" s="11" t="s">
        <v>378</v>
      </c>
      <c r="H59" s="153"/>
      <c r="I59" s="184">
        <f>Предпосылки!E624</f>
        <v>1</v>
      </c>
      <c r="J59" s="153"/>
      <c r="K59" s="153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 ht="15" customHeight="1">
      <c r="A60" s="47"/>
      <c r="B60" s="47"/>
      <c r="C60" s="10" t="s">
        <v>974</v>
      </c>
      <c r="D60" s="153"/>
      <c r="E60" s="11"/>
      <c r="F60" s="11"/>
      <c r="G60" s="11"/>
      <c r="H60" s="153"/>
      <c r="I60" s="154"/>
      <c r="J60" s="153"/>
      <c r="K60" s="153"/>
      <c r="L60" s="151">
        <f>IF(SUM($K$54:K54)&gt;0,K60 + 1/Periods_in_Year,0) * Flag_Financial_Model</f>
        <v>0</v>
      </c>
      <c r="M60" s="151">
        <f>IF(SUM($K$54:L54)&gt;0,L60 + 1/Periods_in_Year,0) * Flag_Financial_Model</f>
        <v>0</v>
      </c>
      <c r="N60" s="151">
        <f>IF(SUM($K$54:M54)&gt;0,M60 + 1/Periods_in_Year,0) * Flag_Financial_Model</f>
        <v>0</v>
      </c>
      <c r="O60" s="151">
        <f>IF(SUM($K$54:N54)&gt;0,N60 + 1/Periods_in_Year,0) * Flag_Financial_Model</f>
        <v>0</v>
      </c>
      <c r="P60" s="151">
        <f>IF(SUM($K$54:O54)&gt;0,O60 + 1/Periods_in_Year,0) * Flag_Financial_Model</f>
        <v>0</v>
      </c>
      <c r="Q60" s="151">
        <f>IF(SUM($K$54:P54)&gt;0,P60 + 1/Periods_in_Year,0) * Flag_Financial_Model</f>
        <v>0</v>
      </c>
      <c r="R60" s="151">
        <f>IF(SUM($K$54:Q54)&gt;0,Q60 + 1/Periods_in_Year,0) * Flag_Financial_Model</f>
        <v>0</v>
      </c>
      <c r="S60" s="151">
        <f>IF(SUM($K$54:R54)&gt;0,R60 + 1/Periods_in_Year,0) * Flag_Financial_Model</f>
        <v>0</v>
      </c>
      <c r="T60" s="151">
        <f>IF(SUM($K$54:S54)&gt;0,S60 + 1/Periods_in_Year,0) * Flag_Financial_Model</f>
        <v>0</v>
      </c>
      <c r="U60" s="151">
        <f>IF(SUM($K$54:T54)&gt;0,T60 + 1/Periods_in_Year,0) * Flag_Financial_Model</f>
        <v>0</v>
      </c>
      <c r="V60" s="151">
        <f>IF(SUM($K$54:U54)&gt;0,U60 + 1/Periods_in_Year,0) * Flag_Financial_Model</f>
        <v>0</v>
      </c>
      <c r="W60" s="151">
        <f>IF(SUM($K$54:V54)&gt;0,V60 + 1/Periods_in_Year,0) * Flag_Financial_Model</f>
        <v>0</v>
      </c>
      <c r="X60" s="151">
        <f>IF(SUM($K$54:W54)&gt;0,W60 + 1/Periods_in_Year,0) * Flag_Financial_Model</f>
        <v>0</v>
      </c>
      <c r="Y60" s="151">
        <f>IF(SUM($K$54:X54)&gt;0,X60 + 1/Periods_in_Year,0) * Flag_Financial_Model</f>
        <v>0</v>
      </c>
      <c r="Z60" s="151">
        <f>IF(SUM($K$54:Y54)&gt;0,Y60 + 1/Periods_in_Year,0) * Flag_Financial_Model</f>
        <v>0</v>
      </c>
      <c r="AA60" s="151">
        <f>IF(SUM($K$54:Z54)&gt;0,Z60 + 1/Periods_in_Year,0) * Flag_Financial_Model</f>
        <v>0</v>
      </c>
      <c r="AB60" s="151">
        <f>IF(SUM($K$54:AA54)&gt;0,AA60 + 1/Periods_in_Year,0) * Flag_Financial_Model</f>
        <v>0</v>
      </c>
      <c r="AC60" s="151">
        <f>IF(SUM($K$54:AB54)&gt;0,AB60 + 1/Periods_in_Year,0) * Flag_Financial_Model</f>
        <v>0</v>
      </c>
      <c r="AD60" s="151">
        <f>IF(SUM($K$54:AC54)&gt;0,AC60 + 1/Periods_in_Year,0) * Flag_Financial_Model</f>
        <v>0</v>
      </c>
      <c r="AE60" s="151">
        <f>IF(SUM($K$54:AD54)&gt;0,AD60 + 1/Periods_in_Year,0) * Flag_Financial_Model</f>
        <v>0</v>
      </c>
      <c r="AF60" s="151">
        <f>IF(SUM($K$54:AE54)&gt;0,AE60 + 1/Periods_in_Year,0) * Flag_Financial_Model</f>
        <v>0</v>
      </c>
      <c r="AG60" s="151">
        <f>IF(SUM($K$54:AF54)&gt;0,AF60 + 1/Periods_in_Year,0) * Flag_Financial_Model</f>
        <v>0</v>
      </c>
      <c r="AH60" s="151">
        <f>IF(SUM($K$54:AG54)&gt;0,AG60 + 1/Periods_in_Year,0) * Flag_Financial_Model</f>
        <v>0</v>
      </c>
      <c r="AI60" s="151">
        <f>IF(SUM($K$54:AH54)&gt;0,AH60 + 1/Periods_in_Year,0) * Flag_Financial_Model</f>
        <v>0</v>
      </c>
      <c r="AJ60" s="151">
        <f>IF(SUM($K$54:AI54)&gt;0,AI60 + 1/Periods_in_Year,0) * Flag_Financial_Model</f>
        <v>0</v>
      </c>
      <c r="AK60" s="151">
        <f>IF(SUM($K$54:AJ54)&gt;0,AJ60 + 1/Periods_in_Year,0) * Flag_Financial_Model</f>
        <v>0</v>
      </c>
      <c r="AL60" s="151">
        <f>IF(SUM($K$54:AK54)&gt;0,AK60 + 1/Periods_in_Year,0) * Flag_Financial_Model</f>
        <v>0</v>
      </c>
      <c r="AM60" s="151">
        <f>IF(SUM($K$54:AL54)&gt;0,AL60 + 1/Periods_in_Year,0) * Flag_Financial_Model</f>
        <v>0</v>
      </c>
      <c r="AN60" s="151">
        <f>IF(SUM($K$54:AM54)&gt;0,AM60 + 1/Periods_in_Year,0) * Flag_Financial_Model</f>
        <v>0</v>
      </c>
      <c r="AO60" s="151">
        <f>IF(SUM($K$54:AN54)&gt;0,AN60 + 1/Periods_in_Year,0) * Flag_Financial_Model</f>
        <v>0.25</v>
      </c>
      <c r="AP60" s="151">
        <f>IF(SUM($K$54:AO54)&gt;0,AO60 + 1/Periods_in_Year,0) * Flag_Financial_Model</f>
        <v>0.5</v>
      </c>
      <c r="AQ60" s="151">
        <f>IF(SUM($K$54:AP54)&gt;0,AP60 + 1/Periods_in_Year,0) * Flag_Financial_Model</f>
        <v>0.75</v>
      </c>
      <c r="AR60" s="151">
        <f>IF(SUM($K$54:AQ54)&gt;0,AQ60 + 1/Periods_in_Year,0) * Flag_Financial_Model</f>
        <v>1</v>
      </c>
      <c r="AS60" s="151">
        <f>IF(SUM($K$54:AR54)&gt;0,AR60 + 1/Periods_in_Year,0) * Flag_Financial_Model</f>
        <v>1.25</v>
      </c>
      <c r="AT60" s="151">
        <f>IF(SUM($K$54:AS54)&gt;0,AS60 + 1/Periods_in_Year,0) * Flag_Financial_Model</f>
        <v>1.5</v>
      </c>
      <c r="AU60" s="151">
        <f>IF(SUM($K$54:AT54)&gt;0,AT60 + 1/Periods_in_Year,0) * Flag_Financial_Model</f>
        <v>1.75</v>
      </c>
      <c r="AV60" s="151">
        <f>IF(SUM($K$54:AU54)&gt;0,AU60 + 1/Periods_in_Year,0) * Flag_Financial_Model</f>
        <v>2</v>
      </c>
      <c r="AW60" s="151">
        <f>IF(SUM($K$54:AV54)&gt;0,AV60 + 1/Periods_in_Year,0) * Flag_Financial_Model</f>
        <v>2.25</v>
      </c>
      <c r="AX60" s="151">
        <f>IF(SUM($K$54:AW54)&gt;0,AW60 + 1/Periods_in_Year,0) * Flag_Financial_Model</f>
        <v>2.5</v>
      </c>
      <c r="AY60" s="151">
        <f>IF(SUM($K$54:AX54)&gt;0,AX60 + 1/Periods_in_Year,0) * Flag_Financial_Model</f>
        <v>2.75</v>
      </c>
      <c r="AZ60" s="151">
        <f>IF(SUM($K$54:AY54)&gt;0,AY60 + 1/Periods_in_Year,0) * Flag_Financial_Model</f>
        <v>3</v>
      </c>
      <c r="BA60" s="151">
        <f>IF(SUM($K$54:AZ54)&gt;0,AZ60 + 1/Periods_in_Year,0) * Flag_Financial_Model</f>
        <v>3.25</v>
      </c>
      <c r="BB60" s="151">
        <f>IF(SUM($K$54:BA54)&gt;0,BA60 + 1/Periods_in_Year,0) * Flag_Financial_Model</f>
        <v>3.5</v>
      </c>
      <c r="BC60" s="151">
        <f>IF(SUM($K$54:BB54)&gt;0,BB60 + 1/Periods_in_Year,0) * Flag_Financial_Model</f>
        <v>3.75</v>
      </c>
      <c r="BD60" s="151">
        <f>IF(SUM($K$54:BC54)&gt;0,BC60 + 1/Periods_in_Year,0) * Flag_Financial_Model</f>
        <v>4</v>
      </c>
      <c r="BE60" s="151">
        <f>IF(SUM($K$54:BD54)&gt;0,BD60 + 1/Periods_in_Year,0) * Flag_Financial_Model</f>
        <v>4.25</v>
      </c>
      <c r="BF60" s="151">
        <f>IF(SUM($K$54:BE54)&gt;0,BE60 + 1/Periods_in_Year,0) * Flag_Financial_Model</f>
        <v>4.5</v>
      </c>
      <c r="BG60" s="151">
        <f>IF(SUM($K$54:BF54)&gt;0,BF60 + 1/Periods_in_Year,0) * Flag_Financial_Model</f>
        <v>4.75</v>
      </c>
      <c r="BH60" s="151">
        <f>IF(SUM($K$54:BG54)&gt;0,BG60 + 1/Periods_in_Year,0) * Flag_Financial_Model</f>
        <v>5</v>
      </c>
      <c r="BI60" s="151">
        <f>IF(SUM($K$54:BH54)&gt;0,BH60 + 1/Periods_in_Year,0) * Flag_Financial_Model</f>
        <v>5.25</v>
      </c>
      <c r="BJ60" s="151">
        <f>IF(SUM($K$54:BI54)&gt;0,BI60 + 1/Periods_in_Year,0) * Flag_Financial_Model</f>
        <v>5.5</v>
      </c>
      <c r="BK60" s="151">
        <f>IF(SUM($K$54:BJ54)&gt;0,BJ60 + 1/Periods_in_Year,0) * Flag_Financial_Model</f>
        <v>5.75</v>
      </c>
      <c r="BL60" s="151">
        <f>IF(SUM($K$54:BK54)&gt;0,BK60 + 1/Periods_in_Year,0) * Flag_Financial_Model</f>
        <v>6</v>
      </c>
      <c r="BM60" s="151">
        <f>IF(SUM($K$54:BL54)&gt;0,BL60 + 1/Periods_in_Year,0) * Flag_Financial_Model</f>
        <v>6.25</v>
      </c>
      <c r="BN60" s="151">
        <f>IF(SUM($K$54:BM54)&gt;0,BM60 + 1/Periods_in_Year,0) * Flag_Financial_Model</f>
        <v>6.5</v>
      </c>
      <c r="BO60" s="151">
        <f>IF(SUM($K$54:BN54)&gt;0,BN60 + 1/Periods_in_Year,0) * Flag_Financial_Model</f>
        <v>6.75</v>
      </c>
      <c r="BP60" s="151">
        <f>IF(SUM($K$54:BO54)&gt;0,BO60 + 1/Periods_in_Year,0) * Flag_Financial_Model</f>
        <v>7</v>
      </c>
      <c r="BQ60" s="151">
        <f>IF(SUM($K$54:BP54)&gt;0,BP60 + 1/Periods_in_Year,0) * Flag_Financial_Model</f>
        <v>7.25</v>
      </c>
      <c r="BR60" s="151">
        <f>IF(SUM($K$54:BQ54)&gt;0,BQ60 + 1/Periods_in_Year,0) * Flag_Financial_Model</f>
        <v>7.5</v>
      </c>
      <c r="BS60" s="151">
        <f>IF(SUM($K$54:BR54)&gt;0,BR60 + 1/Periods_in_Year,0) * Flag_Financial_Model</f>
        <v>7.75</v>
      </c>
      <c r="BT60" s="151">
        <f>IF(SUM($K$54:BS54)&gt;0,BS60 + 1/Periods_in_Year,0) * Flag_Financial_Model</f>
        <v>8</v>
      </c>
      <c r="BU60" s="151">
        <f>IF(SUM($K$54:BT54)&gt;0,BT60 + 1/Periods_in_Year,0) * Flag_Financial_Model</f>
        <v>8.25</v>
      </c>
      <c r="BV60" s="151">
        <f>IF(SUM($K$54:BU54)&gt;0,BU60 + 1/Periods_in_Year,0) * Flag_Financial_Model</f>
        <v>8.5</v>
      </c>
      <c r="BW60" s="151">
        <f>IF(SUM($K$54:BV54)&gt;0,BV60 + 1/Periods_in_Year,0) * Flag_Financial_Model</f>
        <v>8.75</v>
      </c>
      <c r="BX60" s="151">
        <f>IF(SUM($K$54:BW54)&gt;0,BW60 + 1/Periods_in_Year,0) * Flag_Financial_Model</f>
        <v>9</v>
      </c>
      <c r="BY60" s="151">
        <f>IF(SUM($K$54:BX54)&gt;0,BX60 + 1/Periods_in_Year,0) * Flag_Financial_Model</f>
        <v>9.25</v>
      </c>
      <c r="BZ60" s="151">
        <f>IF(SUM($K$54:BY54)&gt;0,BY60 + 1/Periods_in_Year,0) * Flag_Financial_Model</f>
        <v>9.5</v>
      </c>
      <c r="CA60" s="151">
        <f>IF(SUM($K$54:BZ54)&gt;0,BZ60 + 1/Periods_in_Year,0) * Flag_Financial_Model</f>
        <v>9.75</v>
      </c>
      <c r="CB60" s="151">
        <f>IF(SUM($K$54:CA54)&gt;0,CA60 + 1/Periods_in_Year,0) * Flag_Financial_Model</f>
        <v>10</v>
      </c>
      <c r="CC60" s="151">
        <f>IF(SUM($K$54:CB54)&gt;0,CB60 + 1/Periods_in_Year,0) * Flag_Financial_Model</f>
        <v>10.25</v>
      </c>
      <c r="CD60" s="151">
        <f>IF(SUM($K$54:CC54)&gt;0,CC60 + 1/Periods_in_Year,0) * Flag_Financial_Model</f>
        <v>10.5</v>
      </c>
      <c r="CE60" s="151">
        <f>IF(SUM($K$54:CD54)&gt;0,CD60 + 1/Periods_in_Year,0) * Flag_Financial_Model</f>
        <v>10.75</v>
      </c>
      <c r="CF60" s="151">
        <f>IF(SUM($K$54:CE54)&gt;0,CE60 + 1/Periods_in_Year,0) * Flag_Financial_Model</f>
        <v>11</v>
      </c>
      <c r="CG60" s="151">
        <f>IF(SUM($K$54:CF54)&gt;0,CF60 + 1/Periods_in_Year,0) * Flag_Financial_Model</f>
        <v>11.25</v>
      </c>
      <c r="CH60" s="151">
        <f>IF(SUM($K$54:CG54)&gt;0,CG60 + 1/Periods_in_Year,0) * Flag_Financial_Model</f>
        <v>11.5</v>
      </c>
      <c r="CI60" s="151">
        <f>IF(SUM($K$54:CH54)&gt;0,CH60 + 1/Periods_in_Year,0) * Flag_Financial_Model</f>
        <v>11.75</v>
      </c>
      <c r="CJ60" s="151">
        <f>IF(SUM($K$54:CI54)&gt;0,CI60 + 1/Periods_in_Year,0) * Flag_Financial_Model</f>
        <v>12</v>
      </c>
      <c r="CK60" s="151">
        <f>IF(SUM($K$54:CJ54)&gt;0,CJ60 + 1/Periods_in_Year,0) * Flag_Financial_Model</f>
        <v>12.25</v>
      </c>
      <c r="CL60" s="151">
        <f>IF(SUM($K$54:CK54)&gt;0,CK60 + 1/Periods_in_Year,0) * Flag_Financial_Model</f>
        <v>12.5</v>
      </c>
      <c r="CM60" s="151">
        <f>IF(SUM($K$54:CL54)&gt;0,CL60 + 1/Periods_in_Year,0) * Flag_Financial_Model</f>
        <v>12.75</v>
      </c>
      <c r="CN60" s="151">
        <f>IF(SUM($K$54:CM54)&gt;0,CM60 + 1/Periods_in_Year,0) * Flag_Financial_Model</f>
        <v>13</v>
      </c>
      <c r="CO60" s="151">
        <f>IF(SUM($K$54:CN54)&gt;0,CN60 + 1/Periods_in_Year,0) * Flag_Financial_Model</f>
        <v>13.25</v>
      </c>
    </row>
    <row r="61" spans="1:93" ht="15" customHeight="1">
      <c r="A61" s="47"/>
      <c r="B61" s="47"/>
      <c r="C61" s="153"/>
      <c r="D61" s="153"/>
      <c r="E61" s="11"/>
      <c r="F61" s="11"/>
      <c r="G61" s="11"/>
      <c r="H61" s="153"/>
      <c r="I61" s="154"/>
      <c r="J61" s="153"/>
      <c r="K61" s="153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</row>
    <row r="62" spans="1:93" ht="15" customHeight="1">
      <c r="A62" s="47"/>
      <c r="B62" s="47"/>
      <c r="C62" s="153" t="s">
        <v>82</v>
      </c>
      <c r="D62" s="153"/>
      <c r="E62" s="11"/>
      <c r="F62" s="11"/>
      <c r="G62" s="11" t="str">
        <f t="shared" ref="G62:G68" si="45">Monetary_Unit</f>
        <v>тыс. руб.</v>
      </c>
      <c r="H62" s="153"/>
      <c r="I62" s="23">
        <f t="shared" ref="I62:I68" ca="1" si="46">SUM(L62:CO62)</f>
        <v>10980552.804463131</v>
      </c>
      <c r="J62" s="153"/>
      <c r="K62" s="153"/>
      <c r="L62" s="452">
        <f t="shared" ref="L62:AQ62" ca="1" si="47" xml:space="preserve"> EBIT * (L$60 &lt;&gt; 0)</f>
        <v>0</v>
      </c>
      <c r="M62" s="452">
        <f t="shared" ca="1" si="47"/>
        <v>0</v>
      </c>
      <c r="N62" s="452">
        <f t="shared" ca="1" si="47"/>
        <v>0</v>
      </c>
      <c r="O62" s="452">
        <f t="shared" ca="1" si="47"/>
        <v>0</v>
      </c>
      <c r="P62" s="452">
        <f t="shared" ca="1" si="47"/>
        <v>0</v>
      </c>
      <c r="Q62" s="452">
        <f t="shared" ca="1" si="47"/>
        <v>0</v>
      </c>
      <c r="R62" s="452">
        <f t="shared" ca="1" si="47"/>
        <v>0</v>
      </c>
      <c r="S62" s="452">
        <f t="shared" ca="1" si="47"/>
        <v>0</v>
      </c>
      <c r="T62" s="452">
        <f t="shared" ca="1" si="47"/>
        <v>0</v>
      </c>
      <c r="U62" s="452">
        <f t="shared" ca="1" si="47"/>
        <v>0</v>
      </c>
      <c r="V62" s="452">
        <f t="shared" ca="1" si="47"/>
        <v>0</v>
      </c>
      <c r="W62" s="452">
        <f t="shared" ca="1" si="47"/>
        <v>0</v>
      </c>
      <c r="X62" s="452">
        <f t="shared" ca="1" si="47"/>
        <v>0</v>
      </c>
      <c r="Y62" s="452">
        <f t="shared" ca="1" si="47"/>
        <v>0</v>
      </c>
      <c r="Z62" s="452">
        <f t="shared" ca="1" si="47"/>
        <v>0</v>
      </c>
      <c r="AA62" s="452">
        <f t="shared" ca="1" si="47"/>
        <v>0</v>
      </c>
      <c r="AB62" s="452">
        <f t="shared" ca="1" si="47"/>
        <v>0</v>
      </c>
      <c r="AC62" s="452">
        <f t="shared" ca="1" si="47"/>
        <v>0</v>
      </c>
      <c r="AD62" s="452">
        <f t="shared" ca="1" si="47"/>
        <v>0</v>
      </c>
      <c r="AE62" s="452">
        <f t="shared" ca="1" si="47"/>
        <v>0</v>
      </c>
      <c r="AF62" s="452">
        <f t="shared" ca="1" si="47"/>
        <v>0</v>
      </c>
      <c r="AG62" s="452">
        <f t="shared" ca="1" si="47"/>
        <v>0</v>
      </c>
      <c r="AH62" s="452">
        <f t="shared" ca="1" si="47"/>
        <v>0</v>
      </c>
      <c r="AI62" s="452">
        <f t="shared" ca="1" si="47"/>
        <v>0</v>
      </c>
      <c r="AJ62" s="452">
        <f t="shared" ca="1" si="47"/>
        <v>0</v>
      </c>
      <c r="AK62" s="452">
        <f t="shared" ca="1" si="47"/>
        <v>0</v>
      </c>
      <c r="AL62" s="452">
        <f t="shared" ca="1" si="47"/>
        <v>0</v>
      </c>
      <c r="AM62" s="452">
        <f t="shared" ca="1" si="47"/>
        <v>0</v>
      </c>
      <c r="AN62" s="452">
        <f t="shared" ca="1" si="47"/>
        <v>0</v>
      </c>
      <c r="AO62" s="452">
        <f t="shared" ca="1" si="47"/>
        <v>248233.54653343308</v>
      </c>
      <c r="AP62" s="452">
        <f t="shared" ca="1" si="47"/>
        <v>331223.78833566076</v>
      </c>
      <c r="AQ62" s="452">
        <f t="shared" ca="1" si="47"/>
        <v>156191.01088697906</v>
      </c>
      <c r="AR62" s="452">
        <f t="shared" ref="AR62:BW62" ca="1" si="48" xml:space="preserve"> EBIT * (AR$60 &lt;&gt; 0)</f>
        <v>144248.72640567098</v>
      </c>
      <c r="AS62" s="452">
        <f t="shared" ca="1" si="48"/>
        <v>261249.64027974813</v>
      </c>
      <c r="AT62" s="452">
        <f t="shared" ca="1" si="48"/>
        <v>347560.94535938284</v>
      </c>
      <c r="AU62" s="452">
        <f t="shared" ca="1" si="48"/>
        <v>165526.84964001988</v>
      </c>
      <c r="AV62" s="452">
        <f t="shared" ca="1" si="48"/>
        <v>153114.77884348755</v>
      </c>
      <c r="AW62" s="452">
        <f t="shared" ca="1" si="48"/>
        <v>141541.87087379844</v>
      </c>
      <c r="AX62" s="452">
        <f t="shared" ca="1" si="48"/>
        <v>197357.20475644682</v>
      </c>
      <c r="AY62" s="452">
        <f t="shared" ca="1" si="48"/>
        <v>79605.367815733145</v>
      </c>
      <c r="AZ62" s="452">
        <f t="shared" ca="1" si="48"/>
        <v>71605.672766080694</v>
      </c>
      <c r="BA62" s="452">
        <f t="shared" ca="1" si="48"/>
        <v>150301.22993401304</v>
      </c>
      <c r="BB62" s="452">
        <f t="shared" ca="1" si="48"/>
        <v>208350.75801563956</v>
      </c>
      <c r="BC62" s="452">
        <f t="shared" ca="1" si="48"/>
        <v>85888.847597297645</v>
      </c>
      <c r="BD62" s="452">
        <f t="shared" ca="1" si="48"/>
        <v>79258.975654200578</v>
      </c>
      <c r="BE62" s="452">
        <f t="shared" ca="1" si="48"/>
        <v>200700.9696508827</v>
      </c>
      <c r="BF62" s="452">
        <f t="shared" ca="1" si="48"/>
        <v>261074.18448377386</v>
      </c>
      <c r="BG62" s="452">
        <f t="shared" ca="1" si="48"/>
        <v>133713.80571704835</v>
      </c>
      <c r="BH62" s="452">
        <f t="shared" ca="1" si="48"/>
        <v>125044.1245386379</v>
      </c>
      <c r="BI62" s="452">
        <f t="shared" ca="1" si="48"/>
        <v>210164.46409256593</v>
      </c>
      <c r="BJ62" s="452">
        <f t="shared" ca="1" si="48"/>
        <v>272954.05858674593</v>
      </c>
      <c r="BK62" s="452">
        <f t="shared" ca="1" si="48"/>
        <v>140499.2562782673</v>
      </c>
      <c r="BL62" s="452">
        <f t="shared" ca="1" si="48"/>
        <v>131490.81778271703</v>
      </c>
      <c r="BM62" s="452">
        <f t="shared" ca="1" si="48"/>
        <v>220017.55176247505</v>
      </c>
      <c r="BN62" s="452">
        <f t="shared" ca="1" si="48"/>
        <v>285320.31088009517</v>
      </c>
      <c r="BO62" s="452">
        <f t="shared" ca="1" si="48"/>
        <v>147567.31647927727</v>
      </c>
      <c r="BP62" s="452">
        <f t="shared" ca="1" si="48"/>
        <v>138195.37875655925</v>
      </c>
      <c r="BQ62" s="452">
        <f t="shared" ca="1" si="48"/>
        <v>230264.76293918028</v>
      </c>
      <c r="BR62" s="452">
        <f t="shared" ca="1" si="48"/>
        <v>298181.21326517808</v>
      </c>
      <c r="BS62" s="452">
        <f t="shared" ca="1" si="48"/>
        <v>154918.09908832749</v>
      </c>
      <c r="BT62" s="452">
        <f t="shared" ca="1" si="48"/>
        <v>147153.70457006741</v>
      </c>
      <c r="BU62" s="452">
        <f t="shared" ca="1" si="48"/>
        <v>240932.62711338556</v>
      </c>
      <c r="BV62" s="452">
        <f t="shared" ca="1" si="48"/>
        <v>311567.44393459026</v>
      </c>
      <c r="BW62" s="452">
        <f t="shared" ca="1" si="48"/>
        <v>162573.8146294941</v>
      </c>
      <c r="BX62" s="452">
        <f t="shared" ref="BX62:CO62" ca="1" si="49" xml:space="preserve"> EBIT * (BX$60 &lt;&gt; 0)</f>
        <v>152419.77531866307</v>
      </c>
      <c r="BY62" s="452">
        <f t="shared" ca="1" si="49"/>
        <v>252005.24617167833</v>
      </c>
      <c r="BZ62" s="452">
        <f t="shared" ca="1" si="49"/>
        <v>325466.90376536985</v>
      </c>
      <c r="CA62" s="452">
        <f t="shared" ca="1" si="49"/>
        <v>170513.51947168866</v>
      </c>
      <c r="CB62" s="452">
        <f t="shared" ca="1" si="49"/>
        <v>159961.49459394338</v>
      </c>
      <c r="CC62" s="452">
        <f t="shared" ca="1" si="49"/>
        <v>263531.96512475214</v>
      </c>
      <c r="CD62" s="452">
        <f t="shared" ca="1" si="49"/>
        <v>339933.66986586392</v>
      </c>
      <c r="CE62" s="452">
        <f t="shared" ca="1" si="49"/>
        <v>178782.15020043543</v>
      </c>
      <c r="CF62" s="452">
        <f t="shared" ca="1" si="49"/>
        <v>167804.88264023469</v>
      </c>
      <c r="CG62" s="452">
        <f t="shared" ca="1" si="49"/>
        <v>275519.75283594872</v>
      </c>
      <c r="CH62" s="452">
        <f t="shared" ca="1" si="49"/>
        <v>354979.10661037784</v>
      </c>
      <c r="CI62" s="452">
        <f t="shared" ca="1" si="49"/>
        <v>187381.52615833213</v>
      </c>
      <c r="CJ62" s="452">
        <f t="shared" ca="1" si="49"/>
        <v>178289.9006940049</v>
      </c>
      <c r="CK62" s="452">
        <f t="shared" ca="1" si="49"/>
        <v>287997.97597888223</v>
      </c>
      <c r="CL62" s="452">
        <f t="shared" ca="1" si="49"/>
        <v>370637.41572542832</v>
      </c>
      <c r="CM62" s="452">
        <f t="shared" ca="1" si="49"/>
        <v>196335.94309739501</v>
      </c>
      <c r="CN62" s="452">
        <f t="shared" ca="1" si="49"/>
        <v>184445.41471924624</v>
      </c>
      <c r="CO62" s="452">
        <f t="shared" ca="1" si="49"/>
        <v>300953.04324402299</v>
      </c>
    </row>
    <row r="63" spans="1:93" ht="15" customHeight="1">
      <c r="A63" s="47"/>
      <c r="B63" s="47"/>
      <c r="C63" s="153" t="s">
        <v>1147</v>
      </c>
      <c r="D63" s="153"/>
      <c r="E63" s="11"/>
      <c r="F63" s="11"/>
      <c r="G63" s="11" t="str">
        <f t="shared" si="45"/>
        <v>тыс. руб.</v>
      </c>
      <c r="H63" s="153"/>
      <c r="I63" s="23">
        <f t="shared" ca="1" si="46"/>
        <v>-1255615.8364227233</v>
      </c>
      <c r="J63" s="153"/>
      <c r="K63" s="153"/>
      <c r="L63" s="452">
        <f t="shared" ref="L63:AQ63" ca="1" si="50" xml:space="preserve"> - L62 *  IFERROR(-Profits_Tax/PBT,0) * (L$60 &lt;&gt; 0)</f>
        <v>0</v>
      </c>
      <c r="M63" s="452">
        <f t="shared" ca="1" si="50"/>
        <v>0</v>
      </c>
      <c r="N63" s="452">
        <f t="shared" ca="1" si="50"/>
        <v>0</v>
      </c>
      <c r="O63" s="452">
        <f t="shared" ca="1" si="50"/>
        <v>0</v>
      </c>
      <c r="P63" s="452">
        <f t="shared" ca="1" si="50"/>
        <v>0</v>
      </c>
      <c r="Q63" s="452">
        <f t="shared" ca="1" si="50"/>
        <v>0</v>
      </c>
      <c r="R63" s="452">
        <f t="shared" ca="1" si="50"/>
        <v>0</v>
      </c>
      <c r="S63" s="452">
        <f t="shared" ca="1" si="50"/>
        <v>0</v>
      </c>
      <c r="T63" s="452">
        <f t="shared" ca="1" si="50"/>
        <v>0</v>
      </c>
      <c r="U63" s="452">
        <f t="shared" ca="1" si="50"/>
        <v>0</v>
      </c>
      <c r="V63" s="452">
        <f t="shared" ca="1" si="50"/>
        <v>0</v>
      </c>
      <c r="W63" s="452">
        <f t="shared" ca="1" si="50"/>
        <v>0</v>
      </c>
      <c r="X63" s="452">
        <f t="shared" ca="1" si="50"/>
        <v>0</v>
      </c>
      <c r="Y63" s="452">
        <f t="shared" ca="1" si="50"/>
        <v>0</v>
      </c>
      <c r="Z63" s="452">
        <f t="shared" ca="1" si="50"/>
        <v>0</v>
      </c>
      <c r="AA63" s="452">
        <f t="shared" ca="1" si="50"/>
        <v>0</v>
      </c>
      <c r="AB63" s="452">
        <f t="shared" ca="1" si="50"/>
        <v>0</v>
      </c>
      <c r="AC63" s="452">
        <f t="shared" ca="1" si="50"/>
        <v>0</v>
      </c>
      <c r="AD63" s="452">
        <f t="shared" ca="1" si="50"/>
        <v>0</v>
      </c>
      <c r="AE63" s="452">
        <f t="shared" ca="1" si="50"/>
        <v>0</v>
      </c>
      <c r="AF63" s="452">
        <f t="shared" ca="1" si="50"/>
        <v>0</v>
      </c>
      <c r="AG63" s="452">
        <f t="shared" ca="1" si="50"/>
        <v>0</v>
      </c>
      <c r="AH63" s="452">
        <f t="shared" ca="1" si="50"/>
        <v>0</v>
      </c>
      <c r="AI63" s="452">
        <f t="shared" ca="1" si="50"/>
        <v>0</v>
      </c>
      <c r="AJ63" s="452">
        <f t="shared" ca="1" si="50"/>
        <v>0</v>
      </c>
      <c r="AK63" s="452">
        <f t="shared" ca="1" si="50"/>
        <v>0</v>
      </c>
      <c r="AL63" s="452">
        <f t="shared" ca="1" si="50"/>
        <v>0</v>
      </c>
      <c r="AM63" s="452">
        <f t="shared" ca="1" si="50"/>
        <v>0</v>
      </c>
      <c r="AN63" s="452">
        <f t="shared" ca="1" si="50"/>
        <v>0</v>
      </c>
      <c r="AO63" s="452">
        <f t="shared" ca="1" si="50"/>
        <v>-2706.1496519182897</v>
      </c>
      <c r="AP63" s="452">
        <f t="shared" ca="1" si="50"/>
        <v>-4413.7854605531938</v>
      </c>
      <c r="AQ63" s="452">
        <f t="shared" ca="1" si="50"/>
        <v>-3617.6571602166923</v>
      </c>
      <c r="AR63" s="452">
        <f t="shared" ref="AR63:BW63" ca="1" si="51" xml:space="preserve"> - AR62 *  IFERROR(-Profits_Tax/PBT,0) * (AR$60 &lt;&gt; 0)</f>
        <v>-3379.8471832847163</v>
      </c>
      <c r="AS63" s="452">
        <f t="shared" ca="1" si="51"/>
        <v>-5652.6746141233407</v>
      </c>
      <c r="AT63" s="452">
        <f t="shared" ca="1" si="51"/>
        <v>-7361.1753584621465</v>
      </c>
      <c r="AU63" s="452">
        <f t="shared" ca="1" si="51"/>
        <v>-13180.492644095208</v>
      </c>
      <c r="AV63" s="452">
        <f t="shared" ca="1" si="51"/>
        <v>-12305.49546913126</v>
      </c>
      <c r="AW63" s="452">
        <f t="shared" ca="1" si="51"/>
        <v>-11498.65626231054</v>
      </c>
      <c r="AX63" s="452">
        <f t="shared" ca="1" si="51"/>
        <v>-15294.563390778865</v>
      </c>
      <c r="AY63" s="452">
        <f t="shared" ca="1" si="51"/>
        <v>-7358.9085328594065</v>
      </c>
      <c r="AZ63" s="452">
        <f t="shared" ca="1" si="51"/>
        <v>-6805.599993825288</v>
      </c>
      <c r="BA63" s="452">
        <f t="shared" ca="1" si="51"/>
        <v>-12002.605639068079</v>
      </c>
      <c r="BB63" s="452">
        <f t="shared" ca="1" si="51"/>
        <v>-15995.359765733858</v>
      </c>
      <c r="BC63" s="452">
        <f t="shared" ca="1" si="51"/>
        <v>-7531.2578072309434</v>
      </c>
      <c r="BD63" s="452">
        <f t="shared" ca="1" si="51"/>
        <v>-7045.4611639254963</v>
      </c>
      <c r="BE63" s="452">
        <f t="shared" ca="1" si="51"/>
        <v>-14395.422575136527</v>
      </c>
      <c r="BF63" s="452">
        <f t="shared" ca="1" si="51"/>
        <v>-18614.722151858747</v>
      </c>
      <c r="BG63" s="452">
        <f t="shared" ca="1" si="51"/>
        <v>-9697.8075118189536</v>
      </c>
      <c r="BH63" s="452">
        <f t="shared" ca="1" si="51"/>
        <v>-9084.5245070020428</v>
      </c>
      <c r="BI63" s="452">
        <f t="shared" ca="1" si="51"/>
        <v>-15042.948275777006</v>
      </c>
      <c r="BJ63" s="452">
        <f t="shared" ca="1" si="51"/>
        <v>-19438.219890369604</v>
      </c>
      <c r="BK63" s="452">
        <f t="shared" ca="1" si="51"/>
        <v>-10166.3837287761</v>
      </c>
      <c r="BL63" s="452">
        <f t="shared" ca="1" si="51"/>
        <v>-9535.793034087581</v>
      </c>
      <c r="BM63" s="452">
        <f t="shared" ca="1" si="51"/>
        <v>-15732.664412670641</v>
      </c>
      <c r="BN63" s="452">
        <f t="shared" ca="1" si="51"/>
        <v>-20303.857550904053</v>
      </c>
      <c r="BO63" s="452">
        <f t="shared" ca="1" si="51"/>
        <v>-23606.827587732194</v>
      </c>
      <c r="BP63" s="452">
        <f t="shared" ca="1" si="51"/>
        <v>-22154.177240710902</v>
      </c>
      <c r="BQ63" s="452">
        <f t="shared" ca="1" si="51"/>
        <v>-36424.931789017159</v>
      </c>
      <c r="BR63" s="452">
        <f t="shared" ca="1" si="51"/>
        <v>-46951.98158954682</v>
      </c>
      <c r="BS63" s="452">
        <f t="shared" ca="1" si="51"/>
        <v>-24746.19889213498</v>
      </c>
      <c r="BT63" s="452">
        <f t="shared" ca="1" si="51"/>
        <v>-23542.717741804667</v>
      </c>
      <c r="BU63" s="452">
        <f t="shared" ca="1" si="51"/>
        <v>-38078.450736018975</v>
      </c>
      <c r="BV63" s="452">
        <f t="shared" ca="1" si="51"/>
        <v>-49026.847343305708</v>
      </c>
      <c r="BW63" s="452">
        <f t="shared" ca="1" si="51"/>
        <v>-25932.834801015804</v>
      </c>
      <c r="BX63" s="452">
        <f t="shared" ref="BX63:CO63" ca="1" si="52" xml:space="preserve"> - BX62 *  IFERROR(-Profits_Tax/PBT,0) * (BX$60 &lt;&gt; 0)</f>
        <v>-24358.958707836995</v>
      </c>
      <c r="BY63" s="452">
        <f t="shared" ca="1" si="52"/>
        <v>-39794.70669005435</v>
      </c>
      <c r="BZ63" s="452">
        <f t="shared" ca="1" si="52"/>
        <v>-51181.263617076547</v>
      </c>
      <c r="CA63" s="452">
        <f t="shared" ca="1" si="52"/>
        <v>-27163.48905155596</v>
      </c>
      <c r="CB63" s="452">
        <f t="shared" ca="1" si="52"/>
        <v>-25527.925195505442</v>
      </c>
      <c r="CC63" s="452">
        <f t="shared" ca="1" si="52"/>
        <v>-41581.348127780795</v>
      </c>
      <c r="CD63" s="452">
        <f t="shared" ca="1" si="52"/>
        <v>-53423.612362653126</v>
      </c>
      <c r="CE63" s="452">
        <f t="shared" ca="1" si="52"/>
        <v>-28445.126814511706</v>
      </c>
      <c r="CF63" s="452">
        <f t="shared" ca="1" si="52"/>
        <v>-26743.650342680598</v>
      </c>
      <c r="CG63" s="452">
        <f t="shared" ca="1" si="52"/>
        <v>-43439.455223016266</v>
      </c>
      <c r="CH63" s="452">
        <f t="shared" ca="1" si="52"/>
        <v>-55755.655058052784</v>
      </c>
      <c r="CI63" s="452">
        <f t="shared" ca="1" si="52"/>
        <v>-29778.030087985695</v>
      </c>
      <c r="CJ63" s="452">
        <f t="shared" ca="1" si="52"/>
        <v>-28368.828141014976</v>
      </c>
      <c r="CK63" s="452">
        <f t="shared" ca="1" si="52"/>
        <v>-45373.579810170959</v>
      </c>
      <c r="CL63" s="452">
        <f t="shared" ca="1" si="52"/>
        <v>-58182.692970885597</v>
      </c>
      <c r="CM63" s="452">
        <f t="shared" ca="1" si="52"/>
        <v>-31165.964713540441</v>
      </c>
      <c r="CN63" s="452">
        <f t="shared" ca="1" si="52"/>
        <v>-29322.932814927386</v>
      </c>
      <c r="CO63" s="452">
        <f t="shared" ca="1" si="52"/>
        <v>-47381.615236267782</v>
      </c>
    </row>
    <row r="64" spans="1:93" ht="15" customHeight="1">
      <c r="A64" s="47"/>
      <c r="B64" s="47"/>
      <c r="C64" s="153" t="s">
        <v>949</v>
      </c>
      <c r="D64" s="153"/>
      <c r="E64" s="11"/>
      <c r="F64" s="11"/>
      <c r="G64" s="11" t="str">
        <f t="shared" si="45"/>
        <v>тыс. руб.</v>
      </c>
      <c r="H64" s="153"/>
      <c r="I64" s="23">
        <f t="shared" ca="1" si="46"/>
        <v>2386484.3874975736</v>
      </c>
      <c r="J64" s="153"/>
      <c r="K64" s="153"/>
      <c r="L64" s="452">
        <f t="shared" ref="L64:AQ64" ca="1" si="53" xml:space="preserve"> - Depreciation_PL * (L$60 &lt;&gt; 0)</f>
        <v>0</v>
      </c>
      <c r="M64" s="452">
        <f t="shared" ca="1" si="53"/>
        <v>0</v>
      </c>
      <c r="N64" s="452">
        <f t="shared" ca="1" si="53"/>
        <v>0</v>
      </c>
      <c r="O64" s="452">
        <f t="shared" ca="1" si="53"/>
        <v>0</v>
      </c>
      <c r="P64" s="452">
        <f t="shared" ca="1" si="53"/>
        <v>0</v>
      </c>
      <c r="Q64" s="452">
        <f t="shared" ca="1" si="53"/>
        <v>0</v>
      </c>
      <c r="R64" s="452">
        <f t="shared" ca="1" si="53"/>
        <v>0</v>
      </c>
      <c r="S64" s="452">
        <f t="shared" ca="1" si="53"/>
        <v>0</v>
      </c>
      <c r="T64" s="452">
        <f t="shared" ca="1" si="53"/>
        <v>0</v>
      </c>
      <c r="U64" s="452">
        <f t="shared" ca="1" si="53"/>
        <v>0</v>
      </c>
      <c r="V64" s="452">
        <f t="shared" ca="1" si="53"/>
        <v>0</v>
      </c>
      <c r="W64" s="452">
        <f t="shared" ca="1" si="53"/>
        <v>0</v>
      </c>
      <c r="X64" s="452">
        <f t="shared" ca="1" si="53"/>
        <v>0</v>
      </c>
      <c r="Y64" s="452">
        <f t="shared" ca="1" si="53"/>
        <v>0</v>
      </c>
      <c r="Z64" s="452">
        <f t="shared" ca="1" si="53"/>
        <v>0</v>
      </c>
      <c r="AA64" s="452">
        <f t="shared" ca="1" si="53"/>
        <v>0</v>
      </c>
      <c r="AB64" s="452">
        <f t="shared" ca="1" si="53"/>
        <v>0</v>
      </c>
      <c r="AC64" s="452">
        <f t="shared" ca="1" si="53"/>
        <v>0</v>
      </c>
      <c r="AD64" s="452">
        <f t="shared" ca="1" si="53"/>
        <v>0</v>
      </c>
      <c r="AE64" s="452">
        <f t="shared" ca="1" si="53"/>
        <v>0</v>
      </c>
      <c r="AF64" s="452">
        <f t="shared" ca="1" si="53"/>
        <v>0</v>
      </c>
      <c r="AG64" s="452">
        <f t="shared" ca="1" si="53"/>
        <v>0</v>
      </c>
      <c r="AH64" s="452">
        <f t="shared" ca="1" si="53"/>
        <v>0</v>
      </c>
      <c r="AI64" s="452">
        <f t="shared" ca="1" si="53"/>
        <v>0</v>
      </c>
      <c r="AJ64" s="452">
        <f t="shared" ca="1" si="53"/>
        <v>0</v>
      </c>
      <c r="AK64" s="452">
        <f t="shared" ca="1" si="53"/>
        <v>0</v>
      </c>
      <c r="AL64" s="452">
        <f t="shared" ca="1" si="53"/>
        <v>0</v>
      </c>
      <c r="AM64" s="452">
        <f t="shared" ca="1" si="53"/>
        <v>0</v>
      </c>
      <c r="AN64" s="452">
        <f t="shared" ca="1" si="53"/>
        <v>0</v>
      </c>
      <c r="AO64" s="452">
        <f t="shared" ca="1" si="53"/>
        <v>73845.686275933069</v>
      </c>
      <c r="AP64" s="452">
        <f t="shared" ca="1" si="53"/>
        <v>73845.686275933069</v>
      </c>
      <c r="AQ64" s="452">
        <f t="shared" ca="1" si="53"/>
        <v>73845.686275933069</v>
      </c>
      <c r="AR64" s="452">
        <f t="shared" ref="AR64:BW64" ca="1" si="54" xml:space="preserve"> - Depreciation_PL * (AR$60 &lt;&gt; 0)</f>
        <v>73845.686275933069</v>
      </c>
      <c r="AS64" s="452">
        <f t="shared" ca="1" si="54"/>
        <v>73845.686275933069</v>
      </c>
      <c r="AT64" s="452">
        <f t="shared" ca="1" si="54"/>
        <v>73845.686275933069</v>
      </c>
      <c r="AU64" s="452">
        <f t="shared" ca="1" si="54"/>
        <v>73845.686275933069</v>
      </c>
      <c r="AV64" s="452">
        <f t="shared" ca="1" si="54"/>
        <v>73845.686275933069</v>
      </c>
      <c r="AW64" s="452">
        <f t="shared" ca="1" si="54"/>
        <v>73845.686275933069</v>
      </c>
      <c r="AX64" s="452">
        <f t="shared" ca="1" si="54"/>
        <v>73845.686275933069</v>
      </c>
      <c r="AY64" s="452">
        <f t="shared" ca="1" si="54"/>
        <v>73845.686275933069</v>
      </c>
      <c r="AZ64" s="452">
        <f t="shared" ca="1" si="54"/>
        <v>73845.686275933069</v>
      </c>
      <c r="BA64" s="452">
        <f t="shared" ca="1" si="54"/>
        <v>73845.686275933069</v>
      </c>
      <c r="BB64" s="452">
        <f t="shared" ca="1" si="54"/>
        <v>73845.686275933069</v>
      </c>
      <c r="BC64" s="452">
        <f t="shared" ca="1" si="54"/>
        <v>73845.686275933069</v>
      </c>
      <c r="BD64" s="452">
        <f t="shared" ca="1" si="54"/>
        <v>73845.686275932632</v>
      </c>
      <c r="BE64" s="452">
        <f t="shared" ca="1" si="54"/>
        <v>32566.308299530971</v>
      </c>
      <c r="BF64" s="452">
        <f t="shared" ca="1" si="54"/>
        <v>32566.308299530971</v>
      </c>
      <c r="BG64" s="452">
        <f t="shared" ca="1" si="54"/>
        <v>32566.308299530971</v>
      </c>
      <c r="BH64" s="452">
        <f t="shared" ca="1" si="54"/>
        <v>32566.308299530971</v>
      </c>
      <c r="BI64" s="452">
        <f t="shared" ca="1" si="54"/>
        <v>32566.308299530971</v>
      </c>
      <c r="BJ64" s="452">
        <f t="shared" ca="1" si="54"/>
        <v>32566.308299530971</v>
      </c>
      <c r="BK64" s="452">
        <f t="shared" ca="1" si="54"/>
        <v>32566.308299530971</v>
      </c>
      <c r="BL64" s="452">
        <f t="shared" ca="1" si="54"/>
        <v>32566.308299530971</v>
      </c>
      <c r="BM64" s="452">
        <f t="shared" ca="1" si="54"/>
        <v>32566.308299530971</v>
      </c>
      <c r="BN64" s="452">
        <f t="shared" ca="1" si="54"/>
        <v>32566.308299530971</v>
      </c>
      <c r="BO64" s="452">
        <f t="shared" ca="1" si="54"/>
        <v>32566.308299530971</v>
      </c>
      <c r="BP64" s="452">
        <f t="shared" ca="1" si="54"/>
        <v>32566.308299530971</v>
      </c>
      <c r="BQ64" s="452">
        <f t="shared" ca="1" si="54"/>
        <v>32566.308299530971</v>
      </c>
      <c r="BR64" s="452">
        <f t="shared" ca="1" si="54"/>
        <v>32566.308299530971</v>
      </c>
      <c r="BS64" s="452">
        <f t="shared" ca="1" si="54"/>
        <v>32566.308299530971</v>
      </c>
      <c r="BT64" s="452">
        <f t="shared" ca="1" si="54"/>
        <v>32566.308299530971</v>
      </c>
      <c r="BU64" s="452">
        <f t="shared" ca="1" si="54"/>
        <v>32566.308299530971</v>
      </c>
      <c r="BV64" s="452">
        <f t="shared" ca="1" si="54"/>
        <v>32566.308299530971</v>
      </c>
      <c r="BW64" s="452">
        <f t="shared" ca="1" si="54"/>
        <v>32566.308299530971</v>
      </c>
      <c r="BX64" s="452">
        <f t="shared" ref="BX64:CO64" ca="1" si="55" xml:space="preserve"> - Depreciation_PL * (BX$60 &lt;&gt; 0)</f>
        <v>32566.308299530971</v>
      </c>
      <c r="BY64" s="452">
        <f t="shared" ca="1" si="55"/>
        <v>32566.308299530971</v>
      </c>
      <c r="BZ64" s="452">
        <f t="shared" ca="1" si="55"/>
        <v>32566.308299530971</v>
      </c>
      <c r="CA64" s="452">
        <f t="shared" ca="1" si="55"/>
        <v>32566.308299530971</v>
      </c>
      <c r="CB64" s="452">
        <f t="shared" ca="1" si="55"/>
        <v>32566.308299530971</v>
      </c>
      <c r="CC64" s="452">
        <f t="shared" ca="1" si="55"/>
        <v>32566.308299530971</v>
      </c>
      <c r="CD64" s="452">
        <f t="shared" ca="1" si="55"/>
        <v>32566.308299530971</v>
      </c>
      <c r="CE64" s="452">
        <f t="shared" ca="1" si="55"/>
        <v>32566.308299530971</v>
      </c>
      <c r="CF64" s="452">
        <f t="shared" ca="1" si="55"/>
        <v>32566.308299530971</v>
      </c>
      <c r="CG64" s="452">
        <f t="shared" ca="1" si="55"/>
        <v>32566.308299530971</v>
      </c>
      <c r="CH64" s="452">
        <f t="shared" ca="1" si="55"/>
        <v>32566.308299530971</v>
      </c>
      <c r="CI64" s="452">
        <f t="shared" ca="1" si="55"/>
        <v>32566.308299530971</v>
      </c>
      <c r="CJ64" s="452">
        <f t="shared" ca="1" si="55"/>
        <v>32566.308299530971</v>
      </c>
      <c r="CK64" s="452">
        <f t="shared" ca="1" si="55"/>
        <v>32566.308299530971</v>
      </c>
      <c r="CL64" s="452">
        <f t="shared" ca="1" si="55"/>
        <v>32566.308299530971</v>
      </c>
      <c r="CM64" s="452">
        <f t="shared" ca="1" si="55"/>
        <v>32566.308299530971</v>
      </c>
      <c r="CN64" s="452">
        <f t="shared" ca="1" si="55"/>
        <v>32566.308299530971</v>
      </c>
      <c r="CO64" s="452">
        <f t="shared" ca="1" si="55"/>
        <v>32566.308299530971</v>
      </c>
    </row>
    <row r="65" spans="1:93" ht="15" customHeight="1">
      <c r="A65" s="47"/>
      <c r="B65" s="47"/>
      <c r="C65" s="153" t="s">
        <v>950</v>
      </c>
      <c r="D65" s="153"/>
      <c r="E65" s="11"/>
      <c r="F65" s="11"/>
      <c r="G65" s="11" t="str">
        <f t="shared" si="45"/>
        <v>тыс. руб.</v>
      </c>
      <c r="H65" s="153"/>
      <c r="I65" s="23">
        <f t="shared" ca="1" si="46"/>
        <v>0</v>
      </c>
      <c r="J65" s="153"/>
      <c r="K65" s="153"/>
      <c r="L65" s="452">
        <f t="shared" ref="L65:AQ65" ca="1" si="56" xml:space="preserve"> -CAPEX * (L$60 &lt;&gt; 0)</f>
        <v>0</v>
      </c>
      <c r="M65" s="452">
        <f t="shared" ca="1" si="56"/>
        <v>0</v>
      </c>
      <c r="N65" s="452">
        <f t="shared" ca="1" si="56"/>
        <v>0</v>
      </c>
      <c r="O65" s="452">
        <f t="shared" ca="1" si="56"/>
        <v>0</v>
      </c>
      <c r="P65" s="452">
        <f t="shared" ca="1" si="56"/>
        <v>0</v>
      </c>
      <c r="Q65" s="452">
        <f t="shared" ca="1" si="56"/>
        <v>0</v>
      </c>
      <c r="R65" s="452">
        <f t="shared" ca="1" si="56"/>
        <v>0</v>
      </c>
      <c r="S65" s="452">
        <f t="shared" ca="1" si="56"/>
        <v>0</v>
      </c>
      <c r="T65" s="452">
        <f t="shared" ca="1" si="56"/>
        <v>0</v>
      </c>
      <c r="U65" s="452">
        <f t="shared" ca="1" si="56"/>
        <v>0</v>
      </c>
      <c r="V65" s="452">
        <f t="shared" ca="1" si="56"/>
        <v>0</v>
      </c>
      <c r="W65" s="452">
        <f t="shared" ca="1" si="56"/>
        <v>0</v>
      </c>
      <c r="X65" s="452">
        <f t="shared" ca="1" si="56"/>
        <v>0</v>
      </c>
      <c r="Y65" s="452">
        <f t="shared" ca="1" si="56"/>
        <v>0</v>
      </c>
      <c r="Z65" s="452">
        <f t="shared" ca="1" si="56"/>
        <v>0</v>
      </c>
      <c r="AA65" s="452">
        <f t="shared" ca="1" si="56"/>
        <v>0</v>
      </c>
      <c r="AB65" s="452">
        <f t="shared" ca="1" si="56"/>
        <v>0</v>
      </c>
      <c r="AC65" s="452">
        <f t="shared" ca="1" si="56"/>
        <v>0</v>
      </c>
      <c r="AD65" s="452">
        <f t="shared" ca="1" si="56"/>
        <v>0</v>
      </c>
      <c r="AE65" s="452">
        <f t="shared" ca="1" si="56"/>
        <v>0</v>
      </c>
      <c r="AF65" s="452">
        <f t="shared" ca="1" si="56"/>
        <v>0</v>
      </c>
      <c r="AG65" s="452">
        <f t="shared" ca="1" si="56"/>
        <v>0</v>
      </c>
      <c r="AH65" s="452">
        <f t="shared" ca="1" si="56"/>
        <v>0</v>
      </c>
      <c r="AI65" s="452">
        <f t="shared" ca="1" si="56"/>
        <v>0</v>
      </c>
      <c r="AJ65" s="452">
        <f t="shared" ca="1" si="56"/>
        <v>0</v>
      </c>
      <c r="AK65" s="452">
        <f t="shared" ca="1" si="56"/>
        <v>0</v>
      </c>
      <c r="AL65" s="452">
        <f t="shared" ca="1" si="56"/>
        <v>0</v>
      </c>
      <c r="AM65" s="452">
        <f t="shared" ca="1" si="56"/>
        <v>0</v>
      </c>
      <c r="AN65" s="452">
        <f t="shared" ca="1" si="56"/>
        <v>0</v>
      </c>
      <c r="AO65" s="452">
        <f t="shared" ca="1" si="56"/>
        <v>0</v>
      </c>
      <c r="AP65" s="452">
        <f t="shared" ca="1" si="56"/>
        <v>0</v>
      </c>
      <c r="AQ65" s="452">
        <f t="shared" ca="1" si="56"/>
        <v>0</v>
      </c>
      <c r="AR65" s="452">
        <f t="shared" ref="AR65:BW65" ca="1" si="57" xml:space="preserve"> -CAPEX * (AR$60 &lt;&gt; 0)</f>
        <v>0</v>
      </c>
      <c r="AS65" s="452">
        <f t="shared" ca="1" si="57"/>
        <v>0</v>
      </c>
      <c r="AT65" s="452">
        <f t="shared" ca="1" si="57"/>
        <v>0</v>
      </c>
      <c r="AU65" s="452">
        <f t="shared" ca="1" si="57"/>
        <v>0</v>
      </c>
      <c r="AV65" s="452">
        <f t="shared" ca="1" si="57"/>
        <v>0</v>
      </c>
      <c r="AW65" s="452">
        <f t="shared" ca="1" si="57"/>
        <v>0</v>
      </c>
      <c r="AX65" s="452">
        <f t="shared" ca="1" si="57"/>
        <v>0</v>
      </c>
      <c r="AY65" s="452">
        <f t="shared" ca="1" si="57"/>
        <v>0</v>
      </c>
      <c r="AZ65" s="452">
        <f t="shared" ca="1" si="57"/>
        <v>0</v>
      </c>
      <c r="BA65" s="452">
        <f t="shared" ca="1" si="57"/>
        <v>0</v>
      </c>
      <c r="BB65" s="452">
        <f t="shared" ca="1" si="57"/>
        <v>0</v>
      </c>
      <c r="BC65" s="452">
        <f t="shared" ca="1" si="57"/>
        <v>0</v>
      </c>
      <c r="BD65" s="452">
        <f t="shared" ca="1" si="57"/>
        <v>0</v>
      </c>
      <c r="BE65" s="452">
        <f t="shared" ca="1" si="57"/>
        <v>0</v>
      </c>
      <c r="BF65" s="452">
        <f t="shared" ca="1" si="57"/>
        <v>0</v>
      </c>
      <c r="BG65" s="452">
        <f t="shared" ca="1" si="57"/>
        <v>0</v>
      </c>
      <c r="BH65" s="452">
        <f t="shared" ca="1" si="57"/>
        <v>0</v>
      </c>
      <c r="BI65" s="452">
        <f t="shared" ca="1" si="57"/>
        <v>0</v>
      </c>
      <c r="BJ65" s="452">
        <f t="shared" ca="1" si="57"/>
        <v>0</v>
      </c>
      <c r="BK65" s="452">
        <f t="shared" ca="1" si="57"/>
        <v>0</v>
      </c>
      <c r="BL65" s="452">
        <f t="shared" ca="1" si="57"/>
        <v>0</v>
      </c>
      <c r="BM65" s="452">
        <f t="shared" ca="1" si="57"/>
        <v>0</v>
      </c>
      <c r="BN65" s="452">
        <f t="shared" ca="1" si="57"/>
        <v>0</v>
      </c>
      <c r="BO65" s="452">
        <f t="shared" ca="1" si="57"/>
        <v>0</v>
      </c>
      <c r="BP65" s="452">
        <f t="shared" ca="1" si="57"/>
        <v>0</v>
      </c>
      <c r="BQ65" s="452">
        <f t="shared" ca="1" si="57"/>
        <v>0</v>
      </c>
      <c r="BR65" s="452">
        <f t="shared" ca="1" si="57"/>
        <v>0</v>
      </c>
      <c r="BS65" s="452">
        <f t="shared" ca="1" si="57"/>
        <v>0</v>
      </c>
      <c r="BT65" s="452">
        <f t="shared" ca="1" si="57"/>
        <v>0</v>
      </c>
      <c r="BU65" s="452">
        <f t="shared" ca="1" si="57"/>
        <v>0</v>
      </c>
      <c r="BV65" s="452">
        <f t="shared" ca="1" si="57"/>
        <v>0</v>
      </c>
      <c r="BW65" s="452">
        <f t="shared" ca="1" si="57"/>
        <v>0</v>
      </c>
      <c r="BX65" s="452">
        <f t="shared" ref="BX65:CO65" ca="1" si="58" xml:space="preserve"> -CAPEX * (BX$60 &lt;&gt; 0)</f>
        <v>0</v>
      </c>
      <c r="BY65" s="452">
        <f t="shared" ca="1" si="58"/>
        <v>0</v>
      </c>
      <c r="BZ65" s="452">
        <f t="shared" ca="1" si="58"/>
        <v>0</v>
      </c>
      <c r="CA65" s="452">
        <f t="shared" ca="1" si="58"/>
        <v>0</v>
      </c>
      <c r="CB65" s="452">
        <f t="shared" ca="1" si="58"/>
        <v>0</v>
      </c>
      <c r="CC65" s="452">
        <f t="shared" ca="1" si="58"/>
        <v>0</v>
      </c>
      <c r="CD65" s="452">
        <f t="shared" ca="1" si="58"/>
        <v>0</v>
      </c>
      <c r="CE65" s="452">
        <f t="shared" ca="1" si="58"/>
        <v>0</v>
      </c>
      <c r="CF65" s="452">
        <f t="shared" ca="1" si="58"/>
        <v>0</v>
      </c>
      <c r="CG65" s="452">
        <f t="shared" ca="1" si="58"/>
        <v>0</v>
      </c>
      <c r="CH65" s="452">
        <f t="shared" ca="1" si="58"/>
        <v>0</v>
      </c>
      <c r="CI65" s="452">
        <f t="shared" ca="1" si="58"/>
        <v>0</v>
      </c>
      <c r="CJ65" s="452">
        <f t="shared" ca="1" si="58"/>
        <v>0</v>
      </c>
      <c r="CK65" s="452">
        <f t="shared" ca="1" si="58"/>
        <v>0</v>
      </c>
      <c r="CL65" s="452">
        <f t="shared" ca="1" si="58"/>
        <v>0</v>
      </c>
      <c r="CM65" s="452">
        <f t="shared" ca="1" si="58"/>
        <v>0</v>
      </c>
      <c r="CN65" s="452">
        <f t="shared" ca="1" si="58"/>
        <v>0</v>
      </c>
      <c r="CO65" s="452">
        <f t="shared" ca="1" si="58"/>
        <v>0</v>
      </c>
    </row>
    <row r="66" spans="1:93" ht="15" customHeight="1">
      <c r="A66" s="47"/>
      <c r="B66" s="47"/>
      <c r="C66" s="153" t="s">
        <v>951</v>
      </c>
      <c r="D66" s="153"/>
      <c r="E66" s="11"/>
      <c r="F66" s="11"/>
      <c r="G66" s="11" t="str">
        <f t="shared" si="45"/>
        <v>тыс. руб.</v>
      </c>
      <c r="H66" s="153"/>
      <c r="I66" s="23">
        <f t="shared" ca="1" si="46"/>
        <v>48932.632855995791</v>
      </c>
      <c r="J66" s="153"/>
      <c r="K66" s="153"/>
      <c r="L66" s="452">
        <f t="shared" ref="L66:AQ66" ca="1" si="59" xml:space="preserve"> (WC_Cash_Flow + VAT_Cash_Flow)  * (L$60 &lt;&gt; 0)</f>
        <v>0</v>
      </c>
      <c r="M66" s="452">
        <f t="shared" ca="1" si="59"/>
        <v>0</v>
      </c>
      <c r="N66" s="452">
        <f t="shared" ca="1" si="59"/>
        <v>0</v>
      </c>
      <c r="O66" s="452">
        <f t="shared" ca="1" si="59"/>
        <v>0</v>
      </c>
      <c r="P66" s="452">
        <f t="shared" ca="1" si="59"/>
        <v>0</v>
      </c>
      <c r="Q66" s="452">
        <f t="shared" ca="1" si="59"/>
        <v>0</v>
      </c>
      <c r="R66" s="452">
        <f t="shared" ca="1" si="59"/>
        <v>0</v>
      </c>
      <c r="S66" s="452">
        <f t="shared" ca="1" si="59"/>
        <v>0</v>
      </c>
      <c r="T66" s="452">
        <f t="shared" ca="1" si="59"/>
        <v>0</v>
      </c>
      <c r="U66" s="452">
        <f t="shared" ca="1" si="59"/>
        <v>0</v>
      </c>
      <c r="V66" s="452">
        <f t="shared" ca="1" si="59"/>
        <v>0</v>
      </c>
      <c r="W66" s="452">
        <f t="shared" ca="1" si="59"/>
        <v>0</v>
      </c>
      <c r="X66" s="452">
        <f t="shared" ca="1" si="59"/>
        <v>0</v>
      </c>
      <c r="Y66" s="452">
        <f t="shared" ca="1" si="59"/>
        <v>0</v>
      </c>
      <c r="Z66" s="452">
        <f t="shared" ca="1" si="59"/>
        <v>0</v>
      </c>
      <c r="AA66" s="452">
        <f t="shared" ca="1" si="59"/>
        <v>0</v>
      </c>
      <c r="AB66" s="452">
        <f t="shared" ca="1" si="59"/>
        <v>0</v>
      </c>
      <c r="AC66" s="452">
        <f t="shared" ca="1" si="59"/>
        <v>0</v>
      </c>
      <c r="AD66" s="452">
        <f t="shared" ca="1" si="59"/>
        <v>0</v>
      </c>
      <c r="AE66" s="452">
        <f t="shared" ca="1" si="59"/>
        <v>0</v>
      </c>
      <c r="AF66" s="452">
        <f t="shared" ca="1" si="59"/>
        <v>0</v>
      </c>
      <c r="AG66" s="452">
        <f t="shared" ca="1" si="59"/>
        <v>0</v>
      </c>
      <c r="AH66" s="452">
        <f t="shared" ca="1" si="59"/>
        <v>0</v>
      </c>
      <c r="AI66" s="452">
        <f t="shared" ca="1" si="59"/>
        <v>0</v>
      </c>
      <c r="AJ66" s="452">
        <f t="shared" ca="1" si="59"/>
        <v>0</v>
      </c>
      <c r="AK66" s="452">
        <f t="shared" ca="1" si="59"/>
        <v>0</v>
      </c>
      <c r="AL66" s="452">
        <f t="shared" ca="1" si="59"/>
        <v>0</v>
      </c>
      <c r="AM66" s="452">
        <f t="shared" ca="1" si="59"/>
        <v>0</v>
      </c>
      <c r="AN66" s="452">
        <f t="shared" ca="1" si="59"/>
        <v>0</v>
      </c>
      <c r="AO66" s="452">
        <f t="shared" ca="1" si="59"/>
        <v>-85786.183427210723</v>
      </c>
      <c r="AP66" s="452">
        <f t="shared" ca="1" si="59"/>
        <v>-75106.535733573866</v>
      </c>
      <c r="AQ66" s="452">
        <f t="shared" ca="1" si="59"/>
        <v>117845.38635684591</v>
      </c>
      <c r="AR66" s="452">
        <f t="shared" ref="AR66:BW66" ca="1" si="60" xml:space="preserve"> (WC_Cash_Flow + VAT_Cash_Flow)  * (AR$60 &lt;&gt; 0)</f>
        <v>30005.452160680041</v>
      </c>
      <c r="AS66" s="452">
        <f t="shared" ca="1" si="60"/>
        <v>-84071.262906041899</v>
      </c>
      <c r="AT66" s="452">
        <f t="shared" ca="1" si="60"/>
        <v>-77658.80487533471</v>
      </c>
      <c r="AU66" s="452">
        <f t="shared" ca="1" si="60"/>
        <v>122559.1985584434</v>
      </c>
      <c r="AV66" s="452">
        <f t="shared" ca="1" si="60"/>
        <v>31205.695979939359</v>
      </c>
      <c r="AW66" s="452">
        <f t="shared" ca="1" si="60"/>
        <v>86176.948359206988</v>
      </c>
      <c r="AX66" s="452">
        <f t="shared" ca="1" si="60"/>
        <v>11430.551848713083</v>
      </c>
      <c r="AY66" s="452">
        <f t="shared" ca="1" si="60"/>
        <v>46854.179815415497</v>
      </c>
      <c r="AZ66" s="452">
        <f t="shared" ca="1" si="60"/>
        <v>689.26407476011082</v>
      </c>
      <c r="BA66" s="452">
        <f t="shared" ca="1" si="60"/>
        <v>-30714.512608152465</v>
      </c>
      <c r="BB66" s="452">
        <f t="shared" ca="1" si="60"/>
        <v>-21208.264422956607</v>
      </c>
      <c r="BC66" s="452">
        <f t="shared" ca="1" si="60"/>
        <v>48728.347008032157</v>
      </c>
      <c r="BD66" s="452">
        <f t="shared" ca="1" si="60"/>
        <v>1344.2840225219115</v>
      </c>
      <c r="BE66" s="452">
        <f t="shared" ca="1" si="60"/>
        <v>-32570.514293805507</v>
      </c>
      <c r="BF66" s="452">
        <f t="shared" ca="1" si="60"/>
        <v>-22056.592941890864</v>
      </c>
      <c r="BG66" s="452">
        <f t="shared" ca="1" si="60"/>
        <v>50677.481186531732</v>
      </c>
      <c r="BH66" s="452">
        <f t="shared" ca="1" si="60"/>
        <v>745.47746365367493</v>
      </c>
      <c r="BI66" s="452">
        <f t="shared" ca="1" si="60"/>
        <v>-33220.81683697745</v>
      </c>
      <c r="BJ66" s="452">
        <f t="shared" ca="1" si="60"/>
        <v>-22938.85879987001</v>
      </c>
      <c r="BK66" s="452">
        <f t="shared" ca="1" si="60"/>
        <v>52704.58012388763</v>
      </c>
      <c r="BL66" s="452">
        <f t="shared" ca="1" si="60"/>
        <v>775.32834419072606</v>
      </c>
      <c r="BM66" s="452">
        <f t="shared" ca="1" si="60"/>
        <v>-34549.649510456802</v>
      </c>
      <c r="BN66" s="452">
        <f t="shared" ca="1" si="60"/>
        <v>-23856.413151864341</v>
      </c>
      <c r="BO66" s="452">
        <f t="shared" ca="1" si="60"/>
        <v>54812.763328842702</v>
      </c>
      <c r="BP66" s="452">
        <f t="shared" ca="1" si="60"/>
        <v>806.3414779585728</v>
      </c>
      <c r="BQ66" s="452">
        <f t="shared" ca="1" si="60"/>
        <v>-35931.635490874847</v>
      </c>
      <c r="BR66" s="452">
        <f t="shared" ca="1" si="60"/>
        <v>-24810.669677939179</v>
      </c>
      <c r="BS66" s="452">
        <f t="shared" ca="1" si="60"/>
        <v>57005.273861996684</v>
      </c>
      <c r="BT66" s="452">
        <f t="shared" ca="1" si="60"/>
        <v>1572.6221708184894</v>
      </c>
      <c r="BU66" s="452">
        <f t="shared" ca="1" si="60"/>
        <v>-38102.894950210481</v>
      </c>
      <c r="BV66" s="452">
        <f t="shared" ca="1" si="60"/>
        <v>-25803.094057506474</v>
      </c>
      <c r="BW66" s="452">
        <f t="shared" ca="1" si="60"/>
        <v>59285.485165302671</v>
      </c>
      <c r="BX66" s="452">
        <f t="shared" ref="BX66:CO66" ca="1" si="61" xml:space="preserve"> (WC_Cash_Flow + VAT_Cash_Flow)  * (BX$60 &lt;&gt; 0)</f>
        <v>872.10319214237097</v>
      </c>
      <c r="BY66" s="452">
        <f t="shared" ca="1" si="61"/>
        <v>-38863.656946930234</v>
      </c>
      <c r="BZ66" s="452">
        <f t="shared" ca="1" si="61"/>
        <v>-26835.220323659101</v>
      </c>
      <c r="CA66" s="452">
        <f t="shared" ca="1" si="61"/>
        <v>61656.904209135479</v>
      </c>
      <c r="CB66" s="452">
        <f t="shared" ca="1" si="61"/>
        <v>907.02450026228325</v>
      </c>
      <c r="CC66" s="452">
        <f t="shared" ca="1" si="61"/>
        <v>-40418.20322480725</v>
      </c>
      <c r="CD66" s="452">
        <f t="shared" ca="1" si="61"/>
        <v>-27908.629136605188</v>
      </c>
      <c r="CE66" s="452">
        <f t="shared" ca="1" si="61"/>
        <v>64123.180377500423</v>
      </c>
      <c r="CF66" s="452">
        <f t="shared" ca="1" si="61"/>
        <v>943.30548027300392</v>
      </c>
      <c r="CG66" s="452">
        <f t="shared" ca="1" si="61"/>
        <v>-42034.931353799897</v>
      </c>
      <c r="CH66" s="452">
        <f t="shared" ca="1" si="61"/>
        <v>-29024.974302069706</v>
      </c>
      <c r="CI66" s="452">
        <f t="shared" ca="1" si="61"/>
        <v>66688.107592601213</v>
      </c>
      <c r="CJ66" s="452">
        <f t="shared" ca="1" si="61"/>
        <v>1839.7455081777734</v>
      </c>
      <c r="CK66" s="452">
        <f t="shared" ca="1" si="61"/>
        <v>-44574.997818284755</v>
      </c>
      <c r="CL66" s="452">
        <f t="shared" ca="1" si="61"/>
        <v>-30185.970457659001</v>
      </c>
      <c r="CM66" s="452">
        <f t="shared" ca="1" si="61"/>
        <v>69355.632304382336</v>
      </c>
      <c r="CN66" s="452">
        <f t="shared" ca="1" si="61"/>
        <v>1020.237384531094</v>
      </c>
      <c r="CO66" s="452">
        <f t="shared" ca="1" si="61"/>
        <v>-45464.981752270163</v>
      </c>
    </row>
    <row r="67" spans="1:93" ht="15" customHeight="1">
      <c r="A67" s="47"/>
      <c r="B67" s="47"/>
      <c r="C67" s="323" t="s">
        <v>952</v>
      </c>
      <c r="D67" s="323"/>
      <c r="E67" s="323"/>
      <c r="F67" s="323"/>
      <c r="G67" s="324" t="str">
        <f t="shared" si="45"/>
        <v>тыс. руб.</v>
      </c>
      <c r="H67" s="323"/>
      <c r="I67" s="23">
        <f t="shared" ca="1" si="46"/>
        <v>12160353.988393979</v>
      </c>
      <c r="J67" s="323"/>
      <c r="K67" s="323"/>
      <c r="L67" s="323">
        <f ca="1">SUM(L62:L66)</f>
        <v>0</v>
      </c>
      <c r="M67" s="323">
        <f t="shared" ref="M67:P67" ca="1" si="62">SUM(M62:M66)</f>
        <v>0</v>
      </c>
      <c r="N67" s="323">
        <f t="shared" ca="1" si="62"/>
        <v>0</v>
      </c>
      <c r="O67" s="323">
        <f t="shared" ca="1" si="62"/>
        <v>0</v>
      </c>
      <c r="P67" s="323">
        <f t="shared" ca="1" si="62"/>
        <v>0</v>
      </c>
      <c r="Q67" s="323">
        <f t="shared" ref="Q67:BS67" ca="1" si="63">SUM(Q62:Q66)</f>
        <v>0</v>
      </c>
      <c r="R67" s="323">
        <f t="shared" ca="1" si="63"/>
        <v>0</v>
      </c>
      <c r="S67" s="323">
        <f t="shared" ca="1" si="63"/>
        <v>0</v>
      </c>
      <c r="T67" s="323">
        <f t="shared" ca="1" si="63"/>
        <v>0</v>
      </c>
      <c r="U67" s="323">
        <f t="shared" ca="1" si="63"/>
        <v>0</v>
      </c>
      <c r="V67" s="323">
        <f t="shared" ca="1" si="63"/>
        <v>0</v>
      </c>
      <c r="W67" s="323">
        <f t="shared" ca="1" si="63"/>
        <v>0</v>
      </c>
      <c r="X67" s="323">
        <f t="shared" ca="1" si="63"/>
        <v>0</v>
      </c>
      <c r="Y67" s="323">
        <f t="shared" ca="1" si="63"/>
        <v>0</v>
      </c>
      <c r="Z67" s="323">
        <f t="shared" ca="1" si="63"/>
        <v>0</v>
      </c>
      <c r="AA67" s="323">
        <f t="shared" ca="1" si="63"/>
        <v>0</v>
      </c>
      <c r="AB67" s="323">
        <f t="shared" ca="1" si="63"/>
        <v>0</v>
      </c>
      <c r="AC67" s="323">
        <f t="shared" ca="1" si="63"/>
        <v>0</v>
      </c>
      <c r="AD67" s="323">
        <f t="shared" ca="1" si="63"/>
        <v>0</v>
      </c>
      <c r="AE67" s="323">
        <f t="shared" ca="1" si="63"/>
        <v>0</v>
      </c>
      <c r="AF67" s="323">
        <f t="shared" ca="1" si="63"/>
        <v>0</v>
      </c>
      <c r="AG67" s="323">
        <f t="shared" ca="1" si="63"/>
        <v>0</v>
      </c>
      <c r="AH67" s="323">
        <f t="shared" ca="1" si="63"/>
        <v>0</v>
      </c>
      <c r="AI67" s="323">
        <f t="shared" ca="1" si="63"/>
        <v>0</v>
      </c>
      <c r="AJ67" s="323">
        <f t="shared" ca="1" si="63"/>
        <v>0</v>
      </c>
      <c r="AK67" s="323">
        <f t="shared" ca="1" si="63"/>
        <v>0</v>
      </c>
      <c r="AL67" s="323">
        <f t="shared" ca="1" si="63"/>
        <v>0</v>
      </c>
      <c r="AM67" s="323">
        <f t="shared" ca="1" si="63"/>
        <v>0</v>
      </c>
      <c r="AN67" s="323">
        <f t="shared" ca="1" si="63"/>
        <v>0</v>
      </c>
      <c r="AO67" s="323">
        <f t="shared" ca="1" si="63"/>
        <v>233586.89973023714</v>
      </c>
      <c r="AP67" s="323">
        <f t="shared" ca="1" si="63"/>
        <v>325549.15341746679</v>
      </c>
      <c r="AQ67" s="323">
        <f t="shared" ca="1" si="63"/>
        <v>344264.42635954136</v>
      </c>
      <c r="AR67" s="323">
        <f t="shared" ca="1" si="63"/>
        <v>244720.01765899936</v>
      </c>
      <c r="AS67" s="323">
        <f t="shared" ca="1" si="63"/>
        <v>245371.38903551598</v>
      </c>
      <c r="AT67" s="323">
        <f t="shared" ca="1" si="63"/>
        <v>336386.65140151902</v>
      </c>
      <c r="AU67" s="323">
        <f t="shared" ca="1" si="63"/>
        <v>348751.24183030112</v>
      </c>
      <c r="AV67" s="323">
        <f t="shared" ca="1" si="63"/>
        <v>245860.6656302287</v>
      </c>
      <c r="AW67" s="323">
        <f t="shared" ca="1" si="63"/>
        <v>290065.849246628</v>
      </c>
      <c r="AX67" s="323">
        <f t="shared" ca="1" si="63"/>
        <v>267338.87949031411</v>
      </c>
      <c r="AY67" s="323">
        <f t="shared" ca="1" si="63"/>
        <v>192946.3253742223</v>
      </c>
      <c r="AZ67" s="323">
        <f t="shared" ca="1" si="63"/>
        <v>139335.02312294859</v>
      </c>
      <c r="BA67" s="323">
        <f t="shared" ca="1" si="63"/>
        <v>181429.79796272557</v>
      </c>
      <c r="BB67" s="323">
        <f t="shared" ca="1" si="63"/>
        <v>244992.82010288216</v>
      </c>
      <c r="BC67" s="323">
        <f t="shared" ca="1" si="63"/>
        <v>200931.6230740319</v>
      </c>
      <c r="BD67" s="323">
        <f t="shared" ca="1" si="63"/>
        <v>147403.48478872963</v>
      </c>
      <c r="BE67" s="323">
        <f t="shared" ca="1" si="63"/>
        <v>186301.34108147165</v>
      </c>
      <c r="BF67" s="323">
        <f t="shared" ca="1" si="63"/>
        <v>252969.17768955522</v>
      </c>
      <c r="BG67" s="323">
        <f t="shared" ca="1" si="63"/>
        <v>207259.78769129212</v>
      </c>
      <c r="BH67" s="323">
        <f t="shared" ca="1" si="63"/>
        <v>149271.3857948205</v>
      </c>
      <c r="BI67" s="323">
        <f t="shared" ca="1" si="63"/>
        <v>194467.00727934245</v>
      </c>
      <c r="BJ67" s="323">
        <f t="shared" ca="1" si="63"/>
        <v>263143.28819603729</v>
      </c>
      <c r="BK67" s="323">
        <f t="shared" ca="1" si="63"/>
        <v>215603.7609729098</v>
      </c>
      <c r="BL67" s="323">
        <f t="shared" ca="1" si="63"/>
        <v>155296.66139235115</v>
      </c>
      <c r="BM67" s="323">
        <f t="shared" ca="1" si="63"/>
        <v>202301.54613887856</v>
      </c>
      <c r="BN67" s="323">
        <f t="shared" ca="1" si="63"/>
        <v>273726.34847685776</v>
      </c>
      <c r="BO67" s="323">
        <f t="shared" ca="1" si="63"/>
        <v>211339.56051991874</v>
      </c>
      <c r="BP67" s="323">
        <f t="shared" ca="1" si="63"/>
        <v>149413.85129333788</v>
      </c>
      <c r="BQ67" s="323">
        <f t="shared" ca="1" si="63"/>
        <v>190474.50395881923</v>
      </c>
      <c r="BR67" s="323">
        <f t="shared" ca="1" si="63"/>
        <v>258984.87029722307</v>
      </c>
      <c r="BS67" s="323">
        <f t="shared" ca="1" si="63"/>
        <v>219743.48235772018</v>
      </c>
      <c r="BT67" s="323">
        <f t="shared" ref="BT67:CO67" ca="1" si="64">SUM(BT62:BT66)</f>
        <v>157749.91729861218</v>
      </c>
      <c r="BU67" s="323">
        <f t="shared" ca="1" si="64"/>
        <v>197317.58972668706</v>
      </c>
      <c r="BV67" s="323">
        <f t="shared" ca="1" si="64"/>
        <v>269303.81083330908</v>
      </c>
      <c r="BW67" s="323">
        <f t="shared" ca="1" si="64"/>
        <v>228492.77329331194</v>
      </c>
      <c r="BX67" s="323">
        <f t="shared" ca="1" si="64"/>
        <v>161499.22810249944</v>
      </c>
      <c r="BY67" s="323">
        <f t="shared" ca="1" si="64"/>
        <v>205913.19083422469</v>
      </c>
      <c r="BZ67" s="323">
        <f t="shared" ca="1" si="64"/>
        <v>280016.72812416521</v>
      </c>
      <c r="CA67" s="323">
        <f t="shared" ca="1" si="64"/>
        <v>237573.24292879915</v>
      </c>
      <c r="CB67" s="323">
        <f t="shared" ca="1" si="64"/>
        <v>167906.9021982312</v>
      </c>
      <c r="CC67" s="323">
        <f t="shared" ca="1" si="64"/>
        <v>214098.72207169505</v>
      </c>
      <c r="CD67" s="323">
        <f t="shared" ca="1" si="64"/>
        <v>291167.7366661366</v>
      </c>
      <c r="CE67" s="323">
        <f t="shared" ca="1" si="64"/>
        <v>247026.51206295509</v>
      </c>
      <c r="CF67" s="323">
        <f t="shared" ca="1" si="64"/>
        <v>174570.84607735806</v>
      </c>
      <c r="CG67" s="323">
        <f t="shared" ca="1" si="64"/>
        <v>222611.67455866357</v>
      </c>
      <c r="CH67" s="323">
        <f t="shared" ca="1" si="64"/>
        <v>302764.78554978635</v>
      </c>
      <c r="CI67" s="323">
        <f t="shared" ca="1" si="64"/>
        <v>256857.91196247863</v>
      </c>
      <c r="CJ67" s="323">
        <f t="shared" ca="1" si="64"/>
        <v>184327.12636069866</v>
      </c>
      <c r="CK67" s="323">
        <f t="shared" ca="1" si="64"/>
        <v>230615.70664995749</v>
      </c>
      <c r="CL67" s="323">
        <f t="shared" ca="1" si="64"/>
        <v>314835.06059641473</v>
      </c>
      <c r="CM67" s="323">
        <f t="shared" ca="1" si="64"/>
        <v>267091.91898776789</v>
      </c>
      <c r="CN67" s="323">
        <f t="shared" ca="1" si="64"/>
        <v>188709.02758838091</v>
      </c>
      <c r="CO67" s="323">
        <f t="shared" ca="1" si="64"/>
        <v>240672.75455501603</v>
      </c>
    </row>
    <row r="68" spans="1:93" ht="15" customHeight="1">
      <c r="A68" s="47"/>
      <c r="B68" s="47"/>
      <c r="C68" s="326" t="s">
        <v>962</v>
      </c>
      <c r="D68" s="326"/>
      <c r="E68" s="326"/>
      <c r="F68" s="326"/>
      <c r="G68" s="327" t="str">
        <f t="shared" si="45"/>
        <v>тыс. руб.</v>
      </c>
      <c r="H68" s="326"/>
      <c r="I68" s="23">
        <f t="shared" ca="1" si="46"/>
        <v>1011308.7617275796</v>
      </c>
      <c r="J68" s="326"/>
      <c r="K68" s="326"/>
      <c r="L68" s="326">
        <f t="shared" ref="L68:AQ68" ca="1" si="65" xml:space="preserve"> SUM(I67:L67) * MAX($I59,0) * Flag_Last_Operations</f>
        <v>0</v>
      </c>
      <c r="M68" s="326">
        <f t="shared" ca="1" si="65"/>
        <v>0</v>
      </c>
      <c r="N68" s="326">
        <f t="shared" ca="1" si="65"/>
        <v>0</v>
      </c>
      <c r="O68" s="326">
        <f t="shared" ca="1" si="65"/>
        <v>0</v>
      </c>
      <c r="P68" s="326">
        <f t="shared" ca="1" si="65"/>
        <v>0</v>
      </c>
      <c r="Q68" s="326">
        <f t="shared" ca="1" si="65"/>
        <v>0</v>
      </c>
      <c r="R68" s="326">
        <f t="shared" ca="1" si="65"/>
        <v>0</v>
      </c>
      <c r="S68" s="326">
        <f t="shared" ca="1" si="65"/>
        <v>0</v>
      </c>
      <c r="T68" s="326">
        <f t="shared" ca="1" si="65"/>
        <v>0</v>
      </c>
      <c r="U68" s="326">
        <f t="shared" ca="1" si="65"/>
        <v>0</v>
      </c>
      <c r="V68" s="326">
        <f t="shared" ca="1" si="65"/>
        <v>0</v>
      </c>
      <c r="W68" s="326">
        <f t="shared" ca="1" si="65"/>
        <v>0</v>
      </c>
      <c r="X68" s="326">
        <f t="shared" ca="1" si="65"/>
        <v>0</v>
      </c>
      <c r="Y68" s="326">
        <f t="shared" ca="1" si="65"/>
        <v>0</v>
      </c>
      <c r="Z68" s="326">
        <f t="shared" ca="1" si="65"/>
        <v>0</v>
      </c>
      <c r="AA68" s="326">
        <f t="shared" ca="1" si="65"/>
        <v>0</v>
      </c>
      <c r="AB68" s="326">
        <f t="shared" ca="1" si="65"/>
        <v>0</v>
      </c>
      <c r="AC68" s="326">
        <f t="shared" ca="1" si="65"/>
        <v>0</v>
      </c>
      <c r="AD68" s="326">
        <f t="shared" ca="1" si="65"/>
        <v>0</v>
      </c>
      <c r="AE68" s="326">
        <f t="shared" ca="1" si="65"/>
        <v>0</v>
      </c>
      <c r="AF68" s="326">
        <f t="shared" ca="1" si="65"/>
        <v>0</v>
      </c>
      <c r="AG68" s="326">
        <f t="shared" ca="1" si="65"/>
        <v>0</v>
      </c>
      <c r="AH68" s="326">
        <f t="shared" ca="1" si="65"/>
        <v>0</v>
      </c>
      <c r="AI68" s="326">
        <f t="shared" ca="1" si="65"/>
        <v>0</v>
      </c>
      <c r="AJ68" s="326">
        <f t="shared" ca="1" si="65"/>
        <v>0</v>
      </c>
      <c r="AK68" s="326">
        <f t="shared" ca="1" si="65"/>
        <v>0</v>
      </c>
      <c r="AL68" s="326">
        <f t="shared" ca="1" si="65"/>
        <v>0</v>
      </c>
      <c r="AM68" s="326">
        <f t="shared" ca="1" si="65"/>
        <v>0</v>
      </c>
      <c r="AN68" s="326">
        <f t="shared" ca="1" si="65"/>
        <v>0</v>
      </c>
      <c r="AO68" s="326">
        <f t="shared" ca="1" si="65"/>
        <v>0</v>
      </c>
      <c r="AP68" s="326">
        <f t="shared" ca="1" si="65"/>
        <v>0</v>
      </c>
      <c r="AQ68" s="326">
        <f t="shared" ca="1" si="65"/>
        <v>0</v>
      </c>
      <c r="AR68" s="326">
        <f t="shared" ref="AR68:BW68" ca="1" si="66" xml:space="preserve"> SUM(AO67:AR67) * MAX($I59,0) * Flag_Last_Operations</f>
        <v>0</v>
      </c>
      <c r="AS68" s="326">
        <f t="shared" ca="1" si="66"/>
        <v>0</v>
      </c>
      <c r="AT68" s="326">
        <f t="shared" ca="1" si="66"/>
        <v>0</v>
      </c>
      <c r="AU68" s="326">
        <f t="shared" ca="1" si="66"/>
        <v>0</v>
      </c>
      <c r="AV68" s="326">
        <f t="shared" ca="1" si="66"/>
        <v>0</v>
      </c>
      <c r="AW68" s="326">
        <f t="shared" ca="1" si="66"/>
        <v>0</v>
      </c>
      <c r="AX68" s="326">
        <f t="shared" ca="1" si="66"/>
        <v>0</v>
      </c>
      <c r="AY68" s="326">
        <f t="shared" ca="1" si="66"/>
        <v>0</v>
      </c>
      <c r="AZ68" s="326">
        <f t="shared" ca="1" si="66"/>
        <v>0</v>
      </c>
      <c r="BA68" s="326">
        <f t="shared" ca="1" si="66"/>
        <v>0</v>
      </c>
      <c r="BB68" s="326">
        <f t="shared" ca="1" si="66"/>
        <v>0</v>
      </c>
      <c r="BC68" s="326">
        <f t="shared" ca="1" si="66"/>
        <v>0</v>
      </c>
      <c r="BD68" s="326">
        <f t="shared" ca="1" si="66"/>
        <v>0</v>
      </c>
      <c r="BE68" s="326">
        <f t="shared" ca="1" si="66"/>
        <v>0</v>
      </c>
      <c r="BF68" s="326">
        <f t="shared" ca="1" si="66"/>
        <v>0</v>
      </c>
      <c r="BG68" s="326">
        <f t="shared" ca="1" si="66"/>
        <v>0</v>
      </c>
      <c r="BH68" s="326">
        <f t="shared" ca="1" si="66"/>
        <v>0</v>
      </c>
      <c r="BI68" s="326">
        <f t="shared" ca="1" si="66"/>
        <v>0</v>
      </c>
      <c r="BJ68" s="326">
        <f t="shared" ca="1" si="66"/>
        <v>0</v>
      </c>
      <c r="BK68" s="326">
        <f t="shared" ca="1" si="66"/>
        <v>0</v>
      </c>
      <c r="BL68" s="326">
        <f t="shared" ca="1" si="66"/>
        <v>0</v>
      </c>
      <c r="BM68" s="326">
        <f t="shared" ca="1" si="66"/>
        <v>0</v>
      </c>
      <c r="BN68" s="326">
        <f t="shared" ca="1" si="66"/>
        <v>0</v>
      </c>
      <c r="BO68" s="326">
        <f t="shared" ca="1" si="66"/>
        <v>0</v>
      </c>
      <c r="BP68" s="326">
        <f t="shared" ca="1" si="66"/>
        <v>0</v>
      </c>
      <c r="BQ68" s="326">
        <f t="shared" ca="1" si="66"/>
        <v>0</v>
      </c>
      <c r="BR68" s="326">
        <f t="shared" ca="1" si="66"/>
        <v>0</v>
      </c>
      <c r="BS68" s="326">
        <f t="shared" ca="1" si="66"/>
        <v>0</v>
      </c>
      <c r="BT68" s="326">
        <f t="shared" ca="1" si="66"/>
        <v>0</v>
      </c>
      <c r="BU68" s="326">
        <f t="shared" ca="1" si="66"/>
        <v>0</v>
      </c>
      <c r="BV68" s="326">
        <f t="shared" ca="1" si="66"/>
        <v>0</v>
      </c>
      <c r="BW68" s="326">
        <f t="shared" ca="1" si="66"/>
        <v>0</v>
      </c>
      <c r="BX68" s="326">
        <f t="shared" ref="BX68:CO68" ca="1" si="67" xml:space="preserve"> SUM(BU67:BX67) * MAX($I59,0) * Flag_Last_Operations</f>
        <v>0</v>
      </c>
      <c r="BY68" s="326">
        <f t="shared" ca="1" si="67"/>
        <v>0</v>
      </c>
      <c r="BZ68" s="326">
        <f t="shared" ca="1" si="67"/>
        <v>0</v>
      </c>
      <c r="CA68" s="326">
        <f t="shared" ca="1" si="67"/>
        <v>0</v>
      </c>
      <c r="CB68" s="326">
        <f t="shared" ca="1" si="67"/>
        <v>0</v>
      </c>
      <c r="CC68" s="326">
        <f t="shared" ca="1" si="67"/>
        <v>0</v>
      </c>
      <c r="CD68" s="326">
        <f t="shared" ca="1" si="67"/>
        <v>0</v>
      </c>
      <c r="CE68" s="326">
        <f t="shared" ca="1" si="67"/>
        <v>0</v>
      </c>
      <c r="CF68" s="326">
        <f t="shared" ca="1" si="67"/>
        <v>0</v>
      </c>
      <c r="CG68" s="326">
        <f t="shared" ca="1" si="67"/>
        <v>0</v>
      </c>
      <c r="CH68" s="326">
        <f t="shared" ca="1" si="67"/>
        <v>0</v>
      </c>
      <c r="CI68" s="326">
        <f t="shared" ca="1" si="67"/>
        <v>0</v>
      </c>
      <c r="CJ68" s="326">
        <f t="shared" ca="1" si="67"/>
        <v>0</v>
      </c>
      <c r="CK68" s="326">
        <f t="shared" ca="1" si="67"/>
        <v>0</v>
      </c>
      <c r="CL68" s="326">
        <f t="shared" ca="1" si="67"/>
        <v>0</v>
      </c>
      <c r="CM68" s="326">
        <f t="shared" ca="1" si="67"/>
        <v>0</v>
      </c>
      <c r="CN68" s="326">
        <f t="shared" ca="1" si="67"/>
        <v>0</v>
      </c>
      <c r="CO68" s="326">
        <f t="shared" ca="1" si="67"/>
        <v>1011308.7617275796</v>
      </c>
    </row>
    <row r="69" spans="1:93" ht="15" customHeight="1">
      <c r="A69" s="47"/>
      <c r="B69" s="47"/>
      <c r="C69" s="217" t="s">
        <v>955</v>
      </c>
      <c r="D69" s="217"/>
      <c r="E69" s="335"/>
      <c r="F69" s="335"/>
      <c r="G69" s="335" t="s">
        <v>956</v>
      </c>
      <c r="H69" s="217"/>
      <c r="I69" s="336"/>
      <c r="J69" s="217"/>
      <c r="K69" s="217"/>
      <c r="L69" s="337">
        <f t="shared" ref="L69:AQ69" ca="1" si="68" xml:space="preserve"> (1 + $I$58) ^ L60  * (L60 &lt;&gt; 0)</f>
        <v>0</v>
      </c>
      <c r="M69" s="337">
        <f t="shared" ca="1" si="68"/>
        <v>0</v>
      </c>
      <c r="N69" s="337">
        <f t="shared" ca="1" si="68"/>
        <v>0</v>
      </c>
      <c r="O69" s="337">
        <f t="shared" ca="1" si="68"/>
        <v>0</v>
      </c>
      <c r="P69" s="337">
        <f t="shared" ca="1" si="68"/>
        <v>0</v>
      </c>
      <c r="Q69" s="337">
        <f t="shared" ca="1" si="68"/>
        <v>0</v>
      </c>
      <c r="R69" s="337">
        <f t="shared" ca="1" si="68"/>
        <v>0</v>
      </c>
      <c r="S69" s="337">
        <f t="shared" ca="1" si="68"/>
        <v>0</v>
      </c>
      <c r="T69" s="337">
        <f t="shared" ca="1" si="68"/>
        <v>0</v>
      </c>
      <c r="U69" s="337">
        <f t="shared" ca="1" si="68"/>
        <v>0</v>
      </c>
      <c r="V69" s="337">
        <f t="shared" ca="1" si="68"/>
        <v>0</v>
      </c>
      <c r="W69" s="337">
        <f t="shared" ca="1" si="68"/>
        <v>0</v>
      </c>
      <c r="X69" s="337">
        <f t="shared" ca="1" si="68"/>
        <v>0</v>
      </c>
      <c r="Y69" s="337">
        <f t="shared" ca="1" si="68"/>
        <v>0</v>
      </c>
      <c r="Z69" s="337">
        <f t="shared" ca="1" si="68"/>
        <v>0</v>
      </c>
      <c r="AA69" s="337">
        <f t="shared" ca="1" si="68"/>
        <v>0</v>
      </c>
      <c r="AB69" s="337">
        <f t="shared" ca="1" si="68"/>
        <v>0</v>
      </c>
      <c r="AC69" s="337">
        <f t="shared" ca="1" si="68"/>
        <v>0</v>
      </c>
      <c r="AD69" s="337">
        <f t="shared" ca="1" si="68"/>
        <v>0</v>
      </c>
      <c r="AE69" s="337">
        <f t="shared" ca="1" si="68"/>
        <v>0</v>
      </c>
      <c r="AF69" s="337">
        <f t="shared" ca="1" si="68"/>
        <v>0</v>
      </c>
      <c r="AG69" s="337">
        <f t="shared" ca="1" si="68"/>
        <v>0</v>
      </c>
      <c r="AH69" s="337">
        <f t="shared" ca="1" si="68"/>
        <v>0</v>
      </c>
      <c r="AI69" s="337">
        <f t="shared" ca="1" si="68"/>
        <v>0</v>
      </c>
      <c r="AJ69" s="337">
        <f t="shared" ca="1" si="68"/>
        <v>0</v>
      </c>
      <c r="AK69" s="337">
        <f t="shared" ca="1" si="68"/>
        <v>0</v>
      </c>
      <c r="AL69" s="337">
        <f t="shared" ca="1" si="68"/>
        <v>0</v>
      </c>
      <c r="AM69" s="337">
        <f t="shared" ca="1" si="68"/>
        <v>0</v>
      </c>
      <c r="AN69" s="337">
        <f t="shared" ca="1" si="68"/>
        <v>0</v>
      </c>
      <c r="AO69" s="337">
        <f t="shared" ca="1" si="68"/>
        <v>1.0499711836453776</v>
      </c>
      <c r="AP69" s="337">
        <f t="shared" ca="1" si="68"/>
        <v>1.1024394864856752</v>
      </c>
      <c r="AQ69" s="337">
        <f t="shared" ca="1" si="68"/>
        <v>1.1575296925227667</v>
      </c>
      <c r="AR69" s="337">
        <f t="shared" ref="AR69:BS69" ca="1" si="69" xml:space="preserve"> (1 + $I$58) ^ AR60  * (AR60 &lt;&gt; 0)</f>
        <v>1.2153728213627992</v>
      </c>
      <c r="AS69" s="337">
        <f t="shared" ca="1" si="69"/>
        <v>1.2761064398167203</v>
      </c>
      <c r="AT69" s="337">
        <f t="shared" ca="1" si="69"/>
        <v>1.3398749890718507</v>
      </c>
      <c r="AU69" s="337">
        <f t="shared" ca="1" si="69"/>
        <v>1.4068301282126083</v>
      </c>
      <c r="AV69" s="337">
        <f t="shared" ca="1" si="69"/>
        <v>1.4771310949073706</v>
      </c>
      <c r="AW69" s="337">
        <f t="shared" ca="1" si="69"/>
        <v>1.5509450841192844</v>
      </c>
      <c r="AX69" s="337">
        <f t="shared" ca="1" si="69"/>
        <v>1.6284476457417048</v>
      </c>
      <c r="AY69" s="337">
        <f t="shared" ca="1" si="69"/>
        <v>1.7098231021039463</v>
      </c>
      <c r="AZ69" s="337">
        <f t="shared" ca="1" si="69"/>
        <v>1.7952649863402919</v>
      </c>
      <c r="BA69" s="337">
        <f t="shared" ca="1" si="69"/>
        <v>1.8849765026648189</v>
      </c>
      <c r="BB69" s="337">
        <f t="shared" ca="1" si="69"/>
        <v>1.9791710096467041</v>
      </c>
      <c r="BC69" s="337">
        <f t="shared" ca="1" si="69"/>
        <v>2.0780725276353667</v>
      </c>
      <c r="BD69" s="337">
        <f t="shared" ca="1" si="69"/>
        <v>2.1819162715422475</v>
      </c>
      <c r="BE69" s="337">
        <f t="shared" ca="1" si="69"/>
        <v>2.2909492102463229</v>
      </c>
      <c r="BF69" s="337">
        <f t="shared" ca="1" si="69"/>
        <v>2.4054306539537746</v>
      </c>
      <c r="BG69" s="337">
        <f t="shared" ca="1" si="69"/>
        <v>2.5256328709087192</v>
      </c>
      <c r="BH69" s="337">
        <f t="shared" ca="1" si="69"/>
        <v>2.6518417349217009</v>
      </c>
      <c r="BI69" s="337">
        <f t="shared" ca="1" si="69"/>
        <v>2.7843574052559501</v>
      </c>
      <c r="BJ69" s="337">
        <f t="shared" ca="1" si="69"/>
        <v>2.923495040488362</v>
      </c>
      <c r="BK69" s="337">
        <f t="shared" ca="1" si="69"/>
        <v>3.0695855480429564</v>
      </c>
      <c r="BL69" s="337">
        <f t="shared" ca="1" si="69"/>
        <v>3.2229763711794077</v>
      </c>
      <c r="BM69" s="337">
        <f t="shared" ca="1" si="69"/>
        <v>3.3840323153083274</v>
      </c>
      <c r="BN69" s="337">
        <f t="shared" ca="1" si="69"/>
        <v>3.5531364155984919</v>
      </c>
      <c r="BO69" s="337">
        <f t="shared" ca="1" si="69"/>
        <v>3.7306908479394423</v>
      </c>
      <c r="BP69" s="337">
        <f t="shared" ca="1" si="69"/>
        <v>3.9171178854259536</v>
      </c>
      <c r="BQ69" s="337">
        <f t="shared" ca="1" si="69"/>
        <v>4.1128609026391674</v>
      </c>
      <c r="BR69" s="337">
        <f t="shared" ca="1" si="69"/>
        <v>4.3183854301128415</v>
      </c>
      <c r="BS69" s="337">
        <f t="shared" ca="1" si="69"/>
        <v>4.5341802614925335</v>
      </c>
      <c r="BT69" s="337">
        <f t="shared" ref="BT69:CO69" ca="1" si="70" xml:space="preserve"> (1 + $I$58) ^ BT60  * (BT60 &lt;&gt; 0)</f>
        <v>4.7607586160208228</v>
      </c>
      <c r="BU69" s="337">
        <f t="shared" ca="1" si="70"/>
        <v>4.9986593591133142</v>
      </c>
      <c r="BV69" s="337">
        <f t="shared" ca="1" si="70"/>
        <v>5.2484482839282514</v>
      </c>
      <c r="BW69" s="337">
        <f t="shared" ca="1" si="70"/>
        <v>5.5107194569776956</v>
      </c>
      <c r="BX69" s="337">
        <f t="shared" ca="1" si="70"/>
        <v>5.7860966309804827</v>
      </c>
      <c r="BY69" s="337">
        <f t="shared" ca="1" si="70"/>
        <v>6.0752347283171098</v>
      </c>
      <c r="BZ69" s="337">
        <f t="shared" ca="1" si="70"/>
        <v>6.3788213986146189</v>
      </c>
      <c r="CA69" s="337">
        <f t="shared" ca="1" si="70"/>
        <v>6.6975786541658549</v>
      </c>
      <c r="CB69" s="337">
        <f t="shared" ca="1" si="70"/>
        <v>7.032264587072536</v>
      </c>
      <c r="CC69" s="337">
        <f t="shared" ca="1" si="70"/>
        <v>7.3836751721960248</v>
      </c>
      <c r="CD69" s="337">
        <f t="shared" ca="1" si="70"/>
        <v>7.7526461602036481</v>
      </c>
      <c r="CE69" s="337">
        <f t="shared" ca="1" si="70"/>
        <v>8.1400550652128167</v>
      </c>
      <c r="CF69" s="337">
        <f t="shared" ca="1" si="70"/>
        <v>8.5468232517600491</v>
      </c>
      <c r="CG69" s="337">
        <f t="shared" ca="1" si="70"/>
        <v>8.9739181260583329</v>
      </c>
      <c r="CH69" s="337">
        <f t="shared" ca="1" si="70"/>
        <v>9.4223554367541773</v>
      </c>
      <c r="CI69" s="337">
        <f t="shared" ca="1" si="70"/>
        <v>9.8932016906562428</v>
      </c>
      <c r="CJ69" s="337">
        <f t="shared" ca="1" si="70"/>
        <v>10.387576689180785</v>
      </c>
      <c r="CK69" s="337">
        <f t="shared" ca="1" si="70"/>
        <v>10.906656191546283</v>
      </c>
      <c r="CL69" s="337">
        <f t="shared" ca="1" si="70"/>
        <v>11.451674711051037</v>
      </c>
      <c r="CM69" s="337">
        <f t="shared" ca="1" si="70"/>
        <v>12.023928451084096</v>
      </c>
      <c r="CN69" s="337">
        <f t="shared" ca="1" si="70"/>
        <v>12.624778387852094</v>
      </c>
      <c r="CO69" s="337">
        <f t="shared" ca="1" si="70"/>
        <v>13.255653507153646</v>
      </c>
    </row>
    <row r="70" spans="1:93" ht="15" customHeight="1">
      <c r="A70" s="47"/>
      <c r="B70" s="47"/>
      <c r="C70" s="323" t="s">
        <v>957</v>
      </c>
      <c r="D70" s="323"/>
      <c r="E70" s="323"/>
      <c r="F70" s="323"/>
      <c r="G70" s="324" t="str">
        <f>Monetary_Unit</f>
        <v>тыс. руб.</v>
      </c>
      <c r="H70" s="323"/>
      <c r="I70" s="23">
        <f ca="1">SUM(L70:CO70)</f>
        <v>4518283.6114223544</v>
      </c>
      <c r="J70" s="323"/>
      <c r="K70" s="323"/>
      <c r="L70" s="323">
        <f t="shared" ref="L70:P70" ca="1" si="71" xml:space="preserve"> IFERROR( SUM(L67,L68) / L69,0)</f>
        <v>0</v>
      </c>
      <c r="M70" s="323">
        <f t="shared" ca="1" si="71"/>
        <v>0</v>
      </c>
      <c r="N70" s="323">
        <f t="shared" ca="1" si="71"/>
        <v>0</v>
      </c>
      <c r="O70" s="323">
        <f t="shared" ca="1" si="71"/>
        <v>0</v>
      </c>
      <c r="P70" s="323">
        <f t="shared" ca="1" si="71"/>
        <v>0</v>
      </c>
      <c r="Q70" s="323">
        <f t="shared" ref="Q70:BS70" ca="1" si="72" xml:space="preserve"> IFERROR( SUM(Q67,Q68) / Q69,0)</f>
        <v>0</v>
      </c>
      <c r="R70" s="323">
        <f t="shared" ca="1" si="72"/>
        <v>0</v>
      </c>
      <c r="S70" s="323">
        <f t="shared" ca="1" si="72"/>
        <v>0</v>
      </c>
      <c r="T70" s="323">
        <f t="shared" ca="1" si="72"/>
        <v>0</v>
      </c>
      <c r="U70" s="323">
        <f t="shared" ca="1" si="72"/>
        <v>0</v>
      </c>
      <c r="V70" s="323">
        <f t="shared" ca="1" si="72"/>
        <v>0</v>
      </c>
      <c r="W70" s="323">
        <f t="shared" ca="1" si="72"/>
        <v>0</v>
      </c>
      <c r="X70" s="323">
        <f t="shared" ca="1" si="72"/>
        <v>0</v>
      </c>
      <c r="Y70" s="323">
        <f t="shared" ca="1" si="72"/>
        <v>0</v>
      </c>
      <c r="Z70" s="323">
        <f t="shared" ca="1" si="72"/>
        <v>0</v>
      </c>
      <c r="AA70" s="323">
        <f t="shared" ca="1" si="72"/>
        <v>0</v>
      </c>
      <c r="AB70" s="323">
        <f t="shared" ca="1" si="72"/>
        <v>0</v>
      </c>
      <c r="AC70" s="323">
        <f t="shared" ca="1" si="72"/>
        <v>0</v>
      </c>
      <c r="AD70" s="323">
        <f t="shared" ca="1" si="72"/>
        <v>0</v>
      </c>
      <c r="AE70" s="323">
        <f t="shared" ca="1" si="72"/>
        <v>0</v>
      </c>
      <c r="AF70" s="323">
        <f t="shared" ca="1" si="72"/>
        <v>0</v>
      </c>
      <c r="AG70" s="323">
        <f t="shared" ca="1" si="72"/>
        <v>0</v>
      </c>
      <c r="AH70" s="323">
        <f t="shared" ca="1" si="72"/>
        <v>0</v>
      </c>
      <c r="AI70" s="323">
        <f t="shared" ca="1" si="72"/>
        <v>0</v>
      </c>
      <c r="AJ70" s="323">
        <f t="shared" ca="1" si="72"/>
        <v>0</v>
      </c>
      <c r="AK70" s="323">
        <f t="shared" ca="1" si="72"/>
        <v>0</v>
      </c>
      <c r="AL70" s="323">
        <f t="shared" ca="1" si="72"/>
        <v>0</v>
      </c>
      <c r="AM70" s="323">
        <f t="shared" ca="1" si="72"/>
        <v>0</v>
      </c>
      <c r="AN70" s="323">
        <f t="shared" ca="1" si="72"/>
        <v>0</v>
      </c>
      <c r="AO70" s="323">
        <f t="shared" ca="1" si="72"/>
        <v>222469.81952328506</v>
      </c>
      <c r="AP70" s="323">
        <f t="shared" ca="1" si="72"/>
        <v>295298.88706657541</v>
      </c>
      <c r="AQ70" s="323">
        <f t="shared" ca="1" si="72"/>
        <v>297413.04139614565</v>
      </c>
      <c r="AR70" s="323">
        <f t="shared" ca="1" si="72"/>
        <v>201353.86718998247</v>
      </c>
      <c r="AS70" s="323">
        <f t="shared" ca="1" si="72"/>
        <v>192281.2873436774</v>
      </c>
      <c r="AT70" s="323">
        <f t="shared" ca="1" si="72"/>
        <v>251058.23613778964</v>
      </c>
      <c r="AU70" s="323">
        <f t="shared" ca="1" si="72"/>
        <v>247898.61607057921</v>
      </c>
      <c r="AV70" s="323">
        <f t="shared" ca="1" si="72"/>
        <v>166444.71602951828</v>
      </c>
      <c r="AW70" s="323">
        <f t="shared" ca="1" si="72"/>
        <v>187025.22237358522</v>
      </c>
      <c r="AX70" s="323">
        <f t="shared" ca="1" si="72"/>
        <v>164167.93023060312</v>
      </c>
      <c r="AY70" s="323">
        <f t="shared" ca="1" si="72"/>
        <v>112845.78219629904</v>
      </c>
      <c r="AZ70" s="323">
        <f t="shared" ca="1" si="72"/>
        <v>77612.510789834836</v>
      </c>
      <c r="BA70" s="323">
        <f t="shared" ca="1" si="72"/>
        <v>96250.429491421033</v>
      </c>
      <c r="BB70" s="323">
        <f t="shared" ca="1" si="72"/>
        <v>123785.57431811569</v>
      </c>
      <c r="BC70" s="323">
        <f t="shared" ca="1" si="72"/>
        <v>96691.34277169405</v>
      </c>
      <c r="BD70" s="323">
        <f t="shared" ca="1" si="72"/>
        <v>67556.893319531548</v>
      </c>
      <c r="BE70" s="323">
        <f t="shared" ca="1" si="72"/>
        <v>81320.589844696093</v>
      </c>
      <c r="BF70" s="323">
        <f t="shared" ca="1" si="72"/>
        <v>105165.85762875895</v>
      </c>
      <c r="BG70" s="323">
        <f t="shared" ca="1" si="72"/>
        <v>82062.515925650092</v>
      </c>
      <c r="BH70" s="323">
        <f t="shared" ca="1" si="72"/>
        <v>56289.703804374258</v>
      </c>
      <c r="BI70" s="323">
        <f t="shared" ca="1" si="72"/>
        <v>69842.688626198913</v>
      </c>
      <c r="BJ70" s="323">
        <f t="shared" ca="1" si="72"/>
        <v>90009.828835584383</v>
      </c>
      <c r="BK70" s="323">
        <f t="shared" ca="1" si="72"/>
        <v>70238.720373950826</v>
      </c>
      <c r="BL70" s="323">
        <f t="shared" ca="1" si="72"/>
        <v>48184.238265303284</v>
      </c>
      <c r="BM70" s="323">
        <f t="shared" ca="1" si="72"/>
        <v>59781.209896763758</v>
      </c>
      <c r="BN70" s="323">
        <f t="shared" ca="1" si="72"/>
        <v>77037.950829915208</v>
      </c>
      <c r="BO70" s="323">
        <f t="shared" ca="1" si="72"/>
        <v>56648.907436714326</v>
      </c>
      <c r="BP70" s="323">
        <f t="shared" ca="1" si="72"/>
        <v>38143.823000387027</v>
      </c>
      <c r="BQ70" s="323">
        <f t="shared" ca="1" si="72"/>
        <v>46311.924586750385</v>
      </c>
      <c r="BR70" s="323">
        <f t="shared" ca="1" si="72"/>
        <v>59972.615804804547</v>
      </c>
      <c r="BS70" s="323">
        <f t="shared" ca="1" si="72"/>
        <v>48463.77287289111</v>
      </c>
      <c r="BT70" s="323">
        <f t="shared" ref="BT70:CO70" ca="1" si="73" xml:space="preserve"> IFERROR( SUM(BT67,BT68) / BT69,0)</f>
        <v>33135.458027162917</v>
      </c>
      <c r="BU70" s="323">
        <f t="shared" ca="1" si="73"/>
        <v>39474.102064375955</v>
      </c>
      <c r="BV70" s="323">
        <f t="shared" ca="1" si="73"/>
        <v>51311.129740568969</v>
      </c>
      <c r="BW70" s="323">
        <f t="shared" ca="1" si="73"/>
        <v>41463.328895103426</v>
      </c>
      <c r="BX70" s="323">
        <f t="shared" ca="1" si="73"/>
        <v>27911.602311960109</v>
      </c>
      <c r="BY70" s="323">
        <f t="shared" ca="1" si="73"/>
        <v>33893.86584100996</v>
      </c>
      <c r="BZ70" s="323">
        <f t="shared" ca="1" si="73"/>
        <v>43897.878718626685</v>
      </c>
      <c r="CA70" s="323">
        <f t="shared" ca="1" si="73"/>
        <v>35471.512198073251</v>
      </c>
      <c r="CB70" s="323">
        <f t="shared" ca="1" si="73"/>
        <v>23876.64743259173</v>
      </c>
      <c r="CC70" s="323">
        <f t="shared" ca="1" si="73"/>
        <v>28996.227092695714</v>
      </c>
      <c r="CD70" s="323">
        <f t="shared" ca="1" si="73"/>
        <v>37557.207003819734</v>
      </c>
      <c r="CE70" s="323">
        <f t="shared" ca="1" si="73"/>
        <v>30347.032063535156</v>
      </c>
      <c r="CF70" s="323">
        <f t="shared" ca="1" si="73"/>
        <v>20425.231800763944</v>
      </c>
      <c r="CG70" s="323">
        <f t="shared" ca="1" si="73"/>
        <v>24806.51945243929</v>
      </c>
      <c r="CH70" s="323">
        <f t="shared" ca="1" si="73"/>
        <v>32132.60076867606</v>
      </c>
      <c r="CI70" s="323">
        <f t="shared" ca="1" si="73"/>
        <v>25963.072420232904</v>
      </c>
      <c r="CJ70" s="323">
        <f t="shared" ca="1" si="73"/>
        <v>17744.959375624654</v>
      </c>
      <c r="CK70" s="323">
        <f t="shared" ca="1" si="73"/>
        <v>21144.492188972366</v>
      </c>
      <c r="CL70" s="323">
        <f t="shared" ca="1" si="73"/>
        <v>27492.490709030895</v>
      </c>
      <c r="CM70" s="323">
        <f t="shared" ca="1" si="73"/>
        <v>22213.365629573957</v>
      </c>
      <c r="CN70" s="323">
        <f t="shared" ca="1" si="73"/>
        <v>14947.512090189392</v>
      </c>
      <c r="CO70" s="323">
        <f t="shared" ca="1" si="73"/>
        <v>94448.871615944241</v>
      </c>
    </row>
    <row r="71" spans="1:93" ht="15" customHeight="1">
      <c r="A71" s="47"/>
      <c r="B71" s="47"/>
      <c r="C71" s="153"/>
      <c r="D71" s="153"/>
      <c r="E71" s="11"/>
      <c r="F71" s="11"/>
      <c r="G71" s="11"/>
      <c r="H71" s="153"/>
      <c r="I71" s="154"/>
      <c r="J71" s="153"/>
      <c r="K71" s="153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</row>
    <row r="72" spans="1:93" ht="15" customHeight="1">
      <c r="A72" s="47"/>
      <c r="B72" s="47"/>
      <c r="C72" s="161" t="s">
        <v>958</v>
      </c>
      <c r="D72" s="153"/>
      <c r="E72" s="11"/>
      <c r="F72" s="11"/>
      <c r="G72" s="11" t="str">
        <f>Monetary_Unit</f>
        <v>тыс. руб.</v>
      </c>
      <c r="H72" s="153"/>
      <c r="I72" s="325">
        <f ca="1" xml:space="preserve"> I70</f>
        <v>4518283.6114223544</v>
      </c>
      <c r="J72" s="153"/>
      <c r="K72" s="153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411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</row>
    <row r="73" spans="1:93" ht="15" customHeight="1">
      <c r="A73" s="47"/>
      <c r="B73" s="47"/>
      <c r="C73" s="161" t="s">
        <v>959</v>
      </c>
      <c r="D73" s="153"/>
      <c r="E73" s="11"/>
      <c r="F73" s="11"/>
      <c r="G73" s="11" t="str">
        <f>Monetary_Unit</f>
        <v>тыс. руб.</v>
      </c>
      <c r="H73" s="153"/>
      <c r="I73" s="325">
        <f ca="1" xml:space="preserve"> I46 - I45</f>
        <v>-2954319.1631664843</v>
      </c>
      <c r="J73" s="153"/>
      <c r="K73" s="153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</row>
    <row r="74" spans="1:93" ht="15" customHeight="1">
      <c r="A74" s="47"/>
      <c r="B74" s="47"/>
      <c r="C74" s="161" t="s">
        <v>964</v>
      </c>
      <c r="D74" s="153"/>
      <c r="E74" s="11"/>
      <c r="F74" s="11"/>
      <c r="G74" s="11" t="str">
        <f>Monetary_Unit</f>
        <v>тыс. руб.</v>
      </c>
      <c r="H74" s="153"/>
      <c r="I74" s="414">
        <f ca="1" xml:space="preserve"> I72 + I73</f>
        <v>1563964.44825587</v>
      </c>
      <c r="J74" s="153"/>
      <c r="K74" s="153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</row>
    <row r="75" spans="1:93" ht="15" customHeight="1">
      <c r="A75" s="47"/>
      <c r="B75" s="47"/>
      <c r="C75" s="47"/>
      <c r="D75" s="47"/>
      <c r="E75" s="47"/>
      <c r="F75" s="47"/>
      <c r="G75" s="321"/>
      <c r="H75" s="47"/>
      <c r="I75" s="47"/>
      <c r="J75" s="47"/>
      <c r="K75" s="47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</row>
    <row r="76" spans="1:93" ht="15" hidden="1" customHeight="1">
      <c r="A76" s="47"/>
      <c r="B76" s="47"/>
      <c r="C76" s="47"/>
      <c r="D76" s="47"/>
      <c r="E76" s="47"/>
      <c r="F76" s="47"/>
      <c r="G76" s="321"/>
      <c r="H76" s="47"/>
      <c r="I76" s="47"/>
      <c r="J76" s="47"/>
      <c r="K76" s="47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</row>
    <row r="77" spans="1:93" ht="15" hidden="1" customHeight="1">
      <c r="A77" s="47"/>
      <c r="B77" s="47"/>
      <c r="C77" s="47"/>
      <c r="D77" s="47"/>
      <c r="E77" s="47"/>
      <c r="F77" s="47"/>
      <c r="G77" s="321"/>
      <c r="H77" s="47"/>
      <c r="I77" s="47"/>
      <c r="J77" s="47"/>
      <c r="K77" s="47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</row>
    <row r="78" spans="1:93" ht="15" hidden="1" customHeight="1">
      <c r="A78" s="47"/>
      <c r="B78" s="47"/>
      <c r="C78" s="47"/>
      <c r="D78" s="47"/>
      <c r="E78" s="47"/>
      <c r="F78" s="47"/>
      <c r="G78" s="321"/>
      <c r="H78" s="47"/>
      <c r="I78" s="47"/>
      <c r="J78" s="47"/>
      <c r="K78" s="47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</row>
    <row r="79" spans="1:93" ht="15" hidden="1" customHeight="1">
      <c r="A79" s="47"/>
      <c r="B79" s="47"/>
      <c r="C79" s="47"/>
      <c r="D79" s="47"/>
      <c r="E79" s="47"/>
      <c r="F79" s="47"/>
      <c r="G79" s="321"/>
      <c r="H79" s="47"/>
      <c r="I79" s="47"/>
      <c r="J79" s="47"/>
      <c r="K79" s="47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ht="15" hidden="1" customHeight="1">
      <c r="A80" s="47"/>
      <c r="B80" s="47"/>
      <c r="C80" s="47"/>
      <c r="D80" s="47"/>
      <c r="E80" s="47"/>
      <c r="F80" s="47"/>
      <c r="G80" s="321"/>
      <c r="H80" s="47"/>
      <c r="I80" s="47"/>
      <c r="J80" s="47"/>
      <c r="K80" s="47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</row>
    <row r="81" spans="1:93" ht="15" hidden="1" customHeight="1">
      <c r="A81" s="47"/>
      <c r="B81" s="47"/>
      <c r="C81" s="47"/>
      <c r="D81" s="47"/>
      <c r="E81" s="47"/>
      <c r="F81" s="47"/>
      <c r="G81" s="321"/>
      <c r="H81" s="47"/>
      <c r="I81" s="47"/>
      <c r="J81" s="47"/>
      <c r="K81" s="47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</row>
    <row r="82" spans="1:93" ht="15" hidden="1" customHeight="1">
      <c r="A82" s="47"/>
      <c r="B82" s="47"/>
      <c r="C82" s="47"/>
      <c r="D82" s="47"/>
      <c r="E82" s="47"/>
      <c r="F82" s="47"/>
      <c r="G82" s="321"/>
      <c r="H82" s="47"/>
      <c r="I82" s="47"/>
      <c r="J82" s="47"/>
      <c r="K82" s="47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</row>
    <row r="83" spans="1:93" ht="15" hidden="1" customHeight="1">
      <c r="A83" s="47"/>
      <c r="B83" s="47"/>
      <c r="C83" s="47"/>
      <c r="D83" s="47"/>
      <c r="E83" s="47"/>
      <c r="F83" s="47"/>
      <c r="G83" s="321"/>
      <c r="H83" s="47"/>
      <c r="I83" s="47"/>
      <c r="J83" s="47"/>
      <c r="K83" s="47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</row>
    <row r="84" spans="1:93" ht="15" hidden="1" customHeight="1">
      <c r="A84" s="47"/>
      <c r="B84" s="47"/>
      <c r="C84" s="47"/>
      <c r="D84" s="47"/>
      <c r="E84" s="47"/>
      <c r="F84" s="47"/>
      <c r="G84" s="321"/>
      <c r="H84" s="47"/>
      <c r="I84" s="47"/>
      <c r="J84" s="47"/>
      <c r="K84" s="47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ht="14.5" hidden="1" customHeight="1"/>
    <row r="86" spans="1:93" ht="14.5" hidden="1" customHeight="1"/>
    <row r="87" spans="1:93" ht="14.5" hidden="1" customHeight="1"/>
    <row r="88" spans="1:93" ht="14.5" hidden="1" customHeight="1"/>
    <row r="89" spans="1:93" ht="14.5" hidden="1" customHeight="1"/>
    <row r="90" spans="1:93" ht="14.5" hidden="1" customHeight="1"/>
    <row r="91" spans="1:93" ht="14.5" hidden="1" customHeight="1"/>
    <row r="92" spans="1:93" ht="14.5" hidden="1" customHeight="1"/>
    <row r="93" spans="1:93" ht="14.5" hidden="1" customHeight="1"/>
    <row r="94" spans="1:93" ht="14.5" hidden="1" customHeight="1"/>
    <row r="95" spans="1:93" ht="14.5" hidden="1" customHeight="1"/>
    <row r="96" spans="1:93" ht="14.5" hidden="1" customHeight="1"/>
    <row r="97" ht="14.5" hidden="1" customHeight="1"/>
    <row r="98" ht="14.5" hidden="1" customHeight="1"/>
    <row r="99" ht="14.5" hidden="1" customHeight="1"/>
    <row r="100" ht="14.5" hidden="1" customHeight="1"/>
    <row r="101" ht="14.5" hidden="1" customHeight="1"/>
    <row r="102" ht="14.5" hidden="1" customHeight="1"/>
    <row r="103" ht="14.5" hidden="1" customHeight="1"/>
    <row r="104" ht="14.5" hidden="1" customHeight="1"/>
    <row r="105" ht="14.5" hidden="1" customHeight="1"/>
    <row r="106" ht="14.5" hidden="1" customHeight="1"/>
    <row r="107" ht="14.5" hidden="1" customHeight="1"/>
    <row r="108" ht="14.5" hidden="1" customHeight="1"/>
    <row r="109" ht="14.5" hidden="1" customHeight="1"/>
    <row r="110" ht="14.5" hidden="1" customHeight="1"/>
    <row r="111" ht="14.5" hidden="1" customHeight="1"/>
    <row r="112" ht="14.5" hidden="1" customHeight="1"/>
    <row r="113" ht="14.5" hidden="1" customHeight="1"/>
    <row r="114" ht="14.5" hidden="1" customHeight="1"/>
    <row r="115" ht="14.5" hidden="1" customHeight="1"/>
    <row r="116" ht="14.5" hidden="1" customHeight="1"/>
    <row r="117" ht="14.5" hidden="1" customHeight="1"/>
    <row r="118" ht="14.5" hidden="1" customHeight="1"/>
    <row r="119" ht="14.5" hidden="1" customHeight="1"/>
    <row r="120" ht="14.5" hidden="1" customHeight="1"/>
    <row r="121" ht="14.5" hidden="1" customHeight="1"/>
    <row r="122" ht="14.5" hidden="1" customHeight="1"/>
    <row r="123" ht="14.5" hidden="1" customHeight="1"/>
    <row r="124" ht="14.5" hidden="1" customHeight="1"/>
    <row r="125" ht="14.5" hidden="1" customHeight="1"/>
    <row r="126" ht="14.5" hidden="1" customHeight="1"/>
    <row r="127" ht="14.5" hidden="1" customHeight="1"/>
    <row r="128" ht="14.5" hidden="1" customHeight="1"/>
    <row r="129" ht="14.5" hidden="1" customHeight="1"/>
    <row r="130" ht="14.5" hidden="1" customHeight="1"/>
    <row r="131" ht="14.5" hidden="1" customHeight="1"/>
    <row r="132" ht="14.5" hidden="1" customHeight="1"/>
    <row r="133" ht="14.5" hidden="1" customHeight="1"/>
    <row r="134" ht="14.5" hidden="1" customHeight="1"/>
    <row r="135" ht="14.5" hidden="1" customHeight="1"/>
    <row r="136" ht="14.5" hidden="1" customHeight="1"/>
    <row r="137" ht="14.5" hidden="1" customHeight="1"/>
    <row r="138" ht="14.5" hidden="1" customHeight="1"/>
    <row r="139" ht="14.5" hidden="1" customHeight="1"/>
    <row r="140" ht="14.5" hidden="1" customHeight="1"/>
    <row r="141" ht="14.5" hidden="1" customHeight="1"/>
    <row r="142" ht="14.5" hidden="1" customHeight="1"/>
    <row r="143" ht="14.5" hidden="1" customHeight="1"/>
    <row r="144" ht="14.5" hidden="1" customHeight="1"/>
    <row r="145" ht="14.5" hidden="1" customHeight="1"/>
    <row r="146" ht="14.5" hidden="1" customHeight="1"/>
    <row r="147" ht="14.5" hidden="1" customHeight="1"/>
    <row r="148" ht="14.5" hidden="1" customHeight="1"/>
    <row r="149" ht="14.5" hidden="1" customHeight="1"/>
    <row r="150" ht="14.5" hidden="1" customHeight="1"/>
    <row r="151" ht="14.5" hidden="1" customHeight="1"/>
    <row r="152" ht="14.5" hidden="1" customHeight="1"/>
    <row r="153" ht="14.5" hidden="1" customHeight="1"/>
    <row r="154" ht="14.5" hidden="1" customHeight="1"/>
    <row r="155" ht="14.5" hidden="1" customHeight="1"/>
    <row r="156" ht="14.5" hidden="1" customHeight="1"/>
    <row r="157" ht="14.5" hidden="1" customHeight="1"/>
    <row r="158" ht="14.5" hidden="1" customHeight="1"/>
    <row r="159" ht="14.5" hidden="1" customHeight="1"/>
    <row r="160" ht="14.5" hidden="1" customHeight="1"/>
    <row r="161" ht="14.5" hidden="1" customHeight="1"/>
    <row r="162" ht="14.5" hidden="1" customHeight="1"/>
    <row r="163" ht="14.5" hidden="1" customHeight="1"/>
    <row r="164" ht="14.5" hidden="1" customHeight="1"/>
    <row r="165" ht="14.5" hidden="1" customHeight="1"/>
    <row r="166" ht="14.5" hidden="1" customHeight="1"/>
    <row r="167" ht="14.5" hidden="1" customHeight="1"/>
    <row r="168" ht="14.5" hidden="1" customHeight="1"/>
  </sheetData>
  <conditionalFormatting sqref="L9:CO9">
    <cfRule type="cellIs" dxfId="4" priority="127" operator="equal">
      <formula>2</formula>
    </cfRule>
    <cfRule type="cellIs" dxfId="3" priority="128" operator="equal">
      <formula>1</formula>
    </cfRule>
  </conditionalFormatting>
  <conditionalFormatting sqref="E4">
    <cfRule type="cellIs" dxfId="2" priority="125" operator="equal">
      <formula>FALSE</formula>
    </cfRule>
    <cfRule type="cellIs" dxfId="1" priority="126" operator="equal">
      <formula>TRUE</formula>
    </cfRule>
  </conditionalFormatting>
  <conditionalFormatting sqref="L52:CO54">
    <cfRule type="cellIs" dxfId="0" priority="124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8" scale="26" orientation="landscape" r:id="rId1"/>
  <colBreaks count="1" manualBreakCount="1">
    <brk id="62" max="69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163</vt:i4>
      </vt:variant>
    </vt:vector>
  </HeadingPairs>
  <TitlesOfParts>
    <vt:vector size="181" baseType="lpstr">
      <vt:lpstr>1</vt:lpstr>
      <vt:lpstr>Титул</vt:lpstr>
      <vt:lpstr>Описание</vt:lpstr>
      <vt:lpstr>Контр_панель</vt:lpstr>
      <vt:lpstr>Анализ рынка</vt:lpstr>
      <vt:lpstr>Конкурентный анализ 5</vt:lpstr>
      <vt:lpstr>Загрузка</vt:lpstr>
      <vt:lpstr>Штатное расписание</vt:lpstr>
      <vt:lpstr>Предпосылки</vt:lpstr>
      <vt:lpstr>Расчеты</vt:lpstr>
      <vt:lpstr>Отчетность</vt:lpstr>
      <vt:lpstr>Отчетность годовая</vt:lpstr>
      <vt:lpstr>Проверки</vt:lpstr>
      <vt:lpstr>Свод</vt:lpstr>
      <vt:lpstr>Чувствительность</vt:lpstr>
      <vt:lpstr>Бюдж эффективность</vt:lpstr>
      <vt:lpstr>Финансирование</vt:lpstr>
      <vt:lpstr>Инвестор</vt:lpstr>
      <vt:lpstr>Accounts_Payable_EoP</vt:lpstr>
      <vt:lpstr>Accounts_Receivable_EoP</vt:lpstr>
      <vt:lpstr>Accuracy</vt:lpstr>
      <vt:lpstr>All_Outputs1</vt:lpstr>
      <vt:lpstr>All_Outputs2</vt:lpstr>
      <vt:lpstr>All_Outputs3</vt:lpstr>
      <vt:lpstr>All_Outputs4</vt:lpstr>
      <vt:lpstr>Bank_Fees</vt:lpstr>
      <vt:lpstr>Beginning_of_period</vt:lpstr>
      <vt:lpstr>CAPEX</vt:lpstr>
      <vt:lpstr>CAPEX_Accumulated_Forecast</vt:lpstr>
      <vt:lpstr>CAPEX_Accumulated_From_Date</vt:lpstr>
      <vt:lpstr>CAPEX_E_For_VAT</vt:lpstr>
      <vt:lpstr>CAPEX_For_VAT</vt:lpstr>
      <vt:lpstr>Capex_sens</vt:lpstr>
      <vt:lpstr>Cash_BoP</vt:lpstr>
      <vt:lpstr>Cash_EoP</vt:lpstr>
      <vt:lpstr>CBR_Rate_Forecast</vt:lpstr>
      <vt:lpstr>CFADS</vt:lpstr>
      <vt:lpstr>Check_Balance_1</vt:lpstr>
      <vt:lpstr>Check_Balance_2</vt:lpstr>
      <vt:lpstr>CIP_EoP</vt:lpstr>
      <vt:lpstr>COGS</vt:lpstr>
      <vt:lpstr>COGS_Capitalised</vt:lpstr>
      <vt:lpstr>COGS_for_VAT</vt:lpstr>
      <vt:lpstr>COGS_PL</vt:lpstr>
      <vt:lpstr>Count_Operations_Periods</vt:lpstr>
      <vt:lpstr>CPI_Accumulated_Forecast</vt:lpstr>
      <vt:lpstr>CPI_Accumulated_From_Date</vt:lpstr>
      <vt:lpstr>Date_Construction_End</vt:lpstr>
      <vt:lpstr>Date_Construction_Start</vt:lpstr>
      <vt:lpstr>Date_Forecast_Start</vt:lpstr>
      <vt:lpstr>Date_Model_Start</vt:lpstr>
      <vt:lpstr>Date_Operations_End</vt:lpstr>
      <vt:lpstr>Date_Operations_Start</vt:lpstr>
      <vt:lpstr>Days_In_Period</vt:lpstr>
      <vt:lpstr>Days_in_year</vt:lpstr>
      <vt:lpstr>Debt_BoP</vt:lpstr>
      <vt:lpstr>Debt_Drawdown</vt:lpstr>
      <vt:lpstr>Debt_EoP</vt:lpstr>
      <vt:lpstr>Debt_Interest_Accrued</vt:lpstr>
      <vt:lpstr>Debt_Interest_Capitalised</vt:lpstr>
      <vt:lpstr>Debt_Interest_Paid</vt:lpstr>
      <vt:lpstr>Debt_Interest_PL</vt:lpstr>
      <vt:lpstr>Debt_rate_sens</vt:lpstr>
      <vt:lpstr>Debt_Repaiment</vt:lpstr>
      <vt:lpstr>Deferred_Income_Expense</vt:lpstr>
      <vt:lpstr>Depreciation_PL</vt:lpstr>
      <vt:lpstr>Depreciation_Premium_Tax</vt:lpstr>
      <vt:lpstr>Depreciation_Tax</vt:lpstr>
      <vt:lpstr>Divid_Tax_Rate</vt:lpstr>
      <vt:lpstr>Dividends</vt:lpstr>
      <vt:lpstr>EBIT</vt:lpstr>
      <vt:lpstr>EBITDA</vt:lpstr>
      <vt:lpstr>End_of_period</vt:lpstr>
      <vt:lpstr>Equity_Drawdown</vt:lpstr>
      <vt:lpstr>Equity_EoP</vt:lpstr>
      <vt:lpstr>Equity_S_Drawdown_1</vt:lpstr>
      <vt:lpstr>Equity_S_Drawdown_2</vt:lpstr>
      <vt:lpstr>FA_BoP</vt:lpstr>
      <vt:lpstr>FA_EoP</vt:lpstr>
      <vt:lpstr>FCF</vt:lpstr>
      <vt:lpstr>FCFE</vt:lpstr>
      <vt:lpstr>Flag_Construction</vt:lpstr>
      <vt:lpstr>Flag_Financial_Model</vt:lpstr>
      <vt:lpstr>Flag_First_Construction</vt:lpstr>
      <vt:lpstr>Flag_First_Operations</vt:lpstr>
      <vt:lpstr>Flag_Forecast</vt:lpstr>
      <vt:lpstr>Flag_Historical</vt:lpstr>
      <vt:lpstr>Flag_Invest</vt:lpstr>
      <vt:lpstr>Flag_Last_Construction</vt:lpstr>
      <vt:lpstr>Flag_Last_Operations</vt:lpstr>
      <vt:lpstr>Flag_Operations</vt:lpstr>
      <vt:lpstr>Funding_Requirement_Check</vt:lpstr>
      <vt:lpstr>Funding_Requirement_Check_Arr</vt:lpstr>
      <vt:lpstr>Funding_Requirement_Copy</vt:lpstr>
      <vt:lpstr>Funding_Requirement_Paste</vt:lpstr>
      <vt:lpstr>Hundreed</vt:lpstr>
      <vt:lpstr>ICF</vt:lpstr>
      <vt:lpstr>Inventories_EoP</vt:lpstr>
      <vt:lpstr>Investor_TRRF</vt:lpstr>
      <vt:lpstr>IRR</vt:lpstr>
      <vt:lpstr>IRR_Equity</vt:lpstr>
      <vt:lpstr>Key_rate</vt:lpstr>
      <vt:lpstr>Land_Tax</vt:lpstr>
      <vt:lpstr>Land_Tax_Rate</vt:lpstr>
      <vt:lpstr>Million</vt:lpstr>
      <vt:lpstr>Monetary_Unit</vt:lpstr>
      <vt:lpstr>Months_in_Period</vt:lpstr>
      <vt:lpstr>Months_in_Year</vt:lpstr>
      <vt:lpstr>MonthsCumulated</vt:lpstr>
      <vt:lpstr>Name_Model</vt:lpstr>
      <vt:lpstr>Net_Profit</vt:lpstr>
      <vt:lpstr>NPV</vt:lpstr>
      <vt:lpstr>NPV_Equity</vt:lpstr>
      <vt:lpstr>OCF</vt:lpstr>
      <vt:lpstr>Opex_sens</vt:lpstr>
      <vt:lpstr>Overall_Check</vt:lpstr>
      <vt:lpstr>PBP</vt:lpstr>
      <vt:lpstr>PBP_Equity</vt:lpstr>
      <vt:lpstr>PBT</vt:lpstr>
      <vt:lpstr>Period_length</vt:lpstr>
      <vt:lpstr>Periods_in_Year</vt:lpstr>
      <vt:lpstr>Profits_Tax</vt:lpstr>
      <vt:lpstr>Profits_Tax_Rate</vt:lpstr>
      <vt:lpstr>Property_Tax</vt:lpstr>
      <vt:lpstr>Property_Tax_Rate</vt:lpstr>
      <vt:lpstr>Quarter</vt:lpstr>
      <vt:lpstr>Required_Rate_of_Return</vt:lpstr>
      <vt:lpstr>Revenue</vt:lpstr>
      <vt:lpstr>Revenue_for_VAT</vt:lpstr>
      <vt:lpstr>Revenue_for_VAT_Zero</vt:lpstr>
      <vt:lpstr>Revenue_sens</vt:lpstr>
      <vt:lpstr>SC_Analysis_Current_Outputs</vt:lpstr>
      <vt:lpstr>SC_Analysis_Output_Table</vt:lpstr>
      <vt:lpstr>SC_Analysis_Output_Table2</vt:lpstr>
      <vt:lpstr>SC_Global</vt:lpstr>
      <vt:lpstr>Scenario_Macro_CAPEX</vt:lpstr>
      <vt:lpstr>Scenario_Macro_CPI</vt:lpstr>
      <vt:lpstr>SGA</vt:lpstr>
      <vt:lpstr>SGA_Capitalised</vt:lpstr>
      <vt:lpstr>SGA_for_VAT</vt:lpstr>
      <vt:lpstr>SGA_PL</vt:lpstr>
      <vt:lpstr>Subord_Drawdown</vt:lpstr>
      <vt:lpstr>Subord_EoP</vt:lpstr>
      <vt:lpstr>Subord_Interest_Accrued</vt:lpstr>
      <vt:lpstr>Subord_Interest_Accrued_Operations</vt:lpstr>
      <vt:lpstr>Subord_Interest_Calc</vt:lpstr>
      <vt:lpstr>Subord_Interest_Check</vt:lpstr>
      <vt:lpstr>Subord_Interest_Check_Arr</vt:lpstr>
      <vt:lpstr>Subord_Interest_Paid</vt:lpstr>
      <vt:lpstr>Subord_Repayment</vt:lpstr>
      <vt:lpstr>Thousand</vt:lpstr>
      <vt:lpstr>VAT_Cash_Flow</vt:lpstr>
      <vt:lpstr>VAT_EoP</vt:lpstr>
      <vt:lpstr>VAT_from_Investor</vt:lpstr>
      <vt:lpstr>VAT_Paid</vt:lpstr>
      <vt:lpstr>VAT_Paid_e</vt:lpstr>
      <vt:lpstr>VAT_Payable</vt:lpstr>
      <vt:lpstr>VAT_Periods_Payable</vt:lpstr>
      <vt:lpstr>VAT_Periods_Receivable</vt:lpstr>
      <vt:lpstr>VAT_Rate</vt:lpstr>
      <vt:lpstr>VAT_Rate_Periods</vt:lpstr>
      <vt:lpstr>VAT_Rate_Zero</vt:lpstr>
      <vt:lpstr>VAT_Rate_Zero_Periods</vt:lpstr>
      <vt:lpstr>Version_Model</vt:lpstr>
      <vt:lpstr>Very_Small_Number</vt:lpstr>
      <vt:lpstr>WACC</vt:lpstr>
      <vt:lpstr>WC_Cash_Flow</vt:lpstr>
      <vt:lpstr>xFactorValue1</vt:lpstr>
      <vt:lpstr>xFactorValue2</vt:lpstr>
      <vt:lpstr>xFactorValue3</vt:lpstr>
      <vt:lpstr>xFactorValue4</vt:lpstr>
      <vt:lpstr>Year</vt:lpstr>
      <vt:lpstr>'1'!Year_Unic</vt:lpstr>
      <vt:lpstr>Year_Unic</vt:lpstr>
      <vt:lpstr>Years_Cumulated_Beginning</vt:lpstr>
      <vt:lpstr>yFactorValue1</vt:lpstr>
      <vt:lpstr>yFactorValue2</vt:lpstr>
      <vt:lpstr>yFactorValue3</vt:lpstr>
      <vt:lpstr>yFactorValue4</vt:lpstr>
      <vt:lpstr>Отчетность!Заголовки_для_печати</vt:lpstr>
      <vt:lpstr>'1'!Область_печати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Ильина Наталья</cp:lastModifiedBy>
  <cp:lastPrinted>2024-09-12T13:52:26Z</cp:lastPrinted>
  <dcterms:created xsi:type="dcterms:W3CDTF">2019-12-15T14:21:23Z</dcterms:created>
  <dcterms:modified xsi:type="dcterms:W3CDTF">2024-09-18T15:27:21Z</dcterms:modified>
</cp:coreProperties>
</file>